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PRO SANDRO\Documents\R\VISITAS\2023\NOV\"/>
    </mc:Choice>
  </mc:AlternateContent>
  <xr:revisionPtr revIDLastSave="0" documentId="13_ncr:40009_{555A5756-32B5-4111-8AD3-4890C377069C}" xr6:coauthVersionLast="47" xr6:coauthVersionMax="47" xr10:uidLastSave="{00000000-0000-0000-0000-000000000000}"/>
  <bookViews>
    <workbookView xWindow="-110" yWindow="-110" windowWidth="19420" windowHeight="10300" activeTab="1"/>
  </bookViews>
  <sheets>
    <sheet name="SFA" sheetId="2" r:id="rId1"/>
    <sheet name="ConsultaCadEstabPDV (6)" sheetId="1" r:id="rId2"/>
  </sheets>
  <definedNames>
    <definedName name="DadosExternos_1" localSheetId="0" hidden="1">SFA!$A$1:$BW$1744</definedName>
  </definedNames>
  <calcPr calcId="0"/>
</workbook>
</file>

<file path=xl/calcChain.xml><?xml version="1.0" encoding="utf-8"?>
<calcChain xmlns="http://schemas.openxmlformats.org/spreadsheetml/2006/main">
  <c r="B2" i="1" l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</calcChain>
</file>

<file path=xl/connections.xml><?xml version="1.0" encoding="utf-8"?>
<connections xmlns="http://schemas.openxmlformats.org/spreadsheetml/2006/main">
  <connection id="1" keepAlive="1" name="Consulta - Tabela1" description="Conexão com a consulta 'Tabela1' na pasta de trabalho." type="5" refreshedVersion="8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<sst xmlns="http://schemas.openxmlformats.org/spreadsheetml/2006/main" count="94272" uniqueCount="9264">
  <si>
    <t>ESTAB_ID</t>
  </si>
  <si>
    <t>CIA</t>
  </si>
  <si>
    <t>EQUIPE</t>
  </si>
  <si>
    <t>SETOR_CLIENTE</t>
  </si>
  <si>
    <t>SETOR</t>
  </si>
  <si>
    <t>NOME_SETOR</t>
  </si>
  <si>
    <t>CNPJ</t>
  </si>
  <si>
    <t>INSCRICAO</t>
  </si>
  <si>
    <t>LOCAL_TRABALHO</t>
  </si>
  <si>
    <t>RAZAOSOCIAL</t>
  </si>
  <si>
    <t>NOMEFANTASIA</t>
  </si>
  <si>
    <t>FLG_CLIENTE</t>
  </si>
  <si>
    <t>HOMEPAGE</t>
  </si>
  <si>
    <t>EMAIL</t>
  </si>
  <si>
    <t>CATEGORIA</t>
  </si>
  <si>
    <t>ENDERECO</t>
  </si>
  <si>
    <t>NUMERO</t>
  </si>
  <si>
    <t>COMPL</t>
  </si>
  <si>
    <t>UTC/BRICK</t>
  </si>
  <si>
    <t>CEP</t>
  </si>
  <si>
    <t>BAIRRO</t>
  </si>
  <si>
    <t>CIDADE</t>
  </si>
  <si>
    <t>UF</t>
  </si>
  <si>
    <t>DDD</t>
  </si>
  <si>
    <t>TELEF1</t>
  </si>
  <si>
    <t>RAMAL1</t>
  </si>
  <si>
    <t>TELEF2</t>
  </si>
  <si>
    <t>RAMAL2</t>
  </si>
  <si>
    <t>TELEF3</t>
  </si>
  <si>
    <t>RAMAL3</t>
  </si>
  <si>
    <t>FAX</t>
  </si>
  <si>
    <t>RAMAL_FAX</t>
  </si>
  <si>
    <t>DELIVERY</t>
  </si>
  <si>
    <t>VENDAWEB</t>
  </si>
  <si>
    <t>TABLOIDE</t>
  </si>
  <si>
    <t>NUMBALCO</t>
  </si>
  <si>
    <t>QTD_LOJA</t>
  </si>
  <si>
    <t>NUMDERMO</t>
  </si>
  <si>
    <t>INFORMATIZADO</t>
  </si>
  <si>
    <t>GENERICOS</t>
  </si>
  <si>
    <t>CONVEMPR</t>
  </si>
  <si>
    <t>BONIFICADOS</t>
  </si>
  <si>
    <t>COMP_DIR</t>
  </si>
  <si>
    <t>COMP_CENTR</t>
  </si>
  <si>
    <t>COMP_PART</t>
  </si>
  <si>
    <t>REMUN_FIXO</t>
  </si>
  <si>
    <t>REMUN_COMIS</t>
  </si>
  <si>
    <t>VENDA_TOT</t>
  </si>
  <si>
    <t>VENDA_BAL</t>
  </si>
  <si>
    <t>FATURAM</t>
  </si>
  <si>
    <t>OBS</t>
  </si>
  <si>
    <t>__COMENT</t>
  </si>
  <si>
    <t>FLG_FARMACIA</t>
  </si>
  <si>
    <t>DTINCLU</t>
  </si>
  <si>
    <t>DTULTATU</t>
  </si>
  <si>
    <t>CICLOALT</t>
  </si>
  <si>
    <t>SEQ_INCLUSAO</t>
  </si>
  <si>
    <t>FLG_ATIVO</t>
  </si>
  <si>
    <t>VALTICK</t>
  </si>
  <si>
    <t>NUMTICK</t>
  </si>
  <si>
    <t>FREQUENCIA</t>
  </si>
  <si>
    <t>VIS_LOCAL_ID</t>
  </si>
  <si>
    <t>DESCRICAO</t>
  </si>
  <si>
    <t>EXIB_DESCRICAO</t>
  </si>
  <si>
    <t>CLASSIF_MERCADO</t>
  </si>
  <si>
    <t>CLASSIF_CLIENTE</t>
  </si>
  <si>
    <t>POTE_DESCRICAO</t>
  </si>
  <si>
    <t>TIPOPDV_DESCRICAO</t>
  </si>
  <si>
    <t>TPMERCHAN_DESCRICAO</t>
  </si>
  <si>
    <t>DT_INCLUSAO</t>
  </si>
  <si>
    <t>DT_ATUALIZACAO</t>
  </si>
  <si>
    <t>BANDEIRA</t>
  </si>
  <si>
    <t>N LOJA</t>
  </si>
  <si>
    <t>POTENCIAL_CLIENTE</t>
  </si>
  <si>
    <t>DIAS_SEM_VISITA</t>
  </si>
  <si>
    <t>A</t>
  </si>
  <si>
    <t>JENIFER SANTOS</t>
  </si>
  <si>
    <t>17996404000180</t>
  </si>
  <si>
    <t>CONTA OPTICA</t>
  </si>
  <si>
    <t>17.996.404 ADILIO JOSE PINTO</t>
  </si>
  <si>
    <t>OTICA BENDITOS OLHOS (4741)</t>
  </si>
  <si>
    <t>ADILIOJOSEPINTO@GMAIL.COM</t>
  </si>
  <si>
    <t>RUA PAULO ROBERTO SULZBACH</t>
  </si>
  <si>
    <t>30</t>
  </si>
  <si>
    <t>LETRA E</t>
  </si>
  <si>
    <t>AUTODROMO</t>
  </si>
  <si>
    <t>CHAPECO</t>
  </si>
  <si>
    <t>SC</t>
  </si>
  <si>
    <t>EVENTUAL</t>
  </si>
  <si>
    <t>Farmacia</t>
  </si>
  <si>
    <t>Não visitado</t>
  </si>
  <si>
    <t/>
  </si>
  <si>
    <t>48919808000101</t>
  </si>
  <si>
    <t>48.919.808 SIMONE SACRAMENTO DE SOUZA</t>
  </si>
  <si>
    <t>MONI BECKER OPTICA (4698)</t>
  </si>
  <si>
    <t>BECKER.OPTICA@GMAIL.COM</t>
  </si>
  <si>
    <t>RUA DOS AIMORES</t>
  </si>
  <si>
    <t>99</t>
  </si>
  <si>
    <t>SALA 3</t>
  </si>
  <si>
    <t>PETROPOLIS</t>
  </si>
  <si>
    <t>JOINVILLE</t>
  </si>
  <si>
    <t>02274789000102</t>
  </si>
  <si>
    <t>A OCULISTA LTDA ME</t>
  </si>
  <si>
    <t>SUPER OPTICA SAO JOSE (278)</t>
  </si>
  <si>
    <t>produtos@oticasaojose.com</t>
  </si>
  <si>
    <t>RUA DO PRINCIPE</t>
  </si>
  <si>
    <t>523</t>
  </si>
  <si>
    <t>TERREO</t>
  </si>
  <si>
    <t>CENTRO</t>
  </si>
  <si>
    <t>NÃO É VARILUX ESPECIALISTA</t>
  </si>
  <si>
    <t>NA</t>
  </si>
  <si>
    <t>FOCO KODAK 2</t>
  </si>
  <si>
    <t>34037867000133</t>
  </si>
  <si>
    <t>A. BHERING GOUVEA</t>
  </si>
  <si>
    <t>OTICA BHERING (4160)</t>
  </si>
  <si>
    <t>dribhering08@gmail.com</t>
  </si>
  <si>
    <t>RUA ANA MARIA RODRIGUES DE FREITAS</t>
  </si>
  <si>
    <t>556</t>
  </si>
  <si>
    <t>NOSSA SENHORA APARECIDA</t>
  </si>
  <si>
    <t>ITAPOÁ</t>
  </si>
  <si>
    <t>3</t>
  </si>
  <si>
    <t>02976138000156</t>
  </si>
  <si>
    <t>ADEMAR LENTES E ARMACOES DE OCULOS LTDA ME</t>
  </si>
  <si>
    <t>OTICA BEATRIZ (1201)</t>
  </si>
  <si>
    <t>oticabeatrizfinanceiro@gmail.com</t>
  </si>
  <si>
    <t>RUA ABDON BATISTA</t>
  </si>
  <si>
    <t>214</t>
  </si>
  <si>
    <t>SALA 07</t>
  </si>
  <si>
    <t>FOCO VARILUX</t>
  </si>
  <si>
    <t>82472341000124</t>
  </si>
  <si>
    <t>ADILSON LUIS TRENTO ME</t>
  </si>
  <si>
    <t>RELOJOARIA SAFIRA (2019)</t>
  </si>
  <si>
    <t>relojoaria_safira@live.com</t>
  </si>
  <si>
    <t>AVENIDA MANOEL RIBAS</t>
  </si>
  <si>
    <t>236</t>
  </si>
  <si>
    <t>LOJA</t>
  </si>
  <si>
    <t>UNIÃO DA VITÓRIA</t>
  </si>
  <si>
    <t>PR</t>
  </si>
  <si>
    <t>105</t>
  </si>
  <si>
    <t>76841105000135</t>
  </si>
  <si>
    <t>AIRTON GIORGI</t>
  </si>
  <si>
    <t>OPTICA OMEGA (10)</t>
  </si>
  <si>
    <t>AIRTONGIORGI@GMAIL.COM</t>
  </si>
  <si>
    <t>AVENIDA SALOMAO C. ALMEIDA</t>
  </si>
  <si>
    <t>77</t>
  </si>
  <si>
    <t>CURITIBANOS</t>
  </si>
  <si>
    <t>S</t>
  </si>
  <si>
    <t>N</t>
  </si>
  <si>
    <t>EL360</t>
  </si>
  <si>
    <t>67</t>
  </si>
  <si>
    <t>13845019000180</t>
  </si>
  <si>
    <t>ALTEMIR ANTONIO BIGOLIN</t>
  </si>
  <si>
    <t>OPTICA VISAO (4159)</t>
  </si>
  <si>
    <t>VISAOOPTICA@IBEST.COM.BR</t>
  </si>
  <si>
    <t>MAURICIO CARDOSO</t>
  </si>
  <si>
    <t>73</t>
  </si>
  <si>
    <t>ERECHIM</t>
  </si>
  <si>
    <t>RS</t>
  </si>
  <si>
    <t>04921483000118</t>
  </si>
  <si>
    <t>AMAGI COMERCIO DE PRODUTOS OPTICOS LTDA ME</t>
  </si>
  <si>
    <t>OTICA OLHO MAGICO (145)</t>
  </si>
  <si>
    <t>oticaolhomagico@terra.com.br</t>
  </si>
  <si>
    <t>RUA LAGES</t>
  </si>
  <si>
    <t>533</t>
  </si>
  <si>
    <t>VARILUX ESPECIALISTA PLATINE</t>
  </si>
  <si>
    <t>FOCO VARILUX DIGITAL</t>
  </si>
  <si>
    <t>46</t>
  </si>
  <si>
    <t>47585925000105</t>
  </si>
  <si>
    <t>ANA KIFER OTICA E RELOJOARIA LTDA</t>
  </si>
  <si>
    <t>EXCLUSIVE OTICA E RELOJOARIA (4561)</t>
  </si>
  <si>
    <t>EXCLUSIVEOTICA.MH@GMAIL.COM</t>
  </si>
  <si>
    <t>7 DE SETEMBRO</t>
  </si>
  <si>
    <t>400</t>
  </si>
  <si>
    <t>SALA 03</t>
  </si>
  <si>
    <t>MARAVILHA</t>
  </si>
  <si>
    <t>04373935000174</t>
  </si>
  <si>
    <t>ANA LUCIA DOBNER ME</t>
  </si>
  <si>
    <t>JOALHERIA OPELT (794)</t>
  </si>
  <si>
    <t>marcopelt@hotmail.com</t>
  </si>
  <si>
    <t>109</t>
  </si>
  <si>
    <t>OUTROS</t>
  </si>
  <si>
    <t>33345569000148</t>
  </si>
  <si>
    <t>ANA PAULA COMERCIO DE OPTICA EIRELI</t>
  </si>
  <si>
    <t>OTICA AURORA (4277)</t>
  </si>
  <si>
    <t>ANAPAULA.AURORA@HOTMAIL.COM</t>
  </si>
  <si>
    <t>RUA FATIMA</t>
  </si>
  <si>
    <t>807</t>
  </si>
  <si>
    <t>SALA 01 B</t>
  </si>
  <si>
    <t>FATIMA</t>
  </si>
  <si>
    <t>140</t>
  </si>
  <si>
    <t>11341596000100</t>
  </si>
  <si>
    <t>ANA PAULA DE MEDEIROS - ME</t>
  </si>
  <si>
    <t>OTICA AURORA (3369)</t>
  </si>
  <si>
    <t>anapaula.aurora@hotmail.com</t>
  </si>
  <si>
    <t>RUA GUANABARA</t>
  </si>
  <si>
    <t>1223</t>
  </si>
  <si>
    <t>GUANABARA</t>
  </si>
  <si>
    <t>CREDENCIADO VARILUX</t>
  </si>
  <si>
    <t>157</t>
  </si>
  <si>
    <t>17075079000112</t>
  </si>
  <si>
    <t>ANDRE LUIZ LINHARES MERKLE ME</t>
  </si>
  <si>
    <t>MECA JOAIS RELOJOARIA E OPTICA (1957)</t>
  </si>
  <si>
    <t>VALDI_MECA@HOTMAIL.COM</t>
  </si>
  <si>
    <t>RUA CORONEL ANTONIO CORREA</t>
  </si>
  <si>
    <t>131</t>
  </si>
  <si>
    <t>ITAIOPOLIS</t>
  </si>
  <si>
    <t>17849361000100</t>
  </si>
  <si>
    <t>AVANTE ACESSORIOS DE MODA LTDA EPP</t>
  </si>
  <si>
    <t>CHILLI BEANS (2240)</t>
  </si>
  <si>
    <t>SIMONE.TESTONI@CHILLISC.COM.BR</t>
  </si>
  <si>
    <t>RUA ROLF WIEST</t>
  </si>
  <si>
    <t>333</t>
  </si>
  <si>
    <t>SALA 30</t>
  </si>
  <si>
    <t>BOM RETIRO</t>
  </si>
  <si>
    <t>29458091000195</t>
  </si>
  <si>
    <t>BARBARA APARECIDA DE MEDEIROS 08699927916</t>
  </si>
  <si>
    <t>OTICA AURORA (4137)</t>
  </si>
  <si>
    <t>barbara.amedeiros@outlook.com</t>
  </si>
  <si>
    <t>AVENIDA DR. NEREU RAMOS</t>
  </si>
  <si>
    <t>439</t>
  </si>
  <si>
    <t>SL28</t>
  </si>
  <si>
    <t>ROCIO GRANDE</t>
  </si>
  <si>
    <t>SAO FRANCISCO DO SUL</t>
  </si>
  <si>
    <t>26318905000106</t>
  </si>
  <si>
    <t>BARCAROL E BARROS LTDA - ME</t>
  </si>
  <si>
    <t>CENTRO OPTICO (3824)</t>
  </si>
  <si>
    <t>CENTROOTICOCHAPECO@HOTMAIL.COM</t>
  </si>
  <si>
    <t>RUA PORTO ALEGRE - E</t>
  </si>
  <si>
    <t>120</t>
  </si>
  <si>
    <t>E SALA 107</t>
  </si>
  <si>
    <t>43428582000114</t>
  </si>
  <si>
    <t>BARRETO SOUZA OTICAS LTDA</t>
  </si>
  <si>
    <t>OTICAS FEHR (4398)</t>
  </si>
  <si>
    <t>OTICASCAROLINEPRIME@GMAIL.COM</t>
  </si>
  <si>
    <t>RUA OTTO PFUETZENREUTER</t>
  </si>
  <si>
    <t>443</t>
  </si>
  <si>
    <t>SALA 01</t>
  </si>
  <si>
    <t>COSTA E SILVA</t>
  </si>
  <si>
    <t>0</t>
  </si>
  <si>
    <t>35757503000190</t>
  </si>
  <si>
    <t>BASE COMERCIO DE PRODUTOS OPTICOS LTDA</t>
  </si>
  <si>
    <t>OTICAS SEE (4732)</t>
  </si>
  <si>
    <t>OTICASBASE@GMAIL.COM</t>
  </si>
  <si>
    <t>BRASIL</t>
  </si>
  <si>
    <t>647</t>
  </si>
  <si>
    <t>SALA 2</t>
  </si>
  <si>
    <t>PALMITOS</t>
  </si>
  <si>
    <t>79</t>
  </si>
  <si>
    <t>39517870000259</t>
  </si>
  <si>
    <t>BECKER E BECKER COM E SERV DE REPARO DE OCULOS LTDA</t>
  </si>
  <si>
    <t>ENGENHEIRO DOS OCULOS (4677)</t>
  </si>
  <si>
    <t>ENGENHEIRODOSOCULOSNF@GMAIL.COM</t>
  </si>
  <si>
    <t>RUA MARIO LOBO</t>
  </si>
  <si>
    <t>181</t>
  </si>
  <si>
    <t>LOJA 02</t>
  </si>
  <si>
    <t>7</t>
  </si>
  <si>
    <t>78668183000105</t>
  </si>
  <si>
    <t>BEHLING JOALHEIRO LTDA ME</t>
  </si>
  <si>
    <t>BEHLING JOALHEIRO LTDA ME (20)</t>
  </si>
  <si>
    <t>nfe.behling@gmail.com</t>
  </si>
  <si>
    <t>AVENIDA GETULIO VARGAS</t>
  </si>
  <si>
    <t>611</t>
  </si>
  <si>
    <t>CORUPA</t>
  </si>
  <si>
    <t>4</t>
  </si>
  <si>
    <t>09097879000106</t>
  </si>
  <si>
    <t>BELLA OPTICA LTDA ME</t>
  </si>
  <si>
    <t>BELLA OPTICA (1365)</t>
  </si>
  <si>
    <t>bella.optica@hotmail.com</t>
  </si>
  <si>
    <t>63</t>
  </si>
  <si>
    <t>11971623000128</t>
  </si>
  <si>
    <t>BELLA OTICA LTDA</t>
  </si>
  <si>
    <t>BELLA OTICA LTDA (1902)</t>
  </si>
  <si>
    <t>BELLA.GRIFF@HOTMAIL.COM</t>
  </si>
  <si>
    <t>RUA JORGE ZIPPERER</t>
  </si>
  <si>
    <t>161</t>
  </si>
  <si>
    <t>SALA 11</t>
  </si>
  <si>
    <t>RIO NEGRINHO</t>
  </si>
  <si>
    <t>11971623000209</t>
  </si>
  <si>
    <t>BELLA OTICA LTDA ME</t>
  </si>
  <si>
    <t>BELLA OTICA LTDA ME (2083)</t>
  </si>
  <si>
    <t>BELLAOTICA.PIRABEIRABA@HOTMAIL.COM</t>
  </si>
  <si>
    <t>RUA OLAVO BILAC</t>
  </si>
  <si>
    <t>288</t>
  </si>
  <si>
    <t>CENTRO (PIRABEIRABA)</t>
  </si>
  <si>
    <t>08967793000124</t>
  </si>
  <si>
    <t>BENIL COMERCIO DE ARTIGOS OTICOS LTDA ME</t>
  </si>
  <si>
    <t>OPTICA BIANKA (1345)</t>
  </si>
  <si>
    <t>2220</t>
  </si>
  <si>
    <t>20885396000109</t>
  </si>
  <si>
    <t>BENTO LOURENCO GOMES - ME</t>
  </si>
  <si>
    <t>OTICA BIANKA (2231)</t>
  </si>
  <si>
    <t>optobentolgomes@hotmail.com</t>
  </si>
  <si>
    <t>RUA TUIUTI</t>
  </si>
  <si>
    <t>2219</t>
  </si>
  <si>
    <t>AVENTUREIRO</t>
  </si>
  <si>
    <t>10</t>
  </si>
  <si>
    <t>14645358000186</t>
  </si>
  <si>
    <t>BENVINDA ACESSORIOS DE MODA EIRELI</t>
  </si>
  <si>
    <t>CHILLI BEANS (4192)</t>
  </si>
  <si>
    <t>jaragua.breithaupt@chillisc.com.br</t>
  </si>
  <si>
    <t>268</t>
  </si>
  <si>
    <t>LJ157B</t>
  </si>
  <si>
    <t>JARAGUA DO SUL</t>
  </si>
  <si>
    <t>14034449000185</t>
  </si>
  <si>
    <t>BIANCA RODRIGUES GOMES</t>
  </si>
  <si>
    <t>OPTICA BIANKA (4352)</t>
  </si>
  <si>
    <t>OPTICABIANKA13@HOTMAIL.COM</t>
  </si>
  <si>
    <t>04305659000107</t>
  </si>
  <si>
    <t>BISPO JOALHEIRO LTDA</t>
  </si>
  <si>
    <t>BISPO JOALHEIRO LTDA (386)</t>
  </si>
  <si>
    <t>bispo.joalheiro@hotmail.com</t>
  </si>
  <si>
    <t>RUA FELIPE SCHMIDT</t>
  </si>
  <si>
    <t>82</t>
  </si>
  <si>
    <t>CENTRO I BAIXADA</t>
  </si>
  <si>
    <t>MAFRA</t>
  </si>
  <si>
    <t>05438710000111</t>
  </si>
  <si>
    <t>BLESS OTICA LTDA ME</t>
  </si>
  <si>
    <t>BLESS OTICA (323)</t>
  </si>
  <si>
    <t>RUA ITAJAI</t>
  </si>
  <si>
    <t>165</t>
  </si>
  <si>
    <t>SALA 05</t>
  </si>
  <si>
    <t>31933664000137</t>
  </si>
  <si>
    <t>BOGADO &amp; PETRY LTDA</t>
  </si>
  <si>
    <t>MERCADAO DOS OCULOS (4239)</t>
  </si>
  <si>
    <t>rs-trespassos@mercadaodosoculos.com.br</t>
  </si>
  <si>
    <t>AVENIDA JULIO DE CASTILHOS</t>
  </si>
  <si>
    <t>370</t>
  </si>
  <si>
    <t>SALA A</t>
  </si>
  <si>
    <t>TRÊS PASSOS</t>
  </si>
  <si>
    <t>VARILUX ESPECIALISTA SELECT</t>
  </si>
  <si>
    <t>130</t>
  </si>
  <si>
    <t>04594718000104</t>
  </si>
  <si>
    <t>BONFANTE E ZANCHETT RELOJOARIA E JOALHERIA LTDA</t>
  </si>
  <si>
    <t>OTICA MYLAN (1337)</t>
  </si>
  <si>
    <t>mylan.adm@hotmail.com</t>
  </si>
  <si>
    <t>RUA MARECHAL DEODORO DA FONSECA</t>
  </si>
  <si>
    <t>254 E</t>
  </si>
  <si>
    <t>CHAPECÓ</t>
  </si>
  <si>
    <t>93034304000150</t>
  </si>
  <si>
    <t>BORDIGNON E POLUCHOWSKI LTDA</t>
  </si>
  <si>
    <t>BORDIGNON E POLUCHOWSKI LTDA (41)</t>
  </si>
  <si>
    <t>RUA DO COMERCIO</t>
  </si>
  <si>
    <t>789</t>
  </si>
  <si>
    <t>NAO INFORMADO</t>
  </si>
  <si>
    <t>FREDERICO WESTPHALEN</t>
  </si>
  <si>
    <t>44203168000170</t>
  </si>
  <si>
    <t>BORTOLI &amp; BREM JOALHERIA E OTICA LTDA</t>
  </si>
  <si>
    <t>LUIZA CLASS OTICA E JOALHERIA (4434)</t>
  </si>
  <si>
    <t>LUIZACLASSOTICA@GMAIL.COM</t>
  </si>
  <si>
    <t>RUA MARECHAL JOSÉ B. BORMANN</t>
  </si>
  <si>
    <t>227</t>
  </si>
  <si>
    <t>LETRA:E</t>
  </si>
  <si>
    <t>10706866000680</t>
  </si>
  <si>
    <t>BOUTIQUE COM DE OCULOS LTDA</t>
  </si>
  <si>
    <t>SUPER OPTICA SAO JOSE (2121)</t>
  </si>
  <si>
    <t>NFEBOUTIQUE@OTICASAOJOSE.COM.BR</t>
  </si>
  <si>
    <t>434</t>
  </si>
  <si>
    <t>05030583000206</t>
  </si>
  <si>
    <t>BUENA OPTICA LTDA</t>
  </si>
  <si>
    <t>BRASOPTICA (3000)</t>
  </si>
  <si>
    <t>GUSTAVO@BRASOPTICA.COM.BR</t>
  </si>
  <si>
    <t>RUA JACOB GREMMELMNAYER</t>
  </si>
  <si>
    <t>389</t>
  </si>
  <si>
    <t>ENTRO</t>
  </si>
  <si>
    <t>GETULIO VARGAS</t>
  </si>
  <si>
    <t>05030583000460</t>
  </si>
  <si>
    <t>BUENA OTICA LTDA</t>
  </si>
  <si>
    <t>BRASOPTICA (3001)</t>
  </si>
  <si>
    <t>RUA CORONEL CHICUTA</t>
  </si>
  <si>
    <t>355</t>
  </si>
  <si>
    <t>SALA 02</t>
  </si>
  <si>
    <t>PASSO FUNDO</t>
  </si>
  <si>
    <t>05030583000117</t>
  </si>
  <si>
    <t>CENTRAL OTICA (1720)</t>
  </si>
  <si>
    <t>497</t>
  </si>
  <si>
    <t>48447826000120</t>
  </si>
  <si>
    <t>CALEBE COM VAREJISTA DE ARTIGOS DE OPTICA LTDA</t>
  </si>
  <si>
    <t>MERCADAO DOS OCULOS (4632)</t>
  </si>
  <si>
    <t>JOSUECALEBI@HOTMAIL.COM</t>
  </si>
  <si>
    <t>CELSO RAMOS</t>
  </si>
  <si>
    <t>1188</t>
  </si>
  <si>
    <t>SALA 07 E 08</t>
  </si>
  <si>
    <t>GARUVA</t>
  </si>
  <si>
    <t>80453566000108</t>
  </si>
  <si>
    <t>CALLAI E CALLAI LTDA ME</t>
  </si>
  <si>
    <t>CALLAI &amp; CALLAI LTDA ME (46)</t>
  </si>
  <si>
    <t>callaiecallai@gmail.com</t>
  </si>
  <si>
    <t>RUA CARMELO ZOCCOLI</t>
  </si>
  <si>
    <t>112</t>
  </si>
  <si>
    <t>CAPINZAL</t>
  </si>
  <si>
    <t>1</t>
  </si>
  <si>
    <t>04964470000126</t>
  </si>
  <si>
    <t>CAMATTI INDUSTRIA E COMERCIO DE JOIAS LTDA</t>
  </si>
  <si>
    <t>CAMATTI JOIAS (1352)</t>
  </si>
  <si>
    <t>CAMJOIAS@GMAIL.COM</t>
  </si>
  <si>
    <t>RUA SAO FRANCISCO DO SUL</t>
  </si>
  <si>
    <t>119</t>
  </si>
  <si>
    <t>E</t>
  </si>
  <si>
    <t>CRISTO REI</t>
  </si>
  <si>
    <t>83296947000119</t>
  </si>
  <si>
    <t>CANSIAN COMERCIO DE JOIAS EIRELI</t>
  </si>
  <si>
    <t>CANSIAN JOALHERIA E OPTICA (93)</t>
  </si>
  <si>
    <t>silvia@cansian.com.br</t>
  </si>
  <si>
    <t>AVENIDA GETULIO DORNELES VARGAS</t>
  </si>
  <si>
    <t>416</t>
  </si>
  <si>
    <t>44431520000205</t>
  </si>
  <si>
    <t>CARMEN FERRONATTO LTDA</t>
  </si>
  <si>
    <t>CHILLI BEANS (4450)</t>
  </si>
  <si>
    <t>ADM.FERRONATTOEPAZA@GMAIL.COM</t>
  </si>
  <si>
    <t>ROLF WIEST</t>
  </si>
  <si>
    <t>LOJA 107</t>
  </si>
  <si>
    <t>27921076000106</t>
  </si>
  <si>
    <t>CAROLINE FERREIRA JARDIM EIRELI</t>
  </si>
  <si>
    <t>OTICA CAROLINE (3908)</t>
  </si>
  <si>
    <t>carolineoticas@gmail.com</t>
  </si>
  <si>
    <t>RUA DOUTOR JOAO COLIN</t>
  </si>
  <si>
    <t>2500</t>
  </si>
  <si>
    <t>LOJA 07</t>
  </si>
  <si>
    <t>AMERICA</t>
  </si>
  <si>
    <t>2</t>
  </si>
  <si>
    <t>27921076000378</t>
  </si>
  <si>
    <t>CAROLINE FERREIRA JARDIM EIRELLI</t>
  </si>
  <si>
    <t>OTICAS CAROLINE IRIRIU (4114)</t>
  </si>
  <si>
    <t>oticascarolinefilial@gmail.com</t>
  </si>
  <si>
    <t>RUA GuaratinguetA</t>
  </si>
  <si>
    <t>875</t>
  </si>
  <si>
    <t>IRIRIU</t>
  </si>
  <si>
    <t>80</t>
  </si>
  <si>
    <t>04319582000205</t>
  </si>
  <si>
    <t>CASA DOS OCULOS DE DJEYSON PEDROTTI LTDA</t>
  </si>
  <si>
    <t>CASA DOS OCULOS (4428)</t>
  </si>
  <si>
    <t>FINANCEIRO.CASADOSOCULOS@OUTLOOK.COM</t>
  </si>
  <si>
    <t>RUA DO COMÉRCIO</t>
  </si>
  <si>
    <t>9</t>
  </si>
  <si>
    <t>LOJA 01</t>
  </si>
  <si>
    <t>CONCORDIA</t>
  </si>
  <si>
    <t>04319582000396</t>
  </si>
  <si>
    <t>CASA DOS OCULOS (4427)</t>
  </si>
  <si>
    <t>RUA MARECHAL DEODORO</t>
  </si>
  <si>
    <t>772</t>
  </si>
  <si>
    <t>04319582000124</t>
  </si>
  <si>
    <t>CASA DOS OCULOS DJEYSON PEDROTTI LTDA ME</t>
  </si>
  <si>
    <t>CASA DOS OCULOS DJEYSON PEDROTTI LTDA ME (761)</t>
  </si>
  <si>
    <t>968</t>
  </si>
  <si>
    <t>86757135000111</t>
  </si>
  <si>
    <t>CASSIO BELLEBONI ME</t>
  </si>
  <si>
    <t>OTICA PRECISAO (694)</t>
  </si>
  <si>
    <t>poliana@bwrcontabil.com.br</t>
  </si>
  <si>
    <t>AVENIDA BARAO DO RIO BRANCO</t>
  </si>
  <si>
    <t>474</t>
  </si>
  <si>
    <t>CAÇADOR</t>
  </si>
  <si>
    <t>01803886000840</t>
  </si>
  <si>
    <t>CENTRO INTEGRADO DE ARTIGOS LTDA</t>
  </si>
  <si>
    <t>OTICAS PRECISAO  (1977)</t>
  </si>
  <si>
    <t>CLAUDECIRPICCOLI@HOTMAIL.COM</t>
  </si>
  <si>
    <t>GETULIO DORNELES VARGAS</t>
  </si>
  <si>
    <t>#VALUE!</t>
  </si>
  <si>
    <t>ESQ R FLORIAN</t>
  </si>
  <si>
    <t>JARDIM ITALIA</t>
  </si>
  <si>
    <t>04139570000118</t>
  </si>
  <si>
    <t>CENTRO OPTICO BRILHANTE LTDA ME</t>
  </si>
  <si>
    <t>OTICA BRILHANTE (1154)</t>
  </si>
  <si>
    <t>OT.BRILHANTE@GMAIL.COM</t>
  </si>
  <si>
    <t>190</t>
  </si>
  <si>
    <t>07051715000112</t>
  </si>
  <si>
    <t>CENTRO OTICO MINERVA LTDA ME</t>
  </si>
  <si>
    <t>CENTRO OTICO MINERVA LTDA ME (629)</t>
  </si>
  <si>
    <t>minerva@mhnet.com.br</t>
  </si>
  <si>
    <t>AVENIDA SUL BRASIL</t>
  </si>
  <si>
    <t>517</t>
  </si>
  <si>
    <t>39</t>
  </si>
  <si>
    <t>92155019000125</t>
  </si>
  <si>
    <t>CENTRO OTICO REZENDE LTDA ME</t>
  </si>
  <si>
    <t>CENTRO OTICO REZENDE LTDA ME (59)</t>
  </si>
  <si>
    <t>vilneiderezende@yahoo.com.br</t>
  </si>
  <si>
    <t>AVENIDA BRASIL</t>
  </si>
  <si>
    <t>467</t>
  </si>
  <si>
    <t>BOQUEIRAO</t>
  </si>
  <si>
    <t>64</t>
  </si>
  <si>
    <t>30582673000168</t>
  </si>
  <si>
    <t>CENTRO VISUAL COMERCIO DE LENTES E ARMACOES LTDA</t>
  </si>
  <si>
    <t>CENTRO VISUAL (3920)</t>
  </si>
  <si>
    <t>centrovisualmm@hotmail.com</t>
  </si>
  <si>
    <t>RUA PORTO ALEGRE - D</t>
  </si>
  <si>
    <t>301</t>
  </si>
  <si>
    <t>31176080000164</t>
  </si>
  <si>
    <t>CENTROOPTICA RELOJOARIA OPTICA E PRESENTES</t>
  </si>
  <si>
    <t>CENTROOPTICA (3941)</t>
  </si>
  <si>
    <t>centrooptica01@hotmail.com</t>
  </si>
  <si>
    <t>RUA FREI ROGERIO</t>
  </si>
  <si>
    <t>1076</t>
  </si>
  <si>
    <t>SL 03</t>
  </si>
  <si>
    <t>CAMPOS NOVOS</t>
  </si>
  <si>
    <t>15542300000170</t>
  </si>
  <si>
    <t>CHAPECOPTICA JOALHERIA E OPTICA EIRELI ME</t>
  </si>
  <si>
    <t>JOALHERIA E OTICA AMERICA (2046)</t>
  </si>
  <si>
    <t>otica.america@gmail.com</t>
  </si>
  <si>
    <t>RUA SAO PEDRO - E</t>
  </si>
  <si>
    <t>915 -E</t>
  </si>
  <si>
    <t>SAO CRISTOVAO</t>
  </si>
  <si>
    <t>47385201000118</t>
  </si>
  <si>
    <t>CLEUZA CAMILLO 55773338904</t>
  </si>
  <si>
    <t>OTICA RIO (4609)</t>
  </si>
  <si>
    <t>OTICA.RIO@GMAIL.COM</t>
  </si>
  <si>
    <t>56</t>
  </si>
  <si>
    <t>04435093000138</t>
  </si>
  <si>
    <t>CLINICA VISUAL STEFFENS LTDA  ME</t>
  </si>
  <si>
    <t>OTICA STEFFENS (1268)</t>
  </si>
  <si>
    <t>oticasteffens@gmail.com</t>
  </si>
  <si>
    <t>RUA TRES DE MAIO</t>
  </si>
  <si>
    <t>19</t>
  </si>
  <si>
    <t>SALA 19</t>
  </si>
  <si>
    <t>44</t>
  </si>
  <si>
    <t>45665071000141</t>
  </si>
  <si>
    <t>CMX RELOJOARIA E OTICA LTDA</t>
  </si>
  <si>
    <t>OTICA OXFORD (4500)</t>
  </si>
  <si>
    <t>OTICASOLLARSBS@YAHOO.COM.BR</t>
  </si>
  <si>
    <t>RUA JORGE DIENER</t>
  </si>
  <si>
    <t>SALA B</t>
  </si>
  <si>
    <t>OXFORD</t>
  </si>
  <si>
    <t>SAO BENTO DO SUL</t>
  </si>
  <si>
    <t>04285802000146</t>
  </si>
  <si>
    <t>COELHO E COLLA COMERCIO DE JOIAS LTDA</t>
  </si>
  <si>
    <t>COELHO JOIAS  (3849)</t>
  </si>
  <si>
    <t>COELHOJOIAS@YAHOO.COM.BR</t>
  </si>
  <si>
    <t>SANTA CATARINA</t>
  </si>
  <si>
    <t>248</t>
  </si>
  <si>
    <t>CACADOR</t>
  </si>
  <si>
    <t>45693893000136</t>
  </si>
  <si>
    <t>COMERCIAL DE OCULOS A F MELO PASCOAL - LOJA II LTDA</t>
  </si>
  <si>
    <t>MERCADOTICA (4622)</t>
  </si>
  <si>
    <t>FLAVIA.PASCOAL@OTICASMERCADOTICA.COM.BR</t>
  </si>
  <si>
    <t>211</t>
  </si>
  <si>
    <t>83856633000123</t>
  </si>
  <si>
    <t>COMERCIO DE JOIAS E SEMI JOIAS SEVERGNINI</t>
  </si>
  <si>
    <t>OMEGA OPTICA E JOALHERIA (4279)</t>
  </si>
  <si>
    <t>VANCARLOSS14@GMAIL.COM</t>
  </si>
  <si>
    <t>RUA CORONEL PASSOS MAIA</t>
  </si>
  <si>
    <t>757</t>
  </si>
  <si>
    <t>XANXERÊ</t>
  </si>
  <si>
    <t>8</t>
  </si>
  <si>
    <t>04085812000138</t>
  </si>
  <si>
    <t>COMERCIO DE OTICA ELEDOIS LTDA</t>
  </si>
  <si>
    <t>BRASOPTICA (715)</t>
  </si>
  <si>
    <t>DO COMERCIO</t>
  </si>
  <si>
    <t>1294</t>
  </si>
  <si>
    <t>ED LAFAYETTI</t>
  </si>
  <si>
    <t>TAPEJARA</t>
  </si>
  <si>
    <t>04085812000308</t>
  </si>
  <si>
    <t>COMERCIO DE OTICA ELEDOIS LTDA ME</t>
  </si>
  <si>
    <t>BRASOPTICA (2199)</t>
  </si>
  <si>
    <t>BRASIL OESTE</t>
  </si>
  <si>
    <t>234</t>
  </si>
  <si>
    <t>04085812000480</t>
  </si>
  <si>
    <t>CENTRAL OTICA (2198)</t>
  </si>
  <si>
    <t>INDEPENDENCIA</t>
  </si>
  <si>
    <t>1360</t>
  </si>
  <si>
    <t>PALMEIRA DAS MISSOES</t>
  </si>
  <si>
    <t>04085832000290</t>
  </si>
  <si>
    <t>COMERCIO DE OTICA FALU LTDA</t>
  </si>
  <si>
    <t>BRASOPTICA (2194)</t>
  </si>
  <si>
    <t>AFONSO PENA</t>
  </si>
  <si>
    <t>483</t>
  </si>
  <si>
    <t>LAGOA VERMELHA</t>
  </si>
  <si>
    <t>04085832000109</t>
  </si>
  <si>
    <t>COMERCIO DE OTICA FALU LTDA (1844)</t>
  </si>
  <si>
    <t>04085799000389</t>
  </si>
  <si>
    <t>COMERCIO DE OTICA LULU LTDA</t>
  </si>
  <si>
    <t>BRASOPTICA (2197)</t>
  </si>
  <si>
    <t>BRASIL LESTE</t>
  </si>
  <si>
    <t>200</t>
  </si>
  <si>
    <t>SALA 041</t>
  </si>
  <si>
    <t>04085799000117</t>
  </si>
  <si>
    <t>BRASOPTICA (2196)</t>
  </si>
  <si>
    <t>RUA INDEPENDENCIA</t>
  </si>
  <si>
    <t>1243</t>
  </si>
  <si>
    <t>SALA 201</t>
  </si>
  <si>
    <t>85263069000160</t>
  </si>
  <si>
    <t>CONFECCOES TUNAPOLITANA LTDA ME</t>
  </si>
  <si>
    <t>CONFECCOES TUNAPOLITANA LTDA ME (1709)</t>
  </si>
  <si>
    <t>apauli2@hotmail.com</t>
  </si>
  <si>
    <t>RUA JOAO CASTILHO</t>
  </si>
  <si>
    <t>TUNAPOLIS</t>
  </si>
  <si>
    <t>37881971000106</t>
  </si>
  <si>
    <t>CORREIA &amp; JARDIM JOALHERIA E OTICA LTDA</t>
  </si>
  <si>
    <t>OTICAS CAROLINE (4179)</t>
  </si>
  <si>
    <t>angela_mfj@hotmail.com</t>
  </si>
  <si>
    <t>RUA BLUMENAU</t>
  </si>
  <si>
    <t>ED ADVILLE L 11</t>
  </si>
  <si>
    <t>14</t>
  </si>
  <si>
    <t>37881971000289</t>
  </si>
  <si>
    <t>OTICAS FEHR (4365)</t>
  </si>
  <si>
    <t>oticascarolineprime@gmail.com</t>
  </si>
  <si>
    <t>RUA SANTA CATARINA</t>
  </si>
  <si>
    <t>1147</t>
  </si>
  <si>
    <t>FLORESTA</t>
  </si>
  <si>
    <t>03453548000185</t>
  </si>
  <si>
    <t>CR CARNEIRO COMERCIO DE JOIAS LTDA</t>
  </si>
  <si>
    <t>MAGNOS JOALHERIA E OTICA (2282)</t>
  </si>
  <si>
    <t>magnosgarten@gmail.com</t>
  </si>
  <si>
    <t>LOJA 34</t>
  </si>
  <si>
    <t>16</t>
  </si>
  <si>
    <t>18758107000240</t>
  </si>
  <si>
    <t>CRIS DAIANA FONTES - ME</t>
  </si>
  <si>
    <t>OTICA DINIZ (2271)</t>
  </si>
  <si>
    <t>ESTOQUEOTICASDINIZ@GMAIL.COM</t>
  </si>
  <si>
    <t>373</t>
  </si>
  <si>
    <t>02346589000100</t>
  </si>
  <si>
    <t>CRISTAL COMERCIO DE JOIAS E RELOGIOS LTDA</t>
  </si>
  <si>
    <t>CRISTAL COMERCIO DE JOIAS E RELOGIOS LTDA (343)</t>
  </si>
  <si>
    <t>cristalrelojoaria@gmail.com</t>
  </si>
  <si>
    <t>RUA QUINZE DE NOVEMBRO</t>
  </si>
  <si>
    <t>418</t>
  </si>
  <si>
    <t>05341090000874</t>
  </si>
  <si>
    <t>CRISTAL OTICA LTDA</t>
  </si>
  <si>
    <t>CRISTAL OTICA LOJA 8 (3994)</t>
  </si>
  <si>
    <t>LOJA8@CRISTALOTICA.COM</t>
  </si>
  <si>
    <t>RUA ALMIRANTE TAMANDARÉ</t>
  </si>
  <si>
    <t>445</t>
  </si>
  <si>
    <t>SAO MIGUEL DO OESTE</t>
  </si>
  <si>
    <t>74</t>
  </si>
  <si>
    <t>05341090000289</t>
  </si>
  <si>
    <t>CRISTAL OTICA LTDA ME</t>
  </si>
  <si>
    <t>CRISTAL OTICA LTDA ME (1860)</t>
  </si>
  <si>
    <t>FERNANDO MACHADO</t>
  </si>
  <si>
    <t>4000</t>
  </si>
  <si>
    <t>LETRA D LOJA 55</t>
  </si>
  <si>
    <t>LIDER</t>
  </si>
  <si>
    <t>05341090000440</t>
  </si>
  <si>
    <t>CRISTAL OTICA LTDA ME (2101)</t>
  </si>
  <si>
    <t>LOJA4@CRISTALOTICA.COM</t>
  </si>
  <si>
    <t>RUA JOÃO PESSOA</t>
  </si>
  <si>
    <t>1808</t>
  </si>
  <si>
    <t>S 1002 DN MARIA</t>
  </si>
  <si>
    <t>PINHALZINHO</t>
  </si>
  <si>
    <t>05341090000602</t>
  </si>
  <si>
    <t>CRISTAL OTICA (3840)</t>
  </si>
  <si>
    <t>loja6@cristalotica.com</t>
  </si>
  <si>
    <t>RUA ITALIA</t>
  </si>
  <si>
    <t>VARILUX ESPECIALISTA PREMIER</t>
  </si>
  <si>
    <t>05341090000360</t>
  </si>
  <si>
    <t>CRISTAL OTICA (1984)</t>
  </si>
  <si>
    <t>loja3@cristalotica.com</t>
  </si>
  <si>
    <t>AVENIDA SENADOR ATTILIO  F.X FONTANA</t>
  </si>
  <si>
    <t>2321</t>
  </si>
  <si>
    <t>EFAPI</t>
  </si>
  <si>
    <t>05341090000521</t>
  </si>
  <si>
    <t>CRISTAL OTICA XANXERE</t>
  </si>
  <si>
    <t>CRISTAL OTICA (2173)</t>
  </si>
  <si>
    <t>financeiro1@cristalotica.com</t>
  </si>
  <si>
    <t>RUA R MARECHAL BORMANN</t>
  </si>
  <si>
    <t>75</t>
  </si>
  <si>
    <t>05341090000106</t>
  </si>
  <si>
    <t>CRISTAL OTICAS LTDA ME</t>
  </si>
  <si>
    <t>CRISTAL OTICAS LTDA ME (261)</t>
  </si>
  <si>
    <t>cristalotica_daniela@hotmail.com</t>
  </si>
  <si>
    <t>RUA PORTO ALEGRE</t>
  </si>
  <si>
    <t>20</t>
  </si>
  <si>
    <t>03759955000204</t>
  </si>
  <si>
    <t>CRISTALLOS OPTICA E RELOJOARIA LTDA ME</t>
  </si>
  <si>
    <t>CRISTALLOS OPTICA E RELOJOARIA LTDA ME (1310)</t>
  </si>
  <si>
    <t>cristallos.sbs@gmail.com</t>
  </si>
  <si>
    <t>RUA DOM PEDRO II</t>
  </si>
  <si>
    <t>275</t>
  </si>
  <si>
    <t>SL 04</t>
  </si>
  <si>
    <t>17</t>
  </si>
  <si>
    <t>25449151000152</t>
  </si>
  <si>
    <t>CRISTIANO LUIZ DA ROSA 04983100946</t>
  </si>
  <si>
    <t>CRISTIANO LUIZ DA ROSA 04983100946 (12654)</t>
  </si>
  <si>
    <t>comunicacao@repro.com.br</t>
  </si>
  <si>
    <t>RUA ANTONIO BRUNETTO</t>
  </si>
  <si>
    <t>34</t>
  </si>
  <si>
    <t>30077455000176</t>
  </si>
  <si>
    <t>DANIELE ECKER BIOLCHI</t>
  </si>
  <si>
    <t>IMPERIAL JOIAS (4247)</t>
  </si>
  <si>
    <t>JOIASIMPERIAL@GMAIL.COM</t>
  </si>
  <si>
    <t>560</t>
  </si>
  <si>
    <t>SALA 2304</t>
  </si>
  <si>
    <t>03994770000195</t>
  </si>
  <si>
    <t>DARCI MASSUCATO ME</t>
  </si>
  <si>
    <t>DARCI MASSUCATO ME (1214)</t>
  </si>
  <si>
    <t>opticamultifocos@bol.com.br</t>
  </si>
  <si>
    <t>RUA SETE DE SETEMBRO</t>
  </si>
  <si>
    <t>JOAÇABA</t>
  </si>
  <si>
    <t>12485581000188</t>
  </si>
  <si>
    <t>DEBORA CRISTINA DOS SANTOS DE SIQUEIRA ME</t>
  </si>
  <si>
    <t>DEBORA CRISTINA DOS SANTOS DE SIQUEIRA ME (2077)</t>
  </si>
  <si>
    <t>6919</t>
  </si>
  <si>
    <t>VILA NOVA</t>
  </si>
  <si>
    <t>18483755000150</t>
  </si>
  <si>
    <t>DIEGO FELIPE DE CARVALHO DE OLIVEIRA</t>
  </si>
  <si>
    <t>GEROR (4156)</t>
  </si>
  <si>
    <t>geror.jlle@gmail.com</t>
  </si>
  <si>
    <t>AVENIDA ROLF WIEST</t>
  </si>
  <si>
    <t>QUIOSQ 25</t>
  </si>
  <si>
    <t>09020501000104</t>
  </si>
  <si>
    <t>DIEGO GELLER E CIA LTDA</t>
  </si>
  <si>
    <t>OTICA HORA CERTA (1364)</t>
  </si>
  <si>
    <t>diegogeller@hotmail.com</t>
  </si>
  <si>
    <t>102</t>
  </si>
  <si>
    <t>SÃO MIGUEL DO OESTE</t>
  </si>
  <si>
    <t>07644279000195</t>
  </si>
  <si>
    <t>DIGIOTICA OPTICA E JOALHERIA EIRELI</t>
  </si>
  <si>
    <t>DIGITUS JOALHERIA E OPTICA (1836)</t>
  </si>
  <si>
    <t>digitusfinanceiro@gmail.com</t>
  </si>
  <si>
    <t>RUA 10 DE NOVEMBRO</t>
  </si>
  <si>
    <t>1030</t>
  </si>
  <si>
    <t>XAXIM</t>
  </si>
  <si>
    <t>49</t>
  </si>
  <si>
    <t>84686310000100</t>
  </si>
  <si>
    <t>DISTRIBUIDORA FOTO RAIO X LTDA</t>
  </si>
  <si>
    <t>OTICA BOA VISTA (91)</t>
  </si>
  <si>
    <t>oticaboavista@oticaboavista.com.br</t>
  </si>
  <si>
    <t>RUA R VISCONDE DE TAUNAY</t>
  </si>
  <si>
    <t>235</t>
  </si>
  <si>
    <t>ANDAR 2 L 89</t>
  </si>
  <si>
    <t>95096509000196</t>
  </si>
  <si>
    <t>DOUGLAS B. AQUINO ME</t>
  </si>
  <si>
    <t>DOUGLAS B. AQUINO ME (548)</t>
  </si>
  <si>
    <t>opticadouglas@hotmail.com</t>
  </si>
  <si>
    <t>506</t>
  </si>
  <si>
    <t>MENSAL</t>
  </si>
  <si>
    <t>02655979000161</t>
  </si>
  <si>
    <t>DULCE MARIA SANTI ME</t>
  </si>
  <si>
    <t>DULCE MARIA SANTI ME (1137)</t>
  </si>
  <si>
    <t>orcoplan@netuno.com.br</t>
  </si>
  <si>
    <t>RUA FELIPE SCHIMIDT</t>
  </si>
  <si>
    <t>873</t>
  </si>
  <si>
    <t>15</t>
  </si>
  <si>
    <t>23108423000125</t>
  </si>
  <si>
    <t>DW OTICA LTDA ME</t>
  </si>
  <si>
    <t>FABRICA DE OCULOS  (2268)</t>
  </si>
  <si>
    <t>FABRICADEOCULOSESCRITORIO@GMAIL.COM</t>
  </si>
  <si>
    <t>391</t>
  </si>
  <si>
    <t>LETRA D EDIF ZA</t>
  </si>
  <si>
    <t>24</t>
  </si>
  <si>
    <t>29113306000136</t>
  </si>
  <si>
    <t>EDSON LEMOS DOS SANTOS - EPP</t>
  </si>
  <si>
    <t>MARIELLA - A CASA DOS OCULOS (3847)</t>
  </si>
  <si>
    <t>mariellaacasadosoculos@hotmail.com</t>
  </si>
  <si>
    <t>RUA SALOMAO CARNEIRO ALMEIDA</t>
  </si>
  <si>
    <t>800</t>
  </si>
  <si>
    <t>44553404000188</t>
  </si>
  <si>
    <t>ELIANE LAZZARI</t>
  </si>
  <si>
    <t>MERCADAO DOS OCULOS (4530)</t>
  </si>
  <si>
    <t>SC-JOINVILLE02@MERCADAODOSOCULOS.COM.BR</t>
  </si>
  <si>
    <t>226</t>
  </si>
  <si>
    <t>114</t>
  </si>
  <si>
    <t>32806718000166</t>
  </si>
  <si>
    <t>ELTON GROSSKOPF 10477982980</t>
  </si>
  <si>
    <t>OPTICA E RELOJOARIA VERSATIL (3983)</t>
  </si>
  <si>
    <t>oticaoutletkobrasol@gmail.com</t>
  </si>
  <si>
    <t>AVENIDA 22 DE JULHO</t>
  </si>
  <si>
    <t>1056</t>
  </si>
  <si>
    <t>IRINEÓPOLIS</t>
  </si>
  <si>
    <t>41449421000181</t>
  </si>
  <si>
    <t>EMANUELA CARVALHO</t>
  </si>
  <si>
    <t>OTICAS LELA CARVALHO (4374)</t>
  </si>
  <si>
    <t>LOJA02PRECISAO@GMAIL.COM</t>
  </si>
  <si>
    <t>241</t>
  </si>
  <si>
    <t>08363310000182</t>
  </si>
  <si>
    <t>EMERSON CARDOSO MARQUES E CIA LTDA ME</t>
  </si>
  <si>
    <t>OTICA CACADORENSE (953)</t>
  </si>
  <si>
    <t>oticacacadorense@conection.com.br</t>
  </si>
  <si>
    <t>496</t>
  </si>
  <si>
    <t>23662140000120</t>
  </si>
  <si>
    <t>EMMY KARINE PYDD</t>
  </si>
  <si>
    <t>BELLA OPTICA (2292)</t>
  </si>
  <si>
    <t>CONTATO@BELLAOPTICA.COM.BR</t>
  </si>
  <si>
    <t>RUA REINOLDO RAU</t>
  </si>
  <si>
    <t>632</t>
  </si>
  <si>
    <t>79304358000168</t>
  </si>
  <si>
    <t>EMPREENDIMENTOS SUISSA LTDA ME</t>
  </si>
  <si>
    <t>RELOJOARIA SUISSA (716)</t>
  </si>
  <si>
    <t>e.r.j.o.suissa@gmail.com</t>
  </si>
  <si>
    <t>RUA VIDAL RAMOS</t>
  </si>
  <si>
    <t>436</t>
  </si>
  <si>
    <t>CANOINHAS</t>
  </si>
  <si>
    <t>15639577000549</t>
  </si>
  <si>
    <t>ERNANI LUIZ RENOSTO</t>
  </si>
  <si>
    <t>NOVA OTICA (3906)</t>
  </si>
  <si>
    <t>ERNANI.OTICA@HOTMAIL.COM</t>
  </si>
  <si>
    <t>RUA MAJOR SATIRO BITTENCOURT</t>
  </si>
  <si>
    <t>13</t>
  </si>
  <si>
    <t>ERVAL VELHO</t>
  </si>
  <si>
    <t>33932889000102</t>
  </si>
  <si>
    <t>EVA MARIA GRAZIK DOS SANTOS 78696577949</t>
  </si>
  <si>
    <t>OTICA E RELOJOARIA PRINCESA (4134)</t>
  </si>
  <si>
    <t>evamariagrazik@gmail.com</t>
  </si>
  <si>
    <t>RUA IRIRIU</t>
  </si>
  <si>
    <t>1862</t>
  </si>
  <si>
    <t>48422801000171</t>
  </si>
  <si>
    <t>EYES COMERCIO DE PRODUTOS OPTICOS LTDA</t>
  </si>
  <si>
    <t>OTICAS + VISAO (4648)</t>
  </si>
  <si>
    <t>LIMA-MARCO@HOTMAIL.COM</t>
  </si>
  <si>
    <t>RUA CELESTINO ESTACIO DA MAIA</t>
  </si>
  <si>
    <t>SALA 08</t>
  </si>
  <si>
    <t>VOLTA REDONDA</t>
  </si>
  <si>
    <t>ARAQUARI</t>
  </si>
  <si>
    <t>35471615000180</t>
  </si>
  <si>
    <t>FABIANA DE OLIVEIRA RAMOS</t>
  </si>
  <si>
    <t>OTICA GRAU (4106)</t>
  </si>
  <si>
    <t>sistema.marcel@gmail.com</t>
  </si>
  <si>
    <t>RUA RUA GETULIO VARGAS</t>
  </si>
  <si>
    <t>85</t>
  </si>
  <si>
    <t>15751596000139</t>
  </si>
  <si>
    <t>FABIO M3 RELOJOARIA E OTICA LTDA ME</t>
  </si>
  <si>
    <t>OTICA PUPILA (1915)</t>
  </si>
  <si>
    <t>oticapupilaltda@hotmail.com</t>
  </si>
  <si>
    <t>PIRABEIRABA</t>
  </si>
  <si>
    <t>02328020000111</t>
  </si>
  <si>
    <t>FACIAL COMERCIO DE PRODUTOS OPTICOS EIRELI  EPP</t>
  </si>
  <si>
    <t>FACIAL MARIN.LOB (702)</t>
  </si>
  <si>
    <t>marinho@oticafacial.com.br</t>
  </si>
  <si>
    <t>RUA DOUTOR MARINHO LOBO</t>
  </si>
  <si>
    <t>02328020000200</t>
  </si>
  <si>
    <t>FACIAL COMERCIO PRODUTOS OPTICOS LTDA ME</t>
  </si>
  <si>
    <t>OTICA FACIAL (1699)</t>
  </si>
  <si>
    <t>mariolobo@oticafacial.com.br</t>
  </si>
  <si>
    <t>660</t>
  </si>
  <si>
    <t>SALA 04</t>
  </si>
  <si>
    <t>02251646000177</t>
  </si>
  <si>
    <t>FAST PARTS PROTOTIPOS LTDA</t>
  </si>
  <si>
    <t>FAST PARS PROTOTIPOS LTDA (1245)</t>
  </si>
  <si>
    <t>fastparts@fastparts.com.br</t>
  </si>
  <si>
    <t>RUA MANOEL DA LUZ FONTES</t>
  </si>
  <si>
    <t>33</t>
  </si>
  <si>
    <t>32023828000151</t>
  </si>
  <si>
    <t>FERNANDA ALEXIA DA CONCEICAO 07119912941</t>
  </si>
  <si>
    <t>OTICA ERVINO (4681)</t>
  </si>
  <si>
    <t>OTICAERVINO@YAHOO.COM</t>
  </si>
  <si>
    <t>RUA BARRA VELHA</t>
  </si>
  <si>
    <t>1450</t>
  </si>
  <si>
    <t>SALA 1</t>
  </si>
  <si>
    <t>PRAIA DO ERVINO</t>
  </si>
  <si>
    <t>35744298000200</t>
  </si>
  <si>
    <t>FERREIRA E FILHO MH OTICA E RELOJOARIA LTDA</t>
  </si>
  <si>
    <t>OTICAS RECRIS (4696)</t>
  </si>
  <si>
    <t>SAOMIGUELDO@OTICASRECRIS.COM</t>
  </si>
  <si>
    <t>RUA ALMIRANTE TAMANDARE</t>
  </si>
  <si>
    <t>45</t>
  </si>
  <si>
    <t>123</t>
  </si>
  <si>
    <t>42186279000190</t>
  </si>
  <si>
    <t>FERREIRA E FILHO OTICA E RELOJOARIA LTDA</t>
  </si>
  <si>
    <t>NOVA OTICA PORTELA (4364)</t>
  </si>
  <si>
    <t>NOVAOTICAPORTELA@GMAIL.COM</t>
  </si>
  <si>
    <t>RUA TAPUIAS</t>
  </si>
  <si>
    <t>372</t>
  </si>
  <si>
    <t>TENENTE PORTELA</t>
  </si>
  <si>
    <t>35744298000129</t>
  </si>
  <si>
    <t>FERREIRA E RIBAS OTICA E RELOJOARIA LTDA</t>
  </si>
  <si>
    <t>FABRICA DE OCULOS MH (4102)</t>
  </si>
  <si>
    <t>fabricadeoculosmh@gmail.com</t>
  </si>
  <si>
    <t>RUA AVENIDA ARAUCARIA</t>
  </si>
  <si>
    <t>310</t>
  </si>
  <si>
    <t>SALA 102</t>
  </si>
  <si>
    <t>14685298000125</t>
  </si>
  <si>
    <t>FLAVIO J.PEREIRA ME</t>
  </si>
  <si>
    <t>OTICA DO FOFINHO (1870)</t>
  </si>
  <si>
    <t>flaviootico@hotmail.com</t>
  </si>
  <si>
    <t>RUA BRASIL</t>
  </si>
  <si>
    <t>412</t>
  </si>
  <si>
    <t>100</t>
  </si>
  <si>
    <t>02625402000107</t>
  </si>
  <si>
    <t>FOTO OPTICA VISAO PERFEITA LTDA ME</t>
  </si>
  <si>
    <t>FOTO OPTICA VISAO PERFEITA LTDA ME (1153)</t>
  </si>
  <si>
    <t>kruger@krugertime.com.br</t>
  </si>
  <si>
    <t>RUA NOVE DE MARCO</t>
  </si>
  <si>
    <t>465</t>
  </si>
  <si>
    <t>51152378000141</t>
  </si>
  <si>
    <t>FRANCA RELOJOARIA E OTICA LTDA</t>
  </si>
  <si>
    <t>FRANCA RELOJOARIA E OTICA (4752)</t>
  </si>
  <si>
    <t>FRANCARELOJOARIAEOTICA@GMAIL.COM</t>
  </si>
  <si>
    <t>RUA GETULIO VARGAS</t>
  </si>
  <si>
    <t>425</t>
  </si>
  <si>
    <t>08281612000101</t>
  </si>
  <si>
    <t>FRANCIANE DA SILVA PEREIRA OTICA ME</t>
  </si>
  <si>
    <t>OTICA LUMINI (2150)</t>
  </si>
  <si>
    <t>oticalumini@hotmail.com</t>
  </si>
  <si>
    <t>RUA AV ANDRE RODRIGUES DE FREITAS</t>
  </si>
  <si>
    <t>997</t>
  </si>
  <si>
    <t>BALNEARIO PEROLA</t>
  </si>
  <si>
    <t>52</t>
  </si>
  <si>
    <t>27613403000162</t>
  </si>
  <si>
    <t>G A PRODUTOS OPTICOS LTDA - ME</t>
  </si>
  <si>
    <t>ÓTICA ZARO (3779)</t>
  </si>
  <si>
    <t>OTICASZARO@GMAIL.COM</t>
  </si>
  <si>
    <t>615</t>
  </si>
  <si>
    <t>13024800000194</t>
  </si>
  <si>
    <t>GASPAMELO JOALHERIA LTDA</t>
  </si>
  <si>
    <t>TONI JOALHERIA (1808)</t>
  </si>
  <si>
    <t>otica_tonipzo@hotmail.com</t>
  </si>
  <si>
    <t>AVENIDA BELEM</t>
  </si>
  <si>
    <t>1415</t>
  </si>
  <si>
    <t>23009534000184</t>
  </si>
  <si>
    <t>GH PRODUTOS OTICOS EIRELI</t>
  </si>
  <si>
    <t>SIDY RELOJOARIA E OTICA (4014)</t>
  </si>
  <si>
    <t>contato@sidyrelojoariaeotica.com.br</t>
  </si>
  <si>
    <t>594</t>
  </si>
  <si>
    <t>ANITA GARIBALDI</t>
  </si>
  <si>
    <t>79233904000117</t>
  </si>
  <si>
    <t>GHENO JOIAS LTDA  ME</t>
  </si>
  <si>
    <t>GUENO JOIAS LTDA (787)</t>
  </si>
  <si>
    <t>gheno@seara.psi.br</t>
  </si>
  <si>
    <t>AVENIDA ANITA GARIBALDI</t>
  </si>
  <si>
    <t>189</t>
  </si>
  <si>
    <t>SEARA</t>
  </si>
  <si>
    <t>06103031000154</t>
  </si>
  <si>
    <t>GILBERTO NINAUS</t>
  </si>
  <si>
    <t>JOALHERIA E OPTICA VENTO SUL (4004)</t>
  </si>
  <si>
    <t>JVENTOSUL@HOTMAIL.COM</t>
  </si>
  <si>
    <t>RUA GUARITA</t>
  </si>
  <si>
    <t>29</t>
  </si>
  <si>
    <t>B</t>
  </si>
  <si>
    <t>18025714000110</t>
  </si>
  <si>
    <t>GISLEI FONTES ME</t>
  </si>
  <si>
    <t>OTICA DINIZ (2009)</t>
  </si>
  <si>
    <t>financeirooticasdiniz@gmail.com</t>
  </si>
  <si>
    <t>RUA GETULIO DORNELES VARGAS - N</t>
  </si>
  <si>
    <t>115 -N</t>
  </si>
  <si>
    <t>02535939000186</t>
  </si>
  <si>
    <t>GLAUCIO ACCIOLY DE BARROS PIMENTEL</t>
  </si>
  <si>
    <t>GLAUCIO ACCIOLY DE BARROS PIMENTEL (1140)</t>
  </si>
  <si>
    <t>RUA AMBROSIUS PFEIFFER</t>
  </si>
  <si>
    <t>50</t>
  </si>
  <si>
    <t>07735580000104</t>
  </si>
  <si>
    <t>GRANDE OPTICA LTDA</t>
  </si>
  <si>
    <t>SUPER OPTICA SAO JOSE (2088)</t>
  </si>
  <si>
    <t>NFEGRANDEOPTICA@OTICASAOJOSE.COM.BR</t>
  </si>
  <si>
    <t>RUA TENENTE PAULO LOPES</t>
  </si>
  <si>
    <t>284</t>
  </si>
  <si>
    <t>07735580000457</t>
  </si>
  <si>
    <t>SUPER OPTICA SAO JOSE (2119)</t>
  </si>
  <si>
    <t>677</t>
  </si>
  <si>
    <t>07735580000376</t>
  </si>
  <si>
    <t>SUPER OPTICA SAO JOSE (2118)</t>
  </si>
  <si>
    <t>09544907000196</t>
  </si>
  <si>
    <t>GUILHERME JOSE ANASTACIO DE SOUZA NETO LTDA</t>
  </si>
  <si>
    <t>SUISSA OPTICA E RELOJOARIA (1412)</t>
  </si>
  <si>
    <t>OPTICASUISSA@GMAIL.COM</t>
  </si>
  <si>
    <t>RUA FRANCISCO DE PAULA PEREIRA</t>
  </si>
  <si>
    <t>430</t>
  </si>
  <si>
    <t>38074419000160</t>
  </si>
  <si>
    <t>GV COMERCIO DE ARTIGOS DE OPTICA LTDA</t>
  </si>
  <si>
    <t>OPTICAS LOOCAU (4188)</t>
  </si>
  <si>
    <t>opticasloocau@gmail.com</t>
  </si>
  <si>
    <t>RUA BARAO DO RIO BRANCO</t>
  </si>
  <si>
    <t>LETRA E SALA 7</t>
  </si>
  <si>
    <t>28644660000124</t>
  </si>
  <si>
    <t>HADRYEN GABRIEL LEODORIO LAURINDO</t>
  </si>
  <si>
    <t>OTICAS LAURINDO (4420)</t>
  </si>
  <si>
    <t>HADRYENG@GMAIL.COM</t>
  </si>
  <si>
    <t>RUA GUAIRA</t>
  </si>
  <si>
    <t>595</t>
  </si>
  <si>
    <t>LOJA 03</t>
  </si>
  <si>
    <t>193</t>
  </si>
  <si>
    <t>46784455000146</t>
  </si>
  <si>
    <t>HAJ COMERCIO DE ARTIGOS OPTICOS LTDA</t>
  </si>
  <si>
    <t>OTICAS VIAMAX (4562)</t>
  </si>
  <si>
    <t>ANGELAJARDIM4@GMAIL.COM</t>
  </si>
  <si>
    <t>RUA RIO TOCANTINS</t>
  </si>
  <si>
    <t>175</t>
  </si>
  <si>
    <t>ITINGA</t>
  </si>
  <si>
    <t>81640377000107</t>
  </si>
  <si>
    <t>HANS ULRICH SEIFERT E CIA LTDA ME</t>
  </si>
  <si>
    <t>OTICA IGUACU (212)</t>
  </si>
  <si>
    <t>oticauguacu2@twin-net.com.br</t>
  </si>
  <si>
    <t>INT. MANOEL RIBAS</t>
  </si>
  <si>
    <t>142</t>
  </si>
  <si>
    <t>UNIAO DA VITORIA</t>
  </si>
  <si>
    <t>75269852000188</t>
  </si>
  <si>
    <t>HELIO JARDIM OTICA LTDA</t>
  </si>
  <si>
    <t>OTICAS JOINVILLE (262)</t>
  </si>
  <si>
    <t>opticajllefuncionarios@hotmail.com</t>
  </si>
  <si>
    <t>183</t>
  </si>
  <si>
    <t>90275819000154</t>
  </si>
  <si>
    <t>HERMANN &amp; CIA LTDA ME</t>
  </si>
  <si>
    <t>HERMANN &amp; CIA LTDA ME (713)</t>
  </si>
  <si>
    <t>glauciahermann@uol.com.br</t>
  </si>
  <si>
    <t>1121</t>
  </si>
  <si>
    <t>80997109000184</t>
  </si>
  <si>
    <t>HF JOALHERIA E OTICA LTDA ME</t>
  </si>
  <si>
    <t>HF JOALHERIA E OTICA LTDA ME (208)</t>
  </si>
  <si>
    <t>fabiano@oticasgasparetto.com.br</t>
  </si>
  <si>
    <t>E - SALA 10</t>
  </si>
  <si>
    <t>262</t>
  </si>
  <si>
    <t>03803177000114</t>
  </si>
  <si>
    <t>HORA JOIAS LTDA ME</t>
  </si>
  <si>
    <t>HORA JOIAS LTDA ME (455)</t>
  </si>
  <si>
    <t>hora.joias@yahoo.com.br</t>
  </si>
  <si>
    <t>RUA RUI BARBOSA</t>
  </si>
  <si>
    <t>261</t>
  </si>
  <si>
    <t>XANXERE</t>
  </si>
  <si>
    <t>21573495000118</t>
  </si>
  <si>
    <t>HORT E SOUZA OTICA LTDA ME</t>
  </si>
  <si>
    <t>OTICA VANGUARDA (2190)</t>
  </si>
  <si>
    <t>RODHORT@GMAIL.COM</t>
  </si>
  <si>
    <t>46410695000180</t>
  </si>
  <si>
    <t>HORUS JOALHERIA E OTICA LTDA</t>
  </si>
  <si>
    <t>OJO BY MR.RAY (4626)</t>
  </si>
  <si>
    <t>JOINVILLE@OJOMRRAY.COM.BR</t>
  </si>
  <si>
    <t>LOJA L27</t>
  </si>
  <si>
    <t>36561816000131</t>
  </si>
  <si>
    <t>I K OTICA LTDA</t>
  </si>
  <si>
    <t>OTICA DINIZ (4645)</t>
  </si>
  <si>
    <t>OTICADINIZAVENTUREIRO@GMAIL.COM</t>
  </si>
  <si>
    <t>2295</t>
  </si>
  <si>
    <t>SALA 104</t>
  </si>
  <si>
    <t>25377455000151</t>
  </si>
  <si>
    <t>IRMAOS CANDATEN LTDA - ME</t>
  </si>
  <si>
    <t>CHILLI BEANS (3792)</t>
  </si>
  <si>
    <t>candateng@gmail.com</t>
  </si>
  <si>
    <t>RUA R 15 DE NOVEMBRO</t>
  </si>
  <si>
    <t>01432128000197</t>
  </si>
  <si>
    <t>ISAMARA FERNANDES COAN DA SILVA ME</t>
  </si>
  <si>
    <t>OTICA COAN (1670)</t>
  </si>
  <si>
    <t>adm.coan@outlook.com</t>
  </si>
  <si>
    <t>AVENIDA ANDRE RODRIGUES DE FREITAS</t>
  </si>
  <si>
    <t>508</t>
  </si>
  <si>
    <t>ITAPEMA DO NORTE</t>
  </si>
  <si>
    <t>03393948000142</t>
  </si>
  <si>
    <t>ISAQUE DUTRA DE LIMA E CIA LTDA</t>
  </si>
  <si>
    <t>JOALHERIA PEROLA (1701)</t>
  </si>
  <si>
    <t>oticaperola@hbinfo.com.br</t>
  </si>
  <si>
    <t>RUA IRMAOS RUDECK</t>
  </si>
  <si>
    <t>166</t>
  </si>
  <si>
    <t>FRAIBURGO</t>
  </si>
  <si>
    <t>06206386000179</t>
  </si>
  <si>
    <t>IVAN ROGERIO FREITAS SCIESSERE</t>
  </si>
  <si>
    <t>IVAN ROGERIO FREITAS SCIESSERE (1372)</t>
  </si>
  <si>
    <t>ivan@sciessere.com.br</t>
  </si>
  <si>
    <t>RUA GENERAL NETTO</t>
  </si>
  <si>
    <t>383</t>
  </si>
  <si>
    <t>05825052000110</t>
  </si>
  <si>
    <t>IVANILDA RAFAIN PIANA E CIA LTDA</t>
  </si>
  <si>
    <t>IVANILDA RAFAIN PIANA (886)</t>
  </si>
  <si>
    <t>oticapiana@outlook.com</t>
  </si>
  <si>
    <t>RUA GUILHERME FRANCESCON</t>
  </si>
  <si>
    <t>126</t>
  </si>
  <si>
    <t>GAURAMA</t>
  </si>
  <si>
    <t>FOCO KODAK 1</t>
  </si>
  <si>
    <t>ÓTICA INDEPENDENTE</t>
  </si>
  <si>
    <t>60</t>
  </si>
  <si>
    <t>06181835000171</t>
  </si>
  <si>
    <t>JACKSON DE MEDEIROS E CIA LTDA</t>
  </si>
  <si>
    <t>OTICA AURORA (2059)</t>
  </si>
  <si>
    <t>OTICASAURORA@GMAIL.COM</t>
  </si>
  <si>
    <t>426</t>
  </si>
  <si>
    <t>37</t>
  </si>
  <si>
    <t>10475437000135</t>
  </si>
  <si>
    <t>JAKUBIAK E CIA LTDA</t>
  </si>
  <si>
    <t>BELLA BIJU (3362)</t>
  </si>
  <si>
    <t>cristiane_jakubiak@hotmail.com</t>
  </si>
  <si>
    <t>AVENIDA PRESIDENTE GETULIO VARGAS</t>
  </si>
  <si>
    <t>34555574000148</t>
  </si>
  <si>
    <t>JARAGUA DO SUL COMERCIO VAREJISTA DE OPTICA LTDA</t>
  </si>
  <si>
    <t>MERCADAO DOS OCULOS (4048)</t>
  </si>
  <si>
    <t>SC-JARAGUADOSUL@MERCADAODOSOCULOS.COM.BR</t>
  </si>
  <si>
    <t>401</t>
  </si>
  <si>
    <t>93055622000106</t>
  </si>
  <si>
    <t>JEFFERSON LUIZ KURA ME</t>
  </si>
  <si>
    <t>JEFFERSON LUIZ KURA ME (725)</t>
  </si>
  <si>
    <t>alinedalmaso@hotmail.com</t>
  </si>
  <si>
    <t>332</t>
  </si>
  <si>
    <t>VILA NICOLAU VERGUEIRO</t>
  </si>
  <si>
    <t>37097041000158</t>
  </si>
  <si>
    <t>JJCN COMERCIO DE OTICA E RELOJOARIA LTDA</t>
  </si>
  <si>
    <t>MAY STYLE OTICA (4157)</t>
  </si>
  <si>
    <t>mayoticastyle@gmail.com</t>
  </si>
  <si>
    <t>598</t>
  </si>
  <si>
    <t>17011783000101</t>
  </si>
  <si>
    <t>JLM COMERCIO DE ARTIGOS DE OPTICA LTDA ME</t>
  </si>
  <si>
    <t>OPTICA ETERNA (1945)</t>
  </si>
  <si>
    <t>otica_eterna@hotmail.com</t>
  </si>
  <si>
    <t>RUA EXPEDICIONARIO GUMERCINDO DA SILVA</t>
  </si>
  <si>
    <t>SALA 6</t>
  </si>
  <si>
    <t>JARAGUÁ DO SUL</t>
  </si>
  <si>
    <t>72</t>
  </si>
  <si>
    <t>86248218000185</t>
  </si>
  <si>
    <t>JOALHERIA CONFIANCA LTDA</t>
  </si>
  <si>
    <t>JOALHERIA CONFIANCA LTDA (149)</t>
  </si>
  <si>
    <t>joalheriaconfiancasmo@hotmail.com</t>
  </si>
  <si>
    <t>540</t>
  </si>
  <si>
    <t>80447659000120</t>
  </si>
  <si>
    <t>JOALHERIA E OPTICA COLLA LTDA ME</t>
  </si>
  <si>
    <t>JOALHERIA E OPTICA COLLA LTDA ME (1380)</t>
  </si>
  <si>
    <t>suzicolla@gmail.com</t>
  </si>
  <si>
    <t>890</t>
  </si>
  <si>
    <t>CONCÓRDIA</t>
  </si>
  <si>
    <t>32</t>
  </si>
  <si>
    <t>07867870000101</t>
  </si>
  <si>
    <t>JOALHERIA E OPTICA MALMGREN LTDA ME</t>
  </si>
  <si>
    <t>JOALHERIA E OPTICA MALMGREN (1969)</t>
  </si>
  <si>
    <t>joiasmalmgren@yahoo.com.br</t>
  </si>
  <si>
    <t>RUA NEREU RAMOS</t>
  </si>
  <si>
    <t>65</t>
  </si>
  <si>
    <t>CORUPÁ</t>
  </si>
  <si>
    <t>09169751000100</t>
  </si>
  <si>
    <t>JOALHERIA E OTICA ALINE LTDA</t>
  </si>
  <si>
    <t>PALADIO SIMARA JOALHERIA E OTICA (1374)</t>
  </si>
  <si>
    <t>paladio@paladiosimara.com.br</t>
  </si>
  <si>
    <t>RUA VINTE E OITO DE AGOSTO</t>
  </si>
  <si>
    <t>1455</t>
  </si>
  <si>
    <t>GUARAMIRIM</t>
  </si>
  <si>
    <t>09169751000291</t>
  </si>
  <si>
    <t>JOALHERIA E OTICA ALINE LTDA ME</t>
  </si>
  <si>
    <t>PALADIO SIMARA JOALHERIA E OTICA (1432)</t>
  </si>
  <si>
    <t>tutela@dominioboxe.com.br</t>
  </si>
  <si>
    <t>429</t>
  </si>
  <si>
    <t>86131323000130</t>
  </si>
  <si>
    <t>JOALHERIA E OTICA BIZ LTDA ME</t>
  </si>
  <si>
    <t>JOALHERIA E OTICA BIZ LTDA ME (492)</t>
  </si>
  <si>
    <t>anbrebiz@terra.com.br</t>
  </si>
  <si>
    <t>RUA DOUTOR LAURO MUELLER</t>
  </si>
  <si>
    <t>SÃO FRANCISCO DO SUL</t>
  </si>
  <si>
    <t>73352429000111</t>
  </si>
  <si>
    <t>JOALHERIA E OTICA BRILIANCY LTDA ME</t>
  </si>
  <si>
    <t>BRILIANCY - MATRIZ (1122)</t>
  </si>
  <si>
    <t>briliancyjoias@yahoo.com.br</t>
  </si>
  <si>
    <t>RUA 28 DE AGOSTO</t>
  </si>
  <si>
    <t>1369</t>
  </si>
  <si>
    <t>01540052000113</t>
  </si>
  <si>
    <t>JOALHERIA E OTICA CAIO LTDA ME</t>
  </si>
  <si>
    <t>JOALHERIA E OTICA CAIO LTDA ME (995)</t>
  </si>
  <si>
    <t>caiofernando44@gmail.com</t>
  </si>
  <si>
    <t>RUA MARECHAL CASTELO BRANCO</t>
  </si>
  <si>
    <t>3246</t>
  </si>
  <si>
    <t>SALA 06</t>
  </si>
  <si>
    <t>SCHROEDER</t>
  </si>
  <si>
    <t>17115241000189</t>
  </si>
  <si>
    <t>JOALHERIA E OTICA DAIMAR LTDA ME</t>
  </si>
  <si>
    <t>PALADIO SIMARA JOALHERIA E OTICA (1954)</t>
  </si>
  <si>
    <t>LOJA 112</t>
  </si>
  <si>
    <t>83233254000187</t>
  </si>
  <si>
    <t>JOALHERIA E OTICA DOM BOSCO LTDA</t>
  </si>
  <si>
    <t>OTICA DOM BOSCO (157)</t>
  </si>
  <si>
    <t>joalhedombosco@joalhedombosco.com.br</t>
  </si>
  <si>
    <t>RUA GETULIO DORNELES VARGAS</t>
  </si>
  <si>
    <t>461</t>
  </si>
  <si>
    <t>82944331000144</t>
  </si>
  <si>
    <t>JOALHERIA E OTICA PALADIO LTDA</t>
  </si>
  <si>
    <t>JOALHERIA E OTICA PALADIO LTDA (163)</t>
  </si>
  <si>
    <t>AVENIDA MARECHAL DEODORO DA FONSECA</t>
  </si>
  <si>
    <t>97</t>
  </si>
  <si>
    <t>79229522000110</t>
  </si>
  <si>
    <t>JOALHERIA E OTICA PINHEIRO LTDA</t>
  </si>
  <si>
    <t>JOALHERIA E OTICA PINHEIRO (320)</t>
  </si>
  <si>
    <t>notas@cofrenfe.com.br</t>
  </si>
  <si>
    <t>RUA CORONEL FARRAPO</t>
  </si>
  <si>
    <t>1025</t>
  </si>
  <si>
    <t>330</t>
  </si>
  <si>
    <t>03724961000137</t>
  </si>
  <si>
    <t>JOALHERIA E OTICA PONTUAL LTDA ME</t>
  </si>
  <si>
    <t>JOALHERIA E OTICA PONTUAL LTDA ME (551)</t>
  </si>
  <si>
    <t>gui_zale@hotmail.com</t>
  </si>
  <si>
    <t>1016</t>
  </si>
  <si>
    <t>94</t>
  </si>
  <si>
    <t>80481971000130</t>
  </si>
  <si>
    <t>JOALHERIA E OTICA RS LTDA</t>
  </si>
  <si>
    <t>JOALHERIA E OTICA RS LTDA (164)</t>
  </si>
  <si>
    <t>PRAÇA LAURO MULLER</t>
  </si>
  <si>
    <t>451</t>
  </si>
  <si>
    <t>81595654000107</t>
  </si>
  <si>
    <t>JOALHERIA E OTICA SCHEIDE LTDA</t>
  </si>
  <si>
    <t>JOALHERIA E OTICA SCHEIDE (485)</t>
  </si>
  <si>
    <t>MARCOSSCHEIDE@YAHOO.COM.BR</t>
  </si>
  <si>
    <t>ARGOLO</t>
  </si>
  <si>
    <t>79880381000109</t>
  </si>
  <si>
    <t>JOALHERIA E OTICA SIMARA LTDA</t>
  </si>
  <si>
    <t>JOALHERIA E OTICA SIMARA LTDA (177)</t>
  </si>
  <si>
    <t>744</t>
  </si>
  <si>
    <t>31</t>
  </si>
  <si>
    <t>88484076000180</t>
  </si>
  <si>
    <t>JOALHERIA E OTICA VIECELLI  LTDA</t>
  </si>
  <si>
    <t>JOALHERIA E OTICA CONFIANCA (76)</t>
  </si>
  <si>
    <t>joalheria.ivo@hotmail.com</t>
  </si>
  <si>
    <t>790</t>
  </si>
  <si>
    <t>97554122000161</t>
  </si>
  <si>
    <t>JOALHERIA E OTICA VITORIA LTDA ME</t>
  </si>
  <si>
    <t>JOALHERIA E OTICA VITORIA (2025)</t>
  </si>
  <si>
    <t>marquesm.ramon@gmail.com</t>
  </si>
  <si>
    <t>80502305000130</t>
  </si>
  <si>
    <t>JOALHERIA MARIELLA LTDA ME</t>
  </si>
  <si>
    <t>JOALHERIA MARIELLA LTDA (173)</t>
  </si>
  <si>
    <t>SALOMAO CARNEIRO ALMEIDA</t>
  </si>
  <si>
    <t>CP. 338</t>
  </si>
  <si>
    <t>84703768000111</t>
  </si>
  <si>
    <t>JOALHERIA PARIS LTDA ME</t>
  </si>
  <si>
    <t>JOALHERIA PARIS (2069)</t>
  </si>
  <si>
    <t>JOALHERIAPARIS@HOTMAIL.COM</t>
  </si>
  <si>
    <t>RUA MAX COLIN</t>
  </si>
  <si>
    <t>1143</t>
  </si>
  <si>
    <t>SALA1</t>
  </si>
  <si>
    <t>85100360000118</t>
  </si>
  <si>
    <t>JOALHERIA PRECIOSA EIRELI</t>
  </si>
  <si>
    <t>JOALHERIA PRECIOSA (1830)</t>
  </si>
  <si>
    <t>RUA ANGELO RUBINI</t>
  </si>
  <si>
    <t>1256</t>
  </si>
  <si>
    <t>BARRA DO RIO CERRO</t>
  </si>
  <si>
    <t>87020764000127</t>
  </si>
  <si>
    <t>JOALHERIA SCIESSERE LTDA</t>
  </si>
  <si>
    <t>JOALHERIA SCIESSERE LTDA (878)</t>
  </si>
  <si>
    <t>adelmir.adm@sciessere.com.br</t>
  </si>
  <si>
    <t>RUA MOROM</t>
  </si>
  <si>
    <t>1611</t>
  </si>
  <si>
    <t>101</t>
  </si>
  <si>
    <t>79274767000169</t>
  </si>
  <si>
    <t>JOALHERIA SEIFERT LTDA EPP</t>
  </si>
  <si>
    <t>JOALHERIA SEIFERT LTDA (176)</t>
  </si>
  <si>
    <t>seifert@seifert.com.br</t>
  </si>
  <si>
    <t>RUA MARECHAL FLORIANO PEIXOTO</t>
  </si>
  <si>
    <t>18</t>
  </si>
  <si>
    <t>95592853000176</t>
  </si>
  <si>
    <t>JOALHERIA TECNOTICA LTDA</t>
  </si>
  <si>
    <t>BRASOPTICA (2195)</t>
  </si>
  <si>
    <t>RUA URUGUAI</t>
  </si>
  <si>
    <t>1570</t>
  </si>
  <si>
    <t>SALAS 06 E 07</t>
  </si>
  <si>
    <t>00402005000140</t>
  </si>
  <si>
    <t>JOALHERIA ZABER LTDA EPP</t>
  </si>
  <si>
    <t>JOALHERIA ZABER LTDA EPP (672)</t>
  </si>
  <si>
    <t>joalheriazaber@gmail.com</t>
  </si>
  <si>
    <t>173</t>
  </si>
  <si>
    <t>73225260000139</t>
  </si>
  <si>
    <t>JOIAS E RELOGIOS CAVALCANTI LTDA</t>
  </si>
  <si>
    <t>CIA DO RELOGIO (308)</t>
  </si>
  <si>
    <t>joiaserelogioscavalcanti@hotmail.com</t>
  </si>
  <si>
    <t>381</t>
  </si>
  <si>
    <t>311</t>
  </si>
  <si>
    <t>42243783000184</t>
  </si>
  <si>
    <t>JOIB COMERCIO DE PRODUTOS OTICOS LTDA</t>
  </si>
  <si>
    <t>OTICAS CAROL (4339)</t>
  </si>
  <si>
    <t>ADM.SC@OTICASCAROL.COM.BR</t>
  </si>
  <si>
    <t>LOJA 16</t>
  </si>
  <si>
    <t>155</t>
  </si>
  <si>
    <t>28845271000167</t>
  </si>
  <si>
    <t>JONATHAN PAIVA CUNHA EIRELI ME</t>
  </si>
  <si>
    <t>OTICAS DINIZ (3850)</t>
  </si>
  <si>
    <t>LAB.DINIZUNIAO@GMAIL.COM</t>
  </si>
  <si>
    <t>08900451000197</t>
  </si>
  <si>
    <t>JOSE ERNANI FREITAS JUNIOR ME</t>
  </si>
  <si>
    <t>OTICA LUX (1319)</t>
  </si>
  <si>
    <t>otica.lux@gmail.com</t>
  </si>
  <si>
    <t>39517870000178</t>
  </si>
  <si>
    <t>JOSE VANDERLEI BECKER 70266824072</t>
  </si>
  <si>
    <t>ENGENHEIRO DOS OCULOS (4344)</t>
  </si>
  <si>
    <t>CASABECKER197@GMAIL.COM</t>
  </si>
  <si>
    <t>550</t>
  </si>
  <si>
    <t>SALA 7</t>
  </si>
  <si>
    <t>07515904000107</t>
  </si>
  <si>
    <t>JOVIER'S COM. OTICA  RELOJOARIA LTDA ME</t>
  </si>
  <si>
    <t>OTICA MAY RELOJOARIA (770)</t>
  </si>
  <si>
    <t>oticamay@gmail.com</t>
  </si>
  <si>
    <t>69</t>
  </si>
  <si>
    <t>11</t>
  </si>
  <si>
    <t>28257816000114</t>
  </si>
  <si>
    <t>JSCENTRO COMERCIO DE PRODUTOS OPTICOS EIRELI</t>
  </si>
  <si>
    <t>OTICAS CAROL (3813)</t>
  </si>
  <si>
    <t>leo.menon@oticascarol.com.br</t>
  </si>
  <si>
    <t>192</t>
  </si>
  <si>
    <t>28</t>
  </si>
  <si>
    <t>28257816000203</t>
  </si>
  <si>
    <t>OTICAS CAROL (3891)</t>
  </si>
  <si>
    <t>50610557000112</t>
  </si>
  <si>
    <t>JSUL COMERCIO DE PRODUTOS OTICOS LTDA</t>
  </si>
  <si>
    <t>OTICAS CAROL (4728)</t>
  </si>
  <si>
    <t>MARECHAL DEODORO DA FONSECA</t>
  </si>
  <si>
    <t>819</t>
  </si>
  <si>
    <t>00245916000101</t>
  </si>
  <si>
    <t>JUARES FERREIRA DA SILVA ME</t>
  </si>
  <si>
    <t>NOVA OTICA (2204)</t>
  </si>
  <si>
    <t>novaoticamh@hotmail.com</t>
  </si>
  <si>
    <t>583</t>
  </si>
  <si>
    <t>03741880000145</t>
  </si>
  <si>
    <t>JUCARA FATIMA BELINKEVICIUS</t>
  </si>
  <si>
    <t>GOLD OPTICA JOALHERIA (816)</t>
  </si>
  <si>
    <t>AVENIDA MAURICIO CARDOSO</t>
  </si>
  <si>
    <t>225</t>
  </si>
  <si>
    <t>33328498000175</t>
  </si>
  <si>
    <t>JULIANA DA SILVA MELO</t>
  </si>
  <si>
    <t>OTICA DINIZ (4018)</t>
  </si>
  <si>
    <t>juliana-diniz1@hotmail.com</t>
  </si>
  <si>
    <t>SALA05</t>
  </si>
  <si>
    <t>SAGUACU</t>
  </si>
  <si>
    <t>156</t>
  </si>
  <si>
    <t>87662326000162</t>
  </si>
  <si>
    <t>JULIO FONTOURA E CIA LTDA</t>
  </si>
  <si>
    <t>OPTICA SANTA LUZIA (26)</t>
  </si>
  <si>
    <t>juliofw@gmail.com</t>
  </si>
  <si>
    <t>617</t>
  </si>
  <si>
    <t>78217858000108</t>
  </si>
  <si>
    <t>JURANDIR WALTER HEYDT ME</t>
  </si>
  <si>
    <t>JURANDIR WALTER HEYDT (194)</t>
  </si>
  <si>
    <t>RUA SUL BRASIL</t>
  </si>
  <si>
    <t>215</t>
  </si>
  <si>
    <t>39576307000170</t>
  </si>
  <si>
    <t>K &amp; P COMERCIO DE ARTIGOS OTICOS LTDA</t>
  </si>
  <si>
    <t>MERCADAO DOS OCULOS (4231)</t>
  </si>
  <si>
    <t>SC-GUARAMIRIM@MERCADAODOSOCULOS.COM.BR</t>
  </si>
  <si>
    <t>1640</t>
  </si>
  <si>
    <t>75816926000159</t>
  </si>
  <si>
    <t>KAFER E KAFER LTDA ME</t>
  </si>
  <si>
    <t>KAFER E KAFER (550)</t>
  </si>
  <si>
    <t>oticacruzeiroxx@hotmail.com</t>
  </si>
  <si>
    <t>AVENIDA PLINIO ARLINDO DE NES</t>
  </si>
  <si>
    <t>1045</t>
  </si>
  <si>
    <t>09264764000169</t>
  </si>
  <si>
    <t>KLETOS JOALHERIA E OTICA LTDA</t>
  </si>
  <si>
    <t>JOALHERIA E OTICA ROLF (1882)</t>
  </si>
  <si>
    <t>oticarolf@gmail.com</t>
  </si>
  <si>
    <t>244</t>
  </si>
  <si>
    <t>50631947000179</t>
  </si>
  <si>
    <t>KRAMBECK ARTIGOS OPTICOS LTDA</t>
  </si>
  <si>
    <t>OTICA RECORD (4715)</t>
  </si>
  <si>
    <t>FINANCEIRO@OTICARECORD.COM.BR</t>
  </si>
  <si>
    <t>CORONEL JOSE SEVERIANO MAIA</t>
  </si>
  <si>
    <t>902</t>
  </si>
  <si>
    <t>SALA LOJA</t>
  </si>
  <si>
    <t>VILA BUENOS AIRES</t>
  </si>
  <si>
    <t>58</t>
  </si>
  <si>
    <t>34626097000164</t>
  </si>
  <si>
    <t>KRAMBECK COMERCIO VAREJISTA DE ARTIGOS DE OPTICA LTDA</t>
  </si>
  <si>
    <t>MERCADAO DOS OCULOS (4061)</t>
  </si>
  <si>
    <t>sc-mafra@mercadaodosoculos.com.br</t>
  </si>
  <si>
    <t>141</t>
  </si>
  <si>
    <t>252</t>
  </si>
  <si>
    <t>34626097000245</t>
  </si>
  <si>
    <t>MERCADAO DOS OCULOS (4062)</t>
  </si>
  <si>
    <t>sc-saobentodosul@mercadaodosoculos.com.br</t>
  </si>
  <si>
    <t>RUA JORGE LACERDA</t>
  </si>
  <si>
    <t>129</t>
  </si>
  <si>
    <t>SÃO BENTO DO SUL</t>
  </si>
  <si>
    <t>106</t>
  </si>
  <si>
    <t>01552283000147</t>
  </si>
  <si>
    <t>KRAMBECK JOALHERIA E OPTICA LTDA  EPP</t>
  </si>
  <si>
    <t>RELOJOARIA RECORD (1248)</t>
  </si>
  <si>
    <t>record@netuno.com.br</t>
  </si>
  <si>
    <t>172</t>
  </si>
  <si>
    <t>89429823000140</t>
  </si>
  <si>
    <t>KREISCHE E CIA LTDA ME</t>
  </si>
  <si>
    <t>KREISCHE &amp; CIA LTDA (198)</t>
  </si>
  <si>
    <t>oticalanger@gmail.com</t>
  </si>
  <si>
    <t>293</t>
  </si>
  <si>
    <t>01874381000109</t>
  </si>
  <si>
    <t>KUCHENBEKER JOALHEIROS LTDA</t>
  </si>
  <si>
    <t>KUCHENBEKER JOALHEIROS LTDA (685)</t>
  </si>
  <si>
    <t>ja.kuchen@gmail.com</t>
  </si>
  <si>
    <t>30124751000180</t>
  </si>
  <si>
    <t>KW COMERCIO DE ARTIGOS OTICOS LTDA</t>
  </si>
  <si>
    <t>KW COMERCIO DE ARTIGOS OTICOS LTDA  (3909)</t>
  </si>
  <si>
    <t>ANA-KNOP@HOTMAIL.COM</t>
  </si>
  <si>
    <t>402</t>
  </si>
  <si>
    <t>28473264000181</t>
  </si>
  <si>
    <t>LA VIE OTICA &amp; JOALHERIA LTDA</t>
  </si>
  <si>
    <t>LA VIE OTICA E JOALHERIA  (3834)</t>
  </si>
  <si>
    <t>LAVIEOTICACHAPECO@GMAIL.COM</t>
  </si>
  <si>
    <t>PORTO ALEGRE - D</t>
  </si>
  <si>
    <t>LETRA D SL 6</t>
  </si>
  <si>
    <t>SANTA MARIA</t>
  </si>
  <si>
    <t>28473264000262</t>
  </si>
  <si>
    <t>LA VIE OTICA E JOALHERIA EIRELI</t>
  </si>
  <si>
    <t>OTICA LA VIE (4008)</t>
  </si>
  <si>
    <t>lavieoticachapeco@gmail.com</t>
  </si>
  <si>
    <t>1210</t>
  </si>
  <si>
    <t>13904349000108</t>
  </si>
  <si>
    <t>LAMOUR COMERCIO DE OTICA E RELOJOARIA LTDA ME</t>
  </si>
  <si>
    <t>OTICA MAY (2293)</t>
  </si>
  <si>
    <t>478</t>
  </si>
  <si>
    <t>LOJA A</t>
  </si>
  <si>
    <t>04705095000108</t>
  </si>
  <si>
    <t>LEVI ARRIFANO SILVA ME</t>
  </si>
  <si>
    <t>OTICA ARRIFANO (693)</t>
  </si>
  <si>
    <t>tutsh@hotmail.com</t>
  </si>
  <si>
    <t>81782534000119</t>
  </si>
  <si>
    <t>LHV JOALHERIA E OTICA VEDANI LTDA - ME</t>
  </si>
  <si>
    <t>RELOJOARIA E OTICA VEDANI (1104)</t>
  </si>
  <si>
    <t>vedani@hbinfo.com.br</t>
  </si>
  <si>
    <t>AVENIDA RENE FREY</t>
  </si>
  <si>
    <t>584</t>
  </si>
  <si>
    <t>41498651000130</t>
  </si>
  <si>
    <t>LINHARES COMERCIO DE ARTIGOS OTICOS LTDA</t>
  </si>
  <si>
    <t>MEDDEM OTICA'S (4367)</t>
  </si>
  <si>
    <t>LINHARESLIMITADA@HOTMAIL.COM</t>
  </si>
  <si>
    <t>121</t>
  </si>
  <si>
    <t>LOJA 06</t>
  </si>
  <si>
    <t>05862049000258</t>
  </si>
  <si>
    <t>LOOK OCULOS &amp; RELOGIOS LTDA</t>
  </si>
  <si>
    <t>LOOK OCULOS &amp; RELOGIOS LTDA (821)</t>
  </si>
  <si>
    <t>lookoculos@ig.com.br</t>
  </si>
  <si>
    <t>LOJA 28</t>
  </si>
  <si>
    <t>98105455000176</t>
  </si>
  <si>
    <t>LUIZ F BRUST E CIA LTDA</t>
  </si>
  <si>
    <t>OTICA BRUST (709)</t>
  </si>
  <si>
    <t>oticabrust@gmail.com</t>
  </si>
  <si>
    <t>290</t>
  </si>
  <si>
    <t>41132763000173</t>
  </si>
  <si>
    <t>LUMITA OTICA LTDA</t>
  </si>
  <si>
    <t>LUMITA OTICA (4295)</t>
  </si>
  <si>
    <t>LUMITAOTICA@GMAIL.COM</t>
  </si>
  <si>
    <t>AVENIDA PORTO ALEGRE</t>
  </si>
  <si>
    <t>16564396000130</t>
  </si>
  <si>
    <t>MABELLE OTJR LTDA</t>
  </si>
  <si>
    <t>MABELLE OTICA JOIAS E RELOGIOS  (2205)</t>
  </si>
  <si>
    <t>MABELLEJOALHERIA@GMAIL.COM</t>
  </si>
  <si>
    <t>SALA 212</t>
  </si>
  <si>
    <t>01919270000163</t>
  </si>
  <si>
    <t>MACIEL JOIAS LTDA</t>
  </si>
  <si>
    <t>SAFIRA JOIAS E RELOJOARIA (889)</t>
  </si>
  <si>
    <t>SAFIRA.RELOJOARIA@YAHOO.COM.BR</t>
  </si>
  <si>
    <t>RUA OLIMPIO JULIO TORTATO</t>
  </si>
  <si>
    <t>53</t>
  </si>
  <si>
    <t>SALA</t>
  </si>
  <si>
    <t>21042267000111</t>
  </si>
  <si>
    <t>MADRID OTICAS LTDA ME</t>
  </si>
  <si>
    <t>OTICA MADRID (2183)</t>
  </si>
  <si>
    <t>madrid.oticas@gmail.com</t>
  </si>
  <si>
    <t>RUA TENENTE ARY RAUEN</t>
  </si>
  <si>
    <t>756</t>
  </si>
  <si>
    <t>83298166000163</t>
  </si>
  <si>
    <t>MARCHESE E CIA LTDA</t>
  </si>
  <si>
    <t>JOALHEIRIA E OTICA MINERVA (566)</t>
  </si>
  <si>
    <t>joalheriaminerva@hotmail.com</t>
  </si>
  <si>
    <t>03567445000146</t>
  </si>
  <si>
    <t>MARCIEL RODRIGUES DOS SANTOS ME</t>
  </si>
  <si>
    <t>OTICA GLOBO (217)</t>
  </si>
  <si>
    <t>otica_globo@hotmail.com</t>
  </si>
  <si>
    <t>7053</t>
  </si>
  <si>
    <t>41939975000167</t>
  </si>
  <si>
    <t>MARIA ALINE RODRIGUES PEREIRA 08031796939</t>
  </si>
  <si>
    <t>OTICA CENTRAL (4322)</t>
  </si>
  <si>
    <t>aline.rodrigues78nunes@gmail.com</t>
  </si>
  <si>
    <t>697</t>
  </si>
  <si>
    <t>28867335000120</t>
  </si>
  <si>
    <t>MARIELI ANTUNES DA SOLER OTICA</t>
  </si>
  <si>
    <t>CHILLI BEANS (3874)</t>
  </si>
  <si>
    <t>marieliantunes15@yahoo.com.br</t>
  </si>
  <si>
    <t>222</t>
  </si>
  <si>
    <t>92</t>
  </si>
  <si>
    <t>03756493000182</t>
  </si>
  <si>
    <t>MARILENE LIMA DE OLIVEIRA ME</t>
  </si>
  <si>
    <t>MARILENE LIMA DE OLIVEIRA ME (1227)</t>
  </si>
  <si>
    <t>oticaoliveira@brturbo.com</t>
  </si>
  <si>
    <t>731</t>
  </si>
  <si>
    <t>36384682000120</t>
  </si>
  <si>
    <t>MARILUCE FREITAS 96614340000</t>
  </si>
  <si>
    <t>OPTICA BELLA VISTA (4730)</t>
  </si>
  <si>
    <t>OPTICABELLAVISTAPF@HOTMAIL.COM</t>
  </si>
  <si>
    <t>RUA TEIXEIRA SOARES</t>
  </si>
  <si>
    <t>08851522000109</t>
  </si>
  <si>
    <t>MARIN E RECH OTICA LTDA</t>
  </si>
  <si>
    <t>OTICA MARIN (4112)</t>
  </si>
  <si>
    <t>OTICAMARIN2017@GMAIL.COM</t>
  </si>
  <si>
    <t>59</t>
  </si>
  <si>
    <t>JOACABA</t>
  </si>
  <si>
    <t>01111758000321</t>
  </si>
  <si>
    <t>MARISLEI SCHIFTER</t>
  </si>
  <si>
    <t>OTICA SANTA CECILIA (4122)</t>
  </si>
  <si>
    <t>oticasantaceciliafilial@gmail.com</t>
  </si>
  <si>
    <t>SALA 4</t>
  </si>
  <si>
    <t>CENTRO II ALTO DE MAFRA</t>
  </si>
  <si>
    <t>01111758000160</t>
  </si>
  <si>
    <t>OTICA SANTA CECILIA (2104)</t>
  </si>
  <si>
    <t>oticasantacecilia@hotmail.com</t>
  </si>
  <si>
    <t>82993684000568</t>
  </si>
  <si>
    <t>MARLISA ARMARINHOS PRESENTES E UTI DO LAR LTDA EPP</t>
  </si>
  <si>
    <t>MARLISA ARMARINHOS PRESENTES UTILIDADES LTDA (1197)</t>
  </si>
  <si>
    <t>marlisa@marlisa.com.br</t>
  </si>
  <si>
    <t>197</t>
  </si>
  <si>
    <t>LOJA 13</t>
  </si>
  <si>
    <t>36</t>
  </si>
  <si>
    <t>07430554000178</t>
  </si>
  <si>
    <t>MARLON RODRIGO HUBIE ME</t>
  </si>
  <si>
    <t>OPTIHUBIE (1307)</t>
  </si>
  <si>
    <t>mar77lon@pop.com.br</t>
  </si>
  <si>
    <t>RUA FARROUPILHA</t>
  </si>
  <si>
    <t>57</t>
  </si>
  <si>
    <t>APTO 201</t>
  </si>
  <si>
    <t>24691706000105</t>
  </si>
  <si>
    <t>MARQUES MEDEIROS PRODUTOS OPTICOS LTDA. - ME</t>
  </si>
  <si>
    <t>OTICA BRILHANTE (3803)</t>
  </si>
  <si>
    <t>brilhantedocs@gmail.com</t>
  </si>
  <si>
    <t>86248010000166</t>
  </si>
  <si>
    <t>MESSER E MESSER LTDA</t>
  </si>
  <si>
    <t>OTICA MODERNA (30)</t>
  </si>
  <si>
    <t>monemesser@hotmail.com</t>
  </si>
  <si>
    <t>530</t>
  </si>
  <si>
    <t>37056497000170</t>
  </si>
  <si>
    <t>MEUS OCULOS OTICA LIMITADA</t>
  </si>
  <si>
    <t>MEUS OCULOS (4286)</t>
  </si>
  <si>
    <t>oticameusoculos@gmail.com</t>
  </si>
  <si>
    <t>485</t>
  </si>
  <si>
    <t>24415591000126</t>
  </si>
  <si>
    <t>MHENRIQUE RELOJOARIA E OTICA EIRELI - ME</t>
  </si>
  <si>
    <t>SOLLAR RELOJOARIA E OTICA (3311)</t>
  </si>
  <si>
    <t>oticasollarsbs@yahoo.com.br</t>
  </si>
  <si>
    <t>RUA JOSE ZIPPERER</t>
  </si>
  <si>
    <t>41</t>
  </si>
  <si>
    <t>44232187000124</t>
  </si>
  <si>
    <t>MIGUEL EMPREENDIMENTOS LTDA</t>
  </si>
  <si>
    <t>MUITO MAIS OTICAS (4435)</t>
  </si>
  <si>
    <t>MUITOMAISOTICASC@GMAIL.COM</t>
  </si>
  <si>
    <t>RUA BENJAMIN CONSTANT</t>
  </si>
  <si>
    <t>LETRA LOJA 1</t>
  </si>
  <si>
    <t>10189495000100</t>
  </si>
  <si>
    <t>MJK JOALHERIA E OPTICA LTDA</t>
  </si>
  <si>
    <t>OPTICA EXOTICA (1483)</t>
  </si>
  <si>
    <t>relojoariajorel@bol.com.br</t>
  </si>
  <si>
    <t>1780</t>
  </si>
  <si>
    <t>14458854000120</t>
  </si>
  <si>
    <t>MM JOIAS E RELOGIOS LTDA - ME</t>
  </si>
  <si>
    <t>MM JOIAS E RELOGIOS (3790)</t>
  </si>
  <si>
    <t>JOALHERIAMM@HOTMAIL.COM</t>
  </si>
  <si>
    <t>RUA FERNANDO MACHADO - D</t>
  </si>
  <si>
    <t>2580</t>
  </si>
  <si>
    <t>LETRA D SALA 06</t>
  </si>
  <si>
    <t>PASSO DOS FORTES</t>
  </si>
  <si>
    <t>20803442000264</t>
  </si>
  <si>
    <t>MMDG COMERCIO DE OTICA EIRELI</t>
  </si>
  <si>
    <t>BENDITA OTICA (4030)</t>
  </si>
  <si>
    <t>grasiane.devigili@gmail.com</t>
  </si>
  <si>
    <t>RUA MINISTRO CALOGERAS</t>
  </si>
  <si>
    <t>1639</t>
  </si>
  <si>
    <t>LOJA 04</t>
  </si>
  <si>
    <t>20803442000183</t>
  </si>
  <si>
    <t>MMDG COMERCIO DE OTICA EIRELI ME</t>
  </si>
  <si>
    <t>BENDITA OTICA (2158)</t>
  </si>
  <si>
    <t>8507</t>
  </si>
  <si>
    <t>01188417000273</t>
  </si>
  <si>
    <t>MOACIR E J DE MEDEIROS CIA LTDA</t>
  </si>
  <si>
    <t>OTICA AURORA (3377)</t>
  </si>
  <si>
    <t>oticaurora.bv@hotmail.com</t>
  </si>
  <si>
    <t>RUA ALBANO SCHMIDT</t>
  </si>
  <si>
    <t>4120</t>
  </si>
  <si>
    <t>COMASA</t>
  </si>
  <si>
    <t>01188417000192</t>
  </si>
  <si>
    <t>MOACIR E J DE MEDEIROS E CIA LTDA</t>
  </si>
  <si>
    <t>OTICA AURORA (965)</t>
  </si>
  <si>
    <t>LABORATORIOAURORA@OUTLOOK.COM</t>
  </si>
  <si>
    <t>14339010000160</t>
  </si>
  <si>
    <t>MOACIR FRANCELINO DE MEDEIROS ME</t>
  </si>
  <si>
    <t>OTICA AURORA (2036)</t>
  </si>
  <si>
    <t>oticaaurora.cs@hotmail.com</t>
  </si>
  <si>
    <t>03902874000122</t>
  </si>
  <si>
    <t>MS GERALDI PRODUTOS OPTICOS LTDA ME</t>
  </si>
  <si>
    <t>MS GERALDI PRODUTOS OPTICOS LTDA ME (73)</t>
  </si>
  <si>
    <t>onimarli@cdljoinville.com.br</t>
  </si>
  <si>
    <t>811</t>
  </si>
  <si>
    <t>00272199000107</t>
  </si>
  <si>
    <t>MSG CARNEIRO ME</t>
  </si>
  <si>
    <t>MAGNUS JOALHEIRO (25)</t>
  </si>
  <si>
    <t>magnosjoalheiro@bol.com.br</t>
  </si>
  <si>
    <t>1446</t>
  </si>
  <si>
    <t>L. 07 /BUCAREIM</t>
  </si>
  <si>
    <t>50910083000124</t>
  </si>
  <si>
    <t>MULLER E STEIL COMERCIO LTDA</t>
  </si>
  <si>
    <t>OTICA MULLER (4725)</t>
  </si>
  <si>
    <t>OTICAMULLER01@GMAIL.COM</t>
  </si>
  <si>
    <t>501</t>
  </si>
  <si>
    <t>81294241000192</t>
  </si>
  <si>
    <t>MULTI VISAO COMERCIO DE OCULOS E JOIAS LTDA</t>
  </si>
  <si>
    <t>OTICA MULTIVISAO (239)</t>
  </si>
  <si>
    <t>oticasmultivisao@gmail.com</t>
  </si>
  <si>
    <t>RUA BARAO DO RIO BRANCO - E</t>
  </si>
  <si>
    <t>86</t>
  </si>
  <si>
    <t>263</t>
  </si>
  <si>
    <t>84585330000267</t>
  </si>
  <si>
    <t>N. CALLIARI JOALHERIA E OPTICA LTDA</t>
  </si>
  <si>
    <t>OTICA PRECISAO (241)</t>
  </si>
  <si>
    <t>r.calliari@globo.com</t>
  </si>
  <si>
    <t>318</t>
  </si>
  <si>
    <t>20082791000153</t>
  </si>
  <si>
    <t>NAMASTE OTICA EIRELI ME</t>
  </si>
  <si>
    <t>NAMASTE OTICA EIRELI ME (2094)</t>
  </si>
  <si>
    <t>namaste@namasteotica.com.br</t>
  </si>
  <si>
    <t>545</t>
  </si>
  <si>
    <t>127</t>
  </si>
  <si>
    <t>20082791000234</t>
  </si>
  <si>
    <t>NAMASTE OTICA (4000)</t>
  </si>
  <si>
    <t>heraldogesser@gmail.com</t>
  </si>
  <si>
    <t>AVENIDA MARECHAL DEODORO DE FONSECA</t>
  </si>
  <si>
    <t>776</t>
  </si>
  <si>
    <t>SALA 13</t>
  </si>
  <si>
    <t>85602498000115</t>
  </si>
  <si>
    <t>NEUMANN NISGOSKI LTDA</t>
  </si>
  <si>
    <t>NEUMANN &amp; NISGOSKI (115)</t>
  </si>
  <si>
    <t>oticarealpu@yahoo.com.br</t>
  </si>
  <si>
    <t>RUA SIQUEIRA CAMPOS</t>
  </si>
  <si>
    <t>PORTO UNIÃO</t>
  </si>
  <si>
    <t>37676329000187</t>
  </si>
  <si>
    <t>NICKE COMERCIO DE PRODUTOS OPTICOS LTDA</t>
  </si>
  <si>
    <t>OTTICA NICKE (4164)</t>
  </si>
  <si>
    <t>fabeme15@gmail.com</t>
  </si>
  <si>
    <t>182</t>
  </si>
  <si>
    <t>24694313000155</t>
  </si>
  <si>
    <t>NICOLAS FERREIRA JARDIM LTDA</t>
  </si>
  <si>
    <t>OTICAS ANGELA JARDIM (4693)</t>
  </si>
  <si>
    <t>ANGELAJARDIM.IRIRIU@GMAIL.COM</t>
  </si>
  <si>
    <t>RUA DAS CEGONHAS</t>
  </si>
  <si>
    <t>608</t>
  </si>
  <si>
    <t>JARDIM IRIRIU</t>
  </si>
  <si>
    <t>75989111000171</t>
  </si>
  <si>
    <t>NILO TREBIEN E CIA LTDA</t>
  </si>
  <si>
    <t>JOIAS TREBIEN (853)</t>
  </si>
  <si>
    <t>JOIASTREBIEN@HOTMAIL.COM</t>
  </si>
  <si>
    <t>MANOEL RIBAS</t>
  </si>
  <si>
    <t>210</t>
  </si>
  <si>
    <t>05704431000152</t>
  </si>
  <si>
    <t>NILTON GANZENMULLER ME</t>
  </si>
  <si>
    <t>OTICA MUNDUS (381)</t>
  </si>
  <si>
    <t>oticamundus@hotmail.com</t>
  </si>
  <si>
    <t>143</t>
  </si>
  <si>
    <t>19924886000198</t>
  </si>
  <si>
    <t>NIVIA MARILI TAVARES DA SILVA 68424680944</t>
  </si>
  <si>
    <t>OTICAS NETTO (3848)</t>
  </si>
  <si>
    <t>fernandes.netto@yahoo.com</t>
  </si>
  <si>
    <t>RUA RODOVIA: SC 301</t>
  </si>
  <si>
    <t>7355</t>
  </si>
  <si>
    <t>42225972000124</t>
  </si>
  <si>
    <t>NK COMERCIO DE PRODUTOS OPTICOS LTDA</t>
  </si>
  <si>
    <t>OTTICA NICKE (4366)</t>
  </si>
  <si>
    <t>LOJA6.OTTICANICKE@GMAIL.COM</t>
  </si>
  <si>
    <t>626</t>
  </si>
  <si>
    <t>04946740000176</t>
  </si>
  <si>
    <t>NORBERTO EDGAR OLLMANN E CIA LTDA</t>
  </si>
  <si>
    <t>OTICA OLLMANN (456)</t>
  </si>
  <si>
    <t>oticaollmann@gmail.com</t>
  </si>
  <si>
    <t>AVENIDA JOSE OSCAR SALAZAR</t>
  </si>
  <si>
    <t>698</t>
  </si>
  <si>
    <t>TRES VENDAS</t>
  </si>
  <si>
    <t>17881959000186</t>
  </si>
  <si>
    <t>NOVA ACESSORIOS DE MODA LTDA EPP</t>
  </si>
  <si>
    <t>CHILLI BEANS VALE (3785)</t>
  </si>
  <si>
    <t>simone.testoni@chillisc.com.br</t>
  </si>
  <si>
    <t>LJ 72</t>
  </si>
  <si>
    <t>10981759000156</t>
  </si>
  <si>
    <t>NOVA OTICA EVERSSON ARAQUARI LTDA</t>
  </si>
  <si>
    <t>OTICA EVERSSON (4401)</t>
  </si>
  <si>
    <t>eversonalbano@yahoo.com.br</t>
  </si>
  <si>
    <t>RODOVIA BR 280</t>
  </si>
  <si>
    <t>7399</t>
  </si>
  <si>
    <t>LOJA HIPERMAIS</t>
  </si>
  <si>
    <t>10940327000105</t>
  </si>
  <si>
    <t>NOVA OTICA EVERSSON DO VILA NOVA LTDA</t>
  </si>
  <si>
    <t>OTICA EVERSON (1710)</t>
  </si>
  <si>
    <t>oticaeverson@gmail.com</t>
  </si>
  <si>
    <t>7350</t>
  </si>
  <si>
    <t>02553052000110</t>
  </si>
  <si>
    <t>NOVA OTTICA  LTDA ME</t>
  </si>
  <si>
    <t>OTTICA NICKE (2249)</t>
  </si>
  <si>
    <t>ottica.nicke@gmail.com</t>
  </si>
  <si>
    <t>134</t>
  </si>
  <si>
    <t>05322356000165</t>
  </si>
  <si>
    <t>NOVOCALL EDITORA E EVENTOS LTDA</t>
  </si>
  <si>
    <t>GOLF &amp; LAZER (4169)</t>
  </si>
  <si>
    <t>FABIO@GOLFELAZER.COM.BR</t>
  </si>
  <si>
    <t>1285</t>
  </si>
  <si>
    <t>SALA SUECIA</t>
  </si>
  <si>
    <t>AMAERICA</t>
  </si>
  <si>
    <t>80740962000116</t>
  </si>
  <si>
    <t>O.R.O. ORG. RODRIGUES DE OTICAS LTDA</t>
  </si>
  <si>
    <t>OTICA GLOBO (248)</t>
  </si>
  <si>
    <t>345</t>
  </si>
  <si>
    <t>43792667000187</t>
  </si>
  <si>
    <t>OPTICA ALBERTI LTDA</t>
  </si>
  <si>
    <t>MERCADAO DOS OCULOS (4414)</t>
  </si>
  <si>
    <t>sc-seara@mercadaodosoculos.com.br</t>
  </si>
  <si>
    <t>RUA SETIMO CASAROTTO</t>
  </si>
  <si>
    <t>239</t>
  </si>
  <si>
    <t>92024603000141</t>
  </si>
  <si>
    <t>OPTICA BRASIL LTDA</t>
  </si>
  <si>
    <t>OPTICA BRASIL LTDA (255)</t>
  </si>
  <si>
    <t>GENERAL NETTO</t>
  </si>
  <si>
    <t>442</t>
  </si>
  <si>
    <t>92024603001466</t>
  </si>
  <si>
    <t>BRASOPTICA LOJA 18 (4234)</t>
  </si>
  <si>
    <t>LABORATORIO@BRASOPTICA.COM.BR</t>
  </si>
  <si>
    <t>SALA TERREA 15</t>
  </si>
  <si>
    <t>92024603001385</t>
  </si>
  <si>
    <t>BRASOPTICA (4185)</t>
  </si>
  <si>
    <t>CONTROLE@BRASOPTICA.COM.BR</t>
  </si>
  <si>
    <t>RUA PRESIDENTES VARGAS</t>
  </si>
  <si>
    <t>1610</t>
  </si>
  <si>
    <t>LOJA 2033</t>
  </si>
  <si>
    <t>92024603001202</t>
  </si>
  <si>
    <t>OPTICA BRASIL (4037)</t>
  </si>
  <si>
    <t>BRASOPTICALAB@HOTMAIL.COM</t>
  </si>
  <si>
    <t>FLORES DA CUNHA</t>
  </si>
  <si>
    <t>1767</t>
  </si>
  <si>
    <t>CARAZINHO</t>
  </si>
  <si>
    <t>11691059000190</t>
  </si>
  <si>
    <t>OPTICA CAMILLA LTDA ME</t>
  </si>
  <si>
    <t>OPTICA CAMILLA LTDA ME (1754 (1754)</t>
  </si>
  <si>
    <t>OTICA.CAMILLA@OUTLOOK.COM</t>
  </si>
  <si>
    <t>RUA TENENTE ANTONIO JOAO</t>
  </si>
  <si>
    <t>2355</t>
  </si>
  <si>
    <t>SL 02</t>
  </si>
  <si>
    <t>33064831000186</t>
  </si>
  <si>
    <t>OPTICA D CRISTAL LTDA</t>
  </si>
  <si>
    <t>OPTICA D CRISTAL (4342)</t>
  </si>
  <si>
    <t>CONTATO@OTICASDCRISTAL.COM.BR</t>
  </si>
  <si>
    <t>RUA BERNARDO OLSEN</t>
  </si>
  <si>
    <t>18181423000110</t>
  </si>
  <si>
    <t>OPTICA E JOALHERIA MERIGO LTDA</t>
  </si>
  <si>
    <t>OTICA E JOALHERIA MERIGO (2039)</t>
  </si>
  <si>
    <t>kikorelojoaria@hotmail.com</t>
  </si>
  <si>
    <t>AVENIDA BRASILIA</t>
  </si>
  <si>
    <t>2030</t>
  </si>
  <si>
    <t>01799780000144</t>
  </si>
  <si>
    <t>OPTICA E RELOJOARIA PAZINI LTDA ME</t>
  </si>
  <si>
    <t>OPTICA E RELOJOARIA PAZINI LTDA ME (680)</t>
  </si>
  <si>
    <t>otica_pazini@hotmail.com</t>
  </si>
  <si>
    <t>RUA CORONEL FIDENCIO DE SOUZA MELLO</t>
  </si>
  <si>
    <t>31255494000189</t>
  </si>
  <si>
    <t>OPTICA E RELOJOARIA VISAO PAPANDUVA LTDA</t>
  </si>
  <si>
    <t>RELOJOARIA E OPTICA VISAO (3930)</t>
  </si>
  <si>
    <t>CRISTIANE_JAKUBIAK@HOTMAIL.COM</t>
  </si>
  <si>
    <t>853</t>
  </si>
  <si>
    <t>PAPANDUVA</t>
  </si>
  <si>
    <t>82087610000139</t>
  </si>
  <si>
    <t>OPTICA ELIZABETH LTDA</t>
  </si>
  <si>
    <t>ELIZABETH OPTICA E MOLDURAS (3305)</t>
  </si>
  <si>
    <t>elizabeth.optica@gmail.com</t>
  </si>
  <si>
    <t>RUA VEREADOR GUILHERME ZUEGE</t>
  </si>
  <si>
    <t>287</t>
  </si>
  <si>
    <t>PIRABEIRABA (PIRABEIRABA)</t>
  </si>
  <si>
    <t>13326604000174</t>
  </si>
  <si>
    <t>OPTICA EMPORIO DA VISAO LTDA ME</t>
  </si>
  <si>
    <t>ÓTICA DIMENSÃO (1833)</t>
  </si>
  <si>
    <t>OPTICAEMPORIOV@HOTMAIL.COM</t>
  </si>
  <si>
    <t>05200116000198</t>
  </si>
  <si>
    <t>OPTICA FABRIS LTDA</t>
  </si>
  <si>
    <t>OPTICA FABRIS LTDA (223)</t>
  </si>
  <si>
    <t>opticasafira1@hotmail.com</t>
  </si>
  <si>
    <t>RUA ANGELO SCHIOCHET</t>
  </si>
  <si>
    <t>04637701000197</t>
  </si>
  <si>
    <t>OPTICA FISCH LTDA</t>
  </si>
  <si>
    <t>OPTICA FISCH (719)</t>
  </si>
  <si>
    <t>evandrofisch@best.com.br</t>
  </si>
  <si>
    <t>RUA FAGUNDES DOS REIS</t>
  </si>
  <si>
    <t>466</t>
  </si>
  <si>
    <t>SL - 12</t>
  </si>
  <si>
    <t>35510317000152</t>
  </si>
  <si>
    <t>OPTICA G.L.A. EIRELI</t>
  </si>
  <si>
    <t>MERCADAO DOS OCULOS (4081)</t>
  </si>
  <si>
    <t>sc-concordia@mercadaodosoculos.com.br</t>
  </si>
  <si>
    <t>816</t>
  </si>
  <si>
    <t>35510317000233</t>
  </si>
  <si>
    <t>OPTICA G.L.A. LTDA.</t>
  </si>
  <si>
    <t>MERCADAO DOS OCULOS</t>
  </si>
  <si>
    <t>sc-concordia02@mercadaodosculos.com.br</t>
  </si>
  <si>
    <t>328</t>
  </si>
  <si>
    <t>SALA 05 TERREO</t>
  </si>
  <si>
    <t>04913329000102</t>
  </si>
  <si>
    <t>OPTICA GRANVILLE LTDA</t>
  </si>
  <si>
    <t>OPTICA GRANVILLE (179)</t>
  </si>
  <si>
    <t>OTICA.AVENIDA@YAHOO.COM.BR</t>
  </si>
  <si>
    <t>04366666000119</t>
  </si>
  <si>
    <t>OPTICA ITAIOPOLIS LTDA ME</t>
  </si>
  <si>
    <t>OPTICA ITAIOPOLIS LTDA ME (481)</t>
  </si>
  <si>
    <t>opticaitaiopolis@hotmail.com</t>
  </si>
  <si>
    <t>RUA 28 DE OUTUBRO</t>
  </si>
  <si>
    <t>14958795000150</t>
  </si>
  <si>
    <t>OPTICA LEAL E BARBOSA LTDA - ME</t>
  </si>
  <si>
    <t>MULTIOPTICA (1877)</t>
  </si>
  <si>
    <t>multioptica@hotmail.com</t>
  </si>
  <si>
    <t>RUA EMILIA GIOPPO BRASIL</t>
  </si>
  <si>
    <t>367</t>
  </si>
  <si>
    <t>GIOPPO</t>
  </si>
  <si>
    <t>09533748000124</t>
  </si>
  <si>
    <t>OPTICA PAPANDUVA LTDA</t>
  </si>
  <si>
    <t>OPTICA LUZ (1411)</t>
  </si>
  <si>
    <t>813</t>
  </si>
  <si>
    <t>18377096000177</t>
  </si>
  <si>
    <t>OPTICA PARA TODOS LTDA ME</t>
  </si>
  <si>
    <t>OPTICA CANOINHAS (2023)</t>
  </si>
  <si>
    <t>opticaptodos@hotmail.com</t>
  </si>
  <si>
    <t>RUA  SENADOR FELIPE SCHMIDT</t>
  </si>
  <si>
    <t>382</t>
  </si>
  <si>
    <t>91</t>
  </si>
  <si>
    <t>30023625000130</t>
  </si>
  <si>
    <t>OPTICA PONTUAL PRIME LTDA</t>
  </si>
  <si>
    <t>PONTUAL PRIME (4315)</t>
  </si>
  <si>
    <t>LAB2@PONTUALPRIME.COM.BR</t>
  </si>
  <si>
    <t>1493</t>
  </si>
  <si>
    <t>46207637000316</t>
  </si>
  <si>
    <t>ÓPTICA RC LTDA</t>
  </si>
  <si>
    <t>OTICAS RECRIS SHOPPING</t>
  </si>
  <si>
    <t>loja2@oticasrecris.com</t>
  </si>
  <si>
    <t>AVENIDA FERNANDO MACHADO - D</t>
  </si>
  <si>
    <t>SALA 55</t>
  </si>
  <si>
    <t>46207637000154</t>
  </si>
  <si>
    <t>OPTICA RC LTDA.</t>
  </si>
  <si>
    <t>OTICAS RECRIS PINHALZINHO</t>
  </si>
  <si>
    <t>loja4@oticasrecris.com</t>
  </si>
  <si>
    <t>RUA JOAO PESSOA</t>
  </si>
  <si>
    <t>SALA 1002</t>
  </si>
  <si>
    <t>46207637000235</t>
  </si>
  <si>
    <t>OPTICA RC (4535)</t>
  </si>
  <si>
    <t>LINDAMIR@OTICASRECRIS.COM</t>
  </si>
  <si>
    <t>31838164000116</t>
  </si>
  <si>
    <t>OPTICA RETRO LTDA</t>
  </si>
  <si>
    <t>OPTICA RETRO (4291)</t>
  </si>
  <si>
    <t>retrooptica@gmail.com</t>
  </si>
  <si>
    <t>RUA SENADOR FELIPE SCHIMIDT</t>
  </si>
  <si>
    <t>12702814000157</t>
  </si>
  <si>
    <t>OPTICA SAO LUIZ LTDA</t>
  </si>
  <si>
    <t>OPTICA SAO LUIZ (1790)</t>
  </si>
  <si>
    <t>OPTICASAOLUIZ@HOTMAIL.COM</t>
  </si>
  <si>
    <t>685</t>
  </si>
  <si>
    <t>14958767000132</t>
  </si>
  <si>
    <t>OPTICA TOMAZELI LTDA ME</t>
  </si>
  <si>
    <t>OPTICA TOMAZELI (1881)</t>
  </si>
  <si>
    <t>jorge@tomazeli.com.br</t>
  </si>
  <si>
    <t>320</t>
  </si>
  <si>
    <t>266</t>
  </si>
  <si>
    <t>15048254000238</t>
  </si>
  <si>
    <t>OPTICA TOMAZI LTDA - ME</t>
  </si>
  <si>
    <t>OPTICA TOMAZI (3375)</t>
  </si>
  <si>
    <t>atendimento@opticaconfortovisual.com.br</t>
  </si>
  <si>
    <t>RUA 11 DE NOVEMBRO</t>
  </si>
  <si>
    <t>2503</t>
  </si>
  <si>
    <t>MASSARANDUBA</t>
  </si>
  <si>
    <t>06109955000168</t>
  </si>
  <si>
    <t>OPTICA VIDEIRA LTDA  ME</t>
  </si>
  <si>
    <t>OPTICA VIDEIRA (1703)</t>
  </si>
  <si>
    <t>opticavideira@formatto.com.br</t>
  </si>
  <si>
    <t>RUA ANTONIO MARAFON</t>
  </si>
  <si>
    <t>VIDEIRA</t>
  </si>
  <si>
    <t>20951792000197</t>
  </si>
  <si>
    <t>OPTICA VILLA NOVA LTDA ME</t>
  </si>
  <si>
    <t>OPTICA VILLA NOVA LTDA ME (2156)</t>
  </si>
  <si>
    <t>6918</t>
  </si>
  <si>
    <t>35608293000179</t>
  </si>
  <si>
    <t>OPTICA VISAO ITAIOPOLIS LTDA</t>
  </si>
  <si>
    <t>OPTICA VISAO ITAIOPOLIS (4272)</t>
  </si>
  <si>
    <t>RUA CALÇADÃO PAPA JOÃO PAULO II</t>
  </si>
  <si>
    <t>07697973000170</t>
  </si>
  <si>
    <t>OPTICA VISUALE LTDA</t>
  </si>
  <si>
    <t>OPTICA VISUAL (1410)</t>
  </si>
  <si>
    <t>visualplus@terra.com.br</t>
  </si>
  <si>
    <t>RUA BRASIL OESTE</t>
  </si>
  <si>
    <t>253</t>
  </si>
  <si>
    <t>03130842000156</t>
  </si>
  <si>
    <t>OPTICA VISUALPLUS LTDA  ME</t>
  </si>
  <si>
    <t>OPTICA VISUALPLUS LTDA ME (714)</t>
  </si>
  <si>
    <t>opvisual@hotmail.com</t>
  </si>
  <si>
    <t>447</t>
  </si>
  <si>
    <t>00142823000151</t>
  </si>
  <si>
    <t>ORGANIZACOES OPTICAS CARVALHO LTDA</t>
  </si>
  <si>
    <t>OTICA LUZ (291)</t>
  </si>
  <si>
    <t>opticaluz782@yahoo.com.br</t>
  </si>
  <si>
    <t>RUA Senador Felipe Schimidt</t>
  </si>
  <si>
    <t>180</t>
  </si>
  <si>
    <t>80740962000469</t>
  </si>
  <si>
    <t>ORO ORGANIZACOES RODRIGUES DE OTICAS LTDA - EPP</t>
  </si>
  <si>
    <t>O.R.O. ORG. RODRIGUES DE OTICAS LTDA (249)</t>
  </si>
  <si>
    <t>RUA XV DE NOVEMBRO</t>
  </si>
  <si>
    <t>30288331000130</t>
  </si>
  <si>
    <t>OTC COMERCIO DE ARTIGOS OPTICOS LTDA</t>
  </si>
  <si>
    <t>OTICA GRENDELLI (3878)</t>
  </si>
  <si>
    <t>oticagrendelli@grendelli.com.br</t>
  </si>
  <si>
    <t>42967966000142</t>
  </si>
  <si>
    <t>OTEEFAH CB LTDA</t>
  </si>
  <si>
    <t>OTICA CHILLIBEANS (4396)</t>
  </si>
  <si>
    <t>PEDROBELLIS@GMAIL.COM</t>
  </si>
  <si>
    <t>315</t>
  </si>
  <si>
    <t>LETRA E SALA 01</t>
  </si>
  <si>
    <t>07272257000141</t>
  </si>
  <si>
    <t>OTICA ALBANO LTDA</t>
  </si>
  <si>
    <t>OTICA EVERSSON (753)</t>
  </si>
  <si>
    <t>1345</t>
  </si>
  <si>
    <t>20977325000136</t>
  </si>
  <si>
    <t>OTICA ALINE LTDA</t>
  </si>
  <si>
    <t>OTICA ALINE (4208)</t>
  </si>
  <si>
    <t>oticaalinefinanceiro@gmail.com</t>
  </si>
  <si>
    <t>RUA CAPITAO ELEUTERIO</t>
  </si>
  <si>
    <t>470</t>
  </si>
  <si>
    <t>03432975000187</t>
  </si>
  <si>
    <t>OTICA ALINE LTDA ME</t>
  </si>
  <si>
    <t>OTICA ALINE LTDA ME (623)</t>
  </si>
  <si>
    <t>oticasantacatarina@bol.com.br</t>
  </si>
  <si>
    <t>690</t>
  </si>
  <si>
    <t>23433289000138</t>
  </si>
  <si>
    <t>OTICA ALTERNATIVA LTDA</t>
  </si>
  <si>
    <t>OTICA ALTERNATIVA (3892)</t>
  </si>
  <si>
    <t>alternativa.otica@hotmail.com</t>
  </si>
  <si>
    <t>RUA MARECHAL JOSE B. BORMANN - E</t>
  </si>
  <si>
    <t>SL01</t>
  </si>
  <si>
    <t>18284857000146</t>
  </si>
  <si>
    <t>OTICA AMS LTDA ME</t>
  </si>
  <si>
    <t>SUPER OTICA SÃO JOSE (2037)</t>
  </si>
  <si>
    <t>ALINE_MS20@HOTMAIL.COM</t>
  </si>
  <si>
    <t>377</t>
  </si>
  <si>
    <t>SALA 123</t>
  </si>
  <si>
    <t>31591267000205</t>
  </si>
  <si>
    <t>OTICA ARYA LTDA</t>
  </si>
  <si>
    <t>OTICAS ARYA (4692)</t>
  </si>
  <si>
    <t>OTICAARYAPREMIER@GMAIL.COM</t>
  </si>
  <si>
    <t>DOM PEDRO II</t>
  </si>
  <si>
    <t>35</t>
  </si>
  <si>
    <t>SALA 110 PISO 1</t>
  </si>
  <si>
    <t>31591267000124</t>
  </si>
  <si>
    <t>OTICA ARYA (3948)</t>
  </si>
  <si>
    <t>oticasarya@gmail.com</t>
  </si>
  <si>
    <t>RUA VICTOR MEIRELLES</t>
  </si>
  <si>
    <t>340</t>
  </si>
  <si>
    <t>MATRIZ</t>
  </si>
  <si>
    <t>45728567000117</t>
  </si>
  <si>
    <t>OTICA AVENTUREIRO LTDA</t>
  </si>
  <si>
    <t>OTICA BOM JESUS (4685)</t>
  </si>
  <si>
    <t>THIAGO.GOMES2112@GMAIL.COM</t>
  </si>
  <si>
    <t>RUA ANTONIO JORGE CECYN</t>
  </si>
  <si>
    <t>201</t>
  </si>
  <si>
    <t>51300067000182</t>
  </si>
  <si>
    <t>OTICA BS LTDA</t>
  </si>
  <si>
    <t>OTICA BS (4746)</t>
  </si>
  <si>
    <t>OTICA.BS.ADM@GMAIL.COM</t>
  </si>
  <si>
    <t>1329</t>
  </si>
  <si>
    <t>84584044000104</t>
  </si>
  <si>
    <t>OTICA CALLIARI LTDA</t>
  </si>
  <si>
    <t>OTICA CALLIARI LTDA (47)</t>
  </si>
  <si>
    <t>comercial@oticacalliari.com.br</t>
  </si>
  <si>
    <t>AVENIDA XV DE NOVEMBRO</t>
  </si>
  <si>
    <t>28087654000113</t>
  </si>
  <si>
    <t>OTICA CAPINZAL LTDA - ME</t>
  </si>
  <si>
    <t>OTICA VISUAL (3839)</t>
  </si>
  <si>
    <t>oticacapinzal@gmail.com</t>
  </si>
  <si>
    <t>RUA ERNESTO HACHMANN</t>
  </si>
  <si>
    <t>174</t>
  </si>
  <si>
    <t>06036734000298</t>
  </si>
  <si>
    <t>OTICA CARLOS LTDA</t>
  </si>
  <si>
    <t>OTICA CARLOS LTDA (902)</t>
  </si>
  <si>
    <t>martaocv@gmail.com</t>
  </si>
  <si>
    <t>1000</t>
  </si>
  <si>
    <t>06036734000107</t>
  </si>
  <si>
    <t>OTICA CARLOS LTDA ME</t>
  </si>
  <si>
    <t>OTICA CARLOS LTDA (490)</t>
  </si>
  <si>
    <t>37370287000151</t>
  </si>
  <si>
    <t>OTICA CATARINA LTDA</t>
  </si>
  <si>
    <t>OTICA SANTA CATARINA (4211)</t>
  </si>
  <si>
    <t>RUA DONA FRANCISCA</t>
  </si>
  <si>
    <t>8300</t>
  </si>
  <si>
    <t>BLOCO L SALA 13</t>
  </si>
  <si>
    <t>ZONA INDUSTRIAL NORTE</t>
  </si>
  <si>
    <t>37927495000109</t>
  </si>
  <si>
    <t>OTICA CENTRAL VIDEIRENSE LTDA</t>
  </si>
  <si>
    <t>OTICA VIDEIRENSE (4184)</t>
  </si>
  <si>
    <t>OTICAVIDEIRENSE@GMAIL.COM</t>
  </si>
  <si>
    <t>RUA OSVALDO CRUZ</t>
  </si>
  <si>
    <t>62</t>
  </si>
  <si>
    <t>SL 305 3° ANDAR</t>
  </si>
  <si>
    <t>09258186000158</t>
  </si>
  <si>
    <t>OTICA COELHO LTDA</t>
  </si>
  <si>
    <t>OTICA COELHO  (2186)</t>
  </si>
  <si>
    <t>OTICACOELHO@GMAIL.COM</t>
  </si>
  <si>
    <t>RUA JOSÉ BOITEUX</t>
  </si>
  <si>
    <t>17977576000106</t>
  </si>
  <si>
    <t>OTICA CONCEITO LTDA ME</t>
  </si>
  <si>
    <t>BELLA OPTICA (2047)</t>
  </si>
  <si>
    <t>BELLA.OPTICA@HOTMAIL.COM</t>
  </si>
  <si>
    <t>37789533000295</t>
  </si>
  <si>
    <t>OTICA CONCEITUS LTDA</t>
  </si>
  <si>
    <t>OTICA CONCEITUS (4638)</t>
  </si>
  <si>
    <t>FINANCEIROCONCEITUS7@GMAIL.COM</t>
  </si>
  <si>
    <t>251-D</t>
  </si>
  <si>
    <t>37789533000104</t>
  </si>
  <si>
    <t>OTICA CONCEITUS (4173)</t>
  </si>
  <si>
    <t>oticaconceitus7@gmail.com</t>
  </si>
  <si>
    <t>AVENIDA FERNANDO MACHADO</t>
  </si>
  <si>
    <t>605-D</t>
  </si>
  <si>
    <t>37871440000124</t>
  </si>
  <si>
    <t>OTICA DAYAS LTDA</t>
  </si>
  <si>
    <t>OTICA DAYAS (4242)</t>
  </si>
  <si>
    <t>oticadayas@gmail.com</t>
  </si>
  <si>
    <t>2605</t>
  </si>
  <si>
    <t>19955201000170</t>
  </si>
  <si>
    <t>OTICA E RELOJOARIA ERECHIM LTDA</t>
  </si>
  <si>
    <t>OTICAS CAROL ERECHIM (2091)</t>
  </si>
  <si>
    <t>luzoticaerechim@yahoo.com.br</t>
  </si>
  <si>
    <t>441</t>
  </si>
  <si>
    <t>45672742000100</t>
  </si>
  <si>
    <t>OTICA E RELOJOARIA L.E. ZORZI LTDA</t>
  </si>
  <si>
    <t>OTICA SAO JOSE ERECHIM (4495)</t>
  </si>
  <si>
    <t>LUIS.ZORZI10@GMAIL.COM</t>
  </si>
  <si>
    <t>RUA NELSON EHLERS</t>
  </si>
  <si>
    <t>12573695000180</t>
  </si>
  <si>
    <t>OTICA ESPECIALISTA LTDA ME</t>
  </si>
  <si>
    <t>OTICA ESPECIALISTA LTDA ME (1909)</t>
  </si>
  <si>
    <t>oticaespecialistachapeco@gmail.com</t>
  </si>
  <si>
    <t>LETRA D</t>
  </si>
  <si>
    <t>06148844000160</t>
  </si>
  <si>
    <t>OTICA EVERSSON LTDA ME</t>
  </si>
  <si>
    <t>OTICA EVERSSON LTDA ME (519)</t>
  </si>
  <si>
    <t>1674</t>
  </si>
  <si>
    <t>01999775000185</t>
  </si>
  <si>
    <t>OTICA FERNANDES LTDA</t>
  </si>
  <si>
    <t>OTICA BELA VISTA (1325)</t>
  </si>
  <si>
    <t>oticabelavistaenseada@gmail.com</t>
  </si>
  <si>
    <t>AVENIDA ATLANTICA</t>
  </si>
  <si>
    <t>ENSEADA</t>
  </si>
  <si>
    <t>08204418000122</t>
  </si>
  <si>
    <t>OTICA FUTURA LTDA</t>
  </si>
  <si>
    <t>BRASOPTICA  -  OCCHIALERIA (1348)</t>
  </si>
  <si>
    <t>brasoptica@hotmail.com</t>
  </si>
  <si>
    <t>283</t>
  </si>
  <si>
    <t>05556583000155</t>
  </si>
  <si>
    <t>OTICA GARUVA LTDA ME</t>
  </si>
  <si>
    <t>OTICA GARUVA  (305)</t>
  </si>
  <si>
    <t>oticagaruva@hotmail.com</t>
  </si>
  <si>
    <t>PARANA</t>
  </si>
  <si>
    <t>703</t>
  </si>
  <si>
    <t>46382823000120</t>
  </si>
  <si>
    <t>OTICA GM LTDA</t>
  </si>
  <si>
    <t>MERCADÃO DOS OCULOS 02</t>
  </si>
  <si>
    <t>sc-chapeco02@mercadaodosoculos.com.br</t>
  </si>
  <si>
    <t>85E</t>
  </si>
  <si>
    <t>- ATE 479/480</t>
  </si>
  <si>
    <t>18388252000103</t>
  </si>
  <si>
    <t>OTICA GUARAMIRIM LTDA - ME</t>
  </si>
  <si>
    <t>OTICA GUARAMIRIM (2057)</t>
  </si>
  <si>
    <t>oticaguaramirim@hotmail.com</t>
  </si>
  <si>
    <t>RUA GERONIMO CORREIA</t>
  </si>
  <si>
    <t>147</t>
  </si>
  <si>
    <t>SALA 001</t>
  </si>
  <si>
    <t>79195996000198</t>
  </si>
  <si>
    <t>OTICA HENNING LTDA</t>
  </si>
  <si>
    <t>OTICA HENNING LTDA (310)</t>
  </si>
  <si>
    <t>JR.HENNING71@GMAIL.COM</t>
  </si>
  <si>
    <t>528</t>
  </si>
  <si>
    <t>85282515000346</t>
  </si>
  <si>
    <t>OTICA HERTEL LTDA</t>
  </si>
  <si>
    <t>OTICA HERTEL LTDA (1762)</t>
  </si>
  <si>
    <t>contatooticahertel@outlook.com</t>
  </si>
  <si>
    <t>739</t>
  </si>
  <si>
    <t>85282515000184</t>
  </si>
  <si>
    <t>OTICA HERTEL LTDA (311)</t>
  </si>
  <si>
    <t>oticamomm@oticamomm.com.br</t>
  </si>
  <si>
    <t>75871467000106</t>
  </si>
  <si>
    <t>OTICA IGUAÇU LTDA</t>
  </si>
  <si>
    <t>IGUAÇU - PORTO UNIAO (315)</t>
  </si>
  <si>
    <t>oticaiguacu@oticaiguacu.com.br</t>
  </si>
  <si>
    <t>HERCILIO LUZ</t>
  </si>
  <si>
    <t>PORTO UNIAO</t>
  </si>
  <si>
    <t>19782328000135</t>
  </si>
  <si>
    <t>OTICA IN CASA LTDA</t>
  </si>
  <si>
    <t>FAK REPRESENTACAO (4043)</t>
  </si>
  <si>
    <t>hangelamaes@gmail.com</t>
  </si>
  <si>
    <t>RUA CIDADE DE DAMASCO</t>
  </si>
  <si>
    <t>531</t>
  </si>
  <si>
    <t>ITAUM</t>
  </si>
  <si>
    <t>29951377000108</t>
  </si>
  <si>
    <t>OTICA JADE COMERCIO DE PRODUTOS OPTICOS EIRELI</t>
  </si>
  <si>
    <t>OTICA JADE (3888)</t>
  </si>
  <si>
    <t>loja3.oticajade@gmail.com</t>
  </si>
  <si>
    <t>514</t>
  </si>
  <si>
    <t>SL 3</t>
  </si>
  <si>
    <t>20405124000164</t>
  </si>
  <si>
    <t>OTICA JLV LTDA ME</t>
  </si>
  <si>
    <t>OTICA DINIZ (2145)</t>
  </si>
  <si>
    <t>estoquedinizjoinville@hotmail.com</t>
  </si>
  <si>
    <t>406</t>
  </si>
  <si>
    <t>75276501000102</t>
  </si>
  <si>
    <t>OTICA KAMPMANN LTDA</t>
  </si>
  <si>
    <t>OTICA BRASIL (374)</t>
  </si>
  <si>
    <t>01944133000189</t>
  </si>
  <si>
    <t>OTICA LIPSKI LTDA</t>
  </si>
  <si>
    <t>OTICA LIPSKI LTDA (1173)</t>
  </si>
  <si>
    <t>187</t>
  </si>
  <si>
    <t>22218034000190</t>
  </si>
  <si>
    <t>OTICA LUIZA LTDA</t>
  </si>
  <si>
    <t>OTICA LUIZA (4589)</t>
  </si>
  <si>
    <t>OTICA_LUIZA@HOTMAIL.COM</t>
  </si>
  <si>
    <t>76</t>
  </si>
  <si>
    <t>SALA C</t>
  </si>
  <si>
    <t>03852616000189</t>
  </si>
  <si>
    <t>OTICA MANCHESTER LTDA</t>
  </si>
  <si>
    <t>OTICA MANCHESTER LTDA (1213)</t>
  </si>
  <si>
    <t>otica.manchester@hotmail.com</t>
  </si>
  <si>
    <t>37310152000109</t>
  </si>
  <si>
    <t>OTICA MARTINS VERAS LTDA</t>
  </si>
  <si>
    <t>OTICA VER + (4177)</t>
  </si>
  <si>
    <t>tonimveras@hotmail.com</t>
  </si>
  <si>
    <t>32013142000260</t>
  </si>
  <si>
    <t>OTICA MEDEIROS LTDA</t>
  </si>
  <si>
    <t>MERCADAO DOS OCULOS(4301)</t>
  </si>
  <si>
    <t>MDOVIDEIRA@GMAIL.COM</t>
  </si>
  <si>
    <t>619</t>
  </si>
  <si>
    <t>32013142000180</t>
  </si>
  <si>
    <t>OTICA MEDEIROS LTDA ME</t>
  </si>
  <si>
    <t>MERCADAO DOS OCULOS (3963)</t>
  </si>
  <si>
    <t>adrianarichtermedeiros73@gmail.com</t>
  </si>
  <si>
    <t>777</t>
  </si>
  <si>
    <t>08334384000271</t>
  </si>
  <si>
    <t>OTICA MULLER LTDA</t>
  </si>
  <si>
    <t>OTICA MULLER (1368)</t>
  </si>
  <si>
    <t>oticamuller@terra.com.br</t>
  </si>
  <si>
    <t>RUA BOEHMERWALD</t>
  </si>
  <si>
    <t>774</t>
  </si>
  <si>
    <t>BOEHMERWALD</t>
  </si>
  <si>
    <t>08334384000190</t>
  </si>
  <si>
    <t>OTICA MULLER LTDA (967)</t>
  </si>
  <si>
    <t>509</t>
  </si>
  <si>
    <t>26283570000120</t>
  </si>
  <si>
    <t>OTICA N. D. LTDA</t>
  </si>
  <si>
    <t>MERCADAO DOS OCULOS (3995)</t>
  </si>
  <si>
    <t>sc-chapeco@mercadaodosoculos.com.br</t>
  </si>
  <si>
    <t>113</t>
  </si>
  <si>
    <t>86048105000136</t>
  </si>
  <si>
    <t>OTICA PARAISO DA SERRA EIRELI - EPP</t>
  </si>
  <si>
    <t>OTICA PARAISO SERRA EIRELLE (423)</t>
  </si>
  <si>
    <t>cristarpl@yahoo.com.br</t>
  </si>
  <si>
    <t>AVENIDA DR GETULIO VARGAS</t>
  </si>
  <si>
    <t>CAMPO ALEGRE</t>
  </si>
  <si>
    <t>22792029000196</t>
  </si>
  <si>
    <t>OTICA PASQUAL LTDA</t>
  </si>
  <si>
    <t>OTICA PASQUAL LTDA EPP (2275)</t>
  </si>
  <si>
    <t>pasqualotica@gmail.com</t>
  </si>
  <si>
    <t>300</t>
  </si>
  <si>
    <t>34644811000147</t>
  </si>
  <si>
    <t>OTICA PECK FERRARI LTDA</t>
  </si>
  <si>
    <t>OTICA PRECO POPULAR (4072)</t>
  </si>
  <si>
    <t>OTICAPRECOPOPULARJOINVILLE@GMAIL.COM</t>
  </si>
  <si>
    <t>47663212000112</t>
  </si>
  <si>
    <t>OTICA PERFIL LTDA</t>
  </si>
  <si>
    <t>OTICA PERFIL</t>
  </si>
  <si>
    <t>oticaperfilcco@gmail.com</t>
  </si>
  <si>
    <t>AVENIDA PORTO ALEGRE - D</t>
  </si>
  <si>
    <t>- ATE 619/620</t>
  </si>
  <si>
    <t>38207002000129</t>
  </si>
  <si>
    <t>OTICA PETRY LTDA</t>
  </si>
  <si>
    <t>OTICA PETRY (4206)</t>
  </si>
  <si>
    <t>oticapetry@gmail.com</t>
  </si>
  <si>
    <t>RUA MONSENHOR GERCINO</t>
  </si>
  <si>
    <t>1286</t>
  </si>
  <si>
    <t>50397679000172</t>
  </si>
  <si>
    <t>OTICA POPULAR BOEHMERWALD LTDA</t>
  </si>
  <si>
    <t>OTICA POPULAR (4709)</t>
  </si>
  <si>
    <t>ISAALBANO21@HOTMAIL.COM</t>
  </si>
  <si>
    <t>820</t>
  </si>
  <si>
    <t>44346001000168</t>
  </si>
  <si>
    <t>OTICA PRECISAO LTDA</t>
  </si>
  <si>
    <t>OTICAS PRECISAO (4437)</t>
  </si>
  <si>
    <t>PRECISAOXAXIM@GMAIL.COM</t>
  </si>
  <si>
    <t>PLINIO ARLINDO DE NES</t>
  </si>
  <si>
    <t>828</t>
  </si>
  <si>
    <t>83019372000197</t>
  </si>
  <si>
    <t>OTICA PRECISAO LTDA - EPP</t>
  </si>
  <si>
    <t>OTICA PRECISAO (3818)</t>
  </si>
  <si>
    <t>EMANUELACARVALHO@HOTMAIL.COM</t>
  </si>
  <si>
    <t>82175498000198</t>
  </si>
  <si>
    <t>OTICA PRINCIPE LTDA</t>
  </si>
  <si>
    <t>OTICA PRINCIPE (56)</t>
  </si>
  <si>
    <t>oticaprincipe@ig.com.br</t>
  </si>
  <si>
    <t>729</t>
  </si>
  <si>
    <t>366</t>
  </si>
  <si>
    <t>85346955000158</t>
  </si>
  <si>
    <t>OTICA PUPILA LTDA</t>
  </si>
  <si>
    <t>OTICA PUPILA (345)</t>
  </si>
  <si>
    <t>91916197000169</t>
  </si>
  <si>
    <t>OTICA PUPILENTES LTDA</t>
  </si>
  <si>
    <t>OTICA PUPILENTES (346)</t>
  </si>
  <si>
    <t>oticapupilentes@yahoo.com.br</t>
  </si>
  <si>
    <t>87</t>
  </si>
  <si>
    <t>11517436000179</t>
  </si>
  <si>
    <t>OTICA RAFAELA LTDA</t>
  </si>
  <si>
    <t>OTICA TRADICAO (4499)</t>
  </si>
  <si>
    <t>OTICATRADICAOJLLE@GMAIL.COM</t>
  </si>
  <si>
    <t>978</t>
  </si>
  <si>
    <t>73223000000124</t>
  </si>
  <si>
    <t>OTICA REAL LTDA</t>
  </si>
  <si>
    <t>OTICA REAL LTDA (585)</t>
  </si>
  <si>
    <t>jlle_oticareal@hotmail.com</t>
  </si>
  <si>
    <t>110</t>
  </si>
  <si>
    <t>80860182000100</t>
  </si>
  <si>
    <t>OTICA REAL WUNDERLICH LTDA</t>
  </si>
  <si>
    <t>OTICA REAL  (114)</t>
  </si>
  <si>
    <t>OTICA-REAL@OUTLOOK.COM</t>
  </si>
  <si>
    <t>221</t>
  </si>
  <si>
    <t>RIO NEGRO</t>
  </si>
  <si>
    <t>92186253000110</t>
  </si>
  <si>
    <t>OTICA REBELATTO LTDA ME</t>
  </si>
  <si>
    <t>OTICA REBELATTO LTDA ME (745)</t>
  </si>
  <si>
    <t>OPTICA.REBELATTO@HOTMAIL.COM</t>
  </si>
  <si>
    <t>SL 46</t>
  </si>
  <si>
    <t>95865069000194</t>
  </si>
  <si>
    <t>OTICA RELOJOARIA ORION</t>
  </si>
  <si>
    <t>OTICA E RELOJOARIA ORION (934)</t>
  </si>
  <si>
    <t>oticaorion@hotmail.com</t>
  </si>
  <si>
    <t>RUA CONCELHEIRO PEDREIRA</t>
  </si>
  <si>
    <t>73871394000127</t>
  </si>
  <si>
    <t>OTICA SANTA CATARINA LTDA</t>
  </si>
  <si>
    <t>OTICA SANTA CATARINA LTDA (662)</t>
  </si>
  <si>
    <t>73871394000208</t>
  </si>
  <si>
    <t>OTICA SANTA CATARINA LTDA ME</t>
  </si>
  <si>
    <t>OTICA SANTA CATARINA LTDA ME (1017)</t>
  </si>
  <si>
    <t>05301036000129</t>
  </si>
  <si>
    <t>OTICA SANTO ANDRE LTDA</t>
  </si>
  <si>
    <t>OTICA SANTO ANDRE LTDA (230)</t>
  </si>
  <si>
    <t>RUA PRINCESA IZABEL</t>
  </si>
  <si>
    <t>347</t>
  </si>
  <si>
    <t>SALA02</t>
  </si>
  <si>
    <t>02238843000156</t>
  </si>
  <si>
    <t>OTICA SAO FRANCISCO LTDA ME</t>
  </si>
  <si>
    <t>OTICA SAO FRANCISCO LTDA ME (752)</t>
  </si>
  <si>
    <t>RUA LAURO MULLER</t>
  </si>
  <si>
    <t>20587881000104</t>
  </si>
  <si>
    <t>OTICA SEARA LTDA</t>
  </si>
  <si>
    <t>OTICA SEARA (2221)</t>
  </si>
  <si>
    <t>oticaseara@gmail.com</t>
  </si>
  <si>
    <t>RUA HERCULANO ZANUSO</t>
  </si>
  <si>
    <t>532</t>
  </si>
  <si>
    <t>BAIRRO INDUSTRIAL</t>
  </si>
  <si>
    <t>13140732000129</t>
  </si>
  <si>
    <t>OTICA SILVA MELO LTDA ME</t>
  </si>
  <si>
    <t>OTICA DINIZ (1804)</t>
  </si>
  <si>
    <t>RUA R. DO PRINCIPE</t>
  </si>
  <si>
    <t>292</t>
  </si>
  <si>
    <t>13170447000150</t>
  </si>
  <si>
    <t>OTICA SMV LTDA ME</t>
  </si>
  <si>
    <t>OTICA DINIZ (1807)</t>
  </si>
  <si>
    <t>financeirodiniz02@gmail.com</t>
  </si>
  <si>
    <t>RUA VISCONDE DE TAUNAY</t>
  </si>
  <si>
    <t>LOJA 004</t>
  </si>
  <si>
    <t>07515600000131</t>
  </si>
  <si>
    <t>OTICA VEJA BEM EIRELI EPP</t>
  </si>
  <si>
    <t>VEJA BEM OTICA (792)</t>
  </si>
  <si>
    <t>vejabem@oticavejabem.com.br</t>
  </si>
  <si>
    <t>F</t>
  </si>
  <si>
    <t>43702043000121</t>
  </si>
  <si>
    <t>OTICA VIA EXATA LIMITADA</t>
  </si>
  <si>
    <t>VIA EXATA (4421)</t>
  </si>
  <si>
    <t>FINANCEIRO@WOPEFRANCHISING.COM.BR</t>
  </si>
  <si>
    <t>RUA HENRIQUE SCHWARZ</t>
  </si>
  <si>
    <t>26</t>
  </si>
  <si>
    <t>85125680000122</t>
  </si>
  <si>
    <t>OTICA VISION LTDA</t>
  </si>
  <si>
    <t>OTICA VISION (367)</t>
  </si>
  <si>
    <t>22653617000149</t>
  </si>
  <si>
    <t>OTICA VISOLENS LTDA</t>
  </si>
  <si>
    <t>OTICA VISOLENS (4288)</t>
  </si>
  <si>
    <t>flaviavexani@hotmail.com</t>
  </si>
  <si>
    <t>AVENIDA JUSCELINO KUBITSCHEK</t>
  </si>
  <si>
    <t>410</t>
  </si>
  <si>
    <t>SALA 03 TERREO</t>
  </si>
  <si>
    <t>233</t>
  </si>
  <si>
    <t>05023673000342</t>
  </si>
  <si>
    <t>OTICA VISOR EIRELI EPP</t>
  </si>
  <si>
    <t>OTICA FACIAL (2288)</t>
  </si>
  <si>
    <t>RUA CAMBORIU</t>
  </si>
  <si>
    <t>230</t>
  </si>
  <si>
    <t>SALA 8</t>
  </si>
  <si>
    <t>GLORIA</t>
  </si>
  <si>
    <t>05023673000180</t>
  </si>
  <si>
    <t>OTICA VISOR LTDA</t>
  </si>
  <si>
    <t>OTICA VISOR LTDA (178)</t>
  </si>
  <si>
    <t>MARIOLOBO@OTICAFACIAL.COM.BR</t>
  </si>
  <si>
    <t>246</t>
  </si>
  <si>
    <t>05023673000261</t>
  </si>
  <si>
    <t>OTICA VISOR LTDA ME</t>
  </si>
  <si>
    <t>OTICA FACIAL (1948)</t>
  </si>
  <si>
    <t>1098</t>
  </si>
  <si>
    <t>41789186000197</t>
  </si>
  <si>
    <t>OTICA VISS LTDA</t>
  </si>
  <si>
    <t>OTICA VISS (4497)</t>
  </si>
  <si>
    <t>OTICASVISS@GMAIL.COM</t>
  </si>
  <si>
    <t>475</t>
  </si>
  <si>
    <t>SALA:3</t>
  </si>
  <si>
    <t>14228334000121</t>
  </si>
  <si>
    <t>OTICA VM LTDA ME</t>
  </si>
  <si>
    <t>OTICA DINIZ (1856)</t>
  </si>
  <si>
    <t>vivianearaujorn@hotmail.com</t>
  </si>
  <si>
    <t>3584</t>
  </si>
  <si>
    <t>29794830000110</t>
  </si>
  <si>
    <t>OTICA ZANFIR EIRELI</t>
  </si>
  <si>
    <t>OTICA ZANFIR EIRELI (3862)</t>
  </si>
  <si>
    <t>cristiano.zanfir@yahoo.com.br</t>
  </si>
  <si>
    <t>RUA TORRES GONCALVES</t>
  </si>
  <si>
    <t>305</t>
  </si>
  <si>
    <t>27921076000297</t>
  </si>
  <si>
    <t>OTICAS CAROLINE LTDA</t>
  </si>
  <si>
    <t>OTICAS CAROLINE CENTRO (4115)</t>
  </si>
  <si>
    <t>178</t>
  </si>
  <si>
    <t>26431217000140</t>
  </si>
  <si>
    <t>OTICAS COMPLETA E TREINAMENTOS EIRELI - ME</t>
  </si>
  <si>
    <t>OTICAS COMPLETA (3843)</t>
  </si>
  <si>
    <t>298</t>
  </si>
  <si>
    <t>42167964000179</t>
  </si>
  <si>
    <t>OTICAS EVO LTDA</t>
  </si>
  <si>
    <t>OTICA EVO (4425)</t>
  </si>
  <si>
    <t>OTICASEVOMATRIZ@GMAIL.COM</t>
  </si>
  <si>
    <t>651</t>
  </si>
  <si>
    <t>47258893000133</t>
  </si>
  <si>
    <t>OTICAS FG LTDA</t>
  </si>
  <si>
    <t>OTICAS RECRIS (4571)</t>
  </si>
  <si>
    <t>CONCORDIA@OTICASRECRIS.COM</t>
  </si>
  <si>
    <t>31701870000111</t>
  </si>
  <si>
    <t>OTICAS MEIRA MORAES LTDA</t>
  </si>
  <si>
    <t>OTICAS MORAES (3945)</t>
  </si>
  <si>
    <t>oticasmoraes18@gmail.com</t>
  </si>
  <si>
    <t>RUA VICE-PREFEITO LUIZ CARLOS GARCIA</t>
  </si>
  <si>
    <t>1079</t>
  </si>
  <si>
    <t>31701870000200</t>
  </si>
  <si>
    <t>OTICAS MORAES (4162)</t>
  </si>
  <si>
    <t>supervisao@oticasmoraes.com</t>
  </si>
  <si>
    <t>RUA DOS GINASTICOS</t>
  </si>
  <si>
    <t>LADO CID DAS FL</t>
  </si>
  <si>
    <t>27876857000398</t>
  </si>
  <si>
    <t>OTICAS MORAES E REPRESENTACOES LTDA</t>
  </si>
  <si>
    <t>OTICAS MORAES (4167)</t>
  </si>
  <si>
    <t>570</t>
  </si>
  <si>
    <t>MERCADO BOBATO</t>
  </si>
  <si>
    <t>27876857000126</t>
  </si>
  <si>
    <t>OTICAS MORAES (4071)</t>
  </si>
  <si>
    <t>LOJA 113</t>
  </si>
  <si>
    <t>ACARAI</t>
  </si>
  <si>
    <t>27876857000479</t>
  </si>
  <si>
    <t>OTICAS MORAES (4682)</t>
  </si>
  <si>
    <t>FINANCEIRO@OTICASMORAES.COM</t>
  </si>
  <si>
    <t>27876857000550</t>
  </si>
  <si>
    <t>OTICAS MORAES (4683)</t>
  </si>
  <si>
    <t>OTICASMORAES18@GMAIL.COM</t>
  </si>
  <si>
    <t>RUA PADRE CARLOS</t>
  </si>
  <si>
    <t>26289134000320</t>
  </si>
  <si>
    <t>OTICAS SHARK EIRELI - EPP</t>
  </si>
  <si>
    <t>MERCADAO DOS OCULOS (3789)</t>
  </si>
  <si>
    <t>sc-joinville@mercadaodosoculos.com.br</t>
  </si>
  <si>
    <t>RUA JERONIMO COELHO</t>
  </si>
  <si>
    <t>27</t>
  </si>
  <si>
    <t>25199970000199</t>
  </si>
  <si>
    <t>OTTICA NICKE COMERCIO DE ARTIGOS OPTICOS LTDA</t>
  </si>
  <si>
    <t>OTTICA NICKE (3336)</t>
  </si>
  <si>
    <t>641</t>
  </si>
  <si>
    <t>41319103000104</t>
  </si>
  <si>
    <t>OURO VERDE OTICAS LTDA</t>
  </si>
  <si>
    <t>OTICAS CAROL (4353)</t>
  </si>
  <si>
    <t>NATAL.SIQUEIRA@OTICASCAROL.COM.BR</t>
  </si>
  <si>
    <t>SALOMAO CARNEIRO DE ALMEIDA</t>
  </si>
  <si>
    <t>45255246000223</t>
  </si>
  <si>
    <t>P. FERRONATTO LTDA</t>
  </si>
  <si>
    <t>CHILLI BEANS (4503)</t>
  </si>
  <si>
    <t>LOJA 30</t>
  </si>
  <si>
    <t>45255246000142</t>
  </si>
  <si>
    <t>CHILLI BEANS (4502)</t>
  </si>
  <si>
    <t>QUIOSQ08</t>
  </si>
  <si>
    <t>79944179000195</t>
  </si>
  <si>
    <t>PASA E CIA LTDA EPP</t>
  </si>
  <si>
    <t>PASA E CIA (77)</t>
  </si>
  <si>
    <t>otica_confianca@hotmail.com</t>
  </si>
  <si>
    <t>08885480000127</t>
  </si>
  <si>
    <t>PATRICIA RIBEIRO BONFANTE ME</t>
  </si>
  <si>
    <t>OTICA E RELOJOARIA BONFANTE (1338)</t>
  </si>
  <si>
    <t>otica.villavi@hotmail.com</t>
  </si>
  <si>
    <t>250 S</t>
  </si>
  <si>
    <t>44431515000200</t>
  </si>
  <si>
    <t>PAULO FERRONATTO LTDA</t>
  </si>
  <si>
    <t>CHILLI BEANS (4451)</t>
  </si>
  <si>
    <t>44431515000111</t>
  </si>
  <si>
    <t>CHILLI BEANS (4452)</t>
  </si>
  <si>
    <t>QUIOSQ08 PAVMTO</t>
  </si>
  <si>
    <t>42528434000109</t>
  </si>
  <si>
    <t>PG OTICAS LTDA</t>
  </si>
  <si>
    <t>OTICAS CAROL</t>
  </si>
  <si>
    <t>loja2351@oticascarol.com.br</t>
  </si>
  <si>
    <t>980</t>
  </si>
  <si>
    <t>25534956000102</t>
  </si>
  <si>
    <t>PINHEIRO E CHINI LTDA ME</t>
  </si>
  <si>
    <t>OPTICA PINHEIRO (3355)</t>
  </si>
  <si>
    <t>opticapinheiro72@gmail.com</t>
  </si>
  <si>
    <t>RUA ARTHUR MILANI</t>
  </si>
  <si>
    <t>791</t>
  </si>
  <si>
    <t>10944203000190</t>
  </si>
  <si>
    <t>PONTO DA VISAO OTICA LTDA</t>
  </si>
  <si>
    <t>OTICA EVERSSON (1711)</t>
  </si>
  <si>
    <t>3792</t>
  </si>
  <si>
    <t>JARIVATUBA</t>
  </si>
  <si>
    <t>01612881000164</t>
  </si>
  <si>
    <t>PRIMAR OTICA E RELOJOARIA</t>
  </si>
  <si>
    <t>PRIMAR OTICA E RELOJOARIA (1011)</t>
  </si>
  <si>
    <t>casa.dos.oculos@hotmail.com</t>
  </si>
  <si>
    <t>D</t>
  </si>
  <si>
    <t>33932889000285</t>
  </si>
  <si>
    <t>PRINCESA MODAS, RELOJOARIA E OTICA LTDA</t>
  </si>
  <si>
    <t>OTICA PRINCESA EVA (4712)</t>
  </si>
  <si>
    <t>LEONI-OLIVEIA@HOTMAIL.COM</t>
  </si>
  <si>
    <t>1080</t>
  </si>
  <si>
    <t>24935450000134</t>
  </si>
  <si>
    <t>PRODUTOS OPTICOS CONTESTADOLTDA - ME</t>
  </si>
  <si>
    <t>OTICA NOVA CONFIANCA (3329)</t>
  </si>
  <si>
    <t>produtosoticoscontestado@gmail.com</t>
  </si>
  <si>
    <t>380</t>
  </si>
  <si>
    <t>03744492000118</t>
  </si>
  <si>
    <t>PUPILA COMERCIO DE OCULOS LTDA ME</t>
  </si>
  <si>
    <t>PUPILA COMERCIO DE OCULOS LTDA ME (1311)</t>
  </si>
  <si>
    <t>oticapupilachapeco@hotmail.com</t>
  </si>
  <si>
    <t>RUA GETULIO DORNELES VARGAS - S</t>
  </si>
  <si>
    <t>680</t>
  </si>
  <si>
    <t>07531028000102</t>
  </si>
  <si>
    <t>RAFAEL SOUZA ULIANO ME</t>
  </si>
  <si>
    <t>RAFAEL SOUZA ULIANO ME (870)</t>
  </si>
  <si>
    <t>rafatime@me.com</t>
  </si>
  <si>
    <t>AVENIDA AMANDIO CABRAL</t>
  </si>
  <si>
    <t>915</t>
  </si>
  <si>
    <t>BALNEÁRIO BARRA DO SUL</t>
  </si>
  <si>
    <t>13011810000195</t>
  </si>
  <si>
    <t>RAMON PAIVA KLUG</t>
  </si>
  <si>
    <t>OTICA REGIONAL (4703)</t>
  </si>
  <si>
    <t>REGIONALJLLE@GMAIL.COM</t>
  </si>
  <si>
    <t>4182</t>
  </si>
  <si>
    <t>BOA VISTA</t>
  </si>
  <si>
    <t>72528433000125</t>
  </si>
  <si>
    <t>RAUL CESAR GHENO</t>
  </si>
  <si>
    <t>RAUL CESAR GHENO (1281)</t>
  </si>
  <si>
    <t>ghenooptica@hotmail.com</t>
  </si>
  <si>
    <t>RUA IRMAO GABRIEL LEAO</t>
  </si>
  <si>
    <t>493</t>
  </si>
  <si>
    <t>GETÚLIO VARGAS</t>
  </si>
  <si>
    <t>38170011000273</t>
  </si>
  <si>
    <t>RECRIS FRANCHISING EIRELI</t>
  </si>
  <si>
    <t>RECRIS (4299)</t>
  </si>
  <si>
    <t>DALVA@OTICASRECRIS.COM</t>
  </si>
  <si>
    <t>38170011000354</t>
  </si>
  <si>
    <t>RECRIS FRANCHISING LTDA</t>
  </si>
  <si>
    <t>RECRIS (4624)</t>
  </si>
  <si>
    <t>FINANCEIRO@OTICASRECRIS.COM</t>
  </si>
  <si>
    <t>95801304000164</t>
  </si>
  <si>
    <t>RELOJOARIA ADOLAR LTDA ME</t>
  </si>
  <si>
    <t>RELOJOARIA ADOLAR (595)</t>
  </si>
  <si>
    <t>relojoariaadolar@hotmail.com</t>
  </si>
  <si>
    <t>199</t>
  </si>
  <si>
    <t>83230938000125</t>
  </si>
  <si>
    <t>RELOJOARIA CONFIANCA LTDA</t>
  </si>
  <si>
    <t>RELOJOARIA CONFIANCA LTDA (1066)</t>
  </si>
  <si>
    <t>levinokroetz@yahoo.com.br</t>
  </si>
  <si>
    <t>ITAPIRANGA</t>
  </si>
  <si>
    <t>83488601000112</t>
  </si>
  <si>
    <t>RELOJOARIA E OPTICA AVENIDA LTDA EPP</t>
  </si>
  <si>
    <t>RELOJOARIA E OPTICA AVENIDA (8)</t>
  </si>
  <si>
    <t>financeiro@relojoariaavenida.com.br</t>
  </si>
  <si>
    <t>S/04</t>
  </si>
  <si>
    <t>79647210000126</t>
  </si>
  <si>
    <t>RELOJOARIA E OPTICA RELOTEC LTDA ME</t>
  </si>
  <si>
    <t>RELOJOARIA E OPTICA RELOTEC LTDA ME (463)</t>
  </si>
  <si>
    <t>relojoariaeopticarelotec@hotmail.com</t>
  </si>
  <si>
    <t>251</t>
  </si>
  <si>
    <t>20902377000143</t>
  </si>
  <si>
    <t>RELOJOARIA E OPTICA TISSIANI LTDA ME</t>
  </si>
  <si>
    <t>RELOJOARIA E OPTICA TISSIANI (2270)</t>
  </si>
  <si>
    <t>oticatissiani@hotmail.com</t>
  </si>
  <si>
    <t>989</t>
  </si>
  <si>
    <t>SALA SALA</t>
  </si>
  <si>
    <t>80448558000173</t>
  </si>
  <si>
    <t>RELOJOARIA E OTICA DAGA LTDA ME</t>
  </si>
  <si>
    <t>RELOJOARIA E OTICA DAGA LTDA ME (867)</t>
  </si>
  <si>
    <t>relojoariadaga@hotmail.com</t>
  </si>
  <si>
    <t>AVENIDA PREFEITO WALDEMAR GRUBBA</t>
  </si>
  <si>
    <t>2001</t>
  </si>
  <si>
    <t>BAEPENDI</t>
  </si>
  <si>
    <t>13788446000174</t>
  </si>
  <si>
    <t>RELOJOARIA E OTICA PROVERA LTDA ME</t>
  </si>
  <si>
    <t>RELOJOARIA E OTICA SAO JOSE (2078)</t>
  </si>
  <si>
    <t>giseleoticasaojose@hotmail.com</t>
  </si>
  <si>
    <t>RUA WILLY JUNG</t>
  </si>
  <si>
    <t>566</t>
  </si>
  <si>
    <t>03616188000195</t>
  </si>
  <si>
    <t>RELOJOARIA E OTICA SANTOS</t>
  </si>
  <si>
    <t>RELOJOARIA E OTICA SANTOS (945)</t>
  </si>
  <si>
    <t>relojoariaeoticasantos@hotmail.com</t>
  </si>
  <si>
    <t>1353</t>
  </si>
  <si>
    <t>BUCAREIN</t>
  </si>
  <si>
    <t>80664212000102</t>
  </si>
  <si>
    <t>RELOJOARIA E OTICA SANTOS LTDA</t>
  </si>
  <si>
    <t>RELOJOARIA E OTICA SANTOS (1260)</t>
  </si>
  <si>
    <t>SANTOSRELOJOARIAEOTICA@HOTMAIL.COM</t>
  </si>
  <si>
    <t>4913</t>
  </si>
  <si>
    <t>00818730000285</t>
  </si>
  <si>
    <t>RELOJOARIA E OTICA SOLAR LTDA</t>
  </si>
  <si>
    <t>RELOJOARIA E OTICA SOLAR (2099)</t>
  </si>
  <si>
    <t>OTICA.SOLLAR@YAHOO.COM</t>
  </si>
  <si>
    <t>RUA CAPITAO OSMAR ROMAO DA SILVA</t>
  </si>
  <si>
    <t>303</t>
  </si>
  <si>
    <t>SALA 26</t>
  </si>
  <si>
    <t>00818730000366</t>
  </si>
  <si>
    <t>RELOJOARIA E OTICA SOLAR (4524)</t>
  </si>
  <si>
    <t>JOSE ZIPPERER</t>
  </si>
  <si>
    <t>00818730000102</t>
  </si>
  <si>
    <t>RELOJOARIA E OTICA SOLAR LTDA ME</t>
  </si>
  <si>
    <t>RELOJOARIA E OTICA SOLAR LTDA ME (664)</t>
  </si>
  <si>
    <t>oticasollar@yahoo.com.br</t>
  </si>
  <si>
    <t>158</t>
  </si>
  <si>
    <t>14395675000191</t>
  </si>
  <si>
    <t>RELOJOARIA E OTICA STEFFENS LTDA ME</t>
  </si>
  <si>
    <t>RELOJOARIA E OTICA STEFFENS</t>
  </si>
  <si>
    <t>steffens.otica@gmail.com</t>
  </si>
  <si>
    <t>1553</t>
  </si>
  <si>
    <t>137</t>
  </si>
  <si>
    <t>82886664000164</t>
  </si>
  <si>
    <t>RELOJOARIA E OTICA TIC TEM LTDA ME</t>
  </si>
  <si>
    <t>RELOJOARIA E OTICA TIC TEM (1203)</t>
  </si>
  <si>
    <t>rotictem.marli@hotmail.com</t>
  </si>
  <si>
    <t>14212358000192</t>
  </si>
  <si>
    <t>RELOJOARIA E OTICA VISAO LTDA ME</t>
  </si>
  <si>
    <t>RELOJOARIA E OTICA TIC TAC (1871)</t>
  </si>
  <si>
    <t>oticatictac@gmail.com</t>
  </si>
  <si>
    <t>428</t>
  </si>
  <si>
    <t>78888195000226</t>
  </si>
  <si>
    <t>RELOJOARIA E OTICA VISUAL LTDA</t>
  </si>
  <si>
    <t>RELOJOARIA E OTICA VISUAL (403)</t>
  </si>
  <si>
    <t>dani@oticavisual.com</t>
  </si>
  <si>
    <t>1ª RUA RUA VISCONDE DE TAUNAY 205</t>
  </si>
  <si>
    <t>152</t>
  </si>
  <si>
    <t>78888195000145</t>
  </si>
  <si>
    <t>RELOJOARIA E OTICA VISUAL (402)</t>
  </si>
  <si>
    <t>comercial@oticavisual.com</t>
  </si>
  <si>
    <t>95</t>
  </si>
  <si>
    <t>05034471000134</t>
  </si>
  <si>
    <t>RELOJOARIA GARUVENSE LTDA EPP</t>
  </si>
  <si>
    <t>MAGNIFY RELOJOARIA  E OTICA (1970)</t>
  </si>
  <si>
    <t>magnifyotica@live.com</t>
  </si>
  <si>
    <t>AVENIDA CELSO RAMOS</t>
  </si>
  <si>
    <t>1237</t>
  </si>
  <si>
    <t>SALA F</t>
  </si>
  <si>
    <t>73959728000119</t>
  </si>
  <si>
    <t>RELOJOARIA JB LTDA</t>
  </si>
  <si>
    <t>RELOJOARIA JB LTDA (635)</t>
  </si>
  <si>
    <t>relojoariaeoticajb@uol.com.br</t>
  </si>
  <si>
    <t>AVENIDA ARGOLO</t>
  </si>
  <si>
    <t>66</t>
  </si>
  <si>
    <t>83108126000101</t>
  </si>
  <si>
    <t>RELOJOARIA PEROLA LTDA</t>
  </si>
  <si>
    <t>RELOJOARIA PEROLA PRINCIPE (408)</t>
  </si>
  <si>
    <t>loja.perola@cdljoinville.com.br</t>
  </si>
  <si>
    <t>SALA 10</t>
  </si>
  <si>
    <t>34356198000162</t>
  </si>
  <si>
    <t>RELOJOARIA WILLE LTDA</t>
  </si>
  <si>
    <t>RELOJOARIA WILLE (4518)</t>
  </si>
  <si>
    <t>RELOJOARIAWILLE@GMAIL.COM</t>
  </si>
  <si>
    <t>75547505000170</t>
  </si>
  <si>
    <t>RELOJOTICA CIRIMAR LTDA EPP</t>
  </si>
  <si>
    <t>RELOJOTICA CIRIMAR (993)</t>
  </si>
  <si>
    <t>relojoticacirimar@yahoo.com.br</t>
  </si>
  <si>
    <t>AVENIDA GUSTAVO FETTER</t>
  </si>
  <si>
    <t>1230</t>
  </si>
  <si>
    <t>IPORÃ DO OESTE</t>
  </si>
  <si>
    <t>07653311000107</t>
  </si>
  <si>
    <t>RIOS E GUEDES LTDA</t>
  </si>
  <si>
    <t>FABRICA DE OCULOS (1921)</t>
  </si>
  <si>
    <t>42169179000155</t>
  </si>
  <si>
    <t>RL OTICA LTDA</t>
  </si>
  <si>
    <t>OTICA VISAO (4332)</t>
  </si>
  <si>
    <t>DOPRADOCRISTIANE@GMAIL.COM</t>
  </si>
  <si>
    <t>536</t>
  </si>
  <si>
    <t>D SALA 01</t>
  </si>
  <si>
    <t>04536221000130</t>
  </si>
  <si>
    <t>ROBINSON ROGERIO MARTINS</t>
  </si>
  <si>
    <t>OTICA MARTINS (707)</t>
  </si>
  <si>
    <t>oticamartins@hotmail.com</t>
  </si>
  <si>
    <t>721</t>
  </si>
  <si>
    <t>TRES PASSOS</t>
  </si>
  <si>
    <t>07190129000159</t>
  </si>
  <si>
    <t>ROBSON ANDRE MENUNCIN E CIA LTDA</t>
  </si>
  <si>
    <t>OTICA PONTUAL (686)</t>
  </si>
  <si>
    <t>pontual_otica@hotmail.com</t>
  </si>
  <si>
    <t>RUA MOURA BRASIL</t>
  </si>
  <si>
    <t>1343</t>
  </si>
  <si>
    <t>CUNHA PORA</t>
  </si>
  <si>
    <t>83570721000164</t>
  </si>
  <si>
    <t>RORATO JOALHERIA E OTICA LTDA</t>
  </si>
  <si>
    <t>RORATO JOALHERIA E OTICA LTDA (425)</t>
  </si>
  <si>
    <t>RORATO@NETCON.COM.BR</t>
  </si>
  <si>
    <t>41641286000171</t>
  </si>
  <si>
    <t>ROSEMEIRE ORTUNIO ANZOATEGUI 67418619987</t>
  </si>
  <si>
    <t>OTICA MARIA (4334)</t>
  </si>
  <si>
    <t>rosemeireortunio@gmail.com</t>
  </si>
  <si>
    <t>RUA 10 R RIO TOCANTINS</t>
  </si>
  <si>
    <t>455</t>
  </si>
  <si>
    <t>07194114000240</t>
  </si>
  <si>
    <t>RT OTICA LTDA</t>
  </si>
  <si>
    <t>ARMAZEM DO OCULOS - FILIAL (4248)</t>
  </si>
  <si>
    <t>vendas2@armazemdooculos.com.br</t>
  </si>
  <si>
    <t>AVENIDA PORTO ALEGRE D</t>
  </si>
  <si>
    <t>454</t>
  </si>
  <si>
    <t>07194114000169</t>
  </si>
  <si>
    <t>ARMAZEM DO OCULOS (2251)</t>
  </si>
  <si>
    <t>vendas@armazemdooculos.com.br</t>
  </si>
  <si>
    <t>403</t>
  </si>
  <si>
    <t>QUIOSQUE FRENTE</t>
  </si>
  <si>
    <t>77893238000118</t>
  </si>
  <si>
    <t>RUDOLF WALTER BAUMGARTEN ME</t>
  </si>
  <si>
    <t>RUDOLF WALTER BAUMGARTEN ME (427)</t>
  </si>
  <si>
    <t>nfelojabaumgarten@terra.com.br</t>
  </si>
  <si>
    <t>2450</t>
  </si>
  <si>
    <t>03012401000150</t>
  </si>
  <si>
    <t>S &amp; K OPTICA E RELOJOARIA LTDA ME</t>
  </si>
  <si>
    <t>GUENO JOIAS OPTICA (433)</t>
  </si>
  <si>
    <t>sekoptica@outlook.com</t>
  </si>
  <si>
    <t>RUA HERCULANO H. ZANUZZO</t>
  </si>
  <si>
    <t>107</t>
  </si>
  <si>
    <t>40617312000163</t>
  </si>
  <si>
    <t>S&amp;L ACESSORIOS DE MODA LTDA</t>
  </si>
  <si>
    <t>CHILLI BEANS AVENIDA (4284)</t>
  </si>
  <si>
    <t>CHILLIBEANS@BELLEISALVADOR.COM.BR</t>
  </si>
  <si>
    <t>LETRA N SALA 10</t>
  </si>
  <si>
    <t>04313397000122</t>
  </si>
  <si>
    <t>S.M.S. OTICA LTDA ME</t>
  </si>
  <si>
    <t>OTICAS BEATRIZ (244)</t>
  </si>
  <si>
    <t>simonesantossc@gmail.com</t>
  </si>
  <si>
    <t>01506555000172</t>
  </si>
  <si>
    <t>SADI ANTONIO GETELINA E IRMAO LTDA</t>
  </si>
  <si>
    <t>SADI ANTONIO GETELINA E IRMAO LTDA (778)</t>
  </si>
  <si>
    <t>oticaamerica@hotmail.com</t>
  </si>
  <si>
    <t>829</t>
  </si>
  <si>
    <t>79449591000481</t>
  </si>
  <si>
    <t>SCHMIDT DA SILVEIRA E CIA LTDA</t>
  </si>
  <si>
    <t>RELOOTICA SAO JOSE (1343)</t>
  </si>
  <si>
    <t>financeiro35330101@gmail.com</t>
  </si>
  <si>
    <t>17082290000243</t>
  </si>
  <si>
    <t>SEIFERT OPTICA EIRELI</t>
  </si>
  <si>
    <t>SEIFERT OPTICA (4057)</t>
  </si>
  <si>
    <t>assistencia@seifert.com.br</t>
  </si>
  <si>
    <t>914</t>
  </si>
  <si>
    <t>17082290000162</t>
  </si>
  <si>
    <t>SEIFERT OPTICA LTDA  ME</t>
  </si>
  <si>
    <t>SEIFERT OPTICA LTDA - ME (1979)</t>
  </si>
  <si>
    <t>financeiro@seifert.com.br</t>
  </si>
  <si>
    <t>09449306000102</t>
  </si>
  <si>
    <t>SETAPI TECN EM SIST DE SEGURANÇA ELETR LTDA</t>
  </si>
  <si>
    <t>SETAPI TECN EM SIST DE SEGURANÇA ELETR LTDA (11434)</t>
  </si>
  <si>
    <t>RUA CRISTO REDENTOR</t>
  </si>
  <si>
    <t>699</t>
  </si>
  <si>
    <t>42968848000159</t>
  </si>
  <si>
    <t>SHAQUILLENTES E ARMACOES LTDA</t>
  </si>
  <si>
    <t>OTICA CHILLI BEANS (4395)</t>
  </si>
  <si>
    <t>PEDROBELLEIS@GMAIL.COM</t>
  </si>
  <si>
    <t>LETRA D LOJA 22</t>
  </si>
  <si>
    <t>01709839000166</t>
  </si>
  <si>
    <t>SIDY JOIAS E RELOGIOS LTDA ME</t>
  </si>
  <si>
    <t>SIDY JOIAS E RELOGIOS (1389)</t>
  </si>
  <si>
    <t>00624169000112</t>
  </si>
  <si>
    <t>SILVANDRO DO ROSARIO ME</t>
  </si>
  <si>
    <t>RELOJOARIA E OTICA SILVANDRO (2081)</t>
  </si>
  <si>
    <t>silvandro_relojoariaeotica@hotmail.com</t>
  </si>
  <si>
    <t>RUA DOUTOR NORBERTO BACHMANN</t>
  </si>
  <si>
    <t>75893735000190</t>
  </si>
  <si>
    <t>SOLARY JOAIS LTDA ME</t>
  </si>
  <si>
    <t>SOLARY JOAIS LTDA ME (1946)</t>
  </si>
  <si>
    <t>contato@solaryjoias.com.br</t>
  </si>
  <si>
    <t>LOJA 20</t>
  </si>
  <si>
    <t>80162985000190</t>
  </si>
  <si>
    <t>SONIA APARECIDA SCHARNOSKI E CIA LTDA</t>
  </si>
  <si>
    <t>OTICA A ESPECIALISTA EM OCULOS LENTES E ARMACOES (436)</t>
  </si>
  <si>
    <t>soniaotic@yahoo.com.br</t>
  </si>
  <si>
    <t>RUA PRUDENTE DE MORAIS</t>
  </si>
  <si>
    <t>160</t>
  </si>
  <si>
    <t>13371693000332</t>
  </si>
  <si>
    <t>SR GUEDES OTICA LTDA</t>
  </si>
  <si>
    <t>FABRICA DE OCULOS (4099)</t>
  </si>
  <si>
    <t>fabricadeoculosescritorio@gmail.com</t>
  </si>
  <si>
    <t>336</t>
  </si>
  <si>
    <t>LETRA N</t>
  </si>
  <si>
    <t>13371693000170</t>
  </si>
  <si>
    <t>SR GUEDES OTICA LTDA EPP</t>
  </si>
  <si>
    <t>FABRICA DOS OCULOS (1832)</t>
  </si>
  <si>
    <t>S SL02 E IMPERA</t>
  </si>
  <si>
    <t>33471739000130</t>
  </si>
  <si>
    <t>SUA VISAO COMERCIO VAREJISTA DE ARTIGOS DE OPTICA LTDA</t>
  </si>
  <si>
    <t>OTICA SUA VISAO (4109)</t>
  </si>
  <si>
    <t>oticasuavisao.comercial@gmail.com</t>
  </si>
  <si>
    <t>RUA RUA FELIPE SCHMIDT</t>
  </si>
  <si>
    <t>1217</t>
  </si>
  <si>
    <t>291</t>
  </si>
  <si>
    <t>00579279000100</t>
  </si>
  <si>
    <t>SUDMERCO COMERCIO E INDUSTRIA DE OTICA LTDA - ME</t>
  </si>
  <si>
    <t>BRASOPTICA (1350)</t>
  </si>
  <si>
    <t>ANGELO MACALOS</t>
  </si>
  <si>
    <t>256</t>
  </si>
  <si>
    <t>ESPUMOSO</t>
  </si>
  <si>
    <t>43820236000187</t>
  </si>
  <si>
    <t>SUELI BATISTA DA SILVA 06388369804</t>
  </si>
  <si>
    <t>OTICA ALTO OLHAR (4595)</t>
  </si>
  <si>
    <t>OTICAALTOOLHAR@HOTMAIL.COM</t>
  </si>
  <si>
    <t>RUA JOSE NARLOCH</t>
  </si>
  <si>
    <t>2015</t>
  </si>
  <si>
    <t>LOTE 230 - LOJA</t>
  </si>
  <si>
    <t>TIFA MARTINS</t>
  </si>
  <si>
    <t>81861049000130</t>
  </si>
  <si>
    <t>SULZBACH PRESENTES LTDA</t>
  </si>
  <si>
    <t>SULZBACH PRESENTES LTDA (1216)</t>
  </si>
  <si>
    <t>jejeferreir@hotmail.com</t>
  </si>
  <si>
    <t>AVENIDA SALOMAO C. DE ALMEIDA</t>
  </si>
  <si>
    <t>609</t>
  </si>
  <si>
    <t>07522711000175</t>
  </si>
  <si>
    <t>SWELL OCULOS E ARMACOES LTDA</t>
  </si>
  <si>
    <t>SWELL (4734)</t>
  </si>
  <si>
    <t>SWELLOPTICA@HOTMAIL.COM</t>
  </si>
  <si>
    <t>RUA WALDEMAR RANGRAB</t>
  </si>
  <si>
    <t>1390</t>
  </si>
  <si>
    <t>JARDIM PEPERI</t>
  </si>
  <si>
    <t>07716144000350</t>
  </si>
  <si>
    <t>SWELL STORE OPTICA E JOALHERIA EIRELI</t>
  </si>
  <si>
    <t>SWELL STORE OPTICA E JOALHERIA (2220)</t>
  </si>
  <si>
    <t>joalheriaeoticasofia@gmail.com</t>
  </si>
  <si>
    <t>SALSALA 08A 08</t>
  </si>
  <si>
    <t>07716144000279</t>
  </si>
  <si>
    <t>SWELL STORE OPTICA E JOALHERIA EIRELI - ME</t>
  </si>
  <si>
    <t>SWELL STORE OPTICA E JOALHERIA EIRELI - ME (2263)</t>
  </si>
  <si>
    <t>RUA 15 DE NOVEMBRO</t>
  </si>
  <si>
    <t>427</t>
  </si>
  <si>
    <t>07716144000198</t>
  </si>
  <si>
    <t>SWELL STORE OPTICA E JOALHERIA EIRELLI ME</t>
  </si>
  <si>
    <t>JOALHERIA E OTICA SOFIA (839)</t>
  </si>
  <si>
    <t>RUA DUQUE DE CAXIAS</t>
  </si>
  <si>
    <t>1206</t>
  </si>
  <si>
    <t>ESTRELA</t>
  </si>
  <si>
    <t>28324447000135</t>
  </si>
  <si>
    <t>TANIA DA SILVA DAS NEVES ME</t>
  </si>
  <si>
    <t>OTICA FOGAS  (3944)</t>
  </si>
  <si>
    <t>OTICA-FOGAS@HOTMAIL.COM</t>
  </si>
  <si>
    <t>38233627000165</t>
  </si>
  <si>
    <t>TAYNA DETONI EIRELI</t>
  </si>
  <si>
    <t>REDE DE OTICAS MERCADAO DOS OCULOS XAXIM-SC (4261)</t>
  </si>
  <si>
    <t>TAYNASLO033@GMAIL.COM</t>
  </si>
  <si>
    <t>31024384000106</t>
  </si>
  <si>
    <t>THIAGO ANACLETO</t>
  </si>
  <si>
    <t>OTICA SAO MIGUEL (4075)</t>
  </si>
  <si>
    <t>oticasaomigueladm@gmail.com</t>
  </si>
  <si>
    <t>RODOVIA 280 A</t>
  </si>
  <si>
    <t>6777</t>
  </si>
  <si>
    <t>SALA 1C</t>
  </si>
  <si>
    <t>04559223000144</t>
  </si>
  <si>
    <t>THIAGO CENEDESI ME</t>
  </si>
  <si>
    <t>THIAGO CENEDESI ME (84)</t>
  </si>
  <si>
    <t>thiago_cenedesi01@hotmail.com</t>
  </si>
  <si>
    <t>659</t>
  </si>
  <si>
    <t>79290060000146</t>
  </si>
  <si>
    <t>TIEPPO E TIEPPO LTDA</t>
  </si>
  <si>
    <t>TIEPPO E TIEPPO (450)</t>
  </si>
  <si>
    <t>oticaprecisao@hbinfo.com.br</t>
  </si>
  <si>
    <t>867</t>
  </si>
  <si>
    <t>08692302000180</t>
  </si>
  <si>
    <t>TONNY OPTICA LTDA</t>
  </si>
  <si>
    <t>TONNY OPTICA LTDA (1072)</t>
  </si>
  <si>
    <t>tonnyoptica@yahoo.com.br</t>
  </si>
  <si>
    <t>930</t>
  </si>
  <si>
    <t>21561009000222</t>
  </si>
  <si>
    <t>TRANSPARENT OPTICA LTDA</t>
  </si>
  <si>
    <t>OTICAS CAROL (3317)</t>
  </si>
  <si>
    <t>LOJA1219@OTICASCAROL.COM.BR</t>
  </si>
  <si>
    <t>308</t>
  </si>
  <si>
    <t>21561009000303</t>
  </si>
  <si>
    <t>OTICAS CAROL (3935)</t>
  </si>
  <si>
    <t>loja1734@oticascarol.com.br</t>
  </si>
  <si>
    <t>S 1 E PIOVESAN</t>
  </si>
  <si>
    <t>21561009000141</t>
  </si>
  <si>
    <t>TRANSPARENT OPTICA LTDA ME</t>
  </si>
  <si>
    <t>OTICAS CAROL (2185)</t>
  </si>
  <si>
    <t>loja977@oticascarol.com.br</t>
  </si>
  <si>
    <t>RUA MARECHAL JOSE BORMANN</t>
  </si>
  <si>
    <t>180 E</t>
  </si>
  <si>
    <t>18291169000103</t>
  </si>
  <si>
    <t>TRANSPORTES FREIDER LTDA</t>
  </si>
  <si>
    <t>TRANSPORTES FREIDER LTDA (11497)</t>
  </si>
  <si>
    <t>RUA CUNHA PORA - E</t>
  </si>
  <si>
    <t>186</t>
  </si>
  <si>
    <t>17380578000113</t>
  </si>
  <si>
    <t>V+ OPTICA LTDA ME</t>
  </si>
  <si>
    <t>OPTIMA PRESENTES E OPTICA (1992)</t>
  </si>
  <si>
    <t>gabriele16pfeiffer@gmail.com</t>
  </si>
  <si>
    <t>AVENIDA DOM PEDRO II</t>
  </si>
  <si>
    <t>83685628000103</t>
  </si>
  <si>
    <t>VALDAMERI E CIA LTDA ME</t>
  </si>
  <si>
    <t>OTICAS CAROL (453)</t>
  </si>
  <si>
    <t>oticacarolnfe@uol.com.br</t>
  </si>
  <si>
    <t>RUA SAUL BRANDALISE</t>
  </si>
  <si>
    <t>132</t>
  </si>
  <si>
    <t>23</t>
  </si>
  <si>
    <t>37659659000164</t>
  </si>
  <si>
    <t>VALERIA FERREIRA GALLO VANUNCCI COMERCIO E ARTIGOS OTICOS LT</t>
  </si>
  <si>
    <t>OTICAS PETRY (4297)</t>
  </si>
  <si>
    <t>OTICASPETRY@OUTLOOK.COM</t>
  </si>
  <si>
    <t>457</t>
  </si>
  <si>
    <t>83054460000120</t>
  </si>
  <si>
    <t>VANDERLEI AHLERT ME</t>
  </si>
  <si>
    <t>OTICA REALCE (268)</t>
  </si>
  <si>
    <t>oticarealce91@gmail.com</t>
  </si>
  <si>
    <t>RUA EUCLIDES DA CUNHA</t>
  </si>
  <si>
    <t>CUNHA PORÃ</t>
  </si>
  <si>
    <t>09070703000160</t>
  </si>
  <si>
    <t>VERELIZ CILENE WEIMER</t>
  </si>
  <si>
    <t>OTICA REALCE (4590)</t>
  </si>
  <si>
    <t>OTICAREALCESAUDADE@OUTLOOK.COM</t>
  </si>
  <si>
    <t>SAUDADES</t>
  </si>
  <si>
    <t>08689020000123</t>
  </si>
  <si>
    <t>VG OTICA LTDA ME</t>
  </si>
  <si>
    <t>OTICA VOLPATO (1291)</t>
  </si>
  <si>
    <t>34051799000167</t>
  </si>
  <si>
    <t>VIA BRASIL OPTICA E JOALHERIA LTDA</t>
  </si>
  <si>
    <t>VIA BRASIL (4228)</t>
  </si>
  <si>
    <t>viabrasil.optica@gmail.com</t>
  </si>
  <si>
    <t>AVENIDA BRASIL OESTE</t>
  </si>
  <si>
    <t>23516802000154</t>
  </si>
  <si>
    <t>VIA OCULOS LTDA</t>
  </si>
  <si>
    <t>VIA OCULOS (4501)</t>
  </si>
  <si>
    <t>VIAOCULOSOPTICA@OUTLOOK.COM</t>
  </si>
  <si>
    <t>1301</t>
  </si>
  <si>
    <t>10929502000155</t>
  </si>
  <si>
    <t>VICTORIO BONFANTE NETO</t>
  </si>
  <si>
    <t>VISION OPTICA (3897)</t>
  </si>
  <si>
    <t>MYLAN.ADM@HOTMAIL.COM</t>
  </si>
  <si>
    <t>254</t>
  </si>
  <si>
    <t>37527143000166</t>
  </si>
  <si>
    <t>VILLING OTICA UPP LTDA</t>
  </si>
  <si>
    <t>OTICAS CAROL (4144)</t>
  </si>
  <si>
    <t>produtosc@oticascarol.com.br</t>
  </si>
  <si>
    <t>GARTEN SALA L32</t>
  </si>
  <si>
    <t>170</t>
  </si>
  <si>
    <t>43533367000183</t>
  </si>
  <si>
    <t>VILSON AIRES PIANA 13479350020</t>
  </si>
  <si>
    <t>OTICA E RELOJOARIA PIANA (4400)</t>
  </si>
  <si>
    <t>OTICAPIANA@OUTLOOK.COM</t>
  </si>
  <si>
    <t>RUA SANTO BERGAMIN</t>
  </si>
  <si>
    <t>TRES ARROIOS</t>
  </si>
  <si>
    <t>34795082000120</t>
  </si>
  <si>
    <t>VINICIUS ROBERTO MOREIRA MACOPPI 10840658940</t>
  </si>
  <si>
    <t>FRONT VISION OPTICA SC (4059)</t>
  </si>
  <si>
    <t>macoppi8897@gmail.com</t>
  </si>
  <si>
    <t>RUA MARCELINO ZANELLA</t>
  </si>
  <si>
    <t>88</t>
  </si>
  <si>
    <t>05470651000401</t>
  </si>
  <si>
    <t>VISIONCARD BRASIL OTICA LTDA</t>
  </si>
  <si>
    <t>SUPER OPTICA SAO JOSE (2117)</t>
  </si>
  <si>
    <t>LJ 16 1 PISO SH</t>
  </si>
  <si>
    <t>05470651000240</t>
  </si>
  <si>
    <t>SUPER OPTICA SAO JOSE (2116)</t>
  </si>
  <si>
    <t>RUA ORESTES GUIMARAES</t>
  </si>
  <si>
    <t>720</t>
  </si>
  <si>
    <t>SALA 20</t>
  </si>
  <si>
    <t>05470651000169</t>
  </si>
  <si>
    <t>SUPER OPTICA SAO JOSE (2115)</t>
  </si>
  <si>
    <t>525</t>
  </si>
  <si>
    <t>00508765000218</t>
  </si>
  <si>
    <t>VISOLUX - OTICA E RELOJOARIA LTDA - ME</t>
  </si>
  <si>
    <t>CRAFTS (933)</t>
  </si>
  <si>
    <t>crafts_ass@yahoo.com.br</t>
  </si>
  <si>
    <t>SHOP. BX 59</t>
  </si>
  <si>
    <t>81010803000129</t>
  </si>
  <si>
    <t>VISUAL JOALHERIA E OTICA LTDA</t>
  </si>
  <si>
    <t>VISUAL JOALHERIA E OTICA LTDA (462)</t>
  </si>
  <si>
    <t>visualgarcia.garcia@gmail.com</t>
  </si>
  <si>
    <t>28210997000123</t>
  </si>
  <si>
    <t>VITORIA SEMI JOIAS E OTICA LTDA - ME</t>
  </si>
  <si>
    <t>VITORIA SEMI JOIAS E OTICA (3822)</t>
  </si>
  <si>
    <t>GERENCIA@VITORIASEMIJOIASEOTICA.COM.BR</t>
  </si>
  <si>
    <t>2093</t>
  </si>
  <si>
    <t>SL2</t>
  </si>
  <si>
    <t>05624146000393</t>
  </si>
  <si>
    <t>VIVA COMERCIO LTDA ME</t>
  </si>
  <si>
    <t>VIVA SEMIJOIAS E OTICA (1360)</t>
  </si>
  <si>
    <t>vivaotica@terra.com</t>
  </si>
  <si>
    <t>3507</t>
  </si>
  <si>
    <t>SL 7</t>
  </si>
  <si>
    <t>05624146000202</t>
  </si>
  <si>
    <t>VIVA COMERCIO LTDA ME (905)</t>
  </si>
  <si>
    <t>vivaotica@terra.com.br</t>
  </si>
  <si>
    <t>AVENIDA ANGELO RUBINI</t>
  </si>
  <si>
    <t>1005</t>
  </si>
  <si>
    <t>05624146000121</t>
  </si>
  <si>
    <t>VIVA COMERCIO LTDA ME (647)</t>
  </si>
  <si>
    <t>viva@vivaotica.com</t>
  </si>
  <si>
    <t>05624146000474</t>
  </si>
  <si>
    <t>VIVA COMERCIO LTDA ME (2148)</t>
  </si>
  <si>
    <t>15685891000134</t>
  </si>
  <si>
    <t>VOIGT PRODUTOS OPTICOS LTDA</t>
  </si>
  <si>
    <t>OTICA VOSS</t>
  </si>
  <si>
    <t>oticavoss@gmail.com</t>
  </si>
  <si>
    <t>7273</t>
  </si>
  <si>
    <t>46201048000169</t>
  </si>
  <si>
    <t>VS OTICAS E ACESSORIOS LTDA</t>
  </si>
  <si>
    <t>OTICAS RECRIS</t>
  </si>
  <si>
    <t>xaximadm@oticarecris.com</t>
  </si>
  <si>
    <t>RUA PLINIO ARLINDO DE NES</t>
  </si>
  <si>
    <t>833</t>
  </si>
  <si>
    <t>27100175000127</t>
  </si>
  <si>
    <t>WEBER COMERCIO OTICO EIRELI</t>
  </si>
  <si>
    <t>VISUAL OTICA (4573)</t>
  </si>
  <si>
    <t>VISUALOTICA.SK@GMAIL.COM</t>
  </si>
  <si>
    <t>145</t>
  </si>
  <si>
    <t>09477414000180</t>
  </si>
  <si>
    <t>WILLIAN GROSSKOPF ME</t>
  </si>
  <si>
    <t>RELOJOARIA E OTICA SOLLAR (1422)</t>
  </si>
  <si>
    <t>319</t>
  </si>
  <si>
    <t>02421525000126</t>
  </si>
  <si>
    <t>ZANIN COMERCIO E INDUSTRIA DE JOIAS LTDA  ME</t>
  </si>
  <si>
    <t>ROCLA OURIVESARIA (132)</t>
  </si>
  <si>
    <t>zanin@smo.com.br</t>
  </si>
  <si>
    <t>SALA 5</t>
  </si>
  <si>
    <t>94580131000139</t>
  </si>
  <si>
    <t>ZELMA COPETTI ME</t>
  </si>
  <si>
    <t>OTICA EXATA (576)</t>
  </si>
  <si>
    <t>oticaexata@via-rs.net</t>
  </si>
  <si>
    <t>78375631000182</t>
  </si>
  <si>
    <t>ZOLDERI RAIMUNDO E CIA LTDA</t>
  </si>
  <si>
    <t>RELOCENTER (3902)</t>
  </si>
  <si>
    <t>oticarelocenter@yahoo.com.br</t>
  </si>
  <si>
    <t>238</t>
  </si>
  <si>
    <t>04192655000160</t>
  </si>
  <si>
    <t>ZOLET - OPTICA E PSICOLOGIA LTDA</t>
  </si>
  <si>
    <t>OTICA SAO JOAO (1355)</t>
  </si>
  <si>
    <t>jaqueline_zolet@hotmail.com</t>
  </si>
  <si>
    <t>AVENIDA PALUDO</t>
  </si>
  <si>
    <t>1024</t>
  </si>
  <si>
    <t>SAO JOAO</t>
  </si>
  <si>
    <t>04192655000240</t>
  </si>
  <si>
    <t>OPTICA ZOLET (4244)</t>
  </si>
  <si>
    <t>zolet.otica@gmail.com</t>
  </si>
  <si>
    <t>RUA DEPUTADO CARLOS BUCHELE</t>
  </si>
  <si>
    <t>CINTHIA NORONHA</t>
  </si>
  <si>
    <t>38044105000115</t>
  </si>
  <si>
    <t>38.044.105 HUMBERTO DIARONE GONCALVES</t>
  </si>
  <si>
    <t>HO-CULOS (4762)</t>
  </si>
  <si>
    <t>HOOCULOS2020@GMAIL.COM</t>
  </si>
  <si>
    <t>RUA DEODORO</t>
  </si>
  <si>
    <t>LOJA 21</t>
  </si>
  <si>
    <t>FLORIANOPOLIS</t>
  </si>
  <si>
    <t>43057327000102</t>
  </si>
  <si>
    <t>43.057.327 OBERTI NOGUEIRA PEREIRA</t>
  </si>
  <si>
    <t>OTICA JAQUE (13952)</t>
  </si>
  <si>
    <t>OTICAJAQUEIMBITUBA@GMAIL.COM</t>
  </si>
  <si>
    <t>RENATO RAMOS DA SILVA</t>
  </si>
  <si>
    <t>810</t>
  </si>
  <si>
    <t>IMBITUBA</t>
  </si>
  <si>
    <t>49203900000125</t>
  </si>
  <si>
    <t>49.203.900 KAMILA DA SILVA FRANCO</t>
  </si>
  <si>
    <t>ESTATUS OTICA E JOALHERIA - ANGELINA (4625)</t>
  </si>
  <si>
    <t>KAMILAFRANCOIC@ICLOUD.COM</t>
  </si>
  <si>
    <t>RUA IVO REIS MONTENEGRO</t>
  </si>
  <si>
    <t>ANGELINA</t>
  </si>
  <si>
    <t>49855635000160</t>
  </si>
  <si>
    <t>49.855.635 CALIEL GONCALVES SALVADOR</t>
  </si>
  <si>
    <t>SSG VISAO OPTICA (4687)</t>
  </si>
  <si>
    <t>SSGVISAO.OPTICA@GMAIL.COM</t>
  </si>
  <si>
    <t>RUA DOMINGOS BRISTOT</t>
  </si>
  <si>
    <t>255</t>
  </si>
  <si>
    <t>APTO 604-A</t>
  </si>
  <si>
    <t>CRICIUMA</t>
  </si>
  <si>
    <t>50103679000112</t>
  </si>
  <si>
    <t>50.103.679 LIZANDRA RAMOS RODRIGUES</t>
  </si>
  <si>
    <t>CHAMALIZ (4697)</t>
  </si>
  <si>
    <t>CHAMALIZOTICA@GMAIL.COM</t>
  </si>
  <si>
    <t>PAULO ROBERTO VIDAL</t>
  </si>
  <si>
    <t>CASA 744</t>
  </si>
  <si>
    <t>BELA VISTA</t>
  </si>
  <si>
    <t>PALHOCA</t>
  </si>
  <si>
    <t>50123214000123</t>
  </si>
  <si>
    <t>50.123.214 IRACI CRISTINA DE SOUSA SANTOS</t>
  </si>
  <si>
    <t>LUZOTICA (4691)</t>
  </si>
  <si>
    <t>LIALUZ.COMERCIAL.COM.BR@GMAIL.COM</t>
  </si>
  <si>
    <t>RUA CORONEL AMERICO - ATE 1149/1150</t>
  </si>
  <si>
    <t>BARREIROS</t>
  </si>
  <si>
    <t>SAO JOSE</t>
  </si>
  <si>
    <t>50749875000169</t>
  </si>
  <si>
    <t>50.749.875 VALDIR CANOSO PORTASIO</t>
  </si>
  <si>
    <t>ZEPERRI OCULOS (4713)</t>
  </si>
  <si>
    <t>LAGOALENTES@GMAIL.COM</t>
  </si>
  <si>
    <t>RUA TV ATLANTIDA SUL</t>
  </si>
  <si>
    <t>CAMPECHE</t>
  </si>
  <si>
    <t>50902043000130</t>
  </si>
  <si>
    <t>50.902.043 BRUNO CAMPOS GERMINARI</t>
  </si>
  <si>
    <t>SOUL OTICA (4720)</t>
  </si>
  <si>
    <t>BRUNO_GERMINARI@HOTMAIL.COM</t>
  </si>
  <si>
    <t>RUA 10 R GUSTAVO RICHARD</t>
  </si>
  <si>
    <t>358</t>
  </si>
  <si>
    <t>LAGUNA</t>
  </si>
  <si>
    <t>51503256000152</t>
  </si>
  <si>
    <t>51.503.256 FAGNER MILTON DE FREITAS</t>
  </si>
  <si>
    <t>ESTATUS OTICA ANTONIO CARLOS (4761)</t>
  </si>
  <si>
    <t>ADMKAMILAFRANCO@GMAIL.COM</t>
  </si>
  <si>
    <t>RUA JOAO HENRIQUE PAULI</t>
  </si>
  <si>
    <t>139</t>
  </si>
  <si>
    <t>SALA 03 LJ1</t>
  </si>
  <si>
    <t>ANTONIO CARLOS</t>
  </si>
  <si>
    <t>51601945000108</t>
  </si>
  <si>
    <t>51.601.945 JULIANO MAFIOLETTI</t>
  </si>
  <si>
    <t>OPTICA FORQUILHINHA (4756)</t>
  </si>
  <si>
    <t>OPTICA_FORQUILHINHA@HOTMAI.COM</t>
  </si>
  <si>
    <t>25 DE JULHO</t>
  </si>
  <si>
    <t>2365</t>
  </si>
  <si>
    <t>SALA 23</t>
  </si>
  <si>
    <t>FORQUILHINHA</t>
  </si>
  <si>
    <t>51707139000100</t>
  </si>
  <si>
    <t>51.707.139 GABRIEL DE FREITAS SUS JUNIOR</t>
  </si>
  <si>
    <t>OTICA TOOL (4759)</t>
  </si>
  <si>
    <t>OTICATOOL@GMAIL.COM</t>
  </si>
  <si>
    <t>RUA JOAO PIO DUARTE SILVA</t>
  </si>
  <si>
    <t>APTO 101</t>
  </si>
  <si>
    <t>CORREGO GRANDE</t>
  </si>
  <si>
    <t>51766968000164</t>
  </si>
  <si>
    <t>51.766.968 RENATA LARISSA FURTADO MAIA COSTA</t>
  </si>
  <si>
    <t>OTICA ELEGANCE (4757)</t>
  </si>
  <si>
    <t>RHENATAMAIA@OUTLOOK.COM</t>
  </si>
  <si>
    <t>RUA MANOEL ROSA</t>
  </si>
  <si>
    <t>116</t>
  </si>
  <si>
    <t>AREIAS</t>
  </si>
  <si>
    <t>42</t>
  </si>
  <si>
    <t>37202859000193</t>
  </si>
  <si>
    <t>88 COMERCIO DE ARTIGOS OPTICOS LTDA</t>
  </si>
  <si>
    <t>88 OTICA (4149)</t>
  </si>
  <si>
    <t>FINANCEIRO@88OTICA.COM.BR</t>
  </si>
  <si>
    <t>RUA VEREADOR ARTHUR MANOEL MARIANO</t>
  </si>
  <si>
    <t>362</t>
  </si>
  <si>
    <t>34698469000168</t>
  </si>
  <si>
    <t>A E E OTICA LTDA</t>
  </si>
  <si>
    <t>ELEVE (4083)</t>
  </si>
  <si>
    <t>oticaeleve@gmail.com</t>
  </si>
  <si>
    <t>RUA DINARTE DOMINGUES</t>
  </si>
  <si>
    <t>543</t>
  </si>
  <si>
    <t>KOBRASOL</t>
  </si>
  <si>
    <t>SÃO JOSÉ</t>
  </si>
  <si>
    <t>07453692000172</t>
  </si>
  <si>
    <t>A G OTICA E RELOJOARIA LTDA ME</t>
  </si>
  <si>
    <t>OTICA E RELOJOARIA GIZELE (3002)</t>
  </si>
  <si>
    <t>oticagizele@gmail.com</t>
  </si>
  <si>
    <t>RUA DOUTOR CONSTANCIO KRUMMEL</t>
  </si>
  <si>
    <t>2183</t>
  </si>
  <si>
    <t>PRAIA COMPRIDA</t>
  </si>
  <si>
    <t>05117831000404</t>
  </si>
  <si>
    <t>A J COMERCIO DE JOIAS LTDA</t>
  </si>
  <si>
    <t>AUGUSTO JOIAS (1778)</t>
  </si>
  <si>
    <t>28494925000155</t>
  </si>
  <si>
    <t>A. M. COMERCIO DE JOIAS E RELOGIOS EIRELI - EPP</t>
  </si>
  <si>
    <t>TIBAUX JOALHEIROS  (3831)</t>
  </si>
  <si>
    <t>TIBAUXJOALHEIROS@HOTMAIL.COM</t>
  </si>
  <si>
    <t>RUA BOCAIUVA</t>
  </si>
  <si>
    <t>2468</t>
  </si>
  <si>
    <t>41518520000178</t>
  </si>
  <si>
    <t>A. VIEIRA DE SOUZA OPTICA</t>
  </si>
  <si>
    <t>MERCADÃO DOS OCULOS (4358)</t>
  </si>
  <si>
    <t>rs-torres@mercadaodosoculos.com.br</t>
  </si>
  <si>
    <t>AVENIDA JOSE BONIFACIO</t>
  </si>
  <si>
    <t>TORRES</t>
  </si>
  <si>
    <t>144</t>
  </si>
  <si>
    <t>26064905000119</t>
  </si>
  <si>
    <t>ABM OPTICA EIRELI - ME</t>
  </si>
  <si>
    <t>RELOJOARIA E OTICA SAO JOAO (3346)</t>
  </si>
  <si>
    <t>werica_moraes@hotmail.com</t>
  </si>
  <si>
    <t>RUA ANSELMO BARBOSA</t>
  </si>
  <si>
    <t>SÃO JOÃO DO SUL</t>
  </si>
  <si>
    <t>26064905000208</t>
  </si>
  <si>
    <t>ABM OPTICA LTDA</t>
  </si>
  <si>
    <t>RELOJOARIA E OTICA PK (4310)</t>
  </si>
  <si>
    <t>amandaborbamartins@hotmail.com</t>
  </si>
  <si>
    <t>TRAVESSA SAO SEBASTIAO</t>
  </si>
  <si>
    <t>PRAIA GRANDE</t>
  </si>
  <si>
    <t>04026968000148</t>
  </si>
  <si>
    <t>ACL JOIAS LTDA</t>
  </si>
  <si>
    <t>ELUZA (1785)</t>
  </si>
  <si>
    <t>luana.eluza@hotmail.com</t>
  </si>
  <si>
    <t>AVENIDA MARCOLINO MARTINS CABRAL</t>
  </si>
  <si>
    <t>2525</t>
  </si>
  <si>
    <t>AEROPORTO</t>
  </si>
  <si>
    <t>TUBARÃO</t>
  </si>
  <si>
    <t>03720577000166</t>
  </si>
  <si>
    <t>ADELMAR ASSIS CORDEIRO ME</t>
  </si>
  <si>
    <t>OTICA VEJA (ARS) (1199)</t>
  </si>
  <si>
    <t>OTICAVEJAARS@HOTMAIL.COM</t>
  </si>
  <si>
    <t>249</t>
  </si>
  <si>
    <t>ARS LOJA 24</t>
  </si>
  <si>
    <t>78894912000141</t>
  </si>
  <si>
    <t>ADEMAR ISIDORO CEOLIN ME</t>
  </si>
  <si>
    <t>ADEMAR ISIDORO CEOLIN ME (991)</t>
  </si>
  <si>
    <t>mazojoalheriaeotica@hotmail.com</t>
  </si>
  <si>
    <t>AVENIDA SETE DE SETEMBRO</t>
  </si>
  <si>
    <t>47</t>
  </si>
  <si>
    <t>TREZE DE MAIO</t>
  </si>
  <si>
    <t>32820512000190</t>
  </si>
  <si>
    <t>ADILSON  DAMIANI GOMES</t>
  </si>
  <si>
    <t>OTICA GOMES (4052)</t>
  </si>
  <si>
    <t>gomesotica@outlook.com</t>
  </si>
  <si>
    <t>RUA TREZE DE MAIO</t>
  </si>
  <si>
    <t>SL COMERCIAL 1</t>
  </si>
  <si>
    <t>16845400000138</t>
  </si>
  <si>
    <t>ADILSON SADIO VERAS ME</t>
  </si>
  <si>
    <t>OTICA SANTA LUZIA (1960)</t>
  </si>
  <si>
    <t>OSLJAQUELINE@HOTMAIL.COM</t>
  </si>
  <si>
    <t>RUA HERCILIO LUZ</t>
  </si>
  <si>
    <t>1095</t>
  </si>
  <si>
    <t>78649076000130</t>
  </si>
  <si>
    <t>ADOLFO DA SILVA FERREIRA EPP</t>
  </si>
  <si>
    <t>ADOLFO DA SILVA FERREIRA ME (6)</t>
  </si>
  <si>
    <t>silvio_turvo@hotmail.com</t>
  </si>
  <si>
    <t>TURVO</t>
  </si>
  <si>
    <t>07399227000109</t>
  </si>
  <si>
    <t>ADOLFO JOALHERIA E OTICA LTDA ME</t>
  </si>
  <si>
    <t>ADOLFO JOALHERIA E OTICA LTDA ME (726)</t>
  </si>
  <si>
    <t>MARCOS-O.A@HOTMAIL.COM</t>
  </si>
  <si>
    <t>SALA 101</t>
  </si>
  <si>
    <t>ARARANGUA</t>
  </si>
  <si>
    <t>133</t>
  </si>
  <si>
    <t>03498754000101</t>
  </si>
  <si>
    <t>ADRIANA CARVALHO DOS SANTOS DE CORDOVA ME</t>
  </si>
  <si>
    <t>OTICA MONTREAL (1449)</t>
  </si>
  <si>
    <t>montreal@oticamontreal.com</t>
  </si>
  <si>
    <t>413</t>
  </si>
  <si>
    <t>FLORIANÓPOLIS</t>
  </si>
  <si>
    <t>14927475000132</t>
  </si>
  <si>
    <t>ADRIANA DO ESPIRITO SANTO DE ABREU 76128857949</t>
  </si>
  <si>
    <t>OTICA ADRIANA (4249)</t>
  </si>
  <si>
    <t>adriana_s_abreu@hotmail.com</t>
  </si>
  <si>
    <t>SERVIDAO DO MANGUEIRAO</t>
  </si>
  <si>
    <t>PANTANAL</t>
  </si>
  <si>
    <t>17716654000119</t>
  </si>
  <si>
    <t>ADRIANO DE MATOS GARCEZ EIRELI</t>
  </si>
  <si>
    <t>OTICA CAROL (1991)</t>
  </si>
  <si>
    <t>687</t>
  </si>
  <si>
    <t>17716654000208</t>
  </si>
  <si>
    <t>OTICAS CAROL (2274)</t>
  </si>
  <si>
    <t>153</t>
  </si>
  <si>
    <t>32952796000179</t>
  </si>
  <si>
    <t>AFQ COMERCIO DE PRODUTOS OTICOS EIRELI</t>
  </si>
  <si>
    <t>AFQ COMERCIO DE PRODUTOS OTICOS EIRELI (3999)</t>
  </si>
  <si>
    <t>andre@quevedo.com.br</t>
  </si>
  <si>
    <t>RUA PREFEITO JOSE KEHRIG</t>
  </si>
  <si>
    <t>5675</t>
  </si>
  <si>
    <t>SALA 02 TERREO</t>
  </si>
  <si>
    <t>SANTO AMARO DA IMPERATRIZ</t>
  </si>
  <si>
    <t>585</t>
  </si>
  <si>
    <t>51983387000184</t>
  </si>
  <si>
    <t>AGATA COMERCIO DE OCULOS E ACESSORIOS LTDA</t>
  </si>
  <si>
    <t>CHILLI BEANS  (4771)</t>
  </si>
  <si>
    <t>ROD JOSE CARLOS DAUX</t>
  </si>
  <si>
    <t>3116</t>
  </si>
  <si>
    <t>TERREOLOJA 144</t>
  </si>
  <si>
    <t>JOAO PAULO</t>
  </si>
  <si>
    <t>42112889000149</t>
  </si>
  <si>
    <t>AGATHA CRISTIAN EVARISTO 07343861921</t>
  </si>
  <si>
    <t>@ OCULISTA (4333)</t>
  </si>
  <si>
    <t>RUA MADRE BENVENUTA</t>
  </si>
  <si>
    <t>1636</t>
  </si>
  <si>
    <t>SANTA MONICA</t>
  </si>
  <si>
    <t>49891191000118</t>
  </si>
  <si>
    <t>AGM OTICAS LTDA</t>
  </si>
  <si>
    <t>OTICA GIUMBELLI (4678)</t>
  </si>
  <si>
    <t>OTICAGIUMBELLIMOULIN@GMAIL.COM</t>
  </si>
  <si>
    <t>LEDIO JOAO MARTINS</t>
  </si>
  <si>
    <t>LJ 03 TERREO</t>
  </si>
  <si>
    <t>50656946000189</t>
  </si>
  <si>
    <t>AHFLORIPA COMERCIO DE PRODUTOS OTICOS LTDA</t>
  </si>
  <si>
    <t>OTICAS CAROL (4729)</t>
  </si>
  <si>
    <t>RUA DESEMBARGADOR ARNO HOESCHL</t>
  </si>
  <si>
    <t>81</t>
  </si>
  <si>
    <t>05117831000161</t>
  </si>
  <si>
    <t>AJ COMERCIO DE JOIAS LTDA EPP</t>
  </si>
  <si>
    <t>AUGUSTO JOIAS (295)</t>
  </si>
  <si>
    <t>gabriela@augustojoias.com.br</t>
  </si>
  <si>
    <t>390</t>
  </si>
  <si>
    <t>32514073000198</t>
  </si>
  <si>
    <t>AJL ÓTICA EIRELE</t>
  </si>
  <si>
    <t>AJL ÓTICA EIRELE (3974)</t>
  </si>
  <si>
    <t>FINANCEIRO@MERCADAOFLORIPA.COM.BR</t>
  </si>
  <si>
    <t>19947820000113</t>
  </si>
  <si>
    <t>ALAIR HILDA FERNANDES 37708007968</t>
  </si>
  <si>
    <t>ALAIR RELOJOARIA E OTICA (2108)</t>
  </si>
  <si>
    <t>marofer58@hotmail.com</t>
  </si>
  <si>
    <t>RUA VITOR MEIRELES</t>
  </si>
  <si>
    <t>741</t>
  </si>
  <si>
    <t>JARDIM ELDORADO</t>
  </si>
  <si>
    <t>PALHOÇA</t>
  </si>
  <si>
    <t>219</t>
  </si>
  <si>
    <t>18634935000195</t>
  </si>
  <si>
    <t>ALBERTO FIGUEIREDO SILVA</t>
  </si>
  <si>
    <t>BETO RELOJOARIA E OPTICA (2098)</t>
  </si>
  <si>
    <t>BETORELOJOARIAEOPTICA@GMAIL.COM</t>
  </si>
  <si>
    <t>RUA OLINKRAFT</t>
  </si>
  <si>
    <t>3020</t>
  </si>
  <si>
    <t>PINHEIROS</t>
  </si>
  <si>
    <t>OTACILIO COSTA</t>
  </si>
  <si>
    <t>79313748000102</t>
  </si>
  <si>
    <t>ALDO VANIO DE SOUZA  ME</t>
  </si>
  <si>
    <t>RELOJOARIA E OTICA SOUZA (13)</t>
  </si>
  <si>
    <t>oticasouzaicara@gmail.com</t>
  </si>
  <si>
    <t>RUA CORONEL MARCOS ROVARIS</t>
  </si>
  <si>
    <t>549</t>
  </si>
  <si>
    <t>IÇARA</t>
  </si>
  <si>
    <t>80699812000106</t>
  </si>
  <si>
    <t>ALEIR BASCHIROTTO ME</t>
  </si>
  <si>
    <t>RELOJOARIA E OTICA BASCHIROTTO (1751)</t>
  </si>
  <si>
    <t>oticabaschirotto@hotmail.com</t>
  </si>
  <si>
    <t>AVENIDA DR POLIDORO SANTIAGO  SL 03</t>
  </si>
  <si>
    <t>276</t>
  </si>
  <si>
    <t>COCAL DO SUL</t>
  </si>
  <si>
    <t>42846419000109</t>
  </si>
  <si>
    <t>ALEMANHA ACESSORIOS DE MODA LTDA</t>
  </si>
  <si>
    <t>CHILLI BEANS (4386)</t>
  </si>
  <si>
    <t>MARIANE.MOSENA@CHILLISC.COM.BR</t>
  </si>
  <si>
    <t>RODOVIA BR 101 KM 210</t>
  </si>
  <si>
    <t>S/N</t>
  </si>
  <si>
    <t>SALA L.100</t>
  </si>
  <si>
    <t>AREA INDUSTRIAL</t>
  </si>
  <si>
    <t>43824072000166</t>
  </si>
  <si>
    <t>ALESSANDRA DEMETRIO DE ALMEIDA 78485126904</t>
  </si>
  <si>
    <t>PUPILA OPTICA &amp; JOALHERIA (4534)</t>
  </si>
  <si>
    <t>PUPILAOPTICAEJOALHERIA@GMAIL.COM</t>
  </si>
  <si>
    <t>RUA IRMAOS TREVISOL</t>
  </si>
  <si>
    <t>1110</t>
  </si>
  <si>
    <t>JACINTO MACHADO</t>
  </si>
  <si>
    <t>36507526000100</t>
  </si>
  <si>
    <t>ALESSANDRO WEBER DA SILVA 07603986907</t>
  </si>
  <si>
    <t>ALESSANDRO WEBER DA SILVA (4111)</t>
  </si>
  <si>
    <t>alessandro@oculosexpress.com</t>
  </si>
  <si>
    <t>RUA JOAQUIM JOSE MEURER</t>
  </si>
  <si>
    <t>CASA 4</t>
  </si>
  <si>
    <t>FORQUILHAS</t>
  </si>
  <si>
    <t>122</t>
  </si>
  <si>
    <t>04321284000179</t>
  </si>
  <si>
    <t>ALEX ANDRE CARDOSO</t>
  </si>
  <si>
    <t>RELOJOARIA E OTICA SAO LUIZ (2024)</t>
  </si>
  <si>
    <t>relojoariaeoticasao.luiz@hotmail.com</t>
  </si>
  <si>
    <t>RUA JOAO ERNESTO RAMOS</t>
  </si>
  <si>
    <t>CAPIVARI DE BAIXO</t>
  </si>
  <si>
    <t>128</t>
  </si>
  <si>
    <t>82966656000128</t>
  </si>
  <si>
    <t>ALIANNA COMERCIAL LTDA</t>
  </si>
  <si>
    <t>OTICA CAYMAN (1918)</t>
  </si>
  <si>
    <t>CONTATO@ALIANNA.COM.BR</t>
  </si>
  <si>
    <t>OTHON GAMA DEÇA</t>
  </si>
  <si>
    <t>900</t>
  </si>
  <si>
    <t>31106346000100</t>
  </si>
  <si>
    <t>ALINE MAFFIOLETTI CONSTANTE</t>
  </si>
  <si>
    <t>OTICA CARMESIM (4138)</t>
  </si>
  <si>
    <t>oticacarmesim@hotmail.com</t>
  </si>
  <si>
    <t>RUA ENGENHEIRO LOJA</t>
  </si>
  <si>
    <t>PROSPERA</t>
  </si>
  <si>
    <t>CRICIÚMA</t>
  </si>
  <si>
    <t>06910454000186</t>
  </si>
  <si>
    <t>ALINE SILVA DE SOUZA ME</t>
  </si>
  <si>
    <t>ALINE JOIAS (2065)</t>
  </si>
  <si>
    <t>alinejoias@hotmail.com</t>
  </si>
  <si>
    <t>RUA PADRE BERNARDO FREUSER</t>
  </si>
  <si>
    <t>04008746000100</t>
  </si>
  <si>
    <t>ALMIRIA SPERLING CANDIDO</t>
  </si>
  <si>
    <t>IMPERIO (4570)</t>
  </si>
  <si>
    <t>imperio.or@outlook.com</t>
  </si>
  <si>
    <t>RUA EDUARDO BERGMANN</t>
  </si>
  <si>
    <t>ESTAÇÃO COCAL</t>
  </si>
  <si>
    <t>05608012000117</t>
  </si>
  <si>
    <t>ALVORADA COMERCIO DE PRODUTOS OTICOS LTDA ME</t>
  </si>
  <si>
    <t>OTICA MENINA DOS OLHOS (1329)</t>
  </si>
  <si>
    <t>oticameninadosolhos_adm@hotmail.com</t>
  </si>
  <si>
    <t>AVENIDA ANICETO ZACCHI</t>
  </si>
  <si>
    <t>561</t>
  </si>
  <si>
    <t>PONTE DO IMARUIM</t>
  </si>
  <si>
    <t>26898780000122</t>
  </si>
  <si>
    <t>AMANDA YASMIM BARBOSA PINHEIRO</t>
  </si>
  <si>
    <t>OTICA AMANDA (3808)</t>
  </si>
  <si>
    <t>ruthrosapink@hotmail.com</t>
  </si>
  <si>
    <t>RUA CORONEL TEIXEIRA OLIVEIRA</t>
  </si>
  <si>
    <t>BIGUAÇU</t>
  </si>
  <si>
    <t>12904971000145</t>
  </si>
  <si>
    <t>AMETISTA JOALHERIA E OTICA EIRELI EPP</t>
  </si>
  <si>
    <t>QUEVEDO (1820)</t>
  </si>
  <si>
    <t>financeiro2@quevedo.com.br</t>
  </si>
  <si>
    <t>LOJA 112 ARS</t>
  </si>
  <si>
    <t>247</t>
  </si>
  <si>
    <t>36392653000100</t>
  </si>
  <si>
    <t>AMR OPTICA COMERCIO VAREJISTA EIRELI</t>
  </si>
  <si>
    <t>MERCADAO DOS OCULOS (4354)</t>
  </si>
  <si>
    <t>mdoararangua@outlook.com</t>
  </si>
  <si>
    <t>ARARANGUÁ</t>
  </si>
  <si>
    <t>51330988000198</t>
  </si>
  <si>
    <t>ANA LIGIA DA CUNHA LTDA</t>
  </si>
  <si>
    <t>OTICA SAO FRANCISCO (4783)</t>
  </si>
  <si>
    <t>ANALIGIACUNHA90@GMAIL.COM</t>
  </si>
  <si>
    <t>5713</t>
  </si>
  <si>
    <t>19501778000293</t>
  </si>
  <si>
    <t>ANA TEREZA ABDON WAGNER</t>
  </si>
  <si>
    <t>OTICAS ANELYSE (4306)</t>
  </si>
  <si>
    <t>OTICASANELYSE@GMAIL.COM</t>
  </si>
  <si>
    <t>BARAO DO RIO BRANCO</t>
  </si>
  <si>
    <t>51815400000196</t>
  </si>
  <si>
    <t>ANDERSON ROGERIO BATISTA DE SIQUEIRA LTDA</t>
  </si>
  <si>
    <t>CHILLI BEANS (4777)</t>
  </si>
  <si>
    <t>RUA R FELIPE SCHIMIDT</t>
  </si>
  <si>
    <t>51815400000277</t>
  </si>
  <si>
    <t>CHILLI BEANS  (4775)</t>
  </si>
  <si>
    <t>ROD FRANCISCO MAGNO VIEIRA</t>
  </si>
  <si>
    <t>4397</t>
  </si>
  <si>
    <t>LOJA 07 - OKA F</t>
  </si>
  <si>
    <t>09134983000123</t>
  </si>
  <si>
    <t>ANDRE RODRIGUES</t>
  </si>
  <si>
    <t>RELOJOARIA E OTICA TIC TAC (1426)</t>
  </si>
  <si>
    <t>andre.tictac@hotmail.com</t>
  </si>
  <si>
    <t>AV. FRANCISCO ROBERTO DA SILVA</t>
  </si>
  <si>
    <t>212</t>
  </si>
  <si>
    <t>JARDIM BIGUACU</t>
  </si>
  <si>
    <t>BIGUACU</t>
  </si>
  <si>
    <t>15395077000347</t>
  </si>
  <si>
    <t>ANDRESA RITA DE LIMA FORTE OTICA EIRELI</t>
  </si>
  <si>
    <t>OTICA DINIZ (1926)</t>
  </si>
  <si>
    <t>auxiliar.caixa@oticadinizfloripa.com.br</t>
  </si>
  <si>
    <t>RUA SC - 407 - LOJA 118 CONTINENT PARK SHOPP</t>
  </si>
  <si>
    <t>LOJA 118</t>
  </si>
  <si>
    <t>PICADOS DO SUL</t>
  </si>
  <si>
    <t>15395077000185</t>
  </si>
  <si>
    <t>OTICA DINIZ (1892)</t>
  </si>
  <si>
    <t>RUA CONSELHEIRO MAFRA</t>
  </si>
  <si>
    <t>98</t>
  </si>
  <si>
    <t>15395077000509</t>
  </si>
  <si>
    <t>OTICA DINIZ (4587)</t>
  </si>
  <si>
    <t>CONTROLADORIA.LENTES01@OTICADINIZFLORIPA.COM.BR</t>
  </si>
  <si>
    <t>ARMANDO CALIL BULOS</t>
  </si>
  <si>
    <t>6540</t>
  </si>
  <si>
    <t>LOJA 102</t>
  </si>
  <si>
    <t>INGLESES</t>
  </si>
  <si>
    <t>41529340000191</t>
  </si>
  <si>
    <t>ANINHA IDALINA CAETANO 81216041920</t>
  </si>
  <si>
    <t>CAETANO OTICA HOME CARE (4411)</t>
  </si>
  <si>
    <t>andijjac@hotmail.com</t>
  </si>
  <si>
    <t>RUA GUILHERME LEMONIE</t>
  </si>
  <si>
    <t>CASA</t>
  </si>
  <si>
    <t>24576584000106</t>
  </si>
  <si>
    <t>ANTONIO ADOLFO BARRETO PEREIRA EPP</t>
  </si>
  <si>
    <t>OPTICA DIVAL (3313)</t>
  </si>
  <si>
    <t>ANTONIOPBARRETO@TERRA.COM.BR</t>
  </si>
  <si>
    <t>JOSE BONIFACIO</t>
  </si>
  <si>
    <t>395</t>
  </si>
  <si>
    <t>10381773000119</t>
  </si>
  <si>
    <t>ANTONIO ALFREDO DO NASCIMENTO ME</t>
  </si>
  <si>
    <t>RELOJOARIA E OPTICA TIC TAC (1470)</t>
  </si>
  <si>
    <t>tictacpl@hotmail.com</t>
  </si>
  <si>
    <t>RUA JOAO DE SOUZA</t>
  </si>
  <si>
    <t>PAULO LOPES</t>
  </si>
  <si>
    <t>02098920000110</t>
  </si>
  <si>
    <t>APW OTICA LTDA ME</t>
  </si>
  <si>
    <t>OTICA SANTA LUZIA (1086)</t>
  </si>
  <si>
    <t>apwoticasantaluzia@hotmail.com</t>
  </si>
  <si>
    <t>322</t>
  </si>
  <si>
    <t>LAGES</t>
  </si>
  <si>
    <t>74176629000123</t>
  </si>
  <si>
    <t>ARNALDO PORTO</t>
  </si>
  <si>
    <t>OTICA BILA (931)</t>
  </si>
  <si>
    <t>ARNALDOPORTO66@YAHOO.COM.BR</t>
  </si>
  <si>
    <t>RUA BOANERGES PEREIRA DE MEDEIROS</t>
  </si>
  <si>
    <t>SAO JOAQUIM</t>
  </si>
  <si>
    <t>41432206000178</t>
  </si>
  <si>
    <t>ARS CENTRO NOVO OTICA LTDA</t>
  </si>
  <si>
    <t>OTICAS CAROL (4308)</t>
  </si>
  <si>
    <t>CONTROLADORIA.FLORIPA@OTICASCAROL.COM.BR</t>
  </si>
  <si>
    <t>SALA 01 ARS</t>
  </si>
  <si>
    <t>81373300000118</t>
  </si>
  <si>
    <t>ARTE JOIAS E OPTICA LTDA</t>
  </si>
  <si>
    <t>ARTE JOIAS E OPTICA (772)</t>
  </si>
  <si>
    <t>lojauui@hotmail.com</t>
  </si>
  <si>
    <t>RUA PRACA CAETANO VIEIRA DE SOUZA</t>
  </si>
  <si>
    <t>URUBICI</t>
  </si>
  <si>
    <t>04955003000130</t>
  </si>
  <si>
    <t>AURA DE FRAGA MARCOS ME</t>
  </si>
  <si>
    <t>OTICA MARCOS (1862)</t>
  </si>
  <si>
    <t>oticamarcos.laguna@hotmail.com</t>
  </si>
  <si>
    <t>RUA GUSTAVO RICHARD</t>
  </si>
  <si>
    <t>POVOADO DE LARANJEIRAS</t>
  </si>
  <si>
    <t>01153947000103</t>
  </si>
  <si>
    <t>BBZ COMERCIO DE PRODUTOS OPTICOS LTDA ME</t>
  </si>
  <si>
    <t>BBZ RIO BRANCO (962)</t>
  </si>
  <si>
    <t>oticabbz@hotmail.com</t>
  </si>
  <si>
    <t>AVENIDA OSMAR CUNHA</t>
  </si>
  <si>
    <t>LJ 24</t>
  </si>
  <si>
    <t>14279650000122</t>
  </si>
  <si>
    <t>BD COMERCIO DE PRODUTOS LTDA ME</t>
  </si>
  <si>
    <t>OTICA BBZ (1873)</t>
  </si>
  <si>
    <t>oticadeodoro@grupobbz.com.br</t>
  </si>
  <si>
    <t>487</t>
  </si>
  <si>
    <t>07925089000146</t>
  </si>
  <si>
    <t>BELLAPRATA - JOIAS E RELOGIOS LTDA</t>
  </si>
  <si>
    <t>GIOVANNA LANZARA (4592)</t>
  </si>
  <si>
    <t>rogerio@lanzara.com.br</t>
  </si>
  <si>
    <t>RUA DR. NEREU RAMOS</t>
  </si>
  <si>
    <t>364</t>
  </si>
  <si>
    <t>LOJA 002</t>
  </si>
  <si>
    <t>83565465000117</t>
  </si>
  <si>
    <t>BENEDITO KOERICH ME</t>
  </si>
  <si>
    <t>RELOJOARIA KOERICH (1458)</t>
  </si>
  <si>
    <t>koerichrelojoariaeoptica@hotmail.com</t>
  </si>
  <si>
    <t>RUA ANICETO ZACCHI</t>
  </si>
  <si>
    <t>415</t>
  </si>
  <si>
    <t>SL 06</t>
  </si>
  <si>
    <t>46458418000148</t>
  </si>
  <si>
    <t>BENI &amp; HORAN PEDRO DEMORO</t>
  </si>
  <si>
    <t>OTICA BENI</t>
  </si>
  <si>
    <t>oticabeni@hotmail.com</t>
  </si>
  <si>
    <t>RUA CORONEL PEDRO DEMORO</t>
  </si>
  <si>
    <t>1955</t>
  </si>
  <si>
    <t>LOJA 05</t>
  </si>
  <si>
    <t>BALNEARIO</t>
  </si>
  <si>
    <t>27610228000150</t>
  </si>
  <si>
    <t>BENTO DOS SANTOS SOARES FILHO 41448065020</t>
  </si>
  <si>
    <t>ATMO (10409)</t>
  </si>
  <si>
    <t>BSSFILHO@HOTMAIL.COM</t>
  </si>
  <si>
    <t>RUA BIAS PEIXOTO</t>
  </si>
  <si>
    <t>70</t>
  </si>
  <si>
    <t>APT405</t>
  </si>
  <si>
    <t>ITAGUACU</t>
  </si>
  <si>
    <t>08530742000130</t>
  </si>
  <si>
    <t>BERNARDO TIBAU SZPOGANICZ - ME</t>
  </si>
  <si>
    <t>TIBAUX JOALHEIROS (3868)</t>
  </si>
  <si>
    <t>BR-101</t>
  </si>
  <si>
    <t>LJ 41</t>
  </si>
  <si>
    <t>DISTRITO INDUSTRIAL</t>
  </si>
  <si>
    <t>135</t>
  </si>
  <si>
    <t>81308223000112</t>
  </si>
  <si>
    <t>BETH JOIAS E RELOGIOS LTDA ME</t>
  </si>
  <si>
    <t>BETH JOIAS E RELOGIOS LTDA (1056)</t>
  </si>
  <si>
    <t>bethoticajoias@hotmail.com</t>
  </si>
  <si>
    <t>AVENIDA GABRIEL ZANETTE</t>
  </si>
  <si>
    <t>SALA 121</t>
  </si>
  <si>
    <t>31154855000109</t>
  </si>
  <si>
    <t>BETHE OTICA E JOALHERIA EIRELI</t>
  </si>
  <si>
    <t>BETHE OTICA (3912)</t>
  </si>
  <si>
    <t>otica.beth@gmail.com</t>
  </si>
  <si>
    <t>RUA ATILIO PEDRO PAGANI</t>
  </si>
  <si>
    <t>115</t>
  </si>
  <si>
    <t>LJ 01</t>
  </si>
  <si>
    <t>PAGANI</t>
  </si>
  <si>
    <t>368</t>
  </si>
  <si>
    <t>29394576000162</t>
  </si>
  <si>
    <t>BETTER VISION COMERCIO DE PRODUTOS OPTICOS LTDA</t>
  </si>
  <si>
    <t>OTICA BAIA NORTE (3887)</t>
  </si>
  <si>
    <t>oticabaianorte@gmail.com</t>
  </si>
  <si>
    <t>RUA SIDNEY NOCETTI</t>
  </si>
  <si>
    <t>SL07</t>
  </si>
  <si>
    <t>AGRONOMICA</t>
  </si>
  <si>
    <t>39234958000182</t>
  </si>
  <si>
    <t>BK OTICA LTDA</t>
  </si>
  <si>
    <t>CRAFTS (4198)</t>
  </si>
  <si>
    <t>RUA ALMIRANTE ALVIM</t>
  </si>
  <si>
    <t>607</t>
  </si>
  <si>
    <t>LOJA 2</t>
  </si>
  <si>
    <t>35978308000190</t>
  </si>
  <si>
    <t>BLING OTICA UPP LTDA</t>
  </si>
  <si>
    <t>OTICAS CAROL (4145)</t>
  </si>
  <si>
    <t>RUA ARMANDO CALIL BULOS</t>
  </si>
  <si>
    <t>5733</t>
  </si>
  <si>
    <t>LJ01</t>
  </si>
  <si>
    <t>INGLESES DO RIO VERMELHO</t>
  </si>
  <si>
    <t>39927551000130</t>
  </si>
  <si>
    <t>BLUEEYE JOALHERIA E OTICA LTDA</t>
  </si>
  <si>
    <t>BLUEEYE (4253)</t>
  </si>
  <si>
    <t>renato@abensur.com.br</t>
  </si>
  <si>
    <t>AVENIDA MADRE BENVENUTA</t>
  </si>
  <si>
    <t>LOJA 221</t>
  </si>
  <si>
    <t>176</t>
  </si>
  <si>
    <t>35763543000145</t>
  </si>
  <si>
    <t>BMK COMERCIO DE PRODUTOS OTICOS LTDA</t>
  </si>
  <si>
    <t>OTICAS CAROL (4151)</t>
  </si>
  <si>
    <t>RUA R BOCAIUVA</t>
  </si>
  <si>
    <t>LJ 106 PI L1</t>
  </si>
  <si>
    <t>20162215000116</t>
  </si>
  <si>
    <t>BRILHANTE JOALHERIA E OTICA EIRELI EPP</t>
  </si>
  <si>
    <t>QUEVEDO  (2166)</t>
  </si>
  <si>
    <t>EXPEDIENTE@QUEVEDO.COM.BR</t>
  </si>
  <si>
    <t>ATILIO PEDRO PAGANI</t>
  </si>
  <si>
    <t>270</t>
  </si>
  <si>
    <t>LJ 220 2 PISO</t>
  </si>
  <si>
    <t>PASSA VINTE</t>
  </si>
  <si>
    <t>24426768000190</t>
  </si>
  <si>
    <t>BRUNA ALEXSANDRA CRISTOVAO - OTICA ROSA DE SARON</t>
  </si>
  <si>
    <t>OTICA ROSA DE SARON (4311)</t>
  </si>
  <si>
    <t>B.ALEXSANDRA@HOTMAIL.COM</t>
  </si>
  <si>
    <t>RUA SANTOS SARAIVA</t>
  </si>
  <si>
    <t>2233</t>
  </si>
  <si>
    <t>ESTREITO</t>
  </si>
  <si>
    <t>32014163000110</t>
  </si>
  <si>
    <t>BRUNA FERNANDES 06324073955</t>
  </si>
  <si>
    <t>OTICA TAVARES  (3960)</t>
  </si>
  <si>
    <t>OTICAEJOIATAVARES@GMAIL.COM</t>
  </si>
  <si>
    <t>RUA JOÃO DE CARVALHO</t>
  </si>
  <si>
    <t>NOVA BRASILIA</t>
  </si>
  <si>
    <t>26608543000180</t>
  </si>
  <si>
    <t>BRUNA NUNES PETERS</t>
  </si>
  <si>
    <t>MORGANA OPTICA E ACESSORIOS (3793)</t>
  </si>
  <si>
    <t>morgana.nunes90@gmail.com</t>
  </si>
  <si>
    <t>RUA MACHADO DE ASSIS</t>
  </si>
  <si>
    <t>606</t>
  </si>
  <si>
    <t>SANTA LUCIA</t>
  </si>
  <si>
    <t>18192175000103</t>
  </si>
  <si>
    <t>BRUNA OLIVEIRA DE ALMEIDA EIRELI ME</t>
  </si>
  <si>
    <t>OTICAS CAROL (2013)</t>
  </si>
  <si>
    <t>RUA GERONCIO THIVES</t>
  </si>
  <si>
    <t>LOJA 264 E 265</t>
  </si>
  <si>
    <t>203</t>
  </si>
  <si>
    <t>41545612000147</t>
  </si>
  <si>
    <t>CAING COMERCIO DE PRODUTOS OTICOS LTDA</t>
  </si>
  <si>
    <t>OTICAS CAROL (4314)</t>
  </si>
  <si>
    <t>RODOVIA ARMANDO CALIL BULOS</t>
  </si>
  <si>
    <t>SC 403 SALA 01</t>
  </si>
  <si>
    <t>44996287000127</t>
  </si>
  <si>
    <t>CAMILA COMERCIO DE OCULOS E ACESSORIOS LTDA</t>
  </si>
  <si>
    <t>CHILLIBEANS ARARANGUA (4519)</t>
  </si>
  <si>
    <t>CAMIKIKASOUZA@GMAIL.COM</t>
  </si>
  <si>
    <t>SETE DE SETEMBRO</t>
  </si>
  <si>
    <t>705</t>
  </si>
  <si>
    <t>QUIOSQ103</t>
  </si>
  <si>
    <t>CIDADE ALTA</t>
  </si>
  <si>
    <t>37754057000196</t>
  </si>
  <si>
    <t>CARLOS ALBERTO DA SILVA CUNHA 60972220097</t>
  </si>
  <si>
    <t>OTICA PRIME (4158)</t>
  </si>
  <si>
    <t>fatima.zmartins@hotmail.com</t>
  </si>
  <si>
    <t>RUA DOS EUCALIPTOS</t>
  </si>
  <si>
    <t>185</t>
  </si>
  <si>
    <t>CANASVIEIRAS</t>
  </si>
  <si>
    <t>41708187000160</t>
  </si>
  <si>
    <t>CARLOS JOALHERIA E OTICA EIRELI</t>
  </si>
  <si>
    <t>CARLOS JOALHERIA E OTICA (4509)</t>
  </si>
  <si>
    <t>CARLOSJOALHEIRO@YAHOO.COM</t>
  </si>
  <si>
    <t>CELESTE RECCO</t>
  </si>
  <si>
    <t>494</t>
  </si>
  <si>
    <t>ESPERANCA</t>
  </si>
  <si>
    <t>MORRO DA FUMACA</t>
  </si>
  <si>
    <t>50148684000141</t>
  </si>
  <si>
    <t>CARLOS JOALHERIA E OTICA LTDA</t>
  </si>
  <si>
    <t>CARLOS JOALHERIA E OTICA (4758)</t>
  </si>
  <si>
    <t>MONTE VERDE</t>
  </si>
  <si>
    <t>48683298000108</t>
  </si>
  <si>
    <t>CARLOS OTICA E JOALHERIA LTDA</t>
  </si>
  <si>
    <t>CARLOS JOALHERIA E OTICA (4701)</t>
  </si>
  <si>
    <t>RUA ADHEMAR GHISI</t>
  </si>
  <si>
    <t>31310128000185</t>
  </si>
  <si>
    <t>CAROLINE MARCOS PAZ</t>
  </si>
  <si>
    <t>OTICA MARCOS (3914)</t>
  </si>
  <si>
    <t>17292737000209</t>
  </si>
  <si>
    <t>CAROLINE WEBER MACHADO EIRELI</t>
  </si>
  <si>
    <t>OTICAS CAROL (2096)</t>
  </si>
  <si>
    <t>LJ 6 EDIF AMELI</t>
  </si>
  <si>
    <t>17292737000128</t>
  </si>
  <si>
    <t>OTICAS CAROL (1965)</t>
  </si>
  <si>
    <t>01919312000166</t>
  </si>
  <si>
    <t>CARVALHO RELOJOARIA E OTICA LTDA</t>
  </si>
  <si>
    <t>CARVALHO RELOJOARIA E OTICA LTDA (1055)</t>
  </si>
  <si>
    <t>oticasaojose.cr@gmail.com</t>
  </si>
  <si>
    <t>RUA ANTONIO DE LUCCA</t>
  </si>
  <si>
    <t>80995459000101</t>
  </si>
  <si>
    <t>CELIA MARIA JEREMIAS</t>
  </si>
  <si>
    <t>CELIA MARIA JEREMIAS (51)</t>
  </si>
  <si>
    <t>IMARUI</t>
  </si>
  <si>
    <t>85350999000151</t>
  </si>
  <si>
    <t>CELSO BERLATO ME</t>
  </si>
  <si>
    <t>CELSO BERLATO ME (1019)</t>
  </si>
  <si>
    <t>andre_berlato@hotmail.com</t>
  </si>
  <si>
    <t>558</t>
  </si>
  <si>
    <t>PASSO DE TORRES</t>
  </si>
  <si>
    <t>06958850000183</t>
  </si>
  <si>
    <t>CENTER VISION OTICA LTDA ME</t>
  </si>
  <si>
    <t>CENTER VISION OTICA LTDA ME (606)</t>
  </si>
  <si>
    <t>center_vision@hotmail.com</t>
  </si>
  <si>
    <t>RUA SANTO ANTONIO</t>
  </si>
  <si>
    <t>51168956000138</t>
  </si>
  <si>
    <t>CENTRO OPTICO ACACIA LTDA</t>
  </si>
  <si>
    <t>OPTICA ACACIA (4737)</t>
  </si>
  <si>
    <t>RUA TENENTE SILVEIRA</t>
  </si>
  <si>
    <t>286</t>
  </si>
  <si>
    <t>21052355000102</t>
  </si>
  <si>
    <t>CENTRO OPTICO MONDADORI LTDA</t>
  </si>
  <si>
    <t>CENTRO OPTICO MONDADORI (2258)</t>
  </si>
  <si>
    <t>DUDAPEREIRA1507@GMAIL.COM</t>
  </si>
  <si>
    <t>LUIS DE CAMOES</t>
  </si>
  <si>
    <t>CORAL</t>
  </si>
  <si>
    <t>31525170000113</t>
  </si>
  <si>
    <t>CENTRO OTICA RIO BRANCO EIRELI</t>
  </si>
  <si>
    <t>OTICA RIO BRANCO (4035)</t>
  </si>
  <si>
    <t>financeiro@zvcblumenau.com.br</t>
  </si>
  <si>
    <t>AVENIDA RIO BRANCO</t>
  </si>
  <si>
    <t>817</t>
  </si>
  <si>
    <t>SL 706</t>
  </si>
  <si>
    <t>BLUMENAU</t>
  </si>
  <si>
    <t>75335984000160</t>
  </si>
  <si>
    <t>CENTRO OTICO FLORIANOPOLIS LTDA</t>
  </si>
  <si>
    <t>CENTRO OTICO FLORIANOPOLIS LTDA (57)</t>
  </si>
  <si>
    <t>centrooticofpolis@gmail.com</t>
  </si>
  <si>
    <t>RUA DOUTOR ANTONIO DIB MUSSI</t>
  </si>
  <si>
    <t>84</t>
  </si>
  <si>
    <t>25</t>
  </si>
  <si>
    <t>26584700000245</t>
  </si>
  <si>
    <t>CEU AZUL ACESSORIOS DA MODA LTDA</t>
  </si>
  <si>
    <t>DIMPOL EYEWEAR (4201)</t>
  </si>
  <si>
    <t>rsdallacosta@gmail.com</t>
  </si>
  <si>
    <t>LOJA 243</t>
  </si>
  <si>
    <t>19625559000216</t>
  </si>
  <si>
    <t>CHARLES D SILVEIRA COMERCIO LTDA</t>
  </si>
  <si>
    <t>OTICA FAMILIA URSO (4205)</t>
  </si>
  <si>
    <t>oticafamiliaurso@gmail.com</t>
  </si>
  <si>
    <t>580</t>
  </si>
  <si>
    <t>CONTAINER</t>
  </si>
  <si>
    <t>19625559000135</t>
  </si>
  <si>
    <t>OTICA FAMILIA URSO (4200)</t>
  </si>
  <si>
    <t>RUA ALVARO DE CARVALHO</t>
  </si>
  <si>
    <t>BOX 09</t>
  </si>
  <si>
    <t>10256901000100</t>
  </si>
  <si>
    <t>CHARLES DA SILVA BELO-ME</t>
  </si>
  <si>
    <t>OPTICA ANTONIO CARLOS (1489)</t>
  </si>
  <si>
    <t>charlesotica@hotmail.com</t>
  </si>
  <si>
    <t>271</t>
  </si>
  <si>
    <t>ANTÔNIO CARLOS</t>
  </si>
  <si>
    <t>21</t>
  </si>
  <si>
    <t>11125530000182</t>
  </si>
  <si>
    <t>CIELO BEIRAMAR ACESSORIOS DE MODA LTDA EPP</t>
  </si>
  <si>
    <t>CHILLI BEANS (2040)</t>
  </si>
  <si>
    <t>LOJA 408 PISO 3</t>
  </si>
  <si>
    <t>20703406000148</t>
  </si>
  <si>
    <t>CLAUDETE COSTA OTICA</t>
  </si>
  <si>
    <t>OTICA TENDENCIA (4176)</t>
  </si>
  <si>
    <t>djalmasteffani@hotmail.com</t>
  </si>
  <si>
    <t>RUA SAO PEDRO</t>
  </si>
  <si>
    <t>16831616000144</t>
  </si>
  <si>
    <t>CLAUDETE MATOS OTICA E JOALHERIA EIRELI ME</t>
  </si>
  <si>
    <t>CLAUDETE MATOS OTICA E JOALHERIA EIRELI ME (1949)</t>
  </si>
  <si>
    <t>cmatosotica@gmail.com</t>
  </si>
  <si>
    <t>RUA CORONEL BERNARDINO MACHADO</t>
  </si>
  <si>
    <t>43</t>
  </si>
  <si>
    <t>16914728000169</t>
  </si>
  <si>
    <t>CLAUDIA OPTICA E JOALHERIA LTDA</t>
  </si>
  <si>
    <t>CLAUDIA OPTICA (1953)</t>
  </si>
  <si>
    <t>claudiaoptica@yahoo.com.br</t>
  </si>
  <si>
    <t>RUA DO EXPEDICIONARIO</t>
  </si>
  <si>
    <t>12601458000185</t>
  </si>
  <si>
    <t>CLAUDIOMIRO LAURENTINO</t>
  </si>
  <si>
    <t>VP OTICA (4640)</t>
  </si>
  <si>
    <t>VPOTICAEMAIL@GMAIL.COM</t>
  </si>
  <si>
    <t>LOJA 9</t>
  </si>
  <si>
    <t>30283628000102</t>
  </si>
  <si>
    <t>CLEIA KELLY DOS SANTOS LIMA 30127857877</t>
  </si>
  <si>
    <t>OTICA DA ILHA (3886)</t>
  </si>
  <si>
    <t>contato.oticadailha@gmail.com</t>
  </si>
  <si>
    <t>RUA DOM JOAO BECKER</t>
  </si>
  <si>
    <t>01435140000155</t>
  </si>
  <si>
    <t>CLEIR TEREZINHA VIEIRA VELHO BARDUINO ME</t>
  </si>
  <si>
    <t>OTICA KEDDO (1269)</t>
  </si>
  <si>
    <t>opticaerelojoariakeddo@hotmail.com</t>
  </si>
  <si>
    <t>RUA FERNANDO MACHADO</t>
  </si>
  <si>
    <t>SALA D</t>
  </si>
  <si>
    <t>07842165000150</t>
  </si>
  <si>
    <t>CLENILDO PEREIRA  ME</t>
  </si>
  <si>
    <t>PH JOIAS E OTICA (1994)</t>
  </si>
  <si>
    <t>phjoias@hotmail.com</t>
  </si>
  <si>
    <t>39923951000178</t>
  </si>
  <si>
    <t>COMERCIO DE OCULOS WP LTDA</t>
  </si>
  <si>
    <t>MERCADAO DOS OCULOS (4448)</t>
  </si>
  <si>
    <t>MDOICARA@OUTLOOK.COM</t>
  </si>
  <si>
    <t>RUA CEL. MARCOS ROVARIS</t>
  </si>
  <si>
    <t>343</t>
  </si>
  <si>
    <t>ICARA</t>
  </si>
  <si>
    <t>28690215000109</t>
  </si>
  <si>
    <t>CONTCHE COM PROD OPTICOS EIRELI</t>
  </si>
  <si>
    <t>OTICAS CAROL (3833)</t>
  </si>
  <si>
    <t>produtos@oticascarol.com.br</t>
  </si>
  <si>
    <t>RUA BR-101</t>
  </si>
  <si>
    <t>SN</t>
  </si>
  <si>
    <t>562</t>
  </si>
  <si>
    <t>28690215000281</t>
  </si>
  <si>
    <t>CONTCHE COMERCIO DE PRODUTOS OPTICOS EIRELI</t>
  </si>
  <si>
    <t>OTICAS CAROL (4017)</t>
  </si>
  <si>
    <t>FINANCEIRO.FLORIPA@OTICASCAROL.COM.BR</t>
  </si>
  <si>
    <t>RUA PEQUENO PRINCIPE</t>
  </si>
  <si>
    <t>1741</t>
  </si>
  <si>
    <t>LOJA 02 E 03</t>
  </si>
  <si>
    <t>30984787000215</t>
  </si>
  <si>
    <t>COPACABANA OTICA LTDA</t>
  </si>
  <si>
    <t>QOCULOS</t>
  </si>
  <si>
    <t>loja129@qoculos.com.br</t>
  </si>
  <si>
    <t>RODOVIA JOSE CARLOS DAUX</t>
  </si>
  <si>
    <t>INFERIOR L 121</t>
  </si>
  <si>
    <t>SANTO ANTONIO DE LISBOA</t>
  </si>
  <si>
    <t>85388221000212</t>
  </si>
  <si>
    <t>CPS-COMERCIO DE PRODUTOS OTICOS LTDA</t>
  </si>
  <si>
    <t>ESPECILISTA -F01 (296)</t>
  </si>
  <si>
    <t>financeiro@oticaespecialista.com.br</t>
  </si>
  <si>
    <t>RUA PRESIDENTE COUTINHO</t>
  </si>
  <si>
    <t>579</t>
  </si>
  <si>
    <t>LOJA 4</t>
  </si>
  <si>
    <t>679</t>
  </si>
  <si>
    <t>16738801000199</t>
  </si>
  <si>
    <t>CRISTAL MODA FEMINNINA E OPTICA EIRELI - ME</t>
  </si>
  <si>
    <t>CRISTAL MODA FEMINNINA E OPTICA (3809)</t>
  </si>
  <si>
    <t>ADMCRISTAL.TB@GMAIL.COM</t>
  </si>
  <si>
    <t>RUA 27 DE SETEMBRO</t>
  </si>
  <si>
    <t>869</t>
  </si>
  <si>
    <t>SANGAO</t>
  </si>
  <si>
    <t>32717933000190</t>
  </si>
  <si>
    <t>CRISTIAN ZIMMERMANN 04490365969</t>
  </si>
  <si>
    <t>CRIS PAPER ARTE NO PAPEL (3979)</t>
  </si>
  <si>
    <t>CRISTIAN-FPOLIS@HOTMAIL.COM</t>
  </si>
  <si>
    <t>RUA AMÉRICO VESPÚCIO</t>
  </si>
  <si>
    <t>BARRA ARIRIU</t>
  </si>
  <si>
    <t>18616332000160</t>
  </si>
  <si>
    <t>CRISTIANO DE OLIVEIRA ESPANHOL</t>
  </si>
  <si>
    <t>OPTICA CLINICA DAS JOIAS (4646)</t>
  </si>
  <si>
    <t>OPTICACJ20@GMAIL.COM</t>
  </si>
  <si>
    <t>SOMBRIO</t>
  </si>
  <si>
    <t>86429503000364</t>
  </si>
  <si>
    <t>CRISTIANO SILVESTRI RINALDI</t>
  </si>
  <si>
    <t>OTICA RINALDI (1396)</t>
  </si>
  <si>
    <t>rinaldiescritorio@hotmail.com</t>
  </si>
  <si>
    <t>RUA MARCOLINO MARTINS CABRAL</t>
  </si>
  <si>
    <t>857</t>
  </si>
  <si>
    <t>86429503000100</t>
  </si>
  <si>
    <t>CRISTIANO SILVESTRI RINALDI EPP</t>
  </si>
  <si>
    <t>RELOJOARIA E OTICA RINALDI (1113)</t>
  </si>
  <si>
    <t>relojoaria_rinaldi@hotmail.com</t>
  </si>
  <si>
    <t>86429503000283</t>
  </si>
  <si>
    <t>OTICA RINALDI (29)</t>
  </si>
  <si>
    <t>51</t>
  </si>
  <si>
    <t>23345281000110</t>
  </si>
  <si>
    <t>CS MEURER OPTICA ME</t>
  </si>
  <si>
    <t>MERCADAO DOS OCULOS (3354)</t>
  </si>
  <si>
    <t>TORRES@MERCADAODOSOCULOS.COM.BR</t>
  </si>
  <si>
    <t>RUA CORONEL PACHECO</t>
  </si>
  <si>
    <t>350</t>
  </si>
  <si>
    <t>29288129000129</t>
  </si>
  <si>
    <t>D H ESPINDOLA</t>
  </si>
  <si>
    <t>OTICA SANTO LUXO</t>
  </si>
  <si>
    <t>financeiro.juridico.santoluxo@gmail.com</t>
  </si>
  <si>
    <t>RUA DELAMAR JOSE DA SILVA</t>
  </si>
  <si>
    <t>44273962000190</t>
  </si>
  <si>
    <t>DAIANAFLORIPA OTICA LTDA</t>
  </si>
  <si>
    <t>OTICA DINIZ (4474)</t>
  </si>
  <si>
    <t>RUA JOSE MARIA DA LUZ</t>
  </si>
  <si>
    <t>2827</t>
  </si>
  <si>
    <t>00557723000196</t>
  </si>
  <si>
    <t>DALSASSO E DALSASSO LTDA</t>
  </si>
  <si>
    <t>JOALHERIA E OTICA STYLUS (842)</t>
  </si>
  <si>
    <t>oticastylus@gmail.com</t>
  </si>
  <si>
    <t>PRACA ANITA GARIBALDI</t>
  </si>
  <si>
    <t>URUSSANGA</t>
  </si>
  <si>
    <t>00557723000277</t>
  </si>
  <si>
    <t>JOALHERIA E OTICA STYLUS (1968)</t>
  </si>
  <si>
    <t>jamilelindres@gmail.com</t>
  </si>
  <si>
    <t>19632807000175</t>
  </si>
  <si>
    <t>DANIEL ANTENOR APARECIDO DIONISIO</t>
  </si>
  <si>
    <t>OTICA SUPER VISAO (3946)</t>
  </si>
  <si>
    <t>contato.oticasupervisao@gmail.com</t>
  </si>
  <si>
    <t>RUA FRANCISCO TOLENTINO</t>
  </si>
  <si>
    <t>38</t>
  </si>
  <si>
    <t>26041262000198</t>
  </si>
  <si>
    <t>DEBORA SPILLERE DE SOUZA ME</t>
  </si>
  <si>
    <t>OTICA D+ (3357)</t>
  </si>
  <si>
    <t>spilleredebi@gmail.com</t>
  </si>
  <si>
    <t>689</t>
  </si>
  <si>
    <t>379</t>
  </si>
  <si>
    <t>18226064000170</t>
  </si>
  <si>
    <t>DELTROP COMERCIO DE PRODUTOS OPTICOS EIRELI EPP</t>
  </si>
  <si>
    <t>OTICA DINIZ (2014)</t>
  </si>
  <si>
    <t>AVENIDA LEDIO JOAO MARTINS</t>
  </si>
  <si>
    <t>649</t>
  </si>
  <si>
    <t>18226064000251</t>
  </si>
  <si>
    <t>OTICA DINIZ (2015)</t>
  </si>
  <si>
    <t>LEOBERTO LEAL</t>
  </si>
  <si>
    <t>604</t>
  </si>
  <si>
    <t>LOJA 3</t>
  </si>
  <si>
    <t>07862057000149</t>
  </si>
  <si>
    <t>DENISE MEDEIROS COSTA GELOSA ME</t>
  </si>
  <si>
    <t>OTICA CATEDRAL (02) (879)</t>
  </si>
  <si>
    <t>oticacatedral2@hotmail.com</t>
  </si>
  <si>
    <t>2069</t>
  </si>
  <si>
    <t>VILA MOEMA</t>
  </si>
  <si>
    <t>49561505000114</t>
  </si>
  <si>
    <t>DENY OTICA E ACESSORIOS LTDA</t>
  </si>
  <si>
    <t>DENY OTICA E ACESSORIOS (4671)</t>
  </si>
  <si>
    <t>DENYOTICAEACESSORIOS@HOTMAIL.COM</t>
  </si>
  <si>
    <t>RUA JOSE MATHIAS ZIMMERMANN</t>
  </si>
  <si>
    <t>SERTAO DO MARUIM</t>
  </si>
  <si>
    <t>85117539000188</t>
  </si>
  <si>
    <t>DESTERRO JOIAS LTDA - EPP</t>
  </si>
  <si>
    <t>OTICA DESTERRO (513)</t>
  </si>
  <si>
    <t>michellefraga20@hotmail.com</t>
  </si>
  <si>
    <t>24981510000155</t>
  </si>
  <si>
    <t>DI NAPOLI OTICA LTDA - ME</t>
  </si>
  <si>
    <t>OJO BY MR. RAY (3318)</t>
  </si>
  <si>
    <t>BRUNODINAPOLI.OJO@GMAIL.COM</t>
  </si>
  <si>
    <t>42143549000185</t>
  </si>
  <si>
    <t>DIEGO MATOS 05056088986</t>
  </si>
  <si>
    <t>AMMI OPTICA (4505)</t>
  </si>
  <si>
    <t>CONTATOAMMIOPTICA@HOTMAIL.COM</t>
  </si>
  <si>
    <t>MONSENHOR FREDERICO TOMBROCK</t>
  </si>
  <si>
    <t>824</t>
  </si>
  <si>
    <t>SAO LUDGERO</t>
  </si>
  <si>
    <t>75283333000174</t>
  </si>
  <si>
    <t>DOMINGOS ROBERTO MONDADORI</t>
  </si>
  <si>
    <t>OMINGOS ROBERTO MONDADORI COMERCIO (92)</t>
  </si>
  <si>
    <t>opticamondadori@hotmail.com</t>
  </si>
  <si>
    <t>17474064000127</t>
  </si>
  <si>
    <t>DOMINGOS ROBERTO MONDADORI FILHO 04307646932</t>
  </si>
  <si>
    <t>RELOJOARIA E OTICA MONDADORI (2260)</t>
  </si>
  <si>
    <t>betomondadori_sc@hotmail.com</t>
  </si>
  <si>
    <t>AVENIDA BOM JESUS DE NAZARE</t>
  </si>
  <si>
    <t>728</t>
  </si>
  <si>
    <t>ARIRIU</t>
  </si>
  <si>
    <t>34859719000102</t>
  </si>
  <si>
    <t>DRIELLE ALEXNDRA HEEP</t>
  </si>
  <si>
    <t>OTICA RELUZ (4073)</t>
  </si>
  <si>
    <t>OTICARELUZSC@GMAIL.COM</t>
  </si>
  <si>
    <t>RUA JOAO GUALBERTO SOARES</t>
  </si>
  <si>
    <t>229</t>
  </si>
  <si>
    <t>23636034000504</t>
  </si>
  <si>
    <t>DRIFORTE COMERCIO DE PRODUTOS OPTICOS EIRELI</t>
  </si>
  <si>
    <t>OTICA DINIZ (4074)</t>
  </si>
  <si>
    <t>ROD SC 281</t>
  </si>
  <si>
    <t>PICADAS DO SUL</t>
  </si>
  <si>
    <t>23636034000172</t>
  </si>
  <si>
    <t>DRIFORTE COMERCIO DE PRODUTOS OPTICOS EIRELI EPP</t>
  </si>
  <si>
    <t>OTICA DINIZ (2278)</t>
  </si>
  <si>
    <t>mca@floripa.com.br</t>
  </si>
  <si>
    <t>12306077000173</t>
  </si>
  <si>
    <t>DU MARREL COM DE OCULOS E RELOJOARIA LTDA ME</t>
  </si>
  <si>
    <t>DU MARREL (1752)</t>
  </si>
  <si>
    <t>dumarrelopticaerelojoaria@hotmail.com</t>
  </si>
  <si>
    <t>RODOVIA ARMANDO CALIL BULS</t>
  </si>
  <si>
    <t>6744</t>
  </si>
  <si>
    <t>00309460000104</t>
  </si>
  <si>
    <t>E F B COMERCIO DE JOIAS E RELOGIOS LTDA - EPP</t>
  </si>
  <si>
    <t>ALCIDINO JOALHERIA E OTICA (447)</t>
  </si>
  <si>
    <t>financeiro_alcidino@yahoo.com.br</t>
  </si>
  <si>
    <t>36656656000104</t>
  </si>
  <si>
    <t>E. M. OPTICA LTDA</t>
  </si>
  <si>
    <t>E. M. OPTICA (4320)</t>
  </si>
  <si>
    <t>OTTICAVIDA@OUTLOOK.COM</t>
  </si>
  <si>
    <t>VARGAS</t>
  </si>
  <si>
    <t>39439452000100</t>
  </si>
  <si>
    <t>EDSON OSMAR FURTADO 03521132943</t>
  </si>
  <si>
    <t>OTICA STYLLUS (4213)</t>
  </si>
  <si>
    <t>gisele.vithor37@gmail.com</t>
  </si>
  <si>
    <t>RUA CONEGO RODOLFO MACHADO</t>
  </si>
  <si>
    <t>LOJA 10</t>
  </si>
  <si>
    <t>RIO CAVEIRAS</t>
  </si>
  <si>
    <t>51826065000121</t>
  </si>
  <si>
    <t>EDUARDO ARAUJO TESTA LTDA</t>
  </si>
  <si>
    <t>CHILLI BEANS (4778)</t>
  </si>
  <si>
    <t>RUA R GERONCIO THIVES</t>
  </si>
  <si>
    <t>QUIOSQ42</t>
  </si>
  <si>
    <t>51826065000202</t>
  </si>
  <si>
    <t>CHILLI BEANS (4776)</t>
  </si>
  <si>
    <t>LOJA 244</t>
  </si>
  <si>
    <t>97547260000113</t>
  </si>
  <si>
    <t>EDUARDO ISIDORO ME</t>
  </si>
  <si>
    <t>RELOJOARIA E OTICA NSA (1857)</t>
  </si>
  <si>
    <t>1270</t>
  </si>
  <si>
    <t>10013754000130</t>
  </si>
  <si>
    <t>EGA OPTICA LTDA ME</t>
  </si>
  <si>
    <t>OPTICA VISUALITY (1429)</t>
  </si>
  <si>
    <t>opticavisuality@hotmail.com</t>
  </si>
  <si>
    <t>LJ 02</t>
  </si>
  <si>
    <t>10779632000159</t>
  </si>
  <si>
    <t>EL FARO INDUSTRIA E COMERCIO LTDA</t>
  </si>
  <si>
    <t>EL FARO INDUSTRIA E COMERCIO LTDA (3322)</t>
  </si>
  <si>
    <t>COMPRAS@ELFARO.COM.BR</t>
  </si>
  <si>
    <t>SC 434</t>
  </si>
  <si>
    <t>PALHOCINHA</t>
  </si>
  <si>
    <t>GAROPABA</t>
  </si>
  <si>
    <t>42948131000145</t>
  </si>
  <si>
    <t>ELAINE CRISTINA DA SILVA MARTINS</t>
  </si>
  <si>
    <t>OTICAHDEMAIS</t>
  </si>
  <si>
    <t>oticademais.saojose@gmail.com</t>
  </si>
  <si>
    <t>RUA MANOEL SEBASTIAO DE SOUZA</t>
  </si>
  <si>
    <t>03546338000131</t>
  </si>
  <si>
    <t>ELIANA D AVILA DA SILVA &amp; CIA LTDA ME</t>
  </si>
  <si>
    <t>CASA DOS OCULOS (643)</t>
  </si>
  <si>
    <t>AVENIDA BEIRA MAR</t>
  </si>
  <si>
    <t>970</t>
  </si>
  <si>
    <t>JARDIM ULTRAMAR</t>
  </si>
  <si>
    <t>BALNEARIO GAIVOTA</t>
  </si>
  <si>
    <t>03546338000212</t>
  </si>
  <si>
    <t>ELIANA D AVILA DA SILVA E CIA LTDA</t>
  </si>
  <si>
    <t>CASA DOS OCULOS (1934)</t>
  </si>
  <si>
    <t>casadosoculos_otica@hotmail.com</t>
  </si>
  <si>
    <t>RUA PADRE JOAO REITZ</t>
  </si>
  <si>
    <t>26719397000160</t>
  </si>
  <si>
    <t>ELIANA INACIO PEREIRA</t>
  </si>
  <si>
    <t>MARROM MIX (3928)</t>
  </si>
  <si>
    <t>marrommixconsertos@gmail.com</t>
  </si>
  <si>
    <t>RUA LISBOA</t>
  </si>
  <si>
    <t>468</t>
  </si>
  <si>
    <t>QDR 14-LOTE 03</t>
  </si>
  <si>
    <t>07357581000162</t>
  </si>
  <si>
    <t>ELIANE JUREMA DA SILVA LEANDRO ME</t>
  </si>
  <si>
    <t>OTICA NOVA VIDA (696)</t>
  </si>
  <si>
    <t>juliano_ph@hotmail.com</t>
  </si>
  <si>
    <t>AVENIDA PREFEITO NELSON MARTINS</t>
  </si>
  <si>
    <t>80169659000105</t>
  </si>
  <si>
    <t>ELIAS JOALHERIA E OTICA LTDA EPP</t>
  </si>
  <si>
    <t>ELIAS JOALHERIA E OTICA (65)</t>
  </si>
  <si>
    <t>oticaelias@hotmail.com</t>
  </si>
  <si>
    <t>AVENIDA 25 DE JULHO</t>
  </si>
  <si>
    <t>2585</t>
  </si>
  <si>
    <t>37645035000198</t>
  </si>
  <si>
    <t>ELISA FERNANDES GOULART LTDA</t>
  </si>
  <si>
    <t>RAFISA JOIAS (4217)</t>
  </si>
  <si>
    <t>rafisajoias@gmail.com</t>
  </si>
  <si>
    <t>RUA CONSELHEIRO JOAO ZANETTE</t>
  </si>
  <si>
    <t>93</t>
  </si>
  <si>
    <t>45955522000185</t>
  </si>
  <si>
    <t>ELISANGELA CARDOSO 05283142973</t>
  </si>
  <si>
    <t>OTICA ELIS (4516)</t>
  </si>
  <si>
    <t>LISOPTICAA@GMAIL.COM</t>
  </si>
  <si>
    <t>RUA WENCESLAU BRAZ</t>
  </si>
  <si>
    <t>TUBARAO</t>
  </si>
  <si>
    <t>02883984000121</t>
  </si>
  <si>
    <t>ENEGBERTO ELY ME</t>
  </si>
  <si>
    <t>ENEGBERTO ELY ME (125)</t>
  </si>
  <si>
    <t>joao.joalheiro@hotmail.com</t>
  </si>
  <si>
    <t>16776344000127</t>
  </si>
  <si>
    <t>ENRO GUSTAVO VENTURELLA ME</t>
  </si>
  <si>
    <t>INSTITUTO THEA OPTOMETRIA COMPORT. INTERNACIONAL (2075)</t>
  </si>
  <si>
    <t>INSTITUTOTHEA@GMAIL.COM</t>
  </si>
  <si>
    <t>RUA EMILIO BLUM</t>
  </si>
  <si>
    <t>BL.. B SL1007</t>
  </si>
  <si>
    <t>79823647000173</t>
  </si>
  <si>
    <t>ERNI HEITOR FELTEN ME</t>
  </si>
  <si>
    <t>OTICA SECULUS (1773)</t>
  </si>
  <si>
    <t>oticaerelojoariaseculus@hotmail.com</t>
  </si>
  <si>
    <t>656</t>
  </si>
  <si>
    <t>43771469000137</t>
  </si>
  <si>
    <t>ESPANHA ACESSORIOS DE MODA LTDA</t>
  </si>
  <si>
    <t>CHILLI BEANS (4424)</t>
  </si>
  <si>
    <t>JORGE ELIAS DE LUCCA</t>
  </si>
  <si>
    <t>SL 36</t>
  </si>
  <si>
    <t>NOSSA SENHORA DA SALETE</t>
  </si>
  <si>
    <t>24513569000119</t>
  </si>
  <si>
    <t>ESPINDOLA COMERCIO VAREJISTA DE ARTIGOS DE OPTICA LTDA</t>
  </si>
  <si>
    <t>OTICA SANTO LUXO (3319)</t>
  </si>
  <si>
    <t>mmartins038@hotmail.com</t>
  </si>
  <si>
    <t>1486</t>
  </si>
  <si>
    <t>12849080000133</t>
  </si>
  <si>
    <t>ESPORTIVA COMERCIO OPTICO LTDA ME</t>
  </si>
  <si>
    <t>OPTICA ESPORTIVA (1786)</t>
  </si>
  <si>
    <t>opticaesportiva@hotmail.com</t>
  </si>
  <si>
    <t>AVENIDA CORONEL JOAO FERNSANDES</t>
  </si>
  <si>
    <t>31677041000140</t>
  </si>
  <si>
    <t>ESTIJ OTICA EIRELE</t>
  </si>
  <si>
    <t>OTICAS CAROL (3936)</t>
  </si>
  <si>
    <t>financeiro.floripa@oticascarol.com.br</t>
  </si>
  <si>
    <t>RUA GENERAL LIBERATO BITTENCOURT</t>
  </si>
  <si>
    <t>1757</t>
  </si>
  <si>
    <t>ANDAR TERREO</t>
  </si>
  <si>
    <t>31677041000574</t>
  </si>
  <si>
    <t>ESTIJ OTICA LTDA</t>
  </si>
  <si>
    <t>OTICAS CAROL (4148)</t>
  </si>
  <si>
    <t>RUA HENRIQUE VERA DO NASCIMENTO</t>
  </si>
  <si>
    <t>LAGOA DA CONCEICAO</t>
  </si>
  <si>
    <t>41451744000100</t>
  </si>
  <si>
    <t>ESTRE COMERCIO DE PRODUTOS OTICOS LTDA</t>
  </si>
  <si>
    <t>OTICAS CAROL (4307)</t>
  </si>
  <si>
    <t>44209795000118</t>
  </si>
  <si>
    <t>ESTREITO OTICA RIO BRANCO LTDA</t>
  </si>
  <si>
    <t>OTICA RIO BRANCO ESTREITO</t>
  </si>
  <si>
    <t>financeiro@oticariobranco.com.br</t>
  </si>
  <si>
    <t>1773</t>
  </si>
  <si>
    <t>FUNDOS SALA 002</t>
  </si>
  <si>
    <t>CANTO</t>
  </si>
  <si>
    <t>49632624000110</t>
  </si>
  <si>
    <t>ETB COMERCIO DE ARTIGOS DE OPTICA LTDA</t>
  </si>
  <si>
    <t>OTICA CELYN (4690)</t>
  </si>
  <si>
    <t>OTICACELYN2@GMAIL.COM</t>
  </si>
  <si>
    <t>RUA NOSSA SENHORA APARECIDA</t>
  </si>
  <si>
    <t>642</t>
  </si>
  <si>
    <t>40479183000194</t>
  </si>
  <si>
    <t>EXCELENCIA OTICA CRICIUMA LTDA</t>
  </si>
  <si>
    <t>OPT OCULOS (4305)</t>
  </si>
  <si>
    <t>renata.mafra@optoculos.com.br</t>
  </si>
  <si>
    <t>AVENIDA CENTENARIO</t>
  </si>
  <si>
    <t>3964</t>
  </si>
  <si>
    <t>37027080000189</t>
  </si>
  <si>
    <t>FABIANA COLOMBO VITALI</t>
  </si>
  <si>
    <t>OTICAS AMABILE (4181)</t>
  </si>
  <si>
    <t>fabianacolombo2501@gmail.com</t>
  </si>
  <si>
    <t>AVENIDA NEREU RAMOS</t>
  </si>
  <si>
    <t>1419</t>
  </si>
  <si>
    <t>BRAÇO DO NORTE</t>
  </si>
  <si>
    <t>33704519000290</t>
  </si>
  <si>
    <t>FABIO MARQUES LIOTTI COMERCIO DE OCULOS</t>
  </si>
  <si>
    <t>MERCADAO DOS OCULOS 01 (4084)</t>
  </si>
  <si>
    <t>SC-FLORIANOPOLIS01@MERCADAODOSOCULOS.COM.BR</t>
  </si>
  <si>
    <t>33704519000100</t>
  </si>
  <si>
    <t>OCULARIUM OTICA (4028)</t>
  </si>
  <si>
    <t>florianopolis01@ocularium.com.br</t>
  </si>
  <si>
    <t>198</t>
  </si>
  <si>
    <t>- ATE 348/349</t>
  </si>
  <si>
    <t>827</t>
  </si>
  <si>
    <t>17273265000166</t>
  </si>
  <si>
    <t>FABRICIO BRANDAO XAVIER EIRELI</t>
  </si>
  <si>
    <t>OTICAS CAROL (1964)</t>
  </si>
  <si>
    <t>2856</t>
  </si>
  <si>
    <t>17273265000328</t>
  </si>
  <si>
    <t>OTICAS CAROL (3302)</t>
  </si>
  <si>
    <t>18083777000122</t>
  </si>
  <si>
    <t>FAM ACESSORIOS DE MODA LTDA EPP</t>
  </si>
  <si>
    <t>CHILLI BEANS (3309)</t>
  </si>
  <si>
    <t>mariane.mosena@chillisc.com.br</t>
  </si>
  <si>
    <t>RUA JOSE CARLOS DAUX</t>
  </si>
  <si>
    <t>CHILLI BEANS</t>
  </si>
  <si>
    <t>48048602000145</t>
  </si>
  <si>
    <t>FC OTICA KOBRASOL LTDA</t>
  </si>
  <si>
    <t>OTICA KOBRASOL (4582)</t>
  </si>
  <si>
    <t>KOBRASOLOTICA@GMAIL.COM</t>
  </si>
  <si>
    <t>DELAMAR JOSE DA SILVA</t>
  </si>
  <si>
    <t>36655085000355</t>
  </si>
  <si>
    <t>FEISA COMERCIO DE PRODUTOS OTICOS LTDA</t>
  </si>
  <si>
    <t>OTICAS CAROL (4189)</t>
  </si>
  <si>
    <t>adm.sc@oticascarol.com.br</t>
  </si>
  <si>
    <t>AVENIDA PREFEITO OSMAR CUNHA</t>
  </si>
  <si>
    <t>LOJA 08</t>
  </si>
  <si>
    <t>36655085000193</t>
  </si>
  <si>
    <t>OTICAS CAROL (4119)</t>
  </si>
  <si>
    <t>oticascarolfloripa@gmail.com.br</t>
  </si>
  <si>
    <t>28435515000133</t>
  </si>
  <si>
    <t>FELIPE ALMEIDA DE SOUZA 05132534910</t>
  </si>
  <si>
    <t>PUPILA OPTICA &amp; JOALHEIRA (3838)</t>
  </si>
  <si>
    <t>pupilaopticaejoalheria@gmail.com</t>
  </si>
  <si>
    <t>RUA ANTONIO SAVI</t>
  </si>
  <si>
    <t>SLA 2</t>
  </si>
  <si>
    <t>TIMBÉ DO SUL</t>
  </si>
  <si>
    <t>168</t>
  </si>
  <si>
    <t>09606522000106</t>
  </si>
  <si>
    <t>FELIPE DE SOUZA ROSSI</t>
  </si>
  <si>
    <t>OTICA POPULAR 96 (4376)</t>
  </si>
  <si>
    <t>oticapopular96@gmail.com</t>
  </si>
  <si>
    <t>BOX 96</t>
  </si>
  <si>
    <t>04297346000316</t>
  </si>
  <si>
    <t>FELIPE RAISER DA CRUZ ME</t>
  </si>
  <si>
    <t>FELIPE RAISER DA CRUZ (13167)</t>
  </si>
  <si>
    <t>RUA IRMAOS VIEIRA</t>
  </si>
  <si>
    <t>SUBSOLO ANEXO</t>
  </si>
  <si>
    <t>CAMPINAS</t>
  </si>
  <si>
    <t>42258281000127</t>
  </si>
  <si>
    <t>FELIX UDALRICO OSINAGA ROSALES 70074883151</t>
  </si>
  <si>
    <t>OTICAS PRECISO OCULOS (4335)</t>
  </si>
  <si>
    <t>OTICASPRECISOOCULOS@GMAIL.COM</t>
  </si>
  <si>
    <t>DAS NACOES</t>
  </si>
  <si>
    <t>538</t>
  </si>
  <si>
    <t>05129508000108</t>
  </si>
  <si>
    <t>FENIX DOURADA JOALHERIA E OTICA LTDA ME</t>
  </si>
  <si>
    <t>MONDADORI SAO JOAO (1130)</t>
  </si>
  <si>
    <t>mondadori_sjd@hotmail.com</t>
  </si>
  <si>
    <t>2057</t>
  </si>
  <si>
    <t>19864789000157</t>
  </si>
  <si>
    <t>FERNANDA MAIA DA NOVA ME</t>
  </si>
  <si>
    <t>RELOJOARIA E OTICA MAK (2210)</t>
  </si>
  <si>
    <t>oticamak@gmail.com</t>
  </si>
  <si>
    <t>RUA LEOBERTO LEAL</t>
  </si>
  <si>
    <t>599</t>
  </si>
  <si>
    <t>13823706000103</t>
  </si>
  <si>
    <t>FERNANDA MARIANA ALVES ME</t>
  </si>
  <si>
    <t>M &amp; F CIA DOS OCULOS (2097)</t>
  </si>
  <si>
    <t>opticamf@hotmail.com</t>
  </si>
  <si>
    <t>AVENIDA PEDRO JOSE DE AZEVEDO</t>
  </si>
  <si>
    <t>50136465000142</t>
  </si>
  <si>
    <t>FERNANDA MONDADORI OPTICAS LTDA</t>
  </si>
  <si>
    <t>MONDADORI OPTICAS (4772)</t>
  </si>
  <si>
    <t>FERNANDAMONDADORI@GMAIL.COM</t>
  </si>
  <si>
    <t>1463</t>
  </si>
  <si>
    <t>FORQUILHINHAS</t>
  </si>
  <si>
    <t>05207092000107</t>
  </si>
  <si>
    <t>FERNANDES E FERNANDES LTDA  EPP</t>
  </si>
  <si>
    <t>ALCIDINO JOALHERIA E OTICA  (560)</t>
  </si>
  <si>
    <t>ALCIDINOFINANCEIRO@GMAIL.COM</t>
  </si>
  <si>
    <t>04318822000176</t>
  </si>
  <si>
    <t>FERNANDES E SOCCAS LTDA</t>
  </si>
  <si>
    <t>JOALHERIA E OTICA ALCIDINO (19)</t>
  </si>
  <si>
    <t>PRACA NEREU RAMOS</t>
  </si>
  <si>
    <t>50671086000152</t>
  </si>
  <si>
    <t>FERNANDO COMERCIO OPTICOS LTDA</t>
  </si>
  <si>
    <t>MERCADAO DOS OCULOS PALHOÇA02 (4764)</t>
  </si>
  <si>
    <t>SC-PALHOCA02@MERCADAODOSOCULOS.COM.BR</t>
  </si>
  <si>
    <t>ANICETO ZACCHI</t>
  </si>
  <si>
    <t>1074</t>
  </si>
  <si>
    <t>PONTE DE IMARUIM</t>
  </si>
  <si>
    <t>31218461000169</t>
  </si>
  <si>
    <t>FERNANDO FREITAS DE SOUZA</t>
  </si>
  <si>
    <t>OTICA LAIS (3911)</t>
  </si>
  <si>
    <t>oticalais@yahoo.com</t>
  </si>
  <si>
    <t>RUA DOS IMIGRANTES</t>
  </si>
  <si>
    <t>1800</t>
  </si>
  <si>
    <t>RIO MAINA</t>
  </si>
  <si>
    <t>30386108000125</t>
  </si>
  <si>
    <t>FERNANDO SILVA EIRELI</t>
  </si>
  <si>
    <t>OUTLET DOS OCULOS (3893)</t>
  </si>
  <si>
    <t>ferpapr22@bol.com.br</t>
  </si>
  <si>
    <t>RUA FULVIO ADUCCI</t>
  </si>
  <si>
    <t>1319</t>
  </si>
  <si>
    <t>43733040000155</t>
  </si>
  <si>
    <t>FG COMERCIO DE ARTIGOS OPTICOS LTDA</t>
  </si>
  <si>
    <t>OTICA REAL (4410)</t>
  </si>
  <si>
    <t>FABIAN@OTICAREAL.COM</t>
  </si>
  <si>
    <t>LOJA 1</t>
  </si>
  <si>
    <t>32712118000139</t>
  </si>
  <si>
    <t>FG OTICAS EIRELI</t>
  </si>
  <si>
    <t>OTICA DINIZ (3989)</t>
  </si>
  <si>
    <t>fabiana.vitali@oticasdinizsul.com.br</t>
  </si>
  <si>
    <t>1001</t>
  </si>
  <si>
    <t>32911517000129</t>
  </si>
  <si>
    <t>FILIPE AQUINO ISBRECHT</t>
  </si>
  <si>
    <t>CONFIOTICA (3993)</t>
  </si>
  <si>
    <t>confiotica.campeche@gmail.com</t>
  </si>
  <si>
    <t>AVENIDA PEQUENO PRINCIPE</t>
  </si>
  <si>
    <t>2020</t>
  </si>
  <si>
    <t>13511907000167</t>
  </si>
  <si>
    <t>FKF COMERCIO DE PRESENTES EIRELI - EPP</t>
  </si>
  <si>
    <t>AUGUSTO JOIAS (2253)</t>
  </si>
  <si>
    <t>ajbk.adm.01@gmail.com</t>
  </si>
  <si>
    <t>LOJA 443</t>
  </si>
  <si>
    <t>675</t>
  </si>
  <si>
    <t>09449812000193</t>
  </si>
  <si>
    <t>FLORIPRATAS JOIAS E ACESSORIOS LTDA</t>
  </si>
  <si>
    <t>FLORIPRATAS (3926)</t>
  </si>
  <si>
    <t>HICKELJR@GMAIL.COM</t>
  </si>
  <si>
    <t>08963756000148</t>
  </si>
  <si>
    <t>FOCOSS COMERCIO DE OPTICA EIRELI</t>
  </si>
  <si>
    <t>OTICA BRASIL (1332)</t>
  </si>
  <si>
    <t>RUA DARIO JOAO DE SOUZA</t>
  </si>
  <si>
    <t>61</t>
  </si>
  <si>
    <t>SL03</t>
  </si>
  <si>
    <t>JURERE</t>
  </si>
  <si>
    <t>44110931000118</t>
  </si>
  <si>
    <t>FR OTICA E ACESSORIOS LTDA</t>
  </si>
  <si>
    <t>MILA K - JOALHERIA E OTICA (4512)</t>
  </si>
  <si>
    <t>FRACESSORIOSEOTICA@GMAIL.COM</t>
  </si>
  <si>
    <t>688</t>
  </si>
  <si>
    <t>08334258000136</t>
  </si>
  <si>
    <t>FRANCINE COMERCIO DE PROD. OPTICOS LTDA ME</t>
  </si>
  <si>
    <t>OTICA FRANCINE (1375)</t>
  </si>
  <si>
    <t>oticafrancine@yahoo.com.br</t>
  </si>
  <si>
    <t>518</t>
  </si>
  <si>
    <t>20958479000180</t>
  </si>
  <si>
    <t>FRASSETTO JOALHERIA E OTICA EIRELI EPP</t>
  </si>
  <si>
    <t>QUEVEDO (2168)</t>
  </si>
  <si>
    <t>expediente@quevedo.com.br</t>
  </si>
  <si>
    <t>RUA PREFEITO JOSE KOERING</t>
  </si>
  <si>
    <t>5665</t>
  </si>
  <si>
    <t>35018884000196</t>
  </si>
  <si>
    <t>FS OTICA EIRELI</t>
  </si>
  <si>
    <t>OTICAS CAROL (4064)</t>
  </si>
  <si>
    <t>loja2024@oticascarol.com.br</t>
  </si>
  <si>
    <t>35018884000277</t>
  </si>
  <si>
    <t>FS OTICA LTDA</t>
  </si>
  <si>
    <t>OTICAS CAROL (4147)</t>
  </si>
  <si>
    <t>auditoria.floripa@oticascarol.com.br</t>
  </si>
  <si>
    <t>SALA 17</t>
  </si>
  <si>
    <t>21980177000171</t>
  </si>
  <si>
    <t>FTS COMERCIO DE JOIAS EIRELI</t>
  </si>
  <si>
    <t>DEMITRIUS OTICA</t>
  </si>
  <si>
    <t>felipetibau@gmail.com</t>
  </si>
  <si>
    <t>RUA WANDERLEI JUNIOR</t>
  </si>
  <si>
    <t>LOJA 174</t>
  </si>
  <si>
    <t>27415763000150</t>
  </si>
  <si>
    <t>G2 COMERCIO DE OCULOS DE SOL LTDA</t>
  </si>
  <si>
    <t>GEROR (4547)</t>
  </si>
  <si>
    <t>GRILLOBRENDOM@GMAIL.COM</t>
  </si>
  <si>
    <t>TERREOQ. 01</t>
  </si>
  <si>
    <t>08343102000200</t>
  </si>
  <si>
    <t>GENESIS JOALHERIA E OTICA LTDA ME</t>
  </si>
  <si>
    <t>OTICA MONDADORI (1288)</t>
  </si>
  <si>
    <t>86301140000115</t>
  </si>
  <si>
    <t>GERCI FRITZEN</t>
  </si>
  <si>
    <t>GERCI FRITZEN (494)</t>
  </si>
  <si>
    <t>vitorventurini@gmail.com</t>
  </si>
  <si>
    <t>AVENIDA MUNICIPAL</t>
  </si>
  <si>
    <t>SIDERÓPOLIS</t>
  </si>
  <si>
    <t>177</t>
  </si>
  <si>
    <t>80484694000119</t>
  </si>
  <si>
    <t>GERVASIO TADEU CORDEIRO ME</t>
  </si>
  <si>
    <t>CORDEIRO (290)</t>
  </si>
  <si>
    <t>relojoaria@oticacordeiro.com.br</t>
  </si>
  <si>
    <t>RUA MAJOR J.A. DE CAMPOS</t>
  </si>
  <si>
    <t>6008</t>
  </si>
  <si>
    <t>SL 4</t>
  </si>
  <si>
    <t>29289776000155</t>
  </si>
  <si>
    <t>GESIELE DE LIZ VARGAS</t>
  </si>
  <si>
    <t>OPTICA OLIVER (3885)</t>
  </si>
  <si>
    <t>gesielevargas298@gmail.com</t>
  </si>
  <si>
    <t>RUA PRESIDENTE NEREU RAMOS</t>
  </si>
  <si>
    <t>SALA 21</t>
  </si>
  <si>
    <t>847</t>
  </si>
  <si>
    <t>49422059000167</t>
  </si>
  <si>
    <t>GGM OPTICAL LTDA</t>
  </si>
  <si>
    <t>OTICAS MORIGUTI (4636)</t>
  </si>
  <si>
    <t>PAULO.MORIGUTI@OTICASMORIGUTI.COM.BR</t>
  </si>
  <si>
    <t>TROMPOWSKI</t>
  </si>
  <si>
    <t>354</t>
  </si>
  <si>
    <t>SALA 502 BOX 09</t>
  </si>
  <si>
    <t>80484678000126</t>
  </si>
  <si>
    <t>GISDANY ARTEFATOS DE METAIS</t>
  </si>
  <si>
    <t>GISDANY ARTEFATOS DE METAIS (2294)</t>
  </si>
  <si>
    <t>gisdany@gisdany.com.br</t>
  </si>
  <si>
    <t>25216869000107</t>
  </si>
  <si>
    <t>GISELI PELEGRINI FERNANDES</t>
  </si>
  <si>
    <t>JOALHERIA E OTICA EDUARDO (3996)</t>
  </si>
  <si>
    <t>vvinicius_silvaa@hotmail.com</t>
  </si>
  <si>
    <t>SALA 109</t>
  </si>
  <si>
    <t>906</t>
  </si>
  <si>
    <t>44522473000205</t>
  </si>
  <si>
    <t>GIVANILDO FONTES OTICAS LTDA</t>
  </si>
  <si>
    <t>OTICAS DINIZ</t>
  </si>
  <si>
    <t>- ATE 377/378</t>
  </si>
  <si>
    <t>34927492000187</t>
  </si>
  <si>
    <t>GLAUCI CHRISTINA ROSA 00935350900</t>
  </si>
  <si>
    <t>CRISBEL STORE (4256)</t>
  </si>
  <si>
    <t>oticacrisbel85@gmail.com</t>
  </si>
  <si>
    <t>RUA CRISTOVAO MACHADO DE CAMPOS</t>
  </si>
  <si>
    <t>625</t>
  </si>
  <si>
    <t>VARGEM GRANDE</t>
  </si>
  <si>
    <t>19586639000129</t>
  </si>
  <si>
    <t>GOLDEN COMERCIO E DISTRIBUICAO DE PRODUTOS OPTICOS LTDA -ME</t>
  </si>
  <si>
    <t>JL OTICA (3992)</t>
  </si>
  <si>
    <t>jl.otica@hotmail.com</t>
  </si>
  <si>
    <t>RUA XANXERE</t>
  </si>
  <si>
    <t>CEARA</t>
  </si>
  <si>
    <t>04724764000180</t>
  </si>
  <si>
    <t>HEIDY COMERCIO DE PRODUTOS OPTICOS LTDA</t>
  </si>
  <si>
    <t>OTICAS CATARINA (1274)</t>
  </si>
  <si>
    <t>NFEHEIDY@GMAIL.COM</t>
  </si>
  <si>
    <t>359</t>
  </si>
  <si>
    <t>04724764000423</t>
  </si>
  <si>
    <t>OTICAS CATARINA (4556)</t>
  </si>
  <si>
    <t>oticascatarina.riobranco@gmail.com</t>
  </si>
  <si>
    <t>RIO BRANCO</t>
  </si>
  <si>
    <t>764</t>
  </si>
  <si>
    <t>04724764000342</t>
  </si>
  <si>
    <t>HEIDY OTICA LTDA - ME</t>
  </si>
  <si>
    <t>HEIDY OTICA LTDA - ME (2250)</t>
  </si>
  <si>
    <t>76375583000105</t>
  </si>
  <si>
    <t>HELENA ROSA TESSARO ME</t>
  </si>
  <si>
    <t>BRUNA TESSARO JOIAS (1951)</t>
  </si>
  <si>
    <t>marciaabm@brunatessaro.com.br</t>
  </si>
  <si>
    <t>232</t>
  </si>
  <si>
    <t>806</t>
  </si>
  <si>
    <t>07846726000199</t>
  </si>
  <si>
    <t>HELENA TESSARO &amp; CIA LTDA  ME</t>
  </si>
  <si>
    <t>BRUNA TESSARO JOIAS (1746)</t>
  </si>
  <si>
    <t>marciaadm@brunatessaro.com.br</t>
  </si>
  <si>
    <t>82917402000110</t>
  </si>
  <si>
    <t>HELIO ANIBAL GUZZATTI  EPP</t>
  </si>
  <si>
    <t>HELIO ANIBAL GUZZATTI (628)</t>
  </si>
  <si>
    <t>assistenciaguzzatti@gmail.com</t>
  </si>
  <si>
    <t>12</t>
  </si>
  <si>
    <t>09136699000196</t>
  </si>
  <si>
    <t>HELIO RODRIGUES JUNIOR ME</t>
  </si>
  <si>
    <t>HELIO RODRIGUES JUNIOR ME (1825)</t>
  </si>
  <si>
    <t>HELIOJUNIRO35@HOTMAIL.COM</t>
  </si>
  <si>
    <t>RUA NOSSA SENHORA DO ROSARIO</t>
  </si>
  <si>
    <t>SALA 301</t>
  </si>
  <si>
    <t>JARDIM ATLANTICO</t>
  </si>
  <si>
    <t>06865033000180</t>
  </si>
  <si>
    <t>HELIO RODRIGUES JUVENIL ME</t>
  </si>
  <si>
    <t>LUZ OTICA REL. FOTO (1879)</t>
  </si>
  <si>
    <t>RUA DAS DUNAS</t>
  </si>
  <si>
    <t>29474568000207</t>
  </si>
  <si>
    <t>IAGO GRIGIO</t>
  </si>
  <si>
    <t>RELOJOARIA E OTICA IAGO (4214)</t>
  </si>
  <si>
    <t>IGRIGIO@UCS.BR</t>
  </si>
  <si>
    <t>1322</t>
  </si>
  <si>
    <t>17288409000158</t>
  </si>
  <si>
    <t>IG COMERCIO DE PRODUTOS OTICOS EIRELI</t>
  </si>
  <si>
    <t>OTICAS CAROL (1976)</t>
  </si>
  <si>
    <t>LOJA 347</t>
  </si>
  <si>
    <t>191</t>
  </si>
  <si>
    <t>35562373000130</t>
  </si>
  <si>
    <t>IGB COMERCIO DE PRODUTOS OTICOS LTDA</t>
  </si>
  <si>
    <t>OTICAS CAROL (4152)</t>
  </si>
  <si>
    <t>41545607000134</t>
  </si>
  <si>
    <t>ILHA LESTE COMERCIO DE PRODUTOS OTICOS LTDA</t>
  </si>
  <si>
    <t>OTICAS CAROL (4309)</t>
  </si>
  <si>
    <t>OTICASCAROLFLORIPA@GMAIL.COM</t>
  </si>
  <si>
    <t>24818784000128</t>
  </si>
  <si>
    <t>IMAGEM JOALHERIA E OTICA LTDA. - ME</t>
  </si>
  <si>
    <t>OTICA IMAGEM (3857)</t>
  </si>
  <si>
    <t>oticaimagen@hotmail.com</t>
  </si>
  <si>
    <t>RUA BARRIGA VERDE</t>
  </si>
  <si>
    <t>627</t>
  </si>
  <si>
    <t>SOCOPAS</t>
  </si>
  <si>
    <t>BALNEÁRIO ARROIO DO SILVA</t>
  </si>
  <si>
    <t>21095962000141</t>
  </si>
  <si>
    <t>INARA SALETE MEIRA - ME</t>
  </si>
  <si>
    <t>OTICA INOVE (2230)</t>
  </si>
  <si>
    <t>otica.inove@gmail.com</t>
  </si>
  <si>
    <t>RUA PAULINO PEDRO HERMES</t>
  </si>
  <si>
    <t>2427</t>
  </si>
  <si>
    <t>NOSSA SENHORA DO ROSARIO</t>
  </si>
  <si>
    <t>41110300000100</t>
  </si>
  <si>
    <t>INNOVARE OPTICA LTDA</t>
  </si>
  <si>
    <t>INNOVARE OPTICA (4385)</t>
  </si>
  <si>
    <t>innovareoptica@hotmail.com</t>
  </si>
  <si>
    <t>1650</t>
  </si>
  <si>
    <t>13402216000125</t>
  </si>
  <si>
    <t>IRACI LAUDELINO DA LUZ GUZZATTI - ME</t>
  </si>
  <si>
    <t>OTICA CRISTAL (1812)</t>
  </si>
  <si>
    <t>RELOJOARIAEOTICACRISTAL1@HOTMAIL.COM</t>
  </si>
  <si>
    <t>RUA SEIS DE JANEIRO</t>
  </si>
  <si>
    <t>08690241000383</t>
  </si>
  <si>
    <t>IRMAOS SCHAPPO LTDA</t>
  </si>
  <si>
    <t>MARIO JOALHEIRO (1717)</t>
  </si>
  <si>
    <t>pedidosmariojoalheiro@outlook.com</t>
  </si>
  <si>
    <t>08690241000111</t>
  </si>
  <si>
    <t>MARIO JOALHEIRO (1286)</t>
  </si>
  <si>
    <t>08690241000200</t>
  </si>
  <si>
    <t>MARIO JOALHEIROS (1716)</t>
  </si>
  <si>
    <t>PEDIDOSMARIOJOALHEIRO@OUTLOOK.COM</t>
  </si>
  <si>
    <t>LJ 1</t>
  </si>
  <si>
    <t>42822903000106</t>
  </si>
  <si>
    <t>ISABEL CRISTINA DA SILVA CARVALHO OPTICA LTDA</t>
  </si>
  <si>
    <t>OTICA VISAO (4394)</t>
  </si>
  <si>
    <t>OTICAVISAOFLORIANOPOLIS@GMAIL.COM</t>
  </si>
  <si>
    <t>RUA ANITA GARIBALDI</t>
  </si>
  <si>
    <t>37165122000229</t>
  </si>
  <si>
    <t>ITALAN COMERCIO DE PRODUTOS OTICOS LTDA</t>
  </si>
  <si>
    <t>OTICAS CAROL (4153)</t>
  </si>
  <si>
    <t>PRODUTOSC@OTICASCAROL.COM.BR</t>
  </si>
  <si>
    <t>RUA GERÔNCIO THIVES</t>
  </si>
  <si>
    <t>12985714000185</t>
  </si>
  <si>
    <t>ITALIA ACESSORIOS DE MODA LTDA EPP</t>
  </si>
  <si>
    <t>CHILLI BEANS (2155)</t>
  </si>
  <si>
    <t>71</t>
  </si>
  <si>
    <t>294</t>
  </si>
  <si>
    <t>14646801000133</t>
  </si>
  <si>
    <t>IVANE DELLA GIUSTINA ISIDORO ME</t>
  </si>
  <si>
    <t>RELOJOARIA E OTICA NOSAA SENHOS APARECIDA (1867)</t>
  </si>
  <si>
    <t>forquilhinha@oticansa.com.br</t>
  </si>
  <si>
    <t>RUA JOAO JOSE BACK</t>
  </si>
  <si>
    <t>32138663000163</t>
  </si>
  <si>
    <t>IVANIO NASCIMENTO PAZ</t>
  </si>
  <si>
    <t>OTICA MARCOS (4020)</t>
  </si>
  <si>
    <t>ivaniopaz@hotmail.com</t>
  </si>
  <si>
    <t>AVENIDA ENGENHEIRO COLOMBO MACHADO SALLES</t>
  </si>
  <si>
    <t>163</t>
  </si>
  <si>
    <t>26865235000130</t>
  </si>
  <si>
    <t>J L MONDADORI JUNIOR E CIA LTDA</t>
  </si>
  <si>
    <t>OPTICAS MONDADORI (4121)</t>
  </si>
  <si>
    <t>RUA GISELA</t>
  </si>
  <si>
    <t>2205</t>
  </si>
  <si>
    <t>34430000000143</t>
  </si>
  <si>
    <t>JACIARA DOS SANTOS ART OPTICOS E ACESSORIOS</t>
  </si>
  <si>
    <t>OTICA MOONE</t>
  </si>
  <si>
    <t>oticamoone@gmail.com</t>
  </si>
  <si>
    <t>24564691000114</t>
  </si>
  <si>
    <t>JACKSON QUADROS DA SILVA E CIA LTDA</t>
  </si>
  <si>
    <t>OPTICA TORRES (3802)</t>
  </si>
  <si>
    <t>OPTICA_JK@HOTMAIL.COM</t>
  </si>
  <si>
    <t>04628445000171</t>
  </si>
  <si>
    <t>JADE JOALHERIA E OTICA LTDA  MATRIZ</t>
  </si>
  <si>
    <t>QUEVEDO (83)</t>
  </si>
  <si>
    <t>VIRGILIO VARZEA</t>
  </si>
  <si>
    <t>587</t>
  </si>
  <si>
    <t>LOJA 144</t>
  </si>
  <si>
    <t>SACO GRANDE</t>
  </si>
  <si>
    <t>73758799000153</t>
  </si>
  <si>
    <t>JANDER PORTO</t>
  </si>
  <si>
    <t>RELOJOARIA E OPTICA DUMONTY - ROD (1038)</t>
  </si>
  <si>
    <t>RUA ERNESTO LACOMB</t>
  </si>
  <si>
    <t>JAGUARUNA</t>
  </si>
  <si>
    <t>43888630000157</t>
  </si>
  <si>
    <t>JANILCE RIBEIRO DE LIMA 00763064106</t>
  </si>
  <si>
    <t>OTICA MAGIA</t>
  </si>
  <si>
    <t>rogerstracciony@gmail.com</t>
  </si>
  <si>
    <t>ESTRADA DOM JOAO BECKER</t>
  </si>
  <si>
    <t>27570810000130</t>
  </si>
  <si>
    <t>JANINI BITTENCOURT DE OLIVEIRA SCHAEFER 65141768953</t>
  </si>
  <si>
    <t>ERIDA SCHAEFER (4260)</t>
  </si>
  <si>
    <t>otroeyewear@gmail.com</t>
  </si>
  <si>
    <t>2033</t>
  </si>
  <si>
    <t>601</t>
  </si>
  <si>
    <t>29211062000124</t>
  </si>
  <si>
    <t>JEAN CLAUDE CAETANO</t>
  </si>
  <si>
    <t>OTICA CENTRAL (4264)</t>
  </si>
  <si>
    <t>relojoeirojean@gmail.com</t>
  </si>
  <si>
    <t>BOX:35</t>
  </si>
  <si>
    <t>01955393000150</t>
  </si>
  <si>
    <t>JEAN GEORGE BARG</t>
  </si>
  <si>
    <t>OTICA LINCE (1040)</t>
  </si>
  <si>
    <t>oticalince@outlook.com.br</t>
  </si>
  <si>
    <t>OLINKRAFT</t>
  </si>
  <si>
    <t>2938</t>
  </si>
  <si>
    <t>13115821000115</t>
  </si>
  <si>
    <t>JERRI ADRIANI FRUTUOSO ME</t>
  </si>
  <si>
    <t>OTICA LUCAS (1863)</t>
  </si>
  <si>
    <t>oticalucas2011@hotmail.com</t>
  </si>
  <si>
    <t>RUA CAPITAO ADELINO PLATT</t>
  </si>
  <si>
    <t>BL C - SL 01</t>
  </si>
  <si>
    <t>45422906000132</t>
  </si>
  <si>
    <t>JESS OTICA LTDA</t>
  </si>
  <si>
    <t>OTICAS CAROL (4494)</t>
  </si>
  <si>
    <t>RUA LAURO LINHARES</t>
  </si>
  <si>
    <t>2010</t>
  </si>
  <si>
    <t>TRINDADE</t>
  </si>
  <si>
    <t>24313372000136</t>
  </si>
  <si>
    <t>JFERREIRA COMERCIO LTDA</t>
  </si>
  <si>
    <t>BELLA OTICA (4377)</t>
  </si>
  <si>
    <t>BELLAOTICA03CAMELO@GMAIL.COM</t>
  </si>
  <si>
    <t>BOX 15</t>
  </si>
  <si>
    <t>43523269000165</t>
  </si>
  <si>
    <t>JM OTICA &amp; ACESSORIOS LTDA</t>
  </si>
  <si>
    <t>OTICA ESSENCIAL (4426)</t>
  </si>
  <si>
    <t>OTICAESSENCIAL.JANICE@GMAIL.COM</t>
  </si>
  <si>
    <t>42972237000184</t>
  </si>
  <si>
    <t>JMI MANGILLI OTICA LTDA</t>
  </si>
  <si>
    <t>MAIS BELLA OTICA (4381)</t>
  </si>
  <si>
    <t>maisbellacriciuma@maisbellaotica.com.br</t>
  </si>
  <si>
    <t>19434165000108</t>
  </si>
  <si>
    <t>JOACIR ANTONIO MONTEIRO - ME</t>
  </si>
  <si>
    <t>OTICA TONETTI (3860)</t>
  </si>
  <si>
    <t>joacir-monteiro@hotmail.it</t>
  </si>
  <si>
    <t>2170</t>
  </si>
  <si>
    <t>83820282000109</t>
  </si>
  <si>
    <t>JOALHERIA E OTICA ALCIDINO LTDA</t>
  </si>
  <si>
    <t>JOALHERIA E OTICA ALCIDINO (151)</t>
  </si>
  <si>
    <t>00542123000154</t>
  </si>
  <si>
    <t>JOALHERIA E OTICA BELLUNO LTDA ME</t>
  </si>
  <si>
    <t>JOALHERIA E OTICA BELLUNO LTDA (961)</t>
  </si>
  <si>
    <t>oticavisual.spolis@hotmail.com</t>
  </si>
  <si>
    <t>02540248000170</t>
  </si>
  <si>
    <t>JOALHERIA E OTICA BOA VISTA LTDA ME</t>
  </si>
  <si>
    <t>JOALHERIA E OTICA BOA VISTA (1335)</t>
  </si>
  <si>
    <t>queziaraquel@hotmail.com</t>
  </si>
  <si>
    <t>RUA AMARO FERREIRA DE MACEDO</t>
  </si>
  <si>
    <t>SL-04</t>
  </si>
  <si>
    <t>79297933000142</t>
  </si>
  <si>
    <t>JOALHERIA E OTICA BRASIL LTDA ME</t>
  </si>
  <si>
    <t>JOALHERIA E OTICA BRASIL LTDA ME (224)</t>
  </si>
  <si>
    <t>RUA NATALINOTEIXEIRA DA ROSA</t>
  </si>
  <si>
    <t>SANTA ROSA DO SUL</t>
  </si>
  <si>
    <t>79530747000101</t>
  </si>
  <si>
    <t>JOALHERIA E OTICA EDUARDO LTDA</t>
  </si>
  <si>
    <t>JOALHERIA E OTICA EDUARDO (154)</t>
  </si>
  <si>
    <t>oticaeduardo@hotmail.com</t>
  </si>
  <si>
    <t>154</t>
  </si>
  <si>
    <t>79530747000373</t>
  </si>
  <si>
    <t>JOALHERIA E OTICA EDUARDO FELIPE SCHIMITD (155)</t>
  </si>
  <si>
    <t>JOALHERIAEOTICAEDUARDO@HOTMAIL.COM</t>
  </si>
  <si>
    <t>08106357000160</t>
  </si>
  <si>
    <t>JOALHERIA E OTICA LENZI LTDA</t>
  </si>
  <si>
    <t>JOALHERIA E OTICA LENZI LTDA (924)</t>
  </si>
  <si>
    <t>TULIO FIUZA DE CARVALHO</t>
  </si>
  <si>
    <t>09275804000330</t>
  </si>
  <si>
    <t>JOALHERIA E OTICA PELEGRINI EIRELI</t>
  </si>
  <si>
    <t>JOALHERIA E OTICA EDUARDO (4429)</t>
  </si>
  <si>
    <t>joalheriaeoticaeduardo@hotmail.com</t>
  </si>
  <si>
    <t>RUA PREFEITO OSMAR CUNHA</t>
  </si>
  <si>
    <t>LOJA 31 BLOCO B</t>
  </si>
  <si>
    <t>09275804000178</t>
  </si>
  <si>
    <t>JOALHERIA E OTICA PELEGRINI LTDA ME</t>
  </si>
  <si>
    <t>JOALHERIA E OTICA EDUARDO (1408)</t>
  </si>
  <si>
    <t>09275804000259</t>
  </si>
  <si>
    <t>JOALHERIA E OTICA EDUARDO (1407)</t>
  </si>
  <si>
    <t>04638576000130</t>
  </si>
  <si>
    <t>JOALHERIA E OTICA STYLUS LTDA</t>
  </si>
  <si>
    <t>JOALHERIA E OTICA STYLUS (3780)</t>
  </si>
  <si>
    <t>joalheriastylus@hotmail.com</t>
  </si>
  <si>
    <t>SALA, 01</t>
  </si>
  <si>
    <t>04085336000155</t>
  </si>
  <si>
    <t>JOALHERIA E OTICA URUSSANGA LTDA</t>
  </si>
  <si>
    <t>JOALHERIA E OTICA URUSSANGA LTDA (1232)</t>
  </si>
  <si>
    <t>oticavisual@outlook.com</t>
  </si>
  <si>
    <t>SALA 80</t>
  </si>
  <si>
    <t>73204661000102</t>
  </si>
  <si>
    <t>JOALHERIA E OTICA VITORETTI LTDA</t>
  </si>
  <si>
    <t>JOALHERIA E OTICA VITORETTI LTDA (723)</t>
  </si>
  <si>
    <t>vitoreti@vitoreti.com.br</t>
  </si>
  <si>
    <t>RUA CORONEL PEDRO BENEDET</t>
  </si>
  <si>
    <t>93000339000179</t>
  </si>
  <si>
    <t>JOALHERIA FIO DE OURO LTDA</t>
  </si>
  <si>
    <t>JOALHERIA FIO DE OURO LTDA (170)</t>
  </si>
  <si>
    <t>joalheriafiodeouro@gmail.com</t>
  </si>
  <si>
    <t>RUA JOSE BONIFACIO</t>
  </si>
  <si>
    <t>148</t>
  </si>
  <si>
    <t>76342682000182</t>
  </si>
  <si>
    <t>JOALHERIA MONDADORI LTDA EPP</t>
  </si>
  <si>
    <t>JOALHERIA MONDADORI (174)</t>
  </si>
  <si>
    <t>MONDADORILAGES@BOL.COM.BR</t>
  </si>
  <si>
    <t>85159408000163</t>
  </si>
  <si>
    <t>JOALHERIA OTICA MEIRA LTDA ME</t>
  </si>
  <si>
    <t>OTICA MEIRA (688)</t>
  </si>
  <si>
    <t>joalheriaeoticameira@gmail.com</t>
  </si>
  <si>
    <t>RUA GETÚLIO VARGAS</t>
  </si>
  <si>
    <t>20607869000106</t>
  </si>
  <si>
    <t>JOAO BARBOSA FERREIRA JUNIOR</t>
  </si>
  <si>
    <t>LABORATORIO PREÇO POPULAR (2257)</t>
  </si>
  <si>
    <t>JJ-FERREIRA@HOTMAIL.COM</t>
  </si>
  <si>
    <t>RUA AUGUSTO HAEMING</t>
  </si>
  <si>
    <t>79404679000134</t>
  </si>
  <si>
    <t>JOAO CARLOS DE OLIVEIRA PROFETA</t>
  </si>
  <si>
    <t>JUNIOR JOIAS (3877)</t>
  </si>
  <si>
    <t>juniorjoias@hotmail.com</t>
  </si>
  <si>
    <t>RUA RAULINO HORN</t>
  </si>
  <si>
    <t>49192997000118</t>
  </si>
  <si>
    <t>JOAO MONDADORI LTDA</t>
  </si>
  <si>
    <t>OPTICA MONDADORI CLASSIK (4637)</t>
  </si>
  <si>
    <t>PAGANI.MONDADORI@GMAIL.COM</t>
  </si>
  <si>
    <t>855</t>
  </si>
  <si>
    <t>85335388000134</t>
  </si>
  <si>
    <t>JOELSON FRITZEN ME</t>
  </si>
  <si>
    <t>JOELSON JOALHERIA (136)</t>
  </si>
  <si>
    <t>joelsonfritzen@hotmail.com</t>
  </si>
  <si>
    <t>AVENIDA PRESIDENTE VARGAS</t>
  </si>
  <si>
    <t>03043276000145</t>
  </si>
  <si>
    <t>JORGE LUIS GOEDERT ME</t>
  </si>
  <si>
    <t>CENTER LUIS GOEDER (2095)</t>
  </si>
  <si>
    <t>AGUIDA.K@HOTMAIL.COM</t>
  </si>
  <si>
    <t>82792334000100</t>
  </si>
  <si>
    <t>JOSE BONIFACIO DE O MAIA E CIA LTDA EPP</t>
  </si>
  <si>
    <t>NOVA OTICA LUX (186)</t>
  </si>
  <si>
    <t>jmaia77@hotmail.com</t>
  </si>
  <si>
    <t>RUA GOVERNADOR JORGE LACERDA</t>
  </si>
  <si>
    <t>22</t>
  </si>
  <si>
    <t>75306423000133</t>
  </si>
  <si>
    <t>JOSE GILMAR MONDADORI</t>
  </si>
  <si>
    <t>OTICA MONDADORI (2109)</t>
  </si>
  <si>
    <t>OTICAMONDADORI@HOTMAIL.COM</t>
  </si>
  <si>
    <t>RUA MAJOR JOAQUIM PINTO</t>
  </si>
  <si>
    <t>213</t>
  </si>
  <si>
    <t>82872011000126</t>
  </si>
  <si>
    <t>JOSE ROGERIO CARVALHO JUNIOR ME</t>
  </si>
  <si>
    <t>OTICA EXATA (191)</t>
  </si>
  <si>
    <t>emanuelacarvalho@hotmail.com</t>
  </si>
  <si>
    <t>218</t>
  </si>
  <si>
    <t>11216875000141</t>
  </si>
  <si>
    <t>JOSEANE MARIA MININI CALDEIRA MERLIN</t>
  </si>
  <si>
    <t>CHILLI BEANS GAROPABA (3943)</t>
  </si>
  <si>
    <t>joseane.caldeira@gmail.com</t>
  </si>
  <si>
    <t>RUA PREFEITO JOAO ORESTES DE ARAUJO</t>
  </si>
  <si>
    <t>1159</t>
  </si>
  <si>
    <t>03752999000113</t>
  </si>
  <si>
    <t>JPS COMERCIO DE PRODUTOS OTICOS LTDA</t>
  </si>
  <si>
    <t>ESPECIALISTA FILIAL 01 (1230)</t>
  </si>
  <si>
    <t>2123</t>
  </si>
  <si>
    <t>LOJA 17</t>
  </si>
  <si>
    <t>02745351000238</t>
  </si>
  <si>
    <t>JR ADAMVER IND. COMERCIO PROD. OTICOS LTDA</t>
  </si>
  <si>
    <t>MORMAII (1243)</t>
  </si>
  <si>
    <t>sac2@jradamver.com.br</t>
  </si>
  <si>
    <t>ROD SC - 401 KM 7,5</t>
  </si>
  <si>
    <t>6901</t>
  </si>
  <si>
    <t>09581479000171</t>
  </si>
  <si>
    <t>JR JOALHERIA LTDA</t>
  </si>
  <si>
    <t>JR JOALHERIA (3918)</t>
  </si>
  <si>
    <t>RUA CONEGO MIGUEL GIACCA</t>
  </si>
  <si>
    <t>SL1</t>
  </si>
  <si>
    <t>02745351000157</t>
  </si>
  <si>
    <t>JR-ADAMVER IND E COM DE PRODUTOS OTICOS S/A</t>
  </si>
  <si>
    <t>JR ADAMVER IND. E COM. PROD. OTICOS (4766)</t>
  </si>
  <si>
    <t>KAROLINY.PACHECO@JRADAMVER.COM.BR</t>
  </si>
  <si>
    <t>RUA DELEGADO FRONTINO MARTINS</t>
  </si>
  <si>
    <t>08151034000199</t>
  </si>
  <si>
    <t>JRP JOALHERIA E OTICA LTDA ME</t>
  </si>
  <si>
    <t>JOALHERIA E OTICA PAMPLONA (928)</t>
  </si>
  <si>
    <t>164</t>
  </si>
  <si>
    <t>27738662000110</t>
  </si>
  <si>
    <t>JULIA NAZARIO FERNANDES</t>
  </si>
  <si>
    <t>VENEZA  RELOJOARIA E OTICA (3799)</t>
  </si>
  <si>
    <t>optica.veneza@hotmail.com</t>
  </si>
  <si>
    <t>RUA CESARE TIBALDESCHI</t>
  </si>
  <si>
    <t>NOVA VENEZA</t>
  </si>
  <si>
    <t>03377474000145</t>
  </si>
  <si>
    <t>JULIANO MEDEIROS PORTO</t>
  </si>
  <si>
    <t>RELOJOARIA E OPTICA VISAO BRILHANTY (4257)</t>
  </si>
  <si>
    <t>opticabrilhanty@hotmail.com</t>
  </si>
  <si>
    <t>AVENIDA DUQUE DE CAXIAS</t>
  </si>
  <si>
    <t>565</t>
  </si>
  <si>
    <t>75492033000103</t>
  </si>
  <si>
    <t>JULIO SULZBACHER NETO ME</t>
  </si>
  <si>
    <t>GOLD OTICA.JOAL. (104)</t>
  </si>
  <si>
    <t>oticagold@ibest.com.br</t>
  </si>
  <si>
    <t>11406800000123</t>
  </si>
  <si>
    <t>JUMA OTICA LTDA</t>
  </si>
  <si>
    <t>OTICA CONCEITO (1704)</t>
  </si>
  <si>
    <t>oticaconceito@gmail.com</t>
  </si>
  <si>
    <t>RUA ATILIO PAGANI</t>
  </si>
  <si>
    <t>LOJA 214 E 215</t>
  </si>
  <si>
    <t>00703159000172</t>
  </si>
  <si>
    <t>JUNER JOALHEIRO LTDA</t>
  </si>
  <si>
    <t>JUNER JOALHEIROS (981)</t>
  </si>
  <si>
    <t>junerjoalheiro@hotmail.com</t>
  </si>
  <si>
    <t>TRAVESSA PADRE PEDRO BALDONCINI</t>
  </si>
  <si>
    <t>45510907000139</t>
  </si>
  <si>
    <t>KARY OPTICA LTDA</t>
  </si>
  <si>
    <t>KARY OPTICA (4517)</t>
  </si>
  <si>
    <t>KARYOPTICA2022@HOTMAIL.COM</t>
  </si>
  <si>
    <t>RUA PADRE ANTONIO MARANGONI</t>
  </si>
  <si>
    <t>PEDRAS GRANDES</t>
  </si>
  <si>
    <t>16967753000100</t>
  </si>
  <si>
    <t>KEV COMERCIO DE PRODUTOS OPTICOS LTDA ME</t>
  </si>
  <si>
    <t>OTICA ILUMINNAH (2018)</t>
  </si>
  <si>
    <t>1602</t>
  </si>
  <si>
    <t>81553117000102</t>
  </si>
  <si>
    <t>KLOCK E CITADIN</t>
  </si>
  <si>
    <t>KLOCK E CITADIN (420)</t>
  </si>
  <si>
    <t>luiz_klock@hotmail.com</t>
  </si>
  <si>
    <t>103</t>
  </si>
  <si>
    <t>15202771000139</t>
  </si>
  <si>
    <t>KOCK E BOEING LTDA</t>
  </si>
  <si>
    <t>OTICA E RELOJOARIA KOCK (1885)</t>
  </si>
  <si>
    <t>oticakock@hotmail.com</t>
  </si>
  <si>
    <t>RUA FRANCISCO BECKHAUSEN</t>
  </si>
  <si>
    <t>SÃO MARTINHO</t>
  </si>
  <si>
    <t>49166007000177</t>
  </si>
  <si>
    <t>KRISLEY ROSANE DA SILVEIRA LTDA</t>
  </si>
  <si>
    <t>OTICAS DINIZ (4785)</t>
  </si>
  <si>
    <t>NORTON.OTICASDINIZ@GMAIL.COM</t>
  </si>
  <si>
    <t>08656918000103</t>
  </si>
  <si>
    <t>KRYSTAL LENS JOALHERIA E OPTICA LTDA ME</t>
  </si>
  <si>
    <t>KRYSTAL LENS JOALHERIA E OPTICA LTDA ME (1127)</t>
  </si>
  <si>
    <t>krystallens@gmail.com</t>
  </si>
  <si>
    <t>RUA CUBA</t>
  </si>
  <si>
    <t>194</t>
  </si>
  <si>
    <t>HUMAITA</t>
  </si>
  <si>
    <t>10483612000136</t>
  </si>
  <si>
    <t>L E K JOALHERIA E OTICA LTDA</t>
  </si>
  <si>
    <t>OTICA PONTO DA VISAO (1465)</t>
  </si>
  <si>
    <t>oticalk@gmail.com</t>
  </si>
  <si>
    <t>RUA WALTER DA SILVA KOERICH            LJ 04</t>
  </si>
  <si>
    <t>ESQNA LJ KOESA</t>
  </si>
  <si>
    <t>19171293000106</t>
  </si>
  <si>
    <t>LA COMERCIO DE PRESENTES EIRELI - EPP</t>
  </si>
  <si>
    <t>AUGUSTO JOIAS (3786)</t>
  </si>
  <si>
    <t>augustokt@gmail.com</t>
  </si>
  <si>
    <t>RUA BOCAIUVA  BEIRAMAR SHOPPING CENTER</t>
  </si>
  <si>
    <t>LJ 410 PL3</t>
  </si>
  <si>
    <t>36437350000167</t>
  </si>
  <si>
    <t>LABORATORIO OPTICO NOVA ESTACAO LTDA</t>
  </si>
  <si>
    <t>LABORATORIO NOVA ESTACAO (4220)</t>
  </si>
  <si>
    <t>lab.novaestacao@gmail.com</t>
  </si>
  <si>
    <t>630</t>
  </si>
  <si>
    <t>79920898000176</t>
  </si>
  <si>
    <t>LAENIO LEAL</t>
  </si>
  <si>
    <t>LAENIO  LEAL MULLER (975)</t>
  </si>
  <si>
    <t>RUA ORLEANS</t>
  </si>
  <si>
    <t>LAURO MULLER</t>
  </si>
  <si>
    <t>21154956000118</t>
  </si>
  <si>
    <t>LANDOALDO JOSE FREIBERGER EIRELI</t>
  </si>
  <si>
    <t>OTICAS CAROL (2217)</t>
  </si>
  <si>
    <t>21154956000207</t>
  </si>
  <si>
    <t>OTICAS CAROL (3303)</t>
  </si>
  <si>
    <t>LJ 106 PISO L1</t>
  </si>
  <si>
    <t>52067283000192</t>
  </si>
  <si>
    <t>LAPIS-LAZULI COMERCIO DE OCULOS E ACESSORIOS LTDA</t>
  </si>
  <si>
    <t>CHILLI BEANS (4779)</t>
  </si>
  <si>
    <t>LOJA 05 - EDIFI</t>
  </si>
  <si>
    <t>42331482000102</t>
  </si>
  <si>
    <t>LAURA HONORIA MACHADO 41594908915</t>
  </si>
  <si>
    <t>OTICA GABRIELA (4361)</t>
  </si>
  <si>
    <t>OTICAGABRIELA@YAHOO.COM.BR</t>
  </si>
  <si>
    <t>RUA DORALICE RAMOS PINHO</t>
  </si>
  <si>
    <t>419</t>
  </si>
  <si>
    <t>JARDIM CIDADE DE FLORIANO</t>
  </si>
  <si>
    <t>32219352000129</t>
  </si>
  <si>
    <t>LAURINDO PEREIRA 38602733968</t>
  </si>
  <si>
    <t>OTICA E RELOJOARIA FL (3968)</t>
  </si>
  <si>
    <t>SOLOPTICA@YAHOO.COM.BR</t>
  </si>
  <si>
    <t>82111626000210</t>
  </si>
  <si>
    <t>LAURO CEOLIN ISIDORO</t>
  </si>
  <si>
    <t>RELOJOARIA E OTICA LAURO (2227)</t>
  </si>
  <si>
    <t>oticalaurotimbe@hotmail.com</t>
  </si>
  <si>
    <t>PRACA PRACA MUNICIPAL</t>
  </si>
  <si>
    <t>82111626000130</t>
  </si>
  <si>
    <t>LAURO CEOLIN ISIDORO ME</t>
  </si>
  <si>
    <t>LAURO RELOJOEIRO (503)</t>
  </si>
  <si>
    <t>oticalauroturvo@outlook.com</t>
  </si>
  <si>
    <t>1541</t>
  </si>
  <si>
    <t>03510008000439</t>
  </si>
  <si>
    <t>LB COMERCIO DE PRESENTES EIRELI</t>
  </si>
  <si>
    <t>A PRIME (4387)</t>
  </si>
  <si>
    <t>esc.sc.adm01@gmail.com</t>
  </si>
  <si>
    <t>SALA 443 E 444</t>
  </si>
  <si>
    <t>03510008000196</t>
  </si>
  <si>
    <t>LB COMERCIO DE PRESENTES EIRELI  EPP</t>
  </si>
  <si>
    <t>BARBARA K (840)</t>
  </si>
  <si>
    <t>anna.adm01@gmail.com</t>
  </si>
  <si>
    <t>LOJA 354</t>
  </si>
  <si>
    <t>31939167000146</t>
  </si>
  <si>
    <t>LEANDRO FRANCO DOS SANTOS 95048570006</t>
  </si>
  <si>
    <t>ANJO DOURADO OTICA JOIAS E RELOGIOS (4098)</t>
  </si>
  <si>
    <t>LOJAANJODOURADO@GMAIL.COM</t>
  </si>
  <si>
    <t>LOJA 19</t>
  </si>
  <si>
    <t>46735243000179</t>
  </si>
  <si>
    <t>LEANDRO MARCHI 00343866960</t>
  </si>
  <si>
    <t>LM OTICA (4611)</t>
  </si>
  <si>
    <t>ELAINETORQUATO@YAHOO.COM.BR</t>
  </si>
  <si>
    <t>CAMINHO DA CRUZ</t>
  </si>
  <si>
    <t>06245390000146</t>
  </si>
  <si>
    <t>LEONARDO CAVALCANTE DA SILVA</t>
  </si>
  <si>
    <t>OTICA COOPERVISAO (4341)</t>
  </si>
  <si>
    <t>COOPERVISAO@GMAIL.COM</t>
  </si>
  <si>
    <t>LOJA 202 ARS</t>
  </si>
  <si>
    <t>28102760000129</t>
  </si>
  <si>
    <t>LIMAKELL OTICA E JOALHERIA LTDA - ME</t>
  </si>
  <si>
    <t>EDNA OTICA (3830)</t>
  </si>
  <si>
    <t>ednaotica.kobrasol@gmail.com</t>
  </si>
  <si>
    <t>RUA PRESIDENTE KENNEDY</t>
  </si>
  <si>
    <t>1953</t>
  </si>
  <si>
    <t>83459925000122</t>
  </si>
  <si>
    <t>LIONS CLUBE CRICIUMA CAPITAL DO CARVAO</t>
  </si>
  <si>
    <t>LIONS CLUBE CRICIUMA CAPITAL DO CARVAO (3781)</t>
  </si>
  <si>
    <t>SALAS 23/24</t>
  </si>
  <si>
    <t>80689854000166</t>
  </si>
  <si>
    <t>LM JOIAS LTDA. EPP</t>
  </si>
  <si>
    <t>LM JOIAS LTDA. EPP (201)</t>
  </si>
  <si>
    <t>JOAO COSTA</t>
  </si>
  <si>
    <t>49466687000144</t>
  </si>
  <si>
    <t>LRB JOALHERIA E OTICA LTDA</t>
  </si>
  <si>
    <t>QUEVEDO ITAGUAÇU (4659)</t>
  </si>
  <si>
    <t>LSILVA.SCLRB@GMAIL.COM</t>
  </si>
  <si>
    <t>LOJA 242 A</t>
  </si>
  <si>
    <t>41145091000130</t>
  </si>
  <si>
    <t>LS COMERCIO DE PRODUTOS OTICOS LTDA</t>
  </si>
  <si>
    <t>OTICA HELENA (4281)</t>
  </si>
  <si>
    <t>PALHOCA@OTICAHELENA.COM.BR</t>
  </si>
  <si>
    <t>RUA PREFEITO ARI WAGNER</t>
  </si>
  <si>
    <t>242</t>
  </si>
  <si>
    <t>38328335000106</t>
  </si>
  <si>
    <t>LUCIANA VENTURA &amp; TREVISANI COMERCIO OPTICOS LTDA</t>
  </si>
  <si>
    <t>MERCADAO DOS OCULOS (4243)</t>
  </si>
  <si>
    <t>sc-biguacu@mercadaodosoculos.com.br</t>
  </si>
  <si>
    <t>45227807000108</t>
  </si>
  <si>
    <t>LUCIANA VENTURA COMERCIO OPTICOS LTDA</t>
  </si>
  <si>
    <t>MERCADAO DOS OCULOS SANTO AMARO DA IMPERATRIZ (4510)</t>
  </si>
  <si>
    <t>RUA MAJOR JOAQUIM ALEXANDRE DE CAMPOS</t>
  </si>
  <si>
    <t>5847</t>
  </si>
  <si>
    <t>16758835000145</t>
  </si>
  <si>
    <t>LUF ACESSORIOS LTDA EPP</t>
  </si>
  <si>
    <t>CHILLI BEANS (3784)</t>
  </si>
  <si>
    <t>palhoca.viacatarina@chillisc.com.br</t>
  </si>
  <si>
    <t>12384961000126</t>
  </si>
  <si>
    <t>LUIZ AUGUSTO DE AZEREDO 24095869020</t>
  </si>
  <si>
    <t>RELOJOARIA LUIZ (1912)</t>
  </si>
  <si>
    <t>RELOJOARIA_LUIZ@HOTMAIL.COM</t>
  </si>
  <si>
    <t>DOS IMIGRANTES</t>
  </si>
  <si>
    <t>77889285000279</t>
  </si>
  <si>
    <t>LUIZ CEOLIN ISIDORO</t>
  </si>
  <si>
    <t>LUIZ CEOLIN ISIDORO (1347)</t>
  </si>
  <si>
    <t>393</t>
  </si>
  <si>
    <t>77889285000198</t>
  </si>
  <si>
    <t>LUIZ CEOLIN ISIDORO ME</t>
  </si>
  <si>
    <t>LUIZ CEOLIN ISIDORO ME (489)</t>
  </si>
  <si>
    <t>01693482000175</t>
  </si>
  <si>
    <t>LUIZ FABIANO DA SILVA ME</t>
  </si>
  <si>
    <t>OTICA JERONIMO COELHO (1071)</t>
  </si>
  <si>
    <t>oticajeronimocoelho@gmail.com</t>
  </si>
  <si>
    <t>10977366000179</t>
  </si>
  <si>
    <t>LUMA JOALHERIA RELOJOARIA E OPTICA LTDA ME</t>
  </si>
  <si>
    <t>MEGA OPTICA (2063)</t>
  </si>
  <si>
    <t>mery@megacristal.com.br</t>
  </si>
  <si>
    <t>1935</t>
  </si>
  <si>
    <t>43698496000121</t>
  </si>
  <si>
    <t>LUNAH ACESSORIOS DE MODA LTDA</t>
  </si>
  <si>
    <t>CHILLI BEANS (4419)</t>
  </si>
  <si>
    <t>CONTASPAGAR.ESTRELA@GMAIL.COM</t>
  </si>
  <si>
    <t>360</t>
  </si>
  <si>
    <t>44511495000199</t>
  </si>
  <si>
    <t>M.A OPTICA LTDA</t>
  </si>
  <si>
    <t>MERCADAO DOS OCULOS (4477)</t>
  </si>
  <si>
    <t>ALINE.V@OUTLOOK.COM</t>
  </si>
  <si>
    <t>50454900000187</t>
  </si>
  <si>
    <t>MADERS OTICA E JOALHERIA LTDA</t>
  </si>
  <si>
    <t>QUEVEDO (4740)</t>
  </si>
  <si>
    <t>MADERS.INGLESES@GMAIL.COM</t>
  </si>
  <si>
    <t>RUA INTENDENTE JOAO NUNES VIERA</t>
  </si>
  <si>
    <t>21940791000100</t>
  </si>
  <si>
    <t>MADREPEROLA COMERCIO DE JOIAS E OTICA LTDA EPP</t>
  </si>
  <si>
    <t>QUEVEDO JOALHERIA E OTICA (2211)</t>
  </si>
  <si>
    <t>LABORATORIO@QUEVEDO.COM.BR</t>
  </si>
  <si>
    <t>68</t>
  </si>
  <si>
    <t>22537887000194</t>
  </si>
  <si>
    <t>MAICOL ALVES PACHECO - ME</t>
  </si>
  <si>
    <t>OTICA TECNICA (3976)</t>
  </si>
  <si>
    <t>oticamonsenhorprime@hotmail.com</t>
  </si>
  <si>
    <t>767</t>
  </si>
  <si>
    <t>73219594000361</t>
  </si>
  <si>
    <t>MAR COM DE PRODUTOS OTICOS LTDA</t>
  </si>
  <si>
    <t>MAR COMERCIO DE PRODUTOS OTICOS LTDA ME (1806)</t>
  </si>
  <si>
    <t>administrativo@montrealotica.com.br</t>
  </si>
  <si>
    <t>RUA R. FELIPE SCHMIDT</t>
  </si>
  <si>
    <t>73219594000108</t>
  </si>
  <si>
    <t>MAR COMERCIO DE PRODUTOS OTICOS LTDA ME</t>
  </si>
  <si>
    <t>MAR COMERCIO DE PRODUTOS OTICOS LTDA ME (578)</t>
  </si>
  <si>
    <t>73219594000280</t>
  </si>
  <si>
    <t>MAR COMERCIO DE PRODUTOS OTICOS LTDA ME (810)</t>
  </si>
  <si>
    <t>RUA ENGENHEIRO MAX DE SOUZA</t>
  </si>
  <si>
    <t>1011</t>
  </si>
  <si>
    <t>COQUEIROS</t>
  </si>
  <si>
    <t>40814770000192</t>
  </si>
  <si>
    <t>MAR OPTICA LTDA</t>
  </si>
  <si>
    <t>MERCADAO DOS OCULOS (4362)</t>
  </si>
  <si>
    <t>sc-criciuma02@mercadaodosoculos.com.br</t>
  </si>
  <si>
    <t>03506071000159</t>
  </si>
  <si>
    <t>MARCELO DALMOLIN ME</t>
  </si>
  <si>
    <t>RELOJOARIA E JOALHERIA DALMOLIN (1797)</t>
  </si>
  <si>
    <t>MARCELODALMOLIN@IG.COM.BR</t>
  </si>
  <si>
    <t>RUA AV. GOVERNADOR IVO SILVEIRA</t>
  </si>
  <si>
    <t>2445</t>
  </si>
  <si>
    <t>SUBSOLO</t>
  </si>
  <si>
    <t>CAPOEIRAS</t>
  </si>
  <si>
    <t>18252801000100</t>
  </si>
  <si>
    <t>MARCELO RAMOS JOALHERIA E OTICA ME</t>
  </si>
  <si>
    <t>JOALHERIA E OTICA NEXUS (4050)</t>
  </si>
  <si>
    <t>oticasnexus@gmail.com</t>
  </si>
  <si>
    <t>1720</t>
  </si>
  <si>
    <t>13164726000101</t>
  </si>
  <si>
    <t>MARCELO RIBEIRO CATTELAN ME</t>
  </si>
  <si>
    <t>OTICA E RELOJOARIA MARCELO (1801)</t>
  </si>
  <si>
    <t>opticamarcelor@hotmail.com</t>
  </si>
  <si>
    <t>RUA R. PADRE AULING</t>
  </si>
  <si>
    <t>RIO FORTUNA</t>
  </si>
  <si>
    <t>00903462000119</t>
  </si>
  <si>
    <t>MARCIO MIGUEL</t>
  </si>
  <si>
    <t>RELOJOARIA E OTICA SANTINHO (4572)</t>
  </si>
  <si>
    <t>RELOJOARIAEOTICASANTINHO@HOTMAIL.COM</t>
  </si>
  <si>
    <t>RUA MANOEL JOAQUIM PINTO</t>
  </si>
  <si>
    <t>15106916000106</t>
  </si>
  <si>
    <t>MARIA A. PEREIRA OPTICA EIRELI - EPP</t>
  </si>
  <si>
    <t>OPTICA MARIA (2140)</t>
  </si>
  <si>
    <t>tem.mondadori@hotmail.com</t>
  </si>
  <si>
    <t>AVENIDA DELAMAR JOSE DA SILVA</t>
  </si>
  <si>
    <t>171</t>
  </si>
  <si>
    <t>12275019000120</t>
  </si>
  <si>
    <t>MARIA ANGELICA DOS PASSOS GENTIL ME</t>
  </si>
  <si>
    <t>OTICA CAMPECHE (1770)</t>
  </si>
  <si>
    <t>oticacampeche@gmail.com</t>
  </si>
  <si>
    <t>2028</t>
  </si>
  <si>
    <t>04788737000171</t>
  </si>
  <si>
    <t>MARIA APARECIDA MARCILIO DA SILVA SANTOS</t>
  </si>
  <si>
    <t>ARMAZEM DOS OCULOS (4639)</t>
  </si>
  <si>
    <t>ARMAZEMDOSOCULOS@GMAIL.COM</t>
  </si>
  <si>
    <t>LOJA: 89 90 91</t>
  </si>
  <si>
    <t>80644289000110</t>
  </si>
  <si>
    <t>MARIA DAS GRACAS AZEREDO DE OLIVEIRA</t>
  </si>
  <si>
    <t>OTICA BIGUACU (226)</t>
  </si>
  <si>
    <t>oticabiguacu@hotmail.com</t>
  </si>
  <si>
    <t>655</t>
  </si>
  <si>
    <t>81523979000184</t>
  </si>
  <si>
    <t>MARIA ELIZA ZUMBLICK GELOSA E FILHO LTDA</t>
  </si>
  <si>
    <t>OTICA CATEDRAL (01) (763)</t>
  </si>
  <si>
    <t>OTICACATEDRAL1@HOTMAIL.COM</t>
  </si>
  <si>
    <t>RUA CORONEL COLAÇO</t>
  </si>
  <si>
    <t>15305070000125</t>
  </si>
  <si>
    <t>MARIA TERESINHA GOMES SILVESTRE ME</t>
  </si>
  <si>
    <t>JOALHERIA E OTICA SILVESTRE (2152)</t>
  </si>
  <si>
    <t>RELOJOARIASUICA07@GMAIL.COM</t>
  </si>
  <si>
    <t>DUQUE DE CAXIAS</t>
  </si>
  <si>
    <t>551</t>
  </si>
  <si>
    <t>30841864000105</t>
  </si>
  <si>
    <t>MARIAFORTE OTICA EIRELI</t>
  </si>
  <si>
    <t>OTICA DINIZ (3900)</t>
  </si>
  <si>
    <t>controladoria.lentes01@oticadinizfloripa.com.br</t>
  </si>
  <si>
    <t>11841097000181</t>
  </si>
  <si>
    <t>MARIAN &amp; CIA LTDA</t>
  </si>
  <si>
    <t>MARIAN (2051)</t>
  </si>
  <si>
    <t>BIANCAMARIAN01@HOTMAIL.COM</t>
  </si>
  <si>
    <t>23531838000107</t>
  </si>
  <si>
    <t>MARILDA GONÇALVES SCHEFFER E CIA LTDA</t>
  </si>
  <si>
    <t>RELOJOARIA E OTICA CRISTAL (2299)</t>
  </si>
  <si>
    <t>RELOJOARIA@OUTLOOK.COM</t>
  </si>
  <si>
    <t>45057175000173</t>
  </si>
  <si>
    <t>MARILDA OPTICA E ACESSORIOS LTDA</t>
  </si>
  <si>
    <t>MARILDA OPTICA E ACESSORIOS (4469)</t>
  </si>
  <si>
    <t>NANASC1@HOTMAIL.COM</t>
  </si>
  <si>
    <t>S 1 EDF MABAL</t>
  </si>
  <si>
    <t>51812934000169</t>
  </si>
  <si>
    <t>MARILENE PAZA LTDA</t>
  </si>
  <si>
    <t>CHILLI BEANS  (4774)</t>
  </si>
  <si>
    <t>RUA AV MADRE BENVENUTA</t>
  </si>
  <si>
    <t>LOJA 324</t>
  </si>
  <si>
    <t>10288858000157</t>
  </si>
  <si>
    <t>MARINES NEVES MACHADO ME</t>
  </si>
  <si>
    <t>OTICA ALINE (1452)</t>
  </si>
  <si>
    <t>oticaaline@yahoo.com.brx</t>
  </si>
  <si>
    <t>LJ 22</t>
  </si>
  <si>
    <t>15236082000145</t>
  </si>
  <si>
    <t>MARINI &amp; TESSARO JOIAS LTDA ME</t>
  </si>
  <si>
    <t>BRUNA TESSARO JOIAS E OTICA (1975)</t>
  </si>
  <si>
    <t>SUC 424 LJ 06</t>
  </si>
  <si>
    <t>08192658000154</t>
  </si>
  <si>
    <t>MARIO ADEMIR GOEDERT ME</t>
  </si>
  <si>
    <t>JOALHERIA GOEDERT (1982)</t>
  </si>
  <si>
    <t>JOALHERIAGOEDERT@HOTMAIL.COM</t>
  </si>
  <si>
    <t>80484728000418</t>
  </si>
  <si>
    <t>MARIO JOALHEIRO LTDA</t>
  </si>
  <si>
    <t>MARIO JOALHEIRO LTDA (673)</t>
  </si>
  <si>
    <t>LOJA 57</t>
  </si>
  <si>
    <t>01514246000144</t>
  </si>
  <si>
    <t>MARLENE PORTO DE SOUZA ME</t>
  </si>
  <si>
    <t>RELOJOARIA WILLIAN´S (1296)</t>
  </si>
  <si>
    <t>relojoariaeoticawillians@hotmail.com</t>
  </si>
  <si>
    <t>AVENIDA UNIVERSITARIA</t>
  </si>
  <si>
    <t>1834</t>
  </si>
  <si>
    <t>SALA-04</t>
  </si>
  <si>
    <t>PRACA SANTA LUZIA</t>
  </si>
  <si>
    <t>08831291000171</t>
  </si>
  <si>
    <t>MARLENE SCHLICKMANN ISIDORO</t>
  </si>
  <si>
    <t>RELOJOARIA E OTICA ORIENT (1685)</t>
  </si>
  <si>
    <t>NILTONOTICA@GMAIL.COM</t>
  </si>
  <si>
    <t>RUA PRESIDENTE VARGAS</t>
  </si>
  <si>
    <t>597</t>
  </si>
  <si>
    <t>GRAO PARA</t>
  </si>
  <si>
    <t>33069416000115</t>
  </si>
  <si>
    <t>MATHEUS SOUZA DA FONSECA JOALHERIA E OTICA EIRELI</t>
  </si>
  <si>
    <t>MATHEUS SOUZA DA FONSECA JOALHERIA E OTICA (4027)</t>
  </si>
  <si>
    <t>SHARAALVES441@GMAIL.COM</t>
  </si>
  <si>
    <t>39813906000160</t>
  </si>
  <si>
    <t>MATOS E PEREIRA JOALHERIA E OPTICA LTDA</t>
  </si>
  <si>
    <t>OTICA ESPECIALISTA (4392)</t>
  </si>
  <si>
    <t>contato.tr@oticaespecialistars.com.br</t>
  </si>
  <si>
    <t>AVENIDA BENJAMIN CONSTANT</t>
  </si>
  <si>
    <t>LOJA 36</t>
  </si>
  <si>
    <t>11472682000151</t>
  </si>
  <si>
    <t>MAURA MARIA SODRE CARLOTTO ME</t>
  </si>
  <si>
    <t>OTICA CARLOTTO REL. JOALH. E CANETARIA LTDA ME (1712)</t>
  </si>
  <si>
    <t>mauraotica@hotmail.com</t>
  </si>
  <si>
    <t>27081828000178</t>
  </si>
  <si>
    <t>MAX PRESENTES LTDA</t>
  </si>
  <si>
    <t>CHILLI BEANS (4549)</t>
  </si>
  <si>
    <t>ANAGHILARDINI2@GMAIL.COM</t>
  </si>
  <si>
    <t>RUA SENADOR GUSTAVO RICHARD</t>
  </si>
  <si>
    <t>376</t>
  </si>
  <si>
    <t>85334456000140</t>
  </si>
  <si>
    <t>MAXCI - RELOJOARIA OTICA JOALHERIA LTDA ME</t>
  </si>
  <si>
    <t>OTICA MAXCI (506)</t>
  </si>
  <si>
    <t>MAXCIOTICA@BRTURBO.COM.BR</t>
  </si>
  <si>
    <t>GAL. JAQUELINE</t>
  </si>
  <si>
    <t>26064257000109</t>
  </si>
  <si>
    <t>MAXXIMO WR OTICA, RELOJOARIA E JOALHERIA LTDA - ME</t>
  </si>
  <si>
    <t>MAXXIMO WR OTICA, RELOJOARIA E JOALHERIA  (3351)</t>
  </si>
  <si>
    <t>ELISREGINAJUNCKES@HOTMAIL.COM</t>
  </si>
  <si>
    <t>03069138000135</t>
  </si>
  <si>
    <t>MAYNARA MOTTA LINO</t>
  </si>
  <si>
    <t>NOVA VISAO (1095)</t>
  </si>
  <si>
    <t>oticanovavisao@ymail.com</t>
  </si>
  <si>
    <t>2620</t>
  </si>
  <si>
    <t>46165711000206</t>
  </si>
  <si>
    <t>MB JOALHERIA E OTICA LTDA</t>
  </si>
  <si>
    <t>QUEVEDO JOALHERIA E OTICA (4669)</t>
  </si>
  <si>
    <t>RH@QUEVEDO.COM.BR</t>
  </si>
  <si>
    <t>RUA INTENDENTE JOAO NUNES VIEIRA</t>
  </si>
  <si>
    <t>46165711000117</t>
  </si>
  <si>
    <t>QUEVEDO (4745)</t>
  </si>
  <si>
    <t>MBKOBRASOL@GMAIL.COM</t>
  </si>
  <si>
    <t>21546636000103</t>
  </si>
  <si>
    <t>MELISSA DA SILVA VAHL EIRELLI</t>
  </si>
  <si>
    <t>OTICA KHARISMA (2184)</t>
  </si>
  <si>
    <t>nossaotica2006@hotmail.com</t>
  </si>
  <si>
    <t>RUA CAETANO SILVEIRA DE MATOS</t>
  </si>
  <si>
    <t>2551</t>
  </si>
  <si>
    <t>392</t>
  </si>
  <si>
    <t>21546636000294</t>
  </si>
  <si>
    <t>MELISSA DA SILVA VAHL LTDA</t>
  </si>
  <si>
    <t>NOSSA OTICA (4183)</t>
  </si>
  <si>
    <t>NOSSAOTICA2006@HOTMAIL.COM</t>
  </si>
  <si>
    <t>RUA LEDIO JOAO MARTINS</t>
  </si>
  <si>
    <t>05328439000161</t>
  </si>
  <si>
    <t>MELO &amp; BRETAS LTDA ME</t>
  </si>
  <si>
    <t>MELO &amp; BRETAS LTDA ME (619)</t>
  </si>
  <si>
    <t>SALA 605 / 604</t>
  </si>
  <si>
    <t>39650265000170</t>
  </si>
  <si>
    <t>MERCADAO DOS OCULOS FELIPE SCHMIDT LTDA</t>
  </si>
  <si>
    <t>MERCADAO DOS OCULOS FELIPE SCHMIDT (4237)</t>
  </si>
  <si>
    <t>sc-florianopolis03@mercadaodosoculos.com.br</t>
  </si>
  <si>
    <t>42718749000119</t>
  </si>
  <si>
    <t>MERCADAO DOS OCULOS INGLESES LTDA</t>
  </si>
  <si>
    <t>MERCADAO DOS OCULOS (4391)</t>
  </si>
  <si>
    <t>SC-FLORIANOPOLIS02@MERCADAODOSOCULOS.COM.BR</t>
  </si>
  <si>
    <t>6078</t>
  </si>
  <si>
    <t>VARGEM DO BOM JESUS</t>
  </si>
  <si>
    <t>34594699000187</t>
  </si>
  <si>
    <t>MERCADAO DOS OCULOS SAO JOSE LTDA</t>
  </si>
  <si>
    <t>MERCADAO DOS OCULOS (4051)</t>
  </si>
  <si>
    <t>737</t>
  </si>
  <si>
    <t>37747602000117</t>
  </si>
  <si>
    <t>MERCADAO DOS OCULOS SETE DE SETEMBRO LTDA</t>
  </si>
  <si>
    <t>MERCADAO DOS OCULOS SETE DE SETEMBRO (4238)</t>
  </si>
  <si>
    <t>03300044000125</t>
  </si>
  <si>
    <t>MEURER E MICHELS EIRELI</t>
  </si>
  <si>
    <t>OTICA EXATA (1168)</t>
  </si>
  <si>
    <t>relojoariaexata@hotmail.com</t>
  </si>
  <si>
    <t>RUA PADRE ROHER</t>
  </si>
  <si>
    <t>SÃO LUDGERO</t>
  </si>
  <si>
    <t>50807961000180</t>
  </si>
  <si>
    <t>MG OTICAS LTDA</t>
  </si>
  <si>
    <t>OTICAS FERRI (4726)</t>
  </si>
  <si>
    <t>OTICASFERRICOQUEIROSCOMERCIAL@GMAIL.COM</t>
  </si>
  <si>
    <t>ENGENHEIRO MAX DE SOUZA</t>
  </si>
  <si>
    <t>1302</t>
  </si>
  <si>
    <t>LOJA 14 A</t>
  </si>
  <si>
    <t>34010572000173</t>
  </si>
  <si>
    <t>MICAELLA SCHMITZ PINHEIRO E CIA LTDA</t>
  </si>
  <si>
    <t>OTICA ESTEIO (4088)</t>
  </si>
  <si>
    <t>OTICAESTEIOLAGUNA@GMAIL.COM</t>
  </si>
  <si>
    <t>38429943000107</t>
  </si>
  <si>
    <t>MICHEL PEREIRA BENINI 08867543997</t>
  </si>
  <si>
    <t>OTICA STELLA</t>
  </si>
  <si>
    <t>oticastellaadm@gmail.com</t>
  </si>
  <si>
    <t>03799466000197</t>
  </si>
  <si>
    <t>MICHELS RELOJOARIA E OTICA</t>
  </si>
  <si>
    <t>MICHELS RELOJOARIA E OTICA (1987)</t>
  </si>
  <si>
    <t>omichels@hotmail.com</t>
  </si>
  <si>
    <t>RUA CEL. PEDRO BENEDET</t>
  </si>
  <si>
    <t>522</t>
  </si>
  <si>
    <t>46424765000150</t>
  </si>
  <si>
    <t>MIRA JOALHERIA E OTICA LTDA</t>
  </si>
  <si>
    <t>OJO BY MR RAY (SAO JOSE)</t>
  </si>
  <si>
    <t>enzo@ojomrray.com.br</t>
  </si>
  <si>
    <t>RODOVIA BR-101</t>
  </si>
  <si>
    <t>LOJA 117</t>
  </si>
  <si>
    <t>20497781000189</t>
  </si>
  <si>
    <t>MODA OPTICA LTDA</t>
  </si>
  <si>
    <t>CRIS MODA OPTICA LTDA (2159)</t>
  </si>
  <si>
    <t>cris@crismodaoptica.com.br</t>
  </si>
  <si>
    <t>1085</t>
  </si>
  <si>
    <t>179</t>
  </si>
  <si>
    <t>02091400000185</t>
  </si>
  <si>
    <t>MONDO JOALHERIA E OPTICA LTDA</t>
  </si>
  <si>
    <t>MONDO JOALHERIA E OPTICA (2006)</t>
  </si>
  <si>
    <t>mondojoalheriaeoptica@hotmail.com</t>
  </si>
  <si>
    <t>RUA ARISTILIANO RAMOS</t>
  </si>
  <si>
    <t>539</t>
  </si>
  <si>
    <t>ORLEANS</t>
  </si>
  <si>
    <t>22543253000144</t>
  </si>
  <si>
    <t>MONIQUE VIEIRA SANTAROSA ME</t>
  </si>
  <si>
    <t>artedoolhar@hotmail.com</t>
  </si>
  <si>
    <t>209</t>
  </si>
  <si>
    <t>SL SLJ</t>
  </si>
  <si>
    <t>00953862000139</t>
  </si>
  <si>
    <t>MOVELMAQ EQUIP. P ESCRITORIO LT</t>
  </si>
  <si>
    <t>MOVELMAQ EQUIP. P ESCRITORIO LT (11199)</t>
  </si>
  <si>
    <t>CENTENARIO</t>
  </si>
  <si>
    <t>2657</t>
  </si>
  <si>
    <t>19284380000161</t>
  </si>
  <si>
    <t>MPCLASS OTICA E JOALHERIA LTA ME</t>
  </si>
  <si>
    <t>MPCLASS  JOALHERIA  E OTICA (2086)</t>
  </si>
  <si>
    <t>PASKI@TERRA.COM.BR</t>
  </si>
  <si>
    <t>1885</t>
  </si>
  <si>
    <t>44575689000158</t>
  </si>
  <si>
    <t>MRA OPTICA LTDA</t>
  </si>
  <si>
    <t>MERCADÃO DOS OCULOS (4476)</t>
  </si>
  <si>
    <t>MDOIMBITUBA@OUTLOOK.COM</t>
  </si>
  <si>
    <t>589</t>
  </si>
  <si>
    <t>27616711000141</t>
  </si>
  <si>
    <t>MS OPTICA EIRELI - ME</t>
  </si>
  <si>
    <t>OPTICA VISUAL (3787)</t>
  </si>
  <si>
    <t>opticavisualfinanceiro@gmail.com</t>
  </si>
  <si>
    <t>RUA R EMILIANO SA</t>
  </si>
  <si>
    <t>ARMAZÉM</t>
  </si>
  <si>
    <t>39628933000163</t>
  </si>
  <si>
    <t>MS OTICA LTDA</t>
  </si>
  <si>
    <t>OTICAS SUL SC (4412)</t>
  </si>
  <si>
    <t>OTICASSULSC@GMAIL.COM</t>
  </si>
  <si>
    <t>488</t>
  </si>
  <si>
    <t>SALA 002A</t>
  </si>
  <si>
    <t>39628933000244</t>
  </si>
  <si>
    <t>OTICAS SUL SC (4439)</t>
  </si>
  <si>
    <t>207</t>
  </si>
  <si>
    <t>09130888000151</t>
  </si>
  <si>
    <t>MULTIPLOS COMERCIO E CONSERTO DE OCULOS E JOIAS LTDA</t>
  </si>
  <si>
    <t>MULTIPLOS OCULOS (1387)</t>
  </si>
  <si>
    <t>multiplosconsertos@gmail.com</t>
  </si>
  <si>
    <t>SL 15</t>
  </si>
  <si>
    <t>22543253000225</t>
  </si>
  <si>
    <t>MVS COMERCIO DE OPTICA LTDA</t>
  </si>
  <si>
    <t>OPTICA FIT MASTER (4631)</t>
  </si>
  <si>
    <t>FITMASTER_K@OUTLOOK.COM</t>
  </si>
  <si>
    <t>32936204000125</t>
  </si>
  <si>
    <t>NACLEUZA VAVASSORI 75057964968</t>
  </si>
  <si>
    <t>ATELIER VIP (3982)</t>
  </si>
  <si>
    <t>cleo_vas@yahoo.com.br</t>
  </si>
  <si>
    <t>RUA SRV MARIA DA GLORIA DE MELO</t>
  </si>
  <si>
    <t>80457534000261</t>
  </si>
  <si>
    <t>NCR MATERIAIS E EQUIPAMENTOS LTDA</t>
  </si>
  <si>
    <t>NCR ELETRONICA (11192)</t>
  </si>
  <si>
    <t>PRES KENNEDY</t>
  </si>
  <si>
    <t>39288122000160</t>
  </si>
  <si>
    <t>NERY INACIO EZEQUIEL BARTH LTDA</t>
  </si>
  <si>
    <t>OTICA COQUEIROS (4441)</t>
  </si>
  <si>
    <t>OPTICACOQUEIROS@GMAIL.COM</t>
  </si>
  <si>
    <t>1468</t>
  </si>
  <si>
    <t>SALA01</t>
  </si>
  <si>
    <t>43609286000110</t>
  </si>
  <si>
    <t>NEXUS COMERCIO DE OPTICOS LTDA</t>
  </si>
  <si>
    <t>OTICA NEXUS (4418)</t>
  </si>
  <si>
    <t>OTICASNEXUS@GMAIL.COM</t>
  </si>
  <si>
    <t>RUA CAETANO LUMMERTZ</t>
  </si>
  <si>
    <t>456</t>
  </si>
  <si>
    <t>10955053000110</t>
  </si>
  <si>
    <t>NICE ACESSORIOS LTDA</t>
  </si>
  <si>
    <t>OPTICA POPULAR (4203)</t>
  </si>
  <si>
    <t>oticapopular_sr@hotmail.com</t>
  </si>
  <si>
    <t>33649925000117</t>
  </si>
  <si>
    <t>NILOFLORIPA OTICA EIRELI</t>
  </si>
  <si>
    <t>OTICA DINIZ (4010)</t>
  </si>
  <si>
    <t>472</t>
  </si>
  <si>
    <t>33649925000206</t>
  </si>
  <si>
    <t>NILOFLORIPA OTICA LTDA</t>
  </si>
  <si>
    <t>OTICA DINIZ (4608)</t>
  </si>
  <si>
    <t>AUXILIAR.CAIXA@OTICADINIZFLORIPA.COM.BR</t>
  </si>
  <si>
    <t>21206581000192</t>
  </si>
  <si>
    <t>NILSON MARCHIORO JUNIOR ME</t>
  </si>
  <si>
    <t>VISÓTICA (2188)</t>
  </si>
  <si>
    <t>VISOTICAJURERE@HOTMAIL.COM</t>
  </si>
  <si>
    <t>RUA DOS BUZIOS</t>
  </si>
  <si>
    <t>1760</t>
  </si>
  <si>
    <t>LOJA 9 TORRE 1</t>
  </si>
  <si>
    <t>JURERE INTERNACIONAL</t>
  </si>
  <si>
    <t>29910744000125</t>
  </si>
  <si>
    <t>NILTON AUGUSTO FERREIRA 91074789920</t>
  </si>
  <si>
    <t>USA RELOGIOS E ACESSORIOS (4103)</t>
  </si>
  <si>
    <t>ADM.NILTON@GMAIL.COM</t>
  </si>
  <si>
    <t>SALVADOR DI BERNARDI</t>
  </si>
  <si>
    <t>APTO 403</t>
  </si>
  <si>
    <t>05642460000137</t>
  </si>
  <si>
    <t>NOELY SOARES ME</t>
  </si>
  <si>
    <t>STAR PRATAS RELOJOARIA E OTICA (2103)</t>
  </si>
  <si>
    <t>starpratas1@hotmail.com</t>
  </si>
  <si>
    <t>RUA LUCIO BORN</t>
  </si>
  <si>
    <t>55</t>
  </si>
  <si>
    <t>01209544000120</t>
  </si>
  <si>
    <t>NORMA FERRO DE SOUZA ME</t>
  </si>
  <si>
    <t>OTICA SOUZA (1029)</t>
  </si>
  <si>
    <t>404</t>
  </si>
  <si>
    <t>97530529000159</t>
  </si>
  <si>
    <t>NORMA PIRES DE SOUZA ME</t>
  </si>
  <si>
    <t>OTICA SOUZA (1861)</t>
  </si>
  <si>
    <t>OTICASOUZA@GMAIL.COM</t>
  </si>
  <si>
    <t>1244</t>
  </si>
  <si>
    <t>17849331000284</t>
  </si>
  <si>
    <t>NOVA CIELO ACESSORIOS DE MODA LTDA</t>
  </si>
  <si>
    <t>CHILLI BEANS (4525)</t>
  </si>
  <si>
    <t>17849331000101</t>
  </si>
  <si>
    <t>CHILLI BEANS (4187)</t>
  </si>
  <si>
    <t>otica.itaguacu@gmail.com</t>
  </si>
  <si>
    <t>244 SH ITAGUACU</t>
  </si>
  <si>
    <t>48252834000110</t>
  </si>
  <si>
    <t>OC BEIRAMAR COMERCIO DE PRODUTOS OTICOS LTDA</t>
  </si>
  <si>
    <t>OTICAS CAROL BEIRAMAR SH (4760)</t>
  </si>
  <si>
    <t>75306902000150</t>
  </si>
  <si>
    <t>ODARI JUSTINO GUERO ME</t>
  </si>
  <si>
    <t>JOALHERIA OTICA GUERO (589)</t>
  </si>
  <si>
    <t>07908795000180</t>
  </si>
  <si>
    <t>ODITE SOUZA PRADO</t>
  </si>
  <si>
    <t>OTICA TADEU (912)</t>
  </si>
  <si>
    <t>thadeuoptica@hotmail.com</t>
  </si>
  <si>
    <t>50973837000195</t>
  </si>
  <si>
    <t>OF PRAIA DO SONHO LTDA</t>
  </si>
  <si>
    <t>OTICAS FERRI (4748)</t>
  </si>
  <si>
    <t>LABORATORIO@OTICASFERRI.COM.BR</t>
  </si>
  <si>
    <t>EVADIO PAULO BROERING</t>
  </si>
  <si>
    <t>PRAIA DO SONHO</t>
  </si>
  <si>
    <t>51288120000177</t>
  </si>
  <si>
    <t>OLIVEIRA COMERCIO DE PRODUTOS OTICOS LTDA</t>
  </si>
  <si>
    <t>JOALHERIA E OTICA CRISTAL (4767)</t>
  </si>
  <si>
    <t>CA.DUARTEOLIVEIRA@GMAIL.COM</t>
  </si>
  <si>
    <t>RUA VENANCIO BORGES DE CARVALHO</t>
  </si>
  <si>
    <t>352</t>
  </si>
  <si>
    <t>BOM JARDIM DA SERRA</t>
  </si>
  <si>
    <t>24544198000132</t>
  </si>
  <si>
    <t>OLIVEIRA COMERCIO OTICO LTDA ME</t>
  </si>
  <si>
    <t>OTICA PERFEICAO (3304)</t>
  </si>
  <si>
    <t>oticamastercolor@hotmail.com</t>
  </si>
  <si>
    <t>2900</t>
  </si>
  <si>
    <t>04782640000151</t>
  </si>
  <si>
    <t>OLIVEIRA E JAEGER LTDA - ME</t>
  </si>
  <si>
    <t>MASTERCOLOR (108)</t>
  </si>
  <si>
    <t>2780</t>
  </si>
  <si>
    <t>93377570000186</t>
  </si>
  <si>
    <t>OMAR VITORETI PEREIRA</t>
  </si>
  <si>
    <t>OMAR VITORETI PEREIRA (1741)</t>
  </si>
  <si>
    <t>reloticabrilhante@hotmail.com</t>
  </si>
  <si>
    <t>RUA FRANCISCO HIPOLITO ROLIM</t>
  </si>
  <si>
    <t>663</t>
  </si>
  <si>
    <t>TRÊS CACHOEIRAS</t>
  </si>
  <si>
    <t>31432510000161</t>
  </si>
  <si>
    <t>OPTICA CIDA LTDA</t>
  </si>
  <si>
    <t>OTICA CIDA (4006)</t>
  </si>
  <si>
    <t>VALDIR.KALIBRA@GMAIL.COM</t>
  </si>
  <si>
    <t>13592633000188</t>
  </si>
  <si>
    <t>OPTICA E JOALHERIA FRITZEN LTDA</t>
  </si>
  <si>
    <t>OPTICA E JOALHERIA FRITZEN LTDA (1826)</t>
  </si>
  <si>
    <t>oticafritzen-sl@hotmail.com</t>
  </si>
  <si>
    <t>RUA JOAO WESSLER</t>
  </si>
  <si>
    <t>149</t>
  </si>
  <si>
    <t>07079028000105</t>
  </si>
  <si>
    <t>OPTICA E JOALHERIA LAPIDARE LTDA</t>
  </si>
  <si>
    <t>OPTICA E JOALHERIA LAPIDARE LTDA (642)</t>
  </si>
  <si>
    <t>lapidare@hotmail.com</t>
  </si>
  <si>
    <t>CAL TULIO FIUZA DE CARVALHO</t>
  </si>
  <si>
    <t>20694225000100</t>
  </si>
  <si>
    <t>OPTICA E RELOJOARIA GHENO LTDA</t>
  </si>
  <si>
    <t>OPTICA E RELOJOARIA GHENO (2153)</t>
  </si>
  <si>
    <t>OPTICASGHENO@GMAIL.COM</t>
  </si>
  <si>
    <t>223</t>
  </si>
  <si>
    <t>08674381000104</t>
  </si>
  <si>
    <t>OPTICA E RELOJOARIA GREICY LTDA -ME</t>
  </si>
  <si>
    <t>OPTICA E RELOJOARIA GREICY LTDA -ME (1668)</t>
  </si>
  <si>
    <t>greicyisidoro@bol.com.br</t>
  </si>
  <si>
    <t>RUA DR VALDIR COTRIN</t>
  </si>
  <si>
    <t>258</t>
  </si>
  <si>
    <t>LAURO MÜLLER</t>
  </si>
  <si>
    <t>24533995000114</t>
  </si>
  <si>
    <t>OPTICA FERRAZ LTDA</t>
  </si>
  <si>
    <t>OPTICA FERRAZ (3894)</t>
  </si>
  <si>
    <t>opticaferraz@gmail.com</t>
  </si>
  <si>
    <t>RUA JOAQUIM PORTO</t>
  </si>
  <si>
    <t>527</t>
  </si>
  <si>
    <t>33141233000163</t>
  </si>
  <si>
    <t>OPTICA GOLDIN COMERCIO DE ARTIGOS DE OPTICA LTDA</t>
  </si>
  <si>
    <t>OTICA GOLDIN (4224)</t>
  </si>
  <si>
    <t>danigoudinside@gmail.com</t>
  </si>
  <si>
    <t>RUA PREFEITO REINOLDO ALVES</t>
  </si>
  <si>
    <t>LOJA 39</t>
  </si>
  <si>
    <t>08613703000288</t>
  </si>
  <si>
    <t>OPTICA JUNG LTDA</t>
  </si>
  <si>
    <t>OPTICA JUNG (1816)</t>
  </si>
  <si>
    <t>vendas1@opticajung.com.br</t>
  </si>
  <si>
    <t>RUA CORONEL CORDOVA</t>
  </si>
  <si>
    <t>04786399000139</t>
  </si>
  <si>
    <t>OPTICA NERIS LTDA ME</t>
  </si>
  <si>
    <t>OPTICA NERIS LTDA ME  (893)</t>
  </si>
  <si>
    <t>EDNA@WOLFF.CNT.BR</t>
  </si>
  <si>
    <t>LUIZ DE CAMOES</t>
  </si>
  <si>
    <t>715</t>
  </si>
  <si>
    <t>SALA 711</t>
  </si>
  <si>
    <t>07949590000142</t>
  </si>
  <si>
    <t>OPTICA OCULARE COMERCIO DE OCULOS LTDA</t>
  </si>
  <si>
    <t>OCULARE OPTICA (881)</t>
  </si>
  <si>
    <t>oculare@opticaoculare.com.br</t>
  </si>
  <si>
    <t>RUA ALTAMIRO GUIMARAES</t>
  </si>
  <si>
    <t>924</t>
  </si>
  <si>
    <t>OFICINAS</t>
  </si>
  <si>
    <t>46832712000178</t>
  </si>
  <si>
    <t>OPTICA OFICINAS LTDA</t>
  </si>
  <si>
    <t>MERCADAO DOS OCULOS OFICINAS (4550)</t>
  </si>
  <si>
    <t>MDOTBOFICINAS@GMAIL.COM</t>
  </si>
  <si>
    <t>960</t>
  </si>
  <si>
    <t>03072835000145</t>
  </si>
  <si>
    <t>OPTICA PONTO DE VISTA LTDA - ME</t>
  </si>
  <si>
    <t>OTICA PONTO DE VISTA (1134)</t>
  </si>
  <si>
    <t>oticapontodevista@globomail.com</t>
  </si>
  <si>
    <t>RODOVIA VIRGILIO VARZEA</t>
  </si>
  <si>
    <t>05857766000100</t>
  </si>
  <si>
    <t>OPTICA REFERENCIA LTDA  ME</t>
  </si>
  <si>
    <t>OPTICA REFERENCIA LTDA ME  (411)</t>
  </si>
  <si>
    <t>ESCRITORIO.REFERENCIA@HOTMAIL.COM</t>
  </si>
  <si>
    <t>1474</t>
  </si>
  <si>
    <t>05857766000291</t>
  </si>
  <si>
    <t>OPTICA REFERENCIA LTDA ME</t>
  </si>
  <si>
    <t>OPTICA REFERENCIA LTDA ME  (880)</t>
  </si>
  <si>
    <t>confianca01@globo.com</t>
  </si>
  <si>
    <t>582</t>
  </si>
  <si>
    <t>TÉRREO</t>
  </si>
  <si>
    <t>46637360000108</t>
  </si>
  <si>
    <t>OPTICA REVOLUCAO LTDA</t>
  </si>
  <si>
    <t>OPTICA REVOLUCAO (4541)</t>
  </si>
  <si>
    <t>OPTICAREVOLUCAO@GMAIL.COM</t>
  </si>
  <si>
    <t>138</t>
  </si>
  <si>
    <t>SALA:1</t>
  </si>
  <si>
    <t>40274689000167</t>
  </si>
  <si>
    <t>OPTICA SANTO LTDA</t>
  </si>
  <si>
    <t>OPTICA SANTO (4273)</t>
  </si>
  <si>
    <t>SABRINAOPTOMETRISTA@GMAIL.COM</t>
  </si>
  <si>
    <t>14081732000168</t>
  </si>
  <si>
    <t>OPTICA SIRIO E ROSANA LTDA</t>
  </si>
  <si>
    <t>OPTICA FUTURA (1846)</t>
  </si>
  <si>
    <t>oticafutura@gmail.com</t>
  </si>
  <si>
    <t>RODOVIA JOAO GUALBERTO SOARES</t>
  </si>
  <si>
    <t>96</t>
  </si>
  <si>
    <t>317</t>
  </si>
  <si>
    <t>45871194000139</t>
  </si>
  <si>
    <t>OPTICA VIEIRA LTDA</t>
  </si>
  <si>
    <t>OPTICA BRASIL</t>
  </si>
  <si>
    <t>oticasbrasillages@gmail.com</t>
  </si>
  <si>
    <t>44591067000113</t>
  </si>
  <si>
    <t>OPTICA VISAO VIP LTDA</t>
  </si>
  <si>
    <t>OPTICA VISAO VIP</t>
  </si>
  <si>
    <t>visaovipotica@gmail.com</t>
  </si>
  <si>
    <t>RUA SOUZA DUTRA</t>
  </si>
  <si>
    <t>24122716000120</t>
  </si>
  <si>
    <t>OPTIMUS COMERCIO VAREJ DE ART DE OPTICA LTDA ME</t>
  </si>
  <si>
    <t>SUPER OPTICA SAO JOSE (3300)</t>
  </si>
  <si>
    <t>floripasaojose@superoticasaojose.com.br</t>
  </si>
  <si>
    <t>85372258000171</t>
  </si>
  <si>
    <t>OPTOFLEX COMERCIO DE PRODUTOS OPTICOS LTDA</t>
  </si>
  <si>
    <t>OPTOFLEX (3961)</t>
  </si>
  <si>
    <t>goots@bol.com.br</t>
  </si>
  <si>
    <t>6256</t>
  </si>
  <si>
    <t>473</t>
  </si>
  <si>
    <t>14186954000145</t>
  </si>
  <si>
    <t>ORB COMERCIO VAREJISTA DE ARTIGOS OTICOS LTDA  EPP</t>
  </si>
  <si>
    <t>O.R.B. OTICA RIO BRANCO (1848)</t>
  </si>
  <si>
    <t>SL 801 BOX 23</t>
  </si>
  <si>
    <t>77907988000100</t>
  </si>
  <si>
    <t>ORIENTE RELOJOARIA E OTICA LTDA ME</t>
  </si>
  <si>
    <t>RELOJOARIA ORIENTE (263)</t>
  </si>
  <si>
    <t>orientrelojoariaeotica@hotmail.com</t>
  </si>
  <si>
    <t>555</t>
  </si>
  <si>
    <t>50909228000177</t>
  </si>
  <si>
    <t>OSHER OPTICA COMERCIO DE PRODUTOS LTDA</t>
  </si>
  <si>
    <t>OTICA OSHER (4736)</t>
  </si>
  <si>
    <t>FINANCEIRO@OTICAOSHER.COM.BR</t>
  </si>
  <si>
    <t>JOSE CARLOS DAUX</t>
  </si>
  <si>
    <t>5500</t>
  </si>
  <si>
    <t>B CAMPECHE C336</t>
  </si>
  <si>
    <t>28485963000222</t>
  </si>
  <si>
    <t>OSMARFORTE OTICA EIRELI - EPP</t>
  </si>
  <si>
    <t>OTICA DINIZ  (3855)</t>
  </si>
  <si>
    <t>28485963000141</t>
  </si>
  <si>
    <t>OTICA DINIZ (3856)</t>
  </si>
  <si>
    <t>gerente.financeiro@oticadinizfloripa.com.br</t>
  </si>
  <si>
    <t>01292214000141</t>
  </si>
  <si>
    <t>OSNI ROGERIO DOS SANTOS</t>
  </si>
  <si>
    <t>RELOJOARIA THAYSE (3356)</t>
  </si>
  <si>
    <t>thayserelojoaria@yahoo.com.br</t>
  </si>
  <si>
    <t>2747</t>
  </si>
  <si>
    <t>21394890000133</t>
  </si>
  <si>
    <t>OTICA A G D LTDA ME</t>
  </si>
  <si>
    <t>OTICA IPIRANGA (2181)</t>
  </si>
  <si>
    <t>oticaipirangaa@gmail.com</t>
  </si>
  <si>
    <t>RUA OTTO JULIO MALINA</t>
  </si>
  <si>
    <t>IPIRANGA</t>
  </si>
  <si>
    <t>04875676000180</t>
  </si>
  <si>
    <t>OTICA ABEL LTDA</t>
  </si>
  <si>
    <t>OTICA ABEL (140)</t>
  </si>
  <si>
    <t>OTICAABEL@GMAIL.COM</t>
  </si>
  <si>
    <t>JOSE BONIFÁCIO</t>
  </si>
  <si>
    <t>46348913000102</t>
  </si>
  <si>
    <t>OTICA AHOW LTDA</t>
  </si>
  <si>
    <t>OTICA AHOW</t>
  </si>
  <si>
    <t>chicohortaneto@gmail.com</t>
  </si>
  <si>
    <t>RUA RUA FELIPE SCHMIDT 249</t>
  </si>
  <si>
    <t>LOJA 115</t>
  </si>
  <si>
    <t>10746770000131</t>
  </si>
  <si>
    <t>OTICA ALBERTON LTDA ME</t>
  </si>
  <si>
    <t>OTICA ALBERTON LTDA ME (1323)</t>
  </si>
  <si>
    <t>paulogessermichels@hotmail.com</t>
  </si>
  <si>
    <t>RUA JOAO CECHINEL</t>
  </si>
  <si>
    <t>44065813000135</t>
  </si>
  <si>
    <t>OTICA ALICE LTDA</t>
  </si>
  <si>
    <t>OTICA ALICE</t>
  </si>
  <si>
    <t>marcio.omello@gmail.com</t>
  </si>
  <si>
    <t>RUA EDELBERTO DE OLIVEIRA</t>
  </si>
  <si>
    <t>MONTE CRISTO</t>
  </si>
  <si>
    <t>03962970000166</t>
  </si>
  <si>
    <t>OTICA ANNE LTDA ME</t>
  </si>
  <si>
    <t>OTICA ANNE (1217)</t>
  </si>
  <si>
    <t>oticavejacriciuma@hotmail.com</t>
  </si>
  <si>
    <t>RUA CONSELHEIRO JOAO ZANETE</t>
  </si>
  <si>
    <t>05936730000112</t>
  </si>
  <si>
    <t>OTICA BAIA SUL MEDICAL CENTER LTDA ME</t>
  </si>
  <si>
    <t>OTICA BAIA SUL (471)</t>
  </si>
  <si>
    <t>visotica.floripa@hotmail.com</t>
  </si>
  <si>
    <t>RUA MENINO DEUS</t>
  </si>
  <si>
    <t>BL. A LOJA 02 A</t>
  </si>
  <si>
    <t>00073920000130</t>
  </si>
  <si>
    <t>OTICA BEIRA MAR COMERCIAL LTDA  ME</t>
  </si>
  <si>
    <t>OTICA BEIRA MAR (1936)</t>
  </si>
  <si>
    <t>paulohlago@hotmail.com</t>
  </si>
  <si>
    <t>RUA IRINEU BORNHUSEM</t>
  </si>
  <si>
    <t>5288</t>
  </si>
  <si>
    <t>45910894000195</t>
  </si>
  <si>
    <t>OTICA BELLA VISIUM LTDA</t>
  </si>
  <si>
    <t>OTICA BELLA VISIUM (4581)</t>
  </si>
  <si>
    <t>OTCBELLAVISIUM22@GMAIL.COM</t>
  </si>
  <si>
    <t>BRASILIA</t>
  </si>
  <si>
    <t>384</t>
  </si>
  <si>
    <t>48033555000166</t>
  </si>
  <si>
    <t>OTICA BIGUA LTDA</t>
  </si>
  <si>
    <t>OTICAS CAROL (4574)</t>
  </si>
  <si>
    <t>11337017000155</t>
  </si>
  <si>
    <t>OTICA C ZANI LTDA ME</t>
  </si>
  <si>
    <t>OTICA ZANI (1726)</t>
  </si>
  <si>
    <t>OTICACZANI@HOTMAIL.COM</t>
  </si>
  <si>
    <t>DAS NAÇOES</t>
  </si>
  <si>
    <t>24897350000160</t>
  </si>
  <si>
    <t>OTICA CAPELLO EIRELI - ME</t>
  </si>
  <si>
    <t>OTICAS FERRI (3315)</t>
  </si>
  <si>
    <t>PESSOAL@SECURITYCONTABILIDADE.COM.BR</t>
  </si>
  <si>
    <t>30869961000289</t>
  </si>
  <si>
    <t>OTICA CONSELHEIRO MAFRA LTDA</t>
  </si>
  <si>
    <t>INSTITUTO DOS OCULOS (4293)</t>
  </si>
  <si>
    <t>FLORIPA2@INSTITUTODOSOCULOS.COM</t>
  </si>
  <si>
    <t>569</t>
  </si>
  <si>
    <t>83199786000145</t>
  </si>
  <si>
    <t>OTICA CRICIUMA LTDA</t>
  </si>
  <si>
    <t>OTICA CRICIUMA LTDA (285)</t>
  </si>
  <si>
    <t>oticacriciuma@hotmail.com</t>
  </si>
  <si>
    <t>TRAVESSA ENGENHEIRO BOA NOVA</t>
  </si>
  <si>
    <t>40160382000135</t>
  </si>
  <si>
    <t>OTICA CRICIUMA (4402)</t>
  </si>
  <si>
    <t>EMILYPNTRABALHO@GMAIL.COM</t>
  </si>
  <si>
    <t>RUA JORGE ELIAS DE LUCCA</t>
  </si>
  <si>
    <t>SALA 135</t>
  </si>
  <si>
    <t>76382050000142</t>
  </si>
  <si>
    <t>OTICA CRISTAL LENTE LTDA</t>
  </si>
  <si>
    <t>OTICA CRISTAL (286)</t>
  </si>
  <si>
    <t>oticacristal_ltda@hotmail.com</t>
  </si>
  <si>
    <t>515</t>
  </si>
  <si>
    <t>28915358000163</t>
  </si>
  <si>
    <t>OTICA E RELOJOARIA BEATRIZ LTDA</t>
  </si>
  <si>
    <t>OTICA E RELOJOARIA BEATRIZ (3851)</t>
  </si>
  <si>
    <t>oticabeatriz_imbuia@hotmail.com</t>
  </si>
  <si>
    <t>RUA CELSO RAMOS</t>
  </si>
  <si>
    <t>125</t>
  </si>
  <si>
    <t>IMBUIA</t>
  </si>
  <si>
    <t>83668046000100</t>
  </si>
  <si>
    <t>OTICA E RELOJOARIA DALEFFE LTDA  ME</t>
  </si>
  <si>
    <t>OTICA E RELOJOARIA DALEFFE LTDA ME (575)</t>
  </si>
  <si>
    <t>dionelio@daleffe.com.br</t>
  </si>
  <si>
    <t>2149</t>
  </si>
  <si>
    <t>50191183000148</t>
  </si>
  <si>
    <t>OTICA E RELOJOARIA ESTEIO LTDA</t>
  </si>
  <si>
    <t>OTICA ESTEIO (4695)</t>
  </si>
  <si>
    <t>OTICAESTEIOLAGUNA@HOTMAIL.COM</t>
  </si>
  <si>
    <t>27747464000112</t>
  </si>
  <si>
    <t>OTICA E RELOJOARIA PACHECO LTDA</t>
  </si>
  <si>
    <t>OTICA PACHECO (3804)</t>
  </si>
  <si>
    <t>oticapacheco@hotmail.com</t>
  </si>
  <si>
    <t>86530391000171</t>
  </si>
  <si>
    <t>OTICA E RELOJOARIA ROBERTA LTDA  EPP</t>
  </si>
  <si>
    <t>RELOJOARIA NANCY (1486)</t>
  </si>
  <si>
    <t>relojoarianancy@yahoo.com.br</t>
  </si>
  <si>
    <t>73763864000309</t>
  </si>
  <si>
    <t>OTICA E RELOJOARIA STURMER LTDA</t>
  </si>
  <si>
    <t>OPTICA LUNA (3985)</t>
  </si>
  <si>
    <t>aline907@hotmail.com</t>
  </si>
  <si>
    <t>ROD SC 434</t>
  </si>
  <si>
    <t>10841</t>
  </si>
  <si>
    <t>CAMPO DUNA</t>
  </si>
  <si>
    <t>73763864000139</t>
  </si>
  <si>
    <t>OTICA E RELOJOARIA STURMER LTDA ME</t>
  </si>
  <si>
    <t>LUNA OPTICA (654)</t>
  </si>
  <si>
    <t>financeiroluna@hotmail.com</t>
  </si>
  <si>
    <t>RUA TRINTA DE DEZEMBRO</t>
  </si>
  <si>
    <t>04504926000175</t>
  </si>
  <si>
    <t>OTICA ESPECIALISTA  LTDA</t>
  </si>
  <si>
    <t>OTICA ESPECIALISTA (1271)</t>
  </si>
  <si>
    <t>oticaespecialista_tc@yahoo.com.br</t>
  </si>
  <si>
    <t>RUA JOSE ROLIM DE MATOS</t>
  </si>
  <si>
    <t>07975206000186</t>
  </si>
  <si>
    <t>OTICA ESSENCIAL LTDA ME</t>
  </si>
  <si>
    <t>OTICA ESSENCIAL LTDA ME (1292)</t>
  </si>
  <si>
    <t>00275977000111</t>
  </si>
  <si>
    <t>OTICA ESTREITO COMERCIO DE PROD OPTICOS LTDA ME</t>
  </si>
  <si>
    <t>OTICA ESTREITO (774)</t>
  </si>
  <si>
    <t>oticaestreito@gmail.com</t>
  </si>
  <si>
    <t>RUA AFONSO PENA</t>
  </si>
  <si>
    <t>342</t>
  </si>
  <si>
    <t>17487762000167</t>
  </si>
  <si>
    <t>OTICA FELIPE SCHMIDT LTDA ME</t>
  </si>
  <si>
    <t>OTICA FELIPE SCHMIDT (1974)</t>
  </si>
  <si>
    <t>zuleideotica@gmail.com</t>
  </si>
  <si>
    <t>32768627000183</t>
  </si>
  <si>
    <t>OTICA FLORIPA CENTER LTDA</t>
  </si>
  <si>
    <t>OTICA FLORIPA CENTER (4282)</t>
  </si>
  <si>
    <t>OTICAFLORIPACENTER@GMAIL.COM</t>
  </si>
  <si>
    <t>BOX 14</t>
  </si>
  <si>
    <t>108</t>
  </si>
  <si>
    <t>95770426000130</t>
  </si>
  <si>
    <t>OTICA FOCCO LTDA ME</t>
  </si>
  <si>
    <t>OTICA FOCCO (477)</t>
  </si>
  <si>
    <t>oticafocco@yahoo.com.br</t>
  </si>
  <si>
    <t>LOJA 12</t>
  </si>
  <si>
    <t>26857396000181</t>
  </si>
  <si>
    <t>OTICA FRANCINE LTDA - ME</t>
  </si>
  <si>
    <t>OTICA FRANCINE (3796)</t>
  </si>
  <si>
    <t>898</t>
  </si>
  <si>
    <t>02050997000110</t>
  </si>
  <si>
    <t>OTICA FRANCINE LTDA ME</t>
  </si>
  <si>
    <t>OTICA FRANCINE (1047)</t>
  </si>
  <si>
    <t>oticafrancine@gmail.com</t>
  </si>
  <si>
    <t>BELA VISTA II</t>
  </si>
  <si>
    <t>30395617000114</t>
  </si>
  <si>
    <t>OTICA FUNAGOSHI EIRELI</t>
  </si>
  <si>
    <t>OTICA VIA VISAO (4313)</t>
  </si>
  <si>
    <t>LAGES.VIAVISAO@GMAIL.COM</t>
  </si>
  <si>
    <t>592</t>
  </si>
  <si>
    <t>49850438000158</t>
  </si>
  <si>
    <t>OTICA GRATTI LTDA</t>
  </si>
  <si>
    <t>OTICA GRATTI LTDA (4770)</t>
  </si>
  <si>
    <t>OTICAGRATTI@GMAIL.COM</t>
  </si>
  <si>
    <t>ROD SC 443 KM 02</t>
  </si>
  <si>
    <t>2405</t>
  </si>
  <si>
    <t>47724550000117</t>
  </si>
  <si>
    <t>OTICA HELLEN ALVEZ VIERA LTDA</t>
  </si>
  <si>
    <t>OTICA HELLEN (4593)</t>
  </si>
  <si>
    <t>OTICAHELLENFLORIPA@GMAIL.COM</t>
  </si>
  <si>
    <t>JOAO GUALBERTO SOARES</t>
  </si>
  <si>
    <t>8204</t>
  </si>
  <si>
    <t>RIO VERMELHO</t>
  </si>
  <si>
    <t>43096041000136</t>
  </si>
  <si>
    <t>OTICA HORIZONTE LTDA</t>
  </si>
  <si>
    <t>OTICA HORIZONTE (4380)</t>
  </si>
  <si>
    <t>EDINEYSOUZA2015@GMAIL.COM</t>
  </si>
  <si>
    <t>26665597000187</t>
  </si>
  <si>
    <t>OTICA IMBITUBA LTDA ME</t>
  </si>
  <si>
    <t>OTICA IMBITUBA LTDA ME (3366)</t>
  </si>
  <si>
    <t>OTICAEDUARDO@HOTMAIL.COM</t>
  </si>
  <si>
    <t>216</t>
  </si>
  <si>
    <t>10743812000180</t>
  </si>
  <si>
    <t>OTICA JULIA LTDA ME</t>
  </si>
  <si>
    <t>OTICA JULIA LTDA ME (1381)</t>
  </si>
  <si>
    <t>RUA R: ALBERTO BURIGO</t>
  </si>
  <si>
    <t>MELEIRO</t>
  </si>
  <si>
    <t>01197954000107</t>
  </si>
  <si>
    <t>OTICA JURERE EIRELI - ME</t>
  </si>
  <si>
    <t>JURERE OPTICA (1776)</t>
  </si>
  <si>
    <t>oticajurere@gmail.com</t>
  </si>
  <si>
    <t>RUA DANIEL PETRY</t>
  </si>
  <si>
    <t>41828953000120</t>
  </si>
  <si>
    <t>OTICA LAURA LTDA</t>
  </si>
  <si>
    <t>MERCADAO DOS OCULOS (4370)</t>
  </si>
  <si>
    <t>SC-ORLEANS@MERCADAODOSOCULOS.COM.BR</t>
  </si>
  <si>
    <t>RUA JOSE ANTUNES MATTOS</t>
  </si>
  <si>
    <t>33924083000164</t>
  </si>
  <si>
    <t>OTICA LAYS LTDA</t>
  </si>
  <si>
    <t>OTICA LAYS (4031)</t>
  </si>
  <si>
    <t>DEBORALEONARDO25@GMAIL.COM</t>
  </si>
  <si>
    <t>CONEGO ITAMAR LUIZ DA COSTA</t>
  </si>
  <si>
    <t>994</t>
  </si>
  <si>
    <t>42528287000177</t>
  </si>
  <si>
    <t>OTICA LEUNORA LTDA</t>
  </si>
  <si>
    <t>MERCADAO DOS OCULOS GAROPABA (4389)</t>
  </si>
  <si>
    <t>SC-GAROPABA@MERCADAODOSOCULOS.COM.BR</t>
  </si>
  <si>
    <t>81327579000101</t>
  </si>
  <si>
    <t>OTICA LINO LTDA ME</t>
  </si>
  <si>
    <t>LINO RELOJOARIA E OTICA LTDA (213)</t>
  </si>
  <si>
    <t>oticalinosc@hotmail.com</t>
  </si>
  <si>
    <t>21250660000109</t>
  </si>
  <si>
    <t>OTICA LUX COMERCIO DE ARTIGOS OPTICOS LTDA</t>
  </si>
  <si>
    <t>OTICA LUX (3332)</t>
  </si>
  <si>
    <t>oticalux@outlook.com</t>
  </si>
  <si>
    <t>80735947000180</t>
  </si>
  <si>
    <t>OTICA LUZ LTDA</t>
  </si>
  <si>
    <t>OTICA LUZ MATRIZ (986)</t>
  </si>
  <si>
    <t>oticaluzescritorio@gmail.com</t>
  </si>
  <si>
    <t>03787433000127</t>
  </si>
  <si>
    <t>OTICA MAIS LTDA EPP</t>
  </si>
  <si>
    <t>OTICA MAIS (1207)</t>
  </si>
  <si>
    <t>oticamaisorleans@gmail.com</t>
  </si>
  <si>
    <t>PRACA CELSO RAMOS</t>
  </si>
  <si>
    <t>37124778000112</t>
  </si>
  <si>
    <t>OTICA MAXI ECONOMICA LTDA</t>
  </si>
  <si>
    <t>OTICA MAXI ECONOMICA (4172)</t>
  </si>
  <si>
    <t>OTICAMAXITUBARAO@GMAIL.COM</t>
  </si>
  <si>
    <t>RODOVALHO</t>
  </si>
  <si>
    <t>SL 1 ED PERESSO</t>
  </si>
  <si>
    <t>25402715000100</t>
  </si>
  <si>
    <t>OTICA MEURER EIRELI - ME</t>
  </si>
  <si>
    <t>OTICA MEURER (3339)</t>
  </si>
  <si>
    <t>oticameurersl@hotmail.com</t>
  </si>
  <si>
    <t>78811874000116</t>
  </si>
  <si>
    <t>OTICA MIAMI LTDA</t>
  </si>
  <si>
    <t>OTICA MIAMI (325)</t>
  </si>
  <si>
    <t>zedoestreito@gmail.com</t>
  </si>
  <si>
    <t>162</t>
  </si>
  <si>
    <t>75486829000145</t>
  </si>
  <si>
    <t>OTICA MICHELS LTDA</t>
  </si>
  <si>
    <t>MICHELS MATRIZ - CRICIUMA (326)</t>
  </si>
  <si>
    <t>490</t>
  </si>
  <si>
    <t>07653861000118</t>
  </si>
  <si>
    <t>OTICA MIGUEL LTDA ME</t>
  </si>
  <si>
    <t>OTICA MIGUEL LTDA ME (822)</t>
  </si>
  <si>
    <t>oticamiguel@outlook.com</t>
  </si>
  <si>
    <t>AVENIDA CORONEL JOAO FERNDES</t>
  </si>
  <si>
    <t>SL 01 E 02</t>
  </si>
  <si>
    <t>05693104000142</t>
  </si>
  <si>
    <t>OTICA MILLENIUM LTDA</t>
  </si>
  <si>
    <t>OTICA MILLENIUM LTDA (1740)</t>
  </si>
  <si>
    <t>otica.milenio@hotmail.com</t>
  </si>
  <si>
    <t>83901512000156</t>
  </si>
  <si>
    <t>OTICA MONTREAL LTDA</t>
  </si>
  <si>
    <t>MONTREAL(F.S.51) (332)</t>
  </si>
  <si>
    <t>financeiro1@oticamontreal.com.br</t>
  </si>
  <si>
    <t>RUA ALVES DE BRITO</t>
  </si>
  <si>
    <t>14892606000193</t>
  </si>
  <si>
    <t>OTICA NANY LTDA ME</t>
  </si>
  <si>
    <t>OTICA NANY (1876)</t>
  </si>
  <si>
    <t>nfe@xmlspc.com.br</t>
  </si>
  <si>
    <t>RUA ERNANI COTRIN</t>
  </si>
  <si>
    <t>20037372000108</t>
  </si>
  <si>
    <t>OTICA NEW GLAS EIRELI ME</t>
  </si>
  <si>
    <t>OTICA DINIZ (2110)</t>
  </si>
  <si>
    <t>daniele.costa@oticasdinizsul.com.br</t>
  </si>
  <si>
    <t>20037372000361</t>
  </si>
  <si>
    <t>OTICA NEW GLASS EIRELI - EPP</t>
  </si>
  <si>
    <t>OTICA DINIZ LAGUNA  (3788)</t>
  </si>
  <si>
    <t>ATENDIMENTO@OTICASDINIZSUL.COM.BR</t>
  </si>
  <si>
    <t>20037372000280</t>
  </si>
  <si>
    <t>OTICA NEW GLASS EIRELI ME</t>
  </si>
  <si>
    <t>OTICA DINIZ (2213)</t>
  </si>
  <si>
    <t>51400613000157</t>
  </si>
  <si>
    <t>OTICA NOVO OLHAR LTDA</t>
  </si>
  <si>
    <t>OTICA NOVO OLHAR (4751)</t>
  </si>
  <si>
    <t>OTICANOVOOLHAROFICIAL@GMAIL.COM</t>
  </si>
  <si>
    <t>RUA CORONEL TEIXEIRA DE OLIVEIRA</t>
  </si>
  <si>
    <t>277</t>
  </si>
  <si>
    <t>SALA 03 A</t>
  </si>
  <si>
    <t>45002890000109</t>
  </si>
  <si>
    <t>OTICA ODARA COM VAR ART DE OPTICA LTDA</t>
  </si>
  <si>
    <t>OTICA ODARA</t>
  </si>
  <si>
    <t>oticadaraadm@gmail.com</t>
  </si>
  <si>
    <t>AVENIDA IRINEU BORNHAUSEN</t>
  </si>
  <si>
    <t>LOJA B2</t>
  </si>
  <si>
    <t>33789436000160</t>
  </si>
  <si>
    <t>OTICA OLHARES LTDA</t>
  </si>
  <si>
    <t>OTICA OLHARES (4012)</t>
  </si>
  <si>
    <t>oticaolhares1@gmail.com</t>
  </si>
  <si>
    <t>RUA RUA CORONEL BERNADINO MACHADO</t>
  </si>
  <si>
    <t>27245191000108</t>
  </si>
  <si>
    <t>OTICA OLIVEIRA LTDA</t>
  </si>
  <si>
    <t>OTICA OLIVEIRA LTDA ME (3372)</t>
  </si>
  <si>
    <t>otica_oliveiraltda@outlook.com</t>
  </si>
  <si>
    <t>08361365000153</t>
  </si>
  <si>
    <t>OTICA OSL LTDA</t>
  </si>
  <si>
    <t>JOALHERIA OTICA SANTA LUZIA (992)</t>
  </si>
  <si>
    <t>marlosfveras@gmail.com</t>
  </si>
  <si>
    <t>21795423000115</t>
  </si>
  <si>
    <t>OTICA OSLK LTDA ME</t>
  </si>
  <si>
    <t>OTICA SANTA LUZIA (2209)</t>
  </si>
  <si>
    <t>SANTALUZIAKOBRASOL@GMAIL.COM</t>
  </si>
  <si>
    <t>33487479000191</t>
  </si>
  <si>
    <t>OTICA OUSAR LTDA</t>
  </si>
  <si>
    <t>OTICA OUSAR (4015)</t>
  </si>
  <si>
    <t>financeiro.ousar@gmail.com</t>
  </si>
  <si>
    <t>228</t>
  </si>
  <si>
    <t>86857091000100</t>
  </si>
  <si>
    <t>OTICA PALHOÇA LTDA ME</t>
  </si>
  <si>
    <t>OTICA PALHOÇA  (712)</t>
  </si>
  <si>
    <t>OTICAPALHOCA@HOTMAIL.COM</t>
  </si>
  <si>
    <t>2855</t>
  </si>
  <si>
    <t>41609963000174</t>
  </si>
  <si>
    <t>OTICA PEDRA BRANCA LTDA</t>
  </si>
  <si>
    <t>OTICA PEDRA BRANCA (4338)</t>
  </si>
  <si>
    <t>OTICAPEDRABRANCA@GMAIL.COM</t>
  </si>
  <si>
    <t>DAS UNIVERSIDADES</t>
  </si>
  <si>
    <t>89</t>
  </si>
  <si>
    <t>LJ 3 TRAVERTINO</t>
  </si>
  <si>
    <t>PEDRA BRANCA</t>
  </si>
  <si>
    <t>03072835000307</t>
  </si>
  <si>
    <t>OTICA PONTO DE VISTA LTDA</t>
  </si>
  <si>
    <t>OTICA PONTO DE VISTA (4091)</t>
  </si>
  <si>
    <t>RODOVIA RODOVIA ARMANDO CALIL BULOS</t>
  </si>
  <si>
    <t>5405</t>
  </si>
  <si>
    <t>SC403 LOJA 04</t>
  </si>
  <si>
    <t>04963651000138</t>
  </si>
  <si>
    <t>OTICA PROTECAO LTDA ME</t>
  </si>
  <si>
    <t>OTICA DIMENSAO (141)</t>
  </si>
  <si>
    <t>1028</t>
  </si>
  <si>
    <t>10235388000163</t>
  </si>
  <si>
    <t>OTICA R.D.A. LTDA ME</t>
  </si>
  <si>
    <t>OTICAS CAROL (1749)</t>
  </si>
  <si>
    <t>oticascarolcriciuma@hotmail.com</t>
  </si>
  <si>
    <t>1860</t>
  </si>
  <si>
    <t>SANTA LUZIA</t>
  </si>
  <si>
    <t>85292241000104</t>
  </si>
  <si>
    <t>OTICA RAMOS LTDA ME</t>
  </si>
  <si>
    <t>OTICA RAMOS LTDA ME (347)</t>
  </si>
  <si>
    <t>oticaramos@mkm.net.br</t>
  </si>
  <si>
    <t>RUA SENADOR NEREU RAMOS</t>
  </si>
  <si>
    <t>1186</t>
  </si>
  <si>
    <t>BRACO DO NORTE</t>
  </si>
  <si>
    <t>50981732000188</t>
  </si>
  <si>
    <t>OTICA RARITA LTDA.</t>
  </si>
  <si>
    <t>OTICAS RARITA (4765)</t>
  </si>
  <si>
    <t>FERNANDA@OTICASRARITA.COM.BR</t>
  </si>
  <si>
    <t>RUA DR. VALDIR COTRIN</t>
  </si>
  <si>
    <t>06932838000108</t>
  </si>
  <si>
    <t>OTICA REDIVO LTDA ME</t>
  </si>
  <si>
    <t>OTICA REDIVO (1817)</t>
  </si>
  <si>
    <t>oticaredivo@hotmail.com</t>
  </si>
  <si>
    <t>04322530000107</t>
  </si>
  <si>
    <t>OTICA RELOJOARIA E JOALHERIA FLORIPA LTDA  ME</t>
  </si>
  <si>
    <t>OTICA FLORIPA (1259)</t>
  </si>
  <si>
    <t>oticafloripa@hotmail.com</t>
  </si>
  <si>
    <t>RUA TRAJANO</t>
  </si>
  <si>
    <t>LOJA 4 TERREO</t>
  </si>
  <si>
    <t>45230370000153</t>
  </si>
  <si>
    <t>OTICA RIO BRANCO BIGUACU LTDA</t>
  </si>
  <si>
    <t>laboratorio@oticariobranco.com.br</t>
  </si>
  <si>
    <t>RUA MARCONDES DE MATTOS</t>
  </si>
  <si>
    <t>00451619000112</t>
  </si>
  <si>
    <t>OTICA RIO BRANCO LTDA</t>
  </si>
  <si>
    <t>OTICA RIO BRANCO (819)</t>
  </si>
  <si>
    <t>623</t>
  </si>
  <si>
    <t>29279582000179</t>
  </si>
  <si>
    <t>OTICA RIO BRANCO MARINE EIRELI - ME</t>
  </si>
  <si>
    <t>OTICA RIO BRANCO (3870)</t>
  </si>
  <si>
    <t>ASSISTENCIA@OTICARIOBRANCO.COM.BR</t>
  </si>
  <si>
    <t>RUA RIO BRANCO</t>
  </si>
  <si>
    <t>07915126000135</t>
  </si>
  <si>
    <t>OTICA ROSAN LTDA ME</t>
  </si>
  <si>
    <t>OTICA ROSAN LTDA ME (883)</t>
  </si>
  <si>
    <t>avaadriano@gmail.com</t>
  </si>
  <si>
    <t>RUA VEREADOR ARTUR MANOEL MARIANO</t>
  </si>
  <si>
    <t>26857970000100</t>
  </si>
  <si>
    <t>OTICA ROSANE EIRELI</t>
  </si>
  <si>
    <t>OTICA ROSANE  (3929)</t>
  </si>
  <si>
    <t>ALEXFLORIPA@YAHOO.COM.BR</t>
  </si>
  <si>
    <t>RUA SC-281</t>
  </si>
  <si>
    <t>COLONIA SANTANA</t>
  </si>
  <si>
    <t>80730476000117</t>
  </si>
  <si>
    <t>OTICA ROSANGELA LTDA ME</t>
  </si>
  <si>
    <t>OTICA ROSANGELA (348)</t>
  </si>
  <si>
    <t>oticarosangela@terra.com.br</t>
  </si>
  <si>
    <t>04505264000158</t>
  </si>
  <si>
    <t>OTICA SANTA CLARA LTDA</t>
  </si>
  <si>
    <t>OTICA SANTA CLARA (1295)</t>
  </si>
  <si>
    <t>oticas_santaclara@hotmail.com</t>
  </si>
  <si>
    <t>AVENIDA HERCILIO LUZ</t>
  </si>
  <si>
    <t>LJ. 01</t>
  </si>
  <si>
    <t>76832658000202</t>
  </si>
  <si>
    <t>OTICA SANTA LUZIA LTDA</t>
  </si>
  <si>
    <t>SANTA LUZIA - COMASA (350)</t>
  </si>
  <si>
    <t>santaluzia02otica@hotmail.com</t>
  </si>
  <si>
    <t>COMASA - LJ. 02</t>
  </si>
  <si>
    <t>76832658000121</t>
  </si>
  <si>
    <t>SANTA LUZIA MATRIZ (349)</t>
  </si>
  <si>
    <t>osljaqueline@hotmail.com</t>
  </si>
  <si>
    <t>865</t>
  </si>
  <si>
    <t>42953470000209</t>
  </si>
  <si>
    <t>OTICA SANTO LUXO SERRANA LTDA</t>
  </si>
  <si>
    <t>OTICA SANTO LUXO SERRANA (4620)</t>
  </si>
  <si>
    <t>FINANCEIRO.LOJASSERRANAS@GMAIL.COM</t>
  </si>
  <si>
    <t>42953470000110</t>
  </si>
  <si>
    <t>OTICA SANTO LUXO SERRANA (4619)</t>
  </si>
  <si>
    <t>ADOLFO KONDER</t>
  </si>
  <si>
    <t>2683</t>
  </si>
  <si>
    <t>ESQUINA</t>
  </si>
  <si>
    <t>31854752000143</t>
  </si>
  <si>
    <t>OTICA SAO DONATO LTDA</t>
  </si>
  <si>
    <t>OTICA SAO DONATO (3956)</t>
  </si>
  <si>
    <t>milton1976mcs@gmail.com</t>
  </si>
  <si>
    <t>510</t>
  </si>
  <si>
    <t>353</t>
  </si>
  <si>
    <t>72484447000194</t>
  </si>
  <si>
    <t>OTICA SCHWIDER LTDA ME</t>
  </si>
  <si>
    <t>CAYMAN PALHOÇA (564)</t>
  </si>
  <si>
    <t>40840788000169</t>
  </si>
  <si>
    <t>OTICA SERRANA LTDA</t>
  </si>
  <si>
    <t>OTICA SERRANA (4319)</t>
  </si>
  <si>
    <t>OTICASLAGES@GMAIL.COM</t>
  </si>
  <si>
    <t>34733798000100</t>
  </si>
  <si>
    <t>OTICA SILVA SILVEIRA LTDA</t>
  </si>
  <si>
    <t>OTICA SANTO LUXO (4076)</t>
  </si>
  <si>
    <t>OTICASANTOLUXOBR@GMAIL.COM</t>
  </si>
  <si>
    <t>RUA FRONTINO VIEIRA DE SOUZA</t>
  </si>
  <si>
    <t>464</t>
  </si>
  <si>
    <t>43294079000113</t>
  </si>
  <si>
    <t>OTICA SOUZA SMANIOTTO LTDA</t>
  </si>
  <si>
    <t>OTICA KOBRASOL (4403)</t>
  </si>
  <si>
    <t>ANDERSON.R.SMANIOTTO@GMAIL.COM</t>
  </si>
  <si>
    <t>16756117000130</t>
  </si>
  <si>
    <t>OTICA SRL EIRELI</t>
  </si>
  <si>
    <t>CAYMAN OTICA (4141)</t>
  </si>
  <si>
    <t>JULIOSCHWIDER@TERRA.COM.BR</t>
  </si>
  <si>
    <t>PROFESSOR OTHON GAMA D ECA</t>
  </si>
  <si>
    <t>02568440000175</t>
  </si>
  <si>
    <t>OTICA SUPERVISAO LTDA EPP</t>
  </si>
  <si>
    <t>OTICA SUPERVISAO (1205)</t>
  </si>
  <si>
    <t>FINANCEIRO_ALCIDINO@YAHOO.COM.BR</t>
  </si>
  <si>
    <t>42081454000184</t>
  </si>
  <si>
    <t>OTICA TECH VISION LTDA</t>
  </si>
  <si>
    <t>OTICA TECH VISION (4348)</t>
  </si>
  <si>
    <t>OTICATECHVISION@GMAIL.COM</t>
  </si>
  <si>
    <t>LOJA 11</t>
  </si>
  <si>
    <t>385</t>
  </si>
  <si>
    <t>05060494000113</t>
  </si>
  <si>
    <t>OTICA TESSAROLO COM.PRODUTOS OPTICOS LTDA ME</t>
  </si>
  <si>
    <t>OTICA TESSAROLO (200)</t>
  </si>
  <si>
    <t>oticatessarolo@hotmail.com</t>
  </si>
  <si>
    <t>RUA JAIME DE ARRUDA RAMOS</t>
  </si>
  <si>
    <t>14929987000138</t>
  </si>
  <si>
    <t>OTICA THALITA LTDA ME</t>
  </si>
  <si>
    <t>OTICA DINIZ (1878)</t>
  </si>
  <si>
    <t>SANTA BARBARA</t>
  </si>
  <si>
    <t>14929987000219</t>
  </si>
  <si>
    <t>OTICA DINIZ (1972)</t>
  </si>
  <si>
    <t>259</t>
  </si>
  <si>
    <t>14929987000480</t>
  </si>
  <si>
    <t>OTICA DINIZ (2043)</t>
  </si>
  <si>
    <t>SALA TERREO</t>
  </si>
  <si>
    <t>38830258000279</t>
  </si>
  <si>
    <t>OTICA ULTRA LAGES LTDA</t>
  </si>
  <si>
    <t>CHILLI BEANS (4607)</t>
  </si>
  <si>
    <t>SANTOSEDSONJR@GMAIL.COM</t>
  </si>
  <si>
    <t>RUA BR 282</t>
  </si>
  <si>
    <t>1015</t>
  </si>
  <si>
    <t>LAGES GARDEN SH</t>
  </si>
  <si>
    <t>BATES</t>
  </si>
  <si>
    <t>38830258000198</t>
  </si>
  <si>
    <t>OTICA ULTRA LAGES - CHILLI BEANS (4226)</t>
  </si>
  <si>
    <t>oticalages.ljr@lojaschillibeans.com.br</t>
  </si>
  <si>
    <t>PRACA JOAO COSTA</t>
  </si>
  <si>
    <t>ED DOUTOR ACCAC</t>
  </si>
  <si>
    <t>707</t>
  </si>
  <si>
    <t>83417659000175</t>
  </si>
  <si>
    <t>OTICA UNIVERSAL LTDA</t>
  </si>
  <si>
    <t>OTICA UNIVERSAL LTDA (360)</t>
  </si>
  <si>
    <t>oticauniversal@bol.com.br</t>
  </si>
  <si>
    <t>RUA JOAO DE CASTRO</t>
  </si>
  <si>
    <t>03484064000101</t>
  </si>
  <si>
    <t>OTICA VENUS LTDA ME</t>
  </si>
  <si>
    <t>OTICA VENUS (1491)</t>
  </si>
  <si>
    <t>95771002000190</t>
  </si>
  <si>
    <t>OTICA VERONI LTDA</t>
  </si>
  <si>
    <t>OTICA VERONI (375)</t>
  </si>
  <si>
    <t>oticaveroni1@hotmail.com</t>
  </si>
  <si>
    <t>16962942000190</t>
  </si>
  <si>
    <t>OTICA VIDAL LTDA ME</t>
  </si>
  <si>
    <t>OTICA VIDAL (1943)</t>
  </si>
  <si>
    <t>oticavidalfpolis@hotmail.com</t>
  </si>
  <si>
    <t>50136230000150</t>
  </si>
  <si>
    <t>OTICA VISAO SUL LTDA</t>
  </si>
  <si>
    <t>OTICA VISAO SUL (4722)</t>
  </si>
  <si>
    <t>FABYSELAU@HOTMAIL.COM</t>
  </si>
  <si>
    <t>RUA ANSELMO BORBA</t>
  </si>
  <si>
    <t>SAO JOAO DO SUL</t>
  </si>
  <si>
    <t>37445275000149</t>
  </si>
  <si>
    <t>OTICA VISIONERY LTDA</t>
  </si>
  <si>
    <t>OTICA VISIONERY (4142)</t>
  </si>
  <si>
    <t>nossaotica221016@gmail.com</t>
  </si>
  <si>
    <t>45422648000194</t>
  </si>
  <si>
    <t>OTICA VITORIA LTDA</t>
  </si>
  <si>
    <t>OTICA VITORIA (4753)</t>
  </si>
  <si>
    <t>OTICAVITORIAPALHOCA@GMAIL.COM</t>
  </si>
  <si>
    <t>RUA GOVERNADOR JOSE BOABAID</t>
  </si>
  <si>
    <t>SALA 1 E 2</t>
  </si>
  <si>
    <t>28401009000123</t>
  </si>
  <si>
    <t>OTICA VITRINE LTDA</t>
  </si>
  <si>
    <t>OTICA VITRINE (4560)</t>
  </si>
  <si>
    <t>OTICAVITRINEANGELINA@GMAIL.COM</t>
  </si>
  <si>
    <t>RUA R. LEOBERTO LEAL</t>
  </si>
  <si>
    <t>33120142000141</t>
  </si>
  <si>
    <t>OTICA WARMELING EIRELI</t>
  </si>
  <si>
    <t>OPTICA VISION (4003)</t>
  </si>
  <si>
    <t>patriciawarmeling@hotmail.com</t>
  </si>
  <si>
    <t>04134225000191</t>
  </si>
  <si>
    <t>OTICA ZANI LTDA</t>
  </si>
  <si>
    <t>OTICA ZANI LTDA (69)</t>
  </si>
  <si>
    <t>oticazani@gmail.com</t>
  </si>
  <si>
    <t>RODOVIA SC-403 KM6</t>
  </si>
  <si>
    <t>39695857000290</t>
  </si>
  <si>
    <t>OTICAMED COMERCIO LTDA</t>
  </si>
  <si>
    <t>OTICAMED (4707)</t>
  </si>
  <si>
    <t>OTICAMEDSUL@GMAIL.COM</t>
  </si>
  <si>
    <t>39695857000109</t>
  </si>
  <si>
    <t>OTICAMED (4350)</t>
  </si>
  <si>
    <t>oticamedsul@gmail.com</t>
  </si>
  <si>
    <t>42659452000120</t>
  </si>
  <si>
    <t>OTICAS CONTINENTE LTDA</t>
  </si>
  <si>
    <t>OTICAS CONTINENTE (4378)</t>
  </si>
  <si>
    <t>OTICACONTINENTE01@GMAIL.COM</t>
  </si>
  <si>
    <t>LOJA 01 A</t>
  </si>
  <si>
    <t>48139665000107</t>
  </si>
  <si>
    <t>OTICAS DAL GRANDE E PAIVA LTDA</t>
  </si>
  <si>
    <t>saojose.sc@visaodetodos.com</t>
  </si>
  <si>
    <t>AVENIDA JOSUE DI BERNARDI</t>
  </si>
  <si>
    <t>- ATE 489/490</t>
  </si>
  <si>
    <t>07568063000198</t>
  </si>
  <si>
    <t>OTICAS DINIZ LTDA</t>
  </si>
  <si>
    <t>OTICA DINIZ (916)</t>
  </si>
  <si>
    <t>30267876008900</t>
  </si>
  <si>
    <t>OTICAS DO POVO LTDA</t>
  </si>
  <si>
    <t>OTICAS DO POVO LTDA (1850)</t>
  </si>
  <si>
    <t>nfe@oticasdopovo.com.br</t>
  </si>
  <si>
    <t>RUA SC - 401                   NIVEL SUP L-2</t>
  </si>
  <si>
    <t>LJ 240/241/242</t>
  </si>
  <si>
    <t>30267876009701</t>
  </si>
  <si>
    <t>OTICAS DO POVO LTDA (1944)</t>
  </si>
  <si>
    <t>NFE@OTICASDOPOVO.COM.BR</t>
  </si>
  <si>
    <t>LOJA 129 130</t>
  </si>
  <si>
    <t>49975034000190</t>
  </si>
  <si>
    <t>OTICAS FERRI BC 002 LTDA</t>
  </si>
  <si>
    <t>OTICAS FERRI (4744)</t>
  </si>
  <si>
    <t>RUA 500</t>
  </si>
  <si>
    <t>BALNEARIO CAMBORIU</t>
  </si>
  <si>
    <t>49963035000115</t>
  </si>
  <si>
    <t>OTICAS FERRI SJ 001 LTDA</t>
  </si>
  <si>
    <t>OTICAS FERRI (4743)</t>
  </si>
  <si>
    <t>49155418000167</t>
  </si>
  <si>
    <t>OTICAS GOO LTDA</t>
  </si>
  <si>
    <t>OTICAS GOO LTDA (4780)</t>
  </si>
  <si>
    <t>DUDUFM05@GMAIL.COM</t>
  </si>
  <si>
    <t>RUA CANDIDO PEREIRA DOS ANJOS</t>
  </si>
  <si>
    <t>745</t>
  </si>
  <si>
    <t>SALA 14</t>
  </si>
  <si>
    <t>32933677000179</t>
  </si>
  <si>
    <t>OTICAS NOVA LTDA</t>
  </si>
  <si>
    <t>OTICAS NOVA (3984)</t>
  </si>
  <si>
    <t>carmendarosa78@hotmail.com</t>
  </si>
  <si>
    <t>RUA RAOLINO HORN</t>
  </si>
  <si>
    <t>117</t>
  </si>
  <si>
    <t>47336084000100</t>
  </si>
  <si>
    <t>OTICAS PUCCI &amp; SENS LTDA</t>
  </si>
  <si>
    <t>MERCADAO DOS OCULOS (4577)</t>
  </si>
  <si>
    <t>SC-LAGES02@MERCADAODOSOCULOS.COM.BR</t>
  </si>
  <si>
    <t>36473135000111</t>
  </si>
  <si>
    <t>OTICAS SAN FRANCISCO FLORIPA EIRELI</t>
  </si>
  <si>
    <t>OTICAS SAN FRANCISCO (4168)</t>
  </si>
  <si>
    <t>26289134000168</t>
  </si>
  <si>
    <t>OTICAS SHARK EIRELI EPP</t>
  </si>
  <si>
    <t>MERCADAO DOS OCULOS (3359)</t>
  </si>
  <si>
    <t>tubarao@mercadaodosoculos.com.br</t>
  </si>
  <si>
    <t>12052423000134</t>
  </si>
  <si>
    <t>OTICAS ZURICH COMERCIO DE PRODUTOS OPTICOS LTDA ME</t>
  </si>
  <si>
    <t>OTICAS CATARINA (1967)</t>
  </si>
  <si>
    <t>SALA COMERCIAL</t>
  </si>
  <si>
    <t>34256235000160</t>
  </si>
  <si>
    <t>P C DONATO OPTICA</t>
  </si>
  <si>
    <t>OTICA IMPERIAL  (4034)</t>
  </si>
  <si>
    <t>PATRICKCARDOSODONATO@HOTMAIL.COM</t>
  </si>
  <si>
    <t>RUA JOSE MARQUES</t>
  </si>
  <si>
    <t>VILA BEATRIZ</t>
  </si>
  <si>
    <t>MARACAJA</t>
  </si>
  <si>
    <t>10598574000167</t>
  </si>
  <si>
    <t>PACHECO E ALVES JOALHERIA E OTICA LTDA</t>
  </si>
  <si>
    <t>EXPRESSO OTICA (1480)</t>
  </si>
  <si>
    <t>KXEROVIAJANTE@HOTMAIL.COM</t>
  </si>
  <si>
    <t>RUA PEDRO JOAO PEREIRA</t>
  </si>
  <si>
    <t>700</t>
  </si>
  <si>
    <t>SL 01</t>
  </si>
  <si>
    <t>MATO ALTO</t>
  </si>
  <si>
    <t>11841005000163</t>
  </si>
  <si>
    <t>PALOMA JOALHERIA E OPTICA LTDA ME</t>
  </si>
  <si>
    <t>PALOMA JOALHERIA E OPTICA (1739)</t>
  </si>
  <si>
    <t>palomaoptica@hotmail.com</t>
  </si>
  <si>
    <t>327</t>
  </si>
  <si>
    <t>50676377000133</t>
  </si>
  <si>
    <t>PATRICIA CRISTIANE VAZ LTDA</t>
  </si>
  <si>
    <t>OPTICA PAGNATHE (4723)</t>
  </si>
  <si>
    <t>PAGNATHE@OUTLOOK.COM</t>
  </si>
  <si>
    <t>RUA CEL BERNARDINO MACHADO</t>
  </si>
  <si>
    <t>05118322000153</t>
  </si>
  <si>
    <t>PATRICIA FRITEZEN</t>
  </si>
  <si>
    <t>PATRICIA FRITEZEN (1680)</t>
  </si>
  <si>
    <t>patifritzen@gmail.com</t>
  </si>
  <si>
    <t>PRACA BENJAMIN SCUSSEL</t>
  </si>
  <si>
    <t>TREVISO</t>
  </si>
  <si>
    <t>43064577000170</t>
  </si>
  <si>
    <t>PATRICIA GONCALVES VIEGA PEIXOTO 00305446029</t>
  </si>
  <si>
    <t>PATY OTICA (4379)</t>
  </si>
  <si>
    <t>PATRICIAVIEGA@YAHOO.COM.BR</t>
  </si>
  <si>
    <t>5013</t>
  </si>
  <si>
    <t>SAO JOAO DO RIO VERMELHO</t>
  </si>
  <si>
    <t>03637719000126</t>
  </si>
  <si>
    <t>PATRICIA WARMELING</t>
  </si>
  <si>
    <t>OTICA SANTA LUZIA (540)</t>
  </si>
  <si>
    <t>RUA MANOEL THIAGO DE CASTRO</t>
  </si>
  <si>
    <t>78608213000198</t>
  </si>
  <si>
    <t>PAULO RENI SCHURHAUS</t>
  </si>
  <si>
    <t>OTICA ORIENTE (168)</t>
  </si>
  <si>
    <t>relojoariaeoticaorient@gmail.com</t>
  </si>
  <si>
    <t>5680</t>
  </si>
  <si>
    <t>48237982000166</t>
  </si>
  <si>
    <t>PEDRA BRANCA COMERCIO PRODUTOS OTICOS LTDA</t>
  </si>
  <si>
    <t>OTICA PEDRA BRANCA (4599)</t>
  </si>
  <si>
    <t>MONTADORFELIPECORREA@GMAIL.COM</t>
  </si>
  <si>
    <t>DOS LAGOS</t>
  </si>
  <si>
    <t>LOJA 114</t>
  </si>
  <si>
    <t>CIDADE UNIVERSITARIA PEDR</t>
  </si>
  <si>
    <t>05869704000119</t>
  </si>
  <si>
    <t>PEDRO DAGOSTIN ME</t>
  </si>
  <si>
    <t>RELOJOARIA E OTICA MARITALI (1467)</t>
  </si>
  <si>
    <t>RELOJOARIAMARITALI@GMAIL.COM</t>
  </si>
  <si>
    <t>NOSSA SENHORA DA CONCEICAO</t>
  </si>
  <si>
    <t>1716</t>
  </si>
  <si>
    <t>34371028000157</t>
  </si>
  <si>
    <t>PEREIRA E BORGES JOALHERIA E OPTICA LTDA</t>
  </si>
  <si>
    <t>OTICA ESPECIALISTA (4100)</t>
  </si>
  <si>
    <t>oticaespecialista.ta@gmail.com</t>
  </si>
  <si>
    <t>RUA DEPUTADO OSVALDO BASTOS</t>
  </si>
  <si>
    <t>5475</t>
  </si>
  <si>
    <t>TERRA DE AREIA</t>
  </si>
  <si>
    <t>06286943000109</t>
  </si>
  <si>
    <t>PEROLA COMERCIO JOIAS E OTICA LTDA EPP</t>
  </si>
  <si>
    <t>QUEVEDO KOBRASOL (618)</t>
  </si>
  <si>
    <t>LJ108.QUEVEDO@GMAIL.COM</t>
  </si>
  <si>
    <t>14246407000108</t>
  </si>
  <si>
    <t>PETRY E CASTRO JOIAS E RELOGIOS LTDA ME</t>
  </si>
  <si>
    <t>MARIO JOALHEIRO (2208)</t>
  </si>
  <si>
    <t>224</t>
  </si>
  <si>
    <t>12570279000128</t>
  </si>
  <si>
    <t>PLINIO RELOJOARIA E OPTICA LTDA</t>
  </si>
  <si>
    <t>PLINIO RELOJOARIA E OPTICA (1895)</t>
  </si>
  <si>
    <t>PLINIORELOJOARIAOPTICA@HOTMAIL.COM</t>
  </si>
  <si>
    <t>2592</t>
  </si>
  <si>
    <t>05591639000102</t>
  </si>
  <si>
    <t>PONTO OPTICO COMERCIO DE OCULOS LTDA ME</t>
  </si>
  <si>
    <t>PONTO OPTICO (284)</t>
  </si>
  <si>
    <t>pontooptico@hotmail.com</t>
  </si>
  <si>
    <t>RUA ADHEMAR DA SILVA</t>
  </si>
  <si>
    <t>41799376000195</t>
  </si>
  <si>
    <t>PRISCILLA OLIVEIRA ATHAYDES 07518112973</t>
  </si>
  <si>
    <t>OTICA OLHARES (4363)</t>
  </si>
  <si>
    <t>OTICAOLHARES@HOTMAIL.COM</t>
  </si>
  <si>
    <t>BARRIGA VERDE</t>
  </si>
  <si>
    <t>BALNEARIO ARROIO DO SILVA</t>
  </si>
  <si>
    <t>01613426000183</t>
  </si>
  <si>
    <t>PRO OTICA COMERCIO PRODUTOS OTICOS LTDA ME</t>
  </si>
  <si>
    <t>PRO OTICA COMERCIO PRODUTOS OTICOS LTDA ME (1022)</t>
  </si>
  <si>
    <t>operfeicao@gmail.com</t>
  </si>
  <si>
    <t>RUA JOSE ANTONIO TOMAZ</t>
  </si>
  <si>
    <t>24944791000419</t>
  </si>
  <si>
    <t>PTG OPTICAL EIRELI</t>
  </si>
  <si>
    <t>OTICAS CAROL (4024)</t>
  </si>
  <si>
    <t>PTGOPTICAL@GMAIL.COM</t>
  </si>
  <si>
    <t>24944791000338</t>
  </si>
  <si>
    <t>PTG OPTICAL EIRELI - ME</t>
  </si>
  <si>
    <t>OTICAS CAROL (3866)</t>
  </si>
  <si>
    <t>LOJA1598@OTICASCAROL.COM.BR</t>
  </si>
  <si>
    <t>674</t>
  </si>
  <si>
    <t>24944791000257</t>
  </si>
  <si>
    <t>OTICAS CAROL (3865)</t>
  </si>
  <si>
    <t>LOJA1597@OTICASCAROL.COM.BR</t>
  </si>
  <si>
    <t>567</t>
  </si>
  <si>
    <t>24944791000176</t>
  </si>
  <si>
    <t>OTICAS CAROL (3828)</t>
  </si>
  <si>
    <t>LOJA1467@OTICASCAROL.COM.BR</t>
  </si>
  <si>
    <t>1818</t>
  </si>
  <si>
    <t>04204006000131</t>
  </si>
  <si>
    <t>PUPILA OPTICA E JOALHERIA LTDA</t>
  </si>
  <si>
    <t>PUPILA OPTICA &amp; JOALHERIA (105)</t>
  </si>
  <si>
    <t>pupilaoticaejoalheria@hotmail.com</t>
  </si>
  <si>
    <t>1113</t>
  </si>
  <si>
    <t>SALA - 101</t>
  </si>
  <si>
    <t>10537557000110</t>
  </si>
  <si>
    <t>QUIUMENTO VELLOSO COM.PROD.OPT.LTDA ME</t>
  </si>
  <si>
    <t>OTICA HELENA (10061)</t>
  </si>
  <si>
    <t>oticahelena@oticahelena.com.br</t>
  </si>
  <si>
    <t>RUA MANOEL SEVERINO DE OLIVEIRA</t>
  </si>
  <si>
    <t>653</t>
  </si>
  <si>
    <t>10537557000381</t>
  </si>
  <si>
    <t>QUIUMENTO VELLOSO COMERCIO DE PRODUTOS OPTICOS LTDA</t>
  </si>
  <si>
    <t>OTICA HELENA CAMPECHE (4029)</t>
  </si>
  <si>
    <t>1510</t>
  </si>
  <si>
    <t>BLOCO B SALA 02</t>
  </si>
  <si>
    <t>10537557000209</t>
  </si>
  <si>
    <t>OTICA HELENA (3937)</t>
  </si>
  <si>
    <t>trindade@oticahelena.com.br</t>
  </si>
  <si>
    <t>2055</t>
  </si>
  <si>
    <t>LOJA 27/28</t>
  </si>
  <si>
    <t>07115234000123</t>
  </si>
  <si>
    <t>R E K COMERCIO VAREJISTA DE ARTIGOS DE OTICA LTDA</t>
  </si>
  <si>
    <t>OTICA PRINCIPAL (666)</t>
  </si>
  <si>
    <t>OTICAPRINCIPAL@OUTLOOK.COM</t>
  </si>
  <si>
    <t>334</t>
  </si>
  <si>
    <t>07871974000190</t>
  </si>
  <si>
    <t>R.D.R.M. MACIEL OPTICA ME</t>
  </si>
  <si>
    <t>MACIEL OPTICA (877)</t>
  </si>
  <si>
    <t>RUA Amaro JosE Pereira</t>
  </si>
  <si>
    <t>COLONINHA</t>
  </si>
  <si>
    <t>22399698000100</t>
  </si>
  <si>
    <t>RAFAEL CUNHA FERNANDES 07614041984</t>
  </si>
  <si>
    <t>RAFISA JOIAS (4086)</t>
  </si>
  <si>
    <t>SL 5</t>
  </si>
  <si>
    <t>42397567000193</t>
  </si>
  <si>
    <t>RAIMUNDA ELISANE DE CASTRO SANTOS 72041978287</t>
  </si>
  <si>
    <t>OTICA ELEGANCE (4347)</t>
  </si>
  <si>
    <t>CONTATO.ELEGANCEOTICA@GMAIL.COM</t>
  </si>
  <si>
    <t>CONJ</t>
  </si>
  <si>
    <t>32000969000159</t>
  </si>
  <si>
    <t>RAMBOR E ROSA OTICA LTDA</t>
  </si>
  <si>
    <t>MERCADAO DOS OCULOS (3966)</t>
  </si>
  <si>
    <t>2916</t>
  </si>
  <si>
    <t>32502087000191</t>
  </si>
  <si>
    <t>RAMOS E BIANCHIN COMERCIO DE ARTIGOS OPTICOS LTDA</t>
  </si>
  <si>
    <t>OTICA CELYN (4383)</t>
  </si>
  <si>
    <t>EVELYN.BIANCHIN@GMAIL.COM</t>
  </si>
  <si>
    <t>13615843000144</t>
  </si>
  <si>
    <t>RAQUEL MARTINS GOULART-ME</t>
  </si>
  <si>
    <t>R.M. OTICA E RELOJOARIA (1988)</t>
  </si>
  <si>
    <t>RUA 13 DE MAIO</t>
  </si>
  <si>
    <t>90</t>
  </si>
  <si>
    <t>27614707000144</t>
  </si>
  <si>
    <t>RAYANE LUIZ DA SILVA 08549884910</t>
  </si>
  <si>
    <t>VERLUZ OPTICA  (3861)</t>
  </si>
  <si>
    <t>RAYHSILVA@HOTMAIL.COM</t>
  </si>
  <si>
    <t>RUA SEVERIANO ALBINO CORREA</t>
  </si>
  <si>
    <t>420</t>
  </si>
  <si>
    <t>FABIO SILVA</t>
  </si>
  <si>
    <t>07025142000152</t>
  </si>
  <si>
    <t>REAL TORRES RELOJOARIA E OTICA LTDA</t>
  </si>
  <si>
    <t>REAL TORRES RELOJOARIA E OTICA LTDA (109)</t>
  </si>
  <si>
    <t>luis.fa01@uol.com.br</t>
  </si>
  <si>
    <t>12935736000130</t>
  </si>
  <si>
    <t>REGINALDO ALBINO BERTO</t>
  </si>
  <si>
    <t>RELOJOARIA E OTICA ALBINO (3899)</t>
  </si>
  <si>
    <t>REGIALBINOBERTO@GMAIL.COM</t>
  </si>
  <si>
    <t>07555573000120</t>
  </si>
  <si>
    <t>REL. E OTICA NOSSA SENHORA APARECIDA LTDA</t>
  </si>
  <si>
    <t>RELOJOARIA E OTICA NOSSA SENHORA APARECIDA LTDA (804)</t>
  </si>
  <si>
    <t>novaveneza@oticansa.com.br</t>
  </si>
  <si>
    <t>11833524000180</t>
  </si>
  <si>
    <t>RELOJOARIA E OPTICA CECILIA LTDA ME</t>
  </si>
  <si>
    <t>RELOJOARIA SUICA (1761)</t>
  </si>
  <si>
    <t>karlafritzen@hotmail.com</t>
  </si>
  <si>
    <t>07036384000141</t>
  </si>
  <si>
    <t>RELOJOARIA E OPTICA PONTUAL LTDA ME</t>
  </si>
  <si>
    <t>RELOJOARIA E OPTICA PONTUAL LTDA ME (188)</t>
  </si>
  <si>
    <t>carminati@carminati.com.br</t>
  </si>
  <si>
    <t>12259621000254</t>
  </si>
  <si>
    <t>RELOJOARIA E OPTICA SILVESTRI LTDA</t>
  </si>
  <si>
    <t>OPTICA FOCAL (3953)</t>
  </si>
  <si>
    <t>optica.focal@hotmail.com</t>
  </si>
  <si>
    <t>SALA 09</t>
  </si>
  <si>
    <t>12259621000173</t>
  </si>
  <si>
    <t>RELOJOARIA E OPTICA SILVESTRI LTDA ME</t>
  </si>
  <si>
    <t>OPTICA FOCAL (1771)</t>
  </si>
  <si>
    <t>1593</t>
  </si>
  <si>
    <t>00564865000180</t>
  </si>
  <si>
    <t>RELOJOARIA E OTICA BONETI LTDA ME</t>
  </si>
  <si>
    <t>RELOJOARIA CASSIO (1792)</t>
  </si>
  <si>
    <t>relojoariacassio@hotmail.com</t>
  </si>
  <si>
    <t>1141</t>
  </si>
  <si>
    <t>81768129000146</t>
  </si>
  <si>
    <t>RELOJOARIA E OTICA CASIO LTDA ME</t>
  </si>
  <si>
    <t>RELOJOARIA E OTICA CASIO LTDA ME (1136)</t>
  </si>
  <si>
    <t>oticacasio@gmail.com</t>
  </si>
  <si>
    <t>RUA JOAO LODETI</t>
  </si>
  <si>
    <t>04080808000500</t>
  </si>
  <si>
    <t>RELOJOARIA E OTICA DEGAN LTDA</t>
  </si>
  <si>
    <t>OTICA VINI (4650)</t>
  </si>
  <si>
    <t>OTICAVINI@HOTMAIL.COM</t>
  </si>
  <si>
    <t>RUA ANITAPOLIS</t>
  </si>
  <si>
    <t>ALFREDO WAGNER</t>
  </si>
  <si>
    <t>81016446000106</t>
  </si>
  <si>
    <t>RELOJOARIA E OTICA DU PONT LTDA - ME</t>
  </si>
  <si>
    <t>RELOJOARIA DU PONT (771)</t>
  </si>
  <si>
    <t>oticadupontfinanceiro@hotmail.com</t>
  </si>
  <si>
    <t>RUA TEODORO BERNARDO SCHLICKMANN</t>
  </si>
  <si>
    <t>00146819000161</t>
  </si>
  <si>
    <t>RELOJOARIA E OTICA FERNANDES LTDA</t>
  </si>
  <si>
    <t>RELOJOARIA DO TONI (359)</t>
  </si>
  <si>
    <t>oticatoni@hotmail.com</t>
  </si>
  <si>
    <t>2164</t>
  </si>
  <si>
    <t>04292093000126</t>
  </si>
  <si>
    <t>RELOJOARIA E OTICA FRITZEN LTDA</t>
  </si>
  <si>
    <t>RELOJOARIA E OTICA FRITZEN LTDA (648)</t>
  </si>
  <si>
    <t>oticafritzen@hotmail.com</t>
  </si>
  <si>
    <t>AVENIDA DOUTOR POLIDORO SANTIAGO</t>
  </si>
  <si>
    <t>01067835000121</t>
  </si>
  <si>
    <t>RELOJOARIA E OTICA GUZZATTI LTDA</t>
  </si>
  <si>
    <t>RELOJOARIA GUZZATTI LTDA ME (1186)</t>
  </si>
  <si>
    <t>financeiroguzzatti@outlook.com</t>
  </si>
  <si>
    <t>AVENIDA CHILE</t>
  </si>
  <si>
    <t>05923876000204</t>
  </si>
  <si>
    <t>RELOJOARIA E OTICA GUZZATTI LTDA ME</t>
  </si>
  <si>
    <t>OTICA GUZZATTI (1358)</t>
  </si>
  <si>
    <t>icara@guzzatti.com.br</t>
  </si>
  <si>
    <t>05923876000123</t>
  </si>
  <si>
    <t>RELOJOARIA E OTICA GUZZATTI LTDA ME (1905)</t>
  </si>
  <si>
    <t>GUZZATTIPRESENTES@GMAIL.COM</t>
  </si>
  <si>
    <t>RUA 6 DE JANEIRO</t>
  </si>
  <si>
    <t>04985774000170</t>
  </si>
  <si>
    <t>RELOJOARIA E OTICA LANCO LTDA ME</t>
  </si>
  <si>
    <t>RELOJOARIA E OTICA LANCO LTDA ME (134)</t>
  </si>
  <si>
    <t>lancoicara@hotmail.com</t>
  </si>
  <si>
    <t>26440307000105</t>
  </si>
  <si>
    <t>RELOJOARIA E OTICA MARTINS EIRELI - ME</t>
  </si>
  <si>
    <t>RELOJOARIA E OTICA ADRIANA (3820)</t>
  </si>
  <si>
    <t>lucianomartinslu@hotmail.com</t>
  </si>
  <si>
    <t>RUA 20 DE MAIO</t>
  </si>
  <si>
    <t>MORRO DA FUMAÇA</t>
  </si>
  <si>
    <t>95864807000189</t>
  </si>
  <si>
    <t>RELOJOARIA E OTICA MIRVAINE LTDA ME</t>
  </si>
  <si>
    <t>RELOJOARIA E OTICA MIRVAINE LTDA (826)</t>
  </si>
  <si>
    <t>opticamirvaine@hotmail.com</t>
  </si>
  <si>
    <t>89307953000291</t>
  </si>
  <si>
    <t>RELOJOARIA E OTICA RYAN LTDA</t>
  </si>
  <si>
    <t>RYAN - SOMBRIO - SC (1221)</t>
  </si>
  <si>
    <t>zryan@terra.com.br</t>
  </si>
  <si>
    <t>89307953000100</t>
  </si>
  <si>
    <t>RYAN RELOJOARIA E OTICA (1760)</t>
  </si>
  <si>
    <t>80648785000142</t>
  </si>
  <si>
    <t>RELOJOARIA E OTICA SUICA LTDA</t>
  </si>
  <si>
    <t>RELOJOARIA E OTICA SUICA LTDA (397)</t>
  </si>
  <si>
    <t>ot.suica@mkm.net.br</t>
  </si>
  <si>
    <t>PRACA PADRE ROHER</t>
  </si>
  <si>
    <t>10500237000195</t>
  </si>
  <si>
    <t>RELOJOARIA E OTICA TIAGO LTDA ME</t>
  </si>
  <si>
    <t>RELOJOARIA E OTICA TIAGO (1818)</t>
  </si>
  <si>
    <t>otica-tiago@hotmail.com</t>
  </si>
  <si>
    <t>935</t>
  </si>
  <si>
    <t>05937679000163</t>
  </si>
  <si>
    <t>RELOJOARIA E OTICA TIC TAC LTDA ME</t>
  </si>
  <si>
    <t>RELOJOARIA E OTICA TIC TAC LTDA ME (476)</t>
  </si>
  <si>
    <t>tictackobrasol@hotmail.com</t>
  </si>
  <si>
    <t>830</t>
  </si>
  <si>
    <t>95871638000104</t>
  </si>
  <si>
    <t>RELOJOARIA E OTICA TISSOT LTDA ME</t>
  </si>
  <si>
    <t>RELOJOARIA E OTICA TISSOT LTDA ME (409)</t>
  </si>
  <si>
    <t>opticatissot@yahoo.com</t>
  </si>
  <si>
    <t>78854692000122</t>
  </si>
  <si>
    <t>RELOJOARIA E OTICA TRESPACH LTDA</t>
  </si>
  <si>
    <t>RELOJOARIA E OTICA TRESPACH LTDA (1074)</t>
  </si>
  <si>
    <t>osni_trespach@hotmail.com</t>
  </si>
  <si>
    <t>05702978000119</t>
  </si>
  <si>
    <t>RELOJOARIA E OTICA VIEIRA LTDA</t>
  </si>
  <si>
    <t>RELOJOARIA E OTICA VIEIRA LTDA (1090)</t>
  </si>
  <si>
    <t>oticavieira@hotmail.com</t>
  </si>
  <si>
    <t>RUA ALFREDO DEL PRIORI</t>
  </si>
  <si>
    <t>12227107000156</t>
  </si>
  <si>
    <t>RELOJOARIA HIPOLITO LTDA ME</t>
  </si>
  <si>
    <t>RELOJOARIA SAO JOAO (1805)</t>
  </si>
  <si>
    <t>relojoariasaojoao@gmail.com</t>
  </si>
  <si>
    <t>RUA R. ERNANI COTRIN</t>
  </si>
  <si>
    <t>73306748000190</t>
  </si>
  <si>
    <t>RELOJOARIA MAK</t>
  </si>
  <si>
    <t>RELOJOARIA MAK (1181)</t>
  </si>
  <si>
    <t>MARQUINHOS109@IBEST.COM.BR</t>
  </si>
  <si>
    <t>81843179000140</t>
  </si>
  <si>
    <t>RELOJOARIA SILVA LTDA ME</t>
  </si>
  <si>
    <t>RELOJOARIA SILVA LTDA ME (938)</t>
  </si>
  <si>
    <t>relojoariaeoticasilva@hotmail.com</t>
  </si>
  <si>
    <t>01176860000143</t>
  </si>
  <si>
    <t>RELOJOARIA VOLPATO LTDA ME</t>
  </si>
  <si>
    <t>RELOJOARIA VOLPATO LTDA ME (55)</t>
  </si>
  <si>
    <t>oticavolpato@hotmail.com</t>
  </si>
  <si>
    <t>26698331000130</t>
  </si>
  <si>
    <t>RENATA NEVES DA SILVA ABEL</t>
  </si>
  <si>
    <t>OTICA ABEL (3872)</t>
  </si>
  <si>
    <t>oticaabel@gmail.com</t>
  </si>
  <si>
    <t>RUA MAMPITUBA</t>
  </si>
  <si>
    <t>45298470000111</t>
  </si>
  <si>
    <t>RF JOALHERIA E OTICA LTDA</t>
  </si>
  <si>
    <t>GISDANY (4478)</t>
  </si>
  <si>
    <t>GISDANYFILIAL@GISDANY.COM.BR</t>
  </si>
  <si>
    <t>S L97 NACOES SH</t>
  </si>
  <si>
    <t>00092465000110</t>
  </si>
  <si>
    <t>RH COMERCIO DE JOIAS LTDA ME</t>
  </si>
  <si>
    <t>RH JOALHERIA (206)</t>
  </si>
  <si>
    <t>rogerio@rhjoias.com.br</t>
  </si>
  <si>
    <t>RUA ESTEVES JUNIOR</t>
  </si>
  <si>
    <t>L - D</t>
  </si>
  <si>
    <t>11527626000177</t>
  </si>
  <si>
    <t>RICARDO WALTER DIB-ME</t>
  </si>
  <si>
    <t>RICARDO JOIAS &amp; OTICA (3934)</t>
  </si>
  <si>
    <t>ricardo.joias@contato.net</t>
  </si>
  <si>
    <t>15076513000234</t>
  </si>
  <si>
    <t>RK OTICA E JOALHERIA LTDA</t>
  </si>
  <si>
    <t>MR RAY (4699)</t>
  </si>
  <si>
    <t>FINANCEIRO@OJOMRRAY.COM.BR</t>
  </si>
  <si>
    <t>ORGE ELIAS DE LUCCA</t>
  </si>
  <si>
    <t>765</t>
  </si>
  <si>
    <t>LOJA 44</t>
  </si>
  <si>
    <t>00811496000183</t>
  </si>
  <si>
    <t>ROBERTO MACHADO JOIAS ME</t>
  </si>
  <si>
    <t>OTICA ROBERTO (1733)</t>
  </si>
  <si>
    <t>oticaroberto@terra.com.br</t>
  </si>
  <si>
    <t>35069581000100</t>
  </si>
  <si>
    <t>ROBSONFLORIPA OTICA EIRELI</t>
  </si>
  <si>
    <t>OTICA DINIZ (4079)</t>
  </si>
  <si>
    <t>111</t>
  </si>
  <si>
    <t>35069581000283</t>
  </si>
  <si>
    <t>OTICA DINIZ (4080)</t>
  </si>
  <si>
    <t>694</t>
  </si>
  <si>
    <t>34373599000120</t>
  </si>
  <si>
    <t>RODRIGO FERNANDES DE ALMEIDA 02021449920</t>
  </si>
  <si>
    <t>OTICA CENTRAL VISAO</t>
  </si>
  <si>
    <t>oticacentralvisao@gmail.com</t>
  </si>
  <si>
    <t>39545624000120</t>
  </si>
  <si>
    <t>RODRIGO TAVARES CANTO 02332061916</t>
  </si>
  <si>
    <t>OTICA TAVARES (4529)</t>
  </si>
  <si>
    <t>437</t>
  </si>
  <si>
    <t>82962085000153</t>
  </si>
  <si>
    <t>ROGERIO WENSING FELISBINO - ME</t>
  </si>
  <si>
    <t>ROGERIO JOALHERIA E OTICA (3806)</t>
  </si>
  <si>
    <t>rogeriowf@hotmail.com</t>
  </si>
  <si>
    <t>RUA EMILIANO SA</t>
  </si>
  <si>
    <t>80082795000163</t>
  </si>
  <si>
    <t>RONALDO COSTA DORNEL ME</t>
  </si>
  <si>
    <t>SAFIRA JOALHEIRIA E OTICA (162)</t>
  </si>
  <si>
    <t>safirafronteira@outlook.com</t>
  </si>
  <si>
    <t>RUA DOUTOR RUPP JUNIOR</t>
  </si>
  <si>
    <t>20730666000102</t>
  </si>
  <si>
    <t>ROQUE MARTINS DA ROSA - ME</t>
  </si>
  <si>
    <t>FOTO, JOALHERIA E OTICA SAO ROQUE (2233)</t>
  </si>
  <si>
    <t>rosane-silva54@hotmail.com</t>
  </si>
  <si>
    <t>RUA DOUTOR NEREU RAMOS</t>
  </si>
  <si>
    <t>26128237000146</t>
  </si>
  <si>
    <t>ROSENEIDE TEIXEIRA 03059434999</t>
  </si>
  <si>
    <t>OTICA ARMACAO (3348)</t>
  </si>
  <si>
    <t>NEIDE_BABYJU@HOTMAIL.COM</t>
  </si>
  <si>
    <t>RUA GERINO BELMIRO DOS SANTOS</t>
  </si>
  <si>
    <t>FAZENDA DA ARMAÇÃO</t>
  </si>
  <si>
    <t>GOVERNADOR CELSO RAMOS</t>
  </si>
  <si>
    <t>29018552000109</t>
  </si>
  <si>
    <t>ROSSI COMERCIO DE PRODUTOS OPTICOS E ACESSORIOS LTDA</t>
  </si>
  <si>
    <t>OTICA CAPITAL (4202)</t>
  </si>
  <si>
    <t>oticacapital_sc@outlook.com</t>
  </si>
  <si>
    <t>07563404000132</t>
  </si>
  <si>
    <t>ROTARY CLUB DE CRICIUMA</t>
  </si>
  <si>
    <t>ROTARY CLUB DE CRICIUMA (3837)</t>
  </si>
  <si>
    <t>ROTARYCRICIUMAOESTE@HOTMAIL.COM</t>
  </si>
  <si>
    <t>RUA DESEMBARGADOR PEDRO SILVA</t>
  </si>
  <si>
    <t>COMERCIARIO</t>
  </si>
  <si>
    <t>29450295000180</t>
  </si>
  <si>
    <t>RR BRAVO RIBEIRO COMERCIO EIRELE LTDA</t>
  </si>
  <si>
    <t>CHILLI BEANS LAGOA DA CONCEICAO (3971)</t>
  </si>
  <si>
    <t>renatoribeiroribeiro@gmail.com</t>
  </si>
  <si>
    <t>LOJA 1 IMPERIAL</t>
  </si>
  <si>
    <t>LAGO DA CONCEICAO</t>
  </si>
  <si>
    <t>920</t>
  </si>
  <si>
    <t>12940562000102</t>
  </si>
  <si>
    <t>RUBI JOALHERIA E OTICA EIRELI EPP</t>
  </si>
  <si>
    <t>QUEVEDO (1821)</t>
  </si>
  <si>
    <t>LOJA 09</t>
  </si>
  <si>
    <t>12940562000366</t>
  </si>
  <si>
    <t>QUEVEDO (1822)</t>
  </si>
  <si>
    <t>ANDRE@QUEVEDO.COM.BR</t>
  </si>
  <si>
    <t>RUA 24 DE ABRIL</t>
  </si>
  <si>
    <t>2943</t>
  </si>
  <si>
    <t>SALA 40 FRONTAL</t>
  </si>
  <si>
    <t>29230071000405</t>
  </si>
  <si>
    <t>S &amp; R COMERCIO DE ARTIGOS OPTICOS LTDA</t>
  </si>
  <si>
    <t>OTICA VISION</t>
  </si>
  <si>
    <t>suellenfagioni@hotmail.com</t>
  </si>
  <si>
    <t>RUA LEONARDO SELL</t>
  </si>
  <si>
    <t>RANCHO QUEIMADO</t>
  </si>
  <si>
    <t>17902929000109</t>
  </si>
  <si>
    <t>S.S. COMERCIO DE JOIAS E RELOGIOS EIRELI ME</t>
  </si>
  <si>
    <t>TIBAUX JOALHEIROS (2034)</t>
  </si>
  <si>
    <t>LJ 139</t>
  </si>
  <si>
    <t>17902929000290</t>
  </si>
  <si>
    <t>TIBAUX JOALHEIROS (2033)</t>
  </si>
  <si>
    <t>25230873000111</t>
  </si>
  <si>
    <t>SABRINA OTICA EIRELI - EPP</t>
  </si>
  <si>
    <t>SA OTICA ATELIER (3338)</t>
  </si>
  <si>
    <t>saoticaatelier@gmail.com</t>
  </si>
  <si>
    <t>21214632000128</t>
  </si>
  <si>
    <t>SANDRA HELENA DE PELEGRINI ME</t>
  </si>
  <si>
    <t>JOALHERIA E OTICA EDUARDO (2203)</t>
  </si>
  <si>
    <t>LOJA 217</t>
  </si>
  <si>
    <t>541</t>
  </si>
  <si>
    <t>30358362000110</t>
  </si>
  <si>
    <t>SANDRA HENRIQUE SILVA CASCAES</t>
  </si>
  <si>
    <t>CENTRO OTICO DA VISAO (4250)</t>
  </si>
  <si>
    <t>sandrahcascaes@gmail.com</t>
  </si>
  <si>
    <t>RUA 6 DE NOVEMBRO</t>
  </si>
  <si>
    <t>44209893000155</t>
  </si>
  <si>
    <t>SANTA MONICA OTICA RIO BRANCO LTDA</t>
  </si>
  <si>
    <t>OTICA RIO BRANCO SANTA MONICA</t>
  </si>
  <si>
    <t>919</t>
  </si>
  <si>
    <t>SALA 002 FUNDOS</t>
  </si>
  <si>
    <t>31553093000105</t>
  </si>
  <si>
    <t>SANTA VISTA COMERCIO DE PRODUTOS OPTICOS LTDA</t>
  </si>
  <si>
    <t>OTICA SANTA VISTA (4258)</t>
  </si>
  <si>
    <t>ASSISTENCIA@OPTICAJUNG.COM.BR</t>
  </si>
  <si>
    <t>RUA ZECA NEVES</t>
  </si>
  <si>
    <t>11930162000145</t>
  </si>
  <si>
    <t>SANTANA E FIGUEREDO COM. VAREJISTA LTDA</t>
  </si>
  <si>
    <t>OTICA SANTANA (1737)</t>
  </si>
  <si>
    <t>Otica.santana.s@gmail.com</t>
  </si>
  <si>
    <t>SL 13</t>
  </si>
  <si>
    <t>18616583000145</t>
  </si>
  <si>
    <t>SANTIAGO COMERCIO DE PRODUTOS OTICOS LTDA</t>
  </si>
  <si>
    <t>OTICA SANTIAGO (2030)</t>
  </si>
  <si>
    <t>contato.oticasantiago@hotmail.com</t>
  </si>
  <si>
    <t>636</t>
  </si>
  <si>
    <t>17987609000107</t>
  </si>
  <si>
    <t>SARA DE OLIVEIRA CARDOSO 06880190995</t>
  </si>
  <si>
    <t>RELOJOARIA BEATRIZ (2072)</t>
  </si>
  <si>
    <t>oticabeatriz_@hotmail.com</t>
  </si>
  <si>
    <t>41388569000153</t>
  </si>
  <si>
    <t>SAUDE VISUAL SANTA CATARINA LTDA</t>
  </si>
  <si>
    <t>EMPORIO VISUAL (4407)</t>
  </si>
  <si>
    <t>renanmacielfinanceiro@outlook.com</t>
  </si>
  <si>
    <t>AVENIDA OSNI JOAO VIEIRA</t>
  </si>
  <si>
    <t>307</t>
  </si>
  <si>
    <t>00559703000154</t>
  </si>
  <si>
    <t>SCHAPPO &amp; KREBS LTDA</t>
  </si>
  <si>
    <t>MARIO JOALHEIRO (228)</t>
  </si>
  <si>
    <t>ARS LOJA 01</t>
  </si>
  <si>
    <t>28981932000181</t>
  </si>
  <si>
    <t>SCHAYANE DA SILVA LEMOS 07628365981</t>
  </si>
  <si>
    <t>REAL RELOJOARIA E OPTICA (3842)</t>
  </si>
  <si>
    <t>REALOPTICA.SCHAY@GMAIL.COM</t>
  </si>
  <si>
    <t>RUA SAO JOAO BATISTA</t>
  </si>
  <si>
    <t>MORRO GRANDE</t>
  </si>
  <si>
    <t>05068500000189</t>
  </si>
  <si>
    <t>SERGIO PAULO KUHN ME</t>
  </si>
  <si>
    <t>LUX MAX RELOJOARIA, JOALHERIA E OTICA (232)</t>
  </si>
  <si>
    <t>spksergio@hotmail.com</t>
  </si>
  <si>
    <t>LJ7 TOP TOWER</t>
  </si>
  <si>
    <t>45788822000117</t>
  </si>
  <si>
    <t>SHEILA SEDREZ ROCKEMBACH</t>
  </si>
  <si>
    <t>OTICAS SEDREZ (4749)</t>
  </si>
  <si>
    <t>OTICASSEDREZ@GMAIL.COM</t>
  </si>
  <si>
    <t>14441069000246</t>
  </si>
  <si>
    <t>SILVA DALMOLIN JOIAS RELOGIOS OTICA LTDA</t>
  </si>
  <si>
    <t>DALMOLIN JOIAS RELOGIOS OTICA (3883)</t>
  </si>
  <si>
    <t>marcelodalmolin@ig.com.br</t>
  </si>
  <si>
    <t>14441069000165</t>
  </si>
  <si>
    <t>SILVA DALMOLIN JOIAS RELOGIOS OTICA LTDA - ME</t>
  </si>
  <si>
    <t>DALMOLIN JOIAS RELOGIOS OTICA (3814)</t>
  </si>
  <si>
    <t>RUA ALVARO MEDEIROS SANTIAGO</t>
  </si>
  <si>
    <t>SALA 203</t>
  </si>
  <si>
    <t>86309192000138</t>
  </si>
  <si>
    <t>SILVA E BORBA LTDA ME</t>
  </si>
  <si>
    <t>RELOJOARIA E OTICA SAFIRA (415)</t>
  </si>
  <si>
    <t>gabi_sombrio@hotmail.com</t>
  </si>
  <si>
    <t>83647669000105</t>
  </si>
  <si>
    <t>SILVESTRE CIA LTDA  ME</t>
  </si>
  <si>
    <t>OTICA SILVESTRE (442)</t>
  </si>
  <si>
    <t>oticasilvestre@terra.com.br</t>
  </si>
  <si>
    <t>250</t>
  </si>
  <si>
    <t>73709560000193</t>
  </si>
  <si>
    <t>SILVESTRE GARCIA LTDA ME</t>
  </si>
  <si>
    <t>SILVESTRE GARCIA LTDA ME (989)</t>
  </si>
  <si>
    <t>32628495000275</t>
  </si>
  <si>
    <t>SLQ COMERCIO DE JOIAS E OTICA LTDA</t>
  </si>
  <si>
    <t>SLQ COMERCIO DE JOIAS E OTICA LTDA (3997)</t>
  </si>
  <si>
    <t>RUA RUA GENERAL LIBERATO BITTENCOURT</t>
  </si>
  <si>
    <t>SALA 010</t>
  </si>
  <si>
    <t>ESTRETO</t>
  </si>
  <si>
    <t>32628495000194</t>
  </si>
  <si>
    <t>SLQ COMERCIO DE JOIAS E OTICA LTDA (3998)</t>
  </si>
  <si>
    <t>RUA RUA CORONEL TEIXEIRA OLIVEIRA</t>
  </si>
  <si>
    <t>LJ 05 BOULEVARD</t>
  </si>
  <si>
    <t>38046749000142</t>
  </si>
  <si>
    <t>SOUL JOALHERIA E OTICA LTDA</t>
  </si>
  <si>
    <t>QUEVEDO JOALHERIA E OTICA (4245)</t>
  </si>
  <si>
    <t>quevedogaropaba@gmail.com</t>
  </si>
  <si>
    <t>11490667000136</t>
  </si>
  <si>
    <t>SOUZA ABREU JOALHERIA E OTICA LTDA ME</t>
  </si>
  <si>
    <t>EDNA OTICA (1707)</t>
  </si>
  <si>
    <t>ednaotica.palhoca@gmail.com</t>
  </si>
  <si>
    <t>11490667000217</t>
  </si>
  <si>
    <t>EDNA  OTICA (2048)</t>
  </si>
  <si>
    <t>05070338000133</t>
  </si>
  <si>
    <t>SOUZA E COMIN RELOJOARIA E OTICA LTDA  ME</t>
  </si>
  <si>
    <t>OTICA ATUAL (267)</t>
  </si>
  <si>
    <t>otica_atual@terra.com.br</t>
  </si>
  <si>
    <t>02147813000134</t>
  </si>
  <si>
    <t>SUELI EBSEN HELINSKI ME</t>
  </si>
  <si>
    <t>SUELI EBSEN HELINSKI ME (183)</t>
  </si>
  <si>
    <t>fiodeouropraiagrande@gmail.com</t>
  </si>
  <si>
    <t>RUA RUA 19 DE JULHO</t>
  </si>
  <si>
    <t>29230071000324</t>
  </si>
  <si>
    <t>SUELLEN FAGIONI DE SOUZA</t>
  </si>
  <si>
    <t>OTICA VISION (4251)</t>
  </si>
  <si>
    <t>RUA AUGUSTO DESCHAMPS</t>
  </si>
  <si>
    <t>83</t>
  </si>
  <si>
    <t>SÃO PEDRO DE ALCÂNTARA</t>
  </si>
  <si>
    <t>29230071000162</t>
  </si>
  <si>
    <t>OTICA VISION (4113)</t>
  </si>
  <si>
    <t>RUA JOSE PEREIRA DA SILVA</t>
  </si>
  <si>
    <t>32558976000170</t>
  </si>
  <si>
    <t>SUNGLASS COMERCIO DE OCULOS E ACESSORIOS LTDA</t>
  </si>
  <si>
    <t>ESQUADRA (4670)</t>
  </si>
  <si>
    <t>ESQUADRA.OCULOS@GMAIL.COM</t>
  </si>
  <si>
    <t>RUA LUIZ DE CAMOES</t>
  </si>
  <si>
    <t>09006536000199</t>
  </si>
  <si>
    <t>SURF GRANDES MARES LTDA</t>
  </si>
  <si>
    <t>MARIO JOALHEIROS (1718)</t>
  </si>
  <si>
    <t>LJ 101/103</t>
  </si>
  <si>
    <t>12058861000100</t>
  </si>
  <si>
    <t>SYRIACO ATHERINO SZPOGANICZ - EPP</t>
  </si>
  <si>
    <t>TIBAUX JOALHEIROS (3832)</t>
  </si>
  <si>
    <t>tibauxjoalheiros@hotmail.com</t>
  </si>
  <si>
    <t>23058188000639</t>
  </si>
  <si>
    <t>T &amp; D RELOJOARIA E OTICA LTDA</t>
  </si>
  <si>
    <t>OTICAS MONDO (4504)</t>
  </si>
  <si>
    <t>FINANCEIRO@OTICASMONDO.COM.BR</t>
  </si>
  <si>
    <t>RUA VIVIL KOZUSCHOVSKI</t>
  </si>
  <si>
    <t>APT 102</t>
  </si>
  <si>
    <t>23058188000558</t>
  </si>
  <si>
    <t>OTICAS MONDO (4175)</t>
  </si>
  <si>
    <t>esm@oticasmondo.com.br</t>
  </si>
  <si>
    <t>RODOVIA V LATERAL BR 101 PREFEITO SANTELMO BORBA</t>
  </si>
  <si>
    <t>BOX 1 BL D</t>
  </si>
  <si>
    <t>23058188000710</t>
  </si>
  <si>
    <t>ÓTICAS MONDO (4491)</t>
  </si>
  <si>
    <t>SALA 72</t>
  </si>
  <si>
    <t>23058188000124</t>
  </si>
  <si>
    <t>T E D RELOJOARIA E OTICA LTDA</t>
  </si>
  <si>
    <t>MONDO RELOJOARIA E OTICA (2248)</t>
  </si>
  <si>
    <t>oticasmondo@outlook.com</t>
  </si>
  <si>
    <t>RUA MARGINAL BR 101 PREF. SANTELMO BORBA</t>
  </si>
  <si>
    <t>SALA 33</t>
  </si>
  <si>
    <t>23058188000205</t>
  </si>
  <si>
    <t>OTICAS MONDO (3859)</t>
  </si>
  <si>
    <t>SALA 01-12-13</t>
  </si>
  <si>
    <t>23058188000396</t>
  </si>
  <si>
    <t>OTICAS MONDO (4090)</t>
  </si>
  <si>
    <t>deposito@compredeboa.com</t>
  </si>
  <si>
    <t>RUA IMIGRANTES</t>
  </si>
  <si>
    <t>LOTEAMENTO ITAPUA</t>
  </si>
  <si>
    <t>BALNEÁRIO GAIVOTA</t>
  </si>
  <si>
    <t>23058188000477</t>
  </si>
  <si>
    <t>T E D REOLOJOARIA E OPTICA</t>
  </si>
  <si>
    <t>OTICAS MONDO (4089)</t>
  </si>
  <si>
    <t>RUA LUIZ JOAO BATISTA</t>
  </si>
  <si>
    <t>471</t>
  </si>
  <si>
    <t>22359213000147</t>
  </si>
  <si>
    <t>TAIRONE &amp; CARVALHO COMERCIO DE ARTIGOS DE OTICA LTDA</t>
  </si>
  <si>
    <t>OTICA CRIS (4278)</t>
  </si>
  <si>
    <t>CRISJOIASEOTICA@GMAIL.COM</t>
  </si>
  <si>
    <t>RUA ALMISCAR</t>
  </si>
  <si>
    <t>10765368000102</t>
  </si>
  <si>
    <t>TAIS RAMOS SANTAROSA ME</t>
  </si>
  <si>
    <t>ARTE DO OLHAR (1706)</t>
  </si>
  <si>
    <t>SALA 12</t>
  </si>
  <si>
    <t>KOBRASSOL</t>
  </si>
  <si>
    <t>25451803000193</t>
  </si>
  <si>
    <t>TAISI PEREIRA ROCHA PERRARO - ME</t>
  </si>
  <si>
    <t>MERCADÃO DOS ÓCULOS (3363)</t>
  </si>
  <si>
    <t>ELOSGERENTE@GMAIL.COM</t>
  </si>
  <si>
    <t>18813792000189</t>
  </si>
  <si>
    <t>TATIANA PERES 76619141072</t>
  </si>
  <si>
    <t>LIONS VISION (2052)</t>
  </si>
  <si>
    <t>OTICALIONSVISION@YAHOO.COM.BR</t>
  </si>
  <si>
    <t>RUA SC 434 KM 11 AVENIDA PERIMETRAL</t>
  </si>
  <si>
    <t>18794793000123</t>
  </si>
  <si>
    <t>TATIANE CRISTINE WIPPRICH EIRELI ME</t>
  </si>
  <si>
    <t>ÓTICA MODELO (2049)</t>
  </si>
  <si>
    <t>TATIANEWIPPRICH@HOTMAIL.COM</t>
  </si>
  <si>
    <t>325</t>
  </si>
  <si>
    <t>18513389000134</t>
  </si>
  <si>
    <t>TATIG COMERCIO DE PRODUTOS OPTICOS EIRELE</t>
  </si>
  <si>
    <t>OTICAS CAROL (4042)</t>
  </si>
  <si>
    <t>SL01 ARS</t>
  </si>
  <si>
    <t>06063988000114</t>
  </si>
  <si>
    <t>TESSARO JOIAS LTDA ME</t>
  </si>
  <si>
    <t>BRUNA TESSARO JOIAS (1978)</t>
  </si>
  <si>
    <t>AVENIDA ATILIO PAGANI</t>
  </si>
  <si>
    <t>SALA 233</t>
  </si>
  <si>
    <t>24264978000129</t>
  </si>
  <si>
    <t>THG OTICA E RELOGIOS LTDA</t>
  </si>
  <si>
    <t>GUZZATTI (3301)</t>
  </si>
  <si>
    <t>guzzattinacoes@gmail.com</t>
  </si>
  <si>
    <t>LOJA 152</t>
  </si>
  <si>
    <t>28222192000280</t>
  </si>
  <si>
    <t>THIAGO E ALINE COMERCIO DE BIJUTERIAS E OTICA LTDA</t>
  </si>
  <si>
    <t>MARQUES JOIAS (4583)</t>
  </si>
  <si>
    <t>MARQUESJOIASEOTICA@GMAIL.COM</t>
  </si>
  <si>
    <t>692</t>
  </si>
  <si>
    <t>FAZENDA DA ARMACAO</t>
  </si>
  <si>
    <t>28222192000108</t>
  </si>
  <si>
    <t>THIAGO E ALINE COMERCIO DE BIJUTERIAS E OTICA LTDA - ME</t>
  </si>
  <si>
    <t>OTICA MARQUES (3821)</t>
  </si>
  <si>
    <t>marquesjoiaseotica@gmail.com</t>
  </si>
  <si>
    <t>RUA GANCHOS</t>
  </si>
  <si>
    <t>643</t>
  </si>
  <si>
    <t>TERREOSALA 1</t>
  </si>
  <si>
    <t>GANCHOS DO MEIO</t>
  </si>
  <si>
    <t>28222192000361</t>
  </si>
  <si>
    <t>THIAGO E ALINE COMO DE BIJUTERIAS E OTICA LTDA</t>
  </si>
  <si>
    <t>MARQUES JOIAS E OTICA</t>
  </si>
  <si>
    <t>RUA ROSENDO JOAQUIM SAGAS</t>
  </si>
  <si>
    <t>1164</t>
  </si>
  <si>
    <t>PALMAS</t>
  </si>
  <si>
    <t>97955249000192</t>
  </si>
  <si>
    <t>THOME VITORETI</t>
  </si>
  <si>
    <t>OTICA E RELOJOARIA VITORIA (1477)</t>
  </si>
  <si>
    <t>reloticavitoria@hotmail.com</t>
  </si>
  <si>
    <t>PRACA XV DE NOVEMBRO</t>
  </si>
  <si>
    <t>73711947000346</t>
  </si>
  <si>
    <t>TIBAUX JOALHEIROS-COM DE JOIAS E REL. LTDA</t>
  </si>
  <si>
    <t>TIBAUX ITAGUAÇU (1438)</t>
  </si>
  <si>
    <t>LJ 15</t>
  </si>
  <si>
    <t>20403483000182</t>
  </si>
  <si>
    <t>TMR OPTICA E JOALHERIA LTDA ME</t>
  </si>
  <si>
    <t>OTICA RODRIGUES (2154)</t>
  </si>
  <si>
    <t>oticarodrigues@hotmail.com</t>
  </si>
  <si>
    <t>1959</t>
  </si>
  <si>
    <t>09188147000121</t>
  </si>
  <si>
    <t>TOLENTINO COM. DE ARTIGOS OPTICOS LTDA</t>
  </si>
  <si>
    <t>OTICA SOUZA LTDA (1388)</t>
  </si>
  <si>
    <t>TOLENTINOCOMERCIODEARTIGOSOPTICOSLTDA@HOTMAIL.COM</t>
  </si>
  <si>
    <t>2610</t>
  </si>
  <si>
    <t>SL 1</t>
  </si>
  <si>
    <t>35273892000189</t>
  </si>
  <si>
    <t>TOP AERO ACESSORIOS DE MODA LTDA</t>
  </si>
  <si>
    <t>CHILLI BEANS (4092)</t>
  </si>
  <si>
    <t>DEPUTADO DIOMÍCIO FREITAS</t>
  </si>
  <si>
    <t>3393</t>
  </si>
  <si>
    <t>1° PAV AEROPORT</t>
  </si>
  <si>
    <t>CARIANOS</t>
  </si>
  <si>
    <t>23315448000108</t>
  </si>
  <si>
    <t>TOP SUL ACESSORIOS DE MODA LTDA EPP</t>
  </si>
  <si>
    <t>CHILLI BEANS (3306)</t>
  </si>
  <si>
    <t>LOJA 27</t>
  </si>
  <si>
    <t>15737105000103</t>
  </si>
  <si>
    <t>TOPAZIO JOALHERIA E OTICA EIRELI EPP</t>
  </si>
  <si>
    <t>OTICA QUEVEDO (1990)</t>
  </si>
  <si>
    <t>15737105000286</t>
  </si>
  <si>
    <t>TOPAZIO JOALHERIA E OTICA EIRELLI EPP</t>
  </si>
  <si>
    <t>QUEVEDO JOALHERIA E OTICA  (2164)</t>
  </si>
  <si>
    <t>MARCOLINO MARTINS CABRAL</t>
  </si>
  <si>
    <t>LOJA 90</t>
  </si>
  <si>
    <t>04669929000169</t>
  </si>
  <si>
    <t>TRAJANO E ROSA LTDA</t>
  </si>
  <si>
    <t>ALCIDINO JOALHERIA E OTICA (127)</t>
  </si>
  <si>
    <t>31435210000136</t>
  </si>
  <si>
    <t>TRIND COMERCIO DE PRODUTOS OPTICOS EIRELI</t>
  </si>
  <si>
    <t>OTICAS CAROL (3922)</t>
  </si>
  <si>
    <t>RUA VIRGILIO VARZEA</t>
  </si>
  <si>
    <t>LJ230/0231 SPL2</t>
  </si>
  <si>
    <t>31435210000217</t>
  </si>
  <si>
    <t>OTICAS CAROL (3973)</t>
  </si>
  <si>
    <t>oticascarolfloripa@gmail.com</t>
  </si>
  <si>
    <t>42038130000163</t>
  </si>
  <si>
    <t>TURCATTI RELOJOARIA JOALHERIA E OTICA LTDA</t>
  </si>
  <si>
    <t>OTICA TURCATTI (4355)</t>
  </si>
  <si>
    <t>oticaturcatti@gmail.com</t>
  </si>
  <si>
    <t>19962780000189</t>
  </si>
  <si>
    <t>TURQUESA JOALHERIA E OTICA EIREI EPP</t>
  </si>
  <si>
    <t>QUEVEDO (2165)</t>
  </si>
  <si>
    <t>LOJA 305</t>
  </si>
  <si>
    <t>12985702000150</t>
  </si>
  <si>
    <t>ULTRA CENTRAL ACESSORIOS DE MODA LTDA EPP</t>
  </si>
  <si>
    <t>CHILLI BEANS (2055)</t>
  </si>
  <si>
    <t>LOJA E</t>
  </si>
  <si>
    <t>337</t>
  </si>
  <si>
    <t>15833712000169</t>
  </si>
  <si>
    <t>ULTRA CONTINENTE ACESSORIOS DE MODA LTDA ME</t>
  </si>
  <si>
    <t>CHILLI BEANS (2238)</t>
  </si>
  <si>
    <t>SALA 140 SHOP C</t>
  </si>
  <si>
    <t>17897611000187</t>
  </si>
  <si>
    <t>ULTRA ILUMINADA ACESSORIOS DE MODA LTDA EPP</t>
  </si>
  <si>
    <t>CHILLI BEANS (2147)</t>
  </si>
  <si>
    <t>FAROL SHOPPING</t>
  </si>
  <si>
    <t>17903025000106</t>
  </si>
  <si>
    <t>ULTRA NOVA ACESSORIOS DE MODA LTDA - EPP</t>
  </si>
  <si>
    <t>CHILLI BEANS (2267)</t>
  </si>
  <si>
    <t>LC144 FLORIPA S</t>
  </si>
  <si>
    <t>484</t>
  </si>
  <si>
    <t>13013334000141</t>
  </si>
  <si>
    <t>ULTRA SUL ACESSORIOS DE MODA LTDA</t>
  </si>
  <si>
    <t>CHILLI BEANS (4300)</t>
  </si>
  <si>
    <t>PRAÇA DR. NEREU RAMOS</t>
  </si>
  <si>
    <t>L 7 SH CENTER D</t>
  </si>
  <si>
    <t>13013334000303</t>
  </si>
  <si>
    <t>ULTRA SUL ACESSORIOS DE MODA LTDA - EPP</t>
  </si>
  <si>
    <t>CHILLI BEANS (3815)</t>
  </si>
  <si>
    <t>RUA GABRIEL ZANETTE</t>
  </si>
  <si>
    <t>SALA 134</t>
  </si>
  <si>
    <t>19199618000231</t>
  </si>
  <si>
    <t>ULTRA T SHIRT ACESSORIOS DE MODA LTDA</t>
  </si>
  <si>
    <t>CHILLI BEANS (3913)</t>
  </si>
  <si>
    <t>lages.garden@chillisc.com.br</t>
  </si>
  <si>
    <t>19199618000150</t>
  </si>
  <si>
    <t>ULTRA T SHIRT ACESSORIOS DE MODA LTDA - EPP</t>
  </si>
  <si>
    <t>CHILLI BEANS (3350)</t>
  </si>
  <si>
    <t>vinicius@microlages.com.br</t>
  </si>
  <si>
    <t>RODOVIA BR 282</t>
  </si>
  <si>
    <t>LAGES GARD SHOP</t>
  </si>
  <si>
    <t>10558119000308</t>
  </si>
  <si>
    <t>ULTRA VIOLETA ACESSORIOS DE MODA LTDA</t>
  </si>
  <si>
    <t>CHILLI BEANS (4606)</t>
  </si>
  <si>
    <t>FINANCEIRO3.ESTRELA@GMAIL.COM</t>
  </si>
  <si>
    <t>MADRE BENVENUTA</t>
  </si>
  <si>
    <t>PISO L2</t>
  </si>
  <si>
    <t>10558119000138</t>
  </si>
  <si>
    <t>ULTRA VIOLETA ACESSORIOS DE MODA LTDA EPP</t>
  </si>
  <si>
    <t>CHILLI BEANS (2146)</t>
  </si>
  <si>
    <t>LJ 324 IGUATEMI</t>
  </si>
  <si>
    <t>46661296000192</t>
  </si>
  <si>
    <t>VA FREITAS LTDA</t>
  </si>
  <si>
    <t>VA FREITAS LTDA (4548)</t>
  </si>
  <si>
    <t>VANESSA.PHO@HOTMAIL.COM</t>
  </si>
  <si>
    <t>SALA 24</t>
  </si>
  <si>
    <t>81793283000178</t>
  </si>
  <si>
    <t>VALDIR CACHOEIRA RODRIGUES ME</t>
  </si>
  <si>
    <t>RELOJOARIA TIC TAC (651)</t>
  </si>
  <si>
    <t>relojoaria_eoticatictac@hotmail.com</t>
  </si>
  <si>
    <t>19926775000110</t>
  </si>
  <si>
    <t>VALQUIRIA SILVA DE AVIZ ME</t>
  </si>
  <si>
    <t>VALQUIRIA SILVA DE AVIZ ME (2090)</t>
  </si>
  <si>
    <t>valmor.otica@gmail.com</t>
  </si>
  <si>
    <t>RUA IRINEU BORNHAUSEN</t>
  </si>
  <si>
    <t>648</t>
  </si>
  <si>
    <t>43213894000100</t>
  </si>
  <si>
    <t>VANDERLEA HENRIQUE OTICA LTDA</t>
  </si>
  <si>
    <t>OTICA DINIZ (4390)</t>
  </si>
  <si>
    <t>VANDERLEA.NETO@OUTLOOK.COM</t>
  </si>
  <si>
    <t>12195923000125</t>
  </si>
  <si>
    <t>VANESSA COLISSI 00334768020</t>
  </si>
  <si>
    <t>CHAMALIZ (4123)</t>
  </si>
  <si>
    <t>LIZ.POLLY@GMAIL.COM</t>
  </si>
  <si>
    <t>COND CASA</t>
  </si>
  <si>
    <t>46949650000189</t>
  </si>
  <si>
    <t>VANESSA TEREZINHA FLORES FAZIO OTICA VAN</t>
  </si>
  <si>
    <t>OTICA VAN</t>
  </si>
  <si>
    <t>vanfloreseyewear@outlook.com</t>
  </si>
  <si>
    <t>1325</t>
  </si>
  <si>
    <t>EM CIMA</t>
  </si>
  <si>
    <t>27513171000170</t>
  </si>
  <si>
    <t>VANIA SOARES FERREIRA EIRELI - ME</t>
  </si>
  <si>
    <t>OPTICA GURIAS DE IPANEMA (3816)</t>
  </si>
  <si>
    <t>OPTICAGURIASDEIPANEMA@HOTMAIL.COM</t>
  </si>
  <si>
    <t>RUA JOAO ORESTES DE ARAUJO</t>
  </si>
  <si>
    <t>1055</t>
  </si>
  <si>
    <t>41641230000117</t>
  </si>
  <si>
    <t>VC COMERCIO DE PRODUTOS OTICOS LTDA</t>
  </si>
  <si>
    <t>OTICAS CAROL (4325)</t>
  </si>
  <si>
    <t>33019917000278</t>
  </si>
  <si>
    <t>VEIGA E SOUZA COMERCIO DE OPTICA LTDA</t>
  </si>
  <si>
    <t>MERCADAO DOS OCULOS (3987)</t>
  </si>
  <si>
    <t>sc-lages@mercadaodosoculos.com.br</t>
  </si>
  <si>
    <t>2330</t>
  </si>
  <si>
    <t>14281013000190</t>
  </si>
  <si>
    <t>VERAO ACESSORIOS DE MODA LTDA</t>
  </si>
  <si>
    <t>CHILLI BEANS (4596)</t>
  </si>
  <si>
    <t>SHOPCAMPECHE.LJ@LOJASCHILLIBEANS.COM.BR</t>
  </si>
  <si>
    <t>FRANCISCO MAGNO VIEIRA</t>
  </si>
  <si>
    <t>02435426000101</t>
  </si>
  <si>
    <t>VERAS COMERCIAL OTICO LTDA ME</t>
  </si>
  <si>
    <t>OTICA LUIZA (1089)</t>
  </si>
  <si>
    <t>verascomercialotico@gmail.com</t>
  </si>
  <si>
    <t>39506104000108</t>
  </si>
  <si>
    <t>VERAS E VERAS COMERCIO VAREJISTA DE PRODUTOS OPTICOS LTDA</t>
  </si>
  <si>
    <t>OTICA SANTA LUZIA (4269)</t>
  </si>
  <si>
    <t>RUA MAJOR JOAQUIM A. DE CAMPOS</t>
  </si>
  <si>
    <t>5860</t>
  </si>
  <si>
    <t>35621104000106</t>
  </si>
  <si>
    <t>VIA CAMPINAS COMERCIO DE PRODUTOS OPTICOS LTDA</t>
  </si>
  <si>
    <t>VIA VISAO (4215)</t>
  </si>
  <si>
    <t>viavisaocampinas@gmail.com</t>
  </si>
  <si>
    <t>AVENIDA PRESIDENTE KENNEDY</t>
  </si>
  <si>
    <t>38299923000169</t>
  </si>
  <si>
    <t>VIA CATARINA JOALHERIA E OPTICA LTDA</t>
  </si>
  <si>
    <t>QUEVEDO JOALHERIA E OTICA (4225)</t>
  </si>
  <si>
    <t>quevedo.viacatarina@gmail.com</t>
  </si>
  <si>
    <t>AVENIDA ATILIO PEDRO PAGANI</t>
  </si>
  <si>
    <t>SHOP LJ 217/218</t>
  </si>
  <si>
    <t>47704593000130</t>
  </si>
  <si>
    <t>VIA CEISA JOALHERIA E OPTICA LTDA</t>
  </si>
  <si>
    <t>D JU</t>
  </si>
  <si>
    <t>financeiro@wopefranchising.com.br</t>
  </si>
  <si>
    <t>- ATE 532 - LADO PAR</t>
  </si>
  <si>
    <t>32402433000160</t>
  </si>
  <si>
    <t>VIA FLORIANOPOLIS COMERCIO DE PROUTOS OPTICOS LTDA</t>
  </si>
  <si>
    <t>VIA FLORIANOPOLIS (4013)</t>
  </si>
  <si>
    <t>viavisaokobrasol@gmail.com</t>
  </si>
  <si>
    <t>49141095000152</t>
  </si>
  <si>
    <t>VIA GAROPABA JOALHERIA E OPTICA LTDA</t>
  </si>
  <si>
    <t>VIA EXATA (4661)</t>
  </si>
  <si>
    <t>31549003000102</t>
  </si>
  <si>
    <t>VIA KOBRASOL JOALHERIA E OPTICA LTDA</t>
  </si>
  <si>
    <t>VIA VISAO (4002)</t>
  </si>
  <si>
    <t>LJ 3</t>
  </si>
  <si>
    <t>07394370000108</t>
  </si>
  <si>
    <t>VIEIRA FERNANDES E CIA LTDA</t>
  </si>
  <si>
    <t>VIEIRA JOIAS E OPTICA (854)</t>
  </si>
  <si>
    <t>vieirajoiaseoptica@gmail.com</t>
  </si>
  <si>
    <t>83842153000103</t>
  </si>
  <si>
    <t>VILMA MARIA VITORETI</t>
  </si>
  <si>
    <t>VILMA MARIA VITORETI (457)</t>
  </si>
  <si>
    <t>oticavitoreti@hotmail.com</t>
  </si>
  <si>
    <t>AVENIDA RUI BARBOSA</t>
  </si>
  <si>
    <t>17161064000177</t>
  </si>
  <si>
    <t>VILMAR ARI MARTINS JUNIOR ME</t>
  </si>
  <si>
    <t>OTICA ESSENCIAL (1958)</t>
  </si>
  <si>
    <t>junior_vilmar@hotmail.com</t>
  </si>
  <si>
    <t>51812936000158</t>
  </si>
  <si>
    <t>VINICIUS FERRONATTO LTDA</t>
  </si>
  <si>
    <t>CHILLI BEANS (4773)</t>
  </si>
  <si>
    <t>SALA 243 PAVMTO</t>
  </si>
  <si>
    <t>27705683000139</t>
  </si>
  <si>
    <t>VISAO OTICA 2020 LTDA</t>
  </si>
  <si>
    <t>OTICA VISAO (4216)</t>
  </si>
  <si>
    <t>OTICAVISAO@GMAIL.COM</t>
  </si>
  <si>
    <t>00508765000137</t>
  </si>
  <si>
    <t>CRAFTS (932)</t>
  </si>
  <si>
    <t>75860353000160</t>
  </si>
  <si>
    <t>VISOTICA ARTIGOS OTICOS LTDA EPP</t>
  </si>
  <si>
    <t>VISOTICA (461)</t>
  </si>
  <si>
    <t>RUA DOS ILHEUS</t>
  </si>
  <si>
    <t>20416503000150</t>
  </si>
  <si>
    <t>VISUAL OTICA COMERCIO DE JOALHERIA E REL LTDA ME</t>
  </si>
  <si>
    <t>OTICA VISUAL (2142)</t>
  </si>
  <si>
    <t>visualjoalheriaeotica@hotmail.com</t>
  </si>
  <si>
    <t>1604</t>
  </si>
  <si>
    <t>00641119000143</t>
  </si>
  <si>
    <t>VITAL JOALHERIA E OTICA LTDA - ME</t>
  </si>
  <si>
    <t>VITAL JOALHERIA E OTICA LTDA (849)</t>
  </si>
  <si>
    <t>vitaloptica@yahoo.com.br</t>
  </si>
  <si>
    <t>1788</t>
  </si>
  <si>
    <t>34054448000371</t>
  </si>
  <si>
    <t>VITOR S OPTICA LTDA</t>
  </si>
  <si>
    <t>OTICAS CAROL(4304)</t>
  </si>
  <si>
    <t>LOJA2290@OTICASCAROL.COM.BR</t>
  </si>
  <si>
    <t>RUA FREI GABRIEL</t>
  </si>
  <si>
    <t>588</t>
  </si>
  <si>
    <t>UNIVERSITARIO</t>
  </si>
  <si>
    <t>34054448000100</t>
  </si>
  <si>
    <t>VITOR`S OPTICA LTDA</t>
  </si>
  <si>
    <t>OTICAS CAROL (4025)</t>
  </si>
  <si>
    <t>guilhermecarvalho1@hotmail.com</t>
  </si>
  <si>
    <t>ROD RODOVIA BR 282 S/N</t>
  </si>
  <si>
    <t>KM 216 SL 23</t>
  </si>
  <si>
    <t>GUARUJA</t>
  </si>
  <si>
    <t>34054448000290</t>
  </si>
  <si>
    <t>OTICAS CAROL (4033)</t>
  </si>
  <si>
    <t>janazm@gmail.com</t>
  </si>
  <si>
    <t>CAL TUlio FiUza de Carvalho 71</t>
  </si>
  <si>
    <t>44292396000163</t>
  </si>
  <si>
    <t>VIVA OTICA LTDA</t>
  </si>
  <si>
    <t>VIVA OTICA (4569)</t>
  </si>
  <si>
    <t>CATIANAFERREIRA@HOTMAIL.COM</t>
  </si>
  <si>
    <t>RUA DO GRAMAL</t>
  </si>
  <si>
    <t>34905581000122</t>
  </si>
  <si>
    <t>VIZIONI COMERCIO DE ACESSORIOS LTDA</t>
  </si>
  <si>
    <t>VIZIONI OTICA (4060)</t>
  </si>
  <si>
    <t>brunodinapoli.ojo@gmail.com</t>
  </si>
  <si>
    <t>AVENIDA TROMPOWSKY</t>
  </si>
  <si>
    <t>44854674000129</t>
  </si>
  <si>
    <t>VIZOU COMERCIO DE ARTIGOS OPTICOS E ACESSORIOS LTDA</t>
  </si>
  <si>
    <t>OTICAS VIZOU</t>
  </si>
  <si>
    <t>vizouotica@gmail.com</t>
  </si>
  <si>
    <t>RODOVIA SC-281</t>
  </si>
  <si>
    <t>2665</t>
  </si>
  <si>
    <t>94032976000190</t>
  </si>
  <si>
    <t>VOLNEI CARLOS MEZZOMO</t>
  </si>
  <si>
    <t>OPTICA ATIVA (1446)</t>
  </si>
  <si>
    <t>opticaativa@gmail.com</t>
  </si>
  <si>
    <t>718</t>
  </si>
  <si>
    <t>36585923000108</t>
  </si>
  <si>
    <t>WALLACE SANTIAGO DA SILVA OTICA</t>
  </si>
  <si>
    <t>MARROM MIX OTICA (4724)</t>
  </si>
  <si>
    <t>MARROMWS@HOTMAIL.COM</t>
  </si>
  <si>
    <t>LISBOA</t>
  </si>
  <si>
    <t>1070</t>
  </si>
  <si>
    <t>19051197000116</t>
  </si>
  <si>
    <t>WD OPTICA E JOALHERIA LTDA ME</t>
  </si>
  <si>
    <t>ESTATUS OPTICA E JOALHERIA (2068)</t>
  </si>
  <si>
    <t>morgana@estatusotica.com.br</t>
  </si>
  <si>
    <t>78</t>
  </si>
  <si>
    <t>84902204000108</t>
  </si>
  <si>
    <t>WERNER E CIA LTDA</t>
  </si>
  <si>
    <t>RELOJOARIA, JOALHERIA E OTICA WERNER (1073)</t>
  </si>
  <si>
    <t>oticawerner@gmail.com</t>
  </si>
  <si>
    <t>20063233000140</t>
  </si>
  <si>
    <t>WINNY TORRES DA SILVA 09013265936</t>
  </si>
  <si>
    <t>OPTICA FASCINIO (2191)</t>
  </si>
  <si>
    <t>WINNY_SILVA@HOTMAIL.COM</t>
  </si>
  <si>
    <t>CORONEL SERAFIM SILVA MATOS</t>
  </si>
  <si>
    <t>05800050000177</t>
  </si>
  <si>
    <t>WMAI INFORMATICA LTDA - ME</t>
  </si>
  <si>
    <t>COSMUS INFORMATICA E OTICA ISIDORO (11932)</t>
  </si>
  <si>
    <t>aloisio@cosmusinformatica.com.br</t>
  </si>
  <si>
    <t>29180798000182</t>
  </si>
  <si>
    <t>WMS RELOJOARIA E OPTICA EIRELI</t>
  </si>
  <si>
    <t>MERCADAO DOS OCULOS (3852)</t>
  </si>
  <si>
    <t>357</t>
  </si>
  <si>
    <t>36045290000137</t>
  </si>
  <si>
    <t>WOPE FRANCHISING E PARTICIPACOES LTDA</t>
  </si>
  <si>
    <t>WOPE FRANCHISING E PARTICIPACOES (4368)</t>
  </si>
  <si>
    <t>RUA DOS CAFEZAIS</t>
  </si>
  <si>
    <t>BOSQUE DAS MANSOES</t>
  </si>
  <si>
    <t>39696267000109</t>
  </si>
  <si>
    <t>WRJ LAGUNA SC LTDA</t>
  </si>
  <si>
    <t>MERCADAO DOS OCULOS LAGUNA (4254)</t>
  </si>
  <si>
    <t>regisantoniol@hotmail.com</t>
  </si>
  <si>
    <t>34596752000189</t>
  </si>
  <si>
    <t>ZETI OPTICA E JOALHERIA LTDA</t>
  </si>
  <si>
    <t>ZETI OPTICA E JOALHERIA (4346)</t>
  </si>
  <si>
    <t>CLAUDIAOPTICA@YAHOO.COM.BR</t>
  </si>
  <si>
    <t>42857368000110</t>
  </si>
  <si>
    <t>ZETI OPTICAS LTDA</t>
  </si>
  <si>
    <t>ZETI OPTICAS (4433)</t>
  </si>
  <si>
    <t>ZETIOPTICAS@YAHOO.COM.BR</t>
  </si>
  <si>
    <t>RUA DR ANTONIO BOTTINI</t>
  </si>
  <si>
    <t>50860044000160</t>
  </si>
  <si>
    <t>ZMO OTICA LTDA</t>
  </si>
  <si>
    <t>Q OCULOS FLORIPA (4718)</t>
  </si>
  <si>
    <t>LOJA129@QOCULOS.COM.BR</t>
  </si>
  <si>
    <t>SC 401</t>
  </si>
  <si>
    <t>L 1</t>
  </si>
  <si>
    <t>FABIANA GODOY</t>
  </si>
  <si>
    <t>36591149000130</t>
  </si>
  <si>
    <t>3.R.L. ARTIGOS OTICOS LTDA</t>
  </si>
  <si>
    <t>OTICA REGGIANE (4409)</t>
  </si>
  <si>
    <t>OTICAREGGIANE@OUTLOOK.COM</t>
  </si>
  <si>
    <t>CORONEL MARCOS KONDER</t>
  </si>
  <si>
    <t>1313</t>
  </si>
  <si>
    <t>ITAJAÍ</t>
  </si>
  <si>
    <t>48718535000129</t>
  </si>
  <si>
    <t>48.718.535 PAULA FERNANDA FERREIRA ARRUDA</t>
  </si>
  <si>
    <t>MUNDO DOS OCULOS (4733)</t>
  </si>
  <si>
    <t>MUNDODOSOCULOSITAJAI@GMAIL.COM</t>
  </si>
  <si>
    <t>RUA HEITOR LIBERATO - ATE 939 - LADO IMPAR</t>
  </si>
  <si>
    <t>1009</t>
  </si>
  <si>
    <t>ITAJAI</t>
  </si>
  <si>
    <t>18985683000149</t>
  </si>
  <si>
    <t>A E K MARTINS OTICAS LTDA</t>
  </si>
  <si>
    <t>OTICA DINIZ (2079)</t>
  </si>
  <si>
    <t>1357</t>
  </si>
  <si>
    <t>86975216000198</t>
  </si>
  <si>
    <t>A.R.V. COM. DE JOIAS E RELOGIOS LTDA</t>
  </si>
  <si>
    <t>OTICA GIPSI (786)</t>
  </si>
  <si>
    <t>gipsyarv@yahoo.com.br</t>
  </si>
  <si>
    <t>RUA TIJUCAS</t>
  </si>
  <si>
    <t>136</t>
  </si>
  <si>
    <t>11811459000191</t>
  </si>
  <si>
    <t>ABSOLUTA COMERCIO DE PROD. OTICOS LTDA ME</t>
  </si>
  <si>
    <t>OTICA ABSOLUTA (1729)</t>
  </si>
  <si>
    <t>oticaabsolutabc@gmail.com</t>
  </si>
  <si>
    <t>AVENIDA 3 AVENIDA</t>
  </si>
  <si>
    <t>159</t>
  </si>
  <si>
    <t>BALNEÁRIO CAMBORIÚ</t>
  </si>
  <si>
    <t>42991516000195</t>
  </si>
  <si>
    <t>AD COMERCIO, JOALHERIA E OTICA LTDA</t>
  </si>
  <si>
    <t>DANJU JOIAS (4382)</t>
  </si>
  <si>
    <t>DANJUTJ@HOTMAIL.COM</t>
  </si>
  <si>
    <t>AVENIDA BAYER FILHO</t>
  </si>
  <si>
    <t>1695</t>
  </si>
  <si>
    <t>BOX 2 A</t>
  </si>
  <si>
    <t>TIJUCAS</t>
  </si>
  <si>
    <t>85333920000184</t>
  </si>
  <si>
    <t>ADEMAR DE OLIVEIRA SOUZA</t>
  </si>
  <si>
    <t>OTICA PONTUAL (634)</t>
  </si>
  <si>
    <t>ppontual@brturbo.com.br</t>
  </si>
  <si>
    <t>AVENIDA SANTA CATARINA</t>
  </si>
  <si>
    <t>693</t>
  </si>
  <si>
    <t>BARRA VELHA</t>
  </si>
  <si>
    <t>14831385000143</t>
  </si>
  <si>
    <t>ADENI ROCHA FILHO - RELOGIOS</t>
  </si>
  <si>
    <t>OTIKA (1901)</t>
  </si>
  <si>
    <t>ADENIROCHA1981@GMAIL.COM</t>
  </si>
  <si>
    <t>DOUTOR REINALDO SCHMITHAUSEN</t>
  </si>
  <si>
    <t>2126</t>
  </si>
  <si>
    <t>CORDEIROS</t>
  </si>
  <si>
    <t>28917232000128</t>
  </si>
  <si>
    <t>ALAN PAIXAO DE SOUZA - ME</t>
  </si>
  <si>
    <t>OTICA DINIZ (3853)</t>
  </si>
  <si>
    <t>riodosul.financeiro@oticasdiniz.com.br</t>
  </si>
  <si>
    <t>RUA CARLOS GOMES</t>
  </si>
  <si>
    <t>40</t>
  </si>
  <si>
    <t>RIO DO SUL</t>
  </si>
  <si>
    <t>37232805000170</t>
  </si>
  <si>
    <t>ALDA CAIRES DA PAIXAO FONSECA 61658740297</t>
  </si>
  <si>
    <t>OTICAS LAINE (4139)</t>
  </si>
  <si>
    <t>oticaslaine@gmail.com</t>
  </si>
  <si>
    <t>RUA BOTUVERA</t>
  </si>
  <si>
    <t>184</t>
  </si>
  <si>
    <t>DENTRO MERCADO</t>
  </si>
  <si>
    <t>DOM JOAQUIM</t>
  </si>
  <si>
    <t>BRUSQUE</t>
  </si>
  <si>
    <t>03097978000101</t>
  </si>
  <si>
    <t>ALEXANDRE DA SILVA ME</t>
  </si>
  <si>
    <t>LUNMINI OTICA (1674)</t>
  </si>
  <si>
    <t>1304</t>
  </si>
  <si>
    <t>07279312000125</t>
  </si>
  <si>
    <t>ALEXSSANDRO  FRITZEN ARAUJO ME</t>
  </si>
  <si>
    <t>RELOJOARIA E OTICA FRITZEN (1694)</t>
  </si>
  <si>
    <t>OTICAFRITZEN@YAHOO.COM.BR</t>
  </si>
  <si>
    <t>NEREU RAMOS</t>
  </si>
  <si>
    <t>BALNEARIO PICARRAS</t>
  </si>
  <si>
    <t>81614802000193</t>
  </si>
  <si>
    <t>AM ARTIGOS DE PRESENTES LTDA</t>
  </si>
  <si>
    <t>JOALHERIA E OTICA HEUSSER (17)</t>
  </si>
  <si>
    <t>oticasoberana@oticasoberana.com.br</t>
  </si>
  <si>
    <t>12904971000226</t>
  </si>
  <si>
    <t>QUEVEDO  (1831)</t>
  </si>
  <si>
    <t>RUA SAMUEL HEUSI</t>
  </si>
  <si>
    <t>LJ S 48</t>
  </si>
  <si>
    <t>04986480000162</t>
  </si>
  <si>
    <t>ANA JULIA PRESENTES LTDA ME</t>
  </si>
  <si>
    <t>ANA JULIA (1686)</t>
  </si>
  <si>
    <t>cleidevicentemelo@hotmail.com</t>
  </si>
  <si>
    <t>AVENIDA 5  AVENIDA</t>
  </si>
  <si>
    <t>505</t>
  </si>
  <si>
    <t>VILA REAL</t>
  </si>
  <si>
    <t>17453789000139</t>
  </si>
  <si>
    <t>ANA PAULA NUNES PEREIRA DA SILVA 13121037870</t>
  </si>
  <si>
    <t>OTICA CORDEIROS (2100)</t>
  </si>
  <si>
    <t>RUA DOUTOR REINALDO SCHMITHAUSEN</t>
  </si>
  <si>
    <t>19501778000102</t>
  </si>
  <si>
    <t>ANA TEREZA ABDON WAGNER ME</t>
  </si>
  <si>
    <t>OTICAS ANELYSE (2080)</t>
  </si>
  <si>
    <t>oticasanelyse@gmail.com</t>
  </si>
  <si>
    <t>1458</t>
  </si>
  <si>
    <t>13306061000123</t>
  </si>
  <si>
    <t>ANDRE LUIS DA SILVA QUANDRADO ME</t>
  </si>
  <si>
    <t>OPTICA OFTALMICA (1911)</t>
  </si>
  <si>
    <t>ANDRE240872@GMAIL.COM</t>
  </si>
  <si>
    <t>BAYER FILHO</t>
  </si>
  <si>
    <t>1111</t>
  </si>
  <si>
    <t>29945040000198</t>
  </si>
  <si>
    <t>ANDRESSA DE ANDRADE</t>
  </si>
  <si>
    <t>OTICA MULLER (3896)</t>
  </si>
  <si>
    <t>andressa.gatinha_@hotmail.com</t>
  </si>
  <si>
    <t>1480</t>
  </si>
  <si>
    <t>SL17</t>
  </si>
  <si>
    <t>577</t>
  </si>
  <si>
    <t>RUA LUIZ WALENDOWSKY</t>
  </si>
  <si>
    <t>614</t>
  </si>
  <si>
    <t>PEREQUE</t>
  </si>
  <si>
    <t>PORTO BELO</t>
  </si>
  <si>
    <t>682</t>
  </si>
  <si>
    <t>34230299000192</t>
  </si>
  <si>
    <t>ANDRESSA SALVADIO GALVANI 08224457940</t>
  </si>
  <si>
    <t>OTICAS GALVANI (4049)</t>
  </si>
  <si>
    <t>OTICACRISTALITAPEMA@OUTLOOK.COM</t>
  </si>
  <si>
    <t>JOSE EUGENIO MULLER</t>
  </si>
  <si>
    <t>1483</t>
  </si>
  <si>
    <t>VILA OPERARIA</t>
  </si>
  <si>
    <t>81867434000195</t>
  </si>
  <si>
    <t>ANTONIO CARLOS DE SOUZA RELOJOEIRO ME</t>
  </si>
  <si>
    <t>OTICA PONTUAL (130)</t>
  </si>
  <si>
    <t>pontualrelojoaria@hotmail.com</t>
  </si>
  <si>
    <t>RUA FLORIANOPOLIS</t>
  </si>
  <si>
    <t>150</t>
  </si>
  <si>
    <t>FAZENDA</t>
  </si>
  <si>
    <t>11290873000100</t>
  </si>
  <si>
    <t>APOEMA RELOJOARIA E OPTICA LTDA ME</t>
  </si>
  <si>
    <t>SAFIRA RELOJOARIA E OPTICA (1698)</t>
  </si>
  <si>
    <t>apoema09@gmail.com</t>
  </si>
  <si>
    <t>RUA SAO JOSE</t>
  </si>
  <si>
    <t>GASPAR</t>
  </si>
  <si>
    <t>82990029000394</t>
  </si>
  <si>
    <t>AQUILES ROCHA</t>
  </si>
  <si>
    <t>AQUI TEM OTICA PRECO POPULAR (2277)</t>
  </si>
  <si>
    <t>ROCHAAQUILES@HOTMAIL.COM</t>
  </si>
  <si>
    <t>RUA GOVERNADOR CELSO RAMOS</t>
  </si>
  <si>
    <t>295</t>
  </si>
  <si>
    <t>ITAPEMA</t>
  </si>
  <si>
    <t>82990029000122</t>
  </si>
  <si>
    <t>AQUILES ROCHA ME</t>
  </si>
  <si>
    <t>DE QUILE OTICA (1728)</t>
  </si>
  <si>
    <t>dequileotica@hotmail.com</t>
  </si>
  <si>
    <t>00944683000135</t>
  </si>
  <si>
    <t>ARI HERCILIO VALLE ME</t>
  </si>
  <si>
    <t>LOJA BOTTAMEDI (493)</t>
  </si>
  <si>
    <t>lojabottamedi@hotmail.com</t>
  </si>
  <si>
    <t>RUA OLAVO BERLINCK</t>
  </si>
  <si>
    <t>06102194000112</t>
  </si>
  <si>
    <t>ATF ACESSORIOS DE MODA LTDA EPP</t>
  </si>
  <si>
    <t>CHILLI BEANS (2151)</t>
  </si>
  <si>
    <t>01</t>
  </si>
  <si>
    <t>LOJA 61</t>
  </si>
  <si>
    <t>ESTADOS</t>
  </si>
  <si>
    <t>44475073000105</t>
  </si>
  <si>
    <t>ATK COMERCIO DE ARTIGOS PARA JOALHERIA E RELOJOARIA LTDA</t>
  </si>
  <si>
    <t>AUTENTIKA (4442)</t>
  </si>
  <si>
    <t>SOCIETARIO8@CAPITALCONTADORES.COM.BR</t>
  </si>
  <si>
    <t>06062545000109</t>
  </si>
  <si>
    <t>AUTHENTIKA JOALHERIA RELOJOARIA E OPTICA LTDA  EPP</t>
  </si>
  <si>
    <t>AUTHENTIKA JOALHERIA RELOJOARIA E OTICA LTDA ME (855)</t>
  </si>
  <si>
    <t>AUTHENTIKA@AUTHENTIKA.COM.BR</t>
  </si>
  <si>
    <t>02874839000184</t>
  </si>
  <si>
    <t>B.S. COM. DE PRODUTOS OPTICOS LTDA ME</t>
  </si>
  <si>
    <t>OTICA UNIVERSO (1128)</t>
  </si>
  <si>
    <t>atendimento@oticauniverso.com.br</t>
  </si>
  <si>
    <t>10369666000175</t>
  </si>
  <si>
    <t>BAUMANN RELOJOARIA E OTICA EIRELI - ME</t>
  </si>
  <si>
    <t>BAUMANN OTICA E RELOJOARIA (2283)</t>
  </si>
  <si>
    <t>oticabaumann@gmail.com</t>
  </si>
  <si>
    <t>RUA JOSE QUINTINO PEREIRA</t>
  </si>
  <si>
    <t>ITAJUBA</t>
  </si>
  <si>
    <t>29531243000138</t>
  </si>
  <si>
    <t>BELLA OTICA E RELOJOARIA LTDA</t>
  </si>
  <si>
    <t>BELLA OTICA (3864)</t>
  </si>
  <si>
    <t>bellaoticablumenau@gmail.com</t>
  </si>
  <si>
    <t>RUA AMAZONAS</t>
  </si>
  <si>
    <t>3161</t>
  </si>
  <si>
    <t>GARCIA</t>
  </si>
  <si>
    <t>01408661000113</t>
  </si>
  <si>
    <t>BERNARDINO  OCULOS  RELOGIOS JOIAS LTDA</t>
  </si>
  <si>
    <t>BERNARDINO (1356)</t>
  </si>
  <si>
    <t>relojoariabernardino@hotmail.com</t>
  </si>
  <si>
    <t>RUA CORONEL ARISTILIANO RAMOS</t>
  </si>
  <si>
    <t>35978308000271</t>
  </si>
  <si>
    <t>OTICAS CAROL (4108)</t>
  </si>
  <si>
    <t>supervisao.floripa@oticascarol.com.br</t>
  </si>
  <si>
    <t>RODOVIA BR-470</t>
  </si>
  <si>
    <t>3000</t>
  </si>
  <si>
    <t>SALA L104</t>
  </si>
  <si>
    <t>SALTO DO NORTE</t>
  </si>
  <si>
    <t>26416439000193</t>
  </si>
  <si>
    <t>BLJC COMERCIO DE ACESSORIOS EIRELI</t>
  </si>
  <si>
    <t>LIVO BALNEARIO SHOPPING (4105)</t>
  </si>
  <si>
    <t>luciane.mcmarques@gmail.com</t>
  </si>
  <si>
    <t>AVENIDA AVENIDA SANTA CATARINA</t>
  </si>
  <si>
    <t>LOJA 43A</t>
  </si>
  <si>
    <t>01189180000164</t>
  </si>
  <si>
    <t>BLU JOIAS COMERCIO LTDA</t>
  </si>
  <si>
    <t>BLU OTICA IRIS (544)</t>
  </si>
  <si>
    <t>bluoptica.varella@hotmail.com</t>
  </si>
  <si>
    <t>RUA WERNER DUWE</t>
  </si>
  <si>
    <t>BADENFURT</t>
  </si>
  <si>
    <t>01189180000245</t>
  </si>
  <si>
    <t>BLU JOIAS COMERCIO LTDA ME</t>
  </si>
  <si>
    <t>OTICA VARELLA (1940)</t>
  </si>
  <si>
    <t>atendimento@opticavarella.com.br</t>
  </si>
  <si>
    <t>RUA FREDERICO JENSEN</t>
  </si>
  <si>
    <t>3194</t>
  </si>
  <si>
    <t>ITOUPAVAZINHA</t>
  </si>
  <si>
    <t>48160249000190</t>
  </si>
  <si>
    <t>BLUG OTICA LTDA</t>
  </si>
  <si>
    <t>OTICAS CAROL (4586)</t>
  </si>
  <si>
    <t>2515</t>
  </si>
  <si>
    <t>50602543000157</t>
  </si>
  <si>
    <t>BRERA OPTICA LTDA</t>
  </si>
  <si>
    <t>BRERA OPTICA (4716)</t>
  </si>
  <si>
    <t>BRERAOPTICA@GMAIL.COM</t>
  </si>
  <si>
    <t>20162215000388</t>
  </si>
  <si>
    <t>BRILHANTE JOALHERIA E OTICA LTDA</t>
  </si>
  <si>
    <t>QUEVEDO JOALHERIA E OTICA  (2162)</t>
  </si>
  <si>
    <t>LOJA 70</t>
  </si>
  <si>
    <t>04692577000243</t>
  </si>
  <si>
    <t>BUSNARDO &amp; CIA LTDA</t>
  </si>
  <si>
    <t>***</t>
  </si>
  <si>
    <t>AVENIDA CONSUL CARLOS RENAUX 68 SL 02</t>
  </si>
  <si>
    <t>CENTRO 1</t>
  </si>
  <si>
    <t>04692577000162</t>
  </si>
  <si>
    <t>BUSNARDO E CIA LTDA</t>
  </si>
  <si>
    <t>OTICA MODERNA (1435)</t>
  </si>
  <si>
    <t>laboratorio01@oticamoderna.com</t>
  </si>
  <si>
    <t>RUA SANTO INACIO</t>
  </si>
  <si>
    <t>SL 05</t>
  </si>
  <si>
    <t>NOVA TRENTO</t>
  </si>
  <si>
    <t>81564494000139</t>
  </si>
  <si>
    <t>C B J COMERCIO E REPRESENTACOES LTDA ME</t>
  </si>
  <si>
    <t>C.B.J. COMERCIO REPRESENTACAO LTDA (44)</t>
  </si>
  <si>
    <t>RUA P.BARAO SCHNEMBURG</t>
  </si>
  <si>
    <t>297</t>
  </si>
  <si>
    <t>20947276000199</t>
  </si>
  <si>
    <t>C.M.M. OTICA LTDA</t>
  </si>
  <si>
    <t>OTICAS VICENZO (2180)</t>
  </si>
  <si>
    <t>RUA CORONEL BENJAMIN VIEIRA</t>
  </si>
  <si>
    <t>860</t>
  </si>
  <si>
    <t>CAMBORIU</t>
  </si>
  <si>
    <t>22229834000106</t>
  </si>
  <si>
    <t>CAIO HENRIQUE SANTOS XAVIER ME</t>
  </si>
  <si>
    <t>OTICA XAVIER (2237)</t>
  </si>
  <si>
    <t>otica_xavier@outlook.com</t>
  </si>
  <si>
    <t>RUA VEREADOR NEREU LIBERATO NUNES</t>
  </si>
  <si>
    <t>NAVEGANTES</t>
  </si>
  <si>
    <t>03268342000185</t>
  </si>
  <si>
    <t>CAMILA ELIZA SCHRODER ME</t>
  </si>
  <si>
    <t>OTICA SCHRODER (2157)</t>
  </si>
  <si>
    <t>mariana.schroder@gmail.com</t>
  </si>
  <si>
    <t>RUA CONSUL CARLOS RENAUX</t>
  </si>
  <si>
    <t>83199505000154</t>
  </si>
  <si>
    <t>CAPRI JOALHERIA E OTICA LTDA ME</t>
  </si>
  <si>
    <t>CAPRI JOALHERIA E OTICA LTDA ME (509)</t>
  </si>
  <si>
    <t>caprijoalheria@gmail.com</t>
  </si>
  <si>
    <t>08646042000106</t>
  </si>
  <si>
    <t>CARDOSO JOALHEIROS COMERCIO DE JOIAS LTDA ME</t>
  </si>
  <si>
    <t>CARDOSO JOALHEIROS (3337)</t>
  </si>
  <si>
    <t>financeiro@cardosojoalheiros.com.br</t>
  </si>
  <si>
    <t>38092745000109</t>
  </si>
  <si>
    <t>CARIOQUICE COMERCIO LTDA</t>
  </si>
  <si>
    <t>CARIOQUICE &amp; THEO (4005)</t>
  </si>
  <si>
    <t>FINANCEIROCARIOQUICE@GMAIL.COM</t>
  </si>
  <si>
    <t>1105</t>
  </si>
  <si>
    <t>10430541000103</t>
  </si>
  <si>
    <t>CARLINGE MATERIAL OPTICO LTDA ME</t>
  </si>
  <si>
    <t>A ESPECIALISTA OPTICA (1464)</t>
  </si>
  <si>
    <t>aespecialistaotica@gmail.com</t>
  </si>
  <si>
    <t>PRAÇA NEREU RAMOS</t>
  </si>
  <si>
    <t>PISO 01 / SL 02</t>
  </si>
  <si>
    <t>44431520000124</t>
  </si>
  <si>
    <t>CHILLI BEANS (4449)</t>
  </si>
  <si>
    <t>1615</t>
  </si>
  <si>
    <t>43164463000100</t>
  </si>
  <si>
    <t>CAROLINE JARDIM OTICAS LTDA</t>
  </si>
  <si>
    <t>OTICAS FEHR (4393)</t>
  </si>
  <si>
    <t>CAROLINEOTICAS@GMAIL.COM</t>
  </si>
  <si>
    <t>27113684000194</t>
  </si>
  <si>
    <t>CAROLINE SILVA ROCHA - ME</t>
  </si>
  <si>
    <t>OTICA ROCHA (3783)</t>
  </si>
  <si>
    <t>arturmoacir@hotmail.com</t>
  </si>
  <si>
    <t>01194228000122</t>
  </si>
  <si>
    <t>CENTER JOIAS LTDA</t>
  </si>
  <si>
    <t>CENTER JOIAS LTDA (799)</t>
  </si>
  <si>
    <t>centerjoias@yahoo.com.br</t>
  </si>
  <si>
    <t>1066</t>
  </si>
  <si>
    <t>47417934000197</t>
  </si>
  <si>
    <t>CENTRAL OTICA NAVEGANTES LTDA</t>
  </si>
  <si>
    <t>CENTRAL OTICA NAVEGANTES (4554)</t>
  </si>
  <si>
    <t>DOMINGOS.MED.VET@HOTMAIL.COM</t>
  </si>
  <si>
    <t>CONSELHEIRO JOAO GAYA</t>
  </si>
  <si>
    <t>669</t>
  </si>
  <si>
    <t>31331384000159</t>
  </si>
  <si>
    <t>CENTRO BLU COMERCIO DE PRODUTOS OPTICOS EIRELI</t>
  </si>
  <si>
    <t>OTICAS CAROL (3927)</t>
  </si>
  <si>
    <t>blumenau@oticascarol.com.br</t>
  </si>
  <si>
    <t>1213</t>
  </si>
  <si>
    <t>LOJA L 73/74</t>
  </si>
  <si>
    <t>31331384000230</t>
  </si>
  <si>
    <t>OTICAS CAROL (4022)</t>
  </si>
  <si>
    <t>financeirovale@oticascarol.com.br</t>
  </si>
  <si>
    <t>41016329000128</t>
  </si>
  <si>
    <t>CENTRO OTICO E OPTOMETRICO LAGES LTDA</t>
  </si>
  <si>
    <t>CENTRO OTICO E OPTOMETRICO (4520)</t>
  </si>
  <si>
    <t>OTICAOFTALMICAMORRETES@GMAIL.COM</t>
  </si>
  <si>
    <t>RUA 418</t>
  </si>
  <si>
    <t>ESQUINA R 406 E</t>
  </si>
  <si>
    <t>MORRETES</t>
  </si>
  <si>
    <t>37036495000119</t>
  </si>
  <si>
    <t>CENTRO OTICO E OPTOMETRICO LTDA</t>
  </si>
  <si>
    <t>CENTRO OTICO E OPTOMETRICO (4267)</t>
  </si>
  <si>
    <t>centro.otico.optometrico@gmail.com</t>
  </si>
  <si>
    <t>RUA 252</t>
  </si>
  <si>
    <t>MEIA PRAIA</t>
  </si>
  <si>
    <t>03328545000110</t>
  </si>
  <si>
    <t>CENTRO OTICO ITAPEMA LTDA</t>
  </si>
  <si>
    <t>CENTRO OTICO ITAPEMA LTDA (1184)</t>
  </si>
  <si>
    <t>centrooticoitapema@gmail.com</t>
  </si>
  <si>
    <t>3082</t>
  </si>
  <si>
    <t>26584700000164</t>
  </si>
  <si>
    <t>CEU AZUL ACESSORIOS DA MODA LTDA ME</t>
  </si>
  <si>
    <t>DIMPOL (4036)</t>
  </si>
  <si>
    <t>marcelovirtuall@gmail.com</t>
  </si>
  <si>
    <t>LJ T09</t>
  </si>
  <si>
    <t>12377100000110</t>
  </si>
  <si>
    <t>CHRISTIAN RAMOS ME</t>
  </si>
  <si>
    <t>OTICA CHRISTAL (1824)</t>
  </si>
  <si>
    <t>christian_contabeis@hotmail.com</t>
  </si>
  <si>
    <t>RUA JOSE FRANCISCO LAURINDO</t>
  </si>
  <si>
    <t>1671</t>
  </si>
  <si>
    <t>SAO DOMINGOS</t>
  </si>
  <si>
    <t>05393402000117</t>
  </si>
  <si>
    <t>CLINICA DE OLHOS SANTA LUZIA LTDA</t>
  </si>
  <si>
    <t>INSTITUTO DE OLHOS BLUMENAU (11668)</t>
  </si>
  <si>
    <t>administracao02@iob-oftalmologia.com.br</t>
  </si>
  <si>
    <t>1327</t>
  </si>
  <si>
    <t>09128765000186</t>
  </si>
  <si>
    <t>COMERCIAL OTICA DA FAMILIA LTDA ME</t>
  </si>
  <si>
    <t>OTICA DA FAMILIA (1376)</t>
  </si>
  <si>
    <t>oticafamilia@uol.com.br</t>
  </si>
  <si>
    <t>S.5 - ED.SANTOS</t>
  </si>
  <si>
    <t>CAMBORIÚ</t>
  </si>
  <si>
    <t>80137979000183</t>
  </si>
  <si>
    <t>COMERCIO DE ARTIGOS OPTICOS MG LTDA EPP</t>
  </si>
  <si>
    <t>OTICA SOBERANA (71)</t>
  </si>
  <si>
    <t>MG@OTICASOBERANA.COM.BR</t>
  </si>
  <si>
    <t>49463517000106</t>
  </si>
  <si>
    <t>COMERCIO DE METAIS DAL MAGRO LTDA</t>
  </si>
  <si>
    <t>DAL MAGRO E-COMMERCE (4679)</t>
  </si>
  <si>
    <t>DALMAGROMETAIS@GMAIL.COM</t>
  </si>
  <si>
    <t>RUA ESTEFANO JOSE VANOLLI</t>
  </si>
  <si>
    <t>1588</t>
  </si>
  <si>
    <t>1 ANDAR SL 01</t>
  </si>
  <si>
    <t>SAO VICENTE</t>
  </si>
  <si>
    <t>22566121000138</t>
  </si>
  <si>
    <t>CVC APARELHOS AUDITIVOS E OTICA EIRELI</t>
  </si>
  <si>
    <t>TELESOM APARELHOS AUDITIVO E OTICA (4262)</t>
  </si>
  <si>
    <t>oticatelesom@gmail.com</t>
  </si>
  <si>
    <t>1108</t>
  </si>
  <si>
    <t>10865175000115</t>
  </si>
  <si>
    <t>CZA COMERCIO DE PRODUTOS OPTICOS LTDA EPP</t>
  </si>
  <si>
    <t>OPTICA VEMAIS (1669)</t>
  </si>
  <si>
    <t>nfe@vemaisoptica.com.br</t>
  </si>
  <si>
    <t>23108423000206</t>
  </si>
  <si>
    <t>D W OTICA LTDA - ME</t>
  </si>
  <si>
    <t>OTICA CATARINENSE (3823)</t>
  </si>
  <si>
    <t>240 E</t>
  </si>
  <si>
    <t>47124671000128</t>
  </si>
  <si>
    <t>DANDI COMERCIO DE OCULOS E ACESSORIOS LTDA</t>
  </si>
  <si>
    <t>OUTLET DOS OCULOS (4579)</t>
  </si>
  <si>
    <t>OUTLETDOSOCULOSITAJAI@GMAIL.COM</t>
  </si>
  <si>
    <t>RUA DOUTOR JOSE BONIFACIO MALBURG</t>
  </si>
  <si>
    <t>79308649000205</t>
  </si>
  <si>
    <t>DANIEL DUARTE ME</t>
  </si>
  <si>
    <t>DANIEL DUARTE ME (1377)</t>
  </si>
  <si>
    <t>RUA QUINTINO BOCAIUVA</t>
  </si>
  <si>
    <t>APIUNA</t>
  </si>
  <si>
    <t>79308649000124</t>
  </si>
  <si>
    <t>DANIEL DUARTE ME (99)</t>
  </si>
  <si>
    <t>oticaduarte@hotmail.com</t>
  </si>
  <si>
    <t>RUA BENJAMIM CONSTANT</t>
  </si>
  <si>
    <t>ASCURRA</t>
  </si>
  <si>
    <t>33509269000157</t>
  </si>
  <si>
    <t>DANJU JOIAS E BIJUTERIAS EIRELI</t>
  </si>
  <si>
    <t>DANJU JOIAS (4082)</t>
  </si>
  <si>
    <t>danjujoalheriaeotica@gmail.com</t>
  </si>
  <si>
    <t>RUA BAYER FILHO</t>
  </si>
  <si>
    <t>BOX 2-A</t>
  </si>
  <si>
    <t>33509269000238</t>
  </si>
  <si>
    <t>DANJU JOIAS ITAPEMA (4132)</t>
  </si>
  <si>
    <t>danjumeiapraiakoch@danjujoias.com</t>
  </si>
  <si>
    <t>RODOVIA MARG DA BR 101</t>
  </si>
  <si>
    <t>5335</t>
  </si>
  <si>
    <t>LJ04</t>
  </si>
  <si>
    <t>33509269000319</t>
  </si>
  <si>
    <t>DANJU JOIAS E BIJUTERIAS (4154)</t>
  </si>
  <si>
    <t>danjusjb@danjujoias.com</t>
  </si>
  <si>
    <t>SALA 109 A 111</t>
  </si>
  <si>
    <t>SÃO JOÃO BATISTA</t>
  </si>
  <si>
    <t>46695593000159</t>
  </si>
  <si>
    <t>DEBORA CRISTINA DA SILVEIRA DE MELLO QUADROS 84806982091</t>
  </si>
  <si>
    <t>HOUSE OTICA (4537)</t>
  </si>
  <si>
    <t>LUCASQUADROS79@GMAIL.COM</t>
  </si>
  <si>
    <t>RUA RIO PARAIBA</t>
  </si>
  <si>
    <t>CASA 22</t>
  </si>
  <si>
    <t>RIO PEQUENO</t>
  </si>
  <si>
    <t>18820974000187</t>
  </si>
  <si>
    <t>DELLA OTICA LTDA</t>
  </si>
  <si>
    <t>DELLA OTICA (2202)</t>
  </si>
  <si>
    <t>KIOTICA1@HOTMAIL.COM</t>
  </si>
  <si>
    <t>1096</t>
  </si>
  <si>
    <t>44035089000105</t>
  </si>
  <si>
    <t>DFX ITAJAI OTICA LTDA</t>
  </si>
  <si>
    <t>MERCADAO DOS OCULOS ITAJAI (4515)</t>
  </si>
  <si>
    <t>GERENTE.MDOITAJAI02@GMAIL.COM</t>
  </si>
  <si>
    <t>01399311000138</t>
  </si>
  <si>
    <t>DI PAOLA OTICA LTDA ME</t>
  </si>
  <si>
    <t>DI PAOLA OTICA LTDA (970)</t>
  </si>
  <si>
    <t>dipaolaotica@gmail.com</t>
  </si>
  <si>
    <t>1112</t>
  </si>
  <si>
    <t>RODEIO</t>
  </si>
  <si>
    <t>30644994000140</t>
  </si>
  <si>
    <t>DICLEI SALETE RODRIGUES DA SILVA GERHARDT</t>
  </si>
  <si>
    <t>OTICA CAROL BC (3915)</t>
  </si>
  <si>
    <t>paulolgerhardt@hotmail.com</t>
  </si>
  <si>
    <t>LJ129</t>
  </si>
  <si>
    <t>24664290000136</t>
  </si>
  <si>
    <t>DIONE ANGELI OTICA - ME</t>
  </si>
  <si>
    <t>OTICA DIVISAO (3794)</t>
  </si>
  <si>
    <t>divisaooptica2312@gmail.com</t>
  </si>
  <si>
    <t>07662904000121</t>
  </si>
  <si>
    <t>DK COMERCIO DE JOAIS LTDA ME</t>
  </si>
  <si>
    <t>DK COMERCIO DE JOAIS LTDA ME (1827)</t>
  </si>
  <si>
    <t>lojadayk@hotmail.com</t>
  </si>
  <si>
    <t>AVENIDA JORGE LACERDA</t>
  </si>
  <si>
    <t>872</t>
  </si>
  <si>
    <t>VIDAL RAMOS</t>
  </si>
  <si>
    <t>09048502000167</t>
  </si>
  <si>
    <t>DUWE E DUWE JOIAS E DESIGN LTDA ME</t>
  </si>
  <si>
    <t>SANDRA DUWE (1929)</t>
  </si>
  <si>
    <t>thiagoduweotica@gmail.com</t>
  </si>
  <si>
    <t>LOJA 109</t>
  </si>
  <si>
    <t>82138728000220</t>
  </si>
  <si>
    <t>E. VEBER &amp; CIA LTDA - ME</t>
  </si>
  <si>
    <t>RELOJOARIA OPTICA NANY (650)</t>
  </si>
  <si>
    <t>opticanany@ibest.com.br</t>
  </si>
  <si>
    <t>RUA 7 DE SETEMBRO</t>
  </si>
  <si>
    <t>LAURENTINO</t>
  </si>
  <si>
    <t>08647487000100</t>
  </si>
  <si>
    <t>E.W.CARVALHO JOALHERIA LTDA ME</t>
  </si>
  <si>
    <t>JOALHERIA E OTICA CARVALHO (1744)</t>
  </si>
  <si>
    <t>JOALHERIACARVALHO@HOTMAIL.COM</t>
  </si>
  <si>
    <t>GUILHERME KRIEGER JUNIOR</t>
  </si>
  <si>
    <t>21878263000178</t>
  </si>
  <si>
    <t>EDUARDO FRANCISCO VIEIRA</t>
  </si>
  <si>
    <t>OTICA POPULAR (2215)</t>
  </si>
  <si>
    <t>OTICAPOPULAR03@HOTMAIL.COM</t>
  </si>
  <si>
    <t>2ª AVENIDA</t>
  </si>
  <si>
    <t>41288080000100</t>
  </si>
  <si>
    <t>EJR FRANCHISING DE OTICA LTDA</t>
  </si>
  <si>
    <t>MERCADAO DOS OCULOS (4676)</t>
  </si>
  <si>
    <t>LISANDRA.ORTODONTIC@GMAIL.COM</t>
  </si>
  <si>
    <t>962</t>
  </si>
  <si>
    <t>21267913000149</t>
  </si>
  <si>
    <t>EMG OPTICAS LTDA ME</t>
  </si>
  <si>
    <t>OTICAS OVERLOOK (2177)</t>
  </si>
  <si>
    <t>overlook-adm@outlook.com</t>
  </si>
  <si>
    <t>AVENIDA TERCEIRA AVENIDA</t>
  </si>
  <si>
    <t>835</t>
  </si>
  <si>
    <t>38626253000148</t>
  </si>
  <si>
    <t>FABIANE LIMA DAL PASS 02049630018</t>
  </si>
  <si>
    <t>LA BELLE (4196)</t>
  </si>
  <si>
    <t>labelleateliedejoais@gmail.com</t>
  </si>
  <si>
    <t>967</t>
  </si>
  <si>
    <t>07884714000159</t>
  </si>
  <si>
    <t>FABIANO MENDES FERNANDES ME</t>
  </si>
  <si>
    <t>KIOTICA (872)</t>
  </si>
  <si>
    <t>kiotica1@hotmail.com</t>
  </si>
  <si>
    <t>00557731000132</t>
  </si>
  <si>
    <t>FAVANI COMERCIO DE JOIAS LTDA ME</t>
  </si>
  <si>
    <t>FAVANI COMERCIO DE JOIAS LTDA ME (1318)</t>
  </si>
  <si>
    <t>relojoariacyma@tpa.com.br</t>
  </si>
  <si>
    <t>TIMBÓ</t>
  </si>
  <si>
    <t>36044214000107</t>
  </si>
  <si>
    <t>FDX BRUSQUE OTICA LTDA</t>
  </si>
  <si>
    <t>MERCADAO DOS OCULOS BRUSQUE (4116)</t>
  </si>
  <si>
    <t>gerente.mdobrusque@gmail.com</t>
  </si>
  <si>
    <t>AVENIDA AVENIDA CONSUL CARLOS RENAUX</t>
  </si>
  <si>
    <t>36655085000274</t>
  </si>
  <si>
    <t>OTICAS CAROL (4131)</t>
  </si>
  <si>
    <t>AVENIDA CONSUL CARLOS RENAUX</t>
  </si>
  <si>
    <t>32766857000103</t>
  </si>
  <si>
    <t>FERNANDO DE SOUZA ÓPTICA</t>
  </si>
  <si>
    <t>REPUBLIC OTICA (3991)</t>
  </si>
  <si>
    <t>FERNANDOSELFOR@GMAIL.COM</t>
  </si>
  <si>
    <t>RUA 1822</t>
  </si>
  <si>
    <t>375</t>
  </si>
  <si>
    <t>37705749000144</t>
  </si>
  <si>
    <t>FINA OTICA COMERCIO DE OCULOS, LENTES E ARMACOES LTDA</t>
  </si>
  <si>
    <t>FINA OTICA (4268)</t>
  </si>
  <si>
    <t>finaoticabrusque@gmail.com</t>
  </si>
  <si>
    <t>CENTRO I - URBANO</t>
  </si>
  <si>
    <t>07034395000192</t>
  </si>
  <si>
    <t>FIRME JOIAS E BIJUTERIAS LIMITADA ME</t>
  </si>
  <si>
    <t>DANJU JOIAS (3324)</t>
  </si>
  <si>
    <t>danjutj@hotmail.com</t>
  </si>
  <si>
    <t>4700</t>
  </si>
  <si>
    <t>07034395000605</t>
  </si>
  <si>
    <t>DANJU JOIAS (3325)</t>
  </si>
  <si>
    <t>RUA PASTOR SANDRESCKY</t>
  </si>
  <si>
    <t>07034395000516</t>
  </si>
  <si>
    <t>FIRME JOIAS E BIJUTERIAS LTDA ME</t>
  </si>
  <si>
    <t>DANJU JOIAS (2273)</t>
  </si>
  <si>
    <t>07034395000273</t>
  </si>
  <si>
    <t>DANJU JOIAS (1340)</t>
  </si>
  <si>
    <t>DANJUTJOTICA@DANJUJOIAS.COM</t>
  </si>
  <si>
    <t>BOX 2A</t>
  </si>
  <si>
    <t>40318287000117</t>
  </si>
  <si>
    <t>FLAVIA STEIL ABEID 39136776823</t>
  </si>
  <si>
    <t>STEIL TREND OTICA (4266)</t>
  </si>
  <si>
    <t>FLAVIO_ABEID@HOTMAIL.COM</t>
  </si>
  <si>
    <t>RUA SAO BARTOLOMEU</t>
  </si>
  <si>
    <t>SAO FRANCISCO DE ASSIS</t>
  </si>
  <si>
    <t>28146213000145</t>
  </si>
  <si>
    <t>FLLY BLUMENAU COMERCIO LTDA</t>
  </si>
  <si>
    <t>CHILLI BEANS NORTE SHOPPING (3925)</t>
  </si>
  <si>
    <t>allan@grupofllfy.com.br</t>
  </si>
  <si>
    <t>RUA BR-470</t>
  </si>
  <si>
    <t>25276260000115</t>
  </si>
  <si>
    <t>FLLY COMERCIO LTDA - EPP</t>
  </si>
  <si>
    <t>CHILLI BEANS (3867)</t>
  </si>
  <si>
    <t>allan_matias@hotmail.com</t>
  </si>
  <si>
    <t>RUA BARAO DE SCHNEEBURG</t>
  </si>
  <si>
    <t>30358452000100</t>
  </si>
  <si>
    <t>FLLY NKT COMERCIO DE OPTICA LTDA</t>
  </si>
  <si>
    <t>CHILLI BEANS NEUMARKT (3924)</t>
  </si>
  <si>
    <t>SALA L68</t>
  </si>
  <si>
    <t>03680924000174</t>
  </si>
  <si>
    <t>FOTO VIDEO ESSER LTDA</t>
  </si>
  <si>
    <t>FOTO VIDEO ESSER LTDA (950)</t>
  </si>
  <si>
    <t>fotoesser@gmail.com</t>
  </si>
  <si>
    <t>RUA 29 DE DEZEMBRO</t>
  </si>
  <si>
    <t>RIO DO CAMPO</t>
  </si>
  <si>
    <t>47795245000116</t>
  </si>
  <si>
    <t>FP COMERCIO LTDA</t>
  </si>
  <si>
    <t>CHILLI BEANS (4600)</t>
  </si>
  <si>
    <t>RIODOSUL.LJR@LOJASCHILLIBEANS.COM.BR</t>
  </si>
  <si>
    <t>RUA DOUTOR GUILHERME GEMBALLA</t>
  </si>
  <si>
    <t>JARDIM AMERICA</t>
  </si>
  <si>
    <t>37107673000155</t>
  </si>
  <si>
    <t>FT ARTIGOS OPTICOS LTDA</t>
  </si>
  <si>
    <t>MERCADAO DOS OCULOS ITAPEMA (4127)</t>
  </si>
  <si>
    <t>fernando.turra@hotmail.com</t>
  </si>
  <si>
    <t>3982</t>
  </si>
  <si>
    <t>ESQ.C/RUA 252 S</t>
  </si>
  <si>
    <t>01331462000154</t>
  </si>
  <si>
    <t>GARGANY RELOJOARIA E OPTICA LTDA ME</t>
  </si>
  <si>
    <t>GARGANY RELOJOARIA E OPTICA LTDA ME (220)</t>
  </si>
  <si>
    <t>oticagargany@hotmail.com</t>
  </si>
  <si>
    <t>RUA FRANCISCO VAHLDIECK</t>
  </si>
  <si>
    <t>1279</t>
  </si>
  <si>
    <t>FORTALEZA</t>
  </si>
  <si>
    <t>76572874000185</t>
  </si>
  <si>
    <t>GELINDO JOSE DARUI EPP</t>
  </si>
  <si>
    <t>RELOJOARIA E OTICA DARUI (1264)</t>
  </si>
  <si>
    <t>oticadarui@ibest.com.br</t>
  </si>
  <si>
    <t>82981770000127</t>
  </si>
  <si>
    <t>GEVAERD JOALHEIROS LTDA ME</t>
  </si>
  <si>
    <t>GEVAERD JOALHEIROS LTDA (120)</t>
  </si>
  <si>
    <t>gevaerdjoalheiros@gmail.com</t>
  </si>
  <si>
    <t>RUA ADRIANO SCHAEFER</t>
  </si>
  <si>
    <t>73733131000151</t>
  </si>
  <si>
    <t>GILCINEA DOS ANJOS ME</t>
  </si>
  <si>
    <t>GILCINEA DOS ANJOS ME (421)</t>
  </si>
  <si>
    <t>neia_dos_anjos@yahoo.com.br</t>
  </si>
  <si>
    <t>AVENIDA VEREADOR MANOEL JOSE DOS SANTOS</t>
  </si>
  <si>
    <t>BOMBINHAS</t>
  </si>
  <si>
    <t>73733131000313</t>
  </si>
  <si>
    <t>GILCINEIA DOS ANJOS ME</t>
  </si>
  <si>
    <t>GILCINEIA DOS ANJOS ME (2286)</t>
  </si>
  <si>
    <t>NEIA_DOS_ANJOS@YAHOO.COM.BR</t>
  </si>
  <si>
    <t>VEREADOR MANOEL JOSE DOS SANTOS</t>
  </si>
  <si>
    <t>1144</t>
  </si>
  <si>
    <t>SALA 18</t>
  </si>
  <si>
    <t>20934806000164</t>
  </si>
  <si>
    <t>GLEDSON CARDOSO 04285882981</t>
  </si>
  <si>
    <t>RELOJOARIA BEATRIZ (3334)</t>
  </si>
  <si>
    <t>RUA PRESIDENTE NEREU</t>
  </si>
  <si>
    <t>ITUPORANGA</t>
  </si>
  <si>
    <t>05242116000150</t>
  </si>
  <si>
    <t>GONCALVES E SANTOS JOALHERIA E OTICA EIRELI</t>
  </si>
  <si>
    <t>ANA JOIAS (1696)</t>
  </si>
  <si>
    <t>annajoias@hotmail.com</t>
  </si>
  <si>
    <t>RUA RODOVIA SC 411 KM 10</t>
  </si>
  <si>
    <t>1717</t>
  </si>
  <si>
    <t>CANELINHA</t>
  </si>
  <si>
    <t>15421245000160</t>
  </si>
  <si>
    <t>GRACIELE FATIMA GROSS ME LTDA</t>
  </si>
  <si>
    <t>CHEIA DE CHARME ACESSORIOS (4039)</t>
  </si>
  <si>
    <t>gracielegross@yahoo.com.br</t>
  </si>
  <si>
    <t>SALA D1</t>
  </si>
  <si>
    <t>POMERODE</t>
  </si>
  <si>
    <t>81319428000101</t>
  </si>
  <si>
    <t>GUI PRESENTES LTDA ME</t>
  </si>
  <si>
    <t>OTICA GUI PRESENTES (569)</t>
  </si>
  <si>
    <t>oticaguipresentes@gmail.com</t>
  </si>
  <si>
    <t>1854</t>
  </si>
  <si>
    <t>28456537000180</t>
  </si>
  <si>
    <t>HEITORANA COMERCIO DE PRODUTOS DE OPTICA - EIRELI - ME</t>
  </si>
  <si>
    <t>VISIONARI OPTICA (3841)</t>
  </si>
  <si>
    <t>visionarioptica@hotmail.com</t>
  </si>
  <si>
    <t>04001211000108</t>
  </si>
  <si>
    <t>HERBERT KELM JUNIOR ME</t>
  </si>
  <si>
    <t>HERBERT RELOJOARIA (1722)</t>
  </si>
  <si>
    <t>RUA 07 DE SETEMBRO</t>
  </si>
  <si>
    <t>760</t>
  </si>
  <si>
    <t>33665137000114</t>
  </si>
  <si>
    <t>HIGOR PEREIRA DE ANDRADE 79267289500</t>
  </si>
  <si>
    <t>HR CLINICA (4343)</t>
  </si>
  <si>
    <t>HRCLINICA.CAMBORIU@GMAIL.COM</t>
  </si>
  <si>
    <t>RUA JOSE FRANCISCO BERNARDES</t>
  </si>
  <si>
    <t>804</t>
  </si>
  <si>
    <t>00242262000162</t>
  </si>
  <si>
    <t>HT LUCHESI CIA LTDA ME</t>
  </si>
  <si>
    <t>OTICA FERRAZ (1241)</t>
  </si>
  <si>
    <t>h.t.luchesi@hotmail.com</t>
  </si>
  <si>
    <t>AVENIDA DO ESTADO DALMO VIEIRA</t>
  </si>
  <si>
    <t>1771</t>
  </si>
  <si>
    <t>PIONEIROS</t>
  </si>
  <si>
    <t>85395408000162</t>
  </si>
  <si>
    <t>IGLUS RELOJOARIA E OPTICA LTDA ME</t>
  </si>
  <si>
    <t>IGLUS RELOJOARIA E OPTICA ME (577)</t>
  </si>
  <si>
    <t>iglusoptica@hotmail.com</t>
  </si>
  <si>
    <t>RUA LUIS BERTOLI</t>
  </si>
  <si>
    <t>SALETE</t>
  </si>
  <si>
    <t>12187723000120</t>
  </si>
  <si>
    <t>INNOVARE OTICA LTDA ME</t>
  </si>
  <si>
    <t>OTICA ETHOS (1745)</t>
  </si>
  <si>
    <t>contato@oticaethos.com.br</t>
  </si>
  <si>
    <t>RUA ANTONIO AGNELO DE SANTANA</t>
  </si>
  <si>
    <t>188</t>
  </si>
  <si>
    <t>BALNEÁRIO PIÇARRAS</t>
  </si>
  <si>
    <t>49697420000168</t>
  </si>
  <si>
    <t>INOVARE 6000 DISTRIBUIDORA COMERCIO E SERVICOS LTDA</t>
  </si>
  <si>
    <t>INOVARE (4665)</t>
  </si>
  <si>
    <t>INOVARE6000@GMAIL.COM</t>
  </si>
  <si>
    <t>RUA TAILANDIA</t>
  </si>
  <si>
    <t>SL 10 BOX 16</t>
  </si>
  <si>
    <t>NACOES</t>
  </si>
  <si>
    <t>39277450000161</t>
  </si>
  <si>
    <t>ISA RELOJOARIA E OTICA LTDA</t>
  </si>
  <si>
    <t>ISA RELOJOARIA E OTICA (4430)</t>
  </si>
  <si>
    <t>ISARELOJOARIAEOTICA@GMAIL.COM</t>
  </si>
  <si>
    <t>AVENIDA QUINTA AVENIDA</t>
  </si>
  <si>
    <t>512</t>
  </si>
  <si>
    <t>21569032000182</t>
  </si>
  <si>
    <t>ISOLDE PEREIRA E CIA LTDA ME</t>
  </si>
  <si>
    <t>OTICA ISOLDE (2218)</t>
  </si>
  <si>
    <t>ISOLDEPEREIRA@HOTMAIL.COM</t>
  </si>
  <si>
    <t>338</t>
  </si>
  <si>
    <t>42714373000174</t>
  </si>
  <si>
    <t>ITAPETI COMERCIO DE PRODUTOS OTICOS LTDA</t>
  </si>
  <si>
    <t>OTICAS CAROL (4375)</t>
  </si>
  <si>
    <t>3137</t>
  </si>
  <si>
    <t>42714373000255</t>
  </si>
  <si>
    <t>OTICAS CAROL (4373)</t>
  </si>
  <si>
    <t>RUA FLORIANÓPOLIS</t>
  </si>
  <si>
    <t>34919168000117</t>
  </si>
  <si>
    <t>IVAN DE PAULA SOUZA JUNIOR</t>
  </si>
  <si>
    <t>OTICAS DI VALENTI (4461)</t>
  </si>
  <si>
    <t>OTICASDIVALENTIBC@GMAIL.COM</t>
  </si>
  <si>
    <t>4A AVENIDA</t>
  </si>
  <si>
    <t>1150</t>
  </si>
  <si>
    <t>18144202000172</t>
  </si>
  <si>
    <t>IVETE A. DE OLIVEIRA DE MACENA</t>
  </si>
  <si>
    <t>OPTICA PAULISTA (4047)</t>
  </si>
  <si>
    <t>IVETGAMA@GMAIL.COM</t>
  </si>
  <si>
    <t>260</t>
  </si>
  <si>
    <t>00960853000175</t>
  </si>
  <si>
    <t>J E V COMERCIO DE OCULOS EIRELI ME</t>
  </si>
  <si>
    <t>OTICA SOBERANA (1145)</t>
  </si>
  <si>
    <t>AVENIDA MARCOS KONDER</t>
  </si>
  <si>
    <t>LOJA 14</t>
  </si>
  <si>
    <t>81558082000196</t>
  </si>
  <si>
    <t>J NIEDERMAIER EIRELI</t>
  </si>
  <si>
    <t>RELOJOARIA E OTICA PRECISAO (243)</t>
  </si>
  <si>
    <t>JOSIANENIEDERMAIER@HOTMAIL.COM</t>
  </si>
  <si>
    <t>RUA CORONEL FEDDERSEN</t>
  </si>
  <si>
    <t>TAIÓ</t>
  </si>
  <si>
    <t>42065957000166</t>
  </si>
  <si>
    <t>J. ORBEN RELOJOARIA LTDA</t>
  </si>
  <si>
    <t>ORBEN RELOJOARIA E OTICA (4633)</t>
  </si>
  <si>
    <t>FINANCEIROLOJAMORRETES@ORBEN.COM.BR</t>
  </si>
  <si>
    <t>RUA 428</t>
  </si>
  <si>
    <t>304</t>
  </si>
  <si>
    <t>12211616000190</t>
  </si>
  <si>
    <t>JA JOALHERIA E OTICA LTDA</t>
  </si>
  <si>
    <t>JA JOALHERIA E OTICA LTDA (1779)</t>
  </si>
  <si>
    <t>FINANCEIRO@VISAOOTICA.COM.BR</t>
  </si>
  <si>
    <t>80424419000100</t>
  </si>
  <si>
    <t>JAIR BIANCO ORBEN ME</t>
  </si>
  <si>
    <t>OTICA ORBEN (718)</t>
  </si>
  <si>
    <t>FINANCEIROPEREQUE@ORBEN.COM.BR</t>
  </si>
  <si>
    <t>HIRONIDO CONCEICAO DOS SANTOS</t>
  </si>
  <si>
    <t>JARDIM DOURADO</t>
  </si>
  <si>
    <t>15072370000101</t>
  </si>
  <si>
    <t>JAIR DA SILVA COMERCIANTE</t>
  </si>
  <si>
    <t>EMPIRE (3876)</t>
  </si>
  <si>
    <t>osmar@skalacontabilidade.com.br</t>
  </si>
  <si>
    <t>80652498000106</t>
  </si>
  <si>
    <t>JAIR KRAMEL ME</t>
  </si>
  <si>
    <t>RELOJOARIA BAZAR JK (652)</t>
  </si>
  <si>
    <t>ticiane_kramel@hotmail.com</t>
  </si>
  <si>
    <t>RUA 23 JULHO</t>
  </si>
  <si>
    <t>1180</t>
  </si>
  <si>
    <t>POUSO REDONDO</t>
  </si>
  <si>
    <t>07248322000101</t>
  </si>
  <si>
    <t>JANIFFER ORBEN SOUZA ME</t>
  </si>
  <si>
    <t>VISUAL JOALHEIRA E OTICA (730)</t>
  </si>
  <si>
    <t>visualotica@hotmail.com</t>
  </si>
  <si>
    <t>49381492000100</t>
  </si>
  <si>
    <t>JAQUELINE BATISTA DE ALBUQUERQUE OPTICA</t>
  </si>
  <si>
    <t>INSTITUTO DOS OCULOS (4700)</t>
  </si>
  <si>
    <t>JAQUELINE@SONOFLEXCOLCHOES.COM</t>
  </si>
  <si>
    <t>RUA GENERAL OSORIO</t>
  </si>
  <si>
    <t>SALA 02 A</t>
  </si>
  <si>
    <t>TIMBO</t>
  </si>
  <si>
    <t>35124442000124</t>
  </si>
  <si>
    <t>JEFFANI ORBEN SOUZA</t>
  </si>
  <si>
    <t>CIA DO OCULOS (4146)</t>
  </si>
  <si>
    <t>ciadooculos_@hotmail.com</t>
  </si>
  <si>
    <t>AVENIDA LEOPOLDO ZARLING</t>
  </si>
  <si>
    <t>1821</t>
  </si>
  <si>
    <t>BOMBAS</t>
  </si>
  <si>
    <t>22827519000180</t>
  </si>
  <si>
    <t>JENNIFER CARDOSO VALENTE 05148399961</t>
  </si>
  <si>
    <t>OPTIK (3335)</t>
  </si>
  <si>
    <t>optik.otica@gmail.com</t>
  </si>
  <si>
    <t>44262543000152</t>
  </si>
  <si>
    <t>JEYSI DAIANE BUZZI NINOW 08775111950</t>
  </si>
  <si>
    <t>ATRIOS JOIAS E OCULOS (4438)</t>
  </si>
  <si>
    <t>JEYSININOW@GMAIL.COM</t>
  </si>
  <si>
    <t>RUA ERWIN REGUSE</t>
  </si>
  <si>
    <t>LOTE 66</t>
  </si>
  <si>
    <t>DOS ESTADOS</t>
  </si>
  <si>
    <t>28301530000199</t>
  </si>
  <si>
    <t>JG COMERCIO DE OCULOS LTDA</t>
  </si>
  <si>
    <t>VISION OPTICAL CENTER (3829)</t>
  </si>
  <si>
    <t>DIRCEREINKE@GMAIL.COM</t>
  </si>
  <si>
    <t>RUA PRESIDENTE COSTA E SILVA</t>
  </si>
  <si>
    <t>TESTO REGA</t>
  </si>
  <si>
    <t>46814337000133</t>
  </si>
  <si>
    <t>JG3 OTICA E ACESSORIOS LTDA</t>
  </si>
  <si>
    <t>CHILLI BEANS (4567)</t>
  </si>
  <si>
    <t>JANASCHEFFER@HOTMAIL.COM</t>
  </si>
  <si>
    <t>JOAO SACAVEM</t>
  </si>
  <si>
    <t>264</t>
  </si>
  <si>
    <t>21511537000196</t>
  </si>
  <si>
    <t>JMN OTICA LTDA - ME</t>
  </si>
  <si>
    <t>OTICA BELLAVISORAMA (2254)</t>
  </si>
  <si>
    <t>oticabellavisorama@gmail.com</t>
  </si>
  <si>
    <t>2068</t>
  </si>
  <si>
    <t>WITMARSUM</t>
  </si>
  <si>
    <t>85311751000181</t>
  </si>
  <si>
    <t>JOALHERIA CELSO LTDA ME</t>
  </si>
  <si>
    <t>JOALHERIA CELSO LTDA ME (475)</t>
  </si>
  <si>
    <t>priscila.ferreira@oticacelso.com.br</t>
  </si>
  <si>
    <t>03157060000100</t>
  </si>
  <si>
    <t>JOALHERIA E OPTICA DIETRICH LTDA ME</t>
  </si>
  <si>
    <t>JOALHERIA E OPTICA DIETRICH LTDA ME (1200)</t>
  </si>
  <si>
    <t>oticadietrich@ig.com.br</t>
  </si>
  <si>
    <t>2125</t>
  </si>
  <si>
    <t>VELHA</t>
  </si>
  <si>
    <t>13665892000191</t>
  </si>
  <si>
    <t>JOALHERIA E OPTICA REQUINTE LTDA ME</t>
  </si>
  <si>
    <t>JOALHERIA E OPTICA REQUINTE LTDA ME (1829)</t>
  </si>
  <si>
    <t>JOALHERIAREQUINTE@HOTMAIL.COM</t>
  </si>
  <si>
    <t>INDAIAL</t>
  </si>
  <si>
    <t>81787426000139</t>
  </si>
  <si>
    <t>JOALHERIA E OPTICA VEBER</t>
  </si>
  <si>
    <t>JOALHERIA E OPTICA VEBER (783)</t>
  </si>
  <si>
    <t>JOALHERIAEOPTICAVEBER@HOTMAIL.COM</t>
  </si>
  <si>
    <t>RIO DO OESTE</t>
  </si>
  <si>
    <t>30318751000111</t>
  </si>
  <si>
    <t>JOALHERIA E OPTICA VICTORIA LTDA</t>
  </si>
  <si>
    <t>OPTICA REZINI (4232)</t>
  </si>
  <si>
    <t>edilofw@outlook.com</t>
  </si>
  <si>
    <t>RUA BRUSQUE</t>
  </si>
  <si>
    <t>SL 03 ANEXO ANG</t>
  </si>
  <si>
    <t>79024576000149</t>
  </si>
  <si>
    <t>JOALHERIA E OTICA CAMBORIU LTDA EPP</t>
  </si>
  <si>
    <t>JOALHERIA E OTICA CAMBORIU LTDA EPP (153)</t>
  </si>
  <si>
    <t>financeiro.loch@gmail.com</t>
  </si>
  <si>
    <t>1698</t>
  </si>
  <si>
    <t>04145591000146</t>
  </si>
  <si>
    <t>JOALHERIA E OTICA ECONOMICA LTDA ME</t>
  </si>
  <si>
    <t>ECONOMICA (1228)</t>
  </si>
  <si>
    <t>otica@vinheski.com.br</t>
  </si>
  <si>
    <t>1670</t>
  </si>
  <si>
    <t>75772905000189</t>
  </si>
  <si>
    <t>JOALHERIA E OTICA FLOHR LTDA ME</t>
  </si>
  <si>
    <t>JOALHERIA E OTICA FLOHR LTDA (156)</t>
  </si>
  <si>
    <t>flohr.bnu@terra.com.br</t>
  </si>
  <si>
    <t>RUA FREDERICO WEEGE</t>
  </si>
  <si>
    <t>08766124000194</t>
  </si>
  <si>
    <t>JOALHERIA E OTICA KLEMANN LTDA ME</t>
  </si>
  <si>
    <t>JOALHERIA E OTICA KLEMANN LTDA ME (1673)</t>
  </si>
  <si>
    <t>oticarelojoias@yahoo.com.br</t>
  </si>
  <si>
    <t>RUA PRES COSTA E SILVA</t>
  </si>
  <si>
    <t>80688955000112</t>
  </si>
  <si>
    <t>JOALHERIA E OTICA KLUG LTDA</t>
  </si>
  <si>
    <t>JOALHERIA E OTICA KLUG LTDA (779)</t>
  </si>
  <si>
    <t>otica.klug@hotmail.com</t>
  </si>
  <si>
    <t>RUA CASTELO BRANCO</t>
  </si>
  <si>
    <t>72190978000174</t>
  </si>
  <si>
    <t>JOALHERIA E OTICA LITORAL LTDA ME</t>
  </si>
  <si>
    <t>JOALHERIA E OTICA LITORAL LTDA ME (543)</t>
  </si>
  <si>
    <t>joalheriaoticalitoral@gmail.com</t>
  </si>
  <si>
    <t>826</t>
  </si>
  <si>
    <t>83823328000135</t>
  </si>
  <si>
    <t>JOALHERIA E OTICA LOCH LTDA - EPP</t>
  </si>
  <si>
    <t>JOALHERIA E OTICA LOCH LTDA (160)</t>
  </si>
  <si>
    <t>1704</t>
  </si>
  <si>
    <t>83447979000178</t>
  </si>
  <si>
    <t>JOALHERIA E OTICA PRESIDENTE LTDA</t>
  </si>
  <si>
    <t>JOALHERIA E OTICA PRESIDENTE LTDA (1270)</t>
  </si>
  <si>
    <t>rafael@joalheriapresidente.com.br</t>
  </si>
  <si>
    <t>RUA AMADEU FELIPE DA LUZ</t>
  </si>
  <si>
    <t>82641846000175</t>
  </si>
  <si>
    <t>JOALHERIA E OTICA SCHWABE LTDA</t>
  </si>
  <si>
    <t>JOALHERIA E OTICA SCHWABE (165)</t>
  </si>
  <si>
    <t>joalheriaeoticaschwabe@gmail.com</t>
  </si>
  <si>
    <t>770</t>
  </si>
  <si>
    <t>29893170000124</t>
  </si>
  <si>
    <t>JOCIMERE MATIAS</t>
  </si>
  <si>
    <t>RELOJOARIA E OTICA D MERE (3879)</t>
  </si>
  <si>
    <t>opticamere@gmail.com</t>
  </si>
  <si>
    <t>SL04</t>
  </si>
  <si>
    <t>29893170000205</t>
  </si>
  <si>
    <t>RELOJOARIA E OTICA MERE (4545)</t>
  </si>
  <si>
    <t>OPTICAMERE@GMAIL.COM</t>
  </si>
  <si>
    <t>QUARTA AVENIDA</t>
  </si>
  <si>
    <t>83822494000117</t>
  </si>
  <si>
    <t>JORMIM OTICA LTDA EPP</t>
  </si>
  <si>
    <t>JORMIM OTICA LTDA EPP (185)</t>
  </si>
  <si>
    <t>10844761000183</t>
  </si>
  <si>
    <t>JOSE VILMAR DA ROSA</t>
  </si>
  <si>
    <t>OPTICA HORA CERTA (3312)</t>
  </si>
  <si>
    <t>HORACERTA.PB@GMAIL.COM</t>
  </si>
  <si>
    <t>2705</t>
  </si>
  <si>
    <t>42007274000152</t>
  </si>
  <si>
    <t>JR POMERODE COMERCIO VAREJISTA DE ARTIGOS DE OPTICA LTDA</t>
  </si>
  <si>
    <t>MERCADAO DOS OCULOS (4351)</t>
  </si>
  <si>
    <t>SC-POMERODE@MERCADAODOSOCULOS.COM.BR</t>
  </si>
  <si>
    <t>RUA LUIZ ABRY</t>
  </si>
  <si>
    <t>33837440000157</t>
  </si>
  <si>
    <t>JR SOUZA COMERCIO VAREJISTA DE ARTIGOS OPTICA EIRELE</t>
  </si>
  <si>
    <t>MERCADAO DOS OCULOS (4016)</t>
  </si>
  <si>
    <t>sc-indaial@mercadaodosoculos.com.br</t>
  </si>
  <si>
    <t>37411893000178</t>
  </si>
  <si>
    <t>JR TIMBO COMERCIO VAREJISTA DE ARTIGOS DE OPTICA</t>
  </si>
  <si>
    <t>MERCADAO DOS OCULOS (4140)</t>
  </si>
  <si>
    <t>sc-timbo@mercadaodosoculos.com.br</t>
  </si>
  <si>
    <t>13558977000170</t>
  </si>
  <si>
    <t>KARINA TATIANA DA SILVA RUSSI 00713705957</t>
  </si>
  <si>
    <t>RUSSI RELOJOARIA E OTICA (4087)</t>
  </si>
  <si>
    <t>kari.tati@hotmail.com</t>
  </si>
  <si>
    <t>RUA INDAIAL</t>
  </si>
  <si>
    <t>1004</t>
  </si>
  <si>
    <t>SAO JUDAS</t>
  </si>
  <si>
    <t>25154961000181</t>
  </si>
  <si>
    <t>KARINE DOS SANTOS PEREIRA ZANETTE OTICA ME</t>
  </si>
  <si>
    <t>OTICA KLINS (3330)</t>
  </si>
  <si>
    <t>KARINE-PB@HOTMAIL.COM</t>
  </si>
  <si>
    <t>RUA ALEXANDRE TERNES NETO</t>
  </si>
  <si>
    <t>14088152000100</t>
  </si>
  <si>
    <t>KC7 JOALHERIA E OTICA LTDA</t>
  </si>
  <si>
    <t>KAREN LOCH (1853)</t>
  </si>
  <si>
    <t>financeiro.kc7@gmail.com</t>
  </si>
  <si>
    <t>1271</t>
  </si>
  <si>
    <t>LOJA E 09</t>
  </si>
  <si>
    <t>35440217000105</t>
  </si>
  <si>
    <t>KETHIANE REGINA CARRARO 04225191974</t>
  </si>
  <si>
    <t>OTICA MAXIMUS (4337)</t>
  </si>
  <si>
    <t>OTICAMAXIMUS@OUTLOOK.COM</t>
  </si>
  <si>
    <t>RUA CEREJEIRA</t>
  </si>
  <si>
    <t>TABULEIRO (MONTE ALEGRE)</t>
  </si>
  <si>
    <t>30368024000169</t>
  </si>
  <si>
    <t>KMPL OTICA EIRELI</t>
  </si>
  <si>
    <t>OTICAS DINIZ (4038)</t>
  </si>
  <si>
    <t>RUA 3  AVENIDA</t>
  </si>
  <si>
    <t>887</t>
  </si>
  <si>
    <t>30368024000240</t>
  </si>
  <si>
    <t>KMPL OTICAS EIRELI</t>
  </si>
  <si>
    <t>OTICAS DINIZ ITAPEMA (4324)</t>
  </si>
  <si>
    <t>OTICASDINIZITAPEMA@GMAIL.COM</t>
  </si>
  <si>
    <t>SL 03 TAJ MAHAL</t>
  </si>
  <si>
    <t>81542649000136</t>
  </si>
  <si>
    <t>KOHLER JOALHERIA E OPTICA LTDA  EPP</t>
  </si>
  <si>
    <t>KOHLER JOALHERIA E PRESENTES LTDA (1190)</t>
  </si>
  <si>
    <t>laboratorio03@kohlerjoias.com.br</t>
  </si>
  <si>
    <t>RUA AUGUSTO MALUCHE</t>
  </si>
  <si>
    <t>FUNDOS</t>
  </si>
  <si>
    <t>95838157000105</t>
  </si>
  <si>
    <t>LA JOIAS RELOJOARIA E OPTICA LTDA ME</t>
  </si>
  <si>
    <t>LA JOIAS RELOJOARIA E OPTICA LTDA ME (2291)</t>
  </si>
  <si>
    <t>safirabnu@gmail.com</t>
  </si>
  <si>
    <t>3665</t>
  </si>
  <si>
    <t>23965167000192</t>
  </si>
  <si>
    <t>LARYSSA HELLENA FISCHER DE AMORIM 91991471904</t>
  </si>
  <si>
    <t>AMORIM RELOJOARIA E OTICA (4356)</t>
  </si>
  <si>
    <t>ATENDIMENTO@AMORIMRELOJOARIAEOTICA.COM.BR</t>
  </si>
  <si>
    <t>80754047000180</t>
  </si>
  <si>
    <t>LAURENTINO SBORS FILHO ME</t>
  </si>
  <si>
    <t>RELOJOARIA E OTICA SBORS (1488)</t>
  </si>
  <si>
    <t>relojoariasbors@hotmail.com</t>
  </si>
  <si>
    <t>49495897000160</t>
  </si>
  <si>
    <t>LB JOIAS E OTICA LTDA</t>
  </si>
  <si>
    <t>MARIA MARIA SEMIJOIAS E OTICA (4673)</t>
  </si>
  <si>
    <t>LUCASBAILER@YAHOO.COM.BR</t>
  </si>
  <si>
    <t>ALVIM BAUER</t>
  </si>
  <si>
    <t>L 09 NEW YORK</t>
  </si>
  <si>
    <t>95762332000110</t>
  </si>
  <si>
    <t>LIDIA DOS SANTOS SOARES</t>
  </si>
  <si>
    <t>RELOJOARIA SANTOS (895)</t>
  </si>
  <si>
    <t>relojoariaeoticasantos4@gmail.com</t>
  </si>
  <si>
    <t>RUA CEL. ARISTILIANO RAMOS</t>
  </si>
  <si>
    <t>662</t>
  </si>
  <si>
    <t>43940890000124</t>
  </si>
  <si>
    <t>LIRIOS COMERCIO DE ARTIGOS OPTICOS LTDA</t>
  </si>
  <si>
    <t>MERCADAO DOS OCULOS (4413)</t>
  </si>
  <si>
    <t>SC-BARRAVELHA@MERCADAODOSOCULOS.COM.BR</t>
  </si>
  <si>
    <t>PREFEITO ADEMAR JOSE DOS PASSOS</t>
  </si>
  <si>
    <t>07525566000186</t>
  </si>
  <si>
    <t>LIZA LOPES CORREA SPINOSA EPP</t>
  </si>
  <si>
    <t>OTICA LIBERTY (845)</t>
  </si>
  <si>
    <t>libertyotica@hotmail.com</t>
  </si>
  <si>
    <t>AVENIDA CORONEL MARCOS KONDER</t>
  </si>
  <si>
    <t>SALA 03 - 05</t>
  </si>
  <si>
    <t>22301208000183</t>
  </si>
  <si>
    <t>LOAN OPTICA E JOALHERIA LTDA</t>
  </si>
  <si>
    <t>LOAN OPTICA E JOALHERIA (4229)</t>
  </si>
  <si>
    <t>rose.tessarolo25@gmail.com</t>
  </si>
  <si>
    <t>2118</t>
  </si>
  <si>
    <t>GAVEA</t>
  </si>
  <si>
    <t>394</t>
  </si>
  <si>
    <t>81633257000182</t>
  </si>
  <si>
    <t>LOCH JOALHEIROS E OTICA LTDA</t>
  </si>
  <si>
    <t>LOCH JOALHEIROS E OTICA LTDA (214)</t>
  </si>
  <si>
    <t>s.loch@terra.com.br</t>
  </si>
  <si>
    <t>3355</t>
  </si>
  <si>
    <t>05862049000177</t>
  </si>
  <si>
    <t>LOOK OPTICA LTDA</t>
  </si>
  <si>
    <t>LOOK OPTICA (1419)</t>
  </si>
  <si>
    <t>jameslookoptica@gmail.com</t>
  </si>
  <si>
    <t>971</t>
  </si>
  <si>
    <t>02487410000134</t>
  </si>
  <si>
    <t>LSL RELOJOARIA LTDA</t>
  </si>
  <si>
    <t>RELOJOARIA PONTUAL (2106)</t>
  </si>
  <si>
    <t>relojoariapontual@hotmail.com</t>
  </si>
  <si>
    <t>2297</t>
  </si>
  <si>
    <t>33524880000154</t>
  </si>
  <si>
    <t>LUCIANA ALVAREZ PRODUTOS OPTICOS</t>
  </si>
  <si>
    <t>OTICAS MORAIS (4195)</t>
  </si>
  <si>
    <t>oticasmorais1@outlook.com</t>
  </si>
  <si>
    <t>RUA RUA DAS AZALEIAS</t>
  </si>
  <si>
    <t>CIDADE NOVA</t>
  </si>
  <si>
    <t>37754051000119</t>
  </si>
  <si>
    <t>LUMA COMERCIO DE ACESSORIOS LTDA</t>
  </si>
  <si>
    <t>LIVO AVENIDA BRASIL (4171)</t>
  </si>
  <si>
    <t>lucianemcmarques@gmail.com</t>
  </si>
  <si>
    <t>1200</t>
  </si>
  <si>
    <t>LOJA 8</t>
  </si>
  <si>
    <t>44531011000173</t>
  </si>
  <si>
    <t>LUPAH ACESSORIOS DE MODA LTDA</t>
  </si>
  <si>
    <t>CHILLI BEANS (4455)</t>
  </si>
  <si>
    <t>LOJA 108</t>
  </si>
  <si>
    <t>39447773000237</t>
  </si>
  <si>
    <t>LUSOOTICA LTDA</t>
  </si>
  <si>
    <t>LUSOOTICA (4444)</t>
  </si>
  <si>
    <t>LUSOOTICA@OUTLOOK.COM</t>
  </si>
  <si>
    <t>1245</t>
  </si>
  <si>
    <t>39447773000156</t>
  </si>
  <si>
    <t>LUSOOTICA (4227)</t>
  </si>
  <si>
    <t>lusootica@outlook.com</t>
  </si>
  <si>
    <t>RUA DOUTOR PEDRO FERREIRA</t>
  </si>
  <si>
    <t>42391990000186</t>
  </si>
  <si>
    <t>M &amp; M OTICA LTDA</t>
  </si>
  <si>
    <t>BK OTICA E RELOJOARIA (4359)</t>
  </si>
  <si>
    <t>MISIACALLEGARO@GMAIL.COM</t>
  </si>
  <si>
    <t>PENHA</t>
  </si>
  <si>
    <t>18108730000176</t>
  </si>
  <si>
    <t>M.R.F. COMERCIO VAREJISTA DE ARTIGOS OPTICOS LTDA</t>
  </si>
  <si>
    <t>OTICA IDEAL (2228)</t>
  </si>
  <si>
    <t>contato@oticaidealbnu.com.br</t>
  </si>
  <si>
    <t>ITOUPAVA NORTE</t>
  </si>
  <si>
    <t>20451998000158</t>
  </si>
  <si>
    <t>MANOEL NILSON AFONSO DO AMARAL</t>
  </si>
  <si>
    <t>OTICA AMARAL (2276)</t>
  </si>
  <si>
    <t>nilnai@hotmail.com</t>
  </si>
  <si>
    <t>RUA LUIZ LOPES GONZAGA</t>
  </si>
  <si>
    <t>985</t>
  </si>
  <si>
    <t>44061531000160</t>
  </si>
  <si>
    <t>MARCELLOBLUMENAU OTICA LTDA</t>
  </si>
  <si>
    <t>OTICAS DINIZ (4486)</t>
  </si>
  <si>
    <t>MARCELLO.GONCALVES@OTICASDINIZ.COM.BR</t>
  </si>
  <si>
    <t>1393</t>
  </si>
  <si>
    <t>37862251000195</t>
  </si>
  <si>
    <t>MARCELO DA SILVA MARONEZI 03999115459</t>
  </si>
  <si>
    <t>OPTOCLIN VALE DO ITAJAI (4296)</t>
  </si>
  <si>
    <t>MARCELOMARONEZI@GMAIL.COM</t>
  </si>
  <si>
    <t>RUA ALBERTO TORRES</t>
  </si>
  <si>
    <t>CENTRO I</t>
  </si>
  <si>
    <t>03028041000184</t>
  </si>
  <si>
    <t>MARCHESE COMERCIO OTICO LTDA</t>
  </si>
  <si>
    <t>OTICA DOM BOSCO (959)</t>
  </si>
  <si>
    <t>oticadombosco@hotmail.com</t>
  </si>
  <si>
    <t>RUA 901</t>
  </si>
  <si>
    <t>431</t>
  </si>
  <si>
    <t>02956628000190</t>
  </si>
  <si>
    <t>MARCIA REGINA FARIAS</t>
  </si>
  <si>
    <t>OTICA NOVO HORIZONTE (1135)</t>
  </si>
  <si>
    <t>oticanovohorizonte@gmail.com</t>
  </si>
  <si>
    <t>RUA LUIZ HIPOLITO DA CRUZ</t>
  </si>
  <si>
    <t>14712728000150</t>
  </si>
  <si>
    <t>MARCIO DOS SANTOS PINHEIRO ME</t>
  </si>
  <si>
    <t>OTICA EVIDENCE (1887)</t>
  </si>
  <si>
    <t>OTICA.OFTALMICA@GMAIL.COM</t>
  </si>
  <si>
    <t>81620981000171</t>
  </si>
  <si>
    <t>MARCIO SOARES ME</t>
  </si>
  <si>
    <t>MARCIO SOARES ME (669)</t>
  </si>
  <si>
    <t>relojoariasoares@gmail.com</t>
  </si>
  <si>
    <t>RUA ISIDORO MAES</t>
  </si>
  <si>
    <t>ILHOTA</t>
  </si>
  <si>
    <t>73401838000160</t>
  </si>
  <si>
    <t>MARCOS ROBERTO TRISOTTO ME</t>
  </si>
  <si>
    <t>RELOJOARIA E OTICA RELOMAR (1798)</t>
  </si>
  <si>
    <t>relomar@tph.com</t>
  </si>
  <si>
    <t>AVENIDA TIRADENTES</t>
  </si>
  <si>
    <t>RIO DOS CEDROS</t>
  </si>
  <si>
    <t>35524729000141</t>
  </si>
  <si>
    <t>MARGARETE ALVES DE CARVALHO MONDADORI 03169832921</t>
  </si>
  <si>
    <t>MAALCA (4126)</t>
  </si>
  <si>
    <t>atendimento@maalca.com.br</t>
  </si>
  <si>
    <t>AVENIDA BRASIL 1271</t>
  </si>
  <si>
    <t>SALA LL22</t>
  </si>
  <si>
    <t>06084126000178</t>
  </si>
  <si>
    <t>MARIA  BUENO OTICA CENTER LTDA ME</t>
  </si>
  <si>
    <t>OTICA ITAJAI (2067)</t>
  </si>
  <si>
    <t>gugabatista26@hotmail.com</t>
  </si>
  <si>
    <t>18309639000119</t>
  </si>
  <si>
    <t>MARIA ADRIANA MACIEIRA SANTOS E CIA LTDA - ME</t>
  </si>
  <si>
    <t>RELOJOARIA  E OTICA  AREIAS (2062)</t>
  </si>
  <si>
    <t>adrimacieira@hotmail.com</t>
  </si>
  <si>
    <t>47624241000175</t>
  </si>
  <si>
    <t>MARIA CELINHA BAIER LTDA</t>
  </si>
  <si>
    <t>CELINHA JOALHERIA E OTICA (4575)</t>
  </si>
  <si>
    <t>CELINHAFACHINI1202@GMAIL.COM</t>
  </si>
  <si>
    <t>07596753000150</t>
  </si>
  <si>
    <t>MARIA DE LOURDES DE ALMEIDA ME</t>
  </si>
  <si>
    <t>OTICA CENTRO VISAO (847)</t>
  </si>
  <si>
    <t>franeto6@hotmail.com</t>
  </si>
  <si>
    <t>351</t>
  </si>
  <si>
    <t>41868163000178</t>
  </si>
  <si>
    <t>MARIA EDUARDA LINHARES</t>
  </si>
  <si>
    <t>DU &amp; EDU CONCEPT (4330)</t>
  </si>
  <si>
    <t>MARIA15LINHARESS@GMAIL.COM</t>
  </si>
  <si>
    <t>RUA PAUL FRITZ KUEHNRICH</t>
  </si>
  <si>
    <t>1600</t>
  </si>
  <si>
    <t>SALA 1099</t>
  </si>
  <si>
    <t>95801148000131</t>
  </si>
  <si>
    <t>MARIA IVANIR SANTOS XAVIER ME</t>
  </si>
  <si>
    <t>MARIA IVANIR SANTOS XAVIER ME (275)</t>
  </si>
  <si>
    <t>oticasantosxavier@hotmail.com</t>
  </si>
  <si>
    <t>AVENIDA JOAO SACAVEM</t>
  </si>
  <si>
    <t>35110924000125</t>
  </si>
  <si>
    <t>MARIA JOSE PARO RICCIARDI 18147571801</t>
  </si>
  <si>
    <t>OPTICA TOPVISAO (4120)</t>
  </si>
  <si>
    <t>topzeze.otica@hotmail.com</t>
  </si>
  <si>
    <t>AVENIDA AV NEREU RAMOS</t>
  </si>
  <si>
    <t>21120137000150</t>
  </si>
  <si>
    <t>MARIANA GOMES LABES - ME</t>
  </si>
  <si>
    <t>MARIANA GOMES LABES - ME (2207)</t>
  </si>
  <si>
    <t>xandelabes@hotmail.com</t>
  </si>
  <si>
    <t>RUA REGIMENTO BARRIGA VERDE</t>
  </si>
  <si>
    <t>34661162000192</t>
  </si>
  <si>
    <t>MARIANA KELM DO NASCIMENTO EIRELI</t>
  </si>
  <si>
    <t>OTICAS CAROL (4097)</t>
  </si>
  <si>
    <t>oticascarol2023@gmail.com</t>
  </si>
  <si>
    <t>SALA 58Q</t>
  </si>
  <si>
    <t>41967975000170</t>
  </si>
  <si>
    <t>MARILUCI SCHEEREN DA CRUZ 58516620000</t>
  </si>
  <si>
    <t>BRILLE OCULOS (4702)</t>
  </si>
  <si>
    <t>MARILUCICRUZ@HOTMAIL.COM</t>
  </si>
  <si>
    <t>RUA JOSE FRANCISCO BERNARDES - DE 710/711 A</t>
  </si>
  <si>
    <t>84229939000112</t>
  </si>
  <si>
    <t>MARIO JOSE MACHOTA</t>
  </si>
  <si>
    <t>REL.CAÇA-PESCA (88)</t>
  </si>
  <si>
    <t>machota@terra.com.br</t>
  </si>
  <si>
    <t>04583677000150</t>
  </si>
  <si>
    <t>MARLISE TERESINHA SCHMITT FI -OPTICA E RELOJOARIA</t>
  </si>
  <si>
    <t>OPTICA ARTISAN (86)</t>
  </si>
  <si>
    <t>marlise.sch@hotmail.com</t>
  </si>
  <si>
    <t>RUA JOSE REUTER</t>
  </si>
  <si>
    <t>363</t>
  </si>
  <si>
    <t>06056361000136</t>
  </si>
  <si>
    <t>MARLON DE JESUS AVENCURT</t>
  </si>
  <si>
    <t>JOALHEIRA E OTICA LITORAL (487)</t>
  </si>
  <si>
    <t>4142</t>
  </si>
  <si>
    <t>09571412000156</t>
  </si>
  <si>
    <t>MARY OPTICA LTDA.</t>
  </si>
  <si>
    <t>MARY OPTICA (1450)</t>
  </si>
  <si>
    <t>MARY.OCULOS2@GMAIL.COM</t>
  </si>
  <si>
    <t>41605173000110</t>
  </si>
  <si>
    <t>MASTER OCULOS LTDA</t>
  </si>
  <si>
    <t>ZOOM CAMBORIU (4369)</t>
  </si>
  <si>
    <t>CAMBORIU@ZOOMOTICAS.COM.BR</t>
  </si>
  <si>
    <t>44074836000106</t>
  </si>
  <si>
    <t>MASTER RELOJOARIA E OTICA LTDA</t>
  </si>
  <si>
    <t>OTICAS CAROL (4471)</t>
  </si>
  <si>
    <t>FINANCEIROCAROLITAJAI@GMAIL.COM</t>
  </si>
  <si>
    <t>1207</t>
  </si>
  <si>
    <t>37481691000100</t>
  </si>
  <si>
    <t>MAXX OPTICA RELOGIOS E JOIAS LTDA</t>
  </si>
  <si>
    <t>RELOJOARIA E OPTICA MAXX (4166)</t>
  </si>
  <si>
    <t>patricia@maxxoptica.com.br</t>
  </si>
  <si>
    <t>06117396000138</t>
  </si>
  <si>
    <t>MAYER E CIA LTDA</t>
  </si>
  <si>
    <t>OTICA MAYER (500)</t>
  </si>
  <si>
    <t>opticamayerbc@gmail.com</t>
  </si>
  <si>
    <t>RUA CENTRAL</t>
  </si>
  <si>
    <t>489</t>
  </si>
  <si>
    <t>28731807000113</t>
  </si>
  <si>
    <t>MAYKEL LUIZ DA SILVA GONCALVES</t>
  </si>
  <si>
    <t>OTICA CRISTAL (4130)</t>
  </si>
  <si>
    <t>OTICACRISTALITAJAI@HOTMAIL.COM</t>
  </si>
  <si>
    <t>RUA HEITOR LIBERATO</t>
  </si>
  <si>
    <t>1550</t>
  </si>
  <si>
    <t>SL 26</t>
  </si>
  <si>
    <t>SÃO JOÃO</t>
  </si>
  <si>
    <t>20712021000147</t>
  </si>
  <si>
    <t>MAYKON DE JESUS AVENCURT ME</t>
  </si>
  <si>
    <t>MAYKON DE JESUS AVENCURT ME (2169)</t>
  </si>
  <si>
    <t>oticalitoralilhota@gmail.com</t>
  </si>
  <si>
    <t>RUA 21 DE JUNHO</t>
  </si>
  <si>
    <t>51537376000170</t>
  </si>
  <si>
    <t>MB COMERCIO DE PRODUTOS OTICOS M.E. LTDA</t>
  </si>
  <si>
    <t>OTICAS DINIZ (4784)</t>
  </si>
  <si>
    <t>MARIABM@OTICASDINIZ.COM.BR</t>
  </si>
  <si>
    <t>RUA R TIJUCAS</t>
  </si>
  <si>
    <t>44127347000175</t>
  </si>
  <si>
    <t>MEGAVISION RELOJOARIA E OTICA LTDA</t>
  </si>
  <si>
    <t>OTICAS CAROL (4440)</t>
  </si>
  <si>
    <t>OTICASCAROL.BARRAVELHA@GMAIL.COM</t>
  </si>
  <si>
    <t>04448766000194</t>
  </si>
  <si>
    <t>MENDES JOALHERIA E OTICA LTDA</t>
  </si>
  <si>
    <t>JOALHERIA OTICA CHARME (894)</t>
  </si>
  <si>
    <t>oticacharme@gmail.com</t>
  </si>
  <si>
    <t>1434</t>
  </si>
  <si>
    <t>34810418000186</t>
  </si>
  <si>
    <t>MERCADAO DOS OCULOS GASPAR LTDA</t>
  </si>
  <si>
    <t>MERCADAO DOS OCULOS (4068)</t>
  </si>
  <si>
    <t>sc-gaspar@mercadaodosoculos.com.br</t>
  </si>
  <si>
    <t>361</t>
  </si>
  <si>
    <t>27007276000158</t>
  </si>
  <si>
    <t>MHEL OTICAS EIRELI</t>
  </si>
  <si>
    <t>OTICA DINIZ (3374)</t>
  </si>
  <si>
    <t>MARINA.VICENTE@OTICASDINIZ.COM.BR</t>
  </si>
  <si>
    <t>RUA MANOEL VIEIRA GARCAO</t>
  </si>
  <si>
    <t>22636607000103</t>
  </si>
  <si>
    <t>MICHELLI CAROLINE STOLFI 04266023901</t>
  </si>
  <si>
    <t>RELOJOARIA E OTICA EXECUTIVA (4298)</t>
  </si>
  <si>
    <t>OTICA_EXECUTIVA@HOTMAIL.COM</t>
  </si>
  <si>
    <t>DO ESTADO DALMO VIEIRA</t>
  </si>
  <si>
    <t>3368</t>
  </si>
  <si>
    <t>48477639000199</t>
  </si>
  <si>
    <t>MJD ARTIGOS OPTICOS LTDA</t>
  </si>
  <si>
    <t>MERCADÃO MORRETES (4754)</t>
  </si>
  <si>
    <t>SC-ITAPEMA02@MERCADAODOSOCULOS.COM.BR</t>
  </si>
  <si>
    <t>RUA 414</t>
  </si>
  <si>
    <t>477</t>
  </si>
  <si>
    <t>36093366000108</t>
  </si>
  <si>
    <t>MJM COMERCIO DE ARTIGOS OPTICOS LTDA</t>
  </si>
  <si>
    <t>MJM COMERCIO DE ARTIGOS OPTICOS LTDA (4104)</t>
  </si>
  <si>
    <t>sc-navegantes@mercadaodosoculos.com.br</t>
  </si>
  <si>
    <t>RUA AVENIDA JOAO SACAVEM</t>
  </si>
  <si>
    <t>36093366000280</t>
  </si>
  <si>
    <t>MJM COMÉRCIO DE ARTIGOS ÓPTICOS LTDA</t>
  </si>
  <si>
    <t>MERCADAO DOS OCULOS GRAVATA (4634)</t>
  </si>
  <si>
    <t>SC-NAVEGANTES02@MERCADAODOSOCULOS.COM.BR</t>
  </si>
  <si>
    <t>PREFEITO JOSE JUVENAL MAFRA</t>
  </si>
  <si>
    <t>8222</t>
  </si>
  <si>
    <t>GRAVATA</t>
  </si>
  <si>
    <t>26893744000176</t>
  </si>
  <si>
    <t>MONTFORT OPTICA LTDA - ME</t>
  </si>
  <si>
    <t>VISIONE OPTICA E ACESSORIOS (3801)</t>
  </si>
  <si>
    <t>opticavisione@yahoo.com</t>
  </si>
  <si>
    <t>RUA NOVA ERA</t>
  </si>
  <si>
    <t>07826527000119</t>
  </si>
  <si>
    <t>MULTILENS OPTICA LTDA ME</t>
  </si>
  <si>
    <t>MULTILENS OPTICA LTDA ME (873)</t>
  </si>
  <si>
    <t>multilens.optica@yahoo.com.br</t>
  </si>
  <si>
    <t>RUA DOM BOSCO</t>
  </si>
  <si>
    <t>644</t>
  </si>
  <si>
    <t>26706056000230</t>
  </si>
  <si>
    <t>MURILO COMERCIO DE OCULOS E JOIAS LTDA.</t>
  </si>
  <si>
    <t>ARTE OPTICA (4660)</t>
  </si>
  <si>
    <t>VENDAS@ARTEOPTICA.COM.BR</t>
  </si>
  <si>
    <t>309</t>
  </si>
  <si>
    <t>JARDIM BLUMENAU</t>
  </si>
  <si>
    <t>26706056000150</t>
  </si>
  <si>
    <t>MURILO COMERCIO DE OCULOS E JOIAS LTDA. - ME</t>
  </si>
  <si>
    <t>MURILO COMERCIO DE OCULOS E JOIAS LTDA. - ME (3368)</t>
  </si>
  <si>
    <t>oticacelsogaspar@outlook.com</t>
  </si>
  <si>
    <t>14787831000160</t>
  </si>
  <si>
    <t>NAVVISAO OTICA E RELOJORIA LTDA ME</t>
  </si>
  <si>
    <t>BRILHARTE OTICA E RELOJOARIA (1922)</t>
  </si>
  <si>
    <t>brilharteotica_@hotmail.com</t>
  </si>
  <si>
    <t>AVENIDA PREFEITO JOSE JUVENAL MAFRA</t>
  </si>
  <si>
    <t>8397</t>
  </si>
  <si>
    <t>17849426000117</t>
  </si>
  <si>
    <t>NEW ACESSORIOS DE MODA LTDA EPP</t>
  </si>
  <si>
    <t>CHILLI BEANS (2239)</t>
  </si>
  <si>
    <t>LOJA 140</t>
  </si>
  <si>
    <t>25058373000144</t>
  </si>
  <si>
    <t>NILCEIA RODRIGUES CAPISTRANO 83382089904</t>
  </si>
  <si>
    <t>OPTICA POMERANA (3347)</t>
  </si>
  <si>
    <t>NILCEIACAPISTRANO@GMAIL.COM</t>
  </si>
  <si>
    <t>12324860000160</t>
  </si>
  <si>
    <t>NILMA DAS NEVES SILVA</t>
  </si>
  <si>
    <t>RELOJOARIA E OTICA EXECUTIVA (1764)</t>
  </si>
  <si>
    <t>NAÇOES</t>
  </si>
  <si>
    <t>27002961000191</t>
  </si>
  <si>
    <t>NONES COMERCIO VAREJISTA DE ARTIGOS DE OPTICA EIRELI</t>
  </si>
  <si>
    <t>OTICAS FERRI (3782)</t>
  </si>
  <si>
    <t>IVONENONESS@GMAIL.COM</t>
  </si>
  <si>
    <t>31674067000135</t>
  </si>
  <si>
    <t>NOVA OPTICA EIRELI</t>
  </si>
  <si>
    <t>NOVA OPTICA (3964)</t>
  </si>
  <si>
    <t>AVENIDA RODRIGUES ALVES</t>
  </si>
  <si>
    <t>SALA07</t>
  </si>
  <si>
    <t>282</t>
  </si>
  <si>
    <t>10738582000161</t>
  </si>
  <si>
    <t>ONIX RELOJOARIA E OPTICA LTDA ME</t>
  </si>
  <si>
    <t>ONIX RELOJOARIA E OPTICA LTDA ME (1671)</t>
  </si>
  <si>
    <t>GISELE@ONIXBR.COM.BR</t>
  </si>
  <si>
    <t>1316</t>
  </si>
  <si>
    <t>20230374000100</t>
  </si>
  <si>
    <t>ONIX RELOJOARIA E OTICA LTDA ME - ME</t>
  </si>
  <si>
    <t>ONIX RELOJOARIA E OTICA (2223)</t>
  </si>
  <si>
    <t>titajoias@yahoo.com.br</t>
  </si>
  <si>
    <t>46368355000139</t>
  </si>
  <si>
    <t>OPTICA BELCHIOR LTDA</t>
  </si>
  <si>
    <t>OPTICA CONFORTO VISUAL (4522)</t>
  </si>
  <si>
    <t>ATENDIMENTO@OPTICACONFORTOVISUAL.COM.BR</t>
  </si>
  <si>
    <t>RUA BONIFACIO HAENDCHEN LADO PAR</t>
  </si>
  <si>
    <t>1220</t>
  </si>
  <si>
    <t>BELCHIOR ALTO</t>
  </si>
  <si>
    <t>40866037000111</t>
  </si>
  <si>
    <t>OPTICA BERLUTTO LTDA</t>
  </si>
  <si>
    <t>OPTICA BERLUTTO (4275)</t>
  </si>
  <si>
    <t>OPTICABERLUTTO@GMAIL.COM</t>
  </si>
  <si>
    <t>RUA DOUTOR PEDRO ZIMMERMANN</t>
  </si>
  <si>
    <t>7094</t>
  </si>
  <si>
    <t>ITOUPAVA CENTRAL</t>
  </si>
  <si>
    <t>50792321000144</t>
  </si>
  <si>
    <t>OPTICA BITTENCOURT LTDA.</t>
  </si>
  <si>
    <t>OPTICA BITTENCOURT (4714)</t>
  </si>
  <si>
    <t>OTICABITTENCOURT@GMAIL.COM</t>
  </si>
  <si>
    <t>RUA ALMIRANTE BARROSO</t>
  </si>
  <si>
    <t>1399</t>
  </si>
  <si>
    <t>51092052000176</t>
  </si>
  <si>
    <t>OPTICA BLICK INDAIAL LTDA</t>
  </si>
  <si>
    <t>OTICA EVIDENCE (4747)</t>
  </si>
  <si>
    <t>OTICAMOMM.ADM@GMAIL.COM</t>
  </si>
  <si>
    <t>MARIA SIMAO</t>
  </si>
  <si>
    <t>11739302000100</t>
  </si>
  <si>
    <t>OPTICA BLICK LTDA EPP</t>
  </si>
  <si>
    <t>OPTICA BLICK (1742)</t>
  </si>
  <si>
    <t>joao.momm@gmail.com</t>
  </si>
  <si>
    <t>RUA HERMANN WEEGE</t>
  </si>
  <si>
    <t>2689</t>
  </si>
  <si>
    <t>18147971000124</t>
  </si>
  <si>
    <t>OPTICA CHL EIRELI ME</t>
  </si>
  <si>
    <t>CENTRAL DOS ÓCULOS (2022)</t>
  </si>
  <si>
    <t>OTICASOBERANA@OTICASOBERANA.COM.BR</t>
  </si>
  <si>
    <t>08343060000208</t>
  </si>
  <si>
    <t>OPTICA CONFORTO VISUAL LTDA</t>
  </si>
  <si>
    <t>OPTICA CONFORTO VISUAL LTDA (956)</t>
  </si>
  <si>
    <t>RUA DOIS DE SETEMBRO</t>
  </si>
  <si>
    <t>3756</t>
  </si>
  <si>
    <t>08343060000119</t>
  </si>
  <si>
    <t>OPTICA CONFORTO VISUAL LTDA ME</t>
  </si>
  <si>
    <t>OPTICA CONFORTO VISUAL LTDA ME (944)</t>
  </si>
  <si>
    <t>RUA PADRE JACOBS</t>
  </si>
  <si>
    <t>39586307000151</t>
  </si>
  <si>
    <t>OPTICA CV LTDA</t>
  </si>
  <si>
    <t>OPTICA CONFORTO VISUAL (4236)</t>
  </si>
  <si>
    <t>AVENIDA PREFEITO EUGENIO KRAUSE</t>
  </si>
  <si>
    <t>2054</t>
  </si>
  <si>
    <t>08250121000365</t>
  </si>
  <si>
    <t>OPTICA E JOALHERIA ALEXANDRE LESCHINSKI LTDA</t>
  </si>
  <si>
    <t>OTICA CENTRAL (4598)</t>
  </si>
  <si>
    <t>CONTATO@OTICACENTRALBLUMENAU.COM.BR</t>
  </si>
  <si>
    <t>4621</t>
  </si>
  <si>
    <t>LOJA COML. 08</t>
  </si>
  <si>
    <t>08250121000284</t>
  </si>
  <si>
    <t>OPTICA ALEXANDRE (10223)</t>
  </si>
  <si>
    <t>daiarakathrynn@gmail.com</t>
  </si>
  <si>
    <t>6260</t>
  </si>
  <si>
    <t>08250121000101</t>
  </si>
  <si>
    <t>OPTICA E JOALHERIA ALEXANDRE LESCHINSKI LTDA ME</t>
  </si>
  <si>
    <t>OPTICA ALEXANDRE (926)</t>
  </si>
  <si>
    <t>contato@opticaalexandre.com.br</t>
  </si>
  <si>
    <t>RUA HENRIQUE CONRAD</t>
  </si>
  <si>
    <t>ITOUPAVA</t>
  </si>
  <si>
    <t>08769189000193</t>
  </si>
  <si>
    <t>OPTICA ERNESTO LUCCHESI LTDA ME</t>
  </si>
  <si>
    <t>OPTICA ERNESTO LUCCHESI (1299)</t>
  </si>
  <si>
    <t>opticalucchesi@gmail.com</t>
  </si>
  <si>
    <t>801</t>
  </si>
  <si>
    <t>TERREO SALA 01</t>
  </si>
  <si>
    <t>41631520000180</t>
  </si>
  <si>
    <t>OPTICA ESPINHEIROS LTDA</t>
  </si>
  <si>
    <t>OPTICA CONFORTO VISUAL (4316)</t>
  </si>
  <si>
    <t>RUA FERMINO VIEIRA CORDEIRO</t>
  </si>
  <si>
    <t>ESPINHEIROS</t>
  </si>
  <si>
    <t>03769912000110</t>
  </si>
  <si>
    <t>OPTICA FACHINI EIRELI - ME</t>
  </si>
  <si>
    <t>OTICA FACHINI (1208)</t>
  </si>
  <si>
    <t>opticafachini@yahoo.com.br</t>
  </si>
  <si>
    <t>84149079000107</t>
  </si>
  <si>
    <t>OPTICA HERWEG LTDA</t>
  </si>
  <si>
    <t>GERHARD HERWEG (117)</t>
  </si>
  <si>
    <t>werner.herwer@terra.com.br</t>
  </si>
  <si>
    <t>RUA TIRADENTES</t>
  </si>
  <si>
    <t>IBIRAMA</t>
  </si>
  <si>
    <t>19854944000154</t>
  </si>
  <si>
    <t>OPTICA HEUSSER LTDA</t>
  </si>
  <si>
    <t>OTICA SOBERANA (2089)</t>
  </si>
  <si>
    <t>18804122000104</t>
  </si>
  <si>
    <t>OPTICA MACHOTA LTDA ME</t>
  </si>
  <si>
    <t>OPTICA MACHOTA (2082)</t>
  </si>
  <si>
    <t>optica@machota.com.br</t>
  </si>
  <si>
    <t>37107116000134</t>
  </si>
  <si>
    <t>OPTICA MARTINS LTDA</t>
  </si>
  <si>
    <t>OPTICA MARTIN'S (4641)</t>
  </si>
  <si>
    <t>MMARTINS038@HOTMAIL.COM</t>
  </si>
  <si>
    <t>RUA CORONEL BUCHELLE</t>
  </si>
  <si>
    <t>748</t>
  </si>
  <si>
    <t>41680049000110</t>
  </si>
  <si>
    <t>OPTICA PARIS PRIME LTDA</t>
  </si>
  <si>
    <t>PARIS PRIME (4340)</t>
  </si>
  <si>
    <t>OPTICAPARISPRIMEBC@GMAIL.COM</t>
  </si>
  <si>
    <t>RUA 908</t>
  </si>
  <si>
    <t>43212936000199</t>
  </si>
  <si>
    <t>OPTICA PASOLD LTDA</t>
  </si>
  <si>
    <t>OPTICA PASOLD (4384)</t>
  </si>
  <si>
    <t>OPTICAPASOLD@GMAIL.COM</t>
  </si>
  <si>
    <t>RUA GUSTAVO ZIMMERMANN</t>
  </si>
  <si>
    <t>4410</t>
  </si>
  <si>
    <t>28029736000101</t>
  </si>
  <si>
    <t>OPTICA S &amp; V LTDA - ME</t>
  </si>
  <si>
    <t>SOVERAL OTICA E RELOJOARIA (3805)</t>
  </si>
  <si>
    <t>FISCAL@KARRER.COM.BR</t>
  </si>
  <si>
    <t>1148</t>
  </si>
  <si>
    <t>LJ 07</t>
  </si>
  <si>
    <t>80716418000139</t>
  </si>
  <si>
    <t>OPTICA SOLANO LTDA - EPP</t>
  </si>
  <si>
    <t>OPTICA VEJA (231)</t>
  </si>
  <si>
    <t>opticaveja@gmail.com</t>
  </si>
  <si>
    <t>RUA SANTOS DUMONT</t>
  </si>
  <si>
    <t>279</t>
  </si>
  <si>
    <t>09230775000128</t>
  </si>
  <si>
    <t>OPTICA TESTONI LTDA</t>
  </si>
  <si>
    <t>OTICA TESTONI (1390)</t>
  </si>
  <si>
    <t>opticatestoni@hotmail.com</t>
  </si>
  <si>
    <t>196</t>
  </si>
  <si>
    <t>15048254000157</t>
  </si>
  <si>
    <t>OPTICA TOMAZI LTDA ME</t>
  </si>
  <si>
    <t>OPTICA CONFORTO VISUAL (1906)</t>
  </si>
  <si>
    <t>RUA 412 A</t>
  </si>
  <si>
    <t>34613945000109</t>
  </si>
  <si>
    <t>OPTICA VEJA BRASIL LTDA</t>
  </si>
  <si>
    <t>OPTICA VEJA BRASIL (4458)</t>
  </si>
  <si>
    <t>OPTICAVEJABRASIL@HOTMAIL.COM</t>
  </si>
  <si>
    <t>SALA 1A</t>
  </si>
  <si>
    <t>06934722000108</t>
  </si>
  <si>
    <t>OPTICA VITOR LTDA - ME</t>
  </si>
  <si>
    <t>OPTICA FAKINNE (604)</t>
  </si>
  <si>
    <t>optica.vitor@gmail.com</t>
  </si>
  <si>
    <t>RUA MIRADOR</t>
  </si>
  <si>
    <t>PRESIDENTE GETÚLIO</t>
  </si>
  <si>
    <t>11987438000121</t>
  </si>
  <si>
    <t>OPTICAS LUMEN LTDA</t>
  </si>
  <si>
    <t>OPTICAS LUMEN (1743)</t>
  </si>
  <si>
    <t>opticaslumen@hotmail.com</t>
  </si>
  <si>
    <t>3660</t>
  </si>
  <si>
    <t>34653674000107</t>
  </si>
  <si>
    <t>OPTIK OTICA LTDA</t>
  </si>
  <si>
    <t>OPTIK OTICA (4422)</t>
  </si>
  <si>
    <t>OPTIK.OTICA@GMAIL.COM</t>
  </si>
  <si>
    <t>82642877000140</t>
  </si>
  <si>
    <t>OSVENUS OSCAR DE AMORIM ME</t>
  </si>
  <si>
    <t>OSVENUS OSCAR DE AMORIM ME (298)</t>
  </si>
  <si>
    <t>odettemauricio@gmail.com</t>
  </si>
  <si>
    <t>3689</t>
  </si>
  <si>
    <t>07464773000178</t>
  </si>
  <si>
    <t>OTICA ANA MARIA LIMITADA ME</t>
  </si>
  <si>
    <t>OTICA ANA MARIA LIMITADA ME (736)</t>
  </si>
  <si>
    <t>oticaanamaria@hotmail.com</t>
  </si>
  <si>
    <t>05011362000100</t>
  </si>
  <si>
    <t>OTICA ATUAL LTDA ME</t>
  </si>
  <si>
    <t>OTICA ATUAL (150)</t>
  </si>
  <si>
    <t>CENTROOPTICO182@GMAIL.COM</t>
  </si>
  <si>
    <t>RUA OTTO RENAUX</t>
  </si>
  <si>
    <t>83779421000190</t>
  </si>
  <si>
    <t>OTICA BAIER LTDA EPP</t>
  </si>
  <si>
    <t>OTICA BAIER MATRIZ (274)</t>
  </si>
  <si>
    <t>baierexpress@terra.com.br</t>
  </si>
  <si>
    <t>LJ236</t>
  </si>
  <si>
    <t>50434557000109</t>
  </si>
  <si>
    <t>OTICA BALDEGA LTDA.</t>
  </si>
  <si>
    <t>CONCEITOS VISUAL OTICA E CONCEITOS OTICA KIDS (4719)</t>
  </si>
  <si>
    <t>GRUPOCONCEITOS@OUTLOOK.COM</t>
  </si>
  <si>
    <t>5</t>
  </si>
  <si>
    <t>32828492000102</t>
  </si>
  <si>
    <t>OTICA BALNEARIO CAMBORIU COM. DE PROD. OPTICOS LTDA</t>
  </si>
  <si>
    <t>OTICA BC (3981)</t>
  </si>
  <si>
    <t>oticabc@hotmail.com</t>
  </si>
  <si>
    <t>RUA 3 AVENIDA</t>
  </si>
  <si>
    <t>965</t>
  </si>
  <si>
    <t>22794987000104</t>
  </si>
  <si>
    <t>OTICA BC COMERCIO DE PRODUTOS OPTICOS</t>
  </si>
  <si>
    <t>OTICA BC (2252)</t>
  </si>
  <si>
    <t>OTICABC@HOTMAIL.COM</t>
  </si>
  <si>
    <t>3ª AVENIDA</t>
  </si>
  <si>
    <t>12161320000293</t>
  </si>
  <si>
    <t>OTICA BELA IRIS LTDA</t>
  </si>
  <si>
    <t>OTICA GRAVATA (4457)</t>
  </si>
  <si>
    <t>OTICABELAIRIS@HOTMAIL.COM</t>
  </si>
  <si>
    <t>12161320000102</t>
  </si>
  <si>
    <t>OTICA BELA IRIS LTDA ME</t>
  </si>
  <si>
    <t>OTICA BELA IRIS (1755)</t>
  </si>
  <si>
    <t>atendimento@belairis.com.br</t>
  </si>
  <si>
    <t>7271</t>
  </si>
  <si>
    <t>28534548000130</t>
  </si>
  <si>
    <t>OTICA BELA LTDA</t>
  </si>
  <si>
    <t>BELLA OTICA (4423)</t>
  </si>
  <si>
    <t>ATINAREGIENE@HOTMAIL.COM</t>
  </si>
  <si>
    <t>85200897000150</t>
  </si>
  <si>
    <t>OTICA BELA VISTA LTDA ME</t>
  </si>
  <si>
    <t>OTICA BELA VISTA LTDA ME (277)</t>
  </si>
  <si>
    <t>belavista290@hotmail.com</t>
  </si>
  <si>
    <t>AVENIDA OSCAR BARCELOS</t>
  </si>
  <si>
    <t>46036039000160</t>
  </si>
  <si>
    <t>OTICA BELLA LUZ LTDA</t>
  </si>
  <si>
    <t>BELLA LUZ (4507)</t>
  </si>
  <si>
    <t>ALINETATIANELCL@GMAIL.COM</t>
  </si>
  <si>
    <t>VILA ITOUPAVA</t>
  </si>
  <si>
    <t>37145252000119</t>
  </si>
  <si>
    <t>OTICA BIANCO LTDA</t>
  </si>
  <si>
    <t>OTICA BIANCO (4163)</t>
  </si>
  <si>
    <t>oticabianco@hotmail.com</t>
  </si>
  <si>
    <t>AVENIDA GOVERNADOR CELSO RAMOS</t>
  </si>
  <si>
    <t>3027</t>
  </si>
  <si>
    <t>11206259000100</t>
  </si>
  <si>
    <t>OTICA BRUSQUENSE LTDA ME</t>
  </si>
  <si>
    <t>OTICA BRUSQUENSE LTDA ME (1688)</t>
  </si>
  <si>
    <t>oticabrusquense@yahoo.com.br</t>
  </si>
  <si>
    <t>951</t>
  </si>
  <si>
    <t>SANTA TEREZINHA</t>
  </si>
  <si>
    <t>40032255000150</t>
  </si>
  <si>
    <t>OTICA BUDAG ITUPORANGA LTDA</t>
  </si>
  <si>
    <t>MERCADAO DOS OCULOS (4675)</t>
  </si>
  <si>
    <t>RUA TV JACOB SENS</t>
  </si>
  <si>
    <t>34069820000151</t>
  </si>
  <si>
    <t>OTICA BUDAG LTDA</t>
  </si>
  <si>
    <t>REDE DE OTICAS MERCADAO DOS OCULOS (4040)</t>
  </si>
  <si>
    <t>mdoriodosul@outlook.com</t>
  </si>
  <si>
    <t>29737117000134</t>
  </si>
  <si>
    <t>OTICA DA BARRA EIRELI</t>
  </si>
  <si>
    <t>OTICA DA BARRA (3881)</t>
  </si>
  <si>
    <t>oticadabarra@outlook.com</t>
  </si>
  <si>
    <t>1520</t>
  </si>
  <si>
    <t>11649679000160</t>
  </si>
  <si>
    <t>OTICA DA FAMILIA A B LTDA EPP</t>
  </si>
  <si>
    <t>OTICA DA FAMILIA (1731)</t>
  </si>
  <si>
    <t>faig@uol.com.br</t>
  </si>
  <si>
    <t>RUA ALBERTO SANTOS DUMONT (3 AV.)</t>
  </si>
  <si>
    <t>SL 2B</t>
  </si>
  <si>
    <t>43112263000103</t>
  </si>
  <si>
    <t>OTICA DAZANI LTDA</t>
  </si>
  <si>
    <t>OTICA DAZANI (4538)</t>
  </si>
  <si>
    <t>OTICADAZANI@GMAIL.COM</t>
  </si>
  <si>
    <t>RUA 10</t>
  </si>
  <si>
    <t>51177953000160</t>
  </si>
  <si>
    <t>OTICA D'MOMM LTDA</t>
  </si>
  <si>
    <t>OTICA D'MOMM (4742)</t>
  </si>
  <si>
    <t>FINANCEIRO@OTICAMOMM.COM.BR</t>
  </si>
  <si>
    <t>RUA GERMANO BRANDES SENIOR</t>
  </si>
  <si>
    <t>711</t>
  </si>
  <si>
    <t>SALAS 3 E 4</t>
  </si>
  <si>
    <t>28872637000278</t>
  </si>
  <si>
    <t>OTICA E JOALHERIA MAGOO LTDA</t>
  </si>
  <si>
    <t>OTICA MAGOO (3905)</t>
  </si>
  <si>
    <t>ITAPEMA@OTICASMAGOO.COM.BR</t>
  </si>
  <si>
    <t>4880</t>
  </si>
  <si>
    <t>11817536000110</t>
  </si>
  <si>
    <t>OTICA E RELOJOALHERIA ROSAR LTDA  ME</t>
  </si>
  <si>
    <t>OTICA E RELOJOARIA ROSAR LTDA (1734)</t>
  </si>
  <si>
    <t>maiconrosar@hotmail.com</t>
  </si>
  <si>
    <t>346</t>
  </si>
  <si>
    <t>00075815000130</t>
  </si>
  <si>
    <t>OTICA E RELOJOARIA MONDINI LTDA</t>
  </si>
  <si>
    <t>OTICA E RELOJOARIA MONDINI (172)</t>
  </si>
  <si>
    <t>fernandomondini@hotmail.com</t>
  </si>
  <si>
    <t>RUA 23 DE JULHO</t>
  </si>
  <si>
    <t>PLANALTO</t>
  </si>
  <si>
    <t>85189504000154</t>
  </si>
  <si>
    <t>OTICA E RELOJOARIA RAEDER LTDA - ME</t>
  </si>
  <si>
    <t>OTICA E RELOJOARIA READER (388)</t>
  </si>
  <si>
    <t>opticaraeder@yahoo.com.br</t>
  </si>
  <si>
    <t>27525919000155</t>
  </si>
  <si>
    <t>OTICA EDU VALENTI LTDA</t>
  </si>
  <si>
    <t>OTICA EDU VELENTI (4128)</t>
  </si>
  <si>
    <t>eduardogtavares6@gmail.com</t>
  </si>
  <si>
    <t>RUA VICTOR JUVENCIO MAFRA</t>
  </si>
  <si>
    <t>BOX 20 E 25</t>
  </si>
  <si>
    <t>27525919000236</t>
  </si>
  <si>
    <t>OTICAS DI VALENTI (4453)</t>
  </si>
  <si>
    <t>GABRIELFELIPESILVAS@GMAIL.COM</t>
  </si>
  <si>
    <t>09571304000183</t>
  </si>
  <si>
    <t>OTICA EL SHADAY LTDA ME</t>
  </si>
  <si>
    <t>OPTICA EL SHADAY (1431)</t>
  </si>
  <si>
    <t>comprasopticaelshaday@gmail.com</t>
  </si>
  <si>
    <t>02036031000128</t>
  </si>
  <si>
    <t>OTICA ELEGANCE LTDA</t>
  </si>
  <si>
    <t>OTICA ELEGANCE (1050)</t>
  </si>
  <si>
    <t>oticaeleganceltda@hotmail.com</t>
  </si>
  <si>
    <t>18668936000150</t>
  </si>
  <si>
    <t>OTICA ENCANTO COMERCIO DE OCULOS LTDA ME</t>
  </si>
  <si>
    <t>OTICA ENCANTO (2060)</t>
  </si>
  <si>
    <t>sinaradevitte@hotmail.com</t>
  </si>
  <si>
    <t>RUA VEREADOR MANOEL JOSE DOS SANTOS</t>
  </si>
  <si>
    <t>1241</t>
  </si>
  <si>
    <t>842</t>
  </si>
  <si>
    <t>24264154000159</t>
  </si>
  <si>
    <t>OTICA ESTEFANO LTDA</t>
  </si>
  <si>
    <t>OTICA ESTEFANO (4276)</t>
  </si>
  <si>
    <t>OTICAESTEFANO@HOTMAIL.COM</t>
  </si>
  <si>
    <t>926</t>
  </si>
  <si>
    <t>407</t>
  </si>
  <si>
    <t>02359110000250</t>
  </si>
  <si>
    <t>OTICA EVIDENCE LTDA</t>
  </si>
  <si>
    <t>OTICA EVIDENCE (1385)</t>
  </si>
  <si>
    <t>contato@oticamomm.com.br</t>
  </si>
  <si>
    <t>02359110000170</t>
  </si>
  <si>
    <t>OTICA EVIDENCE LTDA  EPP</t>
  </si>
  <si>
    <t>OTICA EVIDENCE LTDA (1080)</t>
  </si>
  <si>
    <t>43767861000102</t>
  </si>
  <si>
    <t>OTICA FLLY NK LTDA</t>
  </si>
  <si>
    <t>OTICA CHILLI BEANS (4443)</t>
  </si>
  <si>
    <t>ALLAN@GRUPOFLLY.COM.BR</t>
  </si>
  <si>
    <t>SALA L83</t>
  </si>
  <si>
    <t>20395229000180</t>
  </si>
  <si>
    <t>OTICA FLORIANI LTDA</t>
  </si>
  <si>
    <t>OTICA FLORIANI LTDA (2112)</t>
  </si>
  <si>
    <t>tatipiler@hotmail.com</t>
  </si>
  <si>
    <t>RUA FREI ESTANISLAU SCHAETTE</t>
  </si>
  <si>
    <t>AGUA VERDE</t>
  </si>
  <si>
    <t>10821412000146</t>
  </si>
  <si>
    <t>OTICA GETULIENSE LTDA</t>
  </si>
  <si>
    <t>OTICA GETULIENSE LTDA (1502)</t>
  </si>
  <si>
    <t>oticagetuliense@hotmail.com</t>
  </si>
  <si>
    <t>RUA CURT HERING</t>
  </si>
  <si>
    <t>12329754000179</t>
  </si>
  <si>
    <t>OTICA GEVAERD LTDA</t>
  </si>
  <si>
    <t>OTICA GEVAERD LTDA (1791)</t>
  </si>
  <si>
    <t>oticagevaerdgba@gmail.com</t>
  </si>
  <si>
    <t>SALAS 01 E 03</t>
  </si>
  <si>
    <t>GUABIRUBA</t>
  </si>
  <si>
    <t>37809744000161</t>
  </si>
  <si>
    <t>OTICA GODOY LTDA</t>
  </si>
  <si>
    <t>OTICA GODOY (4711)</t>
  </si>
  <si>
    <t>OTICAGODOY@GMAIL.COM</t>
  </si>
  <si>
    <t>EUGENIO KRAUSE</t>
  </si>
  <si>
    <t>1994</t>
  </si>
  <si>
    <t>46836545000133</t>
  </si>
  <si>
    <t>OTICA GRATTA LTDA</t>
  </si>
  <si>
    <t>OTICA GRATTA (4597)</t>
  </si>
  <si>
    <t>MARIANADUARTE0312@GMAIL.COM</t>
  </si>
  <si>
    <t>2654</t>
  </si>
  <si>
    <t>VITOR MEIRELES</t>
  </si>
  <si>
    <t>82645086000174</t>
  </si>
  <si>
    <t>OTICA HOPPE LTDA</t>
  </si>
  <si>
    <t>OTICA HOPPE (313)</t>
  </si>
  <si>
    <t>opticahoppe@gmail.com</t>
  </si>
  <si>
    <t>RUA SAO PAULO</t>
  </si>
  <si>
    <t>3030</t>
  </si>
  <si>
    <t>ITOUPAVA SECA</t>
  </si>
  <si>
    <t>83240614000178</t>
  </si>
  <si>
    <t>OTICA HUSADEL LTDA</t>
  </si>
  <si>
    <t>OTICA HUSADEL LTDA (314)</t>
  </si>
  <si>
    <t>husadel.otica@oi.com.br</t>
  </si>
  <si>
    <t>22194483000145</t>
  </si>
  <si>
    <t>OTICA IMPERIO LTDA ME</t>
  </si>
  <si>
    <t>OTICA IMPERIO  (2219)</t>
  </si>
  <si>
    <t>IMPERIOOTICA@HOTMAIL.COM</t>
  </si>
  <si>
    <t>38444452000135</t>
  </si>
  <si>
    <t>OTICA INDAIAL LTDA</t>
  </si>
  <si>
    <t>INSTITUTO DOS OCULOS (4204)</t>
  </si>
  <si>
    <t>indaial@institutodosoculos.com</t>
  </si>
  <si>
    <t>LADO LOTERICA</t>
  </si>
  <si>
    <t>TAPAJOS</t>
  </si>
  <si>
    <t>06166659000107</t>
  </si>
  <si>
    <t>OTICA INOVA LTDA ME</t>
  </si>
  <si>
    <t>OTICA INOVA (1330)</t>
  </si>
  <si>
    <t>COMERCIAL@OTICAINOVA.COM.BR</t>
  </si>
  <si>
    <t>85205938000109</t>
  </si>
  <si>
    <t>OTICA ITACU LTDA ME</t>
  </si>
  <si>
    <t>OTICA ITACU LTDA ME (1272)</t>
  </si>
  <si>
    <t>itacu@terra.com.br</t>
  </si>
  <si>
    <t>RUA 1500</t>
  </si>
  <si>
    <t>1020</t>
  </si>
  <si>
    <t>30839953000290</t>
  </si>
  <si>
    <t>OTICA ITAJAI LTDA</t>
  </si>
  <si>
    <t>INSTITUTO DOS OCULOS (4318)</t>
  </si>
  <si>
    <t>CONTASAPAGAR@INSTITUTODOSOCULOS.COM</t>
  </si>
  <si>
    <t>500</t>
  </si>
  <si>
    <t>46426558000134</t>
  </si>
  <si>
    <t>OTICA J.L. LTDA</t>
  </si>
  <si>
    <t>LAINNE OTICA, JOIAS E RELOGIOS (4739)</t>
  </si>
  <si>
    <t>FINANCEIRO@OTICALAINNE.COM.BR</t>
  </si>
  <si>
    <t>RUA BOTUVERA SC 486</t>
  </si>
  <si>
    <t>DOM JOAQUIM - URBANO</t>
  </si>
  <si>
    <t>29747694000107</t>
  </si>
  <si>
    <t>OTICA JAN LTDA</t>
  </si>
  <si>
    <t>OTICA JAN (4265)</t>
  </si>
  <si>
    <t>oticajan@hotmail.com</t>
  </si>
  <si>
    <t>RUA DOS CACADORES</t>
  </si>
  <si>
    <t>840</t>
  </si>
  <si>
    <t>50723889000103</t>
  </si>
  <si>
    <t>OTICA JC 02 LTDA</t>
  </si>
  <si>
    <t>OTICA JC (4727)</t>
  </si>
  <si>
    <t>SC-BALNEARIOPICARRAS@MERCADAODOSOCULOS.COM.BR</t>
  </si>
  <si>
    <t>46240223000127</t>
  </si>
  <si>
    <t>OTICA JC LTDA</t>
  </si>
  <si>
    <t>MERCADAO DOS OCULOS (4721)</t>
  </si>
  <si>
    <t>SC-PENHA@MERCADAODOSOCULOS.COM.BR</t>
  </si>
  <si>
    <t>RUA NILO ANASTACIO VIEIRA</t>
  </si>
  <si>
    <t>83104919000152</t>
  </si>
  <si>
    <t>OTICA LABES LTDA ME</t>
  </si>
  <si>
    <t>OTICA LABES LTDA (317)</t>
  </si>
  <si>
    <t>otica@labesnet.com.br</t>
  </si>
  <si>
    <t>05135930000176</t>
  </si>
  <si>
    <t>OTICA LUIZ ALVES LTDA ME</t>
  </si>
  <si>
    <t>BAIER EXPRESS (218)</t>
  </si>
  <si>
    <t>RUA PROFESSOR SIMAO HESS</t>
  </si>
  <si>
    <t>VILA DO SALTO</t>
  </si>
  <si>
    <t>LUIZ ALVES</t>
  </si>
  <si>
    <t>82887878000155</t>
  </si>
  <si>
    <t>OTICA MANI LTDA - EPP</t>
  </si>
  <si>
    <t>OTICA MANI LTDA (322)</t>
  </si>
  <si>
    <t>timbo@opticamani.com.br</t>
  </si>
  <si>
    <t>33463057000186</t>
  </si>
  <si>
    <t>OTICA MARIANA DE BRITO EIRELI</t>
  </si>
  <si>
    <t>OTICA ANA MARIA (4001)</t>
  </si>
  <si>
    <t>39305968000161</t>
  </si>
  <si>
    <t>OTICA MELLO BC LTDA</t>
  </si>
  <si>
    <t>OTICA MELLO (4252)</t>
  </si>
  <si>
    <t>messias.optiserv@gmail.com</t>
  </si>
  <si>
    <t>SALA:07</t>
  </si>
  <si>
    <t>79917886000192</t>
  </si>
  <si>
    <t>OTICA MODERNA LTDA EPP</t>
  </si>
  <si>
    <t>OTICA MODERNA LTDA (329)</t>
  </si>
  <si>
    <t>79677456000302</t>
  </si>
  <si>
    <t>OTICA MOMM LTDA</t>
  </si>
  <si>
    <t>MOMM - TIMBO (1258)</t>
  </si>
  <si>
    <t>escritoriogrupomomm@hotmail.com</t>
  </si>
  <si>
    <t>79677456000493</t>
  </si>
  <si>
    <t>OTICA MOMM LTDA EPP</t>
  </si>
  <si>
    <t>OTICA MOMM LTDA EPP (1777)</t>
  </si>
  <si>
    <t>79677456000140</t>
  </si>
  <si>
    <t>MOMM - INDAIAL (330)</t>
  </si>
  <si>
    <t>36248165000124</t>
  </si>
  <si>
    <t>OTICA MORRETES EIRELI</t>
  </si>
  <si>
    <t>OTICA EVIDENCE (4193)</t>
  </si>
  <si>
    <t>OTICA.EVIDENCE@YAHOO.COM</t>
  </si>
  <si>
    <t>ESQUI RUA 406 E</t>
  </si>
  <si>
    <t>MORRETE</t>
  </si>
  <si>
    <t>75564245000140</t>
  </si>
  <si>
    <t>OTICA MOURA FERRO EIRELI</t>
  </si>
  <si>
    <t>MOURA FERRO (238)</t>
  </si>
  <si>
    <t>lulamferro@gmail.com</t>
  </si>
  <si>
    <t>08732865000154</t>
  </si>
  <si>
    <t>OTICA NICOLY WAGNER LTDA</t>
  </si>
  <si>
    <t>VISUAL OTICA (1282)</t>
  </si>
  <si>
    <t>visualotica_bnu@yahoo.com.br</t>
  </si>
  <si>
    <t>2368</t>
  </si>
  <si>
    <t>01381779000103</t>
  </si>
  <si>
    <t>OTICA OELKE FORTALEZA LTDA ME</t>
  </si>
  <si>
    <t>OTICA OELKE FORTALEZA LTDA (972)</t>
  </si>
  <si>
    <t>otica.fortaleza@gmail.com</t>
  </si>
  <si>
    <t>2215</t>
  </si>
  <si>
    <t>46089205000196</t>
  </si>
  <si>
    <t>OTICA OG PICARRAS LTDA</t>
  </si>
  <si>
    <t>OTICA OG PICARRAS (4526)</t>
  </si>
  <si>
    <t>OGPICARRAS@GMAIL.COM</t>
  </si>
  <si>
    <t>PRESIDENTE GETULIO VARGAS</t>
  </si>
  <si>
    <t>01470725000106</t>
  </si>
  <si>
    <t>OTICA REALCE LTDA</t>
  </si>
  <si>
    <t>OTICA REALCE I (987)</t>
  </si>
  <si>
    <t>oticarealce@terra.com.br</t>
  </si>
  <si>
    <t>858</t>
  </si>
  <si>
    <t>04336138000117</t>
  </si>
  <si>
    <t>OTICA REFLEX LTDA</t>
  </si>
  <si>
    <t>OTICA REFLEX LTDA (1262)</t>
  </si>
  <si>
    <t>17664084000160</t>
  </si>
  <si>
    <t>OTICA RIOSUL LTDA ME</t>
  </si>
  <si>
    <t>OTICA RIOSUL (1983)</t>
  </si>
  <si>
    <t>oticariosul.financeiro@hotmail.com</t>
  </si>
  <si>
    <t>14952252000125</t>
  </si>
  <si>
    <t>OTICA RIOSULENSE LTDA ME</t>
  </si>
  <si>
    <t>OTICA RIOSULENSE LTDA ME (1886)</t>
  </si>
  <si>
    <t>oticariosulense.financeiro@hotmail.com</t>
  </si>
  <si>
    <t>48558956000130</t>
  </si>
  <si>
    <t>OTICA RITTER LTDA</t>
  </si>
  <si>
    <t>OTICA RITTER (4686)</t>
  </si>
  <si>
    <t>OTICARITTERITAJAI01@GMAIL.COM</t>
  </si>
  <si>
    <t>RUA FREDERICO AUGUSTO LUIZ THIEME</t>
  </si>
  <si>
    <t>SALA 11A</t>
  </si>
  <si>
    <t>17730641000102</t>
  </si>
  <si>
    <t>OTICA ROBERTA DUARTE EIRELE</t>
  </si>
  <si>
    <t>OTICA ROBERTA (1993)</t>
  </si>
  <si>
    <t>oticaroberta@live.com</t>
  </si>
  <si>
    <t>8059</t>
  </si>
  <si>
    <t>SALA 2 E 3</t>
  </si>
  <si>
    <t>31137275000103</t>
  </si>
  <si>
    <t>OTICA SANOTICA LTDA</t>
  </si>
  <si>
    <t>MERCADAO DOS OCULOS (3932)</t>
  </si>
  <si>
    <t>sc-blumenau@mercadaodosoculos.com.br</t>
  </si>
  <si>
    <t>1226</t>
  </si>
  <si>
    <t>LOJA 6</t>
  </si>
  <si>
    <t>85151090000174</t>
  </si>
  <si>
    <t>OTICA SCHRODER LTDA ME</t>
  </si>
  <si>
    <t>OTICA SCHRODER LTDA ME (352)</t>
  </si>
  <si>
    <t>TRAVESSA GUILHERME KRIEGER JUNIOR</t>
  </si>
  <si>
    <t>32787925000110</t>
  </si>
  <si>
    <t>OTICA SOUZA LTDA</t>
  </si>
  <si>
    <t>OTICA SOUZA (4207)</t>
  </si>
  <si>
    <t>vendas.oticasouza@gmail.com</t>
  </si>
  <si>
    <t>40319266000116</t>
  </si>
  <si>
    <t>OTICA STELLA LTDA</t>
  </si>
  <si>
    <t>OTICA STELLA (4331)</t>
  </si>
  <si>
    <t>GUILHERMECERVELIN@GMAIL.COM</t>
  </si>
  <si>
    <t>76538206000131</t>
  </si>
  <si>
    <t>OTICA TIMBO LTDA</t>
  </si>
  <si>
    <t>OTICA TIMBO LTDA (358)</t>
  </si>
  <si>
    <t>oticatimbo@hotmail.com</t>
  </si>
  <si>
    <t>07510051000102</t>
  </si>
  <si>
    <t>OTICA TOTAL E THUNDER LAB COMERCIO DE OCULOS E LENTES LTDA</t>
  </si>
  <si>
    <t>OPTICA TOTAL (795)</t>
  </si>
  <si>
    <t>totalotica@hotmail.com</t>
  </si>
  <si>
    <t>SL3</t>
  </si>
  <si>
    <t>13821836000107</t>
  </si>
  <si>
    <t>OTICA UNIAO BLUMENAU LTDA ME</t>
  </si>
  <si>
    <t>OTICAS UNIAO  (1845)</t>
  </si>
  <si>
    <t>MARCELOCJ220@GMAIL.COM</t>
  </si>
  <si>
    <t>1315</t>
  </si>
  <si>
    <t>07392762000120</t>
  </si>
  <si>
    <t>OTICA VICTOR LTDA ME</t>
  </si>
  <si>
    <t>OTICA VICTOR (1349)</t>
  </si>
  <si>
    <t>oticadovale@hotmail.com</t>
  </si>
  <si>
    <t>49273586000157</t>
  </si>
  <si>
    <t>OTICA VIIC LTDA.</t>
  </si>
  <si>
    <t>OTICA VIIC (4684)</t>
  </si>
  <si>
    <t>CONTATO@OTICAVIIC.COM.BR</t>
  </si>
  <si>
    <t>RUA PROF. JACOB INEICHEN</t>
  </si>
  <si>
    <t>50216578000158</t>
  </si>
  <si>
    <t>OTICA VISARE LTDA</t>
  </si>
  <si>
    <t>OTICA VISARE (4738)</t>
  </si>
  <si>
    <t>VISAREOTICA@GMAIL.COM</t>
  </si>
  <si>
    <t>DEPUTADO ANTONIO HEIL</t>
  </si>
  <si>
    <t>3730</t>
  </si>
  <si>
    <t>SALA 01 E 02</t>
  </si>
  <si>
    <t>NOVA BRASILIA - URBANO</t>
  </si>
  <si>
    <t>72166663000191</t>
  </si>
  <si>
    <t>OTICA VISORAMA LTDA ME</t>
  </si>
  <si>
    <t>OTICA VISORAMA (502)</t>
  </si>
  <si>
    <t>oticavisoramabnu@hotmail.com</t>
  </si>
  <si>
    <t>220</t>
  </si>
  <si>
    <t>02106829000107</t>
  </si>
  <si>
    <t>OTICA VITORIA REGIA LTDA ME</t>
  </si>
  <si>
    <t>OTICA MANI (1051)</t>
  </si>
  <si>
    <t>indaialnfe@opticamani.com.br</t>
  </si>
  <si>
    <t>RUA ENGENHEIRO EMILIO ODEBRECHT</t>
  </si>
  <si>
    <t>07</t>
  </si>
  <si>
    <t>03282127000139</t>
  </si>
  <si>
    <t>OTICA ZUNINO LTDA</t>
  </si>
  <si>
    <t>OTICA VENEZA (207)</t>
  </si>
  <si>
    <t>otica.veneza@brturbo.com.br</t>
  </si>
  <si>
    <t>44480688000120</t>
  </si>
  <si>
    <t>OTICA ZURICH LTDA</t>
  </si>
  <si>
    <t>OTICA ZURICH (4447)</t>
  </si>
  <si>
    <t>CAIRO_SANTOSS@HOTMAIL.COM</t>
  </si>
  <si>
    <t>3A AVENIDA</t>
  </si>
  <si>
    <t>45336638000136</t>
  </si>
  <si>
    <t>OTICAS DI VALENTI LTDA</t>
  </si>
  <si>
    <t>OTICAS DI VALENTI (4559)</t>
  </si>
  <si>
    <t>OTICASDIVALENTICB@GMAIL.COM</t>
  </si>
  <si>
    <t>RUA ANTONIO AYRES DOS SANTOS</t>
  </si>
  <si>
    <t>30267876009469</t>
  </si>
  <si>
    <t>OTICAS DO POVO LTDA (1950)</t>
  </si>
  <si>
    <t>FINANCEIRO@OTICASDOPOVO.COM.BR</t>
  </si>
  <si>
    <t>VIA EXP. PAUL FRITZ KUEHNRICH -   SHOP PARK</t>
  </si>
  <si>
    <t>LJ 1118 Á 1120</t>
  </si>
  <si>
    <t>41554842000334</t>
  </si>
  <si>
    <t>OTICAS RELOJOIA LTDA</t>
  </si>
  <si>
    <t>OTICAS RELOJOIA (4706)</t>
  </si>
  <si>
    <t>BELLAVISAODIAMOND@GMAIL.COM</t>
  </si>
  <si>
    <t>RUA BARÃO DO RIO BRANCO</t>
  </si>
  <si>
    <t>1087</t>
  </si>
  <si>
    <t>41554842000253</t>
  </si>
  <si>
    <t>OTICAS RELOJOIA (4705)</t>
  </si>
  <si>
    <t>RELOJOIASINDAIAL@GMAIL.COM</t>
  </si>
  <si>
    <t>RUA MARIA SIMAO</t>
  </si>
  <si>
    <t>41554842000172</t>
  </si>
  <si>
    <t>OPTICAS RELOJOIAS (4629)</t>
  </si>
  <si>
    <t>RELOJOIASRIODOSUL@GMAIL.COM</t>
  </si>
  <si>
    <t>SALA 01 TERREO</t>
  </si>
  <si>
    <t>12447762000705</t>
  </si>
  <si>
    <t>OTICAS TEIXEIRA LTDA</t>
  </si>
  <si>
    <t>OTICAS RAUL (4498)</t>
  </si>
  <si>
    <t>ROSI@OTICARAUL.COM.BR</t>
  </si>
  <si>
    <t>ESCOLA AGRICOLA</t>
  </si>
  <si>
    <t>12447762000624</t>
  </si>
  <si>
    <t>OTICA RAUL (4492)</t>
  </si>
  <si>
    <t>1785</t>
  </si>
  <si>
    <t>PRIMEIRO DE MAIO</t>
  </si>
  <si>
    <t>12447762000381</t>
  </si>
  <si>
    <t>OTICAS TEIXEIRA LTDA - EPP</t>
  </si>
  <si>
    <t>OTICAS RAUL (2246)</t>
  </si>
  <si>
    <t>8355</t>
  </si>
  <si>
    <t>GRAVATÁ</t>
  </si>
  <si>
    <t>12447762000209</t>
  </si>
  <si>
    <t>OTICAS TEIXEIRA LTDA EPP</t>
  </si>
  <si>
    <t>OTICA RAUL (2243)</t>
  </si>
  <si>
    <t>rosi@oticaraul.com.br</t>
  </si>
  <si>
    <t>RUA JOAO SACAVEM</t>
  </si>
  <si>
    <t>12447762000543</t>
  </si>
  <si>
    <t>OTICA RAUL (2241)</t>
  </si>
  <si>
    <t>RUA JOHANN SACHSE</t>
  </si>
  <si>
    <t>3155</t>
  </si>
  <si>
    <t>12447762000110</t>
  </si>
  <si>
    <t>OTICAS TEIXEIRA LTDA ME</t>
  </si>
  <si>
    <t>OTICA RAUL (1784)</t>
  </si>
  <si>
    <t>981</t>
  </si>
  <si>
    <t>12447762000462</t>
  </si>
  <si>
    <t>OTICA RAUL (2242)</t>
  </si>
  <si>
    <t>1299</t>
  </si>
  <si>
    <t>28097672000186</t>
  </si>
  <si>
    <t>PATRICIA CARLA MINUZI</t>
  </si>
  <si>
    <t>MERCADAO DOS OCULOS (3939)</t>
  </si>
  <si>
    <t>balneariocamboriu@mercadaodosoculos.com.br</t>
  </si>
  <si>
    <t>1811</t>
  </si>
  <si>
    <t>15638488000154</t>
  </si>
  <si>
    <t>PATRICIA DOS SANTOS ZAMPIERI ME</t>
  </si>
  <si>
    <t>OTICA KI OLHAR (1903)</t>
  </si>
  <si>
    <t>oticakiolhar@hotmail.com</t>
  </si>
  <si>
    <t>AVENIDA LISBOA</t>
  </si>
  <si>
    <t>19963088000337</t>
  </si>
  <si>
    <t>PAULO LUIZ GERHARDT - ME</t>
  </si>
  <si>
    <t>OTICAS CAROL (3333)</t>
  </si>
  <si>
    <t>19963088000175</t>
  </si>
  <si>
    <t>PAULO LUIZ GERHARDT ME</t>
  </si>
  <si>
    <t>OTICAS CAROL (2113)</t>
  </si>
  <si>
    <t>09161607000128</t>
  </si>
  <si>
    <t>PIRES GAUTO LTDA</t>
  </si>
  <si>
    <t>OTICA ITAPEMA (1366)</t>
  </si>
  <si>
    <t>piresgauto@hotmail.com</t>
  </si>
  <si>
    <t>00978829000163</t>
  </si>
  <si>
    <t>PLEPIS E PLEPIS LTDA ME</t>
  </si>
  <si>
    <t>OTICA CATARINENSE (832)</t>
  </si>
  <si>
    <t>FISCAL2@CONTLUZ.COM.BR</t>
  </si>
  <si>
    <t>4  AVENIDA</t>
  </si>
  <si>
    <t>38076245000256</t>
  </si>
  <si>
    <t>PRADO ARTIGOS DE OPTICA LTDA</t>
  </si>
  <si>
    <t>OUTLET DOS ÓCULOS (4472)</t>
  </si>
  <si>
    <t>JUSSARARUSSI@GMAIL.COM</t>
  </si>
  <si>
    <t>20940308000124</t>
  </si>
  <si>
    <t>PRIME CORPORATION RELOJOARIA E OTICA EIRELI ME</t>
  </si>
  <si>
    <t>OTICAS CAROL (2174)</t>
  </si>
  <si>
    <t>oticascarol940@gmail.com</t>
  </si>
  <si>
    <t>RUA CORONEL MARCOS KONDER</t>
  </si>
  <si>
    <t>LOJA 7</t>
  </si>
  <si>
    <t>30882232000181</t>
  </si>
  <si>
    <t>R E W COMERCIO OPTICA LTDA</t>
  </si>
  <si>
    <t>OPTICA BELLA VISAO (3907)</t>
  </si>
  <si>
    <t>bellavisaooptica@gmail.com</t>
  </si>
  <si>
    <t>AVENIDA MARIA SIMAO</t>
  </si>
  <si>
    <t>30882232000262</t>
  </si>
  <si>
    <t>OPTICA BELLA VISAO (4287)</t>
  </si>
  <si>
    <t>RUA MAL FLORIANO PEIXOTO</t>
  </si>
  <si>
    <t>323</t>
  </si>
  <si>
    <t>09410776000154</t>
  </si>
  <si>
    <t>R.S.B OTICA LTDA</t>
  </si>
  <si>
    <t>OTICA BELLA VISORAMA  (1392)</t>
  </si>
  <si>
    <t>OTICABELLAVISORAMA@GMAIL.COM</t>
  </si>
  <si>
    <t>ED. IMPERADOR</t>
  </si>
  <si>
    <t>PRESIDENTE GETULIO</t>
  </si>
  <si>
    <t>08741325000137</t>
  </si>
  <si>
    <t>RAFAEL OTICA E RELOJOARIA EIRELI EPP</t>
  </si>
  <si>
    <t>RAFAEL OTICA E RELOJOARIA LTDA ME (1285)</t>
  </si>
  <si>
    <t>rafaelcatafesta@gmail.com</t>
  </si>
  <si>
    <t>RUA PREFEITO FREDERICO HARDT</t>
  </si>
  <si>
    <t>02329098000150</t>
  </si>
  <si>
    <t>RAPHAEL FADEL DE SOUZA ME</t>
  </si>
  <si>
    <t>ZO FADEL BIJUTERIAS (1795)</t>
  </si>
  <si>
    <t>oticas_fadel@hotmail.com</t>
  </si>
  <si>
    <t>02329098000231</t>
  </si>
  <si>
    <t>OTICAS FADEL-BRUSQUE (1796)</t>
  </si>
  <si>
    <t>RUA R. SETE DE SETEMBRO</t>
  </si>
  <si>
    <t>SANTA RITA</t>
  </si>
  <si>
    <t>22970528000126</t>
  </si>
  <si>
    <t>RAQUEL ANSCHAU PEDROZO 01908848006</t>
  </si>
  <si>
    <t>OTICA VIP (4345)</t>
  </si>
  <si>
    <t>OTICAVIP@OUTLOOK.COM</t>
  </si>
  <si>
    <t>JOSE JUVENAL MAFRA</t>
  </si>
  <si>
    <t>7176</t>
  </si>
  <si>
    <t>04227703000108</t>
  </si>
  <si>
    <t>RAQUEL CRISTINA CARDOSO</t>
  </si>
  <si>
    <t>OTICA STRAUSS (2245)</t>
  </si>
  <si>
    <t>cioc_visao@hotmail.com</t>
  </si>
  <si>
    <t>DOM BOSCO</t>
  </si>
  <si>
    <t>45637602000192</t>
  </si>
  <si>
    <t>RCM COMERCIO DE PRODUTOS OPTICOS E FOTOS LTDA</t>
  </si>
  <si>
    <t>OTICAS NOVO OLHAR (4546)</t>
  </si>
  <si>
    <t>OTICASNOVOOLHARSC1@GMAIL.COM</t>
  </si>
  <si>
    <t>31294191000175</t>
  </si>
  <si>
    <t>RDR ÓPTICA LTDA</t>
  </si>
  <si>
    <t>OPTICA GOLD (3942)</t>
  </si>
  <si>
    <t>OPTICAGOLD2018@GMAIL.COM</t>
  </si>
  <si>
    <t>RUA RUA EMILIO ALTEMBERG</t>
  </si>
  <si>
    <t>08604566000134</t>
  </si>
  <si>
    <t>REGIMAURO SAMPAIO LOPES</t>
  </si>
  <si>
    <t>OTICA SAO JOAO (1406)</t>
  </si>
  <si>
    <t>navegantes@oticasaojoao.com.br</t>
  </si>
  <si>
    <t>RUA EMILIA DOS SANTOS</t>
  </si>
  <si>
    <t>08604566000215</t>
  </si>
  <si>
    <t>REGIMAURO SAMPAIO LOPES (2290)</t>
  </si>
  <si>
    <t>RUA MANOEL FERNANDES</t>
  </si>
  <si>
    <t>41661104000124</t>
  </si>
  <si>
    <t>REGIMAURO SAMPAIO LOPES OPTICA LTDA</t>
  </si>
  <si>
    <t>OTICAS SAO JOAO DE BALNEARIO CAMBORIU (4328)</t>
  </si>
  <si>
    <t>BALNEARIOCAMBORIU@OTICASAOJOAO.COM.BR</t>
  </si>
  <si>
    <t>RUA 1528</t>
  </si>
  <si>
    <t>47220912000132</t>
  </si>
  <si>
    <t>REGIMAURO SAMPAIO LOPES OPTICA NAVEGANTES LTDA</t>
  </si>
  <si>
    <t>OTICA SAO JOAO DE NAVEGANTES (4668)</t>
  </si>
  <si>
    <t>NAVEGANTES@OTICASAOJOAO.COM.BR</t>
  </si>
  <si>
    <t>10643143000175</t>
  </si>
  <si>
    <t>RELOJOARIA  E OTICA ORBEN LTDA ME</t>
  </si>
  <si>
    <t>RELOJOARIA  E OTICA ORBEN LTDA ME (1676)</t>
  </si>
  <si>
    <t>otica_orben@hotmail.com</t>
  </si>
  <si>
    <t>4938</t>
  </si>
  <si>
    <t>85139988000127</t>
  </si>
  <si>
    <t>RELOJOARIA ART JOIAS LTDA ME</t>
  </si>
  <si>
    <t>RELOJOARIA ART JOIAS LTDA ME (1923)</t>
  </si>
  <si>
    <t>silviaddduarte@hotmail.com</t>
  </si>
  <si>
    <t>SALA 14 E 15</t>
  </si>
  <si>
    <t>29161624000172</t>
  </si>
  <si>
    <t>RELOJOARIA ARTISAN EIRELI</t>
  </si>
  <si>
    <t>RELOJOARIA ARTISAN (3910)</t>
  </si>
  <si>
    <t>contato@opticaartisan.com.br</t>
  </si>
  <si>
    <t>2432</t>
  </si>
  <si>
    <t>VELHA CENTRAL</t>
  </si>
  <si>
    <t>95779120000145</t>
  </si>
  <si>
    <t>RELOJOARIA ASTRO LTDA ME</t>
  </si>
  <si>
    <t>RELOJOARIA ASTRO LTDA ME (788)</t>
  </si>
  <si>
    <t>astroltda@bol.com.br</t>
  </si>
  <si>
    <t>RUA 251</t>
  </si>
  <si>
    <t>83540773000198</t>
  </si>
  <si>
    <t>RELOJOARIA BOLINHA LTDA</t>
  </si>
  <si>
    <t>RELOJOARIA BOLINHA LTDA (430)</t>
  </si>
  <si>
    <t>adriana@apto.com.br</t>
  </si>
  <si>
    <t>02854908000350</t>
  </si>
  <si>
    <t>RELOJOARIA BONIN LTDA</t>
  </si>
  <si>
    <t>RELOJOARIA BONIN (4357)</t>
  </si>
  <si>
    <t>relojoaria.bonin@gmail.com</t>
  </si>
  <si>
    <t>02854908000198</t>
  </si>
  <si>
    <t>RELOJOARIA BONIN LTDA ME</t>
  </si>
  <si>
    <t>RELOJOARIA BONIN LTDA ME (806)</t>
  </si>
  <si>
    <t>324</t>
  </si>
  <si>
    <t>03669425000186</t>
  </si>
  <si>
    <t>RELOJOARIA E OPTICA ALPHAVILLE LTDA EPP</t>
  </si>
  <si>
    <t>JOALHERIA E OPTICA ALPHAVILLE LTDA ME (209)</t>
  </si>
  <si>
    <t>opticaalphaville@gmail.com</t>
  </si>
  <si>
    <t>3060</t>
  </si>
  <si>
    <t>00777985000166</t>
  </si>
  <si>
    <t>RELOJOARIA E OPTICA BUSS LTDA</t>
  </si>
  <si>
    <t>RELOJOARIA E OPTICA BUSS (876)</t>
  </si>
  <si>
    <t>buss@opticabuss.com.br</t>
  </si>
  <si>
    <t>85260180000101</t>
  </si>
  <si>
    <t>RELOJOARIA E OPTICA DIAMANTE AZUL LTDA ME</t>
  </si>
  <si>
    <t>RELOJOARIA E OPTICA DIAMANTE AZUL LTDA ME (598)</t>
  </si>
  <si>
    <t>opticadiamanteazul@gmail.com</t>
  </si>
  <si>
    <t>1880</t>
  </si>
  <si>
    <t>80072176000198</t>
  </si>
  <si>
    <t>RELOJOARIA E OPTICA ONIX LTDA EPP</t>
  </si>
  <si>
    <t>RELOJOARIA E OPTICA ONIX (395)</t>
  </si>
  <si>
    <t>mara@onixbr.com.br</t>
  </si>
  <si>
    <t>81302150000151</t>
  </si>
  <si>
    <t>RELOJOARIA E OPTICA PRISMA JOIAS LTDA - EPP</t>
  </si>
  <si>
    <t>PRISMA JOIAS LTDA (1059)</t>
  </si>
  <si>
    <t>contato@prismajoias.com.br</t>
  </si>
  <si>
    <t>4450</t>
  </si>
  <si>
    <t>BENEDITO NOVO</t>
  </si>
  <si>
    <t>12081325000125</t>
  </si>
  <si>
    <t>RELOJOARIA E OPTICA SANTOS XAVIER LTDA ME</t>
  </si>
  <si>
    <t>OPTICA ALINE (1748)</t>
  </si>
  <si>
    <t>oticaaline@hotmail.com</t>
  </si>
  <si>
    <t>2639</t>
  </si>
  <si>
    <t>08360899000246</t>
  </si>
  <si>
    <t>RELOJOARIA E OPTICA VITRINE LTDA</t>
  </si>
  <si>
    <t>OTICA VITRINE (4209)</t>
  </si>
  <si>
    <t>opticavitrine@gmail.com</t>
  </si>
  <si>
    <t>2670</t>
  </si>
  <si>
    <t>08360899000165</t>
  </si>
  <si>
    <t>RELOJOARIA E OPTICA VITRINE LTDA ME</t>
  </si>
  <si>
    <t>OTICA VITRINE (951)</t>
  </si>
  <si>
    <t>joalheriavitrine@brturbo.com.br</t>
  </si>
  <si>
    <t>ASILO</t>
  </si>
  <si>
    <t>02430887000183</t>
  </si>
  <si>
    <t>RELOJOARIA E OPTICA VOIGTLAENDER LTDA - ME</t>
  </si>
  <si>
    <t>OPTICA RELOJOIAS (1456)</t>
  </si>
  <si>
    <t>78668316000143</t>
  </si>
  <si>
    <t>RELOJOARIA E OTICA CAMBORIU LTDA  ME</t>
  </si>
  <si>
    <t>RELOJOARIA E OTICA CAMBORIU LTDA ME (94)</t>
  </si>
  <si>
    <t>04155276000108</t>
  </si>
  <si>
    <t>RELOJOARIA E OTICA CARLOS LTDA</t>
  </si>
  <si>
    <t>RELOJOARIA E OTICA CARLOS LTDA (1238)</t>
  </si>
  <si>
    <t>otica.carlos@hotmail.com</t>
  </si>
  <si>
    <t>1503</t>
  </si>
  <si>
    <t>82628645000138</t>
  </si>
  <si>
    <t>RELOJOARIA E OTICA GALZ LTDA</t>
  </si>
  <si>
    <t>RELOJOARIA E OTICA GALZ LTDA (390)</t>
  </si>
  <si>
    <t>galzc@terra.com.br</t>
  </si>
  <si>
    <t>1591</t>
  </si>
  <si>
    <t>80681364000113</t>
  </si>
  <si>
    <t>RELOJOARIA E OTICA OLDONI LTDA</t>
  </si>
  <si>
    <t>RELOJOARIA E OTICA OLDONI LTDA (35)</t>
  </si>
  <si>
    <t>oldonionix@gmail.com</t>
  </si>
  <si>
    <t>28249657000106</t>
  </si>
  <si>
    <t>RELOJOARIA E OTICA POINT EIRELI - ME</t>
  </si>
  <si>
    <t>POINT RELOJOARIA E OTICA (3810)</t>
  </si>
  <si>
    <t>pointrelojoaria@terra.com.br</t>
  </si>
  <si>
    <t>SALA 1B</t>
  </si>
  <si>
    <t>08933094000163</t>
  </si>
  <si>
    <t>RELOJOARIA E OTICA STYLLO LTDA ME</t>
  </si>
  <si>
    <t>RELOJOARIA E OTICA STYLLO (1336)</t>
  </si>
  <si>
    <t>otica_styllo@hotmail.com</t>
  </si>
  <si>
    <t>82638172000230</t>
  </si>
  <si>
    <t>RELOJOARIA E OTICA TOMIO LTDA</t>
  </si>
  <si>
    <t>RELOJOARIA E OTICA TOMIO LOJA 03 (1076)</t>
  </si>
  <si>
    <t>519</t>
  </si>
  <si>
    <t>82638172000150</t>
  </si>
  <si>
    <t>RELOJOARIA E OTICA TOMIO LTDA ME</t>
  </si>
  <si>
    <t>RELOJOARIA E OTICA TOMIO LOJA 01 (399)</t>
  </si>
  <si>
    <t>relojoariaeopticatomio@gmail.com</t>
  </si>
  <si>
    <t>3860</t>
  </si>
  <si>
    <t>06083001000123</t>
  </si>
  <si>
    <t>RELOJOARIA E OTICA TRIERVEILER LTDA ME</t>
  </si>
  <si>
    <t>RELOJOARIA E OTICA TRIERVEILER LTDA ME (523)</t>
  </si>
  <si>
    <t>trierveiler@hotmail.com</t>
  </si>
  <si>
    <t>RUA DA GLORIA</t>
  </si>
  <si>
    <t>82667429000100</t>
  </si>
  <si>
    <t>RELOJOARIA E OTICA UNIVERSAL LTDA</t>
  </si>
  <si>
    <t>RELOJOARIA E OTICA UNIVERSAL LTDA (400)</t>
  </si>
  <si>
    <t>nfe@relojoariauniversal.com.br</t>
  </si>
  <si>
    <t>1513</t>
  </si>
  <si>
    <t>04080808000187</t>
  </si>
  <si>
    <t>RELOJOARIA E OTICA VINI LTDA ME</t>
  </si>
  <si>
    <t>RELOJOARIA VINI (1225)</t>
  </si>
  <si>
    <t>oticavini@hotmail.com</t>
  </si>
  <si>
    <t>AVENIDA PRESIDENTE NEREU</t>
  </si>
  <si>
    <t>81524936000113</t>
  </si>
  <si>
    <t>RELOJOARIA JJB LTDA ME</t>
  </si>
  <si>
    <t>RELOJOARIA E OTICA JJB (2289)</t>
  </si>
  <si>
    <t>relojoariaeoticajjb@gmail.com</t>
  </si>
  <si>
    <t>245</t>
  </si>
  <si>
    <t>84294073000123</t>
  </si>
  <si>
    <t>RELOJOARIA LABES LTDA</t>
  </si>
  <si>
    <t>OTICA LABES (3817)</t>
  </si>
  <si>
    <t>nfeletronica@labesnet.com.br</t>
  </si>
  <si>
    <t>11041802000166</t>
  </si>
  <si>
    <t>RELOJOARIA REGIS OLIVEIRA LTDA ME</t>
  </si>
  <si>
    <t>RELOJOARIA E OTICA SAO JOAO (2175)</t>
  </si>
  <si>
    <t>ALINE_MILINE@HOTMAIL.COM</t>
  </si>
  <si>
    <t>SAO JOAO BATISTA</t>
  </si>
  <si>
    <t>00328091000199</t>
  </si>
  <si>
    <t>RELOJOARIA STONFER LTDA</t>
  </si>
  <si>
    <t>RELOJOARIA STONFER LTDA (915)</t>
  </si>
  <si>
    <t>stonfer@stonfer.com.br</t>
  </si>
  <si>
    <t>RUA ADRIANO SCHEFFER</t>
  </si>
  <si>
    <t>81788986000108</t>
  </si>
  <si>
    <t>RELOJOARIA TRIBESS LTDA</t>
  </si>
  <si>
    <t>RELOJOARIA TRIBESS LTDA (1043)</t>
  </si>
  <si>
    <t>relojoariatribess@brturbo.com.br</t>
  </si>
  <si>
    <t>7288</t>
  </si>
  <si>
    <t>34675032000109</t>
  </si>
  <si>
    <t>RENAN ALEX BORG</t>
  </si>
  <si>
    <t>PILGRIM ESPECIALISTA EM OCULOS (4054)</t>
  </si>
  <si>
    <t>AVENIDA ITAJUBA</t>
  </si>
  <si>
    <t>3906</t>
  </si>
  <si>
    <t>08809977000166</t>
  </si>
  <si>
    <t>RICARDO FELIPE ME</t>
  </si>
  <si>
    <t>OPTICA SAFIRA (1306)</t>
  </si>
  <si>
    <t>opticasafira@brturbo.com.br</t>
  </si>
  <si>
    <t>78264736000164</t>
  </si>
  <si>
    <t>RIOVALE COMERCIO DE MATERIAL OTICO LTDA</t>
  </si>
  <si>
    <t>OTICA VISAO (4735)</t>
  </si>
  <si>
    <t>LULAMFERRO@GMAIL.COM</t>
  </si>
  <si>
    <t>ARISTILIANO RAMOS</t>
  </si>
  <si>
    <t>06231487000604</t>
  </si>
  <si>
    <t>RM &amp; V COMERCIO IMPORTACAO E EXPORTACAO DE PRODUTOS OPTICOS</t>
  </si>
  <si>
    <t>CHROMA OTICA (4107)</t>
  </si>
  <si>
    <t>VILANOVA@CHROMAOTICA.COM.BR</t>
  </si>
  <si>
    <t>RUA RUA ALMIRANTE BARROSO</t>
  </si>
  <si>
    <t>06231487000523</t>
  </si>
  <si>
    <t>RM E V COMERCIO IMPORTACAO E EXPORTACAO DE PRODUTOS OPTICOS</t>
  </si>
  <si>
    <t>OTICA WINNIKES (3871)</t>
  </si>
  <si>
    <t>SL 187</t>
  </si>
  <si>
    <t>06231487000108</t>
  </si>
  <si>
    <t>CHROMA OTICA NEUMARKT (581)</t>
  </si>
  <si>
    <t>rmevloja2@hotmail.com</t>
  </si>
  <si>
    <t>LJ 075</t>
  </si>
  <si>
    <t>83952010000154</t>
  </si>
  <si>
    <t>ROBERTO DANKER</t>
  </si>
  <si>
    <t>RELOJOARIA SUICA (1874)</t>
  </si>
  <si>
    <t>RELOJOARIASUICASC@GMAIL.COM</t>
  </si>
  <si>
    <t>408</t>
  </si>
  <si>
    <t>30688995000196</t>
  </si>
  <si>
    <t>ROCHA E MENGARDA LTDA</t>
  </si>
  <si>
    <t>OTICA POPULAR BLUMENAU (3957)</t>
  </si>
  <si>
    <t>oticapopularblumenau@outlook.com</t>
  </si>
  <si>
    <t>16626002000120</t>
  </si>
  <si>
    <t>RODRIGO TREDER ME</t>
  </si>
  <si>
    <t>OTICA DO ALEMAO (4161)</t>
  </si>
  <si>
    <t>oticadoalemao@hotmail.com</t>
  </si>
  <si>
    <t>14374918000105</t>
  </si>
  <si>
    <t>ROSENEI OLIVEIRA DOS SANTOS OTICA ME</t>
  </si>
  <si>
    <t>OTICA LIROS (1914)</t>
  </si>
  <si>
    <t>oticaliros@hotmail.com</t>
  </si>
  <si>
    <t>15466871000172</t>
  </si>
  <si>
    <t>ROSIANE ANTUNES CIDRAL OTICA E JOALHERIA EIRELI ME</t>
  </si>
  <si>
    <t>SUPER OTICA SAO JOSE (3328)</t>
  </si>
  <si>
    <t>SALA 1078</t>
  </si>
  <si>
    <t>02614753000112</t>
  </si>
  <si>
    <t>ROSILANI ORBEN SOUZA ME (336)</t>
  </si>
  <si>
    <t>45432233000100</t>
  </si>
  <si>
    <t>ROYALE ACESSORIOS DE MODA LTDA</t>
  </si>
  <si>
    <t>CHILLI BEANS (4481)</t>
  </si>
  <si>
    <t>LS 12/12A SHOPP</t>
  </si>
  <si>
    <t>14481982000195</t>
  </si>
  <si>
    <t>RUTI ROSI LINHARES</t>
  </si>
  <si>
    <t>ÓTICA DU &amp; EDU (1865)</t>
  </si>
  <si>
    <t>759</t>
  </si>
  <si>
    <t>03562903000154</t>
  </si>
  <si>
    <t>SAFIRA BLUMENAU RELOJOARIA E OTICA LTDA ME</t>
  </si>
  <si>
    <t>JOALHERIA SAFIRA (627)</t>
  </si>
  <si>
    <t>safirablumenau@gmail.com</t>
  </si>
  <si>
    <t>RUA FRANCISCO CORREA</t>
  </si>
  <si>
    <t>TESTO SALTO</t>
  </si>
  <si>
    <t>10876904000139</t>
  </si>
  <si>
    <t>SAMARA CRISTINE LAMIM ZANIS</t>
  </si>
  <si>
    <t>ZANIS JOIAS E OPTICA (1959)</t>
  </si>
  <si>
    <t>JAIRORZANIS@HOTMAIL.COM</t>
  </si>
  <si>
    <t>05569332000105</t>
  </si>
  <si>
    <t>SANDRA DUWE JOIAS E DESIGN</t>
  </si>
  <si>
    <t>SANDRA DUWE JOIAS E DESIGN (1917)</t>
  </si>
  <si>
    <t>sandraduwebnu@hotmail.com</t>
  </si>
  <si>
    <t>SALA 120</t>
  </si>
  <si>
    <t>21021859000157</t>
  </si>
  <si>
    <t>SANTA OPTICA LTDA ME</t>
  </si>
  <si>
    <t>SANTA OPTICA LTDA ME (2193)</t>
  </si>
  <si>
    <t>contato@santaoptica.com.br</t>
  </si>
  <si>
    <t>SALA 1 ANDAR</t>
  </si>
  <si>
    <t>35911061000195</t>
  </si>
  <si>
    <t>SANTOS &amp; SANTOS COMERCIO DE OCULOS LTDA</t>
  </si>
  <si>
    <t>VISAO OTICA (4096)</t>
  </si>
  <si>
    <t>VISAOOTICAEDUARDO@GMAIL.COM</t>
  </si>
  <si>
    <t>08917699000160</t>
  </si>
  <si>
    <t>SARITA SALETE MENEGHELLI POFFO ME</t>
  </si>
  <si>
    <t>SARITA SALETE MENEGHELLI POFFO - ME (1986)</t>
  </si>
  <si>
    <t>75847020000100</t>
  </si>
  <si>
    <t>SATTY RELOJOARIA E JOALHERIA LTDA - EPP</t>
  </si>
  <si>
    <t>SATTY RELOJOARIA (3791)</t>
  </si>
  <si>
    <t>sattyj@ig.com.br</t>
  </si>
  <si>
    <t>02993903000227</t>
  </si>
  <si>
    <t>SCHARF COMERCIO DE ARTIGOS DE OTICA EIRELI</t>
  </si>
  <si>
    <t>OTICA MODERNA (4058)</t>
  </si>
  <si>
    <t>SALA 02 E 03</t>
  </si>
  <si>
    <t>02993903000146</t>
  </si>
  <si>
    <t>SCHARF E CIA LTDA</t>
  </si>
  <si>
    <t>OTICA MODERNA (1434)</t>
  </si>
  <si>
    <t>SCH GRACH LS 10</t>
  </si>
  <si>
    <t>79830261000199</t>
  </si>
  <si>
    <t>SCHMIDT JOALHERIA E OTICA LTDA  ME</t>
  </si>
  <si>
    <t>SCHMIDT JOALHEIROS LTDA (1267)</t>
  </si>
  <si>
    <t>schmidtjoalheiros@gmail.com</t>
  </si>
  <si>
    <t>169</t>
  </si>
  <si>
    <t>SALA 107</t>
  </si>
  <si>
    <t>83197731000104</t>
  </si>
  <si>
    <t>SCUSSEL E SCUSSEL LTDA</t>
  </si>
  <si>
    <t>SCUSSEL OCULOS (431)</t>
  </si>
  <si>
    <t>scussel.adm@terra.com.br</t>
  </si>
  <si>
    <t>50946325000130</t>
  </si>
  <si>
    <t>SEE COMERCIO DE OCULOS LTDA</t>
  </si>
  <si>
    <t>OTICAS SEE (4731)</t>
  </si>
  <si>
    <t>SEEOTICAS@GMAIL.COM</t>
  </si>
  <si>
    <t>RUA PAULO KRAISCH</t>
  </si>
  <si>
    <t>34732774000129</t>
  </si>
  <si>
    <t>SEG PRODUTOS OPTICOS LTDA</t>
  </si>
  <si>
    <t>OTICA ITACU PRIME (4078)</t>
  </si>
  <si>
    <t>RUA ISIDORO CAETANO</t>
  </si>
  <si>
    <t>SALA:01</t>
  </si>
  <si>
    <t>29202217000166</t>
  </si>
  <si>
    <t>SEVEN PRODUTOS OPTICOS LTDA</t>
  </si>
  <si>
    <t>SEVEN PRODUTOS OPTICOS LTDA (4117)</t>
  </si>
  <si>
    <t>oticavicenzo@gmail.com</t>
  </si>
  <si>
    <t>RUA AVENIDA BRASIL</t>
  </si>
  <si>
    <t>37660159000142</t>
  </si>
  <si>
    <t>SIDNEI LANZNASTER LTDA</t>
  </si>
  <si>
    <t>OPTICA IARA (4317)</t>
  </si>
  <si>
    <t>SIDNEILANZNASTER@HOTMAIL.COM</t>
  </si>
  <si>
    <t>30766493000136</t>
  </si>
  <si>
    <t>SOUL OCULOS E ACESSORIOS EIRELI</t>
  </si>
  <si>
    <t>CHILLI BEANS ITAPEMA (4125)</t>
  </si>
  <si>
    <t>karenvenzon@gmail.com</t>
  </si>
  <si>
    <t>3400</t>
  </si>
  <si>
    <t>13006015000109</t>
  </si>
  <si>
    <t>STEFANES COMERCIO DE PRODUTOS OPTICOS LTDA ME</t>
  </si>
  <si>
    <t>OTICA JANNE (1811)</t>
  </si>
  <si>
    <t>46413131000100</t>
  </si>
  <si>
    <t>SUK DISTRIBUIDORA E CONSTRUTORA LTDA</t>
  </si>
  <si>
    <t>OTICA CARIOQUICE ITAJAI (4649)</t>
  </si>
  <si>
    <t>SUKCONSTRUTORA@GMAIL.COM</t>
  </si>
  <si>
    <t>RUA INDAIAL ATE 582 LADO PAR</t>
  </si>
  <si>
    <t>35258818000193</t>
  </si>
  <si>
    <t>TACIA ROGERIA SOUZA DO NASCIMENTO ZANCA 84159472249</t>
  </si>
  <si>
    <t>FASHION GLASSES (4085)</t>
  </si>
  <si>
    <t>BIOLOGATACIA@HOTMAIL.COM</t>
  </si>
  <si>
    <t>36721994000182</t>
  </si>
  <si>
    <t>TALITA DE AZEVEDO OLIVEIRA 01872675107</t>
  </si>
  <si>
    <t>OTICAS SOLUTION (4124)</t>
  </si>
  <si>
    <t>oticassolution@gmail.com</t>
  </si>
  <si>
    <t>666</t>
  </si>
  <si>
    <t>33587880000101</t>
  </si>
  <si>
    <t>TARCILA DA SILVA GOMES</t>
  </si>
  <si>
    <t>OTICA E RELOJOARIA AMETISTA (4011)</t>
  </si>
  <si>
    <t>ametistaotica@gmail.com</t>
  </si>
  <si>
    <t>1365</t>
  </si>
  <si>
    <t>SALA 139</t>
  </si>
  <si>
    <t>33587880000284</t>
  </si>
  <si>
    <t>TARSILA DA SILVA GOMES</t>
  </si>
  <si>
    <t>OTICA E RELOJOARIA AMETISTA (4174)</t>
  </si>
  <si>
    <t>36275166000168</t>
  </si>
  <si>
    <t>TAYLA OPTICA E RELOJOARIA LTDA</t>
  </si>
  <si>
    <t>OTICA ESSENZIALE (4118)</t>
  </si>
  <si>
    <t>oticaessenziale@gmail.com</t>
  </si>
  <si>
    <t>RUA WILLY SCHROEDER</t>
  </si>
  <si>
    <t>LONTRAS</t>
  </si>
  <si>
    <t>665</t>
  </si>
  <si>
    <t>46626631000111</t>
  </si>
  <si>
    <t>TREVISANI COMERCIO OPTICOS LTDA</t>
  </si>
  <si>
    <t>MERCADAO DOS OCULOS BOMBINHAS (4763)</t>
  </si>
  <si>
    <t>SC-BOMBINHAS@MERCADAODOSOCULOS.COM.BR</t>
  </si>
  <si>
    <t>LEOPOLDO ZARLING</t>
  </si>
  <si>
    <t>2467</t>
  </si>
  <si>
    <t>17849462000180</t>
  </si>
  <si>
    <t>ULTRA CHILLI ACESSORIOS DE MODA LTDA</t>
  </si>
  <si>
    <t>CHILLI BEANS (4610)</t>
  </si>
  <si>
    <t>ADM2022.ESTRELA@GMAIL.COM</t>
  </si>
  <si>
    <t>BR 101</t>
  </si>
  <si>
    <t>KM 159</t>
  </si>
  <si>
    <t>17849462000261</t>
  </si>
  <si>
    <t>CHILLI BEANS (4708)</t>
  </si>
  <si>
    <t>MKLMARBA@GMAIL.COM</t>
  </si>
  <si>
    <t>LJ 215</t>
  </si>
  <si>
    <t>SUL DO RIO</t>
  </si>
  <si>
    <t>18514592000125</t>
  </si>
  <si>
    <t>ULTRA VIDA ACESSORIOS DE MODA LTDA</t>
  </si>
  <si>
    <t>CHILLI BEANS (2149)</t>
  </si>
  <si>
    <t>QUIOSQUE 3 C IT</t>
  </si>
  <si>
    <t>34192938000172</t>
  </si>
  <si>
    <t>VALDIRENE VAN HAANDEL WEBER OTICA</t>
  </si>
  <si>
    <t>OPTICA TIJUCAS (4069)</t>
  </si>
  <si>
    <t>OTICATIJUCAS@HOTMAIL.COM</t>
  </si>
  <si>
    <t>999</t>
  </si>
  <si>
    <t>50324880000120</t>
  </si>
  <si>
    <t>VENETA OPTICA LTDA</t>
  </si>
  <si>
    <t>VENETA OPTICA (4704)</t>
  </si>
  <si>
    <t>VENETAOPTICA@GMAIL.COM</t>
  </si>
  <si>
    <t>33446688000197</t>
  </si>
  <si>
    <t>VER MAIS, RELOJOARIA E JOALHERIA LTDA</t>
  </si>
  <si>
    <t>OPTICA VENNA (4485)</t>
  </si>
  <si>
    <t>CONTATO@VENNAOTICA.COM.BR</t>
  </si>
  <si>
    <t>46496940000114</t>
  </si>
  <si>
    <t>VERSATIL OPTICA LTDA</t>
  </si>
  <si>
    <t>VERSATIL OPTICA (4552)</t>
  </si>
  <si>
    <t>LORIANELUZ@OUTLOOK.COM</t>
  </si>
  <si>
    <t>314</t>
  </si>
  <si>
    <t>14264995000102</t>
  </si>
  <si>
    <t>VIDA ACESSORIOS DE MODA LTDA - EPP</t>
  </si>
  <si>
    <t>CHILLI BEANS (2236)</t>
  </si>
  <si>
    <t>83821322000129</t>
  </si>
  <si>
    <t>VILMAR MEZADRI</t>
  </si>
  <si>
    <t>OTICA BENNO (458)</t>
  </si>
  <si>
    <t>felipebenno@outlook.com</t>
  </si>
  <si>
    <t>28138289000129</t>
  </si>
  <si>
    <t>VILSON ZIMMERMANN</t>
  </si>
  <si>
    <t>OTICA EM CASA (3819)</t>
  </si>
  <si>
    <t>FALECOMVIZZI@GMAIL.COM</t>
  </si>
  <si>
    <t>RUA ALVINA SIMAS REIS</t>
  </si>
  <si>
    <t>341</t>
  </si>
  <si>
    <t>00198422000113</t>
  </si>
  <si>
    <t>VINHESKI E VINHESKI LTDA</t>
  </si>
  <si>
    <t>JOALHERIA E OTICA MULTIVISAO (764)</t>
  </si>
  <si>
    <t>1738</t>
  </si>
  <si>
    <t>20626386000159</t>
  </si>
  <si>
    <t>VISAO E OTICA LTDA ME</t>
  </si>
  <si>
    <t>VISAO E OTICA  (2163)</t>
  </si>
  <si>
    <t>RUA PAULINA BORBA VIEIRA</t>
  </si>
  <si>
    <t>79300299000150</t>
  </si>
  <si>
    <t>VISAO OTICA COMERCIO DE OCULOS LTDA ME</t>
  </si>
  <si>
    <t>VISAO OTICA COMERCIO DE OCULOS LTDA ME  (144)</t>
  </si>
  <si>
    <t>SALA 08 E 09</t>
  </si>
  <si>
    <t>78266012000150</t>
  </si>
  <si>
    <t>VISOOTICA COMERCIO DE OCULOS LTDA</t>
  </si>
  <si>
    <t>VISOOTICA COMERCIO DE OCULOS LTDA (460)</t>
  </si>
  <si>
    <t>otica.viso@gmail.com</t>
  </si>
  <si>
    <t>33262458000178</t>
  </si>
  <si>
    <t>VISTTA+ OTICAS LTDA</t>
  </si>
  <si>
    <t>VISTTA MAX (4750)</t>
  </si>
  <si>
    <t>VISTTAMAX2023@GMAIL.COM</t>
  </si>
  <si>
    <t>30792250000172</t>
  </si>
  <si>
    <t>VZ LUNETTERIE OTICA LTDA</t>
  </si>
  <si>
    <t>OTICA VZ LUNETTERIE (3898)</t>
  </si>
  <si>
    <t>vzotica@gmail.com</t>
  </si>
  <si>
    <t>878</t>
  </si>
  <si>
    <t>46660943000141</t>
  </si>
  <si>
    <t>WALDRICH &amp; W COMERCIO DE OPTICA LTDA</t>
  </si>
  <si>
    <t>OPTICA HEUSI (4539)</t>
  </si>
  <si>
    <t>OPTICAHEUSIRIODOSCEDROS@GMAIL.COM</t>
  </si>
  <si>
    <t>TIRADENTES</t>
  </si>
  <si>
    <t>SALA 350</t>
  </si>
  <si>
    <t>82641267000122</t>
  </si>
  <si>
    <t>WALDRICH COMERCIO DE OPTICA LTDA</t>
  </si>
  <si>
    <t>OTICA HEUSI (129)</t>
  </si>
  <si>
    <t>opticaheusi_@hotmail.com</t>
  </si>
  <si>
    <t>28399778000134</t>
  </si>
  <si>
    <t>WALDRICH E SILVA COMERCIO DE OPTICA LTDA - ME</t>
  </si>
  <si>
    <t>OPTICA HEUSI  INDAIAL (3827)</t>
  </si>
  <si>
    <t>opticaheusi_2@hotmail.com</t>
  </si>
  <si>
    <t>SL 01, 04 , 07</t>
  </si>
  <si>
    <t>83631465000178</t>
  </si>
  <si>
    <t>WALMOR WULFF ME</t>
  </si>
  <si>
    <t>VALMOR WULFF ME (1187)</t>
  </si>
  <si>
    <t>walmorwulff@outlook.com</t>
  </si>
  <si>
    <t>RUA 14 DE FEVEREIRO</t>
  </si>
  <si>
    <t>35360608000101</t>
  </si>
  <si>
    <t>WOLFF EYEWEAR COMERCIO DE OCULOS LTDA</t>
  </si>
  <si>
    <t>WOLFF EYEWEAR (4416)</t>
  </si>
  <si>
    <t>BEATRIZOTICA@ICLOUD.COM</t>
  </si>
  <si>
    <t>RUA ESTEFANO JOSÉ VANOLLI</t>
  </si>
  <si>
    <t>36056225000107</t>
  </si>
  <si>
    <t>ZION OTICA E JOALHERIA LTDA</t>
  </si>
  <si>
    <t>ZION OTICA E JOALHERIA (4285)</t>
  </si>
  <si>
    <t>ZION_OTICAEJOALHERIA@HOTMAIL.COM</t>
  </si>
  <si>
    <t>RUA ALEXANDRE ATHANASIO GEVAERD</t>
  </si>
  <si>
    <t>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</si>
</sst>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2"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dosExternos_1" connectionId="1" autoFormatId="16" applyNumberFormats="0" applyBorderFormats="0" applyFontFormats="0" applyPatternFormats="0" applyAlignmentFormats="0" applyWidthHeightFormats="0">
  <queryTableRefresh nextId="76">
    <queryTableFields count="75">
      <queryTableField id="1" name="ESTAB_ID" tableColumnId="76"/>
      <queryTableField id="2" name="CIA" tableColumnId="2"/>
      <queryTableField id="3" name="EQUIPE" tableColumnId="3"/>
      <queryTableField id="4" name="SETOR_CLIENTE" tableColumnId="4"/>
      <queryTableField id="5" name="SETOR" tableColumnId="5"/>
      <queryTableField id="6" name="NOME_SETOR" tableColumnId="6"/>
      <queryTableField id="7" name="CNPJ" tableColumnId="7"/>
      <queryTableField id="8" name="INSCRICAO" tableColumnId="8"/>
      <queryTableField id="9" name="LOCAL_TRABALHO" tableColumnId="9"/>
      <queryTableField id="10" name="RAZAOSOCIAL" tableColumnId="10"/>
      <queryTableField id="11" name="NOMEFANTASIA" tableColumnId="11"/>
      <queryTableField id="12" name="FLG_CLIENTE" tableColumnId="12"/>
      <queryTableField id="13" name="HOMEPAGE" tableColumnId="13"/>
      <queryTableField id="14" name="EMAIL" tableColumnId="14"/>
      <queryTableField id="15" name="CATEGORIA" tableColumnId="15"/>
      <queryTableField id="16" name="ENDERECO" tableColumnId="16"/>
      <queryTableField id="17" name="NUMERO" tableColumnId="17"/>
      <queryTableField id="18" name="COMPL" tableColumnId="18"/>
      <queryTableField id="19" name="UTC/BRICK" tableColumnId="19"/>
      <queryTableField id="20" name="CEP" tableColumnId="20"/>
      <queryTableField id="21" name="BAIRRO" tableColumnId="21"/>
      <queryTableField id="22" name="CIDADE" tableColumnId="22"/>
      <queryTableField id="23" name="UF" tableColumnId="23"/>
      <queryTableField id="24" name="DDD" tableColumnId="24"/>
      <queryTableField id="25" name="TELEF1" tableColumnId="25"/>
      <queryTableField id="26" name="RAMAL1" tableColumnId="26"/>
      <queryTableField id="27" name="TELEF2" tableColumnId="27"/>
      <queryTableField id="28" name="RAMAL2" tableColumnId="28"/>
      <queryTableField id="29" name="TELEF3" tableColumnId="29"/>
      <queryTableField id="30" name="RAMAL3" tableColumnId="30"/>
      <queryTableField id="31" name="FAX" tableColumnId="31"/>
      <queryTableField id="32" name="RAMAL_FAX" tableColumnId="32"/>
      <queryTableField id="33" name="DELIVERY" tableColumnId="33"/>
      <queryTableField id="34" name="VENDAWEB" tableColumnId="34"/>
      <queryTableField id="35" name="TABLOIDE" tableColumnId="35"/>
      <queryTableField id="36" name="NUMBALCO" tableColumnId="36"/>
      <queryTableField id="37" name="QTD_LOJA" tableColumnId="37"/>
      <queryTableField id="38" name="NUMDERMO" tableColumnId="38"/>
      <queryTableField id="39" name="INFORMATIZADO" tableColumnId="39"/>
      <queryTableField id="40" name="GENERICOS" tableColumnId="40"/>
      <queryTableField id="41" name="CONVEMPR" tableColumnId="41"/>
      <queryTableField id="42" name="BONIFICADOS" tableColumnId="42"/>
      <queryTableField id="43" name="COMP_DIR" tableColumnId="43"/>
      <queryTableField id="44" name="COMP_CENTR" tableColumnId="44"/>
      <queryTableField id="45" name="COMP_PART" tableColumnId="45"/>
      <queryTableField id="46" name="REMUN_FIXO" tableColumnId="46"/>
      <queryTableField id="47" name="REMUN_COMIS" tableColumnId="47"/>
      <queryTableField id="48" name="VENDA_TOT" tableColumnId="48"/>
      <queryTableField id="49" name="VENDA_BAL" tableColumnId="49"/>
      <queryTableField id="50" name="FATURAM" tableColumnId="50"/>
      <queryTableField id="51" name="OBS" tableColumnId="51"/>
      <queryTableField id="52" name="__COMENT" tableColumnId="52"/>
      <queryTableField id="53" name="FLG_FARMACIA" tableColumnId="53"/>
      <queryTableField id="54" name="DTINCLU" tableColumnId="54"/>
      <queryTableField id="55" name="DTULTATU" tableColumnId="55"/>
      <queryTableField id="56" name="CICLOALT" tableColumnId="56"/>
      <queryTableField id="57" name="SEQ_INCLUSAO" tableColumnId="57"/>
      <queryTableField id="58" name="FLG_ATIVO" tableColumnId="58"/>
      <queryTableField id="59" name="VALTICK" tableColumnId="59"/>
      <queryTableField id="60" name="NUMTICK" tableColumnId="60"/>
      <queryTableField id="61" name="FREQUENCIA" tableColumnId="61"/>
      <queryTableField id="62" name="VIS_LOCAL_ID" tableColumnId="62"/>
      <queryTableField id="63" name="DESCRICAO" tableColumnId="63"/>
      <queryTableField id="64" name="EXIB_DESCRICAO" tableColumnId="64"/>
      <queryTableField id="65" name="CLASSIF_MERCADO" tableColumnId="65"/>
      <queryTableField id="66" name="CLASSIF_CLIENTE" tableColumnId="66"/>
      <queryTableField id="67" name="POTE_DESCRICAO" tableColumnId="67"/>
      <queryTableField id="68" name="TIPOPDV_DESCRICAO" tableColumnId="68"/>
      <queryTableField id="69" name="TPMERCHAN_DESCRICAO" tableColumnId="69"/>
      <queryTableField id="70" name="DT_INCLUSAO" tableColumnId="70"/>
      <queryTableField id="71" name="DT_ATUALIZACAO" tableColumnId="71"/>
      <queryTableField id="72" name="BANDEIRA" tableColumnId="72"/>
      <queryTableField id="73" name="N LOJA" tableColumnId="73"/>
      <queryTableField id="74" name="POTENCIAL_CLIENTE" tableColumnId="74"/>
      <queryTableField id="75" name="DIAS_SEM_VISITA" tableColumnId="7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a1_2" displayName="Tabela1_2" ref="A1:BW1744" tableType="queryTable" totalsRowShown="0">
  <autoFilter ref="A1:BW1744">
    <filterColumn colId="5">
      <filters>
        <filter val="JENIFER SANTOS"/>
      </filters>
    </filterColumn>
  </autoFilter>
  <tableColumns count="75">
    <tableColumn id="76" uniqueName="76" name="ESTAB_ID" queryTableFieldId="1"/>
    <tableColumn id="2" uniqueName="2" name="CIA" queryTableFieldId="2" dataDxfId="31"/>
    <tableColumn id="3" uniqueName="3" name="EQUIPE" queryTableFieldId="3"/>
    <tableColumn id="4" uniqueName="4" name="SETOR_CLIENTE" queryTableFieldId="4"/>
    <tableColumn id="5" uniqueName="5" name="SETOR" queryTableFieldId="5"/>
    <tableColumn id="6" uniqueName="6" name="NOME_SETOR" queryTableFieldId="6" dataDxfId="30"/>
    <tableColumn id="7" uniqueName="7" name="CNPJ" queryTableFieldId="7" dataDxfId="29"/>
    <tableColumn id="8" uniqueName="8" name="INSCRICAO" queryTableFieldId="8"/>
    <tableColumn id="9" uniqueName="9" name="LOCAL_TRABALHO" queryTableFieldId="9" dataDxfId="28"/>
    <tableColumn id="10" uniqueName="10" name="RAZAOSOCIAL" queryTableFieldId="10" dataDxfId="27"/>
    <tableColumn id="11" uniqueName="11" name="NOMEFANTASIA" queryTableFieldId="11" dataDxfId="26"/>
    <tableColumn id="12" uniqueName="12" name="FLG_CLIENTE" queryTableFieldId="12"/>
    <tableColumn id="13" uniqueName="13" name="HOMEPAGE" queryTableFieldId="13"/>
    <tableColumn id="14" uniqueName="14" name="EMAIL" queryTableFieldId="14" dataDxfId="25"/>
    <tableColumn id="15" uniqueName="15" name="CATEGORIA" queryTableFieldId="15"/>
    <tableColumn id="16" uniqueName="16" name="ENDERECO" queryTableFieldId="16" dataDxfId="24"/>
    <tableColumn id="17" uniqueName="17" name="NUMERO" queryTableFieldId="17" dataDxfId="23"/>
    <tableColumn id="18" uniqueName="18" name="COMPL" queryTableFieldId="18" dataDxfId="22"/>
    <tableColumn id="19" uniqueName="19" name="UTC/BRICK" queryTableFieldId="19"/>
    <tableColumn id="20" uniqueName="20" name="CEP" queryTableFieldId="20"/>
    <tableColumn id="21" uniqueName="21" name="BAIRRO" queryTableFieldId="21" dataDxfId="21"/>
    <tableColumn id="22" uniqueName="22" name="CIDADE" queryTableFieldId="22" dataDxfId="20"/>
    <tableColumn id="23" uniqueName="23" name="UF" queryTableFieldId="23" dataDxfId="19"/>
    <tableColumn id="24" uniqueName="24" name="DDD" queryTableFieldId="24"/>
    <tableColumn id="25" uniqueName="25" name="TELEF1" queryTableFieldId="25"/>
    <tableColumn id="26" uniqueName="26" name="RAMAL1" queryTableFieldId="26"/>
    <tableColumn id="27" uniqueName="27" name="TELEF2" queryTableFieldId="27"/>
    <tableColumn id="28" uniqueName="28" name="RAMAL2" queryTableFieldId="28"/>
    <tableColumn id="29" uniqueName="29" name="TELEF3" queryTableFieldId="29"/>
    <tableColumn id="30" uniqueName="30" name="RAMAL3" queryTableFieldId="30"/>
    <tableColumn id="31" uniqueName="31" name="FAX" queryTableFieldId="31"/>
    <tableColumn id="32" uniqueName="32" name="RAMAL_FAX" queryTableFieldId="32"/>
    <tableColumn id="33" uniqueName="33" name="DELIVERY" queryTableFieldId="33" dataDxfId="18"/>
    <tableColumn id="34" uniqueName="34" name="VENDAWEB" queryTableFieldId="34" dataDxfId="17"/>
    <tableColumn id="35" uniqueName="35" name="TABLOIDE" queryTableFieldId="35"/>
    <tableColumn id="36" uniqueName="36" name="NUMBALCO" queryTableFieldId="36"/>
    <tableColumn id="37" uniqueName="37" name="QTD_LOJA" queryTableFieldId="37"/>
    <tableColumn id="38" uniqueName="38" name="NUMDERMO" queryTableFieldId="38"/>
    <tableColumn id="39" uniqueName="39" name="INFORMATIZADO" queryTableFieldId="39"/>
    <tableColumn id="40" uniqueName="40" name="GENERICOS" queryTableFieldId="40"/>
    <tableColumn id="41" uniqueName="41" name="CONVEMPR" queryTableFieldId="41"/>
    <tableColumn id="42" uniqueName="42" name="BONIFICADOS" queryTableFieldId="42"/>
    <tableColumn id="43" uniqueName="43" name="COMP_DIR" queryTableFieldId="43" dataDxfId="16"/>
    <tableColumn id="44" uniqueName="44" name="COMP_CENTR" queryTableFieldId="44" dataDxfId="15"/>
    <tableColumn id="45" uniqueName="45" name="COMP_PART" queryTableFieldId="45" dataDxfId="14"/>
    <tableColumn id="46" uniqueName="46" name="REMUN_FIXO" queryTableFieldId="46" dataDxfId="13"/>
    <tableColumn id="47" uniqueName="47" name="REMUN_COMIS" queryTableFieldId="47" dataDxfId="12"/>
    <tableColumn id="48" uniqueName="48" name="VENDA_TOT" queryTableFieldId="48"/>
    <tableColumn id="49" uniqueName="49" name="VENDA_BAL" queryTableFieldId="49"/>
    <tableColumn id="50" uniqueName="50" name="FATURAM" queryTableFieldId="50"/>
    <tableColumn id="51" uniqueName="51" name="OBS" queryTableFieldId="51"/>
    <tableColumn id="52" uniqueName="52" name="__COMENT" queryTableFieldId="52"/>
    <tableColumn id="53" uniqueName="53" name="FLG_FARMACIA" queryTableFieldId="53"/>
    <tableColumn id="54" uniqueName="54" name="DTINCLU" queryTableFieldId="54" dataDxfId="11"/>
    <tableColumn id="55" uniqueName="55" name="DTULTATU" queryTableFieldId="55" dataDxfId="10"/>
    <tableColumn id="56" uniqueName="56" name="CICLOALT" queryTableFieldId="56"/>
    <tableColumn id="57" uniqueName="57" name="SEQ_INCLUSAO" queryTableFieldId="57"/>
    <tableColumn id="58" uniqueName="58" name="FLG_ATIVO" queryTableFieldId="58" dataDxfId="9"/>
    <tableColumn id="59" uniqueName="59" name="VALTICK" queryTableFieldId="59"/>
    <tableColumn id="60" uniqueName="60" name="NUMTICK" queryTableFieldId="60"/>
    <tableColumn id="61" uniqueName="61" name="FREQUENCIA" queryTableFieldId="61" dataDxfId="8"/>
    <tableColumn id="62" uniqueName="62" name="VIS_LOCAL_ID" queryTableFieldId="62"/>
    <tableColumn id="63" uniqueName="63" name="DESCRICAO" queryTableFieldId="63" dataDxfId="7"/>
    <tableColumn id="64" uniqueName="64" name="EXIB_DESCRICAO" queryTableFieldId="64"/>
    <tableColumn id="65" uniqueName="65" name="CLASSIF_MERCADO" queryTableFieldId="65" dataDxfId="6"/>
    <tableColumn id="66" uniqueName="66" name="CLASSIF_CLIENTE" queryTableFieldId="66" dataDxfId="5"/>
    <tableColumn id="67" uniqueName="67" name="POTE_DESCRICAO" queryTableFieldId="67" dataDxfId="4"/>
    <tableColumn id="68" uniqueName="68" name="TIPOPDV_DESCRICAO" queryTableFieldId="68" dataDxfId="3"/>
    <tableColumn id="69" uniqueName="69" name="TPMERCHAN_DESCRICAO" queryTableFieldId="69"/>
    <tableColumn id="70" uniqueName="70" name="DT_INCLUSAO" queryTableFieldId="70" dataDxfId="2"/>
    <tableColumn id="71" uniqueName="71" name="DT_ATUALIZACAO" queryTableFieldId="71" dataDxfId="1"/>
    <tableColumn id="72" uniqueName="72" name="BANDEIRA" queryTableFieldId="72"/>
    <tableColumn id="73" uniqueName="73" name="N LOJA" queryTableFieldId="73"/>
    <tableColumn id="74" uniqueName="74" name="POTENCIAL_CLIENTE" queryTableFieldId="74"/>
    <tableColumn id="75" uniqueName="75" name="DIAS_SEM_VISITA" queryTableFieldId="75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ela1" displayName="Tabela1" ref="A1:BW1744" totalsRowShown="0">
  <autoFilter ref="A1:BW1744"/>
  <tableColumns count="75">
    <tableColumn id="1" name="ESTAB_ID"/>
    <tableColumn id="2" name="CIA">
      <calculatedColumnFormula>"A"</calculatedColumnFormula>
    </tableColumn>
    <tableColumn id="3" name="EQUIPE">
      <calculatedColumnFormula>"80"</calculatedColumnFormula>
    </tableColumn>
    <tableColumn id="4" name="SETOR_CLIENTE">
      <calculatedColumnFormula>"11121004"</calculatedColumnFormula>
    </tableColumn>
    <tableColumn id="5" name="SETOR">
      <calculatedColumnFormula>"121004"</calculatedColumnFormula>
    </tableColumn>
    <tableColumn id="6" name="NOME_SETOR">
      <calculatedColumnFormula>"FABIANA GODOY"</calculatedColumnFormula>
    </tableColumn>
    <tableColumn id="7" name="CNPJ"/>
    <tableColumn id="8" name="INSCRICAO">
      <calculatedColumnFormula>"0"</calculatedColumnFormula>
    </tableColumn>
    <tableColumn id="9" name="LOCAL_TRABALHO">
      <calculatedColumnFormula>"CONTA OPTICA"</calculatedColumnFormula>
    </tableColumn>
    <tableColumn id="10" name="RAZAOSOCIAL"/>
    <tableColumn id="11" name="NOMEFANTASIA"/>
    <tableColumn id="12" name="FLG_CLIENTE">
      <calculatedColumnFormula>""</calculatedColumnFormula>
    </tableColumn>
    <tableColumn id="13" name="HOMEPAGE">
      <calculatedColumnFormula>""</calculatedColumnFormula>
    </tableColumn>
    <tableColumn id="14" name="EMAIL"/>
    <tableColumn id="15" name="CATEGORIA">
      <calculatedColumnFormula>""</calculatedColumnFormula>
    </tableColumn>
    <tableColumn id="16" name="ENDERECO"/>
    <tableColumn id="17" name="NUMERO"/>
    <tableColumn id="18" name="COMPL"/>
    <tableColumn id="19" name="UTC/BRICK"/>
    <tableColumn id="20" name="CEP"/>
    <tableColumn id="21" name="BAIRRO">
      <calculatedColumnFormula>"CENTRO"</calculatedColumnFormula>
    </tableColumn>
    <tableColumn id="22" name="CIDADE"/>
    <tableColumn id="23" name="UF">
      <calculatedColumnFormula>"SC"</calculatedColumnFormula>
    </tableColumn>
    <tableColumn id="24" name="DDD">
      <calculatedColumnFormula>"47"</calculatedColumnFormula>
    </tableColumn>
    <tableColumn id="25" name="TELEF1"/>
    <tableColumn id="26" name="RAMAL1">
      <calculatedColumnFormula>""</calculatedColumnFormula>
    </tableColumn>
    <tableColumn id="27" name="TELEF2">
      <calculatedColumnFormula>""</calculatedColumnFormula>
    </tableColumn>
    <tableColumn id="28" name="RAMAL2">
      <calculatedColumnFormula>""</calculatedColumnFormula>
    </tableColumn>
    <tableColumn id="29" name="TELEF3">
      <calculatedColumnFormula>""</calculatedColumnFormula>
    </tableColumn>
    <tableColumn id="30" name="RAMAL3">
      <calculatedColumnFormula>""</calculatedColumnFormula>
    </tableColumn>
    <tableColumn id="31" name="FAX">
      <calculatedColumnFormula>""</calculatedColumnFormula>
    </tableColumn>
    <tableColumn id="32" name="RAMAL_FAX">
      <calculatedColumnFormula>""</calculatedColumnFormula>
    </tableColumn>
    <tableColumn id="33" name="DELIVERY">
      <calculatedColumnFormula>"S"</calculatedColumnFormula>
    </tableColumn>
    <tableColumn id="34" name="VENDAWEB">
      <calculatedColumnFormula>""</calculatedColumnFormula>
    </tableColumn>
    <tableColumn id="35" name="TABLOIDE">
      <calculatedColumnFormula>""</calculatedColumnFormula>
    </tableColumn>
    <tableColumn id="36" name="NUMBALCO">
      <calculatedColumnFormula>""</calculatedColumnFormula>
    </tableColumn>
    <tableColumn id="37" name="QTD_LOJA">
      <calculatedColumnFormula>""</calculatedColumnFormula>
    </tableColumn>
    <tableColumn id="38" name="NUMDERMO">
      <calculatedColumnFormula>""</calculatedColumnFormula>
    </tableColumn>
    <tableColumn id="39" name="INFORMATIZADO">
      <calculatedColumnFormula>""</calculatedColumnFormula>
    </tableColumn>
    <tableColumn id="40" name="GENERICOS">
      <calculatedColumnFormula>""</calculatedColumnFormula>
    </tableColumn>
    <tableColumn id="41" name="CONVEMPR">
      <calculatedColumnFormula>""</calculatedColumnFormula>
    </tableColumn>
    <tableColumn id="42" name="BONIFICADOS">
      <calculatedColumnFormula>""</calculatedColumnFormula>
    </tableColumn>
    <tableColumn id="43" name="COMP_DIR">
      <calculatedColumnFormula>"N"</calculatedColumnFormula>
    </tableColumn>
    <tableColumn id="44" name="COMP_CENTR">
      <calculatedColumnFormula>"N"</calculatedColumnFormula>
    </tableColumn>
    <tableColumn id="45" name="COMP_PART">
      <calculatedColumnFormula>"N"</calculatedColumnFormula>
    </tableColumn>
    <tableColumn id="46" name="REMUN_FIXO">
      <calculatedColumnFormula>"N"</calculatedColumnFormula>
    </tableColumn>
    <tableColumn id="47" name="REMUN_COMIS">
      <calculatedColumnFormula>"N"</calculatedColumnFormula>
    </tableColumn>
    <tableColumn id="48" name="VENDA_TOT">
      <calculatedColumnFormula>""</calculatedColumnFormula>
    </tableColumn>
    <tableColumn id="49" name="VENDA_BAL">
      <calculatedColumnFormula>""</calculatedColumnFormula>
    </tableColumn>
    <tableColumn id="50" name="FATURAM">
      <calculatedColumnFormula>""</calculatedColumnFormula>
    </tableColumn>
    <tableColumn id="51" name="OBS">
      <calculatedColumnFormula>""</calculatedColumnFormula>
    </tableColumn>
    <tableColumn id="52" name="__COMENT">
      <calculatedColumnFormula>""</calculatedColumnFormula>
    </tableColumn>
    <tableColumn id="53" name="FLG_FARMACIA">
      <calculatedColumnFormula>""</calculatedColumnFormula>
    </tableColumn>
    <tableColumn id="54" name="DTINCLU">
      <calculatedColumnFormula>"01/07/2021 13:53:04"</calculatedColumnFormula>
    </tableColumn>
    <tableColumn id="55" name="DTULTATU"/>
    <tableColumn id="56" name="CICLOALT">
      <calculatedColumnFormula>""</calculatedColumnFormula>
    </tableColumn>
    <tableColumn id="57" name="SEQ_INCLUSAO">
      <calculatedColumnFormula>""</calculatedColumnFormula>
    </tableColumn>
    <tableColumn id="58" name="FLG_ATIVO">
      <calculatedColumnFormula>"A"</calculatedColumnFormula>
    </tableColumn>
    <tableColumn id="59" name="VALTICK">
      <calculatedColumnFormula>""</calculatedColumnFormula>
    </tableColumn>
    <tableColumn id="60" name="NUMTICK">
      <calculatedColumnFormula>"0,00"</calculatedColumnFormula>
    </tableColumn>
    <tableColumn id="61" name="FREQUENCIA"/>
    <tableColumn id="62" name="VIS_LOCAL_ID">
      <calculatedColumnFormula>"1"</calculatedColumnFormula>
    </tableColumn>
    <tableColumn id="63" name="DESCRICAO">
      <calculatedColumnFormula>"Farmacia"</calculatedColumnFormula>
    </tableColumn>
    <tableColumn id="64" name="EXIB_DESCRICAO">
      <calculatedColumnFormula>""</calculatedColumnFormula>
    </tableColumn>
    <tableColumn id="65" name="CLASSIF_MERCADO"/>
    <tableColumn id="66" name="CLASSIF_CLIENTE">
      <calculatedColumnFormula>"NA"</calculatedColumnFormula>
    </tableColumn>
    <tableColumn id="67" name="POTE_DESCRICAO"/>
    <tableColumn id="68" name="TIPOPDV_DESCRICAO">
      <calculatedColumnFormula>""</calculatedColumnFormula>
    </tableColumn>
    <tableColumn id="69" name="TPMERCHAN_DESCRICAO">
      <calculatedColumnFormula>""</calculatedColumnFormula>
    </tableColumn>
    <tableColumn id="70" name="DT_INCLUSAO">
      <calculatedColumnFormula>"01/07/2021"</calculatedColumnFormula>
    </tableColumn>
    <tableColumn id="71" name="DT_ATUALIZACAO"/>
    <tableColumn id="72" name="BANDEIRA">
      <calculatedColumnFormula>""</calculatedColumnFormula>
    </tableColumn>
    <tableColumn id="73" name="N LOJA">
      <calculatedColumnFormula>""</calculatedColumnFormula>
    </tableColumn>
    <tableColumn id="74" name="POTENCIAL_CLIENTE">
      <calculatedColumnFormula>""</calculatedColumnFormula>
    </tableColumn>
    <tableColumn id="75" name="DIAS_SEM_VISI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744"/>
  <sheetViews>
    <sheetView topLeftCell="T1" workbookViewId="0">
      <selection activeCell="W1" sqref="W1"/>
    </sheetView>
  </sheetViews>
  <sheetFormatPr defaultRowHeight="14.5" x14ac:dyDescent="0.35"/>
  <cols>
    <col min="1" max="1" width="11.08984375" bestFit="1" customWidth="1"/>
    <col min="2" max="2" width="5.90625" bestFit="1" customWidth="1"/>
    <col min="3" max="3" width="9.36328125" bestFit="1" customWidth="1"/>
    <col min="4" max="4" width="16.26953125" bestFit="1" customWidth="1"/>
    <col min="5" max="5" width="8.453125" bestFit="1" customWidth="1"/>
    <col min="6" max="6" width="17.1796875" bestFit="1" customWidth="1"/>
    <col min="7" max="7" width="14.90625" bestFit="1" customWidth="1"/>
    <col min="8" max="8" width="12.1796875" bestFit="1" customWidth="1"/>
    <col min="9" max="9" width="18.453125" bestFit="1" customWidth="1"/>
    <col min="10" max="10" width="63.26953125" bestFit="1" customWidth="1"/>
    <col min="11" max="11" width="56.81640625" bestFit="1" customWidth="1"/>
    <col min="12" max="12" width="13.81640625" bestFit="1" customWidth="1"/>
    <col min="13" max="13" width="13" bestFit="1" customWidth="1"/>
    <col min="14" max="14" width="56.36328125" bestFit="1" customWidth="1"/>
    <col min="15" max="15" width="12.81640625" bestFit="1" customWidth="1"/>
    <col min="16" max="16" width="49.08984375" bestFit="1" customWidth="1"/>
    <col min="17" max="17" width="10.81640625" bestFit="1" customWidth="1"/>
    <col min="18" max="18" width="18.6328125" bestFit="1" customWidth="1"/>
    <col min="19" max="19" width="12.1796875" bestFit="1" customWidth="1"/>
    <col min="20" max="20" width="8.81640625" bestFit="1" customWidth="1"/>
    <col min="21" max="21" width="26.453125" bestFit="1" customWidth="1"/>
    <col min="22" max="22" width="27.36328125" bestFit="1" customWidth="1"/>
    <col min="23" max="23" width="5.26953125" bestFit="1" customWidth="1"/>
    <col min="24" max="24" width="6.90625" bestFit="1" customWidth="1"/>
    <col min="25" max="25" width="9.81640625" bestFit="1" customWidth="1"/>
    <col min="26" max="26" width="10.08984375" bestFit="1" customWidth="1"/>
    <col min="27" max="27" width="8.81640625" bestFit="1" customWidth="1"/>
    <col min="28" max="28" width="10.08984375" bestFit="1" customWidth="1"/>
    <col min="29" max="29" width="8.81640625" bestFit="1" customWidth="1"/>
    <col min="30" max="30" width="10.08984375" bestFit="1" customWidth="1"/>
    <col min="31" max="31" width="6.26953125" bestFit="1" customWidth="1"/>
    <col min="32" max="32" width="13.26953125" bestFit="1" customWidth="1"/>
    <col min="33" max="33" width="11" bestFit="1" customWidth="1"/>
    <col min="34" max="34" width="12.90625" bestFit="1" customWidth="1"/>
    <col min="35" max="35" width="11.36328125" bestFit="1" customWidth="1"/>
    <col min="36" max="36" width="12.90625" bestFit="1" customWidth="1"/>
    <col min="37" max="37" width="11.7265625" bestFit="1" customWidth="1"/>
    <col min="38" max="38" width="13.81640625" bestFit="1" customWidth="1"/>
    <col min="39" max="39" width="17.6328125" bestFit="1" customWidth="1"/>
    <col min="40" max="40" width="12.6328125" bestFit="1" customWidth="1"/>
    <col min="41" max="41" width="12.90625" bestFit="1" customWidth="1"/>
    <col min="42" max="42" width="14.6328125" bestFit="1" customWidth="1"/>
    <col min="43" max="43" width="12.26953125" bestFit="1" customWidth="1"/>
    <col min="44" max="44" width="14.81640625" bestFit="1" customWidth="1"/>
    <col min="45" max="45" width="13.7265625" bestFit="1" customWidth="1"/>
    <col min="46" max="46" width="14.36328125" bestFit="1" customWidth="1"/>
    <col min="47" max="47" width="16.1796875" bestFit="1" customWidth="1"/>
    <col min="48" max="48" width="13.36328125" bestFit="1" customWidth="1"/>
    <col min="49" max="49" width="13.08984375" bestFit="1" customWidth="1"/>
    <col min="50" max="50" width="11.453125" bestFit="1" customWidth="1"/>
    <col min="51" max="51" width="6.453125" bestFit="1" customWidth="1"/>
    <col min="52" max="52" width="12.54296875" bestFit="1" customWidth="1"/>
    <col min="53" max="53" width="16.08984375" bestFit="1" customWidth="1"/>
    <col min="54" max="55" width="15.54296875" bestFit="1" customWidth="1"/>
    <col min="56" max="56" width="11" bestFit="1" customWidth="1"/>
    <col min="57" max="57" width="15.90625" bestFit="1" customWidth="1"/>
    <col min="58" max="58" width="12.36328125" bestFit="1" customWidth="1"/>
    <col min="59" max="59" width="10" bestFit="1" customWidth="1"/>
    <col min="60" max="60" width="11.08984375" bestFit="1" customWidth="1"/>
    <col min="61" max="61" width="13.81640625" bestFit="1" customWidth="1"/>
    <col min="62" max="62" width="14.81640625" bestFit="1" customWidth="1"/>
    <col min="63" max="63" width="12.6328125" bestFit="1" customWidth="1"/>
    <col min="64" max="64" width="17.453125" bestFit="1" customWidth="1"/>
    <col min="65" max="65" width="27.7265625" bestFit="1" customWidth="1"/>
    <col min="66" max="66" width="17.26953125" bestFit="1" customWidth="1"/>
    <col min="67" max="67" width="20.26953125" bestFit="1" customWidth="1"/>
    <col min="68" max="68" width="21.36328125" bestFit="1" customWidth="1"/>
    <col min="69" max="69" width="24.6328125" bestFit="1" customWidth="1"/>
    <col min="70" max="70" width="14.81640625" bestFit="1" customWidth="1"/>
    <col min="71" max="71" width="18.26953125" bestFit="1" customWidth="1"/>
    <col min="72" max="72" width="11.7265625" bestFit="1" customWidth="1"/>
    <col min="73" max="73" width="8.81640625" bestFit="1" customWidth="1"/>
    <col min="74" max="74" width="20.36328125" bestFit="1" customWidth="1"/>
    <col min="75" max="75" width="18.08984375" bestFit="1" customWidth="1"/>
  </cols>
  <sheetData>
    <row r="1" spans="1:7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x14ac:dyDescent="0.35">
      <c r="A2" s="1">
        <v>158725</v>
      </c>
      <c r="B2" s="1" t="s">
        <v>75</v>
      </c>
      <c r="C2" s="1">
        <v>80</v>
      </c>
      <c r="D2" s="1">
        <v>11121001</v>
      </c>
      <c r="E2" s="1">
        <v>121001</v>
      </c>
      <c r="F2" s="1" t="s">
        <v>76</v>
      </c>
      <c r="G2" s="1" t="s">
        <v>77</v>
      </c>
      <c r="H2" s="1"/>
      <c r="I2" s="1" t="s">
        <v>78</v>
      </c>
      <c r="J2" s="1" t="s">
        <v>79</v>
      </c>
      <c r="K2" s="1" t="s">
        <v>80</v>
      </c>
      <c r="L2" s="1" t="s">
        <v>91</v>
      </c>
      <c r="M2" s="1" t="s">
        <v>91</v>
      </c>
      <c r="N2" s="1" t="s">
        <v>81</v>
      </c>
      <c r="O2" s="1" t="s">
        <v>91</v>
      </c>
      <c r="P2" s="1" t="s">
        <v>82</v>
      </c>
      <c r="Q2" s="1" t="s">
        <v>83</v>
      </c>
      <c r="R2" s="1" t="s">
        <v>84</v>
      </c>
      <c r="S2" s="1"/>
      <c r="T2" s="1">
        <v>89808678</v>
      </c>
      <c r="U2" s="1" t="s">
        <v>85</v>
      </c>
      <c r="V2" s="1" t="s">
        <v>86</v>
      </c>
      <c r="W2" s="1" t="s">
        <v>87</v>
      </c>
      <c r="X2" s="1">
        <v>49</v>
      </c>
      <c r="Y2" s="1">
        <v>998191666</v>
      </c>
      <c r="Z2" s="1" t="s">
        <v>91</v>
      </c>
      <c r="AA2" s="1" t="s">
        <v>91</v>
      </c>
      <c r="AB2" s="1" t="s">
        <v>91</v>
      </c>
      <c r="AC2" s="1" t="s">
        <v>91</v>
      </c>
      <c r="AD2" s="1" t="s">
        <v>91</v>
      </c>
      <c r="AE2" s="1" t="s">
        <v>91</v>
      </c>
      <c r="AF2" s="1" t="s">
        <v>91</v>
      </c>
      <c r="AG2" s="1" t="s">
        <v>91</v>
      </c>
      <c r="AH2" s="1" t="s">
        <v>91</v>
      </c>
      <c r="AI2" s="1" t="s">
        <v>91</v>
      </c>
      <c r="AJ2" s="1"/>
      <c r="AK2" s="1"/>
      <c r="AL2" s="1"/>
      <c r="AM2" s="1" t="s">
        <v>91</v>
      </c>
      <c r="AN2" s="1" t="s">
        <v>91</v>
      </c>
      <c r="AO2" s="1" t="s">
        <v>91</v>
      </c>
      <c r="AP2" s="1" t="s">
        <v>91</v>
      </c>
      <c r="AQ2" s="1" t="s">
        <v>91</v>
      </c>
      <c r="AR2" s="1" t="s">
        <v>91</v>
      </c>
      <c r="AS2" s="1" t="s">
        <v>91</v>
      </c>
      <c r="AT2" s="1" t="s">
        <v>91</v>
      </c>
      <c r="AU2" s="1" t="s">
        <v>91</v>
      </c>
      <c r="AV2" s="1" t="s">
        <v>91</v>
      </c>
      <c r="AW2" s="1" t="s">
        <v>91</v>
      </c>
      <c r="AX2" s="1" t="s">
        <v>91</v>
      </c>
      <c r="AY2" s="1" t="s">
        <v>91</v>
      </c>
      <c r="AZ2" s="1" t="s">
        <v>91</v>
      </c>
      <c r="BA2" s="1" t="s">
        <v>91</v>
      </c>
      <c r="BB2" s="2">
        <v>45155.700069444443</v>
      </c>
      <c r="BC2" s="2"/>
      <c r="BD2" s="1" t="s">
        <v>91</v>
      </c>
      <c r="BE2" s="1"/>
      <c r="BF2" s="1" t="s">
        <v>75</v>
      </c>
      <c r="BG2" s="1"/>
      <c r="BH2" s="1"/>
      <c r="BI2" s="1" t="s">
        <v>88</v>
      </c>
      <c r="BJ2" s="1">
        <v>1</v>
      </c>
      <c r="BK2" s="1" t="s">
        <v>89</v>
      </c>
      <c r="BL2" s="1" t="s">
        <v>91</v>
      </c>
      <c r="BM2" s="1" t="s">
        <v>91</v>
      </c>
      <c r="BN2" s="1" t="s">
        <v>91</v>
      </c>
      <c r="BO2" s="1" t="s">
        <v>91</v>
      </c>
      <c r="BP2" s="1" t="s">
        <v>91</v>
      </c>
      <c r="BQ2" s="1" t="s">
        <v>91</v>
      </c>
      <c r="BR2" s="3">
        <v>45155</v>
      </c>
      <c r="BS2" s="3"/>
      <c r="BT2" s="1" t="s">
        <v>91</v>
      </c>
      <c r="BU2" s="1" t="s">
        <v>91</v>
      </c>
      <c r="BV2" s="1"/>
      <c r="BW2" s="1" t="s">
        <v>90</v>
      </c>
    </row>
    <row r="3" spans="1:75" x14ac:dyDescent="0.35">
      <c r="A3" s="1">
        <v>156738</v>
      </c>
      <c r="B3" s="1" t="s">
        <v>75</v>
      </c>
      <c r="C3" s="1">
        <v>80</v>
      </c>
      <c r="D3" s="1">
        <v>11121001</v>
      </c>
      <c r="E3" s="1">
        <v>121001</v>
      </c>
      <c r="F3" s="1" t="s">
        <v>76</v>
      </c>
      <c r="G3" s="1" t="s">
        <v>92</v>
      </c>
      <c r="H3" s="1">
        <v>0</v>
      </c>
      <c r="I3" s="1" t="s">
        <v>78</v>
      </c>
      <c r="J3" s="1" t="s">
        <v>93</v>
      </c>
      <c r="K3" s="1" t="s">
        <v>94</v>
      </c>
      <c r="L3" s="1" t="s">
        <v>91</v>
      </c>
      <c r="M3" s="1" t="s">
        <v>91</v>
      </c>
      <c r="N3" s="1" t="s">
        <v>95</v>
      </c>
      <c r="O3" s="1" t="s">
        <v>91</v>
      </c>
      <c r="P3" s="1" t="s">
        <v>96</v>
      </c>
      <c r="Q3" s="1" t="s">
        <v>97</v>
      </c>
      <c r="R3" s="1" t="s">
        <v>98</v>
      </c>
      <c r="S3" s="1"/>
      <c r="T3" s="1">
        <v>89208720</v>
      </c>
      <c r="U3" s="1" t="s">
        <v>99</v>
      </c>
      <c r="V3" s="1" t="s">
        <v>100</v>
      </c>
      <c r="W3" s="1" t="s">
        <v>87</v>
      </c>
      <c r="X3" s="1">
        <v>47</v>
      </c>
      <c r="Y3" s="1">
        <v>997052840</v>
      </c>
      <c r="Z3" s="1" t="s">
        <v>91</v>
      </c>
      <c r="AA3" s="1" t="s">
        <v>91</v>
      </c>
      <c r="AB3" s="1" t="s">
        <v>91</v>
      </c>
      <c r="AC3" s="1" t="s">
        <v>91</v>
      </c>
      <c r="AD3" s="1" t="s">
        <v>91</v>
      </c>
      <c r="AE3" s="1" t="s">
        <v>91</v>
      </c>
      <c r="AF3" s="1" t="s">
        <v>91</v>
      </c>
      <c r="AG3" s="1" t="s">
        <v>91</v>
      </c>
      <c r="AH3" s="1" t="s">
        <v>91</v>
      </c>
      <c r="AI3" s="1" t="s">
        <v>91</v>
      </c>
      <c r="AJ3" s="1"/>
      <c r="AK3" s="1"/>
      <c r="AL3" s="1"/>
      <c r="AM3" s="1" t="s">
        <v>91</v>
      </c>
      <c r="AN3" s="1" t="s">
        <v>91</v>
      </c>
      <c r="AO3" s="1" t="s">
        <v>91</v>
      </c>
      <c r="AP3" s="1" t="s">
        <v>91</v>
      </c>
      <c r="AQ3" s="1" t="s">
        <v>91</v>
      </c>
      <c r="AR3" s="1" t="s">
        <v>91</v>
      </c>
      <c r="AS3" s="1" t="s">
        <v>91</v>
      </c>
      <c r="AT3" s="1" t="s">
        <v>91</v>
      </c>
      <c r="AU3" s="1" t="s">
        <v>91</v>
      </c>
      <c r="AV3" s="1" t="s">
        <v>91</v>
      </c>
      <c r="AW3" s="1" t="s">
        <v>91</v>
      </c>
      <c r="AX3" s="1" t="s">
        <v>91</v>
      </c>
      <c r="AY3" s="1" t="s">
        <v>91</v>
      </c>
      <c r="AZ3" s="1" t="s">
        <v>91</v>
      </c>
      <c r="BA3" s="1" t="s">
        <v>91</v>
      </c>
      <c r="BB3" s="2">
        <v>45113.505416666667</v>
      </c>
      <c r="BC3" s="2"/>
      <c r="BD3" s="1" t="s">
        <v>91</v>
      </c>
      <c r="BE3" s="1"/>
      <c r="BF3" s="1" t="s">
        <v>75</v>
      </c>
      <c r="BG3" s="1"/>
      <c r="BH3" s="1"/>
      <c r="BI3" s="1" t="s">
        <v>88</v>
      </c>
      <c r="BJ3" s="1">
        <v>1</v>
      </c>
      <c r="BK3" s="1" t="s">
        <v>89</v>
      </c>
      <c r="BL3" s="1" t="s">
        <v>91</v>
      </c>
      <c r="BM3" s="1" t="s">
        <v>91</v>
      </c>
      <c r="BN3" s="1" t="s">
        <v>91</v>
      </c>
      <c r="BO3" s="1" t="s">
        <v>91</v>
      </c>
      <c r="BP3" s="1" t="s">
        <v>91</v>
      </c>
      <c r="BQ3" s="1" t="s">
        <v>91</v>
      </c>
      <c r="BR3" s="3">
        <v>45113</v>
      </c>
      <c r="BS3" s="3"/>
      <c r="BT3" s="1" t="s">
        <v>91</v>
      </c>
      <c r="BU3" s="1" t="s">
        <v>91</v>
      </c>
      <c r="BV3" s="1"/>
      <c r="BW3" s="1" t="s">
        <v>90</v>
      </c>
    </row>
    <row r="4" spans="1:75" x14ac:dyDescent="0.35">
      <c r="A4">
        <v>127551</v>
      </c>
      <c r="B4" s="1" t="s">
        <v>75</v>
      </c>
      <c r="C4">
        <v>80</v>
      </c>
      <c r="D4">
        <v>11121001</v>
      </c>
      <c r="E4">
        <v>121001</v>
      </c>
      <c r="F4" s="1" t="s">
        <v>76</v>
      </c>
      <c r="G4" s="1" t="s">
        <v>101</v>
      </c>
      <c r="H4">
        <v>0</v>
      </c>
      <c r="I4" s="1" t="s">
        <v>78</v>
      </c>
      <c r="J4" s="1" t="s">
        <v>102</v>
      </c>
      <c r="K4" s="1" t="s">
        <v>103</v>
      </c>
      <c r="L4" t="s">
        <v>91</v>
      </c>
      <c r="M4" t="s">
        <v>91</v>
      </c>
      <c r="N4" s="1" t="s">
        <v>104</v>
      </c>
      <c r="O4" t="s">
        <v>91</v>
      </c>
      <c r="P4" s="1" t="s">
        <v>105</v>
      </c>
      <c r="Q4" s="1" t="s">
        <v>106</v>
      </c>
      <c r="R4" s="1" t="s">
        <v>107</v>
      </c>
      <c r="S4">
        <v>1277</v>
      </c>
      <c r="T4">
        <v>89201003</v>
      </c>
      <c r="U4" s="1" t="s">
        <v>108</v>
      </c>
      <c r="V4" s="1" t="s">
        <v>100</v>
      </c>
      <c r="W4" s="1" t="s">
        <v>87</v>
      </c>
      <c r="X4">
        <v>47</v>
      </c>
      <c r="Y4">
        <v>30288805</v>
      </c>
      <c r="Z4" t="s">
        <v>91</v>
      </c>
      <c r="AA4" t="s">
        <v>91</v>
      </c>
      <c r="AB4" t="s">
        <v>91</v>
      </c>
      <c r="AC4" t="s">
        <v>91</v>
      </c>
      <c r="AD4" t="s">
        <v>91</v>
      </c>
      <c r="AE4" t="s">
        <v>91</v>
      </c>
      <c r="AF4" t="s">
        <v>91</v>
      </c>
      <c r="AG4" s="1" t="s">
        <v>91</v>
      </c>
      <c r="AH4" s="1" t="s">
        <v>91</v>
      </c>
      <c r="AI4" t="s">
        <v>91</v>
      </c>
      <c r="AM4" t="s">
        <v>91</v>
      </c>
      <c r="AN4" t="s">
        <v>91</v>
      </c>
      <c r="AO4" t="s">
        <v>91</v>
      </c>
      <c r="AP4" t="s">
        <v>91</v>
      </c>
      <c r="AQ4" s="1" t="s">
        <v>91</v>
      </c>
      <c r="AR4" s="1" t="s">
        <v>91</v>
      </c>
      <c r="AS4" s="1" t="s">
        <v>91</v>
      </c>
      <c r="AT4" s="1" t="s">
        <v>91</v>
      </c>
      <c r="AU4" s="1" t="s">
        <v>91</v>
      </c>
      <c r="AV4" t="s">
        <v>91</v>
      </c>
      <c r="AW4" t="s">
        <v>91</v>
      </c>
      <c r="AX4" t="s">
        <v>91</v>
      </c>
      <c r="AY4" t="s">
        <v>91</v>
      </c>
      <c r="AZ4" t="s">
        <v>91</v>
      </c>
      <c r="BA4" t="s">
        <v>91</v>
      </c>
      <c r="BB4" s="2">
        <v>44111.380995370368</v>
      </c>
      <c r="BC4" s="2"/>
      <c r="BD4" t="s">
        <v>91</v>
      </c>
      <c r="BF4" s="1" t="s">
        <v>75</v>
      </c>
      <c r="BI4" s="1" t="s">
        <v>88</v>
      </c>
      <c r="BJ4">
        <v>1</v>
      </c>
      <c r="BK4" s="1" t="s">
        <v>89</v>
      </c>
      <c r="BL4" t="s">
        <v>91</v>
      </c>
      <c r="BM4" s="1" t="s">
        <v>109</v>
      </c>
      <c r="BN4" s="1" t="s">
        <v>110</v>
      </c>
      <c r="BO4" s="1" t="s">
        <v>111</v>
      </c>
      <c r="BP4" s="1" t="s">
        <v>91</v>
      </c>
      <c r="BQ4" t="s">
        <v>91</v>
      </c>
      <c r="BR4" s="3">
        <v>44111</v>
      </c>
      <c r="BS4" s="3"/>
      <c r="BT4" t="s">
        <v>91</v>
      </c>
      <c r="BU4" t="s">
        <v>91</v>
      </c>
      <c r="BV4">
        <v>4</v>
      </c>
      <c r="BW4" s="1" t="s">
        <v>90</v>
      </c>
    </row>
    <row r="5" spans="1:75" x14ac:dyDescent="0.35">
      <c r="A5">
        <v>144584</v>
      </c>
      <c r="B5" s="1" t="s">
        <v>75</v>
      </c>
      <c r="C5">
        <v>80</v>
      </c>
      <c r="D5">
        <v>11121001</v>
      </c>
      <c r="E5">
        <v>121001</v>
      </c>
      <c r="F5" s="1" t="s">
        <v>76</v>
      </c>
      <c r="G5" s="1" t="s">
        <v>112</v>
      </c>
      <c r="I5" s="1" t="s">
        <v>78</v>
      </c>
      <c r="J5" s="1" t="s">
        <v>113</v>
      </c>
      <c r="K5" s="1" t="s">
        <v>114</v>
      </c>
      <c r="L5" t="s">
        <v>91</v>
      </c>
      <c r="M5" t="s">
        <v>91</v>
      </c>
      <c r="N5" s="1" t="s">
        <v>115</v>
      </c>
      <c r="O5" t="s">
        <v>91</v>
      </c>
      <c r="P5" s="1" t="s">
        <v>116</v>
      </c>
      <c r="Q5" s="1" t="s">
        <v>117</v>
      </c>
      <c r="R5" s="1" t="s">
        <v>91</v>
      </c>
      <c r="S5">
        <v>1280</v>
      </c>
      <c r="T5">
        <v>89249000</v>
      </c>
      <c r="U5" s="1" t="s">
        <v>118</v>
      </c>
      <c r="V5" s="1" t="s">
        <v>119</v>
      </c>
      <c r="W5" s="1" t="s">
        <v>87</v>
      </c>
      <c r="X5">
        <v>47</v>
      </c>
      <c r="Y5">
        <v>34430706</v>
      </c>
      <c r="Z5" t="s">
        <v>91</v>
      </c>
      <c r="AA5" t="s">
        <v>91</v>
      </c>
      <c r="AB5" t="s">
        <v>91</v>
      </c>
      <c r="AC5" t="s">
        <v>91</v>
      </c>
      <c r="AD5" t="s">
        <v>91</v>
      </c>
      <c r="AE5" t="s">
        <v>91</v>
      </c>
      <c r="AF5" t="s">
        <v>91</v>
      </c>
      <c r="AG5" s="1" t="s">
        <v>91</v>
      </c>
      <c r="AH5" s="1" t="s">
        <v>91</v>
      </c>
      <c r="AI5" t="s">
        <v>91</v>
      </c>
      <c r="AJ5">
        <v>0</v>
      </c>
      <c r="AK5">
        <v>0</v>
      </c>
      <c r="AL5">
        <v>0</v>
      </c>
      <c r="AM5" t="s">
        <v>91</v>
      </c>
      <c r="AN5" t="s">
        <v>91</v>
      </c>
      <c r="AO5" t="s">
        <v>91</v>
      </c>
      <c r="AP5" t="s">
        <v>91</v>
      </c>
      <c r="AQ5" s="1" t="s">
        <v>91</v>
      </c>
      <c r="AR5" s="1" t="s">
        <v>91</v>
      </c>
      <c r="AS5" s="1" t="s">
        <v>91</v>
      </c>
      <c r="AT5" s="1" t="s">
        <v>91</v>
      </c>
      <c r="AU5" s="1" t="s">
        <v>91</v>
      </c>
      <c r="AV5" t="s">
        <v>91</v>
      </c>
      <c r="AW5" t="s">
        <v>91</v>
      </c>
      <c r="AX5" t="s">
        <v>91</v>
      </c>
      <c r="AY5" t="s">
        <v>91</v>
      </c>
      <c r="AZ5" t="s">
        <v>91</v>
      </c>
      <c r="BA5" t="s">
        <v>91</v>
      </c>
      <c r="BB5" s="2"/>
      <c r="BC5" s="2"/>
      <c r="BD5" t="s">
        <v>91</v>
      </c>
      <c r="BF5" s="1" t="s">
        <v>75</v>
      </c>
      <c r="BG5">
        <v>0</v>
      </c>
      <c r="BH5">
        <v>0</v>
      </c>
      <c r="BI5" s="1" t="s">
        <v>88</v>
      </c>
      <c r="BJ5">
        <v>1</v>
      </c>
      <c r="BK5" s="1" t="s">
        <v>89</v>
      </c>
      <c r="BL5" t="s">
        <v>91</v>
      </c>
      <c r="BM5" s="1" t="s">
        <v>109</v>
      </c>
      <c r="BN5" s="1" t="s">
        <v>110</v>
      </c>
      <c r="BO5" s="1" t="s">
        <v>111</v>
      </c>
      <c r="BP5" s="1" t="s">
        <v>91</v>
      </c>
      <c r="BQ5" t="s">
        <v>91</v>
      </c>
      <c r="BR5" s="3"/>
      <c r="BS5" s="3"/>
      <c r="BT5" t="s">
        <v>91</v>
      </c>
      <c r="BU5" t="s">
        <v>91</v>
      </c>
      <c r="BV5">
        <v>9</v>
      </c>
      <c r="BW5" s="1" t="s">
        <v>120</v>
      </c>
    </row>
    <row r="6" spans="1:75" x14ac:dyDescent="0.35">
      <c r="A6">
        <v>118718</v>
      </c>
      <c r="B6" s="1" t="s">
        <v>75</v>
      </c>
      <c r="C6">
        <v>80</v>
      </c>
      <c r="D6">
        <v>11121001</v>
      </c>
      <c r="E6">
        <v>121001</v>
      </c>
      <c r="F6" s="1" t="s">
        <v>76</v>
      </c>
      <c r="G6" s="1" t="s">
        <v>121</v>
      </c>
      <c r="I6" s="1" t="s">
        <v>78</v>
      </c>
      <c r="J6" s="1" t="s">
        <v>122</v>
      </c>
      <c r="K6" s="1" t="s">
        <v>123</v>
      </c>
      <c r="L6" t="s">
        <v>91</v>
      </c>
      <c r="M6" t="s">
        <v>91</v>
      </c>
      <c r="N6" s="1" t="s">
        <v>124</v>
      </c>
      <c r="O6" t="s">
        <v>91</v>
      </c>
      <c r="P6" s="1" t="s">
        <v>125</v>
      </c>
      <c r="Q6" s="1" t="s">
        <v>126</v>
      </c>
      <c r="R6" s="1" t="s">
        <v>127</v>
      </c>
      <c r="S6">
        <v>1277</v>
      </c>
      <c r="T6">
        <v>89201010</v>
      </c>
      <c r="U6" s="1" t="s">
        <v>108</v>
      </c>
      <c r="V6" s="1" t="s">
        <v>100</v>
      </c>
      <c r="W6" s="1" t="s">
        <v>87</v>
      </c>
      <c r="X6">
        <v>47</v>
      </c>
      <c r="Y6">
        <v>34231088</v>
      </c>
      <c r="Z6" t="s">
        <v>91</v>
      </c>
      <c r="AA6" t="s">
        <v>91</v>
      </c>
      <c r="AB6" t="s">
        <v>91</v>
      </c>
      <c r="AC6" t="s">
        <v>91</v>
      </c>
      <c r="AD6" t="s">
        <v>91</v>
      </c>
      <c r="AE6" t="s">
        <v>91</v>
      </c>
      <c r="AF6" t="s">
        <v>91</v>
      </c>
      <c r="AG6" s="1" t="s">
        <v>91</v>
      </c>
      <c r="AH6" s="1" t="s">
        <v>91</v>
      </c>
      <c r="AI6" t="s">
        <v>91</v>
      </c>
      <c r="AJ6">
        <v>0</v>
      </c>
      <c r="AK6">
        <v>0</v>
      </c>
      <c r="AL6">
        <v>0</v>
      </c>
      <c r="AM6" t="s">
        <v>91</v>
      </c>
      <c r="AN6" t="s">
        <v>91</v>
      </c>
      <c r="AO6" t="s">
        <v>91</v>
      </c>
      <c r="AP6" t="s">
        <v>91</v>
      </c>
      <c r="AQ6" s="1" t="s">
        <v>91</v>
      </c>
      <c r="AR6" s="1" t="s">
        <v>91</v>
      </c>
      <c r="AS6" s="1" t="s">
        <v>91</v>
      </c>
      <c r="AT6" s="1" t="s">
        <v>91</v>
      </c>
      <c r="AU6" s="1" t="s">
        <v>91</v>
      </c>
      <c r="AV6" t="s">
        <v>91</v>
      </c>
      <c r="AW6" t="s">
        <v>91</v>
      </c>
      <c r="AX6" t="s">
        <v>91</v>
      </c>
      <c r="AY6" t="s">
        <v>91</v>
      </c>
      <c r="AZ6" t="s">
        <v>91</v>
      </c>
      <c r="BA6" t="s">
        <v>91</v>
      </c>
      <c r="BB6" s="2"/>
      <c r="BC6" s="2"/>
      <c r="BD6" t="s">
        <v>91</v>
      </c>
      <c r="BF6" s="1" t="s">
        <v>75</v>
      </c>
      <c r="BG6">
        <v>0</v>
      </c>
      <c r="BH6">
        <v>0</v>
      </c>
      <c r="BI6" s="1" t="s">
        <v>88</v>
      </c>
      <c r="BJ6">
        <v>1</v>
      </c>
      <c r="BK6" s="1" t="s">
        <v>89</v>
      </c>
      <c r="BL6" t="s">
        <v>91</v>
      </c>
      <c r="BM6" s="1" t="s">
        <v>109</v>
      </c>
      <c r="BN6" s="1" t="s">
        <v>110</v>
      </c>
      <c r="BO6" s="1" t="s">
        <v>128</v>
      </c>
      <c r="BP6" s="1" t="s">
        <v>91</v>
      </c>
      <c r="BQ6" t="s">
        <v>91</v>
      </c>
      <c r="BR6" s="3"/>
      <c r="BS6" s="3"/>
      <c r="BT6" t="s">
        <v>91</v>
      </c>
      <c r="BU6" t="s">
        <v>91</v>
      </c>
      <c r="BV6">
        <v>9</v>
      </c>
      <c r="BW6" s="1" t="s">
        <v>90</v>
      </c>
    </row>
    <row r="7" spans="1:75" x14ac:dyDescent="0.35">
      <c r="A7">
        <v>144827</v>
      </c>
      <c r="B7" s="1" t="s">
        <v>75</v>
      </c>
      <c r="C7">
        <v>80</v>
      </c>
      <c r="D7">
        <v>11121001</v>
      </c>
      <c r="E7">
        <v>121001</v>
      </c>
      <c r="F7" s="1" t="s">
        <v>76</v>
      </c>
      <c r="G7" s="1" t="s">
        <v>129</v>
      </c>
      <c r="I7" s="1" t="s">
        <v>78</v>
      </c>
      <c r="J7" s="1" t="s">
        <v>130</v>
      </c>
      <c r="K7" s="1" t="s">
        <v>131</v>
      </c>
      <c r="L7" t="s">
        <v>91</v>
      </c>
      <c r="M7" t="s">
        <v>91</v>
      </c>
      <c r="N7" s="1" t="s">
        <v>132</v>
      </c>
      <c r="O7" t="s">
        <v>91</v>
      </c>
      <c r="P7" s="1" t="s">
        <v>133</v>
      </c>
      <c r="Q7" s="1" t="s">
        <v>134</v>
      </c>
      <c r="R7" s="1" t="s">
        <v>135</v>
      </c>
      <c r="T7">
        <v>84600280</v>
      </c>
      <c r="U7" s="1" t="s">
        <v>108</v>
      </c>
      <c r="V7" s="1" t="s">
        <v>136</v>
      </c>
      <c r="W7" s="1" t="s">
        <v>137</v>
      </c>
      <c r="X7">
        <v>42</v>
      </c>
      <c r="Y7">
        <v>35223047</v>
      </c>
      <c r="Z7" t="s">
        <v>91</v>
      </c>
      <c r="AA7" t="s">
        <v>91</v>
      </c>
      <c r="AB7" t="s">
        <v>91</v>
      </c>
      <c r="AC7" t="s">
        <v>91</v>
      </c>
      <c r="AD7" t="s">
        <v>91</v>
      </c>
      <c r="AE7" t="s">
        <v>91</v>
      </c>
      <c r="AF7" t="s">
        <v>91</v>
      </c>
      <c r="AG7" s="1" t="s">
        <v>91</v>
      </c>
      <c r="AH7" s="1" t="s">
        <v>91</v>
      </c>
      <c r="AI7" t="s">
        <v>91</v>
      </c>
      <c r="AJ7">
        <v>0</v>
      </c>
      <c r="AK7">
        <v>0</v>
      </c>
      <c r="AL7">
        <v>0</v>
      </c>
      <c r="AM7" t="s">
        <v>91</v>
      </c>
      <c r="AN7" t="s">
        <v>91</v>
      </c>
      <c r="AO7" t="s">
        <v>91</v>
      </c>
      <c r="AP7" t="s">
        <v>91</v>
      </c>
      <c r="AQ7" s="1" t="s">
        <v>91</v>
      </c>
      <c r="AR7" s="1" t="s">
        <v>91</v>
      </c>
      <c r="AS7" s="1" t="s">
        <v>91</v>
      </c>
      <c r="AT7" s="1" t="s">
        <v>91</v>
      </c>
      <c r="AU7" s="1" t="s">
        <v>91</v>
      </c>
      <c r="AV7" t="s">
        <v>91</v>
      </c>
      <c r="AW7" t="s">
        <v>91</v>
      </c>
      <c r="AX7" t="s">
        <v>91</v>
      </c>
      <c r="AY7" t="s">
        <v>91</v>
      </c>
      <c r="AZ7" t="s">
        <v>91</v>
      </c>
      <c r="BA7" t="s">
        <v>91</v>
      </c>
      <c r="BB7" s="2"/>
      <c r="BC7" s="2"/>
      <c r="BD7" t="s">
        <v>91</v>
      </c>
      <c r="BF7" s="1" t="s">
        <v>75</v>
      </c>
      <c r="BG7">
        <v>0</v>
      </c>
      <c r="BH7">
        <v>0</v>
      </c>
      <c r="BI7" s="1" t="s">
        <v>88</v>
      </c>
      <c r="BJ7">
        <v>1</v>
      </c>
      <c r="BK7" s="1" t="s">
        <v>89</v>
      </c>
      <c r="BL7" t="s">
        <v>91</v>
      </c>
      <c r="BM7" s="1" t="s">
        <v>109</v>
      </c>
      <c r="BN7" s="1" t="s">
        <v>110</v>
      </c>
      <c r="BO7" s="1" t="s">
        <v>128</v>
      </c>
      <c r="BP7" s="1" t="s">
        <v>91</v>
      </c>
      <c r="BQ7" t="s">
        <v>91</v>
      </c>
      <c r="BR7" s="3"/>
      <c r="BS7" s="3"/>
      <c r="BT7" t="s">
        <v>91</v>
      </c>
      <c r="BU7" t="s">
        <v>91</v>
      </c>
      <c r="BW7" s="1" t="s">
        <v>138</v>
      </c>
    </row>
    <row r="8" spans="1:75" x14ac:dyDescent="0.35">
      <c r="A8">
        <v>138869</v>
      </c>
      <c r="B8" s="1" t="s">
        <v>75</v>
      </c>
      <c r="C8">
        <v>80</v>
      </c>
      <c r="D8">
        <v>11121001</v>
      </c>
      <c r="E8">
        <v>121001</v>
      </c>
      <c r="F8" s="1" t="s">
        <v>76</v>
      </c>
      <c r="G8" s="1" t="s">
        <v>139</v>
      </c>
      <c r="H8">
        <v>0</v>
      </c>
      <c r="I8" s="1" t="s">
        <v>78</v>
      </c>
      <c r="J8" s="1" t="s">
        <v>140</v>
      </c>
      <c r="K8" s="1" t="s">
        <v>141</v>
      </c>
      <c r="L8" t="s">
        <v>91</v>
      </c>
      <c r="M8" t="s">
        <v>91</v>
      </c>
      <c r="N8" s="1" t="s">
        <v>142</v>
      </c>
      <c r="O8" t="s">
        <v>91</v>
      </c>
      <c r="P8" s="1" t="s">
        <v>143</v>
      </c>
      <c r="Q8" s="1" t="s">
        <v>144</v>
      </c>
      <c r="R8" s="1" t="s">
        <v>91</v>
      </c>
      <c r="S8">
        <v>1284</v>
      </c>
      <c r="T8">
        <v>89520000</v>
      </c>
      <c r="U8" s="1" t="s">
        <v>108</v>
      </c>
      <c r="V8" s="1" t="s">
        <v>145</v>
      </c>
      <c r="W8" s="1" t="s">
        <v>87</v>
      </c>
      <c r="X8">
        <v>49</v>
      </c>
      <c r="Y8">
        <v>32450643</v>
      </c>
      <c r="Z8" t="s">
        <v>91</v>
      </c>
      <c r="AA8" t="s">
        <v>91</v>
      </c>
      <c r="AB8" t="s">
        <v>91</v>
      </c>
      <c r="AC8" t="s">
        <v>91</v>
      </c>
      <c r="AD8" t="s">
        <v>91</v>
      </c>
      <c r="AE8" t="s">
        <v>91</v>
      </c>
      <c r="AF8" t="s">
        <v>91</v>
      </c>
      <c r="AG8" s="1" t="s">
        <v>146</v>
      </c>
      <c r="AH8" s="1" t="s">
        <v>91</v>
      </c>
      <c r="AI8" t="s">
        <v>91</v>
      </c>
      <c r="AM8" t="s">
        <v>91</v>
      </c>
      <c r="AN8" t="s">
        <v>91</v>
      </c>
      <c r="AO8" t="s">
        <v>91</v>
      </c>
      <c r="AP8" t="s">
        <v>91</v>
      </c>
      <c r="AQ8" s="1" t="s">
        <v>147</v>
      </c>
      <c r="AR8" s="1" t="s">
        <v>147</v>
      </c>
      <c r="AS8" s="1" t="s">
        <v>147</v>
      </c>
      <c r="AT8" s="1" t="s">
        <v>147</v>
      </c>
      <c r="AU8" s="1" t="s">
        <v>147</v>
      </c>
      <c r="AV8" t="s">
        <v>91</v>
      </c>
      <c r="AW8" t="s">
        <v>91</v>
      </c>
      <c r="AX8" t="s">
        <v>91</v>
      </c>
      <c r="AY8" t="s">
        <v>91</v>
      </c>
      <c r="AZ8" t="s">
        <v>91</v>
      </c>
      <c r="BA8" t="s">
        <v>91</v>
      </c>
      <c r="BB8" s="2">
        <v>44392.456759259258</v>
      </c>
      <c r="BC8" s="2">
        <v>44720.460046296299</v>
      </c>
      <c r="BD8" t="s">
        <v>91</v>
      </c>
      <c r="BF8" s="1" t="s">
        <v>75</v>
      </c>
      <c r="BH8">
        <v>0</v>
      </c>
      <c r="BI8" s="1" t="s">
        <v>88</v>
      </c>
      <c r="BJ8">
        <v>1</v>
      </c>
      <c r="BK8" s="1" t="s">
        <v>89</v>
      </c>
      <c r="BL8" t="s">
        <v>91</v>
      </c>
      <c r="BM8" s="1" t="s">
        <v>109</v>
      </c>
      <c r="BN8" s="1" t="s">
        <v>148</v>
      </c>
      <c r="BO8" s="1" t="s">
        <v>111</v>
      </c>
      <c r="BP8" s="1" t="s">
        <v>91</v>
      </c>
      <c r="BQ8" t="s">
        <v>91</v>
      </c>
      <c r="BR8" s="3">
        <v>44392</v>
      </c>
      <c r="BS8" s="3">
        <v>44720</v>
      </c>
      <c r="BT8" t="s">
        <v>91</v>
      </c>
      <c r="BU8" t="s">
        <v>91</v>
      </c>
      <c r="BW8" s="1" t="s">
        <v>149</v>
      </c>
    </row>
    <row r="9" spans="1:75" x14ac:dyDescent="0.35">
      <c r="A9">
        <v>157524</v>
      </c>
      <c r="B9" s="1" t="s">
        <v>75</v>
      </c>
      <c r="C9">
        <v>80</v>
      </c>
      <c r="D9">
        <v>11121001</v>
      </c>
      <c r="E9">
        <v>121001</v>
      </c>
      <c r="F9" s="1" t="s">
        <v>76</v>
      </c>
      <c r="G9" s="1" t="s">
        <v>150</v>
      </c>
      <c r="H9">
        <v>0</v>
      </c>
      <c r="I9" s="1" t="s">
        <v>78</v>
      </c>
      <c r="J9" s="1" t="s">
        <v>151</v>
      </c>
      <c r="K9" s="1" t="s">
        <v>152</v>
      </c>
      <c r="L9" t="s">
        <v>91</v>
      </c>
      <c r="M9" t="s">
        <v>91</v>
      </c>
      <c r="N9" s="1" t="s">
        <v>153</v>
      </c>
      <c r="O9" t="s">
        <v>91</v>
      </c>
      <c r="P9" s="1" t="s">
        <v>154</v>
      </c>
      <c r="Q9" s="1" t="s">
        <v>155</v>
      </c>
      <c r="R9" s="1" t="s">
        <v>91</v>
      </c>
      <c r="T9">
        <v>99700010</v>
      </c>
      <c r="U9" s="1" t="s">
        <v>108</v>
      </c>
      <c r="V9" s="1" t="s">
        <v>156</v>
      </c>
      <c r="W9" s="1" t="s">
        <v>157</v>
      </c>
      <c r="X9">
        <v>54</v>
      </c>
      <c r="Y9">
        <v>35227392</v>
      </c>
      <c r="Z9" t="s">
        <v>91</v>
      </c>
      <c r="AA9" t="s">
        <v>91</v>
      </c>
      <c r="AB9" t="s">
        <v>91</v>
      </c>
      <c r="AC9" t="s">
        <v>91</v>
      </c>
      <c r="AD9" t="s">
        <v>91</v>
      </c>
      <c r="AE9" t="s">
        <v>91</v>
      </c>
      <c r="AF9" t="s">
        <v>91</v>
      </c>
      <c r="AG9" s="1" t="s">
        <v>91</v>
      </c>
      <c r="AH9" s="1" t="s">
        <v>91</v>
      </c>
      <c r="AI9" t="s">
        <v>91</v>
      </c>
      <c r="AM9" t="s">
        <v>91</v>
      </c>
      <c r="AN9" t="s">
        <v>91</v>
      </c>
      <c r="AO9" t="s">
        <v>91</v>
      </c>
      <c r="AP9" t="s">
        <v>91</v>
      </c>
      <c r="AQ9" s="1" t="s">
        <v>91</v>
      </c>
      <c r="AR9" s="1" t="s">
        <v>91</v>
      </c>
      <c r="AS9" s="1" t="s">
        <v>91</v>
      </c>
      <c r="AT9" s="1" t="s">
        <v>91</v>
      </c>
      <c r="AU9" s="1" t="s">
        <v>91</v>
      </c>
      <c r="AV9" t="s">
        <v>91</v>
      </c>
      <c r="AW9" t="s">
        <v>91</v>
      </c>
      <c r="AX9" t="s">
        <v>91</v>
      </c>
      <c r="AY9" t="s">
        <v>91</v>
      </c>
      <c r="AZ9" t="s">
        <v>91</v>
      </c>
      <c r="BA9" t="s">
        <v>91</v>
      </c>
      <c r="BB9" s="2">
        <v>45118.093391203707</v>
      </c>
      <c r="BC9" s="2"/>
      <c r="BD9" t="s">
        <v>91</v>
      </c>
      <c r="BF9" s="1" t="s">
        <v>75</v>
      </c>
      <c r="BI9" s="1" t="s">
        <v>88</v>
      </c>
      <c r="BJ9">
        <v>1</v>
      </c>
      <c r="BK9" s="1" t="s">
        <v>89</v>
      </c>
      <c r="BL9" t="s">
        <v>91</v>
      </c>
      <c r="BM9" s="1" t="s">
        <v>91</v>
      </c>
      <c r="BN9" s="1" t="s">
        <v>91</v>
      </c>
      <c r="BO9" s="1" t="s">
        <v>91</v>
      </c>
      <c r="BP9" s="1" t="s">
        <v>91</v>
      </c>
      <c r="BQ9" t="s">
        <v>91</v>
      </c>
      <c r="BR9" s="3">
        <v>45118</v>
      </c>
      <c r="BS9" s="3"/>
      <c r="BT9" t="s">
        <v>91</v>
      </c>
      <c r="BU9" t="s">
        <v>91</v>
      </c>
      <c r="BW9" s="1" t="s">
        <v>90</v>
      </c>
    </row>
    <row r="10" spans="1:75" x14ac:dyDescent="0.35">
      <c r="A10">
        <v>858</v>
      </c>
      <c r="B10" s="1" t="s">
        <v>75</v>
      </c>
      <c r="C10">
        <v>80</v>
      </c>
      <c r="D10">
        <v>11121001</v>
      </c>
      <c r="E10">
        <v>121001</v>
      </c>
      <c r="F10" s="1" t="s">
        <v>76</v>
      </c>
      <c r="G10" s="1" t="s">
        <v>158</v>
      </c>
      <c r="I10" s="1" t="s">
        <v>78</v>
      </c>
      <c r="J10" s="1" t="s">
        <v>159</v>
      </c>
      <c r="K10" s="1" t="s">
        <v>160</v>
      </c>
      <c r="L10" t="s">
        <v>91</v>
      </c>
      <c r="M10" t="s">
        <v>91</v>
      </c>
      <c r="N10" s="1" t="s">
        <v>161</v>
      </c>
      <c r="O10" t="s">
        <v>91</v>
      </c>
      <c r="P10" s="1" t="s">
        <v>162</v>
      </c>
      <c r="Q10" s="1" t="s">
        <v>163</v>
      </c>
      <c r="R10" s="1" t="s">
        <v>91</v>
      </c>
      <c r="S10">
        <v>1277</v>
      </c>
      <c r="T10">
        <v>89201205</v>
      </c>
      <c r="U10" s="1" t="s">
        <v>108</v>
      </c>
      <c r="V10" s="1" t="s">
        <v>100</v>
      </c>
      <c r="W10" s="1" t="s">
        <v>87</v>
      </c>
      <c r="X10">
        <v>47</v>
      </c>
      <c r="Y10">
        <v>30255222</v>
      </c>
      <c r="Z10" t="s">
        <v>91</v>
      </c>
      <c r="AA10" t="s">
        <v>91</v>
      </c>
      <c r="AB10" t="s">
        <v>91</v>
      </c>
      <c r="AC10" t="s">
        <v>91</v>
      </c>
      <c r="AD10" t="s">
        <v>91</v>
      </c>
      <c r="AE10" t="s">
        <v>91</v>
      </c>
      <c r="AF10" t="s">
        <v>91</v>
      </c>
      <c r="AG10" s="1" t="s">
        <v>91</v>
      </c>
      <c r="AH10" s="1" t="s">
        <v>91</v>
      </c>
      <c r="AI10" t="s">
        <v>91</v>
      </c>
      <c r="AJ10">
        <v>0</v>
      </c>
      <c r="AK10">
        <v>0</v>
      </c>
      <c r="AL10">
        <v>0</v>
      </c>
      <c r="AM10" t="s">
        <v>91</v>
      </c>
      <c r="AN10" t="s">
        <v>91</v>
      </c>
      <c r="AO10" t="s">
        <v>91</v>
      </c>
      <c r="AP10" t="s">
        <v>91</v>
      </c>
      <c r="AQ10" s="1" t="s">
        <v>91</v>
      </c>
      <c r="AR10" s="1" t="s">
        <v>91</v>
      </c>
      <c r="AS10" s="1" t="s">
        <v>91</v>
      </c>
      <c r="AT10" s="1" t="s">
        <v>91</v>
      </c>
      <c r="AU10" s="1" t="s">
        <v>91</v>
      </c>
      <c r="AV10" t="s">
        <v>91</v>
      </c>
      <c r="AW10" t="s">
        <v>91</v>
      </c>
      <c r="AX10" t="s">
        <v>91</v>
      </c>
      <c r="AY10" t="s">
        <v>91</v>
      </c>
      <c r="AZ10" t="s">
        <v>91</v>
      </c>
      <c r="BA10" t="s">
        <v>91</v>
      </c>
      <c r="BB10" s="2">
        <v>43308.392962962964</v>
      </c>
      <c r="BC10" s="2"/>
      <c r="BD10" t="s">
        <v>91</v>
      </c>
      <c r="BE10">
        <v>858</v>
      </c>
      <c r="BF10" s="1" t="s">
        <v>75</v>
      </c>
      <c r="BG10">
        <v>0</v>
      </c>
      <c r="BH10">
        <v>0</v>
      </c>
      <c r="BI10" s="1" t="s">
        <v>88</v>
      </c>
      <c r="BJ10">
        <v>1</v>
      </c>
      <c r="BK10" s="1" t="s">
        <v>89</v>
      </c>
      <c r="BL10" t="s">
        <v>91</v>
      </c>
      <c r="BM10" s="1" t="s">
        <v>164</v>
      </c>
      <c r="BN10" s="1" t="s">
        <v>110</v>
      </c>
      <c r="BO10" s="1" t="s">
        <v>165</v>
      </c>
      <c r="BP10" s="1" t="s">
        <v>91</v>
      </c>
      <c r="BQ10" t="s">
        <v>91</v>
      </c>
      <c r="BR10" s="3">
        <v>43308</v>
      </c>
      <c r="BS10" s="3"/>
      <c r="BT10" t="s">
        <v>91</v>
      </c>
      <c r="BU10" t="s">
        <v>91</v>
      </c>
      <c r="BV10">
        <v>5</v>
      </c>
      <c r="BW10" s="1" t="s">
        <v>166</v>
      </c>
    </row>
    <row r="11" spans="1:75" x14ac:dyDescent="0.35">
      <c r="A11">
        <v>156721</v>
      </c>
      <c r="B11" s="1" t="s">
        <v>75</v>
      </c>
      <c r="C11">
        <v>80</v>
      </c>
      <c r="D11">
        <v>11121001</v>
      </c>
      <c r="E11">
        <v>121001</v>
      </c>
      <c r="F11" s="1" t="s">
        <v>76</v>
      </c>
      <c r="G11" s="1" t="s">
        <v>167</v>
      </c>
      <c r="H11">
        <v>0</v>
      </c>
      <c r="I11" s="1" t="s">
        <v>78</v>
      </c>
      <c r="J11" s="1" t="s">
        <v>168</v>
      </c>
      <c r="K11" s="1" t="s">
        <v>169</v>
      </c>
      <c r="L11" t="s">
        <v>91</v>
      </c>
      <c r="M11" t="s">
        <v>91</v>
      </c>
      <c r="N11" s="1" t="s">
        <v>170</v>
      </c>
      <c r="O11" t="s">
        <v>91</v>
      </c>
      <c r="P11" s="1" t="s">
        <v>171</v>
      </c>
      <c r="Q11" s="1" t="s">
        <v>172</v>
      </c>
      <c r="R11" s="1" t="s">
        <v>173</v>
      </c>
      <c r="S11">
        <v>1288</v>
      </c>
      <c r="T11">
        <v>89874000</v>
      </c>
      <c r="U11" s="1" t="s">
        <v>108</v>
      </c>
      <c r="V11" s="1" t="s">
        <v>174</v>
      </c>
      <c r="W11" s="1" t="s">
        <v>87</v>
      </c>
      <c r="X11">
        <v>49</v>
      </c>
      <c r="Y11">
        <v>999347686</v>
      </c>
      <c r="Z11" t="s">
        <v>91</v>
      </c>
      <c r="AA11" t="s">
        <v>91</v>
      </c>
      <c r="AB11" t="s">
        <v>91</v>
      </c>
      <c r="AC11" t="s">
        <v>91</v>
      </c>
      <c r="AD11" t="s">
        <v>91</v>
      </c>
      <c r="AE11" t="s">
        <v>91</v>
      </c>
      <c r="AF11" t="s">
        <v>91</v>
      </c>
      <c r="AG11" s="1" t="s">
        <v>91</v>
      </c>
      <c r="AH11" s="1" t="s">
        <v>91</v>
      </c>
      <c r="AI11" t="s">
        <v>91</v>
      </c>
      <c r="AM11" t="s">
        <v>91</v>
      </c>
      <c r="AN11" t="s">
        <v>91</v>
      </c>
      <c r="AO11" t="s">
        <v>91</v>
      </c>
      <c r="AP11" t="s">
        <v>91</v>
      </c>
      <c r="AQ11" s="1" t="s">
        <v>91</v>
      </c>
      <c r="AR11" s="1" t="s">
        <v>91</v>
      </c>
      <c r="AS11" s="1" t="s">
        <v>91</v>
      </c>
      <c r="AT11" s="1" t="s">
        <v>91</v>
      </c>
      <c r="AU11" s="1" t="s">
        <v>91</v>
      </c>
      <c r="AV11" t="s">
        <v>91</v>
      </c>
      <c r="AW11" t="s">
        <v>91</v>
      </c>
      <c r="AX11" t="s">
        <v>91</v>
      </c>
      <c r="AY11" t="s">
        <v>91</v>
      </c>
      <c r="AZ11" t="s">
        <v>91</v>
      </c>
      <c r="BA11" t="s">
        <v>91</v>
      </c>
      <c r="BB11" s="2">
        <v>45113.505416666667</v>
      </c>
      <c r="BC11" s="2"/>
      <c r="BD11" t="s">
        <v>91</v>
      </c>
      <c r="BF11" s="1" t="s">
        <v>75</v>
      </c>
      <c r="BI11" s="1" t="s">
        <v>88</v>
      </c>
      <c r="BJ11">
        <v>1</v>
      </c>
      <c r="BK11" s="1" t="s">
        <v>89</v>
      </c>
      <c r="BL11" t="s">
        <v>91</v>
      </c>
      <c r="BM11" s="1" t="s">
        <v>91</v>
      </c>
      <c r="BN11" s="1" t="s">
        <v>91</v>
      </c>
      <c r="BO11" s="1" t="s">
        <v>91</v>
      </c>
      <c r="BP11" s="1" t="s">
        <v>91</v>
      </c>
      <c r="BQ11" t="s">
        <v>91</v>
      </c>
      <c r="BR11" s="3">
        <v>45113</v>
      </c>
      <c r="BS11" s="3"/>
      <c r="BT11" t="s">
        <v>91</v>
      </c>
      <c r="BU11" t="s">
        <v>91</v>
      </c>
      <c r="BW11" s="1" t="s">
        <v>138</v>
      </c>
    </row>
    <row r="12" spans="1:75" x14ac:dyDescent="0.35">
      <c r="A12">
        <v>118719</v>
      </c>
      <c r="B12" s="1" t="s">
        <v>75</v>
      </c>
      <c r="C12">
        <v>80</v>
      </c>
      <c r="D12">
        <v>11121001</v>
      </c>
      <c r="E12">
        <v>121001</v>
      </c>
      <c r="F12" s="1" t="s">
        <v>76</v>
      </c>
      <c r="G12" s="1" t="s">
        <v>175</v>
      </c>
      <c r="I12" s="1" t="s">
        <v>78</v>
      </c>
      <c r="J12" s="1" t="s">
        <v>176</v>
      </c>
      <c r="K12" s="1" t="s">
        <v>177</v>
      </c>
      <c r="L12" t="s">
        <v>91</v>
      </c>
      <c r="M12" t="s">
        <v>91</v>
      </c>
      <c r="N12" s="1" t="s">
        <v>178</v>
      </c>
      <c r="O12" t="s">
        <v>91</v>
      </c>
      <c r="P12" s="1" t="s">
        <v>105</v>
      </c>
      <c r="Q12" s="1" t="s">
        <v>179</v>
      </c>
      <c r="R12" s="1" t="s">
        <v>173</v>
      </c>
      <c r="S12">
        <v>1277</v>
      </c>
      <c r="T12">
        <v>89201000</v>
      </c>
      <c r="U12" s="1" t="s">
        <v>108</v>
      </c>
      <c r="V12" s="1" t="s">
        <v>100</v>
      </c>
      <c r="W12" s="1" t="s">
        <v>87</v>
      </c>
      <c r="X12">
        <v>47</v>
      </c>
      <c r="Y12">
        <v>30272048</v>
      </c>
      <c r="Z12" t="s">
        <v>91</v>
      </c>
      <c r="AA12" t="s">
        <v>91</v>
      </c>
      <c r="AB12" t="s">
        <v>91</v>
      </c>
      <c r="AC12" t="s">
        <v>91</v>
      </c>
      <c r="AD12" t="s">
        <v>91</v>
      </c>
      <c r="AE12" t="s">
        <v>91</v>
      </c>
      <c r="AF12" t="s">
        <v>91</v>
      </c>
      <c r="AG12" s="1" t="s">
        <v>91</v>
      </c>
      <c r="AH12" s="1" t="s">
        <v>91</v>
      </c>
      <c r="AI12" t="s">
        <v>91</v>
      </c>
      <c r="AJ12">
        <v>0</v>
      </c>
      <c r="AK12">
        <v>0</v>
      </c>
      <c r="AL12">
        <v>0</v>
      </c>
      <c r="AM12" t="s">
        <v>91</v>
      </c>
      <c r="AN12" t="s">
        <v>91</v>
      </c>
      <c r="AO12" t="s">
        <v>91</v>
      </c>
      <c r="AP12" t="s">
        <v>91</v>
      </c>
      <c r="AQ12" s="1" t="s">
        <v>91</v>
      </c>
      <c r="AR12" s="1" t="s">
        <v>91</v>
      </c>
      <c r="AS12" s="1" t="s">
        <v>91</v>
      </c>
      <c r="AT12" s="1" t="s">
        <v>91</v>
      </c>
      <c r="AU12" s="1" t="s">
        <v>91</v>
      </c>
      <c r="AV12" t="s">
        <v>91</v>
      </c>
      <c r="AW12" t="s">
        <v>91</v>
      </c>
      <c r="AX12" t="s">
        <v>91</v>
      </c>
      <c r="AY12" t="s">
        <v>91</v>
      </c>
      <c r="AZ12" t="s">
        <v>91</v>
      </c>
      <c r="BA12" t="s">
        <v>91</v>
      </c>
      <c r="BB12" s="2"/>
      <c r="BC12" s="2"/>
      <c r="BD12" t="s">
        <v>91</v>
      </c>
      <c r="BF12" s="1" t="s">
        <v>75</v>
      </c>
      <c r="BG12">
        <v>0</v>
      </c>
      <c r="BH12">
        <v>0</v>
      </c>
      <c r="BI12" s="1" t="s">
        <v>88</v>
      </c>
      <c r="BJ12">
        <v>1</v>
      </c>
      <c r="BK12" s="1" t="s">
        <v>89</v>
      </c>
      <c r="BL12" t="s">
        <v>91</v>
      </c>
      <c r="BM12" s="1" t="s">
        <v>109</v>
      </c>
      <c r="BN12" s="1" t="s">
        <v>110</v>
      </c>
      <c r="BO12" s="1" t="s">
        <v>180</v>
      </c>
      <c r="BP12" s="1" t="s">
        <v>91</v>
      </c>
      <c r="BQ12" t="s">
        <v>91</v>
      </c>
      <c r="BR12" s="3"/>
      <c r="BS12" s="3"/>
      <c r="BT12" t="s">
        <v>91</v>
      </c>
      <c r="BU12" t="s">
        <v>91</v>
      </c>
      <c r="BV12">
        <v>9</v>
      </c>
      <c r="BW12" s="1" t="s">
        <v>90</v>
      </c>
    </row>
    <row r="13" spans="1:75" x14ac:dyDescent="0.35">
      <c r="A13">
        <v>144803</v>
      </c>
      <c r="B13" s="1" t="s">
        <v>75</v>
      </c>
      <c r="C13">
        <v>80</v>
      </c>
      <c r="D13">
        <v>11121001</v>
      </c>
      <c r="E13">
        <v>121001</v>
      </c>
      <c r="F13" s="1" t="s">
        <v>76</v>
      </c>
      <c r="G13" s="1" t="s">
        <v>181</v>
      </c>
      <c r="I13" s="1" t="s">
        <v>78</v>
      </c>
      <c r="J13" s="1" t="s">
        <v>182</v>
      </c>
      <c r="K13" s="1" t="s">
        <v>183</v>
      </c>
      <c r="L13" t="s">
        <v>91</v>
      </c>
      <c r="M13" t="s">
        <v>91</v>
      </c>
      <c r="N13" s="1" t="s">
        <v>184</v>
      </c>
      <c r="O13" t="s">
        <v>91</v>
      </c>
      <c r="P13" s="1" t="s">
        <v>185</v>
      </c>
      <c r="Q13" s="1" t="s">
        <v>186</v>
      </c>
      <c r="R13" s="1" t="s">
        <v>187</v>
      </c>
      <c r="S13">
        <v>1279</v>
      </c>
      <c r="T13">
        <v>89229102</v>
      </c>
      <c r="U13" s="1" t="s">
        <v>188</v>
      </c>
      <c r="V13" s="1" t="s">
        <v>100</v>
      </c>
      <c r="W13" s="1" t="s">
        <v>87</v>
      </c>
      <c r="X13">
        <v>47</v>
      </c>
      <c r="Y13">
        <v>996767380</v>
      </c>
      <c r="Z13" t="s">
        <v>91</v>
      </c>
      <c r="AA13" t="s">
        <v>91</v>
      </c>
      <c r="AB13" t="s">
        <v>91</v>
      </c>
      <c r="AC13" t="s">
        <v>91</v>
      </c>
      <c r="AD13" t="s">
        <v>91</v>
      </c>
      <c r="AE13" t="s">
        <v>91</v>
      </c>
      <c r="AF13" t="s">
        <v>91</v>
      </c>
      <c r="AG13" s="1" t="s">
        <v>91</v>
      </c>
      <c r="AH13" s="1" t="s">
        <v>91</v>
      </c>
      <c r="AI13" t="s">
        <v>91</v>
      </c>
      <c r="AM13" t="s">
        <v>91</v>
      </c>
      <c r="AN13" t="s">
        <v>91</v>
      </c>
      <c r="AO13" t="s">
        <v>91</v>
      </c>
      <c r="AP13" t="s">
        <v>91</v>
      </c>
      <c r="AQ13" s="1" t="s">
        <v>91</v>
      </c>
      <c r="AR13" s="1" t="s">
        <v>91</v>
      </c>
      <c r="AS13" s="1" t="s">
        <v>91</v>
      </c>
      <c r="AT13" s="1" t="s">
        <v>91</v>
      </c>
      <c r="AU13" s="1" t="s">
        <v>91</v>
      </c>
      <c r="AV13" t="s">
        <v>91</v>
      </c>
      <c r="AW13" t="s">
        <v>91</v>
      </c>
      <c r="AX13" t="s">
        <v>91</v>
      </c>
      <c r="AY13" t="s">
        <v>91</v>
      </c>
      <c r="AZ13" t="s">
        <v>91</v>
      </c>
      <c r="BA13" t="s">
        <v>91</v>
      </c>
      <c r="BB13" s="2"/>
      <c r="BC13" s="2"/>
      <c r="BD13" t="s">
        <v>91</v>
      </c>
      <c r="BF13" s="1" t="s">
        <v>75</v>
      </c>
      <c r="BI13" s="1" t="s">
        <v>88</v>
      </c>
      <c r="BJ13">
        <v>1</v>
      </c>
      <c r="BK13" s="1" t="s">
        <v>89</v>
      </c>
      <c r="BL13" t="s">
        <v>91</v>
      </c>
      <c r="BM13" s="1" t="s">
        <v>109</v>
      </c>
      <c r="BN13" s="1" t="s">
        <v>110</v>
      </c>
      <c r="BO13" s="1" t="s">
        <v>91</v>
      </c>
      <c r="BP13" s="1" t="s">
        <v>91</v>
      </c>
      <c r="BQ13" t="s">
        <v>91</v>
      </c>
      <c r="BR13" s="3"/>
      <c r="BS13" s="3"/>
      <c r="BT13" t="s">
        <v>91</v>
      </c>
      <c r="BU13" t="s">
        <v>91</v>
      </c>
      <c r="BW13" s="1" t="s">
        <v>189</v>
      </c>
    </row>
    <row r="14" spans="1:75" x14ac:dyDescent="0.35">
      <c r="A14">
        <v>144726</v>
      </c>
      <c r="B14" s="1" t="s">
        <v>75</v>
      </c>
      <c r="C14">
        <v>80</v>
      </c>
      <c r="D14">
        <v>11121001</v>
      </c>
      <c r="E14">
        <v>121001</v>
      </c>
      <c r="F14" s="1" t="s">
        <v>76</v>
      </c>
      <c r="G14" s="1" t="s">
        <v>190</v>
      </c>
      <c r="I14" s="1" t="s">
        <v>78</v>
      </c>
      <c r="J14" s="1" t="s">
        <v>191</v>
      </c>
      <c r="K14" s="1" t="s">
        <v>192</v>
      </c>
      <c r="L14" t="s">
        <v>91</v>
      </c>
      <c r="M14" t="s">
        <v>91</v>
      </c>
      <c r="N14" s="1" t="s">
        <v>193</v>
      </c>
      <c r="O14" t="s">
        <v>91</v>
      </c>
      <c r="P14" s="1" t="s">
        <v>194</v>
      </c>
      <c r="Q14" s="1" t="s">
        <v>195</v>
      </c>
      <c r="R14" s="1" t="s">
        <v>91</v>
      </c>
      <c r="S14">
        <v>1279</v>
      </c>
      <c r="T14">
        <v>89207301</v>
      </c>
      <c r="U14" s="1" t="s">
        <v>196</v>
      </c>
      <c r="V14" s="1" t="s">
        <v>100</v>
      </c>
      <c r="W14" s="1" t="s">
        <v>87</v>
      </c>
      <c r="X14">
        <v>47</v>
      </c>
      <c r="Y14">
        <v>34366978</v>
      </c>
      <c r="Z14" t="s">
        <v>91</v>
      </c>
      <c r="AA14" t="s">
        <v>91</v>
      </c>
      <c r="AB14" t="s">
        <v>91</v>
      </c>
      <c r="AC14" t="s">
        <v>91</v>
      </c>
      <c r="AD14" t="s">
        <v>91</v>
      </c>
      <c r="AE14" t="s">
        <v>91</v>
      </c>
      <c r="AF14" t="s">
        <v>91</v>
      </c>
      <c r="AG14" s="1" t="s">
        <v>91</v>
      </c>
      <c r="AH14" s="1" t="s">
        <v>91</v>
      </c>
      <c r="AI14" t="s">
        <v>91</v>
      </c>
      <c r="AJ14">
        <v>0</v>
      </c>
      <c r="AK14">
        <v>0</v>
      </c>
      <c r="AL14">
        <v>0</v>
      </c>
      <c r="AM14" t="s">
        <v>91</v>
      </c>
      <c r="AN14" t="s">
        <v>91</v>
      </c>
      <c r="AO14" t="s">
        <v>91</v>
      </c>
      <c r="AP14" t="s">
        <v>91</v>
      </c>
      <c r="AQ14" s="1" t="s">
        <v>91</v>
      </c>
      <c r="AR14" s="1" t="s">
        <v>91</v>
      </c>
      <c r="AS14" s="1" t="s">
        <v>91</v>
      </c>
      <c r="AT14" s="1" t="s">
        <v>91</v>
      </c>
      <c r="AU14" s="1" t="s">
        <v>91</v>
      </c>
      <c r="AV14" t="s">
        <v>91</v>
      </c>
      <c r="AW14" t="s">
        <v>91</v>
      </c>
      <c r="AX14" t="s">
        <v>91</v>
      </c>
      <c r="AY14" t="s">
        <v>91</v>
      </c>
      <c r="AZ14" t="s">
        <v>91</v>
      </c>
      <c r="BA14" t="s">
        <v>91</v>
      </c>
      <c r="BB14" s="2"/>
      <c r="BC14" s="2"/>
      <c r="BD14" t="s">
        <v>91</v>
      </c>
      <c r="BF14" s="1" t="s">
        <v>75</v>
      </c>
      <c r="BG14">
        <v>0</v>
      </c>
      <c r="BH14">
        <v>0</v>
      </c>
      <c r="BI14" s="1" t="s">
        <v>88</v>
      </c>
      <c r="BJ14">
        <v>1</v>
      </c>
      <c r="BK14" s="1" t="s">
        <v>89</v>
      </c>
      <c r="BL14" t="s">
        <v>91</v>
      </c>
      <c r="BM14" s="1" t="s">
        <v>197</v>
      </c>
      <c r="BN14" s="1" t="s">
        <v>110</v>
      </c>
      <c r="BO14" s="1" t="s">
        <v>165</v>
      </c>
      <c r="BP14" s="1" t="s">
        <v>91</v>
      </c>
      <c r="BQ14" t="s">
        <v>91</v>
      </c>
      <c r="BR14" s="3"/>
      <c r="BS14" s="3"/>
      <c r="BT14" t="s">
        <v>91</v>
      </c>
      <c r="BU14" t="s">
        <v>91</v>
      </c>
      <c r="BV14">
        <v>9</v>
      </c>
      <c r="BW14" s="1" t="s">
        <v>198</v>
      </c>
    </row>
    <row r="15" spans="1:75" x14ac:dyDescent="0.35">
      <c r="A15">
        <v>156781</v>
      </c>
      <c r="B15" s="1" t="s">
        <v>75</v>
      </c>
      <c r="C15">
        <v>80</v>
      </c>
      <c r="D15">
        <v>11121001</v>
      </c>
      <c r="E15">
        <v>121001</v>
      </c>
      <c r="F15" s="1" t="s">
        <v>76</v>
      </c>
      <c r="G15" s="1" t="s">
        <v>199</v>
      </c>
      <c r="H15">
        <v>0</v>
      </c>
      <c r="I15" s="1" t="s">
        <v>78</v>
      </c>
      <c r="J15" s="1" t="s">
        <v>200</v>
      </c>
      <c r="K15" s="1" t="s">
        <v>201</v>
      </c>
      <c r="L15" t="s">
        <v>91</v>
      </c>
      <c r="M15" t="s">
        <v>91</v>
      </c>
      <c r="N15" s="1" t="s">
        <v>202</v>
      </c>
      <c r="O15" t="s">
        <v>91</v>
      </c>
      <c r="P15" s="1" t="s">
        <v>203</v>
      </c>
      <c r="Q15" s="1" t="s">
        <v>204</v>
      </c>
      <c r="R15" s="1" t="s">
        <v>91</v>
      </c>
      <c r="S15">
        <v>1281</v>
      </c>
      <c r="T15">
        <v>89340000</v>
      </c>
      <c r="U15" s="1" t="s">
        <v>108</v>
      </c>
      <c r="V15" s="1" t="s">
        <v>205</v>
      </c>
      <c r="W15" s="1" t="s">
        <v>87</v>
      </c>
      <c r="X15">
        <v>47</v>
      </c>
      <c r="Y15">
        <v>36521196</v>
      </c>
      <c r="Z15" t="s">
        <v>91</v>
      </c>
      <c r="AA15" t="s">
        <v>91</v>
      </c>
      <c r="AB15" t="s">
        <v>91</v>
      </c>
      <c r="AC15" t="s">
        <v>91</v>
      </c>
      <c r="AD15" t="s">
        <v>91</v>
      </c>
      <c r="AE15" t="s">
        <v>91</v>
      </c>
      <c r="AF15" t="s">
        <v>91</v>
      </c>
      <c r="AG15" s="1" t="s">
        <v>91</v>
      </c>
      <c r="AH15" s="1" t="s">
        <v>91</v>
      </c>
      <c r="AI15" t="s">
        <v>91</v>
      </c>
      <c r="AM15" t="s">
        <v>91</v>
      </c>
      <c r="AN15" t="s">
        <v>91</v>
      </c>
      <c r="AO15" t="s">
        <v>91</v>
      </c>
      <c r="AP15" t="s">
        <v>91</v>
      </c>
      <c r="AQ15" s="1" t="s">
        <v>91</v>
      </c>
      <c r="AR15" s="1" t="s">
        <v>91</v>
      </c>
      <c r="AS15" s="1" t="s">
        <v>91</v>
      </c>
      <c r="AT15" s="1" t="s">
        <v>91</v>
      </c>
      <c r="AU15" s="1" t="s">
        <v>91</v>
      </c>
      <c r="AV15" t="s">
        <v>91</v>
      </c>
      <c r="AW15" t="s">
        <v>91</v>
      </c>
      <c r="AX15" t="s">
        <v>91</v>
      </c>
      <c r="AY15" t="s">
        <v>91</v>
      </c>
      <c r="AZ15" t="s">
        <v>91</v>
      </c>
      <c r="BA15" t="s">
        <v>91</v>
      </c>
      <c r="BB15" s="2">
        <v>45113.505416666667</v>
      </c>
      <c r="BC15" s="2"/>
      <c r="BD15" t="s">
        <v>91</v>
      </c>
      <c r="BF15" s="1" t="s">
        <v>75</v>
      </c>
      <c r="BI15" s="1" t="s">
        <v>88</v>
      </c>
      <c r="BJ15">
        <v>1</v>
      </c>
      <c r="BK15" s="1" t="s">
        <v>89</v>
      </c>
      <c r="BL15" t="s">
        <v>91</v>
      </c>
      <c r="BM15" s="1" t="s">
        <v>91</v>
      </c>
      <c r="BN15" s="1" t="s">
        <v>91</v>
      </c>
      <c r="BO15" s="1" t="s">
        <v>91</v>
      </c>
      <c r="BP15" s="1" t="s">
        <v>91</v>
      </c>
      <c r="BQ15" t="s">
        <v>91</v>
      </c>
      <c r="BR15" s="3">
        <v>45113</v>
      </c>
      <c r="BS15" s="3"/>
      <c r="BT15" t="s">
        <v>91</v>
      </c>
      <c r="BU15" t="s">
        <v>91</v>
      </c>
      <c r="BW15" s="1" t="s">
        <v>90</v>
      </c>
    </row>
    <row r="16" spans="1:75" x14ac:dyDescent="0.35">
      <c r="A16">
        <v>157574</v>
      </c>
      <c r="B16" s="1" t="s">
        <v>75</v>
      </c>
      <c r="C16">
        <v>80</v>
      </c>
      <c r="D16">
        <v>11121001</v>
      </c>
      <c r="E16">
        <v>121001</v>
      </c>
      <c r="F16" s="1" t="s">
        <v>76</v>
      </c>
      <c r="G16" s="1" t="s">
        <v>206</v>
      </c>
      <c r="H16">
        <v>0</v>
      </c>
      <c r="I16" s="1" t="s">
        <v>78</v>
      </c>
      <c r="J16" s="1" t="s">
        <v>207</v>
      </c>
      <c r="K16" s="1" t="s">
        <v>208</v>
      </c>
      <c r="L16" t="s">
        <v>91</v>
      </c>
      <c r="M16" t="s">
        <v>91</v>
      </c>
      <c r="N16" s="1" t="s">
        <v>209</v>
      </c>
      <c r="O16" t="s">
        <v>91</v>
      </c>
      <c r="P16" s="1" t="s">
        <v>210</v>
      </c>
      <c r="Q16" s="1" t="s">
        <v>211</v>
      </c>
      <c r="R16" s="1" t="s">
        <v>212</v>
      </c>
      <c r="S16">
        <v>1279</v>
      </c>
      <c r="T16">
        <v>89223005</v>
      </c>
      <c r="U16" s="1" t="s">
        <v>213</v>
      </c>
      <c r="V16" s="1" t="s">
        <v>100</v>
      </c>
      <c r="W16" s="1" t="s">
        <v>87</v>
      </c>
      <c r="X16">
        <v>47</v>
      </c>
      <c r="Y16">
        <v>30243492</v>
      </c>
      <c r="Z16" t="s">
        <v>91</v>
      </c>
      <c r="AA16" t="s">
        <v>91</v>
      </c>
      <c r="AB16" t="s">
        <v>91</v>
      </c>
      <c r="AC16" t="s">
        <v>91</v>
      </c>
      <c r="AD16" t="s">
        <v>91</v>
      </c>
      <c r="AE16" t="s">
        <v>91</v>
      </c>
      <c r="AF16" t="s">
        <v>91</v>
      </c>
      <c r="AG16" s="1" t="s">
        <v>91</v>
      </c>
      <c r="AH16" s="1" t="s">
        <v>91</v>
      </c>
      <c r="AI16" t="s">
        <v>91</v>
      </c>
      <c r="AM16" t="s">
        <v>91</v>
      </c>
      <c r="AN16" t="s">
        <v>91</v>
      </c>
      <c r="AO16" t="s">
        <v>91</v>
      </c>
      <c r="AP16" t="s">
        <v>91</v>
      </c>
      <c r="AQ16" s="1" t="s">
        <v>91</v>
      </c>
      <c r="AR16" s="1" t="s">
        <v>91</v>
      </c>
      <c r="AS16" s="1" t="s">
        <v>91</v>
      </c>
      <c r="AT16" s="1" t="s">
        <v>91</v>
      </c>
      <c r="AU16" s="1" t="s">
        <v>91</v>
      </c>
      <c r="AV16" t="s">
        <v>91</v>
      </c>
      <c r="AW16" t="s">
        <v>91</v>
      </c>
      <c r="AX16" t="s">
        <v>91</v>
      </c>
      <c r="AY16" t="s">
        <v>91</v>
      </c>
      <c r="AZ16" t="s">
        <v>91</v>
      </c>
      <c r="BA16" t="s">
        <v>91</v>
      </c>
      <c r="BB16" s="2">
        <v>45118.093391203707</v>
      </c>
      <c r="BC16" s="2"/>
      <c r="BD16" t="s">
        <v>91</v>
      </c>
      <c r="BF16" s="1" t="s">
        <v>75</v>
      </c>
      <c r="BI16" s="1" t="s">
        <v>88</v>
      </c>
      <c r="BJ16">
        <v>1</v>
      </c>
      <c r="BK16" s="1" t="s">
        <v>89</v>
      </c>
      <c r="BL16" t="s">
        <v>91</v>
      </c>
      <c r="BM16" s="1" t="s">
        <v>91</v>
      </c>
      <c r="BN16" s="1" t="s">
        <v>91</v>
      </c>
      <c r="BO16" s="1" t="s">
        <v>91</v>
      </c>
      <c r="BP16" s="1" t="s">
        <v>91</v>
      </c>
      <c r="BQ16" t="s">
        <v>91</v>
      </c>
      <c r="BR16" s="3">
        <v>45118</v>
      </c>
      <c r="BS16" s="3"/>
      <c r="BT16" t="s">
        <v>91</v>
      </c>
      <c r="BU16" t="s">
        <v>91</v>
      </c>
      <c r="BW16" s="1" t="s">
        <v>90</v>
      </c>
    </row>
    <row r="17" spans="1:75" x14ac:dyDescent="0.35">
      <c r="A17">
        <v>144582</v>
      </c>
      <c r="B17" s="1" t="s">
        <v>75</v>
      </c>
      <c r="C17">
        <v>80</v>
      </c>
      <c r="D17">
        <v>11121001</v>
      </c>
      <c r="E17">
        <v>121001</v>
      </c>
      <c r="F17" s="1" t="s">
        <v>76</v>
      </c>
      <c r="G17" s="1" t="s">
        <v>214</v>
      </c>
      <c r="I17" s="1" t="s">
        <v>78</v>
      </c>
      <c r="J17" s="1" t="s">
        <v>215</v>
      </c>
      <c r="K17" s="1" t="s">
        <v>216</v>
      </c>
      <c r="L17" t="s">
        <v>91</v>
      </c>
      <c r="M17" t="s">
        <v>91</v>
      </c>
      <c r="N17" s="1" t="s">
        <v>217</v>
      </c>
      <c r="O17" t="s">
        <v>91</v>
      </c>
      <c r="P17" s="1" t="s">
        <v>218</v>
      </c>
      <c r="Q17" s="1" t="s">
        <v>219</v>
      </c>
      <c r="R17" s="1" t="s">
        <v>220</v>
      </c>
      <c r="S17">
        <v>1280</v>
      </c>
      <c r="T17">
        <v>89240000</v>
      </c>
      <c r="U17" s="1" t="s">
        <v>221</v>
      </c>
      <c r="V17" s="1" t="s">
        <v>222</v>
      </c>
      <c r="W17" s="1" t="s">
        <v>87</v>
      </c>
      <c r="X17">
        <v>47</v>
      </c>
      <c r="Y17">
        <v>34441251</v>
      </c>
      <c r="Z17" t="s">
        <v>91</v>
      </c>
      <c r="AA17" t="s">
        <v>91</v>
      </c>
      <c r="AB17" t="s">
        <v>91</v>
      </c>
      <c r="AC17" t="s">
        <v>91</v>
      </c>
      <c r="AD17" t="s">
        <v>91</v>
      </c>
      <c r="AE17" t="s">
        <v>91</v>
      </c>
      <c r="AF17" t="s">
        <v>91</v>
      </c>
      <c r="AG17" s="1" t="s">
        <v>91</v>
      </c>
      <c r="AH17" s="1" t="s">
        <v>91</v>
      </c>
      <c r="AI17" t="s">
        <v>91</v>
      </c>
      <c r="AM17" t="s">
        <v>91</v>
      </c>
      <c r="AN17" t="s">
        <v>91</v>
      </c>
      <c r="AO17" t="s">
        <v>91</v>
      </c>
      <c r="AP17" t="s">
        <v>91</v>
      </c>
      <c r="AQ17" s="1" t="s">
        <v>91</v>
      </c>
      <c r="AR17" s="1" t="s">
        <v>91</v>
      </c>
      <c r="AS17" s="1" t="s">
        <v>91</v>
      </c>
      <c r="AT17" s="1" t="s">
        <v>91</v>
      </c>
      <c r="AU17" s="1" t="s">
        <v>91</v>
      </c>
      <c r="AV17" t="s">
        <v>91</v>
      </c>
      <c r="AW17" t="s">
        <v>91</v>
      </c>
      <c r="AX17" t="s">
        <v>91</v>
      </c>
      <c r="AY17" t="s">
        <v>91</v>
      </c>
      <c r="AZ17" t="s">
        <v>91</v>
      </c>
      <c r="BA17" t="s">
        <v>91</v>
      </c>
      <c r="BB17" s="2"/>
      <c r="BC17" s="2"/>
      <c r="BD17" t="s">
        <v>91</v>
      </c>
      <c r="BF17" s="1" t="s">
        <v>75</v>
      </c>
      <c r="BI17" s="1" t="s">
        <v>88</v>
      </c>
      <c r="BJ17">
        <v>1</v>
      </c>
      <c r="BK17" s="1" t="s">
        <v>89</v>
      </c>
      <c r="BL17" t="s">
        <v>91</v>
      </c>
      <c r="BM17" s="1" t="s">
        <v>109</v>
      </c>
      <c r="BN17" s="1" t="s">
        <v>110</v>
      </c>
      <c r="BO17" s="1" t="s">
        <v>111</v>
      </c>
      <c r="BP17" s="1" t="s">
        <v>91</v>
      </c>
      <c r="BQ17" t="s">
        <v>91</v>
      </c>
      <c r="BR17" s="3"/>
      <c r="BS17" s="3"/>
      <c r="BT17" t="s">
        <v>91</v>
      </c>
      <c r="BU17" t="s">
        <v>91</v>
      </c>
      <c r="BV17">
        <v>9</v>
      </c>
      <c r="BW17" s="1" t="s">
        <v>90</v>
      </c>
    </row>
    <row r="18" spans="1:75" x14ac:dyDescent="0.35">
      <c r="A18">
        <v>157531</v>
      </c>
      <c r="B18" s="1" t="s">
        <v>75</v>
      </c>
      <c r="C18">
        <v>80</v>
      </c>
      <c r="D18">
        <v>11121001</v>
      </c>
      <c r="E18">
        <v>121001</v>
      </c>
      <c r="F18" s="1" t="s">
        <v>76</v>
      </c>
      <c r="G18" s="1" t="s">
        <v>223</v>
      </c>
      <c r="H18">
        <v>0</v>
      </c>
      <c r="I18" s="1" t="s">
        <v>78</v>
      </c>
      <c r="J18" s="1" t="s">
        <v>224</v>
      </c>
      <c r="K18" s="1" t="s">
        <v>225</v>
      </c>
      <c r="L18" t="s">
        <v>91</v>
      </c>
      <c r="M18" t="s">
        <v>91</v>
      </c>
      <c r="N18" s="1" t="s">
        <v>226</v>
      </c>
      <c r="O18" t="s">
        <v>91</v>
      </c>
      <c r="P18" s="1" t="s">
        <v>227</v>
      </c>
      <c r="Q18" s="1" t="s">
        <v>228</v>
      </c>
      <c r="R18" s="1" t="s">
        <v>229</v>
      </c>
      <c r="S18">
        <v>1287</v>
      </c>
      <c r="T18">
        <v>89802132</v>
      </c>
      <c r="U18" s="1" t="s">
        <v>108</v>
      </c>
      <c r="V18" s="1" t="s">
        <v>86</v>
      </c>
      <c r="W18" s="1" t="s">
        <v>87</v>
      </c>
      <c r="X18">
        <v>49</v>
      </c>
      <c r="Y18">
        <v>33224017</v>
      </c>
      <c r="Z18" t="s">
        <v>91</v>
      </c>
      <c r="AA18" t="s">
        <v>91</v>
      </c>
      <c r="AB18" t="s">
        <v>91</v>
      </c>
      <c r="AC18" t="s">
        <v>91</v>
      </c>
      <c r="AD18" t="s">
        <v>91</v>
      </c>
      <c r="AE18" t="s">
        <v>91</v>
      </c>
      <c r="AF18" t="s">
        <v>91</v>
      </c>
      <c r="AG18" s="1" t="s">
        <v>91</v>
      </c>
      <c r="AH18" s="1" t="s">
        <v>91</v>
      </c>
      <c r="AI18" t="s">
        <v>91</v>
      </c>
      <c r="AM18" t="s">
        <v>91</v>
      </c>
      <c r="AN18" t="s">
        <v>91</v>
      </c>
      <c r="AO18" t="s">
        <v>91</v>
      </c>
      <c r="AP18" t="s">
        <v>91</v>
      </c>
      <c r="AQ18" s="1" t="s">
        <v>91</v>
      </c>
      <c r="AR18" s="1" t="s">
        <v>91</v>
      </c>
      <c r="AS18" s="1" t="s">
        <v>91</v>
      </c>
      <c r="AT18" s="1" t="s">
        <v>91</v>
      </c>
      <c r="AU18" s="1" t="s">
        <v>91</v>
      </c>
      <c r="AV18" t="s">
        <v>91</v>
      </c>
      <c r="AW18" t="s">
        <v>91</v>
      </c>
      <c r="AX18" t="s">
        <v>91</v>
      </c>
      <c r="AY18" t="s">
        <v>91</v>
      </c>
      <c r="AZ18" t="s">
        <v>91</v>
      </c>
      <c r="BA18" t="s">
        <v>91</v>
      </c>
      <c r="BB18" s="2">
        <v>45118.093391203707</v>
      </c>
      <c r="BC18" s="2"/>
      <c r="BD18" t="s">
        <v>91</v>
      </c>
      <c r="BF18" s="1" t="s">
        <v>75</v>
      </c>
      <c r="BI18" s="1" t="s">
        <v>88</v>
      </c>
      <c r="BJ18">
        <v>1</v>
      </c>
      <c r="BK18" s="1" t="s">
        <v>89</v>
      </c>
      <c r="BL18" t="s">
        <v>91</v>
      </c>
      <c r="BM18" s="1" t="s">
        <v>91</v>
      </c>
      <c r="BN18" s="1" t="s">
        <v>91</v>
      </c>
      <c r="BO18" s="1" t="s">
        <v>91</v>
      </c>
      <c r="BP18" s="1" t="s">
        <v>91</v>
      </c>
      <c r="BQ18" t="s">
        <v>91</v>
      </c>
      <c r="BR18" s="3">
        <v>45118</v>
      </c>
      <c r="BS18" s="3"/>
      <c r="BT18" t="s">
        <v>91</v>
      </c>
      <c r="BU18" t="s">
        <v>91</v>
      </c>
      <c r="BW18" s="1" t="s">
        <v>90</v>
      </c>
    </row>
    <row r="19" spans="1:75" x14ac:dyDescent="0.35">
      <c r="A19">
        <v>144841</v>
      </c>
      <c r="B19" s="1" t="s">
        <v>75</v>
      </c>
      <c r="C19">
        <v>80</v>
      </c>
      <c r="D19">
        <v>11121001</v>
      </c>
      <c r="E19">
        <v>121001</v>
      </c>
      <c r="F19" s="1" t="s">
        <v>76</v>
      </c>
      <c r="G19" s="1" t="s">
        <v>230</v>
      </c>
      <c r="I19" s="1" t="s">
        <v>78</v>
      </c>
      <c r="J19" s="1" t="s">
        <v>231</v>
      </c>
      <c r="K19" s="1" t="s">
        <v>232</v>
      </c>
      <c r="L19" t="s">
        <v>91</v>
      </c>
      <c r="M19" t="s">
        <v>91</v>
      </c>
      <c r="N19" s="1" t="s">
        <v>233</v>
      </c>
      <c r="O19" t="s">
        <v>91</v>
      </c>
      <c r="P19" s="1" t="s">
        <v>234</v>
      </c>
      <c r="Q19" s="1" t="s">
        <v>235</v>
      </c>
      <c r="R19" s="1" t="s">
        <v>236</v>
      </c>
      <c r="S19">
        <v>1279</v>
      </c>
      <c r="T19">
        <v>89219200</v>
      </c>
      <c r="U19" s="1" t="s">
        <v>237</v>
      </c>
      <c r="V19" s="1" t="s">
        <v>100</v>
      </c>
      <c r="W19" s="1" t="s">
        <v>87</v>
      </c>
      <c r="X19">
        <v>47</v>
      </c>
      <c r="Y19">
        <v>32782313</v>
      </c>
      <c r="Z19" t="s">
        <v>91</v>
      </c>
      <c r="AA19" t="s">
        <v>91</v>
      </c>
      <c r="AB19" t="s">
        <v>91</v>
      </c>
      <c r="AC19" t="s">
        <v>91</v>
      </c>
      <c r="AD19" t="s">
        <v>91</v>
      </c>
      <c r="AE19" t="s">
        <v>91</v>
      </c>
      <c r="AF19" t="s">
        <v>91</v>
      </c>
      <c r="AG19" s="1" t="s">
        <v>91</v>
      </c>
      <c r="AH19" s="1" t="s">
        <v>91</v>
      </c>
      <c r="AI19" t="s">
        <v>91</v>
      </c>
      <c r="AM19" t="s">
        <v>91</v>
      </c>
      <c r="AN19" t="s">
        <v>91</v>
      </c>
      <c r="AO19" t="s">
        <v>91</v>
      </c>
      <c r="AP19" t="s">
        <v>91</v>
      </c>
      <c r="AQ19" s="1" t="s">
        <v>91</v>
      </c>
      <c r="AR19" s="1" t="s">
        <v>91</v>
      </c>
      <c r="AS19" s="1" t="s">
        <v>91</v>
      </c>
      <c r="AT19" s="1" t="s">
        <v>91</v>
      </c>
      <c r="AU19" s="1" t="s">
        <v>91</v>
      </c>
      <c r="AV19" t="s">
        <v>91</v>
      </c>
      <c r="AW19" t="s">
        <v>91</v>
      </c>
      <c r="AX19" t="s">
        <v>91</v>
      </c>
      <c r="AY19" t="s">
        <v>91</v>
      </c>
      <c r="AZ19" t="s">
        <v>91</v>
      </c>
      <c r="BA19" t="s">
        <v>91</v>
      </c>
      <c r="BB19" s="2"/>
      <c r="BC19" s="2"/>
      <c r="BD19" t="s">
        <v>91</v>
      </c>
      <c r="BF19" s="1" t="s">
        <v>75</v>
      </c>
      <c r="BI19" s="1" t="s">
        <v>88</v>
      </c>
      <c r="BJ19">
        <v>1</v>
      </c>
      <c r="BK19" s="1" t="s">
        <v>89</v>
      </c>
      <c r="BL19" t="s">
        <v>91</v>
      </c>
      <c r="BM19" s="1" t="s">
        <v>91</v>
      </c>
      <c r="BN19" s="1" t="s">
        <v>91</v>
      </c>
      <c r="BO19" s="1" t="s">
        <v>180</v>
      </c>
      <c r="BP19" s="1" t="s">
        <v>91</v>
      </c>
      <c r="BQ19" t="s">
        <v>91</v>
      </c>
      <c r="BR19" s="3"/>
      <c r="BS19" s="3"/>
      <c r="BT19" t="s">
        <v>91</v>
      </c>
      <c r="BU19" t="s">
        <v>91</v>
      </c>
      <c r="BW19" s="1" t="s">
        <v>238</v>
      </c>
    </row>
    <row r="20" spans="1:75" x14ac:dyDescent="0.35">
      <c r="A20">
        <v>158727</v>
      </c>
      <c r="B20" s="1" t="s">
        <v>75</v>
      </c>
      <c r="C20">
        <v>80</v>
      </c>
      <c r="D20">
        <v>11121001</v>
      </c>
      <c r="E20">
        <v>121001</v>
      </c>
      <c r="F20" s="1" t="s">
        <v>76</v>
      </c>
      <c r="G20" s="1" t="s">
        <v>239</v>
      </c>
      <c r="I20" s="1" t="s">
        <v>78</v>
      </c>
      <c r="J20" s="1" t="s">
        <v>240</v>
      </c>
      <c r="K20" s="1" t="s">
        <v>241</v>
      </c>
      <c r="L20" t="s">
        <v>91</v>
      </c>
      <c r="M20" t="s">
        <v>91</v>
      </c>
      <c r="N20" s="1" t="s">
        <v>242</v>
      </c>
      <c r="O20" t="s">
        <v>91</v>
      </c>
      <c r="P20" s="1" t="s">
        <v>243</v>
      </c>
      <c r="Q20" s="1" t="s">
        <v>244</v>
      </c>
      <c r="R20" s="1" t="s">
        <v>245</v>
      </c>
      <c r="S20">
        <v>1288</v>
      </c>
      <c r="T20">
        <v>89887000</v>
      </c>
      <c r="U20" s="1" t="s">
        <v>108</v>
      </c>
      <c r="V20" s="1" t="s">
        <v>246</v>
      </c>
      <c r="W20" s="1" t="s">
        <v>87</v>
      </c>
      <c r="X20">
        <v>49</v>
      </c>
      <c r="Y20">
        <v>36479810</v>
      </c>
      <c r="Z20" t="s">
        <v>91</v>
      </c>
      <c r="AA20" t="s">
        <v>91</v>
      </c>
      <c r="AB20" t="s">
        <v>91</v>
      </c>
      <c r="AC20" t="s">
        <v>91</v>
      </c>
      <c r="AD20" t="s">
        <v>91</v>
      </c>
      <c r="AE20" t="s">
        <v>91</v>
      </c>
      <c r="AF20" t="s">
        <v>91</v>
      </c>
      <c r="AG20" s="1" t="s">
        <v>91</v>
      </c>
      <c r="AH20" s="1" t="s">
        <v>91</v>
      </c>
      <c r="AI20" t="s">
        <v>91</v>
      </c>
      <c r="AM20" t="s">
        <v>91</v>
      </c>
      <c r="AN20" t="s">
        <v>91</v>
      </c>
      <c r="AO20" t="s">
        <v>91</v>
      </c>
      <c r="AP20" t="s">
        <v>91</v>
      </c>
      <c r="AQ20" s="1" t="s">
        <v>91</v>
      </c>
      <c r="AR20" s="1" t="s">
        <v>91</v>
      </c>
      <c r="AS20" s="1" t="s">
        <v>91</v>
      </c>
      <c r="AT20" s="1" t="s">
        <v>91</v>
      </c>
      <c r="AU20" s="1" t="s">
        <v>91</v>
      </c>
      <c r="AV20" t="s">
        <v>91</v>
      </c>
      <c r="AW20" t="s">
        <v>91</v>
      </c>
      <c r="AX20" t="s">
        <v>91</v>
      </c>
      <c r="AY20" t="s">
        <v>91</v>
      </c>
      <c r="AZ20" t="s">
        <v>91</v>
      </c>
      <c r="BA20" t="s">
        <v>91</v>
      </c>
      <c r="BB20" s="2">
        <v>45155.700069444443</v>
      </c>
      <c r="BC20" s="2"/>
      <c r="BD20" t="s">
        <v>91</v>
      </c>
      <c r="BF20" s="1" t="s">
        <v>75</v>
      </c>
      <c r="BI20" s="1" t="s">
        <v>88</v>
      </c>
      <c r="BJ20">
        <v>1</v>
      </c>
      <c r="BK20" s="1" t="s">
        <v>89</v>
      </c>
      <c r="BL20" t="s">
        <v>91</v>
      </c>
      <c r="BM20" s="1" t="s">
        <v>91</v>
      </c>
      <c r="BN20" s="1" t="s">
        <v>91</v>
      </c>
      <c r="BO20" s="1" t="s">
        <v>91</v>
      </c>
      <c r="BP20" s="1" t="s">
        <v>91</v>
      </c>
      <c r="BQ20" t="s">
        <v>91</v>
      </c>
      <c r="BR20" s="3">
        <v>45155</v>
      </c>
      <c r="BS20" s="3"/>
      <c r="BT20" t="s">
        <v>91</v>
      </c>
      <c r="BU20" t="s">
        <v>91</v>
      </c>
      <c r="BW20" s="1" t="s">
        <v>247</v>
      </c>
    </row>
    <row r="21" spans="1:75" x14ac:dyDescent="0.35">
      <c r="A21">
        <v>156744</v>
      </c>
      <c r="B21" s="1" t="s">
        <v>75</v>
      </c>
      <c r="C21">
        <v>80</v>
      </c>
      <c r="D21">
        <v>11121001</v>
      </c>
      <c r="E21">
        <v>121001</v>
      </c>
      <c r="F21" s="1" t="s">
        <v>76</v>
      </c>
      <c r="G21" s="1" t="s">
        <v>248</v>
      </c>
      <c r="H21">
        <v>0</v>
      </c>
      <c r="I21" s="1" t="s">
        <v>78</v>
      </c>
      <c r="J21" s="1" t="s">
        <v>249</v>
      </c>
      <c r="K21" s="1" t="s">
        <v>250</v>
      </c>
      <c r="L21" t="s">
        <v>91</v>
      </c>
      <c r="M21" t="s">
        <v>91</v>
      </c>
      <c r="N21" s="1" t="s">
        <v>251</v>
      </c>
      <c r="O21" t="s">
        <v>91</v>
      </c>
      <c r="P21" s="1" t="s">
        <v>252</v>
      </c>
      <c r="Q21" s="1" t="s">
        <v>253</v>
      </c>
      <c r="R21" s="1" t="s">
        <v>254</v>
      </c>
      <c r="S21">
        <v>1277</v>
      </c>
      <c r="T21">
        <v>89201330</v>
      </c>
      <c r="U21" s="1" t="s">
        <v>108</v>
      </c>
      <c r="V21" s="1" t="s">
        <v>100</v>
      </c>
      <c r="W21" s="1" t="s">
        <v>87</v>
      </c>
      <c r="X21">
        <v>47</v>
      </c>
      <c r="Y21">
        <v>996691744</v>
      </c>
      <c r="Z21" t="s">
        <v>91</v>
      </c>
      <c r="AA21" t="s">
        <v>91</v>
      </c>
      <c r="AB21" t="s">
        <v>91</v>
      </c>
      <c r="AC21" t="s">
        <v>91</v>
      </c>
      <c r="AD21" t="s">
        <v>91</v>
      </c>
      <c r="AE21" t="s">
        <v>91</v>
      </c>
      <c r="AF21" t="s">
        <v>91</v>
      </c>
      <c r="AG21" s="1" t="s">
        <v>91</v>
      </c>
      <c r="AH21" s="1" t="s">
        <v>91</v>
      </c>
      <c r="AI21" t="s">
        <v>91</v>
      </c>
      <c r="AM21" t="s">
        <v>91</v>
      </c>
      <c r="AN21" t="s">
        <v>91</v>
      </c>
      <c r="AO21" t="s">
        <v>91</v>
      </c>
      <c r="AP21" t="s">
        <v>91</v>
      </c>
      <c r="AQ21" s="1" t="s">
        <v>91</v>
      </c>
      <c r="AR21" s="1" t="s">
        <v>91</v>
      </c>
      <c r="AS21" s="1" t="s">
        <v>91</v>
      </c>
      <c r="AT21" s="1" t="s">
        <v>91</v>
      </c>
      <c r="AU21" s="1" t="s">
        <v>91</v>
      </c>
      <c r="AV21" t="s">
        <v>91</v>
      </c>
      <c r="AW21" t="s">
        <v>91</v>
      </c>
      <c r="AX21" t="s">
        <v>91</v>
      </c>
      <c r="AY21" t="s">
        <v>91</v>
      </c>
      <c r="AZ21" t="s">
        <v>91</v>
      </c>
      <c r="BA21" t="s">
        <v>91</v>
      </c>
      <c r="BB21" s="2">
        <v>45113.505416666667</v>
      </c>
      <c r="BC21" s="2"/>
      <c r="BD21" t="s">
        <v>91</v>
      </c>
      <c r="BF21" s="1" t="s">
        <v>75</v>
      </c>
      <c r="BI21" s="1" t="s">
        <v>88</v>
      </c>
      <c r="BJ21">
        <v>1</v>
      </c>
      <c r="BK21" s="1" t="s">
        <v>89</v>
      </c>
      <c r="BL21" t="s">
        <v>91</v>
      </c>
      <c r="BM21" s="1" t="s">
        <v>91</v>
      </c>
      <c r="BN21" s="1" t="s">
        <v>91</v>
      </c>
      <c r="BO21" s="1" t="s">
        <v>91</v>
      </c>
      <c r="BP21" s="1" t="s">
        <v>91</v>
      </c>
      <c r="BQ21" t="s">
        <v>91</v>
      </c>
      <c r="BR21" s="3">
        <v>45113</v>
      </c>
      <c r="BS21" s="3"/>
      <c r="BT21" t="s">
        <v>91</v>
      </c>
      <c r="BU21" t="s">
        <v>91</v>
      </c>
      <c r="BW21" s="1" t="s">
        <v>255</v>
      </c>
    </row>
    <row r="22" spans="1:75" x14ac:dyDescent="0.35">
      <c r="A22">
        <v>144592</v>
      </c>
      <c r="B22" s="1" t="s">
        <v>75</v>
      </c>
      <c r="C22">
        <v>80</v>
      </c>
      <c r="D22">
        <v>11121001</v>
      </c>
      <c r="E22">
        <v>121001</v>
      </c>
      <c r="F22" s="1" t="s">
        <v>76</v>
      </c>
      <c r="G22" s="1" t="s">
        <v>256</v>
      </c>
      <c r="I22" s="1" t="s">
        <v>78</v>
      </c>
      <c r="J22" s="1" t="s">
        <v>257</v>
      </c>
      <c r="K22" s="1" t="s">
        <v>258</v>
      </c>
      <c r="L22" t="s">
        <v>91</v>
      </c>
      <c r="M22" t="s">
        <v>91</v>
      </c>
      <c r="N22" s="1" t="s">
        <v>259</v>
      </c>
      <c r="O22" t="s">
        <v>91</v>
      </c>
      <c r="P22" s="1" t="s">
        <v>260</v>
      </c>
      <c r="Q22" s="1" t="s">
        <v>261</v>
      </c>
      <c r="R22" s="1" t="s">
        <v>91</v>
      </c>
      <c r="S22">
        <v>1280</v>
      </c>
      <c r="T22">
        <v>89278000</v>
      </c>
      <c r="U22" s="1" t="s">
        <v>108</v>
      </c>
      <c r="V22" s="1" t="s">
        <v>262</v>
      </c>
      <c r="W22" s="1" t="s">
        <v>87</v>
      </c>
      <c r="X22">
        <v>47</v>
      </c>
      <c r="Y22">
        <v>33751582</v>
      </c>
      <c r="Z22" t="s">
        <v>91</v>
      </c>
      <c r="AA22" t="s">
        <v>91</v>
      </c>
      <c r="AB22" t="s">
        <v>91</v>
      </c>
      <c r="AC22" t="s">
        <v>91</v>
      </c>
      <c r="AD22" t="s">
        <v>91</v>
      </c>
      <c r="AE22" t="s">
        <v>91</v>
      </c>
      <c r="AF22" t="s">
        <v>91</v>
      </c>
      <c r="AG22" s="1" t="s">
        <v>91</v>
      </c>
      <c r="AH22" s="1" t="s">
        <v>91</v>
      </c>
      <c r="AI22" t="s">
        <v>91</v>
      </c>
      <c r="AM22" t="s">
        <v>91</v>
      </c>
      <c r="AN22" t="s">
        <v>91</v>
      </c>
      <c r="AO22" t="s">
        <v>91</v>
      </c>
      <c r="AP22" t="s">
        <v>91</v>
      </c>
      <c r="AQ22" s="1" t="s">
        <v>91</v>
      </c>
      <c r="AR22" s="1" t="s">
        <v>91</v>
      </c>
      <c r="AS22" s="1" t="s">
        <v>91</v>
      </c>
      <c r="AT22" s="1" t="s">
        <v>91</v>
      </c>
      <c r="AU22" s="1" t="s">
        <v>91</v>
      </c>
      <c r="AV22" t="s">
        <v>91</v>
      </c>
      <c r="AW22" t="s">
        <v>91</v>
      </c>
      <c r="AX22" t="s">
        <v>91</v>
      </c>
      <c r="AY22" t="s">
        <v>91</v>
      </c>
      <c r="AZ22" t="s">
        <v>91</v>
      </c>
      <c r="BA22" t="s">
        <v>91</v>
      </c>
      <c r="BB22" s="2"/>
      <c r="BC22" s="2"/>
      <c r="BD22" t="s">
        <v>91</v>
      </c>
      <c r="BF22" s="1" t="s">
        <v>75</v>
      </c>
      <c r="BI22" s="1" t="s">
        <v>88</v>
      </c>
      <c r="BJ22">
        <v>1</v>
      </c>
      <c r="BK22" s="1" t="s">
        <v>89</v>
      </c>
      <c r="BL22" t="s">
        <v>91</v>
      </c>
      <c r="BM22" s="1" t="s">
        <v>109</v>
      </c>
      <c r="BN22" s="1" t="s">
        <v>110</v>
      </c>
      <c r="BO22" s="1" t="s">
        <v>111</v>
      </c>
      <c r="BP22" s="1" t="s">
        <v>91</v>
      </c>
      <c r="BQ22" t="s">
        <v>91</v>
      </c>
      <c r="BR22" s="3"/>
      <c r="BS22" s="3"/>
      <c r="BT22" t="s">
        <v>91</v>
      </c>
      <c r="BU22" t="s">
        <v>91</v>
      </c>
      <c r="BV22">
        <v>8</v>
      </c>
      <c r="BW22" s="1" t="s">
        <v>263</v>
      </c>
    </row>
    <row r="23" spans="1:75" x14ac:dyDescent="0.35">
      <c r="A23">
        <v>120562</v>
      </c>
      <c r="B23" s="1" t="s">
        <v>75</v>
      </c>
      <c r="C23">
        <v>80</v>
      </c>
      <c r="D23">
        <v>11121001</v>
      </c>
      <c r="E23">
        <v>121001</v>
      </c>
      <c r="F23" s="1" t="s">
        <v>76</v>
      </c>
      <c r="G23" s="1" t="s">
        <v>264</v>
      </c>
      <c r="H23">
        <v>0</v>
      </c>
      <c r="I23" s="1" t="s">
        <v>78</v>
      </c>
      <c r="J23" s="1" t="s">
        <v>265</v>
      </c>
      <c r="K23" s="1" t="s">
        <v>266</v>
      </c>
      <c r="L23" t="s">
        <v>91</v>
      </c>
      <c r="M23" t="s">
        <v>91</v>
      </c>
      <c r="N23" s="1" t="s">
        <v>267</v>
      </c>
      <c r="O23" t="s">
        <v>91</v>
      </c>
      <c r="P23" s="1" t="s">
        <v>125</v>
      </c>
      <c r="Q23" s="1" t="s">
        <v>268</v>
      </c>
      <c r="R23" s="1" t="s">
        <v>91</v>
      </c>
      <c r="S23">
        <v>1277</v>
      </c>
      <c r="T23">
        <v>89201010</v>
      </c>
      <c r="U23" s="1" t="s">
        <v>108</v>
      </c>
      <c r="V23" s="1" t="s">
        <v>100</v>
      </c>
      <c r="W23" s="1" t="s">
        <v>87</v>
      </c>
      <c r="X23">
        <v>47</v>
      </c>
      <c r="Y23">
        <v>30272889</v>
      </c>
      <c r="Z23" t="s">
        <v>91</v>
      </c>
      <c r="AA23" t="s">
        <v>91</v>
      </c>
      <c r="AB23" t="s">
        <v>91</v>
      </c>
      <c r="AC23" t="s">
        <v>91</v>
      </c>
      <c r="AD23" t="s">
        <v>91</v>
      </c>
      <c r="AE23" t="s">
        <v>91</v>
      </c>
      <c r="AF23" t="s">
        <v>91</v>
      </c>
      <c r="AG23" s="1" t="s">
        <v>91</v>
      </c>
      <c r="AH23" s="1" t="s">
        <v>91</v>
      </c>
      <c r="AI23" t="s">
        <v>91</v>
      </c>
      <c r="AM23" t="s">
        <v>91</v>
      </c>
      <c r="AN23" t="s">
        <v>91</v>
      </c>
      <c r="AO23" t="s">
        <v>91</v>
      </c>
      <c r="AP23" t="s">
        <v>91</v>
      </c>
      <c r="AQ23" s="1" t="s">
        <v>91</v>
      </c>
      <c r="AR23" s="1" t="s">
        <v>91</v>
      </c>
      <c r="AS23" s="1" t="s">
        <v>91</v>
      </c>
      <c r="AT23" s="1" t="s">
        <v>91</v>
      </c>
      <c r="AU23" s="1" t="s">
        <v>91</v>
      </c>
      <c r="AV23" t="s">
        <v>91</v>
      </c>
      <c r="AW23" t="s">
        <v>91</v>
      </c>
      <c r="AX23" t="s">
        <v>91</v>
      </c>
      <c r="AY23" t="s">
        <v>91</v>
      </c>
      <c r="AZ23" t="s">
        <v>91</v>
      </c>
      <c r="BA23" t="s">
        <v>91</v>
      </c>
      <c r="BB23" s="2">
        <v>44096.645520833335</v>
      </c>
      <c r="BC23" s="2"/>
      <c r="BD23" t="s">
        <v>91</v>
      </c>
      <c r="BF23" s="1" t="s">
        <v>75</v>
      </c>
      <c r="BI23" s="1" t="s">
        <v>88</v>
      </c>
      <c r="BJ23">
        <v>1</v>
      </c>
      <c r="BK23" s="1" t="s">
        <v>89</v>
      </c>
      <c r="BL23" t="s">
        <v>91</v>
      </c>
      <c r="BM23" s="1" t="s">
        <v>109</v>
      </c>
      <c r="BN23" s="1" t="s">
        <v>110</v>
      </c>
      <c r="BO23" s="1" t="s">
        <v>180</v>
      </c>
      <c r="BP23" s="1" t="s">
        <v>91</v>
      </c>
      <c r="BQ23" t="s">
        <v>91</v>
      </c>
      <c r="BR23" s="3">
        <v>44096</v>
      </c>
      <c r="BS23" s="3"/>
      <c r="BT23" t="s">
        <v>91</v>
      </c>
      <c r="BU23" t="s">
        <v>91</v>
      </c>
      <c r="BV23">
        <v>9</v>
      </c>
      <c r="BW23" s="1" t="s">
        <v>90</v>
      </c>
    </row>
    <row r="24" spans="1:75" x14ac:dyDescent="0.35">
      <c r="A24">
        <v>156783</v>
      </c>
      <c r="B24" s="1" t="s">
        <v>75</v>
      </c>
      <c r="C24">
        <v>80</v>
      </c>
      <c r="D24">
        <v>11121001</v>
      </c>
      <c r="E24">
        <v>121001</v>
      </c>
      <c r="F24" s="1" t="s">
        <v>76</v>
      </c>
      <c r="G24" s="1" t="s">
        <v>269</v>
      </c>
      <c r="H24">
        <v>0</v>
      </c>
      <c r="I24" s="1" t="s">
        <v>78</v>
      </c>
      <c r="J24" s="1" t="s">
        <v>270</v>
      </c>
      <c r="K24" s="1" t="s">
        <v>271</v>
      </c>
      <c r="L24" t="s">
        <v>91</v>
      </c>
      <c r="M24" t="s">
        <v>91</v>
      </c>
      <c r="N24" s="1" t="s">
        <v>272</v>
      </c>
      <c r="O24" t="s">
        <v>91</v>
      </c>
      <c r="P24" s="1" t="s">
        <v>273</v>
      </c>
      <c r="Q24" s="1" t="s">
        <v>274</v>
      </c>
      <c r="R24" s="1" t="s">
        <v>275</v>
      </c>
      <c r="S24">
        <v>1280</v>
      </c>
      <c r="T24">
        <v>89295000</v>
      </c>
      <c r="U24" s="1" t="s">
        <v>108</v>
      </c>
      <c r="V24" s="1" t="s">
        <v>276</v>
      </c>
      <c r="W24" s="1" t="s">
        <v>87</v>
      </c>
      <c r="X24">
        <v>47</v>
      </c>
      <c r="Y24">
        <v>36447179</v>
      </c>
      <c r="Z24" t="s">
        <v>91</v>
      </c>
      <c r="AA24" t="s">
        <v>91</v>
      </c>
      <c r="AB24" t="s">
        <v>91</v>
      </c>
      <c r="AC24" t="s">
        <v>91</v>
      </c>
      <c r="AD24" t="s">
        <v>91</v>
      </c>
      <c r="AE24" t="s">
        <v>91</v>
      </c>
      <c r="AF24" t="s">
        <v>91</v>
      </c>
      <c r="AG24" s="1" t="s">
        <v>91</v>
      </c>
      <c r="AH24" s="1" t="s">
        <v>91</v>
      </c>
      <c r="AI24" t="s">
        <v>91</v>
      </c>
      <c r="AM24" t="s">
        <v>91</v>
      </c>
      <c r="AN24" t="s">
        <v>91</v>
      </c>
      <c r="AO24" t="s">
        <v>91</v>
      </c>
      <c r="AP24" t="s">
        <v>91</v>
      </c>
      <c r="AQ24" s="1" t="s">
        <v>91</v>
      </c>
      <c r="AR24" s="1" t="s">
        <v>91</v>
      </c>
      <c r="AS24" s="1" t="s">
        <v>91</v>
      </c>
      <c r="AT24" s="1" t="s">
        <v>91</v>
      </c>
      <c r="AU24" s="1" t="s">
        <v>91</v>
      </c>
      <c r="AV24" t="s">
        <v>91</v>
      </c>
      <c r="AW24" t="s">
        <v>91</v>
      </c>
      <c r="AX24" t="s">
        <v>91</v>
      </c>
      <c r="AY24" t="s">
        <v>91</v>
      </c>
      <c r="AZ24" t="s">
        <v>91</v>
      </c>
      <c r="BA24" t="s">
        <v>91</v>
      </c>
      <c r="BB24" s="2">
        <v>45113.505416666667</v>
      </c>
      <c r="BC24" s="2"/>
      <c r="BD24" t="s">
        <v>91</v>
      </c>
      <c r="BF24" s="1" t="s">
        <v>75</v>
      </c>
      <c r="BI24" s="1" t="s">
        <v>88</v>
      </c>
      <c r="BJ24">
        <v>1</v>
      </c>
      <c r="BK24" s="1" t="s">
        <v>89</v>
      </c>
      <c r="BL24" t="s">
        <v>91</v>
      </c>
      <c r="BM24" s="1" t="s">
        <v>91</v>
      </c>
      <c r="BN24" s="1" t="s">
        <v>91</v>
      </c>
      <c r="BO24" s="1" t="s">
        <v>91</v>
      </c>
      <c r="BP24" s="1" t="s">
        <v>91</v>
      </c>
      <c r="BQ24" t="s">
        <v>91</v>
      </c>
      <c r="BR24" s="3">
        <v>45113</v>
      </c>
      <c r="BS24" s="3"/>
      <c r="BT24" t="s">
        <v>91</v>
      </c>
      <c r="BU24" t="s">
        <v>91</v>
      </c>
      <c r="BW24" s="1" t="s">
        <v>90</v>
      </c>
    </row>
    <row r="25" spans="1:75" x14ac:dyDescent="0.35">
      <c r="A25">
        <v>156776</v>
      </c>
      <c r="B25" s="1" t="s">
        <v>75</v>
      </c>
      <c r="C25">
        <v>80</v>
      </c>
      <c r="D25">
        <v>11121001</v>
      </c>
      <c r="E25">
        <v>121001</v>
      </c>
      <c r="F25" s="1" t="s">
        <v>76</v>
      </c>
      <c r="G25" s="1" t="s">
        <v>277</v>
      </c>
      <c r="H25">
        <v>0</v>
      </c>
      <c r="I25" s="1" t="s">
        <v>78</v>
      </c>
      <c r="J25" s="1" t="s">
        <v>278</v>
      </c>
      <c r="K25" s="1" t="s">
        <v>279</v>
      </c>
      <c r="L25" t="s">
        <v>91</v>
      </c>
      <c r="M25" t="s">
        <v>91</v>
      </c>
      <c r="N25" s="1" t="s">
        <v>280</v>
      </c>
      <c r="O25" t="s">
        <v>91</v>
      </c>
      <c r="P25" s="1" t="s">
        <v>281</v>
      </c>
      <c r="Q25" s="1" t="s">
        <v>282</v>
      </c>
      <c r="R25" s="1" t="s">
        <v>91</v>
      </c>
      <c r="S25">
        <v>1279</v>
      </c>
      <c r="T25">
        <v>89239100</v>
      </c>
      <c r="U25" s="1" t="s">
        <v>283</v>
      </c>
      <c r="V25" s="1" t="s">
        <v>100</v>
      </c>
      <c r="W25" s="1" t="s">
        <v>87</v>
      </c>
      <c r="X25">
        <v>47</v>
      </c>
      <c r="Y25">
        <v>34679053</v>
      </c>
      <c r="Z25" t="s">
        <v>91</v>
      </c>
      <c r="AA25" t="s">
        <v>91</v>
      </c>
      <c r="AB25" t="s">
        <v>91</v>
      </c>
      <c r="AC25" t="s">
        <v>91</v>
      </c>
      <c r="AD25" t="s">
        <v>91</v>
      </c>
      <c r="AE25" t="s">
        <v>91</v>
      </c>
      <c r="AF25" t="s">
        <v>91</v>
      </c>
      <c r="AG25" s="1" t="s">
        <v>91</v>
      </c>
      <c r="AH25" s="1" t="s">
        <v>91</v>
      </c>
      <c r="AI25" t="s">
        <v>91</v>
      </c>
      <c r="AM25" t="s">
        <v>91</v>
      </c>
      <c r="AN25" t="s">
        <v>91</v>
      </c>
      <c r="AO25" t="s">
        <v>91</v>
      </c>
      <c r="AP25" t="s">
        <v>91</v>
      </c>
      <c r="AQ25" s="1" t="s">
        <v>91</v>
      </c>
      <c r="AR25" s="1" t="s">
        <v>91</v>
      </c>
      <c r="AS25" s="1" t="s">
        <v>91</v>
      </c>
      <c r="AT25" s="1" t="s">
        <v>91</v>
      </c>
      <c r="AU25" s="1" t="s">
        <v>91</v>
      </c>
      <c r="AV25" t="s">
        <v>91</v>
      </c>
      <c r="AW25" t="s">
        <v>91</v>
      </c>
      <c r="AX25" t="s">
        <v>91</v>
      </c>
      <c r="AY25" t="s">
        <v>91</v>
      </c>
      <c r="AZ25" t="s">
        <v>91</v>
      </c>
      <c r="BA25" t="s">
        <v>91</v>
      </c>
      <c r="BB25" s="2">
        <v>45113.505416666667</v>
      </c>
      <c r="BC25" s="2"/>
      <c r="BD25" t="s">
        <v>91</v>
      </c>
      <c r="BF25" s="1" t="s">
        <v>75</v>
      </c>
      <c r="BI25" s="1" t="s">
        <v>88</v>
      </c>
      <c r="BJ25">
        <v>1</v>
      </c>
      <c r="BK25" s="1" t="s">
        <v>89</v>
      </c>
      <c r="BL25" t="s">
        <v>91</v>
      </c>
      <c r="BM25" s="1" t="s">
        <v>91</v>
      </c>
      <c r="BN25" s="1" t="s">
        <v>91</v>
      </c>
      <c r="BO25" s="1" t="s">
        <v>91</v>
      </c>
      <c r="BP25" s="1" t="s">
        <v>91</v>
      </c>
      <c r="BQ25" t="s">
        <v>91</v>
      </c>
      <c r="BR25" s="3">
        <v>45113</v>
      </c>
      <c r="BS25" s="3"/>
      <c r="BT25" t="s">
        <v>91</v>
      </c>
      <c r="BU25" t="s">
        <v>91</v>
      </c>
      <c r="BW25" s="1" t="s">
        <v>90</v>
      </c>
    </row>
    <row r="26" spans="1:75" x14ac:dyDescent="0.35">
      <c r="A26">
        <v>127766</v>
      </c>
      <c r="B26" s="1" t="s">
        <v>75</v>
      </c>
      <c r="C26">
        <v>80</v>
      </c>
      <c r="D26">
        <v>11121001</v>
      </c>
      <c r="E26">
        <v>121001</v>
      </c>
      <c r="F26" s="1" t="s">
        <v>76</v>
      </c>
      <c r="G26" s="1" t="s">
        <v>284</v>
      </c>
      <c r="H26">
        <v>0</v>
      </c>
      <c r="I26" s="1" t="s">
        <v>78</v>
      </c>
      <c r="J26" s="1" t="s">
        <v>285</v>
      </c>
      <c r="K26" s="1" t="s">
        <v>286</v>
      </c>
      <c r="L26" t="s">
        <v>91</v>
      </c>
      <c r="M26" t="s">
        <v>91</v>
      </c>
      <c r="N26" s="1" t="s">
        <v>91</v>
      </c>
      <c r="O26" t="s">
        <v>91</v>
      </c>
      <c r="P26" s="1" t="s">
        <v>185</v>
      </c>
      <c r="Q26" s="1" t="s">
        <v>287</v>
      </c>
      <c r="R26" s="1" t="s">
        <v>236</v>
      </c>
      <c r="S26">
        <v>1279</v>
      </c>
      <c r="T26">
        <v>89229102</v>
      </c>
      <c r="U26" s="1" t="s">
        <v>188</v>
      </c>
      <c r="V26" s="1" t="s">
        <v>100</v>
      </c>
      <c r="W26" s="1" t="s">
        <v>87</v>
      </c>
      <c r="X26">
        <v>47</v>
      </c>
      <c r="Y26">
        <v>34296859</v>
      </c>
      <c r="Z26" t="s">
        <v>91</v>
      </c>
      <c r="AA26" t="s">
        <v>91</v>
      </c>
      <c r="AB26" t="s">
        <v>91</v>
      </c>
      <c r="AC26" t="s">
        <v>91</v>
      </c>
      <c r="AD26" t="s">
        <v>91</v>
      </c>
      <c r="AE26" t="s">
        <v>91</v>
      </c>
      <c r="AF26" t="s">
        <v>91</v>
      </c>
      <c r="AG26" s="1" t="s">
        <v>91</v>
      </c>
      <c r="AH26" s="1" t="s">
        <v>91</v>
      </c>
      <c r="AI26" t="s">
        <v>91</v>
      </c>
      <c r="AM26" t="s">
        <v>91</v>
      </c>
      <c r="AN26" t="s">
        <v>91</v>
      </c>
      <c r="AO26" t="s">
        <v>91</v>
      </c>
      <c r="AP26" t="s">
        <v>91</v>
      </c>
      <c r="AQ26" s="1" t="s">
        <v>91</v>
      </c>
      <c r="AR26" s="1" t="s">
        <v>91</v>
      </c>
      <c r="AS26" s="1" t="s">
        <v>91</v>
      </c>
      <c r="AT26" s="1" t="s">
        <v>91</v>
      </c>
      <c r="AU26" s="1" t="s">
        <v>91</v>
      </c>
      <c r="AV26" t="s">
        <v>91</v>
      </c>
      <c r="AW26" t="s">
        <v>91</v>
      </c>
      <c r="AX26" t="s">
        <v>91</v>
      </c>
      <c r="AY26" t="s">
        <v>91</v>
      </c>
      <c r="AZ26" t="s">
        <v>91</v>
      </c>
      <c r="BA26" t="s">
        <v>91</v>
      </c>
      <c r="BB26" s="2">
        <v>44111.380995370368</v>
      </c>
      <c r="BC26" s="2"/>
      <c r="BD26" t="s">
        <v>91</v>
      </c>
      <c r="BF26" s="1" t="s">
        <v>75</v>
      </c>
      <c r="BI26" s="1" t="s">
        <v>88</v>
      </c>
      <c r="BJ26">
        <v>1</v>
      </c>
      <c r="BK26" s="1" t="s">
        <v>89</v>
      </c>
      <c r="BL26" t="s">
        <v>91</v>
      </c>
      <c r="BM26" s="1" t="s">
        <v>109</v>
      </c>
      <c r="BN26" s="1" t="s">
        <v>110</v>
      </c>
      <c r="BO26" s="1" t="s">
        <v>180</v>
      </c>
      <c r="BP26" s="1" t="s">
        <v>91</v>
      </c>
      <c r="BQ26" t="s">
        <v>91</v>
      </c>
      <c r="BR26" s="3">
        <v>44111</v>
      </c>
      <c r="BS26" s="3"/>
      <c r="BT26" t="s">
        <v>91</v>
      </c>
      <c r="BU26" t="s">
        <v>91</v>
      </c>
      <c r="BV26">
        <v>9</v>
      </c>
      <c r="BW26" s="1" t="s">
        <v>90</v>
      </c>
    </row>
    <row r="27" spans="1:75" x14ac:dyDescent="0.35">
      <c r="A27">
        <v>144449</v>
      </c>
      <c r="B27" s="1" t="s">
        <v>75</v>
      </c>
      <c r="C27">
        <v>80</v>
      </c>
      <c r="D27">
        <v>11121001</v>
      </c>
      <c r="E27">
        <v>121001</v>
      </c>
      <c r="F27" s="1" t="s">
        <v>76</v>
      </c>
      <c r="G27" s="1" t="s">
        <v>288</v>
      </c>
      <c r="I27" s="1" t="s">
        <v>78</v>
      </c>
      <c r="J27" s="1" t="s">
        <v>289</v>
      </c>
      <c r="K27" s="1" t="s">
        <v>290</v>
      </c>
      <c r="L27" t="s">
        <v>91</v>
      </c>
      <c r="M27" t="s">
        <v>91</v>
      </c>
      <c r="N27" s="1" t="s">
        <v>291</v>
      </c>
      <c r="O27" t="s">
        <v>91</v>
      </c>
      <c r="P27" s="1" t="s">
        <v>292</v>
      </c>
      <c r="Q27" s="1" t="s">
        <v>293</v>
      </c>
      <c r="R27" s="1" t="s">
        <v>91</v>
      </c>
      <c r="S27">
        <v>1279</v>
      </c>
      <c r="T27">
        <v>89226000</v>
      </c>
      <c r="U27" s="1" t="s">
        <v>294</v>
      </c>
      <c r="V27" s="1" t="s">
        <v>100</v>
      </c>
      <c r="W27" s="1" t="s">
        <v>87</v>
      </c>
      <c r="X27">
        <v>47</v>
      </c>
      <c r="Y27">
        <v>34183690</v>
      </c>
      <c r="Z27" t="s">
        <v>91</v>
      </c>
      <c r="AA27" t="s">
        <v>91</v>
      </c>
      <c r="AB27" t="s">
        <v>91</v>
      </c>
      <c r="AC27" t="s">
        <v>91</v>
      </c>
      <c r="AD27" t="s">
        <v>91</v>
      </c>
      <c r="AE27" t="s">
        <v>91</v>
      </c>
      <c r="AF27" t="s">
        <v>91</v>
      </c>
      <c r="AG27" s="1" t="s">
        <v>91</v>
      </c>
      <c r="AH27" s="1" t="s">
        <v>91</v>
      </c>
      <c r="AI27" t="s">
        <v>91</v>
      </c>
      <c r="AJ27">
        <v>0</v>
      </c>
      <c r="AK27">
        <v>0</v>
      </c>
      <c r="AL27">
        <v>0</v>
      </c>
      <c r="AM27" t="s">
        <v>91</v>
      </c>
      <c r="AN27" t="s">
        <v>91</v>
      </c>
      <c r="AO27" t="s">
        <v>91</v>
      </c>
      <c r="AP27" t="s">
        <v>91</v>
      </c>
      <c r="AQ27" s="1" t="s">
        <v>91</v>
      </c>
      <c r="AR27" s="1" t="s">
        <v>91</v>
      </c>
      <c r="AS27" s="1" t="s">
        <v>91</v>
      </c>
      <c r="AT27" s="1" t="s">
        <v>91</v>
      </c>
      <c r="AU27" s="1" t="s">
        <v>91</v>
      </c>
      <c r="AV27" t="s">
        <v>91</v>
      </c>
      <c r="AW27" t="s">
        <v>91</v>
      </c>
      <c r="AX27" t="s">
        <v>91</v>
      </c>
      <c r="AY27" t="s">
        <v>91</v>
      </c>
      <c r="AZ27" t="s">
        <v>91</v>
      </c>
      <c r="BA27" t="s">
        <v>91</v>
      </c>
      <c r="BB27" s="2"/>
      <c r="BC27" s="2"/>
      <c r="BD27" t="s">
        <v>91</v>
      </c>
      <c r="BF27" s="1" t="s">
        <v>75</v>
      </c>
      <c r="BG27">
        <v>0</v>
      </c>
      <c r="BH27">
        <v>0</v>
      </c>
      <c r="BI27" s="1" t="s">
        <v>88</v>
      </c>
      <c r="BJ27">
        <v>1</v>
      </c>
      <c r="BK27" s="1" t="s">
        <v>89</v>
      </c>
      <c r="BL27" t="s">
        <v>91</v>
      </c>
      <c r="BM27" s="1" t="s">
        <v>109</v>
      </c>
      <c r="BN27" s="1" t="s">
        <v>110</v>
      </c>
      <c r="BO27" s="1" t="s">
        <v>128</v>
      </c>
      <c r="BP27" s="1" t="s">
        <v>91</v>
      </c>
      <c r="BQ27" t="s">
        <v>91</v>
      </c>
      <c r="BR27" s="3"/>
      <c r="BS27" s="3"/>
      <c r="BT27" t="s">
        <v>91</v>
      </c>
      <c r="BU27" t="s">
        <v>91</v>
      </c>
      <c r="BV27">
        <v>5</v>
      </c>
      <c r="BW27" s="1" t="s">
        <v>295</v>
      </c>
    </row>
    <row r="28" spans="1:75" x14ac:dyDescent="0.35">
      <c r="A28">
        <v>144663</v>
      </c>
      <c r="B28" s="1" t="s">
        <v>75</v>
      </c>
      <c r="C28">
        <v>80</v>
      </c>
      <c r="D28">
        <v>11121001</v>
      </c>
      <c r="E28">
        <v>121001</v>
      </c>
      <c r="F28" s="1" t="s">
        <v>76</v>
      </c>
      <c r="G28" s="1" t="s">
        <v>296</v>
      </c>
      <c r="I28" s="1" t="s">
        <v>78</v>
      </c>
      <c r="J28" s="1" t="s">
        <v>297</v>
      </c>
      <c r="K28" s="1" t="s">
        <v>298</v>
      </c>
      <c r="L28" t="s">
        <v>91</v>
      </c>
      <c r="M28" t="s">
        <v>91</v>
      </c>
      <c r="N28" s="1" t="s">
        <v>299</v>
      </c>
      <c r="O28" t="s">
        <v>91</v>
      </c>
      <c r="P28" s="1" t="s">
        <v>260</v>
      </c>
      <c r="Q28" s="1" t="s">
        <v>300</v>
      </c>
      <c r="R28" s="1" t="s">
        <v>301</v>
      </c>
      <c r="S28">
        <v>1280</v>
      </c>
      <c r="T28">
        <v>89251000</v>
      </c>
      <c r="U28" s="1" t="s">
        <v>108</v>
      </c>
      <c r="V28" s="1" t="s">
        <v>302</v>
      </c>
      <c r="W28" s="1" t="s">
        <v>87</v>
      </c>
      <c r="X28">
        <v>47</v>
      </c>
      <c r="Y28">
        <v>33732817</v>
      </c>
      <c r="Z28" t="s">
        <v>91</v>
      </c>
      <c r="AA28" t="s">
        <v>91</v>
      </c>
      <c r="AB28" t="s">
        <v>91</v>
      </c>
      <c r="AC28" t="s">
        <v>91</v>
      </c>
      <c r="AD28" t="s">
        <v>91</v>
      </c>
      <c r="AE28" t="s">
        <v>91</v>
      </c>
      <c r="AF28" t="s">
        <v>91</v>
      </c>
      <c r="AG28" s="1" t="s">
        <v>91</v>
      </c>
      <c r="AH28" s="1" t="s">
        <v>91</v>
      </c>
      <c r="AI28" t="s">
        <v>91</v>
      </c>
      <c r="AJ28">
        <v>0</v>
      </c>
      <c r="AK28">
        <v>0</v>
      </c>
      <c r="AL28">
        <v>0</v>
      </c>
      <c r="AM28" t="s">
        <v>91</v>
      </c>
      <c r="AN28" t="s">
        <v>91</v>
      </c>
      <c r="AO28" t="s">
        <v>91</v>
      </c>
      <c r="AP28" t="s">
        <v>91</v>
      </c>
      <c r="AQ28" s="1" t="s">
        <v>91</v>
      </c>
      <c r="AR28" s="1" t="s">
        <v>91</v>
      </c>
      <c r="AS28" s="1" t="s">
        <v>91</v>
      </c>
      <c r="AT28" s="1" t="s">
        <v>91</v>
      </c>
      <c r="AU28" s="1" t="s">
        <v>91</v>
      </c>
      <c r="AV28" t="s">
        <v>91</v>
      </c>
      <c r="AW28" t="s">
        <v>91</v>
      </c>
      <c r="AX28" t="s">
        <v>91</v>
      </c>
      <c r="AY28" t="s">
        <v>91</v>
      </c>
      <c r="AZ28" t="s">
        <v>91</v>
      </c>
      <c r="BA28" t="s">
        <v>91</v>
      </c>
      <c r="BB28" s="2"/>
      <c r="BC28" s="2"/>
      <c r="BD28" t="s">
        <v>91</v>
      </c>
      <c r="BF28" s="1" t="s">
        <v>75</v>
      </c>
      <c r="BG28">
        <v>0</v>
      </c>
      <c r="BH28">
        <v>0</v>
      </c>
      <c r="BI28" s="1" t="s">
        <v>88</v>
      </c>
      <c r="BJ28">
        <v>1</v>
      </c>
      <c r="BK28" s="1" t="s">
        <v>89</v>
      </c>
      <c r="BL28" t="s">
        <v>91</v>
      </c>
      <c r="BM28" s="1" t="s">
        <v>109</v>
      </c>
      <c r="BN28" s="1" t="s">
        <v>110</v>
      </c>
      <c r="BO28" s="1" t="s">
        <v>165</v>
      </c>
      <c r="BP28" s="1" t="s">
        <v>91</v>
      </c>
      <c r="BQ28" t="s">
        <v>91</v>
      </c>
      <c r="BR28" s="3"/>
      <c r="BS28" s="3"/>
      <c r="BT28" t="s">
        <v>91</v>
      </c>
      <c r="BU28" t="s">
        <v>91</v>
      </c>
      <c r="BV28">
        <v>9</v>
      </c>
      <c r="BW28" s="1" t="s">
        <v>90</v>
      </c>
    </row>
    <row r="29" spans="1:75" x14ac:dyDescent="0.35">
      <c r="A29">
        <v>144820</v>
      </c>
      <c r="B29" s="1" t="s">
        <v>75</v>
      </c>
      <c r="C29">
        <v>80</v>
      </c>
      <c r="D29">
        <v>11121001</v>
      </c>
      <c r="E29">
        <v>121001</v>
      </c>
      <c r="F29" s="1" t="s">
        <v>76</v>
      </c>
      <c r="G29" s="1" t="s">
        <v>303</v>
      </c>
      <c r="I29" s="1" t="s">
        <v>78</v>
      </c>
      <c r="J29" s="1" t="s">
        <v>304</v>
      </c>
      <c r="K29" s="1" t="s">
        <v>305</v>
      </c>
      <c r="L29" t="s">
        <v>91</v>
      </c>
      <c r="M29" t="s">
        <v>91</v>
      </c>
      <c r="N29" s="1" t="s">
        <v>306</v>
      </c>
      <c r="O29" t="s">
        <v>91</v>
      </c>
      <c r="P29" s="1" t="s">
        <v>185</v>
      </c>
      <c r="Q29" s="1" t="s">
        <v>287</v>
      </c>
      <c r="R29" s="1" t="s">
        <v>173</v>
      </c>
      <c r="S29">
        <v>1279</v>
      </c>
      <c r="T29">
        <v>89229102</v>
      </c>
      <c r="U29" s="1" t="s">
        <v>188</v>
      </c>
      <c r="V29" s="1" t="s">
        <v>100</v>
      </c>
      <c r="W29" s="1" t="s">
        <v>87</v>
      </c>
      <c r="X29">
        <v>47</v>
      </c>
      <c r="Y29">
        <v>30266732</v>
      </c>
      <c r="Z29" t="s">
        <v>91</v>
      </c>
      <c r="AA29" t="s">
        <v>91</v>
      </c>
      <c r="AB29" t="s">
        <v>91</v>
      </c>
      <c r="AC29" t="s">
        <v>91</v>
      </c>
      <c r="AD29" t="s">
        <v>91</v>
      </c>
      <c r="AE29" t="s">
        <v>91</v>
      </c>
      <c r="AF29" t="s">
        <v>91</v>
      </c>
      <c r="AG29" s="1" t="s">
        <v>91</v>
      </c>
      <c r="AH29" s="1" t="s">
        <v>91</v>
      </c>
      <c r="AI29" t="s">
        <v>91</v>
      </c>
      <c r="AM29" t="s">
        <v>91</v>
      </c>
      <c r="AN29" t="s">
        <v>91</v>
      </c>
      <c r="AO29" t="s">
        <v>91</v>
      </c>
      <c r="AP29" t="s">
        <v>91</v>
      </c>
      <c r="AQ29" s="1" t="s">
        <v>91</v>
      </c>
      <c r="AR29" s="1" t="s">
        <v>91</v>
      </c>
      <c r="AS29" s="1" t="s">
        <v>91</v>
      </c>
      <c r="AT29" s="1" t="s">
        <v>91</v>
      </c>
      <c r="AU29" s="1" t="s">
        <v>91</v>
      </c>
      <c r="AV29" t="s">
        <v>91</v>
      </c>
      <c r="AW29" t="s">
        <v>91</v>
      </c>
      <c r="AX29" t="s">
        <v>91</v>
      </c>
      <c r="AY29" t="s">
        <v>91</v>
      </c>
      <c r="AZ29" t="s">
        <v>91</v>
      </c>
      <c r="BA29" t="s">
        <v>91</v>
      </c>
      <c r="BB29" s="2"/>
      <c r="BC29" s="2"/>
      <c r="BD29" t="s">
        <v>91</v>
      </c>
      <c r="BF29" s="1" t="s">
        <v>75</v>
      </c>
      <c r="BI29" s="1" t="s">
        <v>88</v>
      </c>
      <c r="BJ29">
        <v>1</v>
      </c>
      <c r="BK29" s="1" t="s">
        <v>89</v>
      </c>
      <c r="BL29" t="s">
        <v>91</v>
      </c>
      <c r="BM29" s="1" t="s">
        <v>109</v>
      </c>
      <c r="BN29" s="1" t="s">
        <v>110</v>
      </c>
      <c r="BO29" s="1" t="s">
        <v>180</v>
      </c>
      <c r="BP29" s="1" t="s">
        <v>91</v>
      </c>
      <c r="BQ29" t="s">
        <v>91</v>
      </c>
      <c r="BR29" s="3"/>
      <c r="BS29" s="3"/>
      <c r="BT29" t="s">
        <v>91</v>
      </c>
      <c r="BU29" t="s">
        <v>91</v>
      </c>
      <c r="BW29" s="1" t="s">
        <v>295</v>
      </c>
    </row>
    <row r="30" spans="1:75" x14ac:dyDescent="0.35">
      <c r="A30">
        <v>845</v>
      </c>
      <c r="B30" s="1" t="s">
        <v>75</v>
      </c>
      <c r="C30">
        <v>80</v>
      </c>
      <c r="D30">
        <v>11121001</v>
      </c>
      <c r="E30">
        <v>121001</v>
      </c>
      <c r="F30" s="1" t="s">
        <v>76</v>
      </c>
      <c r="G30" s="1" t="s">
        <v>307</v>
      </c>
      <c r="I30" s="1" t="s">
        <v>78</v>
      </c>
      <c r="J30" s="1" t="s">
        <v>308</v>
      </c>
      <c r="K30" s="1" t="s">
        <v>309</v>
      </c>
      <c r="L30" t="s">
        <v>91</v>
      </c>
      <c r="M30" t="s">
        <v>91</v>
      </c>
      <c r="N30" s="1" t="s">
        <v>310</v>
      </c>
      <c r="O30" t="s">
        <v>91</v>
      </c>
      <c r="P30" s="1" t="s">
        <v>311</v>
      </c>
      <c r="Q30" s="1" t="s">
        <v>312</v>
      </c>
      <c r="R30" s="1" t="s">
        <v>236</v>
      </c>
      <c r="S30">
        <v>1281</v>
      </c>
      <c r="T30">
        <v>89300000</v>
      </c>
      <c r="U30" s="1" t="s">
        <v>313</v>
      </c>
      <c r="V30" s="1" t="s">
        <v>314</v>
      </c>
      <c r="W30" s="1" t="s">
        <v>87</v>
      </c>
      <c r="X30">
        <v>47</v>
      </c>
      <c r="Y30">
        <v>36421022</v>
      </c>
      <c r="Z30" t="s">
        <v>91</v>
      </c>
      <c r="AA30" t="s">
        <v>91</v>
      </c>
      <c r="AB30" t="s">
        <v>91</v>
      </c>
      <c r="AC30" t="s">
        <v>91</v>
      </c>
      <c r="AD30" t="s">
        <v>91</v>
      </c>
      <c r="AE30" t="s">
        <v>91</v>
      </c>
      <c r="AF30" t="s">
        <v>91</v>
      </c>
      <c r="AG30" s="1" t="s">
        <v>91</v>
      </c>
      <c r="AH30" s="1" t="s">
        <v>91</v>
      </c>
      <c r="AI30" t="s">
        <v>91</v>
      </c>
      <c r="AJ30">
        <v>0</v>
      </c>
      <c r="AK30">
        <v>0</v>
      </c>
      <c r="AL30">
        <v>0</v>
      </c>
      <c r="AM30" t="s">
        <v>91</v>
      </c>
      <c r="AN30" t="s">
        <v>91</v>
      </c>
      <c r="AO30" t="s">
        <v>91</v>
      </c>
      <c r="AP30" t="s">
        <v>91</v>
      </c>
      <c r="AQ30" s="1" t="s">
        <v>91</v>
      </c>
      <c r="AR30" s="1" t="s">
        <v>91</v>
      </c>
      <c r="AS30" s="1" t="s">
        <v>91</v>
      </c>
      <c r="AT30" s="1" t="s">
        <v>91</v>
      </c>
      <c r="AU30" s="1" t="s">
        <v>91</v>
      </c>
      <c r="AV30" t="s">
        <v>91</v>
      </c>
      <c r="AW30" t="s">
        <v>91</v>
      </c>
      <c r="AX30" t="s">
        <v>91</v>
      </c>
      <c r="AY30" t="s">
        <v>91</v>
      </c>
      <c r="AZ30" t="s">
        <v>91</v>
      </c>
      <c r="BA30" t="s">
        <v>91</v>
      </c>
      <c r="BB30" s="2">
        <v>43308.392962962964</v>
      </c>
      <c r="BC30" s="2"/>
      <c r="BD30" t="s">
        <v>91</v>
      </c>
      <c r="BE30">
        <v>845</v>
      </c>
      <c r="BF30" s="1" t="s">
        <v>75</v>
      </c>
      <c r="BG30">
        <v>0</v>
      </c>
      <c r="BH30">
        <v>0</v>
      </c>
      <c r="BI30" s="1" t="s">
        <v>88</v>
      </c>
      <c r="BJ30">
        <v>1</v>
      </c>
      <c r="BK30" s="1" t="s">
        <v>89</v>
      </c>
      <c r="BL30" t="s">
        <v>91</v>
      </c>
      <c r="BM30" s="1" t="s">
        <v>109</v>
      </c>
      <c r="BN30" s="1" t="s">
        <v>110</v>
      </c>
      <c r="BO30" s="1" t="s">
        <v>180</v>
      </c>
      <c r="BP30" s="1" t="s">
        <v>91</v>
      </c>
      <c r="BQ30" t="s">
        <v>91</v>
      </c>
      <c r="BR30" s="3">
        <v>43308</v>
      </c>
      <c r="BS30" s="3"/>
      <c r="BT30" t="s">
        <v>91</v>
      </c>
      <c r="BU30" t="s">
        <v>91</v>
      </c>
      <c r="BV30">
        <v>6</v>
      </c>
      <c r="BW30" s="1" t="s">
        <v>90</v>
      </c>
    </row>
    <row r="31" spans="1:75" x14ac:dyDescent="0.35">
      <c r="A31">
        <v>120539</v>
      </c>
      <c r="B31" s="1" t="s">
        <v>75</v>
      </c>
      <c r="C31">
        <v>80</v>
      </c>
      <c r="D31">
        <v>11121001</v>
      </c>
      <c r="E31">
        <v>121001</v>
      </c>
      <c r="F31" s="1" t="s">
        <v>76</v>
      </c>
      <c r="G31" s="1" t="s">
        <v>315</v>
      </c>
      <c r="H31">
        <v>0</v>
      </c>
      <c r="I31" s="1" t="s">
        <v>78</v>
      </c>
      <c r="J31" s="1" t="s">
        <v>316</v>
      </c>
      <c r="K31" s="1" t="s">
        <v>317</v>
      </c>
      <c r="L31" t="s">
        <v>91</v>
      </c>
      <c r="M31" t="s">
        <v>91</v>
      </c>
      <c r="N31" s="1" t="s">
        <v>91</v>
      </c>
      <c r="O31" t="s">
        <v>91</v>
      </c>
      <c r="P31" s="1" t="s">
        <v>318</v>
      </c>
      <c r="Q31" s="1" t="s">
        <v>319</v>
      </c>
      <c r="R31" s="1" t="s">
        <v>320</v>
      </c>
      <c r="S31">
        <v>1277</v>
      </c>
      <c r="T31">
        <v>89201090</v>
      </c>
      <c r="U31" s="1" t="s">
        <v>108</v>
      </c>
      <c r="V31" s="1" t="s">
        <v>100</v>
      </c>
      <c r="W31" s="1" t="s">
        <v>87</v>
      </c>
      <c r="X31">
        <v>47</v>
      </c>
      <c r="Y31">
        <v>34233424</v>
      </c>
      <c r="Z31" t="s">
        <v>91</v>
      </c>
      <c r="AA31" t="s">
        <v>91</v>
      </c>
      <c r="AB31" t="s">
        <v>91</v>
      </c>
      <c r="AC31" t="s">
        <v>91</v>
      </c>
      <c r="AD31" t="s">
        <v>91</v>
      </c>
      <c r="AE31" t="s">
        <v>91</v>
      </c>
      <c r="AF31" t="s">
        <v>91</v>
      </c>
      <c r="AG31" s="1" t="s">
        <v>91</v>
      </c>
      <c r="AH31" s="1" t="s">
        <v>91</v>
      </c>
      <c r="AI31" t="s">
        <v>91</v>
      </c>
      <c r="AM31" t="s">
        <v>91</v>
      </c>
      <c r="AN31" t="s">
        <v>91</v>
      </c>
      <c r="AO31" t="s">
        <v>91</v>
      </c>
      <c r="AP31" t="s">
        <v>91</v>
      </c>
      <c r="AQ31" s="1" t="s">
        <v>91</v>
      </c>
      <c r="AR31" s="1" t="s">
        <v>91</v>
      </c>
      <c r="AS31" s="1" t="s">
        <v>91</v>
      </c>
      <c r="AT31" s="1" t="s">
        <v>91</v>
      </c>
      <c r="AU31" s="1" t="s">
        <v>91</v>
      </c>
      <c r="AV31" t="s">
        <v>91</v>
      </c>
      <c r="AW31" t="s">
        <v>91</v>
      </c>
      <c r="AX31" t="s">
        <v>91</v>
      </c>
      <c r="AY31" t="s">
        <v>91</v>
      </c>
      <c r="AZ31" t="s">
        <v>91</v>
      </c>
      <c r="BA31" t="s">
        <v>91</v>
      </c>
      <c r="BB31" s="2">
        <v>44096.645520833335</v>
      </c>
      <c r="BC31" s="2"/>
      <c r="BD31" t="s">
        <v>91</v>
      </c>
      <c r="BF31" s="1" t="s">
        <v>75</v>
      </c>
      <c r="BI31" s="1" t="s">
        <v>88</v>
      </c>
      <c r="BJ31">
        <v>1</v>
      </c>
      <c r="BK31" s="1" t="s">
        <v>89</v>
      </c>
      <c r="BL31" t="s">
        <v>91</v>
      </c>
      <c r="BM31" s="1" t="s">
        <v>109</v>
      </c>
      <c r="BN31" s="1" t="s">
        <v>110</v>
      </c>
      <c r="BO31" s="1" t="s">
        <v>180</v>
      </c>
      <c r="BP31" s="1" t="s">
        <v>91</v>
      </c>
      <c r="BQ31" t="s">
        <v>91</v>
      </c>
      <c r="BR31" s="3">
        <v>44096</v>
      </c>
      <c r="BS31" s="3"/>
      <c r="BT31" t="s">
        <v>91</v>
      </c>
      <c r="BU31" t="s">
        <v>91</v>
      </c>
      <c r="BV31">
        <v>9</v>
      </c>
      <c r="BW31" s="1" t="s">
        <v>90</v>
      </c>
    </row>
    <row r="32" spans="1:75" x14ac:dyDescent="0.35">
      <c r="A32">
        <v>137959</v>
      </c>
      <c r="B32" s="1" t="s">
        <v>75</v>
      </c>
      <c r="C32">
        <v>80</v>
      </c>
      <c r="D32">
        <v>11121001</v>
      </c>
      <c r="E32">
        <v>121001</v>
      </c>
      <c r="F32" s="1" t="s">
        <v>76</v>
      </c>
      <c r="G32" s="1" t="s">
        <v>321</v>
      </c>
      <c r="H32">
        <v>0</v>
      </c>
      <c r="I32" s="1" t="s">
        <v>78</v>
      </c>
      <c r="J32" s="1" t="s">
        <v>322</v>
      </c>
      <c r="K32" s="1" t="s">
        <v>323</v>
      </c>
      <c r="L32" t="s">
        <v>91</v>
      </c>
      <c r="M32" t="s">
        <v>91</v>
      </c>
      <c r="N32" s="1" t="s">
        <v>324</v>
      </c>
      <c r="O32" t="s">
        <v>91</v>
      </c>
      <c r="P32" s="1" t="s">
        <v>325</v>
      </c>
      <c r="Q32" s="1" t="s">
        <v>326</v>
      </c>
      <c r="R32" s="1" t="s">
        <v>327</v>
      </c>
      <c r="S32">
        <v>1379</v>
      </c>
      <c r="T32">
        <v>98600000</v>
      </c>
      <c r="U32" s="1" t="s">
        <v>108</v>
      </c>
      <c r="V32" s="1" t="s">
        <v>328</v>
      </c>
      <c r="W32" s="1" t="s">
        <v>157</v>
      </c>
      <c r="X32">
        <v>55</v>
      </c>
      <c r="Y32">
        <v>35223501</v>
      </c>
      <c r="Z32" t="s">
        <v>91</v>
      </c>
      <c r="AA32" t="s">
        <v>91</v>
      </c>
      <c r="AB32" t="s">
        <v>91</v>
      </c>
      <c r="AC32" t="s">
        <v>91</v>
      </c>
      <c r="AD32" t="s">
        <v>91</v>
      </c>
      <c r="AE32" t="s">
        <v>91</v>
      </c>
      <c r="AF32" t="s">
        <v>91</v>
      </c>
      <c r="AG32" s="1" t="s">
        <v>146</v>
      </c>
      <c r="AH32" s="1" t="s">
        <v>91</v>
      </c>
      <c r="AI32" t="s">
        <v>91</v>
      </c>
      <c r="AM32" t="s">
        <v>91</v>
      </c>
      <c r="AN32" t="s">
        <v>91</v>
      </c>
      <c r="AO32" t="s">
        <v>91</v>
      </c>
      <c r="AP32" t="s">
        <v>91</v>
      </c>
      <c r="AQ32" s="1" t="s">
        <v>147</v>
      </c>
      <c r="AR32" s="1" t="s">
        <v>147</v>
      </c>
      <c r="AS32" s="1" t="s">
        <v>147</v>
      </c>
      <c r="AT32" s="1" t="s">
        <v>147</v>
      </c>
      <c r="AU32" s="1" t="s">
        <v>147</v>
      </c>
      <c r="AV32" t="s">
        <v>91</v>
      </c>
      <c r="AW32" t="s">
        <v>91</v>
      </c>
      <c r="AX32" t="s">
        <v>91</v>
      </c>
      <c r="AY32" t="s">
        <v>91</v>
      </c>
      <c r="AZ32" t="s">
        <v>91</v>
      </c>
      <c r="BA32" t="s">
        <v>91</v>
      </c>
      <c r="BB32" s="2">
        <v>44378.578518518516</v>
      </c>
      <c r="BC32" s="2">
        <v>44663.47084490741</v>
      </c>
      <c r="BD32" t="s">
        <v>91</v>
      </c>
      <c r="BF32" s="1" t="s">
        <v>75</v>
      </c>
      <c r="BH32">
        <v>0</v>
      </c>
      <c r="BI32" s="1" t="s">
        <v>88</v>
      </c>
      <c r="BJ32">
        <v>1</v>
      </c>
      <c r="BK32" s="1" t="s">
        <v>89</v>
      </c>
      <c r="BL32" t="s">
        <v>91</v>
      </c>
      <c r="BM32" s="1" t="s">
        <v>329</v>
      </c>
      <c r="BN32" s="1" t="s">
        <v>110</v>
      </c>
      <c r="BO32" s="1" t="s">
        <v>165</v>
      </c>
      <c r="BP32" s="1" t="s">
        <v>91</v>
      </c>
      <c r="BQ32" t="s">
        <v>91</v>
      </c>
      <c r="BR32" s="3">
        <v>44378</v>
      </c>
      <c r="BS32" s="3">
        <v>44663</v>
      </c>
      <c r="BT32" t="s">
        <v>91</v>
      </c>
      <c r="BU32" t="s">
        <v>91</v>
      </c>
      <c r="BW32" s="1" t="s">
        <v>330</v>
      </c>
    </row>
    <row r="33" spans="1:75" x14ac:dyDescent="0.35">
      <c r="A33">
        <v>120388</v>
      </c>
      <c r="B33" s="1" t="s">
        <v>75</v>
      </c>
      <c r="C33">
        <v>80</v>
      </c>
      <c r="D33">
        <v>11121001</v>
      </c>
      <c r="E33">
        <v>121001</v>
      </c>
      <c r="F33" s="1" t="s">
        <v>76</v>
      </c>
      <c r="G33" s="1" t="s">
        <v>331</v>
      </c>
      <c r="H33">
        <v>0</v>
      </c>
      <c r="I33" s="1" t="s">
        <v>78</v>
      </c>
      <c r="J33" s="1" t="s">
        <v>332</v>
      </c>
      <c r="K33" s="1" t="s">
        <v>333</v>
      </c>
      <c r="L33" t="s">
        <v>91</v>
      </c>
      <c r="M33" t="s">
        <v>91</v>
      </c>
      <c r="N33" s="1" t="s">
        <v>334</v>
      </c>
      <c r="O33" t="s">
        <v>91</v>
      </c>
      <c r="P33" s="1" t="s">
        <v>335</v>
      </c>
      <c r="Q33" s="1" t="s">
        <v>336</v>
      </c>
      <c r="R33" s="1" t="s">
        <v>236</v>
      </c>
      <c r="S33">
        <v>1287</v>
      </c>
      <c r="T33">
        <v>89802140</v>
      </c>
      <c r="U33" s="1" t="s">
        <v>108</v>
      </c>
      <c r="V33" s="1" t="s">
        <v>337</v>
      </c>
      <c r="W33" s="1" t="s">
        <v>87</v>
      </c>
      <c r="X33">
        <v>49</v>
      </c>
      <c r="Y33">
        <v>33220565</v>
      </c>
      <c r="Z33" t="s">
        <v>91</v>
      </c>
      <c r="AA33" t="s">
        <v>91</v>
      </c>
      <c r="AB33" t="s">
        <v>91</v>
      </c>
      <c r="AC33" t="s">
        <v>91</v>
      </c>
      <c r="AD33" t="s">
        <v>91</v>
      </c>
      <c r="AE33" t="s">
        <v>91</v>
      </c>
      <c r="AF33" t="s">
        <v>91</v>
      </c>
      <c r="AG33" s="1" t="s">
        <v>91</v>
      </c>
      <c r="AH33" s="1" t="s">
        <v>91</v>
      </c>
      <c r="AI33" t="s">
        <v>91</v>
      </c>
      <c r="AJ33">
        <v>0</v>
      </c>
      <c r="AK33">
        <v>0</v>
      </c>
      <c r="AL33">
        <v>0</v>
      </c>
      <c r="AM33" t="s">
        <v>91</v>
      </c>
      <c r="AN33" t="s">
        <v>91</v>
      </c>
      <c r="AO33" t="s">
        <v>91</v>
      </c>
      <c r="AP33" t="s">
        <v>91</v>
      </c>
      <c r="AQ33" s="1" t="s">
        <v>91</v>
      </c>
      <c r="AR33" s="1" t="s">
        <v>91</v>
      </c>
      <c r="AS33" s="1" t="s">
        <v>91</v>
      </c>
      <c r="AT33" s="1" t="s">
        <v>91</v>
      </c>
      <c r="AU33" s="1" t="s">
        <v>91</v>
      </c>
      <c r="AV33" t="s">
        <v>91</v>
      </c>
      <c r="AW33" t="s">
        <v>91</v>
      </c>
      <c r="AX33" t="s">
        <v>91</v>
      </c>
      <c r="AY33" t="s">
        <v>91</v>
      </c>
      <c r="AZ33" t="s">
        <v>91</v>
      </c>
      <c r="BA33" t="s">
        <v>91</v>
      </c>
      <c r="BB33" s="2">
        <v>44092.925393518519</v>
      </c>
      <c r="BC33" s="2"/>
      <c r="BD33" t="s">
        <v>91</v>
      </c>
      <c r="BF33" s="1" t="s">
        <v>75</v>
      </c>
      <c r="BG33">
        <v>0</v>
      </c>
      <c r="BH33">
        <v>0</v>
      </c>
      <c r="BI33" s="1" t="s">
        <v>88</v>
      </c>
      <c r="BJ33">
        <v>1</v>
      </c>
      <c r="BK33" s="1" t="s">
        <v>89</v>
      </c>
      <c r="BL33" t="s">
        <v>91</v>
      </c>
      <c r="BM33" s="1" t="s">
        <v>109</v>
      </c>
      <c r="BN33" s="1" t="s">
        <v>110</v>
      </c>
      <c r="BO33" s="1" t="s">
        <v>180</v>
      </c>
      <c r="BP33" s="1" t="s">
        <v>91</v>
      </c>
      <c r="BQ33" t="s">
        <v>91</v>
      </c>
      <c r="BR33" s="3">
        <v>44092</v>
      </c>
      <c r="BS33" s="3"/>
      <c r="BT33" t="s">
        <v>91</v>
      </c>
      <c r="BU33" t="s">
        <v>91</v>
      </c>
      <c r="BV33">
        <v>9</v>
      </c>
      <c r="BW33" s="1" t="s">
        <v>90</v>
      </c>
    </row>
    <row r="34" spans="1:75" x14ac:dyDescent="0.35">
      <c r="A34">
        <v>157563</v>
      </c>
      <c r="B34" s="1" t="s">
        <v>75</v>
      </c>
      <c r="C34">
        <v>80</v>
      </c>
      <c r="D34">
        <v>11121001</v>
      </c>
      <c r="E34">
        <v>121001</v>
      </c>
      <c r="F34" s="1" t="s">
        <v>76</v>
      </c>
      <c r="G34" s="1" t="s">
        <v>338</v>
      </c>
      <c r="H34">
        <v>0</v>
      </c>
      <c r="I34" s="1" t="s">
        <v>78</v>
      </c>
      <c r="J34" s="1" t="s">
        <v>339</v>
      </c>
      <c r="K34" s="1" t="s">
        <v>340</v>
      </c>
      <c r="L34" t="s">
        <v>91</v>
      </c>
      <c r="M34" t="s">
        <v>91</v>
      </c>
      <c r="N34" s="1" t="s">
        <v>91</v>
      </c>
      <c r="O34" t="s">
        <v>91</v>
      </c>
      <c r="P34" s="1" t="s">
        <v>341</v>
      </c>
      <c r="Q34" s="1" t="s">
        <v>342</v>
      </c>
      <c r="R34" s="1" t="s">
        <v>91</v>
      </c>
      <c r="S34">
        <v>1377</v>
      </c>
      <c r="T34">
        <v>98400000</v>
      </c>
      <c r="U34" s="1" t="s">
        <v>343</v>
      </c>
      <c r="V34" s="1" t="s">
        <v>344</v>
      </c>
      <c r="W34" s="1" t="s">
        <v>157</v>
      </c>
      <c r="X34">
        <v>55</v>
      </c>
      <c r="Y34">
        <v>37441583</v>
      </c>
      <c r="Z34" t="s">
        <v>91</v>
      </c>
      <c r="AA34" t="s">
        <v>91</v>
      </c>
      <c r="AB34" t="s">
        <v>91</v>
      </c>
      <c r="AC34" t="s">
        <v>91</v>
      </c>
      <c r="AD34" t="s">
        <v>91</v>
      </c>
      <c r="AE34" t="s">
        <v>91</v>
      </c>
      <c r="AF34" t="s">
        <v>91</v>
      </c>
      <c r="AG34" s="1" t="s">
        <v>91</v>
      </c>
      <c r="AH34" s="1" t="s">
        <v>91</v>
      </c>
      <c r="AI34" t="s">
        <v>91</v>
      </c>
      <c r="AM34" t="s">
        <v>91</v>
      </c>
      <c r="AN34" t="s">
        <v>91</v>
      </c>
      <c r="AO34" t="s">
        <v>91</v>
      </c>
      <c r="AP34" t="s">
        <v>91</v>
      </c>
      <c r="AQ34" s="1" t="s">
        <v>91</v>
      </c>
      <c r="AR34" s="1" t="s">
        <v>91</v>
      </c>
      <c r="AS34" s="1" t="s">
        <v>91</v>
      </c>
      <c r="AT34" s="1" t="s">
        <v>91</v>
      </c>
      <c r="AU34" s="1" t="s">
        <v>91</v>
      </c>
      <c r="AV34" t="s">
        <v>91</v>
      </c>
      <c r="AW34" t="s">
        <v>91</v>
      </c>
      <c r="AX34" t="s">
        <v>91</v>
      </c>
      <c r="AY34" t="s">
        <v>91</v>
      </c>
      <c r="AZ34" t="s">
        <v>91</v>
      </c>
      <c r="BA34" t="s">
        <v>91</v>
      </c>
      <c r="BB34" s="2">
        <v>45118.093391203707</v>
      </c>
      <c r="BC34" s="2"/>
      <c r="BD34" t="s">
        <v>91</v>
      </c>
      <c r="BF34" s="1" t="s">
        <v>75</v>
      </c>
      <c r="BI34" s="1" t="s">
        <v>88</v>
      </c>
      <c r="BJ34">
        <v>1</v>
      </c>
      <c r="BK34" s="1" t="s">
        <v>89</v>
      </c>
      <c r="BL34" t="s">
        <v>91</v>
      </c>
      <c r="BM34" s="1" t="s">
        <v>91</v>
      </c>
      <c r="BN34" s="1" t="s">
        <v>91</v>
      </c>
      <c r="BO34" s="1" t="s">
        <v>91</v>
      </c>
      <c r="BP34" s="1" t="s">
        <v>91</v>
      </c>
      <c r="BQ34" t="s">
        <v>91</v>
      </c>
      <c r="BR34" s="3">
        <v>45118</v>
      </c>
      <c r="BS34" s="3"/>
      <c r="BT34" t="s">
        <v>91</v>
      </c>
      <c r="BU34" t="s">
        <v>91</v>
      </c>
      <c r="BW34" s="1" t="s">
        <v>90</v>
      </c>
    </row>
    <row r="35" spans="1:75" x14ac:dyDescent="0.35">
      <c r="A35">
        <v>144255</v>
      </c>
      <c r="B35" s="1" t="s">
        <v>75</v>
      </c>
      <c r="C35">
        <v>80</v>
      </c>
      <c r="D35">
        <v>11121001</v>
      </c>
      <c r="E35">
        <v>121001</v>
      </c>
      <c r="F35" s="1" t="s">
        <v>76</v>
      </c>
      <c r="G35" s="1" t="s">
        <v>345</v>
      </c>
      <c r="H35">
        <v>0</v>
      </c>
      <c r="I35" s="1" t="s">
        <v>78</v>
      </c>
      <c r="J35" s="1" t="s">
        <v>346</v>
      </c>
      <c r="K35" s="1" t="s">
        <v>347</v>
      </c>
      <c r="L35" t="s">
        <v>91</v>
      </c>
      <c r="M35" t="s">
        <v>91</v>
      </c>
      <c r="N35" s="1" t="s">
        <v>348</v>
      </c>
      <c r="O35" t="s">
        <v>91</v>
      </c>
      <c r="P35" s="1" t="s">
        <v>349</v>
      </c>
      <c r="Q35" s="1" t="s">
        <v>350</v>
      </c>
      <c r="R35" s="1" t="s">
        <v>351</v>
      </c>
      <c r="S35">
        <v>1287</v>
      </c>
      <c r="T35">
        <v>89802120</v>
      </c>
      <c r="U35" s="1" t="s">
        <v>108</v>
      </c>
      <c r="V35" s="1" t="s">
        <v>337</v>
      </c>
      <c r="W35" s="1" t="s">
        <v>87</v>
      </c>
      <c r="X35">
        <v>49</v>
      </c>
      <c r="Y35">
        <v>33400061</v>
      </c>
      <c r="Z35" t="s">
        <v>91</v>
      </c>
      <c r="AA35" t="s">
        <v>91</v>
      </c>
      <c r="AB35" t="s">
        <v>91</v>
      </c>
      <c r="AC35" t="s">
        <v>91</v>
      </c>
      <c r="AD35" t="s">
        <v>91</v>
      </c>
      <c r="AE35" t="s">
        <v>91</v>
      </c>
      <c r="AF35" t="s">
        <v>91</v>
      </c>
      <c r="AG35" s="1" t="s">
        <v>146</v>
      </c>
      <c r="AH35" s="1" t="s">
        <v>91</v>
      </c>
      <c r="AI35" t="s">
        <v>91</v>
      </c>
      <c r="AM35" t="s">
        <v>91</v>
      </c>
      <c r="AN35" t="s">
        <v>91</v>
      </c>
      <c r="AO35" t="s">
        <v>91</v>
      </c>
      <c r="AP35" t="s">
        <v>91</v>
      </c>
      <c r="AQ35" s="1" t="s">
        <v>147</v>
      </c>
      <c r="AR35" s="1" t="s">
        <v>147</v>
      </c>
      <c r="AS35" s="1" t="s">
        <v>147</v>
      </c>
      <c r="AT35" s="1" t="s">
        <v>147</v>
      </c>
      <c r="AU35" s="1" t="s">
        <v>147</v>
      </c>
      <c r="AV35" t="s">
        <v>91</v>
      </c>
      <c r="AW35" t="s">
        <v>91</v>
      </c>
      <c r="AX35" t="s">
        <v>91</v>
      </c>
      <c r="AY35" t="s">
        <v>91</v>
      </c>
      <c r="AZ35" t="s">
        <v>91</v>
      </c>
      <c r="BA35" t="s">
        <v>91</v>
      </c>
      <c r="BB35" s="2">
        <v>44543.632280092592</v>
      </c>
      <c r="BC35" s="2">
        <v>44720.444247685184</v>
      </c>
      <c r="BD35" t="s">
        <v>91</v>
      </c>
      <c r="BF35" s="1" t="s">
        <v>75</v>
      </c>
      <c r="BH35">
        <v>0</v>
      </c>
      <c r="BI35" s="1" t="s">
        <v>88</v>
      </c>
      <c r="BJ35">
        <v>1</v>
      </c>
      <c r="BK35" s="1" t="s">
        <v>89</v>
      </c>
      <c r="BL35" t="s">
        <v>91</v>
      </c>
      <c r="BM35" s="1" t="s">
        <v>91</v>
      </c>
      <c r="BN35" s="1" t="s">
        <v>91</v>
      </c>
      <c r="BO35" s="1" t="s">
        <v>180</v>
      </c>
      <c r="BP35" s="1" t="s">
        <v>91</v>
      </c>
      <c r="BQ35" t="s">
        <v>91</v>
      </c>
      <c r="BR35" s="3">
        <v>44543</v>
      </c>
      <c r="BS35" s="3">
        <v>44720</v>
      </c>
      <c r="BT35" t="s">
        <v>91</v>
      </c>
      <c r="BU35" t="s">
        <v>91</v>
      </c>
      <c r="BW35" s="1" t="s">
        <v>120</v>
      </c>
    </row>
    <row r="36" spans="1:75" x14ac:dyDescent="0.35">
      <c r="A36">
        <v>157575</v>
      </c>
      <c r="B36" s="1" t="s">
        <v>75</v>
      </c>
      <c r="C36">
        <v>80</v>
      </c>
      <c r="D36">
        <v>11121001</v>
      </c>
      <c r="E36">
        <v>121001</v>
      </c>
      <c r="F36" s="1" t="s">
        <v>76</v>
      </c>
      <c r="G36" s="1" t="s">
        <v>352</v>
      </c>
      <c r="H36">
        <v>0</v>
      </c>
      <c r="I36" s="1" t="s">
        <v>78</v>
      </c>
      <c r="J36" s="1" t="s">
        <v>353</v>
      </c>
      <c r="K36" s="1" t="s">
        <v>354</v>
      </c>
      <c r="L36" t="s">
        <v>91</v>
      </c>
      <c r="M36" t="s">
        <v>91</v>
      </c>
      <c r="N36" s="1" t="s">
        <v>355</v>
      </c>
      <c r="O36" t="s">
        <v>91</v>
      </c>
      <c r="P36" s="1" t="s">
        <v>105</v>
      </c>
      <c r="Q36" s="1" t="s">
        <v>356</v>
      </c>
      <c r="R36" s="1" t="s">
        <v>91</v>
      </c>
      <c r="S36">
        <v>1277</v>
      </c>
      <c r="T36">
        <v>89201000</v>
      </c>
      <c r="U36" s="1" t="s">
        <v>108</v>
      </c>
      <c r="V36" s="1" t="s">
        <v>100</v>
      </c>
      <c r="W36" s="1" t="s">
        <v>87</v>
      </c>
      <c r="X36">
        <v>47</v>
      </c>
      <c r="Y36">
        <v>30273614</v>
      </c>
      <c r="Z36" t="s">
        <v>91</v>
      </c>
      <c r="AA36" t="s">
        <v>91</v>
      </c>
      <c r="AB36" t="s">
        <v>91</v>
      </c>
      <c r="AC36" t="s">
        <v>91</v>
      </c>
      <c r="AD36" t="s">
        <v>91</v>
      </c>
      <c r="AE36" t="s">
        <v>91</v>
      </c>
      <c r="AF36" t="s">
        <v>91</v>
      </c>
      <c r="AG36" s="1" t="s">
        <v>91</v>
      </c>
      <c r="AH36" s="1" t="s">
        <v>91</v>
      </c>
      <c r="AI36" t="s">
        <v>91</v>
      </c>
      <c r="AM36" t="s">
        <v>91</v>
      </c>
      <c r="AN36" t="s">
        <v>91</v>
      </c>
      <c r="AO36" t="s">
        <v>91</v>
      </c>
      <c r="AP36" t="s">
        <v>91</v>
      </c>
      <c r="AQ36" s="1" t="s">
        <v>91</v>
      </c>
      <c r="AR36" s="1" t="s">
        <v>91</v>
      </c>
      <c r="AS36" s="1" t="s">
        <v>91</v>
      </c>
      <c r="AT36" s="1" t="s">
        <v>91</v>
      </c>
      <c r="AU36" s="1" t="s">
        <v>91</v>
      </c>
      <c r="AV36" t="s">
        <v>91</v>
      </c>
      <c r="AW36" t="s">
        <v>91</v>
      </c>
      <c r="AX36" t="s">
        <v>91</v>
      </c>
      <c r="AY36" t="s">
        <v>91</v>
      </c>
      <c r="AZ36" t="s">
        <v>91</v>
      </c>
      <c r="BA36" t="s">
        <v>91</v>
      </c>
      <c r="BB36" s="2">
        <v>45118.093391203707</v>
      </c>
      <c r="BC36" s="2"/>
      <c r="BD36" t="s">
        <v>91</v>
      </c>
      <c r="BF36" s="1" t="s">
        <v>75</v>
      </c>
      <c r="BI36" s="1" t="s">
        <v>88</v>
      </c>
      <c r="BJ36">
        <v>1</v>
      </c>
      <c r="BK36" s="1" t="s">
        <v>89</v>
      </c>
      <c r="BL36" t="s">
        <v>91</v>
      </c>
      <c r="BM36" s="1" t="s">
        <v>91</v>
      </c>
      <c r="BN36" s="1" t="s">
        <v>91</v>
      </c>
      <c r="BO36" s="1" t="s">
        <v>91</v>
      </c>
      <c r="BP36" s="1" t="s">
        <v>91</v>
      </c>
      <c r="BQ36" t="s">
        <v>91</v>
      </c>
      <c r="BR36" s="3">
        <v>45118</v>
      </c>
      <c r="BS36" s="3"/>
      <c r="BT36" t="s">
        <v>91</v>
      </c>
      <c r="BU36" t="s">
        <v>91</v>
      </c>
      <c r="BW36" s="1" t="s">
        <v>90</v>
      </c>
    </row>
    <row r="37" spans="1:75" x14ac:dyDescent="0.35">
      <c r="A37">
        <v>157537</v>
      </c>
      <c r="B37" s="1" t="s">
        <v>75</v>
      </c>
      <c r="C37">
        <v>80</v>
      </c>
      <c r="D37">
        <v>11121001</v>
      </c>
      <c r="E37">
        <v>121001</v>
      </c>
      <c r="F37" s="1" t="s">
        <v>76</v>
      </c>
      <c r="G37" s="1" t="s">
        <v>357</v>
      </c>
      <c r="H37">
        <v>0</v>
      </c>
      <c r="I37" s="1" t="s">
        <v>78</v>
      </c>
      <c r="J37" s="1" t="s">
        <v>358</v>
      </c>
      <c r="K37" s="1" t="s">
        <v>359</v>
      </c>
      <c r="L37" t="s">
        <v>91</v>
      </c>
      <c r="M37" t="s">
        <v>91</v>
      </c>
      <c r="N37" s="1" t="s">
        <v>360</v>
      </c>
      <c r="O37" t="s">
        <v>91</v>
      </c>
      <c r="P37" s="1" t="s">
        <v>361</v>
      </c>
      <c r="Q37" s="1" t="s">
        <v>362</v>
      </c>
      <c r="R37" s="1" t="s">
        <v>91</v>
      </c>
      <c r="S37">
        <v>1391</v>
      </c>
      <c r="T37">
        <v>99900000</v>
      </c>
      <c r="U37" s="1" t="s">
        <v>363</v>
      </c>
      <c r="V37" s="1" t="s">
        <v>364</v>
      </c>
      <c r="W37" s="1" t="s">
        <v>157</v>
      </c>
      <c r="X37">
        <v>54</v>
      </c>
      <c r="Y37">
        <v>21035247</v>
      </c>
      <c r="Z37" t="s">
        <v>91</v>
      </c>
      <c r="AA37" t="s">
        <v>91</v>
      </c>
      <c r="AB37" t="s">
        <v>91</v>
      </c>
      <c r="AC37" t="s">
        <v>91</v>
      </c>
      <c r="AD37" t="s">
        <v>91</v>
      </c>
      <c r="AE37" t="s">
        <v>91</v>
      </c>
      <c r="AF37" t="s">
        <v>91</v>
      </c>
      <c r="AG37" s="1" t="s">
        <v>91</v>
      </c>
      <c r="AH37" s="1" t="s">
        <v>91</v>
      </c>
      <c r="AI37" t="s">
        <v>91</v>
      </c>
      <c r="AM37" t="s">
        <v>91</v>
      </c>
      <c r="AN37" t="s">
        <v>91</v>
      </c>
      <c r="AO37" t="s">
        <v>91</v>
      </c>
      <c r="AP37" t="s">
        <v>91</v>
      </c>
      <c r="AQ37" s="1" t="s">
        <v>91</v>
      </c>
      <c r="AR37" s="1" t="s">
        <v>91</v>
      </c>
      <c r="AS37" s="1" t="s">
        <v>91</v>
      </c>
      <c r="AT37" s="1" t="s">
        <v>91</v>
      </c>
      <c r="AU37" s="1" t="s">
        <v>91</v>
      </c>
      <c r="AV37" t="s">
        <v>91</v>
      </c>
      <c r="AW37" t="s">
        <v>91</v>
      </c>
      <c r="AX37" t="s">
        <v>91</v>
      </c>
      <c r="AY37" t="s">
        <v>91</v>
      </c>
      <c r="AZ37" t="s">
        <v>91</v>
      </c>
      <c r="BA37" t="s">
        <v>91</v>
      </c>
      <c r="BB37" s="2">
        <v>45118.093391203707</v>
      </c>
      <c r="BC37" s="2"/>
      <c r="BD37" t="s">
        <v>91</v>
      </c>
      <c r="BF37" s="1" t="s">
        <v>75</v>
      </c>
      <c r="BI37" s="1" t="s">
        <v>88</v>
      </c>
      <c r="BJ37">
        <v>1</v>
      </c>
      <c r="BK37" s="1" t="s">
        <v>89</v>
      </c>
      <c r="BL37" t="s">
        <v>91</v>
      </c>
      <c r="BM37" s="1" t="s">
        <v>91</v>
      </c>
      <c r="BN37" s="1" t="s">
        <v>91</v>
      </c>
      <c r="BO37" s="1" t="s">
        <v>91</v>
      </c>
      <c r="BP37" s="1" t="s">
        <v>91</v>
      </c>
      <c r="BQ37" t="s">
        <v>91</v>
      </c>
      <c r="BR37" s="3">
        <v>45118</v>
      </c>
      <c r="BS37" s="3"/>
      <c r="BT37" t="s">
        <v>91</v>
      </c>
      <c r="BU37" t="s">
        <v>91</v>
      </c>
      <c r="BW37" s="1" t="s">
        <v>90</v>
      </c>
    </row>
    <row r="38" spans="1:75" x14ac:dyDescent="0.35">
      <c r="A38">
        <v>157536</v>
      </c>
      <c r="B38" s="1" t="s">
        <v>75</v>
      </c>
      <c r="C38">
        <v>80</v>
      </c>
      <c r="D38">
        <v>11121001</v>
      </c>
      <c r="E38">
        <v>121001</v>
      </c>
      <c r="F38" s="1" t="s">
        <v>76</v>
      </c>
      <c r="G38" s="1" t="s">
        <v>365</v>
      </c>
      <c r="H38">
        <v>0</v>
      </c>
      <c r="I38" s="1" t="s">
        <v>78</v>
      </c>
      <c r="J38" s="1" t="s">
        <v>366</v>
      </c>
      <c r="K38" s="1" t="s">
        <v>367</v>
      </c>
      <c r="L38" t="s">
        <v>91</v>
      </c>
      <c r="M38" t="s">
        <v>91</v>
      </c>
      <c r="N38" s="1" t="s">
        <v>360</v>
      </c>
      <c r="O38" t="s">
        <v>91</v>
      </c>
      <c r="P38" s="1" t="s">
        <v>368</v>
      </c>
      <c r="Q38" s="1" t="s">
        <v>369</v>
      </c>
      <c r="R38" s="1" t="s">
        <v>370</v>
      </c>
      <c r="S38">
        <v>1383</v>
      </c>
      <c r="T38">
        <v>99010050</v>
      </c>
      <c r="U38" s="1" t="s">
        <v>108</v>
      </c>
      <c r="V38" s="1" t="s">
        <v>371</v>
      </c>
      <c r="W38" s="1" t="s">
        <v>157</v>
      </c>
      <c r="X38">
        <v>54</v>
      </c>
      <c r="Z38" t="s">
        <v>91</v>
      </c>
      <c r="AA38" t="s">
        <v>91</v>
      </c>
      <c r="AB38" t="s">
        <v>91</v>
      </c>
      <c r="AC38" t="s">
        <v>91</v>
      </c>
      <c r="AD38" t="s">
        <v>91</v>
      </c>
      <c r="AE38" t="s">
        <v>91</v>
      </c>
      <c r="AF38" t="s">
        <v>91</v>
      </c>
      <c r="AG38" s="1" t="s">
        <v>91</v>
      </c>
      <c r="AH38" s="1" t="s">
        <v>91</v>
      </c>
      <c r="AI38" t="s">
        <v>91</v>
      </c>
      <c r="AM38" t="s">
        <v>91</v>
      </c>
      <c r="AN38" t="s">
        <v>91</v>
      </c>
      <c r="AO38" t="s">
        <v>91</v>
      </c>
      <c r="AP38" t="s">
        <v>91</v>
      </c>
      <c r="AQ38" s="1" t="s">
        <v>91</v>
      </c>
      <c r="AR38" s="1" t="s">
        <v>91</v>
      </c>
      <c r="AS38" s="1" t="s">
        <v>91</v>
      </c>
      <c r="AT38" s="1" t="s">
        <v>91</v>
      </c>
      <c r="AU38" s="1" t="s">
        <v>91</v>
      </c>
      <c r="AV38" t="s">
        <v>91</v>
      </c>
      <c r="AW38" t="s">
        <v>91</v>
      </c>
      <c r="AX38" t="s">
        <v>91</v>
      </c>
      <c r="AY38" t="s">
        <v>91</v>
      </c>
      <c r="AZ38" t="s">
        <v>91</v>
      </c>
      <c r="BA38" t="s">
        <v>91</v>
      </c>
      <c r="BB38" s="2">
        <v>45118.093391203707</v>
      </c>
      <c r="BC38" s="2"/>
      <c r="BD38" t="s">
        <v>91</v>
      </c>
      <c r="BF38" s="1" t="s">
        <v>75</v>
      </c>
      <c r="BI38" s="1" t="s">
        <v>88</v>
      </c>
      <c r="BJ38">
        <v>1</v>
      </c>
      <c r="BK38" s="1" t="s">
        <v>89</v>
      </c>
      <c r="BL38" t="s">
        <v>91</v>
      </c>
      <c r="BM38" s="1" t="s">
        <v>91</v>
      </c>
      <c r="BN38" s="1" t="s">
        <v>91</v>
      </c>
      <c r="BO38" s="1" t="s">
        <v>91</v>
      </c>
      <c r="BP38" s="1" t="s">
        <v>91</v>
      </c>
      <c r="BQ38" t="s">
        <v>91</v>
      </c>
      <c r="BR38" s="3">
        <v>45118</v>
      </c>
      <c r="BS38" s="3"/>
      <c r="BT38" t="s">
        <v>91</v>
      </c>
      <c r="BU38" t="s">
        <v>91</v>
      </c>
      <c r="BW38" s="1" t="s">
        <v>90</v>
      </c>
    </row>
    <row r="39" spans="1:75" x14ac:dyDescent="0.35">
      <c r="A39">
        <v>157551</v>
      </c>
      <c r="B39" s="1" t="s">
        <v>75</v>
      </c>
      <c r="C39">
        <v>80</v>
      </c>
      <c r="D39">
        <v>11121001</v>
      </c>
      <c r="E39">
        <v>121001</v>
      </c>
      <c r="F39" s="1" t="s">
        <v>76</v>
      </c>
      <c r="G39" s="1" t="s">
        <v>372</v>
      </c>
      <c r="H39">
        <v>0</v>
      </c>
      <c r="I39" s="1" t="s">
        <v>78</v>
      </c>
      <c r="J39" s="1" t="s">
        <v>366</v>
      </c>
      <c r="K39" s="1" t="s">
        <v>373</v>
      </c>
      <c r="L39" t="s">
        <v>91</v>
      </c>
      <c r="M39" t="s">
        <v>91</v>
      </c>
      <c r="N39" s="1" t="s">
        <v>91</v>
      </c>
      <c r="O39" t="s">
        <v>91</v>
      </c>
      <c r="P39" s="1" t="s">
        <v>243</v>
      </c>
      <c r="Q39" s="1" t="s">
        <v>374</v>
      </c>
      <c r="R39" s="1" t="s">
        <v>91</v>
      </c>
      <c r="S39">
        <v>1383</v>
      </c>
      <c r="T39">
        <v>99010090</v>
      </c>
      <c r="U39" s="1" t="s">
        <v>108</v>
      </c>
      <c r="V39" s="1" t="s">
        <v>371</v>
      </c>
      <c r="W39" s="1" t="s">
        <v>157</v>
      </c>
      <c r="X39">
        <v>54</v>
      </c>
      <c r="Y39">
        <v>21035247</v>
      </c>
      <c r="Z39" t="s">
        <v>91</v>
      </c>
      <c r="AA39" t="s">
        <v>91</v>
      </c>
      <c r="AB39" t="s">
        <v>91</v>
      </c>
      <c r="AC39" t="s">
        <v>91</v>
      </c>
      <c r="AD39" t="s">
        <v>91</v>
      </c>
      <c r="AE39" t="s">
        <v>91</v>
      </c>
      <c r="AF39" t="s">
        <v>91</v>
      </c>
      <c r="AG39" s="1" t="s">
        <v>91</v>
      </c>
      <c r="AH39" s="1" t="s">
        <v>91</v>
      </c>
      <c r="AI39" t="s">
        <v>91</v>
      </c>
      <c r="AM39" t="s">
        <v>91</v>
      </c>
      <c r="AN39" t="s">
        <v>91</v>
      </c>
      <c r="AO39" t="s">
        <v>91</v>
      </c>
      <c r="AP39" t="s">
        <v>91</v>
      </c>
      <c r="AQ39" s="1" t="s">
        <v>91</v>
      </c>
      <c r="AR39" s="1" t="s">
        <v>91</v>
      </c>
      <c r="AS39" s="1" t="s">
        <v>91</v>
      </c>
      <c r="AT39" s="1" t="s">
        <v>91</v>
      </c>
      <c r="AU39" s="1" t="s">
        <v>91</v>
      </c>
      <c r="AV39" t="s">
        <v>91</v>
      </c>
      <c r="AW39" t="s">
        <v>91</v>
      </c>
      <c r="AX39" t="s">
        <v>91</v>
      </c>
      <c r="AY39" t="s">
        <v>91</v>
      </c>
      <c r="AZ39" t="s">
        <v>91</v>
      </c>
      <c r="BA39" t="s">
        <v>91</v>
      </c>
      <c r="BB39" s="2">
        <v>45118.093391203707</v>
      </c>
      <c r="BC39" s="2"/>
      <c r="BD39" t="s">
        <v>91</v>
      </c>
      <c r="BF39" s="1" t="s">
        <v>75</v>
      </c>
      <c r="BI39" s="1" t="s">
        <v>88</v>
      </c>
      <c r="BJ39">
        <v>1</v>
      </c>
      <c r="BK39" s="1" t="s">
        <v>89</v>
      </c>
      <c r="BL39" t="s">
        <v>91</v>
      </c>
      <c r="BM39" s="1" t="s">
        <v>91</v>
      </c>
      <c r="BN39" s="1" t="s">
        <v>91</v>
      </c>
      <c r="BO39" s="1" t="s">
        <v>91</v>
      </c>
      <c r="BP39" s="1" t="s">
        <v>91</v>
      </c>
      <c r="BQ39" t="s">
        <v>91</v>
      </c>
      <c r="BR39" s="3">
        <v>45118</v>
      </c>
      <c r="BS39" s="3"/>
      <c r="BT39" t="s">
        <v>91</v>
      </c>
      <c r="BU39" t="s">
        <v>91</v>
      </c>
      <c r="BW39" s="1" t="s">
        <v>90</v>
      </c>
    </row>
    <row r="40" spans="1:75" x14ac:dyDescent="0.35">
      <c r="A40">
        <v>156747</v>
      </c>
      <c r="B40" s="1" t="s">
        <v>75</v>
      </c>
      <c r="C40">
        <v>80</v>
      </c>
      <c r="D40">
        <v>11121001</v>
      </c>
      <c r="E40">
        <v>121001</v>
      </c>
      <c r="F40" s="1" t="s">
        <v>76</v>
      </c>
      <c r="G40" s="1" t="s">
        <v>375</v>
      </c>
      <c r="H40">
        <v>0</v>
      </c>
      <c r="I40" s="1" t="s">
        <v>78</v>
      </c>
      <c r="J40" s="1" t="s">
        <v>376</v>
      </c>
      <c r="K40" s="1" t="s">
        <v>377</v>
      </c>
      <c r="L40" t="s">
        <v>91</v>
      </c>
      <c r="M40" t="s">
        <v>91</v>
      </c>
      <c r="N40" s="1" t="s">
        <v>378</v>
      </c>
      <c r="O40" t="s">
        <v>91</v>
      </c>
      <c r="P40" s="1" t="s">
        <v>379</v>
      </c>
      <c r="Q40" s="1" t="s">
        <v>380</v>
      </c>
      <c r="R40" s="1" t="s">
        <v>381</v>
      </c>
      <c r="S40">
        <v>1280</v>
      </c>
      <c r="T40">
        <v>89248000</v>
      </c>
      <c r="U40" s="1" t="s">
        <v>108</v>
      </c>
      <c r="V40" s="1" t="s">
        <v>382</v>
      </c>
      <c r="W40" s="1" t="s">
        <v>87</v>
      </c>
      <c r="X40">
        <v>49</v>
      </c>
      <c r="Y40">
        <v>999240874</v>
      </c>
      <c r="Z40" t="s">
        <v>91</v>
      </c>
      <c r="AA40" t="s">
        <v>91</v>
      </c>
      <c r="AB40" t="s">
        <v>91</v>
      </c>
      <c r="AC40" t="s">
        <v>91</v>
      </c>
      <c r="AD40" t="s">
        <v>91</v>
      </c>
      <c r="AE40" t="s">
        <v>91</v>
      </c>
      <c r="AF40" t="s">
        <v>91</v>
      </c>
      <c r="AG40" s="1" t="s">
        <v>91</v>
      </c>
      <c r="AH40" s="1" t="s">
        <v>91</v>
      </c>
      <c r="AI40" t="s">
        <v>91</v>
      </c>
      <c r="AM40" t="s">
        <v>91</v>
      </c>
      <c r="AN40" t="s">
        <v>91</v>
      </c>
      <c r="AO40" t="s">
        <v>91</v>
      </c>
      <c r="AP40" t="s">
        <v>91</v>
      </c>
      <c r="AQ40" s="1" t="s">
        <v>91</v>
      </c>
      <c r="AR40" s="1" t="s">
        <v>91</v>
      </c>
      <c r="AS40" s="1" t="s">
        <v>91</v>
      </c>
      <c r="AT40" s="1" t="s">
        <v>91</v>
      </c>
      <c r="AU40" s="1" t="s">
        <v>91</v>
      </c>
      <c r="AV40" t="s">
        <v>91</v>
      </c>
      <c r="AW40" t="s">
        <v>91</v>
      </c>
      <c r="AX40" t="s">
        <v>91</v>
      </c>
      <c r="AY40" t="s">
        <v>91</v>
      </c>
      <c r="AZ40" t="s">
        <v>91</v>
      </c>
      <c r="BA40" t="s">
        <v>91</v>
      </c>
      <c r="BB40" s="2">
        <v>45113.505416666667</v>
      </c>
      <c r="BC40" s="2"/>
      <c r="BD40" t="s">
        <v>91</v>
      </c>
      <c r="BF40" s="1" t="s">
        <v>75</v>
      </c>
      <c r="BI40" s="1" t="s">
        <v>88</v>
      </c>
      <c r="BJ40">
        <v>1</v>
      </c>
      <c r="BK40" s="1" t="s">
        <v>89</v>
      </c>
      <c r="BL40" t="s">
        <v>91</v>
      </c>
      <c r="BM40" s="1" t="s">
        <v>91</v>
      </c>
      <c r="BN40" s="1" t="s">
        <v>91</v>
      </c>
      <c r="BO40" s="1" t="s">
        <v>91</v>
      </c>
      <c r="BP40" s="1" t="s">
        <v>91</v>
      </c>
      <c r="BQ40" t="s">
        <v>91</v>
      </c>
      <c r="BR40" s="3">
        <v>45113</v>
      </c>
      <c r="BS40" s="3"/>
      <c r="BT40" t="s">
        <v>91</v>
      </c>
      <c r="BU40" t="s">
        <v>91</v>
      </c>
      <c r="BW40" s="1" t="s">
        <v>90</v>
      </c>
    </row>
    <row r="41" spans="1:75" x14ac:dyDescent="0.35">
      <c r="A41">
        <v>137968</v>
      </c>
      <c r="B41" s="1" t="s">
        <v>75</v>
      </c>
      <c r="C41">
        <v>80</v>
      </c>
      <c r="D41">
        <v>11121001</v>
      </c>
      <c r="E41">
        <v>121001</v>
      </c>
      <c r="F41" s="1" t="s">
        <v>76</v>
      </c>
      <c r="G41" s="1" t="s">
        <v>383</v>
      </c>
      <c r="H41">
        <v>0</v>
      </c>
      <c r="I41" s="1" t="s">
        <v>78</v>
      </c>
      <c r="J41" s="1" t="s">
        <v>384</v>
      </c>
      <c r="K41" s="1" t="s">
        <v>385</v>
      </c>
      <c r="L41" t="s">
        <v>91</v>
      </c>
      <c r="M41" t="s">
        <v>91</v>
      </c>
      <c r="N41" s="1" t="s">
        <v>386</v>
      </c>
      <c r="O41" t="s">
        <v>91</v>
      </c>
      <c r="P41" s="1" t="s">
        <v>387</v>
      </c>
      <c r="Q41" s="1" t="s">
        <v>388</v>
      </c>
      <c r="R41" s="1" t="s">
        <v>91</v>
      </c>
      <c r="S41">
        <v>1285</v>
      </c>
      <c r="T41">
        <v>89665000</v>
      </c>
      <c r="U41" s="1" t="s">
        <v>108</v>
      </c>
      <c r="V41" s="1" t="s">
        <v>389</v>
      </c>
      <c r="W41" s="1" t="s">
        <v>87</v>
      </c>
      <c r="X41">
        <v>49</v>
      </c>
      <c r="Y41">
        <v>35551709</v>
      </c>
      <c r="Z41" t="s">
        <v>91</v>
      </c>
      <c r="AA41" t="s">
        <v>91</v>
      </c>
      <c r="AB41" t="s">
        <v>91</v>
      </c>
      <c r="AC41" t="s">
        <v>91</v>
      </c>
      <c r="AD41" t="s">
        <v>91</v>
      </c>
      <c r="AE41" t="s">
        <v>91</v>
      </c>
      <c r="AF41" t="s">
        <v>91</v>
      </c>
      <c r="AG41" s="1" t="s">
        <v>146</v>
      </c>
      <c r="AH41" s="1" t="s">
        <v>91</v>
      </c>
      <c r="AI41" t="s">
        <v>91</v>
      </c>
      <c r="AM41" t="s">
        <v>91</v>
      </c>
      <c r="AN41" t="s">
        <v>91</v>
      </c>
      <c r="AO41" t="s">
        <v>91</v>
      </c>
      <c r="AP41" t="s">
        <v>91</v>
      </c>
      <c r="AQ41" s="1" t="s">
        <v>147</v>
      </c>
      <c r="AR41" s="1" t="s">
        <v>147</v>
      </c>
      <c r="AS41" s="1" t="s">
        <v>147</v>
      </c>
      <c r="AT41" s="1" t="s">
        <v>147</v>
      </c>
      <c r="AU41" s="1" t="s">
        <v>147</v>
      </c>
      <c r="AV41" t="s">
        <v>91</v>
      </c>
      <c r="AW41" t="s">
        <v>91</v>
      </c>
      <c r="AX41" t="s">
        <v>91</v>
      </c>
      <c r="AY41" t="s">
        <v>91</v>
      </c>
      <c r="AZ41" t="s">
        <v>91</v>
      </c>
      <c r="BA41" t="s">
        <v>91</v>
      </c>
      <c r="BB41" s="2">
        <v>44378.578518518516</v>
      </c>
      <c r="BC41" s="2">
        <v>44684.735034722224</v>
      </c>
      <c r="BD41" t="s">
        <v>91</v>
      </c>
      <c r="BF41" s="1" t="s">
        <v>75</v>
      </c>
      <c r="BH41">
        <v>0</v>
      </c>
      <c r="BI41" s="1" t="s">
        <v>88</v>
      </c>
      <c r="BJ41">
        <v>1</v>
      </c>
      <c r="BK41" s="1" t="s">
        <v>89</v>
      </c>
      <c r="BL41" t="s">
        <v>91</v>
      </c>
      <c r="BM41" s="1" t="s">
        <v>164</v>
      </c>
      <c r="BN41" s="1" t="s">
        <v>110</v>
      </c>
      <c r="BO41" s="1" t="s">
        <v>165</v>
      </c>
      <c r="BP41" s="1" t="s">
        <v>91</v>
      </c>
      <c r="BQ41" t="s">
        <v>91</v>
      </c>
      <c r="BR41" s="3">
        <v>44378</v>
      </c>
      <c r="BS41" s="3">
        <v>44684</v>
      </c>
      <c r="BT41" t="s">
        <v>91</v>
      </c>
      <c r="BU41" t="s">
        <v>91</v>
      </c>
      <c r="BW41" s="1" t="s">
        <v>390</v>
      </c>
    </row>
    <row r="42" spans="1:75" x14ac:dyDescent="0.35">
      <c r="A42">
        <v>157554</v>
      </c>
      <c r="B42" s="1" t="s">
        <v>75</v>
      </c>
      <c r="C42">
        <v>80</v>
      </c>
      <c r="D42">
        <v>11121001</v>
      </c>
      <c r="E42">
        <v>121001</v>
      </c>
      <c r="F42" s="1" t="s">
        <v>76</v>
      </c>
      <c r="G42" s="1" t="s">
        <v>391</v>
      </c>
      <c r="H42">
        <v>0</v>
      </c>
      <c r="I42" s="1" t="s">
        <v>78</v>
      </c>
      <c r="J42" s="1" t="s">
        <v>392</v>
      </c>
      <c r="K42" s="1" t="s">
        <v>393</v>
      </c>
      <c r="L42" t="s">
        <v>91</v>
      </c>
      <c r="M42" t="s">
        <v>91</v>
      </c>
      <c r="N42" s="1" t="s">
        <v>394</v>
      </c>
      <c r="O42" t="s">
        <v>91</v>
      </c>
      <c r="P42" s="1" t="s">
        <v>395</v>
      </c>
      <c r="Q42" s="1" t="s">
        <v>396</v>
      </c>
      <c r="R42" s="1" t="s">
        <v>397</v>
      </c>
      <c r="S42">
        <v>1287</v>
      </c>
      <c r="T42">
        <v>89810090</v>
      </c>
      <c r="U42" s="1" t="s">
        <v>398</v>
      </c>
      <c r="V42" s="1" t="s">
        <v>86</v>
      </c>
      <c r="W42" s="1" t="s">
        <v>87</v>
      </c>
      <c r="X42">
        <v>49</v>
      </c>
      <c r="Y42">
        <v>33312311</v>
      </c>
      <c r="Z42" t="s">
        <v>91</v>
      </c>
      <c r="AA42" t="s">
        <v>91</v>
      </c>
      <c r="AB42" t="s">
        <v>91</v>
      </c>
      <c r="AC42" t="s">
        <v>91</v>
      </c>
      <c r="AD42" t="s">
        <v>91</v>
      </c>
      <c r="AE42" t="s">
        <v>91</v>
      </c>
      <c r="AF42" t="s">
        <v>91</v>
      </c>
      <c r="AG42" s="1" t="s">
        <v>91</v>
      </c>
      <c r="AH42" s="1" t="s">
        <v>91</v>
      </c>
      <c r="AI42" t="s">
        <v>91</v>
      </c>
      <c r="AM42" t="s">
        <v>91</v>
      </c>
      <c r="AN42" t="s">
        <v>91</v>
      </c>
      <c r="AO42" t="s">
        <v>91</v>
      </c>
      <c r="AP42" t="s">
        <v>91</v>
      </c>
      <c r="AQ42" s="1" t="s">
        <v>91</v>
      </c>
      <c r="AR42" s="1" t="s">
        <v>91</v>
      </c>
      <c r="AS42" s="1" t="s">
        <v>91</v>
      </c>
      <c r="AT42" s="1" t="s">
        <v>91</v>
      </c>
      <c r="AU42" s="1" t="s">
        <v>91</v>
      </c>
      <c r="AV42" t="s">
        <v>91</v>
      </c>
      <c r="AW42" t="s">
        <v>91</v>
      </c>
      <c r="AX42" t="s">
        <v>91</v>
      </c>
      <c r="AY42" t="s">
        <v>91</v>
      </c>
      <c r="AZ42" t="s">
        <v>91</v>
      </c>
      <c r="BA42" t="s">
        <v>91</v>
      </c>
      <c r="BB42" s="2">
        <v>45118.093391203707</v>
      </c>
      <c r="BC42" s="2"/>
      <c r="BD42" t="s">
        <v>91</v>
      </c>
      <c r="BF42" s="1" t="s">
        <v>75</v>
      </c>
      <c r="BI42" s="1" t="s">
        <v>88</v>
      </c>
      <c r="BJ42">
        <v>1</v>
      </c>
      <c r="BK42" s="1" t="s">
        <v>89</v>
      </c>
      <c r="BL42" t="s">
        <v>91</v>
      </c>
      <c r="BM42" s="1" t="s">
        <v>91</v>
      </c>
      <c r="BN42" s="1" t="s">
        <v>91</v>
      </c>
      <c r="BO42" s="1" t="s">
        <v>91</v>
      </c>
      <c r="BP42" s="1" t="s">
        <v>91</v>
      </c>
      <c r="BQ42" t="s">
        <v>91</v>
      </c>
      <c r="BR42" s="3">
        <v>45118</v>
      </c>
      <c r="BS42" s="3"/>
      <c r="BT42" t="s">
        <v>91</v>
      </c>
      <c r="BU42" t="s">
        <v>91</v>
      </c>
      <c r="BW42" s="1" t="s">
        <v>90</v>
      </c>
    </row>
    <row r="43" spans="1:75" x14ac:dyDescent="0.35">
      <c r="A43">
        <v>137970</v>
      </c>
      <c r="B43" s="1" t="s">
        <v>75</v>
      </c>
      <c r="C43">
        <v>80</v>
      </c>
      <c r="D43">
        <v>11121001</v>
      </c>
      <c r="E43">
        <v>121001</v>
      </c>
      <c r="F43" s="1" t="s">
        <v>76</v>
      </c>
      <c r="G43" s="1" t="s">
        <v>399</v>
      </c>
      <c r="H43">
        <v>0</v>
      </c>
      <c r="I43" s="1" t="s">
        <v>78</v>
      </c>
      <c r="J43" s="1" t="s">
        <v>400</v>
      </c>
      <c r="K43" s="1" t="s">
        <v>401</v>
      </c>
      <c r="L43" t="s">
        <v>91</v>
      </c>
      <c r="M43" t="s">
        <v>91</v>
      </c>
      <c r="N43" s="1" t="s">
        <v>402</v>
      </c>
      <c r="O43" t="s">
        <v>91</v>
      </c>
      <c r="P43" s="1" t="s">
        <v>403</v>
      </c>
      <c r="Q43" s="1" t="s">
        <v>404</v>
      </c>
      <c r="R43" s="1" t="s">
        <v>147</v>
      </c>
      <c r="S43">
        <v>1287</v>
      </c>
      <c r="T43">
        <v>89801000</v>
      </c>
      <c r="U43" s="1" t="s">
        <v>108</v>
      </c>
      <c r="V43" s="1" t="s">
        <v>337</v>
      </c>
      <c r="W43" s="1" t="s">
        <v>87</v>
      </c>
      <c r="X43">
        <v>49</v>
      </c>
      <c r="Y43">
        <v>33196800</v>
      </c>
      <c r="Z43" t="s">
        <v>91</v>
      </c>
      <c r="AA43" t="s">
        <v>91</v>
      </c>
      <c r="AB43" t="s">
        <v>91</v>
      </c>
      <c r="AC43" t="s">
        <v>91</v>
      </c>
      <c r="AD43" t="s">
        <v>91</v>
      </c>
      <c r="AE43" t="s">
        <v>91</v>
      </c>
      <c r="AF43" t="s">
        <v>91</v>
      </c>
      <c r="AG43" s="1" t="s">
        <v>146</v>
      </c>
      <c r="AH43" s="1" t="s">
        <v>91</v>
      </c>
      <c r="AI43" t="s">
        <v>91</v>
      </c>
      <c r="AM43" t="s">
        <v>91</v>
      </c>
      <c r="AN43" t="s">
        <v>91</v>
      </c>
      <c r="AO43" t="s">
        <v>91</v>
      </c>
      <c r="AP43" t="s">
        <v>91</v>
      </c>
      <c r="AQ43" s="1" t="s">
        <v>147</v>
      </c>
      <c r="AR43" s="1" t="s">
        <v>147</v>
      </c>
      <c r="AS43" s="1" t="s">
        <v>147</v>
      </c>
      <c r="AT43" s="1" t="s">
        <v>147</v>
      </c>
      <c r="AU43" s="1" t="s">
        <v>147</v>
      </c>
      <c r="AV43" t="s">
        <v>91</v>
      </c>
      <c r="AW43" t="s">
        <v>91</v>
      </c>
      <c r="AX43" t="s">
        <v>91</v>
      </c>
      <c r="AY43" t="s">
        <v>91</v>
      </c>
      <c r="AZ43" t="s">
        <v>91</v>
      </c>
      <c r="BA43" t="s">
        <v>91</v>
      </c>
      <c r="BB43" s="2">
        <v>44378.578518518516</v>
      </c>
      <c r="BC43" s="2">
        <v>44539.469490740739</v>
      </c>
      <c r="BD43" t="s">
        <v>91</v>
      </c>
      <c r="BF43" s="1" t="s">
        <v>75</v>
      </c>
      <c r="BH43">
        <v>0</v>
      </c>
      <c r="BI43" s="1" t="s">
        <v>88</v>
      </c>
      <c r="BJ43">
        <v>1</v>
      </c>
      <c r="BK43" s="1" t="s">
        <v>89</v>
      </c>
      <c r="BL43" t="s">
        <v>91</v>
      </c>
      <c r="BM43" s="1" t="s">
        <v>109</v>
      </c>
      <c r="BN43" s="1" t="s">
        <v>110</v>
      </c>
      <c r="BO43" s="1" t="s">
        <v>91</v>
      </c>
      <c r="BP43" s="1" t="s">
        <v>91</v>
      </c>
      <c r="BQ43" t="s">
        <v>91</v>
      </c>
      <c r="BR43" s="3">
        <v>44378</v>
      </c>
      <c r="BS43" s="3">
        <v>44539</v>
      </c>
      <c r="BT43" t="s">
        <v>91</v>
      </c>
      <c r="BU43" t="s">
        <v>91</v>
      </c>
      <c r="BW43" s="1" t="s">
        <v>90</v>
      </c>
    </row>
    <row r="44" spans="1:75" x14ac:dyDescent="0.35">
      <c r="A44">
        <v>156764</v>
      </c>
      <c r="B44" s="1" t="s">
        <v>75</v>
      </c>
      <c r="C44">
        <v>80</v>
      </c>
      <c r="D44">
        <v>11121001</v>
      </c>
      <c r="E44">
        <v>121001</v>
      </c>
      <c r="F44" s="1" t="s">
        <v>76</v>
      </c>
      <c r="G44" s="1" t="s">
        <v>405</v>
      </c>
      <c r="H44">
        <v>0</v>
      </c>
      <c r="I44" s="1" t="s">
        <v>78</v>
      </c>
      <c r="J44" s="1" t="s">
        <v>406</v>
      </c>
      <c r="K44" s="1" t="s">
        <v>407</v>
      </c>
      <c r="L44" t="s">
        <v>91</v>
      </c>
      <c r="M44" t="s">
        <v>91</v>
      </c>
      <c r="N44" s="1" t="s">
        <v>408</v>
      </c>
      <c r="O44" t="s">
        <v>91</v>
      </c>
      <c r="P44" s="1" t="s">
        <v>409</v>
      </c>
      <c r="Q44" s="1" t="s">
        <v>211</v>
      </c>
      <c r="R44" s="1" t="s">
        <v>410</v>
      </c>
      <c r="S44">
        <v>1279</v>
      </c>
      <c r="T44">
        <v>89223005</v>
      </c>
      <c r="U44" s="1" t="s">
        <v>213</v>
      </c>
      <c r="V44" s="1" t="s">
        <v>100</v>
      </c>
      <c r="W44" s="1" t="s">
        <v>87</v>
      </c>
      <c r="X44">
        <v>42</v>
      </c>
      <c r="Y44">
        <v>999551414</v>
      </c>
      <c r="Z44" t="s">
        <v>91</v>
      </c>
      <c r="AA44" t="s">
        <v>91</v>
      </c>
      <c r="AB44" t="s">
        <v>91</v>
      </c>
      <c r="AC44" t="s">
        <v>91</v>
      </c>
      <c r="AD44" t="s">
        <v>91</v>
      </c>
      <c r="AE44" t="s">
        <v>91</v>
      </c>
      <c r="AF44" t="s">
        <v>91</v>
      </c>
      <c r="AG44" s="1" t="s">
        <v>91</v>
      </c>
      <c r="AH44" s="1" t="s">
        <v>91</v>
      </c>
      <c r="AI44" t="s">
        <v>91</v>
      </c>
      <c r="AM44" t="s">
        <v>91</v>
      </c>
      <c r="AN44" t="s">
        <v>91</v>
      </c>
      <c r="AO44" t="s">
        <v>91</v>
      </c>
      <c r="AP44" t="s">
        <v>91</v>
      </c>
      <c r="AQ44" s="1" t="s">
        <v>91</v>
      </c>
      <c r="AR44" s="1" t="s">
        <v>91</v>
      </c>
      <c r="AS44" s="1" t="s">
        <v>91</v>
      </c>
      <c r="AT44" s="1" t="s">
        <v>91</v>
      </c>
      <c r="AU44" s="1" t="s">
        <v>91</v>
      </c>
      <c r="AV44" t="s">
        <v>91</v>
      </c>
      <c r="AW44" t="s">
        <v>91</v>
      </c>
      <c r="AX44" t="s">
        <v>91</v>
      </c>
      <c r="AY44" t="s">
        <v>91</v>
      </c>
      <c r="AZ44" t="s">
        <v>91</v>
      </c>
      <c r="BA44" t="s">
        <v>91</v>
      </c>
      <c r="BB44" s="2">
        <v>45113.505416666667</v>
      </c>
      <c r="BC44" s="2"/>
      <c r="BD44" t="s">
        <v>91</v>
      </c>
      <c r="BF44" s="1" t="s">
        <v>75</v>
      </c>
      <c r="BI44" s="1" t="s">
        <v>88</v>
      </c>
      <c r="BJ44">
        <v>1</v>
      </c>
      <c r="BK44" s="1" t="s">
        <v>89</v>
      </c>
      <c r="BL44" t="s">
        <v>91</v>
      </c>
      <c r="BM44" s="1" t="s">
        <v>91</v>
      </c>
      <c r="BN44" s="1" t="s">
        <v>91</v>
      </c>
      <c r="BO44" s="1" t="s">
        <v>91</v>
      </c>
      <c r="BP44" s="1" t="s">
        <v>91</v>
      </c>
      <c r="BQ44" t="s">
        <v>91</v>
      </c>
      <c r="BR44" s="3">
        <v>45113</v>
      </c>
      <c r="BS44" s="3"/>
      <c r="BT44" t="s">
        <v>91</v>
      </c>
      <c r="BU44" t="s">
        <v>91</v>
      </c>
      <c r="BW44" s="1" t="s">
        <v>90</v>
      </c>
    </row>
    <row r="45" spans="1:75" x14ac:dyDescent="0.35">
      <c r="A45">
        <v>144498</v>
      </c>
      <c r="B45" s="1" t="s">
        <v>75</v>
      </c>
      <c r="C45">
        <v>80</v>
      </c>
      <c r="D45">
        <v>11121001</v>
      </c>
      <c r="E45">
        <v>121001</v>
      </c>
      <c r="F45" s="1" t="s">
        <v>76</v>
      </c>
      <c r="G45" s="1" t="s">
        <v>411</v>
      </c>
      <c r="I45" s="1" t="s">
        <v>78</v>
      </c>
      <c r="J45" s="1" t="s">
        <v>412</v>
      </c>
      <c r="K45" s="1" t="s">
        <v>413</v>
      </c>
      <c r="L45" t="s">
        <v>91</v>
      </c>
      <c r="M45" t="s">
        <v>91</v>
      </c>
      <c r="N45" s="1" t="s">
        <v>414</v>
      </c>
      <c r="O45" t="s">
        <v>91</v>
      </c>
      <c r="P45" s="1" t="s">
        <v>415</v>
      </c>
      <c r="Q45" s="1" t="s">
        <v>416</v>
      </c>
      <c r="R45" s="1" t="s">
        <v>417</v>
      </c>
      <c r="T45">
        <v>89204901</v>
      </c>
      <c r="U45" s="1" t="s">
        <v>418</v>
      </c>
      <c r="V45" s="1" t="s">
        <v>100</v>
      </c>
      <c r="W45" s="1" t="s">
        <v>87</v>
      </c>
      <c r="X45">
        <v>47</v>
      </c>
      <c r="Y45">
        <v>30139990</v>
      </c>
      <c r="Z45" t="s">
        <v>91</v>
      </c>
      <c r="AA45" t="s">
        <v>91</v>
      </c>
      <c r="AB45" t="s">
        <v>91</v>
      </c>
      <c r="AC45" t="s">
        <v>91</v>
      </c>
      <c r="AD45" t="s">
        <v>91</v>
      </c>
      <c r="AE45" t="s">
        <v>91</v>
      </c>
      <c r="AF45" t="s">
        <v>91</v>
      </c>
      <c r="AG45" s="1" t="s">
        <v>91</v>
      </c>
      <c r="AH45" s="1" t="s">
        <v>91</v>
      </c>
      <c r="AI45" t="s">
        <v>91</v>
      </c>
      <c r="AJ45">
        <v>0</v>
      </c>
      <c r="AK45">
        <v>0</v>
      </c>
      <c r="AL45">
        <v>0</v>
      </c>
      <c r="AM45" t="s">
        <v>91</v>
      </c>
      <c r="AN45" t="s">
        <v>91</v>
      </c>
      <c r="AO45" t="s">
        <v>91</v>
      </c>
      <c r="AP45" t="s">
        <v>91</v>
      </c>
      <c r="AQ45" s="1" t="s">
        <v>91</v>
      </c>
      <c r="AR45" s="1" t="s">
        <v>91</v>
      </c>
      <c r="AS45" s="1" t="s">
        <v>91</v>
      </c>
      <c r="AT45" s="1" t="s">
        <v>91</v>
      </c>
      <c r="AU45" s="1" t="s">
        <v>91</v>
      </c>
      <c r="AV45" t="s">
        <v>91</v>
      </c>
      <c r="AW45" t="s">
        <v>91</v>
      </c>
      <c r="AX45" t="s">
        <v>91</v>
      </c>
      <c r="AY45" t="s">
        <v>91</v>
      </c>
      <c r="AZ45" t="s">
        <v>91</v>
      </c>
      <c r="BA45" t="s">
        <v>91</v>
      </c>
      <c r="BB45" s="2"/>
      <c r="BC45" s="2"/>
      <c r="BD45" t="s">
        <v>91</v>
      </c>
      <c r="BF45" s="1" t="s">
        <v>75</v>
      </c>
      <c r="BG45">
        <v>0</v>
      </c>
      <c r="BH45">
        <v>0</v>
      </c>
      <c r="BI45" s="1" t="s">
        <v>88</v>
      </c>
      <c r="BJ45">
        <v>1</v>
      </c>
      <c r="BK45" s="1" t="s">
        <v>89</v>
      </c>
      <c r="BL45" t="s">
        <v>91</v>
      </c>
      <c r="BM45" s="1" t="s">
        <v>109</v>
      </c>
      <c r="BN45" s="1" t="s">
        <v>148</v>
      </c>
      <c r="BO45" s="1" t="s">
        <v>165</v>
      </c>
      <c r="BP45" s="1" t="s">
        <v>91</v>
      </c>
      <c r="BQ45" t="s">
        <v>91</v>
      </c>
      <c r="BR45" s="3"/>
      <c r="BS45" s="3"/>
      <c r="BT45" t="s">
        <v>91</v>
      </c>
      <c r="BU45" t="s">
        <v>91</v>
      </c>
      <c r="BV45">
        <v>5</v>
      </c>
      <c r="BW45" s="1" t="s">
        <v>419</v>
      </c>
    </row>
    <row r="46" spans="1:75" x14ac:dyDescent="0.35">
      <c r="A46">
        <v>144587</v>
      </c>
      <c r="B46" s="1" t="s">
        <v>75</v>
      </c>
      <c r="C46">
        <v>80</v>
      </c>
      <c r="D46">
        <v>11121001</v>
      </c>
      <c r="E46">
        <v>121001</v>
      </c>
      <c r="F46" s="1" t="s">
        <v>76</v>
      </c>
      <c r="G46" s="1" t="s">
        <v>420</v>
      </c>
      <c r="I46" s="1" t="s">
        <v>78</v>
      </c>
      <c r="J46" s="1" t="s">
        <v>421</v>
      </c>
      <c r="K46" s="1" t="s">
        <v>422</v>
      </c>
      <c r="L46" t="s">
        <v>91</v>
      </c>
      <c r="M46" t="s">
        <v>91</v>
      </c>
      <c r="N46" s="1" t="s">
        <v>423</v>
      </c>
      <c r="O46" t="s">
        <v>91</v>
      </c>
      <c r="P46" s="1" t="s">
        <v>424</v>
      </c>
      <c r="Q46" s="1" t="s">
        <v>425</v>
      </c>
      <c r="R46" s="1" t="s">
        <v>370</v>
      </c>
      <c r="T46">
        <v>89227545</v>
      </c>
      <c r="U46" s="1" t="s">
        <v>426</v>
      </c>
      <c r="V46" s="1" t="s">
        <v>100</v>
      </c>
      <c r="W46" s="1" t="s">
        <v>87</v>
      </c>
      <c r="X46">
        <v>47</v>
      </c>
      <c r="Y46">
        <v>30283582</v>
      </c>
      <c r="Z46" t="s">
        <v>91</v>
      </c>
      <c r="AA46" t="s">
        <v>91</v>
      </c>
      <c r="AB46" t="s">
        <v>91</v>
      </c>
      <c r="AC46" t="s">
        <v>91</v>
      </c>
      <c r="AD46" t="s">
        <v>91</v>
      </c>
      <c r="AE46" t="s">
        <v>91</v>
      </c>
      <c r="AF46" t="s">
        <v>91</v>
      </c>
      <c r="AG46" s="1" t="s">
        <v>91</v>
      </c>
      <c r="AH46" s="1" t="s">
        <v>91</v>
      </c>
      <c r="AI46" t="s">
        <v>91</v>
      </c>
      <c r="AJ46">
        <v>0</v>
      </c>
      <c r="AK46">
        <v>0</v>
      </c>
      <c r="AL46">
        <v>0</v>
      </c>
      <c r="AM46" t="s">
        <v>91</v>
      </c>
      <c r="AN46" t="s">
        <v>91</v>
      </c>
      <c r="AO46" t="s">
        <v>91</v>
      </c>
      <c r="AP46" t="s">
        <v>91</v>
      </c>
      <c r="AQ46" s="1" t="s">
        <v>91</v>
      </c>
      <c r="AR46" s="1" t="s">
        <v>91</v>
      </c>
      <c r="AS46" s="1" t="s">
        <v>91</v>
      </c>
      <c r="AT46" s="1" t="s">
        <v>91</v>
      </c>
      <c r="AU46" s="1" t="s">
        <v>91</v>
      </c>
      <c r="AV46" t="s">
        <v>91</v>
      </c>
      <c r="AW46" t="s">
        <v>91</v>
      </c>
      <c r="AX46" t="s">
        <v>91</v>
      </c>
      <c r="AY46" t="s">
        <v>91</v>
      </c>
      <c r="AZ46" t="s">
        <v>91</v>
      </c>
      <c r="BA46" t="s">
        <v>91</v>
      </c>
      <c r="BB46" s="2"/>
      <c r="BC46" s="2"/>
      <c r="BD46" t="s">
        <v>91</v>
      </c>
      <c r="BF46" s="1" t="s">
        <v>75</v>
      </c>
      <c r="BG46">
        <v>0</v>
      </c>
      <c r="BH46">
        <v>0</v>
      </c>
      <c r="BI46" s="1" t="s">
        <v>88</v>
      </c>
      <c r="BJ46">
        <v>1</v>
      </c>
      <c r="BK46" s="1" t="s">
        <v>89</v>
      </c>
      <c r="BL46" t="s">
        <v>91</v>
      </c>
      <c r="BM46" s="1" t="s">
        <v>109</v>
      </c>
      <c r="BN46" s="1" t="s">
        <v>110</v>
      </c>
      <c r="BO46" s="1" t="s">
        <v>111</v>
      </c>
      <c r="BP46" s="1" t="s">
        <v>91</v>
      </c>
      <c r="BQ46" t="s">
        <v>91</v>
      </c>
      <c r="BR46" s="3"/>
      <c r="BS46" s="3"/>
      <c r="BT46" t="s">
        <v>91</v>
      </c>
      <c r="BU46" t="s">
        <v>91</v>
      </c>
      <c r="BV46">
        <v>9</v>
      </c>
      <c r="BW46" s="1" t="s">
        <v>427</v>
      </c>
    </row>
    <row r="47" spans="1:75" x14ac:dyDescent="0.35">
      <c r="A47">
        <v>144247</v>
      </c>
      <c r="B47" s="1" t="s">
        <v>75</v>
      </c>
      <c r="C47">
        <v>80</v>
      </c>
      <c r="D47">
        <v>11121001</v>
      </c>
      <c r="E47">
        <v>121001</v>
      </c>
      <c r="F47" s="1" t="s">
        <v>76</v>
      </c>
      <c r="G47" s="1" t="s">
        <v>428</v>
      </c>
      <c r="H47">
        <v>0</v>
      </c>
      <c r="I47" s="1" t="s">
        <v>78</v>
      </c>
      <c r="J47" s="1" t="s">
        <v>429</v>
      </c>
      <c r="K47" s="1" t="s">
        <v>430</v>
      </c>
      <c r="L47" t="s">
        <v>91</v>
      </c>
      <c r="M47" t="s">
        <v>91</v>
      </c>
      <c r="N47" s="1" t="s">
        <v>431</v>
      </c>
      <c r="O47" t="s">
        <v>91</v>
      </c>
      <c r="P47" s="1" t="s">
        <v>432</v>
      </c>
      <c r="Q47" s="1" t="s">
        <v>433</v>
      </c>
      <c r="R47" s="1" t="s">
        <v>434</v>
      </c>
      <c r="T47">
        <v>89700085</v>
      </c>
      <c r="U47" s="1" t="s">
        <v>108</v>
      </c>
      <c r="V47" s="1" t="s">
        <v>435</v>
      </c>
      <c r="W47" s="1" t="s">
        <v>87</v>
      </c>
      <c r="X47">
        <v>49</v>
      </c>
      <c r="Y47">
        <v>34427145</v>
      </c>
      <c r="Z47" t="s">
        <v>91</v>
      </c>
      <c r="AA47" t="s">
        <v>91</v>
      </c>
      <c r="AB47" t="s">
        <v>91</v>
      </c>
      <c r="AC47" t="s">
        <v>91</v>
      </c>
      <c r="AD47" t="s">
        <v>91</v>
      </c>
      <c r="AE47" t="s">
        <v>91</v>
      </c>
      <c r="AF47" t="s">
        <v>91</v>
      </c>
      <c r="AG47" s="1" t="s">
        <v>91</v>
      </c>
      <c r="AH47" s="1" t="s">
        <v>91</v>
      </c>
      <c r="AI47" t="s">
        <v>91</v>
      </c>
      <c r="AM47" t="s">
        <v>91</v>
      </c>
      <c r="AN47" t="s">
        <v>91</v>
      </c>
      <c r="AO47" t="s">
        <v>91</v>
      </c>
      <c r="AP47" t="s">
        <v>91</v>
      </c>
      <c r="AQ47" s="1" t="s">
        <v>91</v>
      </c>
      <c r="AR47" s="1" t="s">
        <v>91</v>
      </c>
      <c r="AS47" s="1" t="s">
        <v>91</v>
      </c>
      <c r="AT47" s="1" t="s">
        <v>91</v>
      </c>
      <c r="AU47" s="1" t="s">
        <v>91</v>
      </c>
      <c r="AV47" t="s">
        <v>91</v>
      </c>
      <c r="AW47" t="s">
        <v>91</v>
      </c>
      <c r="AX47" t="s">
        <v>91</v>
      </c>
      <c r="AY47" t="s">
        <v>91</v>
      </c>
      <c r="AZ47" t="s">
        <v>91</v>
      </c>
      <c r="BA47" t="s">
        <v>91</v>
      </c>
      <c r="BB47" s="2">
        <v>44543.632280092592</v>
      </c>
      <c r="BC47" s="2"/>
      <c r="BD47" t="s">
        <v>91</v>
      </c>
      <c r="BF47" s="1" t="s">
        <v>75</v>
      </c>
      <c r="BI47" s="1" t="s">
        <v>88</v>
      </c>
      <c r="BJ47">
        <v>1</v>
      </c>
      <c r="BK47" s="1" t="s">
        <v>89</v>
      </c>
      <c r="BL47" t="s">
        <v>91</v>
      </c>
      <c r="BM47" s="1" t="s">
        <v>109</v>
      </c>
      <c r="BN47" s="1" t="s">
        <v>91</v>
      </c>
      <c r="BO47" s="1" t="s">
        <v>165</v>
      </c>
      <c r="BP47" s="1" t="s">
        <v>91</v>
      </c>
      <c r="BQ47" t="s">
        <v>91</v>
      </c>
      <c r="BR47" s="3">
        <v>44543</v>
      </c>
      <c r="BS47" s="3"/>
      <c r="BT47" t="s">
        <v>91</v>
      </c>
      <c r="BU47" t="s">
        <v>91</v>
      </c>
      <c r="BW47" s="1" t="s">
        <v>268</v>
      </c>
    </row>
    <row r="48" spans="1:75" x14ac:dyDescent="0.35">
      <c r="A48">
        <v>157518</v>
      </c>
      <c r="B48" s="1" t="s">
        <v>75</v>
      </c>
      <c r="C48">
        <v>80</v>
      </c>
      <c r="D48">
        <v>11121001</v>
      </c>
      <c r="E48">
        <v>121001</v>
      </c>
      <c r="F48" s="1" t="s">
        <v>76</v>
      </c>
      <c r="G48" s="1" t="s">
        <v>436</v>
      </c>
      <c r="H48">
        <v>0</v>
      </c>
      <c r="I48" s="1" t="s">
        <v>78</v>
      </c>
      <c r="J48" s="1" t="s">
        <v>429</v>
      </c>
      <c r="K48" s="1" t="s">
        <v>437</v>
      </c>
      <c r="L48" t="s">
        <v>91</v>
      </c>
      <c r="M48" t="s">
        <v>91</v>
      </c>
      <c r="N48" s="1" t="s">
        <v>431</v>
      </c>
      <c r="O48" t="s">
        <v>91</v>
      </c>
      <c r="P48" s="1" t="s">
        <v>438</v>
      </c>
      <c r="Q48" s="1" t="s">
        <v>439</v>
      </c>
      <c r="R48" s="1" t="s">
        <v>370</v>
      </c>
      <c r="T48">
        <v>89700905</v>
      </c>
      <c r="U48" s="1" t="s">
        <v>108</v>
      </c>
      <c r="V48" s="1" t="s">
        <v>435</v>
      </c>
      <c r="W48" s="1" t="s">
        <v>87</v>
      </c>
      <c r="X48">
        <v>49</v>
      </c>
      <c r="Y48">
        <v>34448109</v>
      </c>
      <c r="Z48" t="s">
        <v>91</v>
      </c>
      <c r="AA48" t="s">
        <v>91</v>
      </c>
      <c r="AB48" t="s">
        <v>91</v>
      </c>
      <c r="AC48" t="s">
        <v>91</v>
      </c>
      <c r="AD48" t="s">
        <v>91</v>
      </c>
      <c r="AE48" t="s">
        <v>91</v>
      </c>
      <c r="AF48" t="s">
        <v>91</v>
      </c>
      <c r="AG48" s="1" t="s">
        <v>91</v>
      </c>
      <c r="AH48" s="1" t="s">
        <v>91</v>
      </c>
      <c r="AI48" t="s">
        <v>91</v>
      </c>
      <c r="AM48" t="s">
        <v>91</v>
      </c>
      <c r="AN48" t="s">
        <v>91</v>
      </c>
      <c r="AO48" t="s">
        <v>91</v>
      </c>
      <c r="AP48" t="s">
        <v>91</v>
      </c>
      <c r="AQ48" s="1" t="s">
        <v>91</v>
      </c>
      <c r="AR48" s="1" t="s">
        <v>91</v>
      </c>
      <c r="AS48" s="1" t="s">
        <v>91</v>
      </c>
      <c r="AT48" s="1" t="s">
        <v>91</v>
      </c>
      <c r="AU48" s="1" t="s">
        <v>91</v>
      </c>
      <c r="AV48" t="s">
        <v>91</v>
      </c>
      <c r="AW48" t="s">
        <v>91</v>
      </c>
      <c r="AX48" t="s">
        <v>91</v>
      </c>
      <c r="AY48" t="s">
        <v>91</v>
      </c>
      <c r="AZ48" t="s">
        <v>91</v>
      </c>
      <c r="BA48" t="s">
        <v>91</v>
      </c>
      <c r="BB48" s="2">
        <v>45118.093391203707</v>
      </c>
      <c r="BC48" s="2"/>
      <c r="BD48" t="s">
        <v>91</v>
      </c>
      <c r="BF48" s="1" t="s">
        <v>75</v>
      </c>
      <c r="BI48" s="1" t="s">
        <v>88</v>
      </c>
      <c r="BJ48">
        <v>1</v>
      </c>
      <c r="BK48" s="1" t="s">
        <v>89</v>
      </c>
      <c r="BL48" t="s">
        <v>91</v>
      </c>
      <c r="BM48" s="1" t="s">
        <v>91</v>
      </c>
      <c r="BN48" s="1" t="s">
        <v>91</v>
      </c>
      <c r="BO48" s="1" t="s">
        <v>91</v>
      </c>
      <c r="BP48" s="1" t="s">
        <v>91</v>
      </c>
      <c r="BQ48" t="s">
        <v>91</v>
      </c>
      <c r="BR48" s="3">
        <v>45118</v>
      </c>
      <c r="BS48" s="3"/>
      <c r="BT48" t="s">
        <v>91</v>
      </c>
      <c r="BU48" t="s">
        <v>91</v>
      </c>
      <c r="BW48" s="1" t="s">
        <v>268</v>
      </c>
    </row>
    <row r="49" spans="1:75" x14ac:dyDescent="0.35">
      <c r="A49">
        <v>120428</v>
      </c>
      <c r="B49" s="1" t="s">
        <v>75</v>
      </c>
      <c r="C49">
        <v>80</v>
      </c>
      <c r="D49">
        <v>11121001</v>
      </c>
      <c r="E49">
        <v>121001</v>
      </c>
      <c r="F49" s="1" t="s">
        <v>76</v>
      </c>
      <c r="G49" s="1" t="s">
        <v>440</v>
      </c>
      <c r="H49">
        <v>0</v>
      </c>
      <c r="I49" s="1" t="s">
        <v>78</v>
      </c>
      <c r="J49" s="1" t="s">
        <v>441</v>
      </c>
      <c r="K49" s="1" t="s">
        <v>442</v>
      </c>
      <c r="L49" t="s">
        <v>91</v>
      </c>
      <c r="M49" t="s">
        <v>91</v>
      </c>
      <c r="N49" s="1" t="s">
        <v>91</v>
      </c>
      <c r="O49" t="s">
        <v>91</v>
      </c>
      <c r="P49" s="1" t="s">
        <v>438</v>
      </c>
      <c r="Q49" s="1" t="s">
        <v>443</v>
      </c>
      <c r="R49" s="1" t="s">
        <v>173</v>
      </c>
      <c r="S49">
        <v>1286</v>
      </c>
      <c r="T49">
        <v>89700000</v>
      </c>
      <c r="U49" s="1" t="s">
        <v>108</v>
      </c>
      <c r="V49" s="1" t="s">
        <v>435</v>
      </c>
      <c r="W49" s="1" t="s">
        <v>87</v>
      </c>
      <c r="X49">
        <v>49</v>
      </c>
      <c r="Y49">
        <v>34422501</v>
      </c>
      <c r="Z49" t="s">
        <v>91</v>
      </c>
      <c r="AA49" t="s">
        <v>91</v>
      </c>
      <c r="AB49" t="s">
        <v>91</v>
      </c>
      <c r="AC49" t="s">
        <v>91</v>
      </c>
      <c r="AD49" t="s">
        <v>91</v>
      </c>
      <c r="AE49" t="s">
        <v>91</v>
      </c>
      <c r="AF49" t="s">
        <v>91</v>
      </c>
      <c r="AG49" s="1" t="s">
        <v>91</v>
      </c>
      <c r="AH49" s="1" t="s">
        <v>91</v>
      </c>
      <c r="AI49" t="s">
        <v>91</v>
      </c>
      <c r="AJ49">
        <v>0</v>
      </c>
      <c r="AK49">
        <v>0</v>
      </c>
      <c r="AL49">
        <v>0</v>
      </c>
      <c r="AM49" t="s">
        <v>91</v>
      </c>
      <c r="AN49" t="s">
        <v>91</v>
      </c>
      <c r="AO49" t="s">
        <v>91</v>
      </c>
      <c r="AP49" t="s">
        <v>91</v>
      </c>
      <c r="AQ49" s="1" t="s">
        <v>91</v>
      </c>
      <c r="AR49" s="1" t="s">
        <v>91</v>
      </c>
      <c r="AS49" s="1" t="s">
        <v>91</v>
      </c>
      <c r="AT49" s="1" t="s">
        <v>91</v>
      </c>
      <c r="AU49" s="1" t="s">
        <v>91</v>
      </c>
      <c r="AV49" t="s">
        <v>91</v>
      </c>
      <c r="AW49" t="s">
        <v>91</v>
      </c>
      <c r="AX49" t="s">
        <v>91</v>
      </c>
      <c r="AY49" t="s">
        <v>91</v>
      </c>
      <c r="AZ49" t="s">
        <v>91</v>
      </c>
      <c r="BA49" t="s">
        <v>91</v>
      </c>
      <c r="BB49" s="2">
        <v>44092.925393518519</v>
      </c>
      <c r="BC49" s="2"/>
      <c r="BD49" t="s">
        <v>91</v>
      </c>
      <c r="BF49" s="1" t="s">
        <v>75</v>
      </c>
      <c r="BG49">
        <v>0</v>
      </c>
      <c r="BH49">
        <v>0</v>
      </c>
      <c r="BI49" s="1" t="s">
        <v>88</v>
      </c>
      <c r="BJ49">
        <v>1</v>
      </c>
      <c r="BK49" s="1" t="s">
        <v>89</v>
      </c>
      <c r="BL49" t="s">
        <v>91</v>
      </c>
      <c r="BM49" s="1" t="s">
        <v>109</v>
      </c>
      <c r="BN49" s="1" t="s">
        <v>110</v>
      </c>
      <c r="BO49" s="1" t="s">
        <v>165</v>
      </c>
      <c r="BP49" s="1" t="s">
        <v>91</v>
      </c>
      <c r="BQ49" t="s">
        <v>91</v>
      </c>
      <c r="BR49" s="3">
        <v>44092</v>
      </c>
      <c r="BS49" s="3"/>
      <c r="BT49" t="s">
        <v>91</v>
      </c>
      <c r="BU49" t="s">
        <v>91</v>
      </c>
      <c r="BV49">
        <v>1</v>
      </c>
      <c r="BW49" s="1" t="s">
        <v>268</v>
      </c>
    </row>
    <row r="50" spans="1:75" x14ac:dyDescent="0.35">
      <c r="A50">
        <v>137973</v>
      </c>
      <c r="B50" s="1" t="s">
        <v>75</v>
      </c>
      <c r="C50">
        <v>80</v>
      </c>
      <c r="D50">
        <v>11121001</v>
      </c>
      <c r="E50">
        <v>121001</v>
      </c>
      <c r="F50" s="1" t="s">
        <v>76</v>
      </c>
      <c r="G50" s="1" t="s">
        <v>444</v>
      </c>
      <c r="H50">
        <v>0</v>
      </c>
      <c r="I50" s="1" t="s">
        <v>78</v>
      </c>
      <c r="J50" s="1" t="s">
        <v>445</v>
      </c>
      <c r="K50" s="1" t="s">
        <v>446</v>
      </c>
      <c r="L50" t="s">
        <v>91</v>
      </c>
      <c r="M50" t="s">
        <v>91</v>
      </c>
      <c r="N50" s="1" t="s">
        <v>447</v>
      </c>
      <c r="O50" t="s">
        <v>91</v>
      </c>
      <c r="P50" s="1" t="s">
        <v>448</v>
      </c>
      <c r="Q50" s="1" t="s">
        <v>449</v>
      </c>
      <c r="R50" s="1" t="s">
        <v>91</v>
      </c>
      <c r="T50">
        <v>89500145</v>
      </c>
      <c r="U50" s="1" t="s">
        <v>108</v>
      </c>
      <c r="V50" s="1" t="s">
        <v>450</v>
      </c>
      <c r="W50" s="1" t="s">
        <v>87</v>
      </c>
      <c r="X50">
        <v>49</v>
      </c>
      <c r="Y50">
        <v>35631172</v>
      </c>
      <c r="Z50" t="s">
        <v>91</v>
      </c>
      <c r="AA50" t="s">
        <v>91</v>
      </c>
      <c r="AB50" t="s">
        <v>91</v>
      </c>
      <c r="AC50" t="s">
        <v>91</v>
      </c>
      <c r="AD50" t="s">
        <v>91</v>
      </c>
      <c r="AE50" t="s">
        <v>91</v>
      </c>
      <c r="AF50" t="s">
        <v>91</v>
      </c>
      <c r="AG50" s="1" t="s">
        <v>146</v>
      </c>
      <c r="AH50" s="1" t="s">
        <v>91</v>
      </c>
      <c r="AI50" t="s">
        <v>91</v>
      </c>
      <c r="AM50" t="s">
        <v>91</v>
      </c>
      <c r="AN50" t="s">
        <v>91</v>
      </c>
      <c r="AO50" t="s">
        <v>91</v>
      </c>
      <c r="AP50" t="s">
        <v>91</v>
      </c>
      <c r="AQ50" s="1" t="s">
        <v>147</v>
      </c>
      <c r="AR50" s="1" t="s">
        <v>147</v>
      </c>
      <c r="AS50" s="1" t="s">
        <v>147</v>
      </c>
      <c r="AT50" s="1" t="s">
        <v>147</v>
      </c>
      <c r="AU50" s="1" t="s">
        <v>147</v>
      </c>
      <c r="AV50" t="s">
        <v>91</v>
      </c>
      <c r="AW50" t="s">
        <v>91</v>
      </c>
      <c r="AX50" t="s">
        <v>91</v>
      </c>
      <c r="AY50" t="s">
        <v>91</v>
      </c>
      <c r="AZ50" t="s">
        <v>91</v>
      </c>
      <c r="BA50" t="s">
        <v>91</v>
      </c>
      <c r="BB50" s="2">
        <v>44378.578518518516</v>
      </c>
      <c r="BC50" s="2">
        <v>44729.412928240738</v>
      </c>
      <c r="BD50" t="s">
        <v>91</v>
      </c>
      <c r="BF50" s="1" t="s">
        <v>75</v>
      </c>
      <c r="BH50">
        <v>0</v>
      </c>
      <c r="BI50" s="1" t="s">
        <v>88</v>
      </c>
      <c r="BJ50">
        <v>1</v>
      </c>
      <c r="BK50" s="1" t="s">
        <v>89</v>
      </c>
      <c r="BL50" t="s">
        <v>91</v>
      </c>
      <c r="BM50" s="1" t="s">
        <v>164</v>
      </c>
      <c r="BN50" s="1" t="s">
        <v>110</v>
      </c>
      <c r="BO50" s="1" t="s">
        <v>165</v>
      </c>
      <c r="BP50" s="1" t="s">
        <v>91</v>
      </c>
      <c r="BQ50" t="s">
        <v>91</v>
      </c>
      <c r="BR50" s="3">
        <v>44378</v>
      </c>
      <c r="BS50" s="3">
        <v>44729</v>
      </c>
      <c r="BT50" t="s">
        <v>91</v>
      </c>
      <c r="BU50" t="s">
        <v>91</v>
      </c>
      <c r="BW50" s="1" t="s">
        <v>90</v>
      </c>
    </row>
    <row r="51" spans="1:75" x14ac:dyDescent="0.35">
      <c r="A51">
        <v>157548</v>
      </c>
      <c r="B51" s="1" t="s">
        <v>75</v>
      </c>
      <c r="C51">
        <v>80</v>
      </c>
      <c r="D51">
        <v>11121001</v>
      </c>
      <c r="E51">
        <v>121001</v>
      </c>
      <c r="F51" s="1" t="s">
        <v>76</v>
      </c>
      <c r="G51" s="1" t="s">
        <v>451</v>
      </c>
      <c r="H51">
        <v>0</v>
      </c>
      <c r="I51" s="1" t="s">
        <v>78</v>
      </c>
      <c r="J51" s="1" t="s">
        <v>452</v>
      </c>
      <c r="K51" s="1" t="s">
        <v>453</v>
      </c>
      <c r="L51" t="s">
        <v>91</v>
      </c>
      <c r="M51" t="s">
        <v>91</v>
      </c>
      <c r="N51" s="1" t="s">
        <v>454</v>
      </c>
      <c r="O51" t="s">
        <v>91</v>
      </c>
      <c r="P51" s="1" t="s">
        <v>455</v>
      </c>
      <c r="Q51" s="1" t="s">
        <v>456</v>
      </c>
      <c r="R51" s="1" t="s">
        <v>457</v>
      </c>
      <c r="S51">
        <v>1287</v>
      </c>
      <c r="T51">
        <v>89802101</v>
      </c>
      <c r="U51" s="1" t="s">
        <v>458</v>
      </c>
      <c r="V51" s="1" t="s">
        <v>86</v>
      </c>
      <c r="W51" s="1" t="s">
        <v>87</v>
      </c>
      <c r="X51">
        <v>49</v>
      </c>
      <c r="Y51">
        <v>33221299</v>
      </c>
      <c r="Z51" t="s">
        <v>91</v>
      </c>
      <c r="AA51" t="s">
        <v>91</v>
      </c>
      <c r="AB51" t="s">
        <v>91</v>
      </c>
      <c r="AC51" t="s">
        <v>91</v>
      </c>
      <c r="AD51" t="s">
        <v>91</v>
      </c>
      <c r="AE51" t="s">
        <v>91</v>
      </c>
      <c r="AF51" t="s">
        <v>91</v>
      </c>
      <c r="AG51" s="1" t="s">
        <v>91</v>
      </c>
      <c r="AH51" s="1" t="s">
        <v>91</v>
      </c>
      <c r="AI51" t="s">
        <v>91</v>
      </c>
      <c r="AM51" t="s">
        <v>91</v>
      </c>
      <c r="AN51" t="s">
        <v>91</v>
      </c>
      <c r="AO51" t="s">
        <v>91</v>
      </c>
      <c r="AP51" t="s">
        <v>91</v>
      </c>
      <c r="AQ51" s="1" t="s">
        <v>91</v>
      </c>
      <c r="AR51" s="1" t="s">
        <v>91</v>
      </c>
      <c r="AS51" s="1" t="s">
        <v>91</v>
      </c>
      <c r="AT51" s="1" t="s">
        <v>91</v>
      </c>
      <c r="AU51" s="1" t="s">
        <v>91</v>
      </c>
      <c r="AV51" t="s">
        <v>91</v>
      </c>
      <c r="AW51" t="s">
        <v>91</v>
      </c>
      <c r="AX51" t="s">
        <v>91</v>
      </c>
      <c r="AY51" t="s">
        <v>91</v>
      </c>
      <c r="AZ51" t="s">
        <v>91</v>
      </c>
      <c r="BA51" t="s">
        <v>91</v>
      </c>
      <c r="BB51" s="2">
        <v>45118.093391203707</v>
      </c>
      <c r="BC51" s="2"/>
      <c r="BD51" t="s">
        <v>91</v>
      </c>
      <c r="BF51" s="1" t="s">
        <v>75</v>
      </c>
      <c r="BI51" s="1" t="s">
        <v>88</v>
      </c>
      <c r="BJ51">
        <v>1</v>
      </c>
      <c r="BK51" s="1" t="s">
        <v>89</v>
      </c>
      <c r="BL51" t="s">
        <v>91</v>
      </c>
      <c r="BM51" s="1" t="s">
        <v>91</v>
      </c>
      <c r="BN51" s="1" t="s">
        <v>91</v>
      </c>
      <c r="BO51" s="1" t="s">
        <v>91</v>
      </c>
      <c r="BP51" s="1" t="s">
        <v>91</v>
      </c>
      <c r="BQ51" t="s">
        <v>91</v>
      </c>
      <c r="BR51" s="3">
        <v>45118</v>
      </c>
      <c r="BS51" s="3"/>
      <c r="BT51" t="s">
        <v>91</v>
      </c>
      <c r="BU51" t="s">
        <v>91</v>
      </c>
      <c r="BW51" s="1" t="s">
        <v>90</v>
      </c>
    </row>
    <row r="52" spans="1:75" x14ac:dyDescent="0.35">
      <c r="A52">
        <v>156706</v>
      </c>
      <c r="B52" s="1" t="s">
        <v>75</v>
      </c>
      <c r="C52">
        <v>80</v>
      </c>
      <c r="D52">
        <v>11121001</v>
      </c>
      <c r="E52">
        <v>121001</v>
      </c>
      <c r="F52" s="1" t="s">
        <v>76</v>
      </c>
      <c r="G52" s="1" t="s">
        <v>459</v>
      </c>
      <c r="H52">
        <v>0</v>
      </c>
      <c r="I52" s="1" t="s">
        <v>78</v>
      </c>
      <c r="J52" s="1" t="s">
        <v>460</v>
      </c>
      <c r="K52" s="1" t="s">
        <v>461</v>
      </c>
      <c r="L52" t="s">
        <v>91</v>
      </c>
      <c r="M52" t="s">
        <v>91</v>
      </c>
      <c r="N52" s="1" t="s">
        <v>462</v>
      </c>
      <c r="O52" t="s">
        <v>91</v>
      </c>
      <c r="P52" s="1" t="s">
        <v>125</v>
      </c>
      <c r="Q52" s="1" t="s">
        <v>463</v>
      </c>
      <c r="R52" s="1" t="s">
        <v>173</v>
      </c>
      <c r="S52">
        <v>1277</v>
      </c>
      <c r="T52">
        <v>89201010</v>
      </c>
      <c r="U52" s="1" t="s">
        <v>108</v>
      </c>
      <c r="V52" s="1" t="s">
        <v>100</v>
      </c>
      <c r="W52" s="1" t="s">
        <v>87</v>
      </c>
      <c r="X52">
        <v>47</v>
      </c>
      <c r="Y52">
        <v>34338494</v>
      </c>
      <c r="Z52" t="s">
        <v>91</v>
      </c>
      <c r="AA52" t="s">
        <v>91</v>
      </c>
      <c r="AB52" t="s">
        <v>91</v>
      </c>
      <c r="AC52" t="s">
        <v>91</v>
      </c>
      <c r="AD52" t="s">
        <v>91</v>
      </c>
      <c r="AE52" t="s">
        <v>91</v>
      </c>
      <c r="AF52" t="s">
        <v>91</v>
      </c>
      <c r="AG52" s="1" t="s">
        <v>91</v>
      </c>
      <c r="AH52" s="1" t="s">
        <v>91</v>
      </c>
      <c r="AI52" t="s">
        <v>91</v>
      </c>
      <c r="AM52" t="s">
        <v>91</v>
      </c>
      <c r="AN52" t="s">
        <v>91</v>
      </c>
      <c r="AO52" t="s">
        <v>91</v>
      </c>
      <c r="AP52" t="s">
        <v>91</v>
      </c>
      <c r="AQ52" s="1" t="s">
        <v>91</v>
      </c>
      <c r="AR52" s="1" t="s">
        <v>91</v>
      </c>
      <c r="AS52" s="1" t="s">
        <v>91</v>
      </c>
      <c r="AT52" s="1" t="s">
        <v>91</v>
      </c>
      <c r="AU52" s="1" t="s">
        <v>91</v>
      </c>
      <c r="AV52" t="s">
        <v>91</v>
      </c>
      <c r="AW52" t="s">
        <v>91</v>
      </c>
      <c r="AX52" t="s">
        <v>91</v>
      </c>
      <c r="AY52" t="s">
        <v>91</v>
      </c>
      <c r="AZ52" t="s">
        <v>91</v>
      </c>
      <c r="BA52" t="s">
        <v>91</v>
      </c>
      <c r="BB52" s="2">
        <v>45113.462708333333</v>
      </c>
      <c r="BC52" s="2"/>
      <c r="BD52" t="s">
        <v>91</v>
      </c>
      <c r="BF52" s="1" t="s">
        <v>75</v>
      </c>
      <c r="BI52" s="1" t="s">
        <v>88</v>
      </c>
      <c r="BJ52">
        <v>1</v>
      </c>
      <c r="BK52" s="1" t="s">
        <v>89</v>
      </c>
      <c r="BL52" t="s">
        <v>91</v>
      </c>
      <c r="BM52" s="1" t="s">
        <v>91</v>
      </c>
      <c r="BN52" s="1" t="s">
        <v>91</v>
      </c>
      <c r="BO52" s="1" t="s">
        <v>91</v>
      </c>
      <c r="BP52" s="1" t="s">
        <v>91</v>
      </c>
      <c r="BQ52" t="s">
        <v>91</v>
      </c>
      <c r="BR52" s="3">
        <v>45113</v>
      </c>
      <c r="BS52" s="3"/>
      <c r="BT52" t="s">
        <v>91</v>
      </c>
      <c r="BU52" t="s">
        <v>91</v>
      </c>
      <c r="BW52" s="1" t="s">
        <v>90</v>
      </c>
    </row>
    <row r="53" spans="1:75" x14ac:dyDescent="0.35">
      <c r="A53">
        <v>120438</v>
      </c>
      <c r="B53" s="1" t="s">
        <v>75</v>
      </c>
      <c r="C53">
        <v>80</v>
      </c>
      <c r="D53">
        <v>11121001</v>
      </c>
      <c r="E53">
        <v>121001</v>
      </c>
      <c r="F53" s="1" t="s">
        <v>76</v>
      </c>
      <c r="G53" s="1" t="s">
        <v>464</v>
      </c>
      <c r="H53">
        <v>0</v>
      </c>
      <c r="I53" s="1" t="s">
        <v>78</v>
      </c>
      <c r="J53" s="1" t="s">
        <v>465</v>
      </c>
      <c r="K53" s="1" t="s">
        <v>466</v>
      </c>
      <c r="L53" t="s">
        <v>91</v>
      </c>
      <c r="M53" t="s">
        <v>91</v>
      </c>
      <c r="N53" s="1" t="s">
        <v>467</v>
      </c>
      <c r="O53" t="s">
        <v>91</v>
      </c>
      <c r="P53" s="1" t="s">
        <v>468</v>
      </c>
      <c r="Q53" s="1" t="s">
        <v>469</v>
      </c>
      <c r="R53" s="1" t="s">
        <v>236</v>
      </c>
      <c r="S53">
        <v>1288</v>
      </c>
      <c r="T53">
        <v>89874000</v>
      </c>
      <c r="U53" s="1" t="s">
        <v>343</v>
      </c>
      <c r="V53" s="1" t="s">
        <v>174</v>
      </c>
      <c r="W53" s="1" t="s">
        <v>87</v>
      </c>
      <c r="X53">
        <v>49</v>
      </c>
      <c r="Y53">
        <v>36640180</v>
      </c>
      <c r="Z53" t="s">
        <v>91</v>
      </c>
      <c r="AA53" t="s">
        <v>91</v>
      </c>
      <c r="AB53" t="s">
        <v>91</v>
      </c>
      <c r="AC53" t="s">
        <v>91</v>
      </c>
      <c r="AD53" t="s">
        <v>91</v>
      </c>
      <c r="AE53" t="s">
        <v>91</v>
      </c>
      <c r="AF53" t="s">
        <v>91</v>
      </c>
      <c r="AG53" s="1" t="s">
        <v>91</v>
      </c>
      <c r="AH53" s="1" t="s">
        <v>91</v>
      </c>
      <c r="AI53" t="s">
        <v>91</v>
      </c>
      <c r="AJ53">
        <v>0</v>
      </c>
      <c r="AK53">
        <v>0</v>
      </c>
      <c r="AL53">
        <v>0</v>
      </c>
      <c r="AM53" t="s">
        <v>91</v>
      </c>
      <c r="AN53" t="s">
        <v>91</v>
      </c>
      <c r="AO53" t="s">
        <v>91</v>
      </c>
      <c r="AP53" t="s">
        <v>91</v>
      </c>
      <c r="AQ53" s="1" t="s">
        <v>91</v>
      </c>
      <c r="AR53" s="1" t="s">
        <v>91</v>
      </c>
      <c r="AS53" s="1" t="s">
        <v>91</v>
      </c>
      <c r="AT53" s="1" t="s">
        <v>91</v>
      </c>
      <c r="AU53" s="1" t="s">
        <v>91</v>
      </c>
      <c r="AV53" t="s">
        <v>91</v>
      </c>
      <c r="AW53" t="s">
        <v>91</v>
      </c>
      <c r="AX53" t="s">
        <v>91</v>
      </c>
      <c r="AY53" t="s">
        <v>91</v>
      </c>
      <c r="AZ53" t="s">
        <v>91</v>
      </c>
      <c r="BA53" t="s">
        <v>91</v>
      </c>
      <c r="BB53" s="2">
        <v>44092.925393518519</v>
      </c>
      <c r="BC53" s="2"/>
      <c r="BD53" t="s">
        <v>91</v>
      </c>
      <c r="BF53" s="1" t="s">
        <v>75</v>
      </c>
      <c r="BG53">
        <v>0</v>
      </c>
      <c r="BH53">
        <v>0</v>
      </c>
      <c r="BI53" s="1" t="s">
        <v>88</v>
      </c>
      <c r="BJ53">
        <v>1</v>
      </c>
      <c r="BK53" s="1" t="s">
        <v>89</v>
      </c>
      <c r="BL53" t="s">
        <v>91</v>
      </c>
      <c r="BM53" s="1" t="s">
        <v>109</v>
      </c>
      <c r="BN53" s="1" t="s">
        <v>110</v>
      </c>
      <c r="BO53" s="1" t="s">
        <v>128</v>
      </c>
      <c r="BP53" s="1" t="s">
        <v>91</v>
      </c>
      <c r="BQ53" t="s">
        <v>91</v>
      </c>
      <c r="BR53" s="3">
        <v>44092</v>
      </c>
      <c r="BS53" s="3"/>
      <c r="BT53" t="s">
        <v>91</v>
      </c>
      <c r="BU53" t="s">
        <v>91</v>
      </c>
      <c r="BV53">
        <v>9</v>
      </c>
      <c r="BW53" s="1" t="s">
        <v>470</v>
      </c>
    </row>
    <row r="54" spans="1:75" x14ac:dyDescent="0.35">
      <c r="A54">
        <v>137977</v>
      </c>
      <c r="B54" s="1" t="s">
        <v>75</v>
      </c>
      <c r="C54">
        <v>80</v>
      </c>
      <c r="D54">
        <v>11121001</v>
      </c>
      <c r="E54">
        <v>121001</v>
      </c>
      <c r="F54" s="1" t="s">
        <v>76</v>
      </c>
      <c r="G54" s="1" t="s">
        <v>471</v>
      </c>
      <c r="H54">
        <v>0</v>
      </c>
      <c r="I54" s="1" t="s">
        <v>78</v>
      </c>
      <c r="J54" s="1" t="s">
        <v>472</v>
      </c>
      <c r="K54" s="1" t="s">
        <v>473</v>
      </c>
      <c r="L54" t="s">
        <v>91</v>
      </c>
      <c r="M54" t="s">
        <v>91</v>
      </c>
      <c r="N54" s="1" t="s">
        <v>474</v>
      </c>
      <c r="O54" t="s">
        <v>91</v>
      </c>
      <c r="P54" s="1" t="s">
        <v>475</v>
      </c>
      <c r="Q54" s="1" t="s">
        <v>476</v>
      </c>
      <c r="R54" s="1" t="s">
        <v>91</v>
      </c>
      <c r="S54">
        <v>1383</v>
      </c>
      <c r="T54">
        <v>99025001</v>
      </c>
      <c r="U54" s="1" t="s">
        <v>477</v>
      </c>
      <c r="V54" s="1" t="s">
        <v>371</v>
      </c>
      <c r="W54" s="1" t="s">
        <v>157</v>
      </c>
      <c r="X54">
        <v>54</v>
      </c>
      <c r="Y54">
        <v>33136040</v>
      </c>
      <c r="Z54" t="s">
        <v>91</v>
      </c>
      <c r="AA54" t="s">
        <v>91</v>
      </c>
      <c r="AB54" t="s">
        <v>91</v>
      </c>
      <c r="AC54" t="s">
        <v>91</v>
      </c>
      <c r="AD54" t="s">
        <v>91</v>
      </c>
      <c r="AE54" t="s">
        <v>91</v>
      </c>
      <c r="AF54" t="s">
        <v>91</v>
      </c>
      <c r="AG54" s="1" t="s">
        <v>146</v>
      </c>
      <c r="AH54" s="1" t="s">
        <v>91</v>
      </c>
      <c r="AI54" t="s">
        <v>91</v>
      </c>
      <c r="AM54" t="s">
        <v>91</v>
      </c>
      <c r="AN54" t="s">
        <v>91</v>
      </c>
      <c r="AO54" t="s">
        <v>91</v>
      </c>
      <c r="AP54" t="s">
        <v>91</v>
      </c>
      <c r="AQ54" s="1" t="s">
        <v>147</v>
      </c>
      <c r="AR54" s="1" t="s">
        <v>147</v>
      </c>
      <c r="AS54" s="1" t="s">
        <v>147</v>
      </c>
      <c r="AT54" s="1" t="s">
        <v>147</v>
      </c>
      <c r="AU54" s="1" t="s">
        <v>147</v>
      </c>
      <c r="AV54" t="s">
        <v>91</v>
      </c>
      <c r="AW54" t="s">
        <v>91</v>
      </c>
      <c r="AX54" t="s">
        <v>91</v>
      </c>
      <c r="AY54" t="s">
        <v>91</v>
      </c>
      <c r="AZ54" t="s">
        <v>91</v>
      </c>
      <c r="BA54" t="s">
        <v>91</v>
      </c>
      <c r="BB54" s="2">
        <v>44378.578518518516</v>
      </c>
      <c r="BC54" s="2">
        <v>44690.446215277778</v>
      </c>
      <c r="BD54" t="s">
        <v>91</v>
      </c>
      <c r="BF54" s="1" t="s">
        <v>75</v>
      </c>
      <c r="BH54">
        <v>0</v>
      </c>
      <c r="BI54" s="1" t="s">
        <v>88</v>
      </c>
      <c r="BJ54">
        <v>1</v>
      </c>
      <c r="BK54" s="1" t="s">
        <v>89</v>
      </c>
      <c r="BL54" t="s">
        <v>91</v>
      </c>
      <c r="BM54" s="1" t="s">
        <v>109</v>
      </c>
      <c r="BN54" s="1" t="s">
        <v>148</v>
      </c>
      <c r="BO54" s="1" t="s">
        <v>111</v>
      </c>
      <c r="BP54" s="1" t="s">
        <v>91</v>
      </c>
      <c r="BQ54" t="s">
        <v>91</v>
      </c>
      <c r="BR54" s="3">
        <v>44378</v>
      </c>
      <c r="BS54" s="3">
        <v>44690</v>
      </c>
      <c r="BT54" t="s">
        <v>91</v>
      </c>
      <c r="BU54" t="s">
        <v>91</v>
      </c>
      <c r="BW54" s="1" t="s">
        <v>478</v>
      </c>
    </row>
    <row r="55" spans="1:75" x14ac:dyDescent="0.35">
      <c r="A55">
        <v>137978</v>
      </c>
      <c r="B55" s="1" t="s">
        <v>75</v>
      </c>
      <c r="C55">
        <v>80</v>
      </c>
      <c r="D55">
        <v>11121001</v>
      </c>
      <c r="E55">
        <v>121001</v>
      </c>
      <c r="F55" s="1" t="s">
        <v>76</v>
      </c>
      <c r="G55" s="1" t="s">
        <v>479</v>
      </c>
      <c r="H55">
        <v>0</v>
      </c>
      <c r="I55" s="1" t="s">
        <v>78</v>
      </c>
      <c r="J55" s="1" t="s">
        <v>480</v>
      </c>
      <c r="K55" s="1" t="s">
        <v>481</v>
      </c>
      <c r="L55" t="s">
        <v>91</v>
      </c>
      <c r="M55" t="s">
        <v>91</v>
      </c>
      <c r="N55" s="1" t="s">
        <v>482</v>
      </c>
      <c r="O55" t="s">
        <v>91</v>
      </c>
      <c r="P55" s="1" t="s">
        <v>483</v>
      </c>
      <c r="Q55" s="1" t="s">
        <v>228</v>
      </c>
      <c r="R55" s="1" t="s">
        <v>229</v>
      </c>
      <c r="S55">
        <v>1287</v>
      </c>
      <c r="T55">
        <v>89802130</v>
      </c>
      <c r="U55" s="1" t="s">
        <v>108</v>
      </c>
      <c r="V55" s="1" t="s">
        <v>86</v>
      </c>
      <c r="W55" s="1" t="s">
        <v>87</v>
      </c>
      <c r="X55">
        <v>49</v>
      </c>
      <c r="Y55">
        <v>30256030</v>
      </c>
      <c r="Z55" t="s">
        <v>91</v>
      </c>
      <c r="AA55" t="s">
        <v>91</v>
      </c>
      <c r="AB55" t="s">
        <v>91</v>
      </c>
      <c r="AC55" t="s">
        <v>91</v>
      </c>
      <c r="AD55" t="s">
        <v>91</v>
      </c>
      <c r="AE55" t="s">
        <v>91</v>
      </c>
      <c r="AF55" t="s">
        <v>91</v>
      </c>
      <c r="AG55" s="1" t="s">
        <v>91</v>
      </c>
      <c r="AH55" s="1" t="s">
        <v>91</v>
      </c>
      <c r="AI55" t="s">
        <v>91</v>
      </c>
      <c r="AM55" t="s">
        <v>91</v>
      </c>
      <c r="AN55" t="s">
        <v>91</v>
      </c>
      <c r="AO55" t="s">
        <v>91</v>
      </c>
      <c r="AP55" t="s">
        <v>91</v>
      </c>
      <c r="AQ55" s="1" t="s">
        <v>91</v>
      </c>
      <c r="AR55" s="1" t="s">
        <v>91</v>
      </c>
      <c r="AS55" s="1" t="s">
        <v>91</v>
      </c>
      <c r="AT55" s="1" t="s">
        <v>91</v>
      </c>
      <c r="AU55" s="1" t="s">
        <v>91</v>
      </c>
      <c r="AV55" t="s">
        <v>91</v>
      </c>
      <c r="AW55" t="s">
        <v>91</v>
      </c>
      <c r="AX55" t="s">
        <v>91</v>
      </c>
      <c r="AY55" t="s">
        <v>91</v>
      </c>
      <c r="AZ55" t="s">
        <v>91</v>
      </c>
      <c r="BA55" t="s">
        <v>91</v>
      </c>
      <c r="BB55" s="2">
        <v>44378.578518518516</v>
      </c>
      <c r="BC55" s="2"/>
      <c r="BD55" t="s">
        <v>91</v>
      </c>
      <c r="BF55" s="1" t="s">
        <v>75</v>
      </c>
      <c r="BI55" s="1" t="s">
        <v>88</v>
      </c>
      <c r="BJ55">
        <v>1</v>
      </c>
      <c r="BK55" s="1" t="s">
        <v>89</v>
      </c>
      <c r="BL55" t="s">
        <v>91</v>
      </c>
      <c r="BM55" s="1" t="s">
        <v>109</v>
      </c>
      <c r="BN55" s="1" t="s">
        <v>110</v>
      </c>
      <c r="BO55" s="1" t="s">
        <v>180</v>
      </c>
      <c r="BP55" s="1" t="s">
        <v>91</v>
      </c>
      <c r="BQ55" t="s">
        <v>91</v>
      </c>
      <c r="BR55" s="3">
        <v>44378</v>
      </c>
      <c r="BS55" s="3"/>
      <c r="BT55" t="s">
        <v>91</v>
      </c>
      <c r="BU55" t="s">
        <v>91</v>
      </c>
      <c r="BW55" s="1" t="s">
        <v>484</v>
      </c>
    </row>
    <row r="56" spans="1:75" x14ac:dyDescent="0.35">
      <c r="A56">
        <v>137979</v>
      </c>
      <c r="B56" s="1" t="s">
        <v>75</v>
      </c>
      <c r="C56">
        <v>80</v>
      </c>
      <c r="D56">
        <v>11121001</v>
      </c>
      <c r="E56">
        <v>121001</v>
      </c>
      <c r="F56" s="1" t="s">
        <v>76</v>
      </c>
      <c r="G56" s="1" t="s">
        <v>485</v>
      </c>
      <c r="H56">
        <v>0</v>
      </c>
      <c r="I56" s="1" t="s">
        <v>78</v>
      </c>
      <c r="J56" s="1" t="s">
        <v>486</v>
      </c>
      <c r="K56" s="1" t="s">
        <v>487</v>
      </c>
      <c r="L56" t="s">
        <v>91</v>
      </c>
      <c r="M56" t="s">
        <v>91</v>
      </c>
      <c r="N56" s="1" t="s">
        <v>488</v>
      </c>
      <c r="O56" t="s">
        <v>91</v>
      </c>
      <c r="P56" s="1" t="s">
        <v>489</v>
      </c>
      <c r="Q56" s="1" t="s">
        <v>490</v>
      </c>
      <c r="R56" s="1" t="s">
        <v>491</v>
      </c>
      <c r="S56">
        <v>1285</v>
      </c>
      <c r="T56">
        <v>89620000</v>
      </c>
      <c r="U56" s="1" t="s">
        <v>108</v>
      </c>
      <c r="V56" s="1" t="s">
        <v>492</v>
      </c>
      <c r="W56" s="1" t="s">
        <v>87</v>
      </c>
      <c r="X56">
        <v>49</v>
      </c>
      <c r="Y56">
        <v>35412881</v>
      </c>
      <c r="Z56" t="s">
        <v>91</v>
      </c>
      <c r="AA56" t="s">
        <v>91</v>
      </c>
      <c r="AB56" t="s">
        <v>91</v>
      </c>
      <c r="AC56" t="s">
        <v>91</v>
      </c>
      <c r="AD56" t="s">
        <v>91</v>
      </c>
      <c r="AE56" t="s">
        <v>91</v>
      </c>
      <c r="AF56" t="s">
        <v>91</v>
      </c>
      <c r="AG56" s="1" t="s">
        <v>146</v>
      </c>
      <c r="AH56" s="1" t="s">
        <v>91</v>
      </c>
      <c r="AI56" t="s">
        <v>91</v>
      </c>
      <c r="AM56" t="s">
        <v>91</v>
      </c>
      <c r="AN56" t="s">
        <v>91</v>
      </c>
      <c r="AO56" t="s">
        <v>91</v>
      </c>
      <c r="AP56" t="s">
        <v>91</v>
      </c>
      <c r="AQ56" s="1" t="s">
        <v>147</v>
      </c>
      <c r="AR56" s="1" t="s">
        <v>147</v>
      </c>
      <c r="AS56" s="1" t="s">
        <v>147</v>
      </c>
      <c r="AT56" s="1" t="s">
        <v>147</v>
      </c>
      <c r="AU56" s="1" t="s">
        <v>147</v>
      </c>
      <c r="AV56" t="s">
        <v>91</v>
      </c>
      <c r="AW56" t="s">
        <v>91</v>
      </c>
      <c r="AX56" t="s">
        <v>91</v>
      </c>
      <c r="AY56" t="s">
        <v>91</v>
      </c>
      <c r="AZ56" t="s">
        <v>91</v>
      </c>
      <c r="BA56" t="s">
        <v>91</v>
      </c>
      <c r="BB56" s="2">
        <v>44378.578518518516</v>
      </c>
      <c r="BC56" s="2">
        <v>44652.478182870371</v>
      </c>
      <c r="BD56" t="s">
        <v>91</v>
      </c>
      <c r="BF56" s="1" t="s">
        <v>75</v>
      </c>
      <c r="BH56">
        <v>0</v>
      </c>
      <c r="BI56" s="1" t="s">
        <v>88</v>
      </c>
      <c r="BJ56">
        <v>1</v>
      </c>
      <c r="BK56" s="1" t="s">
        <v>89</v>
      </c>
      <c r="BL56" t="s">
        <v>91</v>
      </c>
      <c r="BM56" s="1" t="s">
        <v>109</v>
      </c>
      <c r="BN56" s="1" t="s">
        <v>110</v>
      </c>
      <c r="BO56" s="1" t="s">
        <v>128</v>
      </c>
      <c r="BP56" s="1" t="s">
        <v>91</v>
      </c>
      <c r="BQ56" t="s">
        <v>91</v>
      </c>
      <c r="BR56" s="3">
        <v>44378</v>
      </c>
      <c r="BS56" s="3">
        <v>44652</v>
      </c>
      <c r="BT56" t="s">
        <v>91</v>
      </c>
      <c r="BU56" t="s">
        <v>91</v>
      </c>
      <c r="BW56" s="1" t="s">
        <v>90</v>
      </c>
    </row>
    <row r="57" spans="1:75" x14ac:dyDescent="0.35">
      <c r="A57">
        <v>137980</v>
      </c>
      <c r="B57" s="1" t="s">
        <v>75</v>
      </c>
      <c r="C57">
        <v>80</v>
      </c>
      <c r="D57">
        <v>11121001</v>
      </c>
      <c r="E57">
        <v>121001</v>
      </c>
      <c r="F57" s="1" t="s">
        <v>76</v>
      </c>
      <c r="G57" s="1" t="s">
        <v>493</v>
      </c>
      <c r="H57">
        <v>0</v>
      </c>
      <c r="I57" s="1" t="s">
        <v>78</v>
      </c>
      <c r="J57" s="1" t="s">
        <v>494</v>
      </c>
      <c r="K57" s="1" t="s">
        <v>495</v>
      </c>
      <c r="L57" t="s">
        <v>91</v>
      </c>
      <c r="M57" t="s">
        <v>91</v>
      </c>
      <c r="N57" s="1" t="s">
        <v>496</v>
      </c>
      <c r="O57" t="s">
        <v>91</v>
      </c>
      <c r="P57" s="1" t="s">
        <v>497</v>
      </c>
      <c r="Q57" s="1" t="s">
        <v>498</v>
      </c>
      <c r="R57" s="1" t="s">
        <v>245</v>
      </c>
      <c r="S57">
        <v>1287</v>
      </c>
      <c r="T57">
        <v>89803062</v>
      </c>
      <c r="U57" s="1" t="s">
        <v>499</v>
      </c>
      <c r="V57" s="1" t="s">
        <v>337</v>
      </c>
      <c r="W57" s="1" t="s">
        <v>87</v>
      </c>
      <c r="X57">
        <v>49</v>
      </c>
      <c r="Y57">
        <v>33224090</v>
      </c>
      <c r="Z57" t="s">
        <v>91</v>
      </c>
      <c r="AA57" t="s">
        <v>91</v>
      </c>
      <c r="AB57" t="s">
        <v>91</v>
      </c>
      <c r="AC57" t="s">
        <v>91</v>
      </c>
      <c r="AD57" t="s">
        <v>91</v>
      </c>
      <c r="AE57" t="s">
        <v>91</v>
      </c>
      <c r="AF57" t="s">
        <v>91</v>
      </c>
      <c r="AG57" s="1" t="s">
        <v>146</v>
      </c>
      <c r="AH57" s="1" t="s">
        <v>91</v>
      </c>
      <c r="AI57" t="s">
        <v>91</v>
      </c>
      <c r="AM57" t="s">
        <v>91</v>
      </c>
      <c r="AN57" t="s">
        <v>91</v>
      </c>
      <c r="AO57" t="s">
        <v>91</v>
      </c>
      <c r="AP57" t="s">
        <v>91</v>
      </c>
      <c r="AQ57" s="1" t="s">
        <v>147</v>
      </c>
      <c r="AR57" s="1" t="s">
        <v>147</v>
      </c>
      <c r="AS57" s="1" t="s">
        <v>147</v>
      </c>
      <c r="AT57" s="1" t="s">
        <v>147</v>
      </c>
      <c r="AU57" s="1" t="s">
        <v>147</v>
      </c>
      <c r="AV57" t="s">
        <v>91</v>
      </c>
      <c r="AW57" t="s">
        <v>91</v>
      </c>
      <c r="AX57" t="s">
        <v>91</v>
      </c>
      <c r="AY57" t="s">
        <v>91</v>
      </c>
      <c r="AZ57" t="s">
        <v>91</v>
      </c>
      <c r="BA57" t="s">
        <v>91</v>
      </c>
      <c r="BB57" s="2">
        <v>44378.578518518516</v>
      </c>
      <c r="BC57" s="2">
        <v>44655.413715277777</v>
      </c>
      <c r="BD57" t="s">
        <v>91</v>
      </c>
      <c r="BF57" s="1" t="s">
        <v>75</v>
      </c>
      <c r="BH57">
        <v>0</v>
      </c>
      <c r="BI57" s="1" t="s">
        <v>88</v>
      </c>
      <c r="BJ57">
        <v>1</v>
      </c>
      <c r="BK57" s="1" t="s">
        <v>89</v>
      </c>
      <c r="BL57" t="s">
        <v>91</v>
      </c>
      <c r="BM57" s="1" t="s">
        <v>109</v>
      </c>
      <c r="BN57" s="1" t="s">
        <v>110</v>
      </c>
      <c r="BO57" s="1" t="s">
        <v>111</v>
      </c>
      <c r="BP57" s="1" t="s">
        <v>91</v>
      </c>
      <c r="BQ57" t="s">
        <v>91</v>
      </c>
      <c r="BR57" s="3">
        <v>44378</v>
      </c>
      <c r="BS57" s="3">
        <v>44655</v>
      </c>
      <c r="BT57" t="s">
        <v>91</v>
      </c>
      <c r="BU57" t="s">
        <v>91</v>
      </c>
      <c r="BW57" s="1" t="s">
        <v>255</v>
      </c>
    </row>
    <row r="58" spans="1:75" x14ac:dyDescent="0.35">
      <c r="A58">
        <v>156750</v>
      </c>
      <c r="B58" s="1" t="s">
        <v>75</v>
      </c>
      <c r="C58">
        <v>80</v>
      </c>
      <c r="D58">
        <v>11121001</v>
      </c>
      <c r="E58">
        <v>121001</v>
      </c>
      <c r="F58" s="1" t="s">
        <v>76</v>
      </c>
      <c r="G58" s="1" t="s">
        <v>500</v>
      </c>
      <c r="H58">
        <v>0</v>
      </c>
      <c r="I58" s="1" t="s">
        <v>78</v>
      </c>
      <c r="J58" s="1" t="s">
        <v>501</v>
      </c>
      <c r="K58" s="1" t="s">
        <v>502</v>
      </c>
      <c r="L58" t="s">
        <v>91</v>
      </c>
      <c r="M58" t="s">
        <v>91</v>
      </c>
      <c r="N58" s="1" t="s">
        <v>503</v>
      </c>
      <c r="O58" t="s">
        <v>91</v>
      </c>
      <c r="P58" s="1" t="s">
        <v>125</v>
      </c>
      <c r="Q58" s="1" t="s">
        <v>504</v>
      </c>
      <c r="R58" s="1" t="s">
        <v>370</v>
      </c>
      <c r="S58">
        <v>1277</v>
      </c>
      <c r="T58">
        <v>89201010</v>
      </c>
      <c r="U58" s="1" t="s">
        <v>108</v>
      </c>
      <c r="V58" s="1" t="s">
        <v>100</v>
      </c>
      <c r="W58" s="1" t="s">
        <v>87</v>
      </c>
      <c r="X58">
        <v>47</v>
      </c>
      <c r="Y58">
        <v>34222120</v>
      </c>
      <c r="Z58" t="s">
        <v>91</v>
      </c>
      <c r="AA58" t="s">
        <v>91</v>
      </c>
      <c r="AB58" t="s">
        <v>91</v>
      </c>
      <c r="AC58" t="s">
        <v>91</v>
      </c>
      <c r="AD58" t="s">
        <v>91</v>
      </c>
      <c r="AE58" t="s">
        <v>91</v>
      </c>
      <c r="AF58" t="s">
        <v>91</v>
      </c>
      <c r="AG58" s="1" t="s">
        <v>91</v>
      </c>
      <c r="AH58" s="1" t="s">
        <v>91</v>
      </c>
      <c r="AI58" t="s">
        <v>91</v>
      </c>
      <c r="AM58" t="s">
        <v>91</v>
      </c>
      <c r="AN58" t="s">
        <v>91</v>
      </c>
      <c r="AO58" t="s">
        <v>91</v>
      </c>
      <c r="AP58" t="s">
        <v>91</v>
      </c>
      <c r="AQ58" s="1" t="s">
        <v>91</v>
      </c>
      <c r="AR58" s="1" t="s">
        <v>91</v>
      </c>
      <c r="AS58" s="1" t="s">
        <v>91</v>
      </c>
      <c r="AT58" s="1" t="s">
        <v>91</v>
      </c>
      <c r="AU58" s="1" t="s">
        <v>91</v>
      </c>
      <c r="AV58" t="s">
        <v>91</v>
      </c>
      <c r="AW58" t="s">
        <v>91</v>
      </c>
      <c r="AX58" t="s">
        <v>91</v>
      </c>
      <c r="AY58" t="s">
        <v>91</v>
      </c>
      <c r="AZ58" t="s">
        <v>91</v>
      </c>
      <c r="BA58" t="s">
        <v>91</v>
      </c>
      <c r="BB58" s="2">
        <v>45113.505416666667</v>
      </c>
      <c r="BC58" s="2"/>
      <c r="BD58" t="s">
        <v>91</v>
      </c>
      <c r="BF58" s="1" t="s">
        <v>75</v>
      </c>
      <c r="BI58" s="1" t="s">
        <v>88</v>
      </c>
      <c r="BJ58">
        <v>1</v>
      </c>
      <c r="BK58" s="1" t="s">
        <v>89</v>
      </c>
      <c r="BL58" t="s">
        <v>91</v>
      </c>
      <c r="BM58" s="1" t="s">
        <v>91</v>
      </c>
      <c r="BN58" s="1" t="s">
        <v>91</v>
      </c>
      <c r="BO58" s="1" t="s">
        <v>91</v>
      </c>
      <c r="BP58" s="1" t="s">
        <v>91</v>
      </c>
      <c r="BQ58" t="s">
        <v>91</v>
      </c>
      <c r="BR58" s="3">
        <v>45113</v>
      </c>
      <c r="BS58" s="3"/>
      <c r="BT58" t="s">
        <v>91</v>
      </c>
      <c r="BU58" t="s">
        <v>91</v>
      </c>
      <c r="BW58" s="1" t="s">
        <v>90</v>
      </c>
    </row>
    <row r="59" spans="1:75" x14ac:dyDescent="0.35">
      <c r="A59">
        <v>851</v>
      </c>
      <c r="B59" s="1" t="s">
        <v>75</v>
      </c>
      <c r="C59">
        <v>80</v>
      </c>
      <c r="D59">
        <v>11121001</v>
      </c>
      <c r="E59">
        <v>121001</v>
      </c>
      <c r="F59" s="1" t="s">
        <v>76</v>
      </c>
      <c r="G59" s="1" t="s">
        <v>505</v>
      </c>
      <c r="I59" s="1" t="s">
        <v>78</v>
      </c>
      <c r="J59" s="1" t="s">
        <v>506</v>
      </c>
      <c r="K59" s="1" t="s">
        <v>507</v>
      </c>
      <c r="L59" t="s">
        <v>91</v>
      </c>
      <c r="M59" t="s">
        <v>91</v>
      </c>
      <c r="N59" s="1" t="s">
        <v>508</v>
      </c>
      <c r="O59" t="s">
        <v>91</v>
      </c>
      <c r="P59" s="1" t="s">
        <v>509</v>
      </c>
      <c r="Q59" s="1" t="s">
        <v>510</v>
      </c>
      <c r="R59" s="1" t="s">
        <v>511</v>
      </c>
      <c r="S59">
        <v>1277</v>
      </c>
      <c r="T59">
        <v>89201030</v>
      </c>
      <c r="U59" s="1" t="s">
        <v>108</v>
      </c>
      <c r="V59" s="1" t="s">
        <v>100</v>
      </c>
      <c r="W59" s="1" t="s">
        <v>87</v>
      </c>
      <c r="X59">
        <v>47</v>
      </c>
      <c r="Y59">
        <v>34335450</v>
      </c>
      <c r="Z59" t="s">
        <v>91</v>
      </c>
      <c r="AA59" t="s">
        <v>91</v>
      </c>
      <c r="AB59" t="s">
        <v>91</v>
      </c>
      <c r="AC59" t="s">
        <v>91</v>
      </c>
      <c r="AD59" t="s">
        <v>91</v>
      </c>
      <c r="AE59" t="s">
        <v>91</v>
      </c>
      <c r="AF59" t="s">
        <v>91</v>
      </c>
      <c r="AG59" s="1" t="s">
        <v>91</v>
      </c>
      <c r="AH59" s="1" t="s">
        <v>91</v>
      </c>
      <c r="AI59" t="s">
        <v>91</v>
      </c>
      <c r="AJ59">
        <v>0</v>
      </c>
      <c r="AK59">
        <v>0</v>
      </c>
      <c r="AL59">
        <v>0</v>
      </c>
      <c r="AM59" t="s">
        <v>91</v>
      </c>
      <c r="AN59" t="s">
        <v>91</v>
      </c>
      <c r="AO59" t="s">
        <v>91</v>
      </c>
      <c r="AP59" t="s">
        <v>91</v>
      </c>
      <c r="AQ59" s="1" t="s">
        <v>91</v>
      </c>
      <c r="AR59" s="1" t="s">
        <v>91</v>
      </c>
      <c r="AS59" s="1" t="s">
        <v>91</v>
      </c>
      <c r="AT59" s="1" t="s">
        <v>91</v>
      </c>
      <c r="AU59" s="1" t="s">
        <v>91</v>
      </c>
      <c r="AV59" t="s">
        <v>91</v>
      </c>
      <c r="AW59" t="s">
        <v>91</v>
      </c>
      <c r="AX59" t="s">
        <v>91</v>
      </c>
      <c r="AY59" t="s">
        <v>91</v>
      </c>
      <c r="AZ59" t="s">
        <v>91</v>
      </c>
      <c r="BA59" t="s">
        <v>91</v>
      </c>
      <c r="BB59" s="2">
        <v>43308.392962962964</v>
      </c>
      <c r="BC59" s="2"/>
      <c r="BD59" t="s">
        <v>91</v>
      </c>
      <c r="BE59">
        <v>851</v>
      </c>
      <c r="BF59" s="1" t="s">
        <v>75</v>
      </c>
      <c r="BG59">
        <v>0</v>
      </c>
      <c r="BH59">
        <v>0</v>
      </c>
      <c r="BI59" s="1" t="s">
        <v>88</v>
      </c>
      <c r="BJ59">
        <v>1</v>
      </c>
      <c r="BK59" s="1" t="s">
        <v>89</v>
      </c>
      <c r="BL59" t="s">
        <v>91</v>
      </c>
      <c r="BM59" s="1" t="s">
        <v>109</v>
      </c>
      <c r="BN59" s="1" t="s">
        <v>110</v>
      </c>
      <c r="BO59" s="1" t="s">
        <v>180</v>
      </c>
      <c r="BP59" s="1" t="s">
        <v>91</v>
      </c>
      <c r="BQ59" t="s">
        <v>91</v>
      </c>
      <c r="BR59" s="3">
        <v>43308</v>
      </c>
      <c r="BS59" s="3"/>
      <c r="BT59" t="s">
        <v>91</v>
      </c>
      <c r="BU59" t="s">
        <v>91</v>
      </c>
      <c r="BV59">
        <v>2</v>
      </c>
      <c r="BW59" s="1" t="s">
        <v>512</v>
      </c>
    </row>
    <row r="60" spans="1:75" x14ac:dyDescent="0.35">
      <c r="A60">
        <v>156760</v>
      </c>
      <c r="B60" s="1" t="s">
        <v>75</v>
      </c>
      <c r="C60">
        <v>80</v>
      </c>
      <c r="D60">
        <v>11121001</v>
      </c>
      <c r="E60">
        <v>121001</v>
      </c>
      <c r="F60" s="1" t="s">
        <v>76</v>
      </c>
      <c r="G60" s="1" t="s">
        <v>513</v>
      </c>
      <c r="H60">
        <v>0</v>
      </c>
      <c r="I60" s="1" t="s">
        <v>78</v>
      </c>
      <c r="J60" s="1" t="s">
        <v>514</v>
      </c>
      <c r="K60" s="1" t="s">
        <v>515</v>
      </c>
      <c r="L60" t="s">
        <v>91</v>
      </c>
      <c r="M60" t="s">
        <v>91</v>
      </c>
      <c r="N60" s="1" t="s">
        <v>516</v>
      </c>
      <c r="O60" t="s">
        <v>91</v>
      </c>
      <c r="P60" s="1" t="s">
        <v>517</v>
      </c>
      <c r="Q60" s="1" t="s">
        <v>427</v>
      </c>
      <c r="R60" s="1" t="s">
        <v>518</v>
      </c>
      <c r="T60">
        <v>89285580</v>
      </c>
      <c r="U60" s="1" t="s">
        <v>519</v>
      </c>
      <c r="V60" s="1" t="s">
        <v>520</v>
      </c>
      <c r="W60" s="1" t="s">
        <v>87</v>
      </c>
      <c r="X60">
        <v>47</v>
      </c>
      <c r="Y60">
        <v>30125770</v>
      </c>
      <c r="Z60" t="s">
        <v>91</v>
      </c>
      <c r="AA60" t="s">
        <v>91</v>
      </c>
      <c r="AB60" t="s">
        <v>91</v>
      </c>
      <c r="AC60" t="s">
        <v>91</v>
      </c>
      <c r="AD60" t="s">
        <v>91</v>
      </c>
      <c r="AE60" t="s">
        <v>91</v>
      </c>
      <c r="AF60" t="s">
        <v>91</v>
      </c>
      <c r="AG60" s="1" t="s">
        <v>91</v>
      </c>
      <c r="AH60" s="1" t="s">
        <v>91</v>
      </c>
      <c r="AI60" t="s">
        <v>91</v>
      </c>
      <c r="AM60" t="s">
        <v>91</v>
      </c>
      <c r="AN60" t="s">
        <v>91</v>
      </c>
      <c r="AO60" t="s">
        <v>91</v>
      </c>
      <c r="AP60" t="s">
        <v>91</v>
      </c>
      <c r="AQ60" s="1" t="s">
        <v>91</v>
      </c>
      <c r="AR60" s="1" t="s">
        <v>91</v>
      </c>
      <c r="AS60" s="1" t="s">
        <v>91</v>
      </c>
      <c r="AT60" s="1" t="s">
        <v>91</v>
      </c>
      <c r="AU60" s="1" t="s">
        <v>91</v>
      </c>
      <c r="AV60" t="s">
        <v>91</v>
      </c>
      <c r="AW60" t="s">
        <v>91</v>
      </c>
      <c r="AX60" t="s">
        <v>91</v>
      </c>
      <c r="AY60" t="s">
        <v>91</v>
      </c>
      <c r="AZ60" t="s">
        <v>91</v>
      </c>
      <c r="BA60" t="s">
        <v>91</v>
      </c>
      <c r="BB60" s="2">
        <v>45113.505416666667</v>
      </c>
      <c r="BC60" s="2"/>
      <c r="BD60" t="s">
        <v>91</v>
      </c>
      <c r="BF60" s="1" t="s">
        <v>75</v>
      </c>
      <c r="BI60" s="1" t="s">
        <v>88</v>
      </c>
      <c r="BJ60">
        <v>1</v>
      </c>
      <c r="BK60" s="1" t="s">
        <v>89</v>
      </c>
      <c r="BL60" t="s">
        <v>91</v>
      </c>
      <c r="BM60" s="1" t="s">
        <v>91</v>
      </c>
      <c r="BN60" s="1" t="s">
        <v>91</v>
      </c>
      <c r="BO60" s="1" t="s">
        <v>91</v>
      </c>
      <c r="BP60" s="1" t="s">
        <v>91</v>
      </c>
      <c r="BQ60" t="s">
        <v>91</v>
      </c>
      <c r="BR60" s="3">
        <v>45113</v>
      </c>
      <c r="BS60" s="3"/>
      <c r="BT60" t="s">
        <v>91</v>
      </c>
      <c r="BU60" t="s">
        <v>91</v>
      </c>
      <c r="BW60" s="1" t="s">
        <v>419</v>
      </c>
    </row>
    <row r="61" spans="1:75" x14ac:dyDescent="0.35">
      <c r="A61">
        <v>157529</v>
      </c>
      <c r="B61" s="1" t="s">
        <v>75</v>
      </c>
      <c r="C61">
        <v>80</v>
      </c>
      <c r="D61">
        <v>11121001</v>
      </c>
      <c r="E61">
        <v>121001</v>
      </c>
      <c r="F61" s="1" t="s">
        <v>76</v>
      </c>
      <c r="G61" s="1" t="s">
        <v>521</v>
      </c>
      <c r="H61">
        <v>0</v>
      </c>
      <c r="I61" s="1" t="s">
        <v>78</v>
      </c>
      <c r="J61" s="1" t="s">
        <v>522</v>
      </c>
      <c r="K61" s="1" t="s">
        <v>523</v>
      </c>
      <c r="L61" t="s">
        <v>91</v>
      </c>
      <c r="M61" t="s">
        <v>91</v>
      </c>
      <c r="N61" s="1" t="s">
        <v>524</v>
      </c>
      <c r="O61" t="s">
        <v>91</v>
      </c>
      <c r="P61" s="1" t="s">
        <v>525</v>
      </c>
      <c r="Q61" s="1" t="s">
        <v>526</v>
      </c>
      <c r="R61" s="1" t="s">
        <v>91</v>
      </c>
      <c r="S61">
        <v>1284</v>
      </c>
      <c r="T61">
        <v>89500000</v>
      </c>
      <c r="U61" s="1" t="s">
        <v>108</v>
      </c>
      <c r="V61" s="1" t="s">
        <v>527</v>
      </c>
      <c r="W61" s="1" t="s">
        <v>87</v>
      </c>
      <c r="X61">
        <v>49</v>
      </c>
      <c r="Y61">
        <v>35634231</v>
      </c>
      <c r="Z61" t="s">
        <v>91</v>
      </c>
      <c r="AA61" t="s">
        <v>91</v>
      </c>
      <c r="AB61" t="s">
        <v>91</v>
      </c>
      <c r="AC61" t="s">
        <v>91</v>
      </c>
      <c r="AD61" t="s">
        <v>91</v>
      </c>
      <c r="AE61" t="s">
        <v>91</v>
      </c>
      <c r="AF61" t="s">
        <v>91</v>
      </c>
      <c r="AG61" s="1" t="s">
        <v>91</v>
      </c>
      <c r="AH61" s="1" t="s">
        <v>91</v>
      </c>
      <c r="AI61" t="s">
        <v>91</v>
      </c>
      <c r="AM61" t="s">
        <v>91</v>
      </c>
      <c r="AN61" t="s">
        <v>91</v>
      </c>
      <c r="AO61" t="s">
        <v>91</v>
      </c>
      <c r="AP61" t="s">
        <v>91</v>
      </c>
      <c r="AQ61" s="1" t="s">
        <v>91</v>
      </c>
      <c r="AR61" s="1" t="s">
        <v>91</v>
      </c>
      <c r="AS61" s="1" t="s">
        <v>91</v>
      </c>
      <c r="AT61" s="1" t="s">
        <v>91</v>
      </c>
      <c r="AU61" s="1" t="s">
        <v>91</v>
      </c>
      <c r="AV61" t="s">
        <v>91</v>
      </c>
      <c r="AW61" t="s">
        <v>91</v>
      </c>
      <c r="AX61" t="s">
        <v>91</v>
      </c>
      <c r="AY61" t="s">
        <v>91</v>
      </c>
      <c r="AZ61" t="s">
        <v>91</v>
      </c>
      <c r="BA61" t="s">
        <v>91</v>
      </c>
      <c r="BB61" s="2">
        <v>45118.093391203707</v>
      </c>
      <c r="BC61" s="2"/>
      <c r="BD61" t="s">
        <v>91</v>
      </c>
      <c r="BF61" s="1" t="s">
        <v>75</v>
      </c>
      <c r="BI61" s="1" t="s">
        <v>88</v>
      </c>
      <c r="BJ61">
        <v>1</v>
      </c>
      <c r="BK61" s="1" t="s">
        <v>89</v>
      </c>
      <c r="BL61" t="s">
        <v>91</v>
      </c>
      <c r="BM61" s="1" t="s">
        <v>91</v>
      </c>
      <c r="BN61" s="1" t="s">
        <v>91</v>
      </c>
      <c r="BO61" s="1" t="s">
        <v>91</v>
      </c>
      <c r="BP61" s="1" t="s">
        <v>91</v>
      </c>
      <c r="BQ61" t="s">
        <v>91</v>
      </c>
      <c r="BR61" s="3">
        <v>45118</v>
      </c>
      <c r="BS61" s="3"/>
      <c r="BT61" t="s">
        <v>91</v>
      </c>
      <c r="BU61" t="s">
        <v>91</v>
      </c>
      <c r="BW61" s="1" t="s">
        <v>90</v>
      </c>
    </row>
    <row r="62" spans="1:75" x14ac:dyDescent="0.35">
      <c r="A62">
        <v>156749</v>
      </c>
      <c r="B62" s="1" t="s">
        <v>75</v>
      </c>
      <c r="C62">
        <v>80</v>
      </c>
      <c r="D62">
        <v>11121001</v>
      </c>
      <c r="E62">
        <v>121001</v>
      </c>
      <c r="F62" s="1" t="s">
        <v>76</v>
      </c>
      <c r="G62" s="1" t="s">
        <v>528</v>
      </c>
      <c r="H62">
        <v>0</v>
      </c>
      <c r="I62" s="1" t="s">
        <v>78</v>
      </c>
      <c r="J62" s="1" t="s">
        <v>529</v>
      </c>
      <c r="K62" s="1" t="s">
        <v>530</v>
      </c>
      <c r="L62" t="s">
        <v>91</v>
      </c>
      <c r="M62" t="s">
        <v>91</v>
      </c>
      <c r="N62" s="1" t="s">
        <v>531</v>
      </c>
      <c r="O62" t="s">
        <v>91</v>
      </c>
      <c r="P62" s="1" t="s">
        <v>252</v>
      </c>
      <c r="Q62" s="1" t="s">
        <v>532</v>
      </c>
      <c r="R62" s="1" t="s">
        <v>91</v>
      </c>
      <c r="S62">
        <v>1277</v>
      </c>
      <c r="T62">
        <v>89201330</v>
      </c>
      <c r="U62" s="1" t="s">
        <v>108</v>
      </c>
      <c r="V62" s="1" t="s">
        <v>100</v>
      </c>
      <c r="W62" s="1" t="s">
        <v>87</v>
      </c>
      <c r="X62">
        <v>47</v>
      </c>
      <c r="Y62">
        <v>991271990</v>
      </c>
      <c r="Z62" t="s">
        <v>91</v>
      </c>
      <c r="AA62" t="s">
        <v>91</v>
      </c>
      <c r="AB62" t="s">
        <v>91</v>
      </c>
      <c r="AC62" t="s">
        <v>91</v>
      </c>
      <c r="AD62" t="s">
        <v>91</v>
      </c>
      <c r="AE62" t="s">
        <v>91</v>
      </c>
      <c r="AF62" t="s">
        <v>91</v>
      </c>
      <c r="AG62" s="1" t="s">
        <v>91</v>
      </c>
      <c r="AH62" s="1" t="s">
        <v>91</v>
      </c>
      <c r="AI62" t="s">
        <v>91</v>
      </c>
      <c r="AM62" t="s">
        <v>91</v>
      </c>
      <c r="AN62" t="s">
        <v>91</v>
      </c>
      <c r="AO62" t="s">
        <v>91</v>
      </c>
      <c r="AP62" t="s">
        <v>91</v>
      </c>
      <c r="AQ62" s="1" t="s">
        <v>91</v>
      </c>
      <c r="AR62" s="1" t="s">
        <v>91</v>
      </c>
      <c r="AS62" s="1" t="s">
        <v>91</v>
      </c>
      <c r="AT62" s="1" t="s">
        <v>91</v>
      </c>
      <c r="AU62" s="1" t="s">
        <v>91</v>
      </c>
      <c r="AV62" t="s">
        <v>91</v>
      </c>
      <c r="AW62" t="s">
        <v>91</v>
      </c>
      <c r="AX62" t="s">
        <v>91</v>
      </c>
      <c r="AY62" t="s">
        <v>91</v>
      </c>
      <c r="AZ62" t="s">
        <v>91</v>
      </c>
      <c r="BA62" t="s">
        <v>91</v>
      </c>
      <c r="BB62" s="2">
        <v>45113.505416666667</v>
      </c>
      <c r="BC62" s="2"/>
      <c r="BD62" t="s">
        <v>91</v>
      </c>
      <c r="BF62" s="1" t="s">
        <v>75</v>
      </c>
      <c r="BI62" s="1" t="s">
        <v>88</v>
      </c>
      <c r="BJ62">
        <v>1</v>
      </c>
      <c r="BK62" s="1" t="s">
        <v>89</v>
      </c>
      <c r="BL62" t="s">
        <v>91</v>
      </c>
      <c r="BM62" s="1" t="s">
        <v>91</v>
      </c>
      <c r="BN62" s="1" t="s">
        <v>91</v>
      </c>
      <c r="BO62" s="1" t="s">
        <v>91</v>
      </c>
      <c r="BP62" s="1" t="s">
        <v>91</v>
      </c>
      <c r="BQ62" t="s">
        <v>91</v>
      </c>
      <c r="BR62" s="3">
        <v>45113</v>
      </c>
      <c r="BS62" s="3"/>
      <c r="BT62" t="s">
        <v>91</v>
      </c>
      <c r="BU62" t="s">
        <v>91</v>
      </c>
      <c r="BW62" s="1" t="s">
        <v>90</v>
      </c>
    </row>
    <row r="63" spans="1:75" x14ac:dyDescent="0.35">
      <c r="A63">
        <v>137985</v>
      </c>
      <c r="B63" s="1" t="s">
        <v>75</v>
      </c>
      <c r="C63">
        <v>80</v>
      </c>
      <c r="D63">
        <v>11121001</v>
      </c>
      <c r="E63">
        <v>121001</v>
      </c>
      <c r="F63" s="1" t="s">
        <v>76</v>
      </c>
      <c r="G63" s="1" t="s">
        <v>533</v>
      </c>
      <c r="H63">
        <v>0</v>
      </c>
      <c r="I63" s="1" t="s">
        <v>78</v>
      </c>
      <c r="J63" s="1" t="s">
        <v>534</v>
      </c>
      <c r="K63" s="1" t="s">
        <v>535</v>
      </c>
      <c r="L63" t="s">
        <v>91</v>
      </c>
      <c r="M63" t="s">
        <v>91</v>
      </c>
      <c r="N63" s="1" t="s">
        <v>536</v>
      </c>
      <c r="O63" t="s">
        <v>91</v>
      </c>
      <c r="P63" s="1" t="s">
        <v>537</v>
      </c>
      <c r="Q63" s="1" t="s">
        <v>538</v>
      </c>
      <c r="R63" s="1" t="s">
        <v>91</v>
      </c>
      <c r="S63">
        <v>1288</v>
      </c>
      <c r="T63">
        <v>89820000</v>
      </c>
      <c r="U63" s="1" t="s">
        <v>108</v>
      </c>
      <c r="V63" s="1" t="s">
        <v>539</v>
      </c>
      <c r="W63" s="1" t="s">
        <v>87</v>
      </c>
      <c r="X63">
        <v>49</v>
      </c>
      <c r="Y63">
        <v>991201414</v>
      </c>
      <c r="Z63" t="s">
        <v>91</v>
      </c>
      <c r="AA63" t="s">
        <v>91</v>
      </c>
      <c r="AB63" t="s">
        <v>91</v>
      </c>
      <c r="AC63" t="s">
        <v>91</v>
      </c>
      <c r="AD63" t="s">
        <v>91</v>
      </c>
      <c r="AE63" t="s">
        <v>91</v>
      </c>
      <c r="AF63" t="s">
        <v>91</v>
      </c>
      <c r="AG63" s="1" t="s">
        <v>146</v>
      </c>
      <c r="AH63" s="1" t="s">
        <v>91</v>
      </c>
      <c r="AI63" t="s">
        <v>91</v>
      </c>
      <c r="AM63" t="s">
        <v>91</v>
      </c>
      <c r="AN63" t="s">
        <v>91</v>
      </c>
      <c r="AO63" t="s">
        <v>91</v>
      </c>
      <c r="AP63" t="s">
        <v>91</v>
      </c>
      <c r="AQ63" s="1" t="s">
        <v>147</v>
      </c>
      <c r="AR63" s="1" t="s">
        <v>147</v>
      </c>
      <c r="AS63" s="1" t="s">
        <v>147</v>
      </c>
      <c r="AT63" s="1" t="s">
        <v>147</v>
      </c>
      <c r="AU63" s="1" t="s">
        <v>147</v>
      </c>
      <c r="AV63" t="s">
        <v>91</v>
      </c>
      <c r="AW63" t="s">
        <v>91</v>
      </c>
      <c r="AX63" t="s">
        <v>91</v>
      </c>
      <c r="AY63" t="s">
        <v>91</v>
      </c>
      <c r="AZ63" t="s">
        <v>91</v>
      </c>
      <c r="BA63" t="s">
        <v>91</v>
      </c>
      <c r="BB63" s="2">
        <v>44378.578518518516</v>
      </c>
      <c r="BC63" s="2">
        <v>44629.706134259257</v>
      </c>
      <c r="BD63" t="s">
        <v>91</v>
      </c>
      <c r="BF63" s="1" t="s">
        <v>75</v>
      </c>
      <c r="BH63">
        <v>0</v>
      </c>
      <c r="BI63" s="1" t="s">
        <v>88</v>
      </c>
      <c r="BJ63">
        <v>1</v>
      </c>
      <c r="BK63" s="1" t="s">
        <v>89</v>
      </c>
      <c r="BL63" t="s">
        <v>91</v>
      </c>
      <c r="BM63" s="1" t="s">
        <v>109</v>
      </c>
      <c r="BN63" s="1" t="s">
        <v>110</v>
      </c>
      <c r="BO63" s="1" t="s">
        <v>91</v>
      </c>
      <c r="BP63" s="1" t="s">
        <v>91</v>
      </c>
      <c r="BQ63" t="s">
        <v>91</v>
      </c>
      <c r="BR63" s="3">
        <v>44378</v>
      </c>
      <c r="BS63" s="3">
        <v>44629</v>
      </c>
      <c r="BT63" t="s">
        <v>91</v>
      </c>
      <c r="BU63" t="s">
        <v>91</v>
      </c>
      <c r="BW63" s="1" t="s">
        <v>540</v>
      </c>
    </row>
    <row r="64" spans="1:75" x14ac:dyDescent="0.35">
      <c r="A64">
        <v>157557</v>
      </c>
      <c r="B64" s="1" t="s">
        <v>75</v>
      </c>
      <c r="C64">
        <v>80</v>
      </c>
      <c r="D64">
        <v>11121001</v>
      </c>
      <c r="E64">
        <v>121001</v>
      </c>
      <c r="F64" s="1" t="s">
        <v>76</v>
      </c>
      <c r="G64" s="1" t="s">
        <v>541</v>
      </c>
      <c r="H64">
        <v>0</v>
      </c>
      <c r="I64" s="1" t="s">
        <v>78</v>
      </c>
      <c r="J64" s="1" t="s">
        <v>542</v>
      </c>
      <c r="K64" s="1" t="s">
        <v>543</v>
      </c>
      <c r="L64" t="s">
        <v>91</v>
      </c>
      <c r="M64" t="s">
        <v>91</v>
      </c>
      <c r="N64" s="1" t="s">
        <v>360</v>
      </c>
      <c r="O64" t="s">
        <v>91</v>
      </c>
      <c r="P64" s="1" t="s">
        <v>544</v>
      </c>
      <c r="Q64" s="1" t="s">
        <v>545</v>
      </c>
      <c r="R64" s="1" t="s">
        <v>546</v>
      </c>
      <c r="S64">
        <v>1391</v>
      </c>
      <c r="T64">
        <v>99950000</v>
      </c>
      <c r="U64" s="1" t="s">
        <v>108</v>
      </c>
      <c r="V64" s="1" t="s">
        <v>547</v>
      </c>
      <c r="W64" s="1" t="s">
        <v>157</v>
      </c>
      <c r="X64">
        <v>54</v>
      </c>
      <c r="Y64">
        <v>30455259</v>
      </c>
      <c r="Z64" t="s">
        <v>91</v>
      </c>
      <c r="AA64" t="s">
        <v>91</v>
      </c>
      <c r="AB64" t="s">
        <v>91</v>
      </c>
      <c r="AC64" t="s">
        <v>91</v>
      </c>
      <c r="AD64" t="s">
        <v>91</v>
      </c>
      <c r="AE64" t="s">
        <v>91</v>
      </c>
      <c r="AF64" t="s">
        <v>91</v>
      </c>
      <c r="AG64" s="1" t="s">
        <v>91</v>
      </c>
      <c r="AH64" s="1" t="s">
        <v>91</v>
      </c>
      <c r="AI64" t="s">
        <v>91</v>
      </c>
      <c r="AM64" t="s">
        <v>91</v>
      </c>
      <c r="AN64" t="s">
        <v>91</v>
      </c>
      <c r="AO64" t="s">
        <v>91</v>
      </c>
      <c r="AP64" t="s">
        <v>91</v>
      </c>
      <c r="AQ64" s="1" t="s">
        <v>91</v>
      </c>
      <c r="AR64" s="1" t="s">
        <v>91</v>
      </c>
      <c r="AS64" s="1" t="s">
        <v>91</v>
      </c>
      <c r="AT64" s="1" t="s">
        <v>91</v>
      </c>
      <c r="AU64" s="1" t="s">
        <v>91</v>
      </c>
      <c r="AV64" t="s">
        <v>91</v>
      </c>
      <c r="AW64" t="s">
        <v>91</v>
      </c>
      <c r="AX64" t="s">
        <v>91</v>
      </c>
      <c r="AY64" t="s">
        <v>91</v>
      </c>
      <c r="AZ64" t="s">
        <v>91</v>
      </c>
      <c r="BA64" t="s">
        <v>91</v>
      </c>
      <c r="BB64" s="2">
        <v>45118.093391203707</v>
      </c>
      <c r="BC64" s="2"/>
      <c r="BD64" t="s">
        <v>91</v>
      </c>
      <c r="BF64" s="1" t="s">
        <v>75</v>
      </c>
      <c r="BI64" s="1" t="s">
        <v>88</v>
      </c>
      <c r="BJ64">
        <v>1</v>
      </c>
      <c r="BK64" s="1" t="s">
        <v>89</v>
      </c>
      <c r="BL64" t="s">
        <v>91</v>
      </c>
      <c r="BM64" s="1" t="s">
        <v>91</v>
      </c>
      <c r="BN64" s="1" t="s">
        <v>91</v>
      </c>
      <c r="BO64" s="1" t="s">
        <v>91</v>
      </c>
      <c r="BP64" s="1" t="s">
        <v>91</v>
      </c>
      <c r="BQ64" t="s">
        <v>91</v>
      </c>
      <c r="BR64" s="3">
        <v>45118</v>
      </c>
      <c r="BS64" s="3"/>
      <c r="BT64" t="s">
        <v>91</v>
      </c>
      <c r="BU64" t="s">
        <v>91</v>
      </c>
      <c r="BW64" s="1" t="s">
        <v>90</v>
      </c>
    </row>
    <row r="65" spans="1:75" x14ac:dyDescent="0.35">
      <c r="A65">
        <v>157540</v>
      </c>
      <c r="B65" s="1" t="s">
        <v>75</v>
      </c>
      <c r="C65">
        <v>80</v>
      </c>
      <c r="D65">
        <v>11121001</v>
      </c>
      <c r="E65">
        <v>121001</v>
      </c>
      <c r="F65" s="1" t="s">
        <v>76</v>
      </c>
      <c r="G65" s="1" t="s">
        <v>548</v>
      </c>
      <c r="H65">
        <v>0</v>
      </c>
      <c r="I65" s="1" t="s">
        <v>78</v>
      </c>
      <c r="J65" s="1" t="s">
        <v>549</v>
      </c>
      <c r="K65" s="1" t="s">
        <v>550</v>
      </c>
      <c r="L65" t="s">
        <v>91</v>
      </c>
      <c r="M65" t="s">
        <v>91</v>
      </c>
      <c r="N65" s="1" t="s">
        <v>360</v>
      </c>
      <c r="O65" t="s">
        <v>91</v>
      </c>
      <c r="P65" s="1" t="s">
        <v>551</v>
      </c>
      <c r="Q65" s="1" t="s">
        <v>552</v>
      </c>
      <c r="R65" s="1" t="s">
        <v>370</v>
      </c>
      <c r="S65">
        <v>1383</v>
      </c>
      <c r="T65">
        <v>99025004</v>
      </c>
      <c r="U65" s="1" t="s">
        <v>477</v>
      </c>
      <c r="V65" s="1" t="s">
        <v>371</v>
      </c>
      <c r="W65" s="1" t="s">
        <v>157</v>
      </c>
      <c r="X65">
        <v>54</v>
      </c>
      <c r="Y65">
        <v>30455259</v>
      </c>
      <c r="Z65" t="s">
        <v>91</v>
      </c>
      <c r="AA65" t="s">
        <v>91</v>
      </c>
      <c r="AB65" t="s">
        <v>91</v>
      </c>
      <c r="AC65" t="s">
        <v>91</v>
      </c>
      <c r="AD65" t="s">
        <v>91</v>
      </c>
      <c r="AE65" t="s">
        <v>91</v>
      </c>
      <c r="AF65" t="s">
        <v>91</v>
      </c>
      <c r="AG65" s="1" t="s">
        <v>91</v>
      </c>
      <c r="AH65" s="1" t="s">
        <v>91</v>
      </c>
      <c r="AI65" t="s">
        <v>91</v>
      </c>
      <c r="AM65" t="s">
        <v>91</v>
      </c>
      <c r="AN65" t="s">
        <v>91</v>
      </c>
      <c r="AO65" t="s">
        <v>91</v>
      </c>
      <c r="AP65" t="s">
        <v>91</v>
      </c>
      <c r="AQ65" s="1" t="s">
        <v>91</v>
      </c>
      <c r="AR65" s="1" t="s">
        <v>91</v>
      </c>
      <c r="AS65" s="1" t="s">
        <v>91</v>
      </c>
      <c r="AT65" s="1" t="s">
        <v>91</v>
      </c>
      <c r="AU65" s="1" t="s">
        <v>91</v>
      </c>
      <c r="AV65" t="s">
        <v>91</v>
      </c>
      <c r="AW65" t="s">
        <v>91</v>
      </c>
      <c r="AX65" t="s">
        <v>91</v>
      </c>
      <c r="AY65" t="s">
        <v>91</v>
      </c>
      <c r="AZ65" t="s">
        <v>91</v>
      </c>
      <c r="BA65" t="s">
        <v>91</v>
      </c>
      <c r="BB65" s="2">
        <v>45118.093391203707</v>
      </c>
      <c r="BC65" s="2"/>
      <c r="BD65" t="s">
        <v>91</v>
      </c>
      <c r="BF65" s="1" t="s">
        <v>75</v>
      </c>
      <c r="BI65" s="1" t="s">
        <v>88</v>
      </c>
      <c r="BJ65">
        <v>1</v>
      </c>
      <c r="BK65" s="1" t="s">
        <v>89</v>
      </c>
      <c r="BL65" t="s">
        <v>91</v>
      </c>
      <c r="BM65" s="1" t="s">
        <v>91</v>
      </c>
      <c r="BN65" s="1" t="s">
        <v>91</v>
      </c>
      <c r="BO65" s="1" t="s">
        <v>91</v>
      </c>
      <c r="BP65" s="1" t="s">
        <v>91</v>
      </c>
      <c r="BQ65" t="s">
        <v>91</v>
      </c>
      <c r="BR65" s="3">
        <v>45118</v>
      </c>
      <c r="BS65" s="3"/>
      <c r="BT65" t="s">
        <v>91</v>
      </c>
      <c r="BU65" t="s">
        <v>91</v>
      </c>
      <c r="BW65" s="1" t="s">
        <v>90</v>
      </c>
    </row>
    <row r="66" spans="1:75" x14ac:dyDescent="0.35">
      <c r="A66">
        <v>157541</v>
      </c>
      <c r="B66" s="1" t="s">
        <v>75</v>
      </c>
      <c r="C66">
        <v>80</v>
      </c>
      <c r="D66">
        <v>11121001</v>
      </c>
      <c r="E66">
        <v>121001</v>
      </c>
      <c r="F66" s="1" t="s">
        <v>76</v>
      </c>
      <c r="G66" s="1" t="s">
        <v>553</v>
      </c>
      <c r="H66">
        <v>0</v>
      </c>
      <c r="I66" s="1" t="s">
        <v>78</v>
      </c>
      <c r="J66" s="1" t="s">
        <v>549</v>
      </c>
      <c r="K66" s="1" t="s">
        <v>554</v>
      </c>
      <c r="L66" t="s">
        <v>91</v>
      </c>
      <c r="M66" t="s">
        <v>91</v>
      </c>
      <c r="N66" s="1" t="s">
        <v>360</v>
      </c>
      <c r="O66" t="s">
        <v>91</v>
      </c>
      <c r="P66" s="1" t="s">
        <v>555</v>
      </c>
      <c r="Q66" s="1" t="s">
        <v>556</v>
      </c>
      <c r="R66" s="1" t="s">
        <v>91</v>
      </c>
      <c r="S66">
        <v>1376</v>
      </c>
      <c r="T66">
        <v>98300000</v>
      </c>
      <c r="U66" s="1" t="s">
        <v>108</v>
      </c>
      <c r="V66" s="1" t="s">
        <v>557</v>
      </c>
      <c r="W66" s="1" t="s">
        <v>157</v>
      </c>
      <c r="X66">
        <v>54</v>
      </c>
      <c r="Y66">
        <v>21035247</v>
      </c>
      <c r="Z66" t="s">
        <v>91</v>
      </c>
      <c r="AA66" t="s">
        <v>91</v>
      </c>
      <c r="AB66" t="s">
        <v>91</v>
      </c>
      <c r="AC66" t="s">
        <v>91</v>
      </c>
      <c r="AD66" t="s">
        <v>91</v>
      </c>
      <c r="AE66" t="s">
        <v>91</v>
      </c>
      <c r="AF66" t="s">
        <v>91</v>
      </c>
      <c r="AG66" s="1" t="s">
        <v>91</v>
      </c>
      <c r="AH66" s="1" t="s">
        <v>91</v>
      </c>
      <c r="AI66" t="s">
        <v>91</v>
      </c>
      <c r="AM66" t="s">
        <v>91</v>
      </c>
      <c r="AN66" t="s">
        <v>91</v>
      </c>
      <c r="AO66" t="s">
        <v>91</v>
      </c>
      <c r="AP66" t="s">
        <v>91</v>
      </c>
      <c r="AQ66" s="1" t="s">
        <v>91</v>
      </c>
      <c r="AR66" s="1" t="s">
        <v>91</v>
      </c>
      <c r="AS66" s="1" t="s">
        <v>91</v>
      </c>
      <c r="AT66" s="1" t="s">
        <v>91</v>
      </c>
      <c r="AU66" s="1" t="s">
        <v>91</v>
      </c>
      <c r="AV66" t="s">
        <v>91</v>
      </c>
      <c r="AW66" t="s">
        <v>91</v>
      </c>
      <c r="AX66" t="s">
        <v>91</v>
      </c>
      <c r="AY66" t="s">
        <v>91</v>
      </c>
      <c r="AZ66" t="s">
        <v>91</v>
      </c>
      <c r="BA66" t="s">
        <v>91</v>
      </c>
      <c r="BB66" s="2">
        <v>45118.093391203707</v>
      </c>
      <c r="BC66" s="2"/>
      <c r="BD66" t="s">
        <v>91</v>
      </c>
      <c r="BF66" s="1" t="s">
        <v>75</v>
      </c>
      <c r="BI66" s="1" t="s">
        <v>88</v>
      </c>
      <c r="BJ66">
        <v>1</v>
      </c>
      <c r="BK66" s="1" t="s">
        <v>89</v>
      </c>
      <c r="BL66" t="s">
        <v>91</v>
      </c>
      <c r="BM66" s="1" t="s">
        <v>91</v>
      </c>
      <c r="BN66" s="1" t="s">
        <v>91</v>
      </c>
      <c r="BO66" s="1" t="s">
        <v>91</v>
      </c>
      <c r="BP66" s="1" t="s">
        <v>91</v>
      </c>
      <c r="BQ66" t="s">
        <v>91</v>
      </c>
      <c r="BR66" s="3">
        <v>45118</v>
      </c>
      <c r="BS66" s="3"/>
      <c r="BT66" t="s">
        <v>91</v>
      </c>
      <c r="BU66" t="s">
        <v>91</v>
      </c>
      <c r="BW66" s="1" t="s">
        <v>90</v>
      </c>
    </row>
    <row r="67" spans="1:75" x14ac:dyDescent="0.35">
      <c r="A67">
        <v>157545</v>
      </c>
      <c r="B67" s="1" t="s">
        <v>75</v>
      </c>
      <c r="C67">
        <v>80</v>
      </c>
      <c r="D67">
        <v>11121001</v>
      </c>
      <c r="E67">
        <v>121001</v>
      </c>
      <c r="F67" s="1" t="s">
        <v>76</v>
      </c>
      <c r="G67" s="1" t="s">
        <v>558</v>
      </c>
      <c r="H67">
        <v>0</v>
      </c>
      <c r="I67" s="1" t="s">
        <v>78</v>
      </c>
      <c r="J67" s="1" t="s">
        <v>559</v>
      </c>
      <c r="K67" s="1" t="s">
        <v>560</v>
      </c>
      <c r="L67" t="s">
        <v>91</v>
      </c>
      <c r="M67" t="s">
        <v>91</v>
      </c>
      <c r="N67" s="1" t="s">
        <v>360</v>
      </c>
      <c r="O67" t="s">
        <v>91</v>
      </c>
      <c r="P67" s="1" t="s">
        <v>561</v>
      </c>
      <c r="Q67" s="1" t="s">
        <v>562</v>
      </c>
      <c r="R67" s="1" t="s">
        <v>91</v>
      </c>
      <c r="S67">
        <v>1333</v>
      </c>
      <c r="T67">
        <v>95300000</v>
      </c>
      <c r="U67" s="1" t="s">
        <v>108</v>
      </c>
      <c r="V67" s="1" t="s">
        <v>563</v>
      </c>
      <c r="W67" s="1" t="s">
        <v>157</v>
      </c>
      <c r="X67">
        <v>54</v>
      </c>
      <c r="Y67">
        <v>21035247</v>
      </c>
      <c r="Z67" t="s">
        <v>91</v>
      </c>
      <c r="AA67" t="s">
        <v>91</v>
      </c>
      <c r="AB67" t="s">
        <v>91</v>
      </c>
      <c r="AC67" t="s">
        <v>91</v>
      </c>
      <c r="AD67" t="s">
        <v>91</v>
      </c>
      <c r="AE67" t="s">
        <v>91</v>
      </c>
      <c r="AF67" t="s">
        <v>91</v>
      </c>
      <c r="AG67" s="1" t="s">
        <v>91</v>
      </c>
      <c r="AH67" s="1" t="s">
        <v>91</v>
      </c>
      <c r="AI67" t="s">
        <v>91</v>
      </c>
      <c r="AM67" t="s">
        <v>91</v>
      </c>
      <c r="AN67" t="s">
        <v>91</v>
      </c>
      <c r="AO67" t="s">
        <v>91</v>
      </c>
      <c r="AP67" t="s">
        <v>91</v>
      </c>
      <c r="AQ67" s="1" t="s">
        <v>91</v>
      </c>
      <c r="AR67" s="1" t="s">
        <v>91</v>
      </c>
      <c r="AS67" s="1" t="s">
        <v>91</v>
      </c>
      <c r="AT67" s="1" t="s">
        <v>91</v>
      </c>
      <c r="AU67" s="1" t="s">
        <v>91</v>
      </c>
      <c r="AV67" t="s">
        <v>91</v>
      </c>
      <c r="AW67" t="s">
        <v>91</v>
      </c>
      <c r="AX67" t="s">
        <v>91</v>
      </c>
      <c r="AY67" t="s">
        <v>91</v>
      </c>
      <c r="AZ67" t="s">
        <v>91</v>
      </c>
      <c r="BA67" t="s">
        <v>91</v>
      </c>
      <c r="BB67" s="2">
        <v>45118.093391203707</v>
      </c>
      <c r="BC67" s="2"/>
      <c r="BD67" t="s">
        <v>91</v>
      </c>
      <c r="BF67" s="1" t="s">
        <v>75</v>
      </c>
      <c r="BI67" s="1" t="s">
        <v>88</v>
      </c>
      <c r="BJ67">
        <v>1</v>
      </c>
      <c r="BK67" s="1" t="s">
        <v>89</v>
      </c>
      <c r="BL67" t="s">
        <v>91</v>
      </c>
      <c r="BM67" s="1" t="s">
        <v>91</v>
      </c>
      <c r="BN67" s="1" t="s">
        <v>91</v>
      </c>
      <c r="BO67" s="1" t="s">
        <v>91</v>
      </c>
      <c r="BP67" s="1" t="s">
        <v>91</v>
      </c>
      <c r="BQ67" t="s">
        <v>91</v>
      </c>
      <c r="BR67" s="3">
        <v>45118</v>
      </c>
      <c r="BS67" s="3"/>
      <c r="BT67" t="s">
        <v>91</v>
      </c>
      <c r="BU67" t="s">
        <v>91</v>
      </c>
      <c r="BW67" s="1" t="s">
        <v>90</v>
      </c>
    </row>
    <row r="68" spans="1:75" x14ac:dyDescent="0.35">
      <c r="A68">
        <v>157550</v>
      </c>
      <c r="B68" s="1" t="s">
        <v>75</v>
      </c>
      <c r="C68">
        <v>80</v>
      </c>
      <c r="D68">
        <v>11121001</v>
      </c>
      <c r="E68">
        <v>121001</v>
      </c>
      <c r="F68" s="1" t="s">
        <v>76</v>
      </c>
      <c r="G68" s="1" t="s">
        <v>564</v>
      </c>
      <c r="H68">
        <v>0</v>
      </c>
      <c r="I68" s="1" t="s">
        <v>78</v>
      </c>
      <c r="J68" s="1" t="s">
        <v>559</v>
      </c>
      <c r="K68" s="1" t="s">
        <v>565</v>
      </c>
      <c r="L68" t="s">
        <v>91</v>
      </c>
      <c r="M68" t="s">
        <v>91</v>
      </c>
      <c r="N68" s="1" t="s">
        <v>360</v>
      </c>
      <c r="O68" t="s">
        <v>91</v>
      </c>
      <c r="P68" s="1" t="s">
        <v>551</v>
      </c>
      <c r="Q68" s="1" t="s">
        <v>552</v>
      </c>
      <c r="R68" s="1" t="s">
        <v>370</v>
      </c>
      <c r="S68">
        <v>1383</v>
      </c>
      <c r="T68">
        <v>99025004</v>
      </c>
      <c r="U68" s="1" t="s">
        <v>477</v>
      </c>
      <c r="V68" s="1" t="s">
        <v>371</v>
      </c>
      <c r="W68" s="1" t="s">
        <v>157</v>
      </c>
      <c r="X68">
        <v>54</v>
      </c>
      <c r="Y68">
        <v>30455259</v>
      </c>
      <c r="Z68" t="s">
        <v>91</v>
      </c>
      <c r="AA68" t="s">
        <v>91</v>
      </c>
      <c r="AB68" t="s">
        <v>91</v>
      </c>
      <c r="AC68" t="s">
        <v>91</v>
      </c>
      <c r="AD68" t="s">
        <v>91</v>
      </c>
      <c r="AE68" t="s">
        <v>91</v>
      </c>
      <c r="AF68" t="s">
        <v>91</v>
      </c>
      <c r="AG68" s="1" t="s">
        <v>91</v>
      </c>
      <c r="AH68" s="1" t="s">
        <v>91</v>
      </c>
      <c r="AI68" t="s">
        <v>91</v>
      </c>
      <c r="AM68" t="s">
        <v>91</v>
      </c>
      <c r="AN68" t="s">
        <v>91</v>
      </c>
      <c r="AO68" t="s">
        <v>91</v>
      </c>
      <c r="AP68" t="s">
        <v>91</v>
      </c>
      <c r="AQ68" s="1" t="s">
        <v>91</v>
      </c>
      <c r="AR68" s="1" t="s">
        <v>91</v>
      </c>
      <c r="AS68" s="1" t="s">
        <v>91</v>
      </c>
      <c r="AT68" s="1" t="s">
        <v>91</v>
      </c>
      <c r="AU68" s="1" t="s">
        <v>91</v>
      </c>
      <c r="AV68" t="s">
        <v>91</v>
      </c>
      <c r="AW68" t="s">
        <v>91</v>
      </c>
      <c r="AX68" t="s">
        <v>91</v>
      </c>
      <c r="AY68" t="s">
        <v>91</v>
      </c>
      <c r="AZ68" t="s">
        <v>91</v>
      </c>
      <c r="BA68" t="s">
        <v>91</v>
      </c>
      <c r="BB68" s="2">
        <v>45118.093391203707</v>
      </c>
      <c r="BC68" s="2"/>
      <c r="BD68" t="s">
        <v>91</v>
      </c>
      <c r="BF68" s="1" t="s">
        <v>75</v>
      </c>
      <c r="BI68" s="1" t="s">
        <v>88</v>
      </c>
      <c r="BJ68">
        <v>1</v>
      </c>
      <c r="BK68" s="1" t="s">
        <v>89</v>
      </c>
      <c r="BL68" t="s">
        <v>91</v>
      </c>
      <c r="BM68" s="1" t="s">
        <v>91</v>
      </c>
      <c r="BN68" s="1" t="s">
        <v>91</v>
      </c>
      <c r="BO68" s="1" t="s">
        <v>91</v>
      </c>
      <c r="BP68" s="1" t="s">
        <v>91</v>
      </c>
      <c r="BQ68" t="s">
        <v>91</v>
      </c>
      <c r="BR68" s="3">
        <v>45118</v>
      </c>
      <c r="BS68" s="3"/>
      <c r="BT68" t="s">
        <v>91</v>
      </c>
      <c r="BU68" t="s">
        <v>91</v>
      </c>
      <c r="BW68" s="1" t="s">
        <v>90</v>
      </c>
    </row>
    <row r="69" spans="1:75" x14ac:dyDescent="0.35">
      <c r="A69">
        <v>157542</v>
      </c>
      <c r="B69" s="1" t="s">
        <v>75</v>
      </c>
      <c r="C69">
        <v>80</v>
      </c>
      <c r="D69">
        <v>11121001</v>
      </c>
      <c r="E69">
        <v>121001</v>
      </c>
      <c r="F69" s="1" t="s">
        <v>76</v>
      </c>
      <c r="G69" s="1" t="s">
        <v>566</v>
      </c>
      <c r="H69">
        <v>0</v>
      </c>
      <c r="I69" s="1" t="s">
        <v>78</v>
      </c>
      <c r="J69" s="1" t="s">
        <v>567</v>
      </c>
      <c r="K69" s="1" t="s">
        <v>568</v>
      </c>
      <c r="L69" t="s">
        <v>91</v>
      </c>
      <c r="M69" t="s">
        <v>91</v>
      </c>
      <c r="N69" s="1" t="s">
        <v>360</v>
      </c>
      <c r="O69" t="s">
        <v>91</v>
      </c>
      <c r="P69" s="1" t="s">
        <v>569</v>
      </c>
      <c r="Q69" s="1" t="s">
        <v>570</v>
      </c>
      <c r="R69" s="1" t="s">
        <v>571</v>
      </c>
      <c r="S69">
        <v>1383</v>
      </c>
      <c r="T69">
        <v>99050000</v>
      </c>
      <c r="U69" s="1" t="s">
        <v>99</v>
      </c>
      <c r="V69" s="1" t="s">
        <v>371</v>
      </c>
      <c r="W69" s="1" t="s">
        <v>157</v>
      </c>
      <c r="X69">
        <v>54</v>
      </c>
      <c r="Y69">
        <v>21035247</v>
      </c>
      <c r="Z69" t="s">
        <v>91</v>
      </c>
      <c r="AA69" t="s">
        <v>91</v>
      </c>
      <c r="AB69" t="s">
        <v>91</v>
      </c>
      <c r="AC69" t="s">
        <v>91</v>
      </c>
      <c r="AD69" t="s">
        <v>91</v>
      </c>
      <c r="AE69" t="s">
        <v>91</v>
      </c>
      <c r="AF69" t="s">
        <v>91</v>
      </c>
      <c r="AG69" s="1" t="s">
        <v>91</v>
      </c>
      <c r="AH69" s="1" t="s">
        <v>91</v>
      </c>
      <c r="AI69" t="s">
        <v>91</v>
      </c>
      <c r="AM69" t="s">
        <v>91</v>
      </c>
      <c r="AN69" t="s">
        <v>91</v>
      </c>
      <c r="AO69" t="s">
        <v>91</v>
      </c>
      <c r="AP69" t="s">
        <v>91</v>
      </c>
      <c r="AQ69" s="1" t="s">
        <v>91</v>
      </c>
      <c r="AR69" s="1" t="s">
        <v>91</v>
      </c>
      <c r="AS69" s="1" t="s">
        <v>91</v>
      </c>
      <c r="AT69" s="1" t="s">
        <v>91</v>
      </c>
      <c r="AU69" s="1" t="s">
        <v>91</v>
      </c>
      <c r="AV69" t="s">
        <v>91</v>
      </c>
      <c r="AW69" t="s">
        <v>91</v>
      </c>
      <c r="AX69" t="s">
        <v>91</v>
      </c>
      <c r="AY69" t="s">
        <v>91</v>
      </c>
      <c r="AZ69" t="s">
        <v>91</v>
      </c>
      <c r="BA69" t="s">
        <v>91</v>
      </c>
      <c r="BB69" s="2">
        <v>45118.093391203707</v>
      </c>
      <c r="BC69" s="2"/>
      <c r="BD69" t="s">
        <v>91</v>
      </c>
      <c r="BF69" s="1" t="s">
        <v>75</v>
      </c>
      <c r="BI69" s="1" t="s">
        <v>88</v>
      </c>
      <c r="BJ69">
        <v>1</v>
      </c>
      <c r="BK69" s="1" t="s">
        <v>89</v>
      </c>
      <c r="BL69" t="s">
        <v>91</v>
      </c>
      <c r="BM69" s="1" t="s">
        <v>91</v>
      </c>
      <c r="BN69" s="1" t="s">
        <v>91</v>
      </c>
      <c r="BO69" s="1" t="s">
        <v>91</v>
      </c>
      <c r="BP69" s="1" t="s">
        <v>91</v>
      </c>
      <c r="BQ69" t="s">
        <v>91</v>
      </c>
      <c r="BR69" s="3">
        <v>45118</v>
      </c>
      <c r="BS69" s="3"/>
      <c r="BT69" t="s">
        <v>91</v>
      </c>
      <c r="BU69" t="s">
        <v>91</v>
      </c>
      <c r="BW69" s="1" t="s">
        <v>90</v>
      </c>
    </row>
    <row r="70" spans="1:75" x14ac:dyDescent="0.35">
      <c r="A70">
        <v>157543</v>
      </c>
      <c r="B70" s="1" t="s">
        <v>75</v>
      </c>
      <c r="C70">
        <v>80</v>
      </c>
      <c r="D70">
        <v>11121001</v>
      </c>
      <c r="E70">
        <v>121001</v>
      </c>
      <c r="F70" s="1" t="s">
        <v>76</v>
      </c>
      <c r="G70" s="1" t="s">
        <v>572</v>
      </c>
      <c r="H70">
        <v>0</v>
      </c>
      <c r="I70" s="1" t="s">
        <v>78</v>
      </c>
      <c r="J70" s="1" t="s">
        <v>567</v>
      </c>
      <c r="K70" s="1" t="s">
        <v>573</v>
      </c>
      <c r="L70" t="s">
        <v>91</v>
      </c>
      <c r="M70" t="s">
        <v>91</v>
      </c>
      <c r="N70" s="1" t="s">
        <v>360</v>
      </c>
      <c r="O70" t="s">
        <v>91</v>
      </c>
      <c r="P70" s="1" t="s">
        <v>574</v>
      </c>
      <c r="Q70" s="1" t="s">
        <v>575</v>
      </c>
      <c r="R70" s="1" t="s">
        <v>576</v>
      </c>
      <c r="S70">
        <v>1376</v>
      </c>
      <c r="T70">
        <v>98300000</v>
      </c>
      <c r="U70" s="1" t="s">
        <v>108</v>
      </c>
      <c r="V70" s="1" t="s">
        <v>557</v>
      </c>
      <c r="W70" s="1" t="s">
        <v>157</v>
      </c>
      <c r="X70">
        <v>54</v>
      </c>
      <c r="Y70">
        <v>21035247</v>
      </c>
      <c r="Z70" t="s">
        <v>91</v>
      </c>
      <c r="AA70" t="s">
        <v>91</v>
      </c>
      <c r="AB70" t="s">
        <v>91</v>
      </c>
      <c r="AC70" t="s">
        <v>91</v>
      </c>
      <c r="AD70" t="s">
        <v>91</v>
      </c>
      <c r="AE70" t="s">
        <v>91</v>
      </c>
      <c r="AF70" t="s">
        <v>91</v>
      </c>
      <c r="AG70" s="1" t="s">
        <v>91</v>
      </c>
      <c r="AH70" s="1" t="s">
        <v>91</v>
      </c>
      <c r="AI70" t="s">
        <v>91</v>
      </c>
      <c r="AM70" t="s">
        <v>91</v>
      </c>
      <c r="AN70" t="s">
        <v>91</v>
      </c>
      <c r="AO70" t="s">
        <v>91</v>
      </c>
      <c r="AP70" t="s">
        <v>91</v>
      </c>
      <c r="AQ70" s="1" t="s">
        <v>91</v>
      </c>
      <c r="AR70" s="1" t="s">
        <v>91</v>
      </c>
      <c r="AS70" s="1" t="s">
        <v>91</v>
      </c>
      <c r="AT70" s="1" t="s">
        <v>91</v>
      </c>
      <c r="AU70" s="1" t="s">
        <v>91</v>
      </c>
      <c r="AV70" t="s">
        <v>91</v>
      </c>
      <c r="AW70" t="s">
        <v>91</v>
      </c>
      <c r="AX70" t="s">
        <v>91</v>
      </c>
      <c r="AY70" t="s">
        <v>91</v>
      </c>
      <c r="AZ70" t="s">
        <v>91</v>
      </c>
      <c r="BA70" t="s">
        <v>91</v>
      </c>
      <c r="BB70" s="2">
        <v>45118.093391203707</v>
      </c>
      <c r="BC70" s="2"/>
      <c r="BD70" t="s">
        <v>91</v>
      </c>
      <c r="BF70" s="1" t="s">
        <v>75</v>
      </c>
      <c r="BI70" s="1" t="s">
        <v>88</v>
      </c>
      <c r="BJ70">
        <v>1</v>
      </c>
      <c r="BK70" s="1" t="s">
        <v>89</v>
      </c>
      <c r="BL70" t="s">
        <v>91</v>
      </c>
      <c r="BM70" s="1" t="s">
        <v>91</v>
      </c>
      <c r="BN70" s="1" t="s">
        <v>91</v>
      </c>
      <c r="BO70" s="1" t="s">
        <v>91</v>
      </c>
      <c r="BP70" s="1" t="s">
        <v>91</v>
      </c>
      <c r="BQ70" t="s">
        <v>91</v>
      </c>
      <c r="BR70" s="3">
        <v>45118</v>
      </c>
      <c r="BS70" s="3"/>
      <c r="BT70" t="s">
        <v>91</v>
      </c>
      <c r="BU70" t="s">
        <v>91</v>
      </c>
      <c r="BW70" s="1" t="s">
        <v>90</v>
      </c>
    </row>
    <row r="71" spans="1:75" x14ac:dyDescent="0.35">
      <c r="A71">
        <v>157552</v>
      </c>
      <c r="B71" s="1" t="s">
        <v>75</v>
      </c>
      <c r="C71">
        <v>80</v>
      </c>
      <c r="D71">
        <v>11121001</v>
      </c>
      <c r="E71">
        <v>121001</v>
      </c>
      <c r="F71" s="1" t="s">
        <v>76</v>
      </c>
      <c r="G71" s="1" t="s">
        <v>577</v>
      </c>
      <c r="H71">
        <v>0</v>
      </c>
      <c r="I71" s="1" t="s">
        <v>78</v>
      </c>
      <c r="J71" s="1" t="s">
        <v>578</v>
      </c>
      <c r="K71" s="1" t="s">
        <v>579</v>
      </c>
      <c r="L71" t="s">
        <v>91</v>
      </c>
      <c r="M71" t="s">
        <v>91</v>
      </c>
      <c r="N71" s="1" t="s">
        <v>580</v>
      </c>
      <c r="O71" t="s">
        <v>91</v>
      </c>
      <c r="P71" s="1" t="s">
        <v>581</v>
      </c>
      <c r="Q71" s="1" t="s">
        <v>117</v>
      </c>
      <c r="R71" s="1" t="s">
        <v>91</v>
      </c>
      <c r="S71">
        <v>1288</v>
      </c>
      <c r="T71">
        <v>89898000</v>
      </c>
      <c r="U71" s="1" t="s">
        <v>108</v>
      </c>
      <c r="V71" s="1" t="s">
        <v>582</v>
      </c>
      <c r="W71" s="1" t="s">
        <v>87</v>
      </c>
      <c r="X71">
        <v>49</v>
      </c>
      <c r="Y71">
        <v>36321229</v>
      </c>
      <c r="Z71" t="s">
        <v>91</v>
      </c>
      <c r="AA71" t="s">
        <v>91</v>
      </c>
      <c r="AB71" t="s">
        <v>91</v>
      </c>
      <c r="AC71" t="s">
        <v>91</v>
      </c>
      <c r="AD71" t="s">
        <v>91</v>
      </c>
      <c r="AE71" t="s">
        <v>91</v>
      </c>
      <c r="AF71" t="s">
        <v>91</v>
      </c>
      <c r="AG71" s="1" t="s">
        <v>91</v>
      </c>
      <c r="AH71" s="1" t="s">
        <v>91</v>
      </c>
      <c r="AI71" t="s">
        <v>91</v>
      </c>
      <c r="AM71" t="s">
        <v>91</v>
      </c>
      <c r="AN71" t="s">
        <v>91</v>
      </c>
      <c r="AO71" t="s">
        <v>91</v>
      </c>
      <c r="AP71" t="s">
        <v>91</v>
      </c>
      <c r="AQ71" s="1" t="s">
        <v>91</v>
      </c>
      <c r="AR71" s="1" t="s">
        <v>91</v>
      </c>
      <c r="AS71" s="1" t="s">
        <v>91</v>
      </c>
      <c r="AT71" s="1" t="s">
        <v>91</v>
      </c>
      <c r="AU71" s="1" t="s">
        <v>91</v>
      </c>
      <c r="AV71" t="s">
        <v>91</v>
      </c>
      <c r="AW71" t="s">
        <v>91</v>
      </c>
      <c r="AX71" t="s">
        <v>91</v>
      </c>
      <c r="AY71" t="s">
        <v>91</v>
      </c>
      <c r="AZ71" t="s">
        <v>91</v>
      </c>
      <c r="BA71" t="s">
        <v>91</v>
      </c>
      <c r="BB71" s="2">
        <v>45118.093391203707</v>
      </c>
      <c r="BC71" s="2"/>
      <c r="BD71" t="s">
        <v>91</v>
      </c>
      <c r="BF71" s="1" t="s">
        <v>75</v>
      </c>
      <c r="BI71" s="1" t="s">
        <v>88</v>
      </c>
      <c r="BJ71">
        <v>1</v>
      </c>
      <c r="BK71" s="1" t="s">
        <v>89</v>
      </c>
      <c r="BL71" t="s">
        <v>91</v>
      </c>
      <c r="BM71" s="1" t="s">
        <v>91</v>
      </c>
      <c r="BN71" s="1" t="s">
        <v>91</v>
      </c>
      <c r="BO71" s="1" t="s">
        <v>91</v>
      </c>
      <c r="BP71" s="1" t="s">
        <v>91</v>
      </c>
      <c r="BQ71" t="s">
        <v>91</v>
      </c>
      <c r="BR71" s="3">
        <v>45118</v>
      </c>
      <c r="BS71" s="3"/>
      <c r="BT71" t="s">
        <v>91</v>
      </c>
      <c r="BU71" t="s">
        <v>91</v>
      </c>
      <c r="BW71" s="1" t="s">
        <v>90</v>
      </c>
    </row>
    <row r="72" spans="1:75" x14ac:dyDescent="0.35">
      <c r="A72">
        <v>144589</v>
      </c>
      <c r="B72" s="1" t="s">
        <v>75</v>
      </c>
      <c r="C72">
        <v>80</v>
      </c>
      <c r="D72">
        <v>11121001</v>
      </c>
      <c r="E72">
        <v>121001</v>
      </c>
      <c r="F72" s="1" t="s">
        <v>76</v>
      </c>
      <c r="G72" s="1" t="s">
        <v>583</v>
      </c>
      <c r="I72" s="1" t="s">
        <v>78</v>
      </c>
      <c r="J72" s="1" t="s">
        <v>584</v>
      </c>
      <c r="K72" s="1" t="s">
        <v>585</v>
      </c>
      <c r="L72" t="s">
        <v>91</v>
      </c>
      <c r="M72" t="s">
        <v>91</v>
      </c>
      <c r="N72" s="1" t="s">
        <v>586</v>
      </c>
      <c r="O72" t="s">
        <v>91</v>
      </c>
      <c r="P72" s="1" t="s">
        <v>587</v>
      </c>
      <c r="Q72" s="1" t="s">
        <v>478</v>
      </c>
      <c r="R72" s="1" t="s">
        <v>588</v>
      </c>
      <c r="T72">
        <v>89204250</v>
      </c>
      <c r="U72" s="1" t="s">
        <v>418</v>
      </c>
      <c r="V72" s="1" t="s">
        <v>100</v>
      </c>
      <c r="W72" s="1" t="s">
        <v>87</v>
      </c>
      <c r="X72">
        <v>47</v>
      </c>
      <c r="Y72">
        <v>35114455</v>
      </c>
      <c r="Z72" t="s">
        <v>91</v>
      </c>
      <c r="AA72" t="s">
        <v>91</v>
      </c>
      <c r="AB72" t="s">
        <v>91</v>
      </c>
      <c r="AC72" t="s">
        <v>91</v>
      </c>
      <c r="AD72" t="s">
        <v>91</v>
      </c>
      <c r="AE72" t="s">
        <v>91</v>
      </c>
      <c r="AF72" t="s">
        <v>91</v>
      </c>
      <c r="AG72" s="1" t="s">
        <v>91</v>
      </c>
      <c r="AH72" s="1" t="s">
        <v>91</v>
      </c>
      <c r="AI72" t="s">
        <v>91</v>
      </c>
      <c r="AJ72">
        <v>0</v>
      </c>
      <c r="AK72">
        <v>0</v>
      </c>
      <c r="AL72">
        <v>0</v>
      </c>
      <c r="AM72" t="s">
        <v>91</v>
      </c>
      <c r="AN72" t="s">
        <v>91</v>
      </c>
      <c r="AO72" t="s">
        <v>91</v>
      </c>
      <c r="AP72" t="s">
        <v>91</v>
      </c>
      <c r="AQ72" s="1" t="s">
        <v>91</v>
      </c>
      <c r="AR72" s="1" t="s">
        <v>91</v>
      </c>
      <c r="AS72" s="1" t="s">
        <v>91</v>
      </c>
      <c r="AT72" s="1" t="s">
        <v>91</v>
      </c>
      <c r="AU72" s="1" t="s">
        <v>91</v>
      </c>
      <c r="AV72" t="s">
        <v>91</v>
      </c>
      <c r="AW72" t="s">
        <v>91</v>
      </c>
      <c r="AX72" t="s">
        <v>91</v>
      </c>
      <c r="AY72" t="s">
        <v>91</v>
      </c>
      <c r="AZ72" t="s">
        <v>91</v>
      </c>
      <c r="BA72" t="s">
        <v>91</v>
      </c>
      <c r="BB72" s="2"/>
      <c r="BC72" s="2"/>
      <c r="BD72" t="s">
        <v>91</v>
      </c>
      <c r="BF72" s="1" t="s">
        <v>75</v>
      </c>
      <c r="BG72">
        <v>0</v>
      </c>
      <c r="BH72">
        <v>0</v>
      </c>
      <c r="BI72" s="1" t="s">
        <v>88</v>
      </c>
      <c r="BJ72">
        <v>1</v>
      </c>
      <c r="BK72" s="1" t="s">
        <v>89</v>
      </c>
      <c r="BL72" t="s">
        <v>91</v>
      </c>
      <c r="BM72" s="1" t="s">
        <v>109</v>
      </c>
      <c r="BN72" s="1" t="s">
        <v>110</v>
      </c>
      <c r="BO72" s="1" t="s">
        <v>128</v>
      </c>
      <c r="BP72" s="1" t="s">
        <v>91</v>
      </c>
      <c r="BQ72" t="s">
        <v>91</v>
      </c>
      <c r="BR72" s="3"/>
      <c r="BS72" s="3"/>
      <c r="BT72" t="s">
        <v>91</v>
      </c>
      <c r="BU72" t="s">
        <v>91</v>
      </c>
      <c r="BV72">
        <v>9</v>
      </c>
      <c r="BW72" s="1" t="s">
        <v>589</v>
      </c>
    </row>
    <row r="73" spans="1:75" x14ac:dyDescent="0.35">
      <c r="A73">
        <v>144832</v>
      </c>
      <c r="B73" s="1" t="s">
        <v>75</v>
      </c>
      <c r="C73">
        <v>80</v>
      </c>
      <c r="D73">
        <v>11121001</v>
      </c>
      <c r="E73">
        <v>121001</v>
      </c>
      <c r="F73" s="1" t="s">
        <v>76</v>
      </c>
      <c r="G73" s="1" t="s">
        <v>590</v>
      </c>
      <c r="I73" s="1" t="s">
        <v>78</v>
      </c>
      <c r="J73" s="1" t="s">
        <v>584</v>
      </c>
      <c r="K73" s="1" t="s">
        <v>591</v>
      </c>
      <c r="L73" t="s">
        <v>91</v>
      </c>
      <c r="M73" t="s">
        <v>91</v>
      </c>
      <c r="N73" s="1" t="s">
        <v>592</v>
      </c>
      <c r="O73" t="s">
        <v>91</v>
      </c>
      <c r="P73" s="1" t="s">
        <v>593</v>
      </c>
      <c r="Q73" s="1" t="s">
        <v>594</v>
      </c>
      <c r="R73" s="1" t="s">
        <v>327</v>
      </c>
      <c r="S73">
        <v>1279</v>
      </c>
      <c r="T73">
        <v>89211307</v>
      </c>
      <c r="U73" s="1" t="s">
        <v>595</v>
      </c>
      <c r="V73" s="1" t="s">
        <v>100</v>
      </c>
      <c r="W73" s="1" t="s">
        <v>87</v>
      </c>
      <c r="X73">
        <v>47</v>
      </c>
      <c r="Y73">
        <v>35114455</v>
      </c>
      <c r="Z73" t="s">
        <v>91</v>
      </c>
      <c r="AA73" t="s">
        <v>91</v>
      </c>
      <c r="AB73" t="s">
        <v>91</v>
      </c>
      <c r="AC73" t="s">
        <v>91</v>
      </c>
      <c r="AD73" t="s">
        <v>91</v>
      </c>
      <c r="AE73" t="s">
        <v>91</v>
      </c>
      <c r="AF73" t="s">
        <v>91</v>
      </c>
      <c r="AG73" s="1" t="s">
        <v>91</v>
      </c>
      <c r="AH73" s="1" t="s">
        <v>91</v>
      </c>
      <c r="AI73" t="s">
        <v>91</v>
      </c>
      <c r="AJ73">
        <v>0</v>
      </c>
      <c r="AK73">
        <v>0</v>
      </c>
      <c r="AL73">
        <v>0</v>
      </c>
      <c r="AM73" t="s">
        <v>91</v>
      </c>
      <c r="AN73" t="s">
        <v>91</v>
      </c>
      <c r="AO73" t="s">
        <v>91</v>
      </c>
      <c r="AP73" t="s">
        <v>91</v>
      </c>
      <c r="AQ73" s="1" t="s">
        <v>91</v>
      </c>
      <c r="AR73" s="1" t="s">
        <v>91</v>
      </c>
      <c r="AS73" s="1" t="s">
        <v>91</v>
      </c>
      <c r="AT73" s="1" t="s">
        <v>91</v>
      </c>
      <c r="AU73" s="1" t="s">
        <v>91</v>
      </c>
      <c r="AV73" t="s">
        <v>91</v>
      </c>
      <c r="AW73" t="s">
        <v>91</v>
      </c>
      <c r="AX73" t="s">
        <v>91</v>
      </c>
      <c r="AY73" t="s">
        <v>91</v>
      </c>
      <c r="AZ73" t="s">
        <v>91</v>
      </c>
      <c r="BA73" t="s">
        <v>91</v>
      </c>
      <c r="BB73" s="2"/>
      <c r="BC73" s="2"/>
      <c r="BD73" t="s">
        <v>91</v>
      </c>
      <c r="BF73" s="1" t="s">
        <v>75</v>
      </c>
      <c r="BG73">
        <v>0</v>
      </c>
      <c r="BH73">
        <v>0</v>
      </c>
      <c r="BI73" s="1" t="s">
        <v>88</v>
      </c>
      <c r="BJ73">
        <v>1</v>
      </c>
      <c r="BK73" s="1" t="s">
        <v>89</v>
      </c>
      <c r="BL73" t="s">
        <v>91</v>
      </c>
      <c r="BM73" s="1" t="s">
        <v>109</v>
      </c>
      <c r="BN73" s="1" t="s">
        <v>110</v>
      </c>
      <c r="BO73" s="1" t="s">
        <v>180</v>
      </c>
      <c r="BP73" s="1" t="s">
        <v>91</v>
      </c>
      <c r="BQ73" t="s">
        <v>91</v>
      </c>
      <c r="BR73" s="3"/>
      <c r="BS73" s="3"/>
      <c r="BT73" t="s">
        <v>91</v>
      </c>
      <c r="BU73" t="s">
        <v>91</v>
      </c>
      <c r="BW73" s="1" t="s">
        <v>228</v>
      </c>
    </row>
    <row r="74" spans="1:75" x14ac:dyDescent="0.35">
      <c r="A74">
        <v>824</v>
      </c>
      <c r="B74" s="1" t="s">
        <v>75</v>
      </c>
      <c r="C74">
        <v>80</v>
      </c>
      <c r="D74">
        <v>11121001</v>
      </c>
      <c r="E74">
        <v>121001</v>
      </c>
      <c r="F74" s="1" t="s">
        <v>76</v>
      </c>
      <c r="G74" s="1" t="s">
        <v>596</v>
      </c>
      <c r="I74" s="1" t="s">
        <v>78</v>
      </c>
      <c r="J74" s="1" t="s">
        <v>597</v>
      </c>
      <c r="K74" s="1" t="s">
        <v>598</v>
      </c>
      <c r="L74" t="s">
        <v>91</v>
      </c>
      <c r="M74" t="s">
        <v>91</v>
      </c>
      <c r="N74" s="1" t="s">
        <v>599</v>
      </c>
      <c r="O74" t="s">
        <v>91</v>
      </c>
      <c r="P74" s="1" t="s">
        <v>210</v>
      </c>
      <c r="Q74" s="1" t="s">
        <v>211</v>
      </c>
      <c r="R74" s="1" t="s">
        <v>600</v>
      </c>
      <c r="S74">
        <v>1279</v>
      </c>
      <c r="T74">
        <v>89223005</v>
      </c>
      <c r="U74" s="1" t="s">
        <v>213</v>
      </c>
      <c r="V74" s="1" t="s">
        <v>100</v>
      </c>
      <c r="W74" s="1" t="s">
        <v>87</v>
      </c>
      <c r="X74">
        <v>47</v>
      </c>
      <c r="Y74">
        <v>30439085</v>
      </c>
      <c r="Z74" t="s">
        <v>91</v>
      </c>
      <c r="AA74" t="s">
        <v>91</v>
      </c>
      <c r="AB74" t="s">
        <v>91</v>
      </c>
      <c r="AC74" t="s">
        <v>91</v>
      </c>
      <c r="AD74" t="s">
        <v>91</v>
      </c>
      <c r="AE74" t="s">
        <v>91</v>
      </c>
      <c r="AF74" t="s">
        <v>91</v>
      </c>
      <c r="AG74" s="1" t="s">
        <v>91</v>
      </c>
      <c r="AH74" s="1" t="s">
        <v>91</v>
      </c>
      <c r="AI74" t="s">
        <v>91</v>
      </c>
      <c r="AJ74">
        <v>0</v>
      </c>
      <c r="AK74">
        <v>0</v>
      </c>
      <c r="AL74">
        <v>0</v>
      </c>
      <c r="AM74" t="s">
        <v>91</v>
      </c>
      <c r="AN74" t="s">
        <v>91</v>
      </c>
      <c r="AO74" t="s">
        <v>91</v>
      </c>
      <c r="AP74" t="s">
        <v>91</v>
      </c>
      <c r="AQ74" s="1" t="s">
        <v>91</v>
      </c>
      <c r="AR74" s="1" t="s">
        <v>91</v>
      </c>
      <c r="AS74" s="1" t="s">
        <v>91</v>
      </c>
      <c r="AT74" s="1" t="s">
        <v>91</v>
      </c>
      <c r="AU74" s="1" t="s">
        <v>91</v>
      </c>
      <c r="AV74" t="s">
        <v>91</v>
      </c>
      <c r="AW74" t="s">
        <v>91</v>
      </c>
      <c r="AX74" t="s">
        <v>91</v>
      </c>
      <c r="AY74" t="s">
        <v>91</v>
      </c>
      <c r="AZ74" t="s">
        <v>91</v>
      </c>
      <c r="BA74" t="s">
        <v>91</v>
      </c>
      <c r="BB74" s="2">
        <v>43308.392962962964</v>
      </c>
      <c r="BC74" s="2"/>
      <c r="BD74" t="s">
        <v>91</v>
      </c>
      <c r="BE74">
        <v>824</v>
      </c>
      <c r="BF74" s="1" t="s">
        <v>75</v>
      </c>
      <c r="BG74">
        <v>0</v>
      </c>
      <c r="BH74">
        <v>0</v>
      </c>
      <c r="BI74" s="1" t="s">
        <v>88</v>
      </c>
      <c r="BJ74">
        <v>1</v>
      </c>
      <c r="BK74" s="1" t="s">
        <v>89</v>
      </c>
      <c r="BL74" t="s">
        <v>91</v>
      </c>
      <c r="BM74" s="1" t="s">
        <v>109</v>
      </c>
      <c r="BN74" s="1" t="s">
        <v>110</v>
      </c>
      <c r="BO74" s="1" t="s">
        <v>180</v>
      </c>
      <c r="BP74" s="1" t="s">
        <v>91</v>
      </c>
      <c r="BQ74" t="s">
        <v>91</v>
      </c>
      <c r="BR74" s="3">
        <v>43308</v>
      </c>
      <c r="BS74" s="3"/>
      <c r="BT74" t="s">
        <v>91</v>
      </c>
      <c r="BU74" t="s">
        <v>91</v>
      </c>
      <c r="BV74">
        <v>2</v>
      </c>
      <c r="BW74" s="1" t="s">
        <v>601</v>
      </c>
    </row>
    <row r="75" spans="1:75" x14ac:dyDescent="0.35">
      <c r="A75">
        <v>157538</v>
      </c>
      <c r="B75" s="1" t="s">
        <v>75</v>
      </c>
      <c r="C75">
        <v>80</v>
      </c>
      <c r="D75">
        <v>11121001</v>
      </c>
      <c r="E75">
        <v>121001</v>
      </c>
      <c r="F75" s="1" t="s">
        <v>76</v>
      </c>
      <c r="G75" s="1" t="s">
        <v>602</v>
      </c>
      <c r="H75">
        <v>0</v>
      </c>
      <c r="I75" s="1" t="s">
        <v>78</v>
      </c>
      <c r="J75" s="1" t="s">
        <v>603</v>
      </c>
      <c r="K75" s="1" t="s">
        <v>604</v>
      </c>
      <c r="L75" t="s">
        <v>91</v>
      </c>
      <c r="M75" t="s">
        <v>91</v>
      </c>
      <c r="N75" s="1" t="s">
        <v>605</v>
      </c>
      <c r="O75" t="s">
        <v>91</v>
      </c>
      <c r="P75" s="1" t="s">
        <v>154</v>
      </c>
      <c r="Q75" s="1" t="s">
        <v>606</v>
      </c>
      <c r="R75" s="1" t="s">
        <v>91</v>
      </c>
      <c r="S75">
        <v>1389</v>
      </c>
      <c r="T75">
        <v>99700426</v>
      </c>
      <c r="U75" s="1" t="s">
        <v>108</v>
      </c>
      <c r="V75" s="1" t="s">
        <v>156</v>
      </c>
      <c r="W75" s="1" t="s">
        <v>157</v>
      </c>
      <c r="X75">
        <v>55</v>
      </c>
      <c r="Y75">
        <v>30255100</v>
      </c>
      <c r="Z75" t="s">
        <v>91</v>
      </c>
      <c r="AA75" t="s">
        <v>91</v>
      </c>
      <c r="AB75" t="s">
        <v>91</v>
      </c>
      <c r="AC75" t="s">
        <v>91</v>
      </c>
      <c r="AD75" t="s">
        <v>91</v>
      </c>
      <c r="AE75" t="s">
        <v>91</v>
      </c>
      <c r="AF75" t="s">
        <v>91</v>
      </c>
      <c r="AG75" s="1" t="s">
        <v>91</v>
      </c>
      <c r="AH75" s="1" t="s">
        <v>91</v>
      </c>
      <c r="AI75" t="s">
        <v>91</v>
      </c>
      <c r="AM75" t="s">
        <v>91</v>
      </c>
      <c r="AN75" t="s">
        <v>91</v>
      </c>
      <c r="AO75" t="s">
        <v>91</v>
      </c>
      <c r="AP75" t="s">
        <v>91</v>
      </c>
      <c r="AQ75" s="1" t="s">
        <v>91</v>
      </c>
      <c r="AR75" s="1" t="s">
        <v>91</v>
      </c>
      <c r="AS75" s="1" t="s">
        <v>91</v>
      </c>
      <c r="AT75" s="1" t="s">
        <v>91</v>
      </c>
      <c r="AU75" s="1" t="s">
        <v>91</v>
      </c>
      <c r="AV75" t="s">
        <v>91</v>
      </c>
      <c r="AW75" t="s">
        <v>91</v>
      </c>
      <c r="AX75" t="s">
        <v>91</v>
      </c>
      <c r="AY75" t="s">
        <v>91</v>
      </c>
      <c r="AZ75" t="s">
        <v>91</v>
      </c>
      <c r="BA75" t="s">
        <v>91</v>
      </c>
      <c r="BB75" s="2">
        <v>45118.093391203707</v>
      </c>
      <c r="BC75" s="2"/>
      <c r="BD75" t="s">
        <v>91</v>
      </c>
      <c r="BF75" s="1" t="s">
        <v>75</v>
      </c>
      <c r="BI75" s="1" t="s">
        <v>88</v>
      </c>
      <c r="BJ75">
        <v>1</v>
      </c>
      <c r="BK75" s="1" t="s">
        <v>89</v>
      </c>
      <c r="BL75" t="s">
        <v>91</v>
      </c>
      <c r="BM75" s="1" t="s">
        <v>91</v>
      </c>
      <c r="BN75" s="1" t="s">
        <v>91</v>
      </c>
      <c r="BO75" s="1" t="s">
        <v>91</v>
      </c>
      <c r="BP75" s="1" t="s">
        <v>91</v>
      </c>
      <c r="BQ75" t="s">
        <v>91</v>
      </c>
      <c r="BR75" s="3">
        <v>45118</v>
      </c>
      <c r="BS75" s="3"/>
      <c r="BT75" t="s">
        <v>91</v>
      </c>
      <c r="BU75" t="s">
        <v>91</v>
      </c>
      <c r="BW75" s="1" t="s">
        <v>90</v>
      </c>
    </row>
    <row r="76" spans="1:75" x14ac:dyDescent="0.35">
      <c r="A76">
        <v>797</v>
      </c>
      <c r="B76" s="1" t="s">
        <v>75</v>
      </c>
      <c r="C76">
        <v>80</v>
      </c>
      <c r="D76">
        <v>11121001</v>
      </c>
      <c r="E76">
        <v>121001</v>
      </c>
      <c r="F76" s="1" t="s">
        <v>76</v>
      </c>
      <c r="G76" s="1" t="s">
        <v>607</v>
      </c>
      <c r="I76" s="1" t="s">
        <v>78</v>
      </c>
      <c r="J76" s="1" t="s">
        <v>608</v>
      </c>
      <c r="K76" s="1" t="s">
        <v>609</v>
      </c>
      <c r="L76" t="s">
        <v>91</v>
      </c>
      <c r="M76" t="s">
        <v>91</v>
      </c>
      <c r="N76" s="1" t="s">
        <v>610</v>
      </c>
      <c r="O76" t="s">
        <v>91</v>
      </c>
      <c r="P76" s="1" t="s">
        <v>611</v>
      </c>
      <c r="Q76" s="1" t="s">
        <v>612</v>
      </c>
      <c r="R76" s="1" t="s">
        <v>91</v>
      </c>
      <c r="S76">
        <v>1277</v>
      </c>
      <c r="T76">
        <v>89201600</v>
      </c>
      <c r="U76" s="1" t="s">
        <v>108</v>
      </c>
      <c r="V76" s="1" t="s">
        <v>100</v>
      </c>
      <c r="W76" s="1" t="s">
        <v>87</v>
      </c>
      <c r="X76">
        <v>47</v>
      </c>
      <c r="Y76">
        <v>34226503</v>
      </c>
      <c r="Z76" t="s">
        <v>91</v>
      </c>
      <c r="AA76" t="s">
        <v>91</v>
      </c>
      <c r="AB76" t="s">
        <v>91</v>
      </c>
      <c r="AC76" t="s">
        <v>91</v>
      </c>
      <c r="AD76" t="s">
        <v>91</v>
      </c>
      <c r="AE76" t="s">
        <v>91</v>
      </c>
      <c r="AF76" t="s">
        <v>91</v>
      </c>
      <c r="AG76" s="1" t="s">
        <v>91</v>
      </c>
      <c r="AH76" s="1" t="s">
        <v>91</v>
      </c>
      <c r="AI76" t="s">
        <v>91</v>
      </c>
      <c r="AJ76">
        <v>0</v>
      </c>
      <c r="AK76">
        <v>0</v>
      </c>
      <c r="AL76">
        <v>0</v>
      </c>
      <c r="AM76" t="s">
        <v>91</v>
      </c>
      <c r="AN76" t="s">
        <v>91</v>
      </c>
      <c r="AO76" t="s">
        <v>91</v>
      </c>
      <c r="AP76" t="s">
        <v>91</v>
      </c>
      <c r="AQ76" s="1" t="s">
        <v>91</v>
      </c>
      <c r="AR76" s="1" t="s">
        <v>91</v>
      </c>
      <c r="AS76" s="1" t="s">
        <v>91</v>
      </c>
      <c r="AT76" s="1" t="s">
        <v>91</v>
      </c>
      <c r="AU76" s="1" t="s">
        <v>91</v>
      </c>
      <c r="AV76" t="s">
        <v>91</v>
      </c>
      <c r="AW76" t="s">
        <v>91</v>
      </c>
      <c r="AX76" t="s">
        <v>91</v>
      </c>
      <c r="AY76" t="s">
        <v>91</v>
      </c>
      <c r="AZ76" t="s">
        <v>91</v>
      </c>
      <c r="BA76" t="s">
        <v>91</v>
      </c>
      <c r="BB76" s="2">
        <v>43308.392951388887</v>
      </c>
      <c r="BC76" s="2"/>
      <c r="BD76" t="s">
        <v>91</v>
      </c>
      <c r="BE76">
        <v>797</v>
      </c>
      <c r="BF76" s="1" t="s">
        <v>75</v>
      </c>
      <c r="BG76">
        <v>0</v>
      </c>
      <c r="BH76">
        <v>0</v>
      </c>
      <c r="BI76" s="1" t="s">
        <v>88</v>
      </c>
      <c r="BJ76">
        <v>1</v>
      </c>
      <c r="BK76" s="1" t="s">
        <v>89</v>
      </c>
      <c r="BL76" t="s">
        <v>91</v>
      </c>
      <c r="BM76" s="1" t="s">
        <v>109</v>
      </c>
      <c r="BN76" s="1" t="s">
        <v>110</v>
      </c>
      <c r="BO76" s="1" t="s">
        <v>111</v>
      </c>
      <c r="BP76" s="1" t="s">
        <v>91</v>
      </c>
      <c r="BQ76" t="s">
        <v>91</v>
      </c>
      <c r="BR76" s="3">
        <v>43308</v>
      </c>
      <c r="BS76" s="3"/>
      <c r="BT76" t="s">
        <v>91</v>
      </c>
      <c r="BU76" t="s">
        <v>91</v>
      </c>
      <c r="BV76">
        <v>9</v>
      </c>
      <c r="BW76" s="1" t="s">
        <v>90</v>
      </c>
    </row>
    <row r="77" spans="1:75" x14ac:dyDescent="0.35">
      <c r="A77">
        <v>157526</v>
      </c>
      <c r="B77" s="1" t="s">
        <v>75</v>
      </c>
      <c r="C77">
        <v>80</v>
      </c>
      <c r="D77">
        <v>11121001</v>
      </c>
      <c r="E77">
        <v>121001</v>
      </c>
      <c r="F77" s="1" t="s">
        <v>76</v>
      </c>
      <c r="G77" s="1" t="s">
        <v>613</v>
      </c>
      <c r="H77">
        <v>0</v>
      </c>
      <c r="I77" s="1" t="s">
        <v>78</v>
      </c>
      <c r="J77" s="1" t="s">
        <v>614</v>
      </c>
      <c r="K77" s="1" t="s">
        <v>615</v>
      </c>
      <c r="L77" t="s">
        <v>91</v>
      </c>
      <c r="M77" t="s">
        <v>91</v>
      </c>
      <c r="N77" s="1" t="s">
        <v>616</v>
      </c>
      <c r="O77" t="s">
        <v>91</v>
      </c>
      <c r="P77" s="1" t="s">
        <v>617</v>
      </c>
      <c r="Q77" s="1" t="s">
        <v>618</v>
      </c>
      <c r="R77" s="1" t="s">
        <v>107</v>
      </c>
      <c r="S77">
        <v>1289</v>
      </c>
      <c r="T77">
        <v>89900000</v>
      </c>
      <c r="U77" s="1" t="s">
        <v>108</v>
      </c>
      <c r="V77" s="1" t="s">
        <v>619</v>
      </c>
      <c r="W77" s="1" t="s">
        <v>87</v>
      </c>
      <c r="X77">
        <v>49</v>
      </c>
      <c r="Y77">
        <v>31970300</v>
      </c>
      <c r="Z77" t="s">
        <v>91</v>
      </c>
      <c r="AA77" t="s">
        <v>91</v>
      </c>
      <c r="AB77" t="s">
        <v>91</v>
      </c>
      <c r="AC77" t="s">
        <v>91</v>
      </c>
      <c r="AD77" t="s">
        <v>91</v>
      </c>
      <c r="AE77" t="s">
        <v>91</v>
      </c>
      <c r="AF77" t="s">
        <v>91</v>
      </c>
      <c r="AG77" s="1" t="s">
        <v>91</v>
      </c>
      <c r="AH77" s="1" t="s">
        <v>91</v>
      </c>
      <c r="AI77" t="s">
        <v>91</v>
      </c>
      <c r="AM77" t="s">
        <v>91</v>
      </c>
      <c r="AN77" t="s">
        <v>91</v>
      </c>
      <c r="AO77" t="s">
        <v>91</v>
      </c>
      <c r="AP77" t="s">
        <v>91</v>
      </c>
      <c r="AQ77" s="1" t="s">
        <v>91</v>
      </c>
      <c r="AR77" s="1" t="s">
        <v>91</v>
      </c>
      <c r="AS77" s="1" t="s">
        <v>91</v>
      </c>
      <c r="AT77" s="1" t="s">
        <v>91</v>
      </c>
      <c r="AU77" s="1" t="s">
        <v>91</v>
      </c>
      <c r="AV77" t="s">
        <v>91</v>
      </c>
      <c r="AW77" t="s">
        <v>91</v>
      </c>
      <c r="AX77" t="s">
        <v>91</v>
      </c>
      <c r="AY77" t="s">
        <v>91</v>
      </c>
      <c r="AZ77" t="s">
        <v>91</v>
      </c>
      <c r="BA77" t="s">
        <v>91</v>
      </c>
      <c r="BB77" s="2">
        <v>45118.093391203707</v>
      </c>
      <c r="BC77" s="2"/>
      <c r="BD77" t="s">
        <v>91</v>
      </c>
      <c r="BF77" s="1" t="s">
        <v>75</v>
      </c>
      <c r="BI77" s="1" t="s">
        <v>88</v>
      </c>
      <c r="BJ77">
        <v>1</v>
      </c>
      <c r="BK77" s="1" t="s">
        <v>89</v>
      </c>
      <c r="BL77" t="s">
        <v>91</v>
      </c>
      <c r="BM77" s="1" t="s">
        <v>91</v>
      </c>
      <c r="BN77" s="1" t="s">
        <v>91</v>
      </c>
      <c r="BO77" s="1" t="s">
        <v>91</v>
      </c>
      <c r="BP77" s="1" t="s">
        <v>91</v>
      </c>
      <c r="BQ77" t="s">
        <v>91</v>
      </c>
      <c r="BR77" s="3">
        <v>45118</v>
      </c>
      <c r="BS77" s="3"/>
      <c r="BT77" t="s">
        <v>91</v>
      </c>
      <c r="BU77" t="s">
        <v>91</v>
      </c>
      <c r="BW77" s="1" t="s">
        <v>620</v>
      </c>
    </row>
    <row r="78" spans="1:75" x14ac:dyDescent="0.35">
      <c r="A78">
        <v>157549</v>
      </c>
      <c r="B78" s="1" t="s">
        <v>75</v>
      </c>
      <c r="C78">
        <v>80</v>
      </c>
      <c r="D78">
        <v>11121001</v>
      </c>
      <c r="E78">
        <v>121001</v>
      </c>
      <c r="F78" s="1" t="s">
        <v>76</v>
      </c>
      <c r="G78" s="1" t="s">
        <v>621</v>
      </c>
      <c r="H78">
        <v>0</v>
      </c>
      <c r="I78" s="1" t="s">
        <v>78</v>
      </c>
      <c r="J78" s="1" t="s">
        <v>622</v>
      </c>
      <c r="K78" s="1" t="s">
        <v>623</v>
      </c>
      <c r="L78" t="s">
        <v>91</v>
      </c>
      <c r="M78" t="s">
        <v>91</v>
      </c>
      <c r="N78" s="1" t="s">
        <v>91</v>
      </c>
      <c r="O78" t="s">
        <v>91</v>
      </c>
      <c r="P78" s="1" t="s">
        <v>624</v>
      </c>
      <c r="Q78" s="1" t="s">
        <v>625</v>
      </c>
      <c r="R78" s="1" t="s">
        <v>626</v>
      </c>
      <c r="S78">
        <v>1287</v>
      </c>
      <c r="T78">
        <v>89805200</v>
      </c>
      <c r="U78" s="1" t="s">
        <v>627</v>
      </c>
      <c r="V78" s="1" t="s">
        <v>86</v>
      </c>
      <c r="W78" s="1" t="s">
        <v>87</v>
      </c>
      <c r="X78">
        <v>49</v>
      </c>
      <c r="Y78">
        <v>33123840</v>
      </c>
      <c r="Z78" t="s">
        <v>91</v>
      </c>
      <c r="AA78" t="s">
        <v>91</v>
      </c>
      <c r="AB78" t="s">
        <v>91</v>
      </c>
      <c r="AC78" t="s">
        <v>91</v>
      </c>
      <c r="AD78" t="s">
        <v>91</v>
      </c>
      <c r="AE78" t="s">
        <v>91</v>
      </c>
      <c r="AF78" t="s">
        <v>91</v>
      </c>
      <c r="AG78" s="1" t="s">
        <v>91</v>
      </c>
      <c r="AH78" s="1" t="s">
        <v>91</v>
      </c>
      <c r="AI78" t="s">
        <v>91</v>
      </c>
      <c r="AM78" t="s">
        <v>91</v>
      </c>
      <c r="AN78" t="s">
        <v>91</v>
      </c>
      <c r="AO78" t="s">
        <v>91</v>
      </c>
      <c r="AP78" t="s">
        <v>91</v>
      </c>
      <c r="AQ78" s="1" t="s">
        <v>91</v>
      </c>
      <c r="AR78" s="1" t="s">
        <v>91</v>
      </c>
      <c r="AS78" s="1" t="s">
        <v>91</v>
      </c>
      <c r="AT78" s="1" t="s">
        <v>91</v>
      </c>
      <c r="AU78" s="1" t="s">
        <v>91</v>
      </c>
      <c r="AV78" t="s">
        <v>91</v>
      </c>
      <c r="AW78" t="s">
        <v>91</v>
      </c>
      <c r="AX78" t="s">
        <v>91</v>
      </c>
      <c r="AY78" t="s">
        <v>91</v>
      </c>
      <c r="AZ78" t="s">
        <v>91</v>
      </c>
      <c r="BA78" t="s">
        <v>91</v>
      </c>
      <c r="BB78" s="2">
        <v>45118.093391203707</v>
      </c>
      <c r="BC78" s="2"/>
      <c r="BD78" t="s">
        <v>91</v>
      </c>
      <c r="BF78" s="1" t="s">
        <v>75</v>
      </c>
      <c r="BI78" s="1" t="s">
        <v>88</v>
      </c>
      <c r="BJ78">
        <v>1</v>
      </c>
      <c r="BK78" s="1" t="s">
        <v>89</v>
      </c>
      <c r="BL78" t="s">
        <v>91</v>
      </c>
      <c r="BM78" s="1" t="s">
        <v>91</v>
      </c>
      <c r="BN78" s="1" t="s">
        <v>91</v>
      </c>
      <c r="BO78" s="1" t="s">
        <v>91</v>
      </c>
      <c r="BP78" s="1" t="s">
        <v>91</v>
      </c>
      <c r="BQ78" t="s">
        <v>91</v>
      </c>
      <c r="BR78" s="3">
        <v>45118</v>
      </c>
      <c r="BS78" s="3"/>
      <c r="BT78" t="s">
        <v>91</v>
      </c>
      <c r="BU78" t="s">
        <v>91</v>
      </c>
      <c r="BW78" s="1" t="s">
        <v>90</v>
      </c>
    </row>
    <row r="79" spans="1:75" x14ac:dyDescent="0.35">
      <c r="A79">
        <v>157547</v>
      </c>
      <c r="B79" s="1" t="s">
        <v>75</v>
      </c>
      <c r="C79">
        <v>80</v>
      </c>
      <c r="D79">
        <v>11121001</v>
      </c>
      <c r="E79">
        <v>121001</v>
      </c>
      <c r="F79" s="1" t="s">
        <v>76</v>
      </c>
      <c r="G79" s="1" t="s">
        <v>628</v>
      </c>
      <c r="H79">
        <v>0</v>
      </c>
      <c r="I79" s="1" t="s">
        <v>78</v>
      </c>
      <c r="J79" s="1" t="s">
        <v>622</v>
      </c>
      <c r="K79" s="1" t="s">
        <v>629</v>
      </c>
      <c r="L79" t="s">
        <v>91</v>
      </c>
      <c r="M79" t="s">
        <v>91</v>
      </c>
      <c r="N79" s="1" t="s">
        <v>630</v>
      </c>
      <c r="O79" t="s">
        <v>91</v>
      </c>
      <c r="P79" s="1" t="s">
        <v>631</v>
      </c>
      <c r="Q79" s="1" t="s">
        <v>632</v>
      </c>
      <c r="R79" s="1" t="s">
        <v>633</v>
      </c>
      <c r="S79">
        <v>1288</v>
      </c>
      <c r="T79">
        <v>89870000</v>
      </c>
      <c r="U79" s="1" t="s">
        <v>108</v>
      </c>
      <c r="V79" s="1" t="s">
        <v>634</v>
      </c>
      <c r="W79" s="1" t="s">
        <v>87</v>
      </c>
      <c r="X79">
        <v>49</v>
      </c>
      <c r="Y79">
        <v>33662921</v>
      </c>
      <c r="Z79" t="s">
        <v>91</v>
      </c>
      <c r="AA79" t="s">
        <v>91</v>
      </c>
      <c r="AB79" t="s">
        <v>91</v>
      </c>
      <c r="AC79" t="s">
        <v>91</v>
      </c>
      <c r="AD79" t="s">
        <v>91</v>
      </c>
      <c r="AE79" t="s">
        <v>91</v>
      </c>
      <c r="AF79" t="s">
        <v>91</v>
      </c>
      <c r="AG79" s="1" t="s">
        <v>91</v>
      </c>
      <c r="AH79" s="1" t="s">
        <v>91</v>
      </c>
      <c r="AI79" t="s">
        <v>91</v>
      </c>
      <c r="AM79" t="s">
        <v>91</v>
      </c>
      <c r="AN79" t="s">
        <v>91</v>
      </c>
      <c r="AO79" t="s">
        <v>91</v>
      </c>
      <c r="AP79" t="s">
        <v>91</v>
      </c>
      <c r="AQ79" s="1" t="s">
        <v>91</v>
      </c>
      <c r="AR79" s="1" t="s">
        <v>91</v>
      </c>
      <c r="AS79" s="1" t="s">
        <v>91</v>
      </c>
      <c r="AT79" s="1" t="s">
        <v>91</v>
      </c>
      <c r="AU79" s="1" t="s">
        <v>91</v>
      </c>
      <c r="AV79" t="s">
        <v>91</v>
      </c>
      <c r="AW79" t="s">
        <v>91</v>
      </c>
      <c r="AX79" t="s">
        <v>91</v>
      </c>
      <c r="AY79" t="s">
        <v>91</v>
      </c>
      <c r="AZ79" t="s">
        <v>91</v>
      </c>
      <c r="BA79" t="s">
        <v>91</v>
      </c>
      <c r="BB79" s="2">
        <v>45118.093391203707</v>
      </c>
      <c r="BC79" s="2"/>
      <c r="BD79" t="s">
        <v>91</v>
      </c>
      <c r="BF79" s="1" t="s">
        <v>75</v>
      </c>
      <c r="BI79" s="1" t="s">
        <v>88</v>
      </c>
      <c r="BJ79">
        <v>1</v>
      </c>
      <c r="BK79" s="1" t="s">
        <v>89</v>
      </c>
      <c r="BL79" t="s">
        <v>91</v>
      </c>
      <c r="BM79" s="1" t="s">
        <v>91</v>
      </c>
      <c r="BN79" s="1" t="s">
        <v>91</v>
      </c>
      <c r="BO79" s="1" t="s">
        <v>91</v>
      </c>
      <c r="BP79" s="1" t="s">
        <v>91</v>
      </c>
      <c r="BQ79" t="s">
        <v>91</v>
      </c>
      <c r="BR79" s="3">
        <v>45118</v>
      </c>
      <c r="BS79" s="3"/>
      <c r="BT79" t="s">
        <v>91</v>
      </c>
      <c r="BU79" t="s">
        <v>91</v>
      </c>
      <c r="BW79" s="1" t="s">
        <v>620</v>
      </c>
    </row>
    <row r="80" spans="1:75" x14ac:dyDescent="0.35">
      <c r="A80">
        <v>120263</v>
      </c>
      <c r="B80" s="1" t="s">
        <v>75</v>
      </c>
      <c r="C80">
        <v>80</v>
      </c>
      <c r="D80">
        <v>11121001</v>
      </c>
      <c r="E80">
        <v>121001</v>
      </c>
      <c r="F80" s="1" t="s">
        <v>76</v>
      </c>
      <c r="G80" s="1" t="s">
        <v>635</v>
      </c>
      <c r="H80">
        <v>0</v>
      </c>
      <c r="I80" s="1" t="s">
        <v>78</v>
      </c>
      <c r="J80" s="1" t="s">
        <v>622</v>
      </c>
      <c r="K80" s="1" t="s">
        <v>636</v>
      </c>
      <c r="L80" t="s">
        <v>91</v>
      </c>
      <c r="M80" t="s">
        <v>91</v>
      </c>
      <c r="N80" s="1" t="s">
        <v>637</v>
      </c>
      <c r="O80" t="s">
        <v>91</v>
      </c>
      <c r="P80" s="1" t="s">
        <v>638</v>
      </c>
      <c r="Q80" s="1" t="s">
        <v>419</v>
      </c>
      <c r="R80" s="1" t="s">
        <v>327</v>
      </c>
      <c r="S80">
        <v>1389</v>
      </c>
      <c r="T80">
        <v>99700014</v>
      </c>
      <c r="U80" s="1" t="s">
        <v>108</v>
      </c>
      <c r="V80" s="1" t="s">
        <v>156</v>
      </c>
      <c r="W80" s="1" t="s">
        <v>157</v>
      </c>
      <c r="X80">
        <v>54</v>
      </c>
      <c r="Y80">
        <v>35225015</v>
      </c>
      <c r="Z80" t="s">
        <v>91</v>
      </c>
      <c r="AA80" t="s">
        <v>91</v>
      </c>
      <c r="AB80" t="s">
        <v>91</v>
      </c>
      <c r="AC80" t="s">
        <v>91</v>
      </c>
      <c r="AD80" t="s">
        <v>91</v>
      </c>
      <c r="AE80" t="s">
        <v>91</v>
      </c>
      <c r="AF80" t="s">
        <v>91</v>
      </c>
      <c r="AG80" s="1" t="s">
        <v>91</v>
      </c>
      <c r="AH80" s="1" t="s">
        <v>91</v>
      </c>
      <c r="AI80" t="s">
        <v>91</v>
      </c>
      <c r="AJ80">
        <v>0</v>
      </c>
      <c r="AK80">
        <v>0</v>
      </c>
      <c r="AL80">
        <v>0</v>
      </c>
      <c r="AM80" t="s">
        <v>91</v>
      </c>
      <c r="AN80" t="s">
        <v>91</v>
      </c>
      <c r="AO80" t="s">
        <v>91</v>
      </c>
      <c r="AP80" t="s">
        <v>91</v>
      </c>
      <c r="AQ80" s="1" t="s">
        <v>91</v>
      </c>
      <c r="AR80" s="1" t="s">
        <v>91</v>
      </c>
      <c r="AS80" s="1" t="s">
        <v>91</v>
      </c>
      <c r="AT80" s="1" t="s">
        <v>91</v>
      </c>
      <c r="AU80" s="1" t="s">
        <v>91</v>
      </c>
      <c r="AV80" t="s">
        <v>91</v>
      </c>
      <c r="AW80" t="s">
        <v>91</v>
      </c>
      <c r="AX80" t="s">
        <v>91</v>
      </c>
      <c r="AY80" t="s">
        <v>91</v>
      </c>
      <c r="AZ80" t="s">
        <v>91</v>
      </c>
      <c r="BA80" t="s">
        <v>91</v>
      </c>
      <c r="BB80" s="2">
        <v>44092.925393518519</v>
      </c>
      <c r="BC80" s="2"/>
      <c r="BD80" t="s">
        <v>91</v>
      </c>
      <c r="BF80" s="1" t="s">
        <v>75</v>
      </c>
      <c r="BG80">
        <v>0</v>
      </c>
      <c r="BH80">
        <v>0</v>
      </c>
      <c r="BI80" s="1" t="s">
        <v>88</v>
      </c>
      <c r="BJ80">
        <v>1</v>
      </c>
      <c r="BK80" s="1" t="s">
        <v>89</v>
      </c>
      <c r="BL80" t="s">
        <v>91</v>
      </c>
      <c r="BM80" s="1" t="s">
        <v>639</v>
      </c>
      <c r="BN80" s="1" t="s">
        <v>148</v>
      </c>
      <c r="BO80" s="1" t="s">
        <v>165</v>
      </c>
      <c r="BP80" s="1" t="s">
        <v>91</v>
      </c>
      <c r="BQ80" t="s">
        <v>91</v>
      </c>
      <c r="BR80" s="3">
        <v>44092</v>
      </c>
      <c r="BS80" s="3"/>
      <c r="BT80" t="s">
        <v>91</v>
      </c>
      <c r="BU80" t="s">
        <v>91</v>
      </c>
      <c r="BV80">
        <v>1</v>
      </c>
      <c r="BW80" s="1" t="s">
        <v>620</v>
      </c>
    </row>
    <row r="81" spans="1:75" x14ac:dyDescent="0.35">
      <c r="A81">
        <v>120322</v>
      </c>
      <c r="B81" s="1" t="s">
        <v>75</v>
      </c>
      <c r="C81">
        <v>80</v>
      </c>
      <c r="D81">
        <v>11121001</v>
      </c>
      <c r="E81">
        <v>121001</v>
      </c>
      <c r="F81" s="1" t="s">
        <v>76</v>
      </c>
      <c r="G81" s="1" t="s">
        <v>640</v>
      </c>
      <c r="H81">
        <v>0</v>
      </c>
      <c r="I81" s="1" t="s">
        <v>78</v>
      </c>
      <c r="J81" s="1" t="s">
        <v>622</v>
      </c>
      <c r="K81" s="1" t="s">
        <v>641</v>
      </c>
      <c r="L81" t="s">
        <v>91</v>
      </c>
      <c r="M81" t="s">
        <v>91</v>
      </c>
      <c r="N81" s="1" t="s">
        <v>642</v>
      </c>
      <c r="O81" t="s">
        <v>91</v>
      </c>
      <c r="P81" s="1" t="s">
        <v>643</v>
      </c>
      <c r="Q81" s="1" t="s">
        <v>644</v>
      </c>
      <c r="R81" s="1" t="s">
        <v>84</v>
      </c>
      <c r="S81">
        <v>1287</v>
      </c>
      <c r="T81">
        <v>89809505</v>
      </c>
      <c r="U81" s="1" t="s">
        <v>645</v>
      </c>
      <c r="V81" s="1" t="s">
        <v>337</v>
      </c>
      <c r="W81" s="1" t="s">
        <v>87</v>
      </c>
      <c r="X81">
        <v>49</v>
      </c>
      <c r="Y81">
        <v>33286784</v>
      </c>
      <c r="Z81" t="s">
        <v>91</v>
      </c>
      <c r="AA81" t="s">
        <v>91</v>
      </c>
      <c r="AB81" t="s">
        <v>91</v>
      </c>
      <c r="AC81" t="s">
        <v>91</v>
      </c>
      <c r="AD81" t="s">
        <v>91</v>
      </c>
      <c r="AE81" t="s">
        <v>91</v>
      </c>
      <c r="AF81" t="s">
        <v>91</v>
      </c>
      <c r="AG81" s="1" t="s">
        <v>91</v>
      </c>
      <c r="AH81" s="1" t="s">
        <v>91</v>
      </c>
      <c r="AI81" t="s">
        <v>91</v>
      </c>
      <c r="AJ81">
        <v>0</v>
      </c>
      <c r="AK81">
        <v>0</v>
      </c>
      <c r="AL81">
        <v>0</v>
      </c>
      <c r="AM81" t="s">
        <v>91</v>
      </c>
      <c r="AN81" t="s">
        <v>91</v>
      </c>
      <c r="AO81" t="s">
        <v>91</v>
      </c>
      <c r="AP81" t="s">
        <v>91</v>
      </c>
      <c r="AQ81" s="1" t="s">
        <v>91</v>
      </c>
      <c r="AR81" s="1" t="s">
        <v>91</v>
      </c>
      <c r="AS81" s="1" t="s">
        <v>91</v>
      </c>
      <c r="AT81" s="1" t="s">
        <v>91</v>
      </c>
      <c r="AU81" s="1" t="s">
        <v>91</v>
      </c>
      <c r="AV81" t="s">
        <v>91</v>
      </c>
      <c r="AW81" t="s">
        <v>91</v>
      </c>
      <c r="AX81" t="s">
        <v>91</v>
      </c>
      <c r="AY81" t="s">
        <v>91</v>
      </c>
      <c r="AZ81" t="s">
        <v>91</v>
      </c>
      <c r="BA81" t="s">
        <v>91</v>
      </c>
      <c r="BB81" s="2">
        <v>44092.925393518519</v>
      </c>
      <c r="BC81" s="2"/>
      <c r="BD81" t="s">
        <v>91</v>
      </c>
      <c r="BF81" s="1" t="s">
        <v>75</v>
      </c>
      <c r="BG81">
        <v>0</v>
      </c>
      <c r="BH81">
        <v>0</v>
      </c>
      <c r="BI81" s="1" t="s">
        <v>88</v>
      </c>
      <c r="BJ81">
        <v>1</v>
      </c>
      <c r="BK81" s="1" t="s">
        <v>89</v>
      </c>
      <c r="BL81" t="s">
        <v>91</v>
      </c>
      <c r="BM81" s="1" t="s">
        <v>329</v>
      </c>
      <c r="BN81" s="1" t="s">
        <v>148</v>
      </c>
      <c r="BO81" s="1" t="s">
        <v>165</v>
      </c>
      <c r="BP81" s="1" t="s">
        <v>91</v>
      </c>
      <c r="BQ81" t="s">
        <v>91</v>
      </c>
      <c r="BR81" s="3">
        <v>44092</v>
      </c>
      <c r="BS81" s="3"/>
      <c r="BT81" t="s">
        <v>91</v>
      </c>
      <c r="BU81" t="s">
        <v>91</v>
      </c>
      <c r="BV81">
        <v>1</v>
      </c>
      <c r="BW81" s="1" t="s">
        <v>620</v>
      </c>
    </row>
    <row r="82" spans="1:75" x14ac:dyDescent="0.35">
      <c r="A82">
        <v>120305</v>
      </c>
      <c r="B82" s="1" t="s">
        <v>75</v>
      </c>
      <c r="C82">
        <v>80</v>
      </c>
      <c r="D82">
        <v>11121001</v>
      </c>
      <c r="E82">
        <v>121001</v>
      </c>
      <c r="F82" s="1" t="s">
        <v>76</v>
      </c>
      <c r="G82" s="1" t="s">
        <v>646</v>
      </c>
      <c r="H82">
        <v>0</v>
      </c>
      <c r="I82" s="1" t="s">
        <v>78</v>
      </c>
      <c r="J82" s="1" t="s">
        <v>647</v>
      </c>
      <c r="K82" s="1" t="s">
        <v>648</v>
      </c>
      <c r="L82" t="s">
        <v>91</v>
      </c>
      <c r="M82" t="s">
        <v>91</v>
      </c>
      <c r="N82" s="1" t="s">
        <v>649</v>
      </c>
      <c r="O82" t="s">
        <v>91</v>
      </c>
      <c r="P82" s="1" t="s">
        <v>650</v>
      </c>
      <c r="Q82" s="1" t="s">
        <v>651</v>
      </c>
      <c r="R82" s="1" t="s">
        <v>236</v>
      </c>
      <c r="S82">
        <v>1288</v>
      </c>
      <c r="T82">
        <v>89820000</v>
      </c>
      <c r="U82" s="1" t="s">
        <v>108</v>
      </c>
      <c r="V82" s="1" t="s">
        <v>539</v>
      </c>
      <c r="W82" s="1" t="s">
        <v>87</v>
      </c>
      <c r="X82">
        <v>49</v>
      </c>
      <c r="Y82">
        <v>34332991</v>
      </c>
      <c r="Z82" t="s">
        <v>91</v>
      </c>
      <c r="AA82" t="s">
        <v>91</v>
      </c>
      <c r="AB82" t="s">
        <v>91</v>
      </c>
      <c r="AC82" t="s">
        <v>91</v>
      </c>
      <c r="AD82" t="s">
        <v>91</v>
      </c>
      <c r="AE82" t="s">
        <v>91</v>
      </c>
      <c r="AF82" t="s">
        <v>91</v>
      </c>
      <c r="AG82" s="1" t="s">
        <v>91</v>
      </c>
      <c r="AH82" s="1" t="s">
        <v>91</v>
      </c>
      <c r="AI82" t="s">
        <v>91</v>
      </c>
      <c r="AJ82">
        <v>0</v>
      </c>
      <c r="AK82">
        <v>0</v>
      </c>
      <c r="AL82">
        <v>0</v>
      </c>
      <c r="AM82" t="s">
        <v>91</v>
      </c>
      <c r="AN82" t="s">
        <v>91</v>
      </c>
      <c r="AO82" t="s">
        <v>91</v>
      </c>
      <c r="AP82" t="s">
        <v>91</v>
      </c>
      <c r="AQ82" s="1" t="s">
        <v>91</v>
      </c>
      <c r="AR82" s="1" t="s">
        <v>91</v>
      </c>
      <c r="AS82" s="1" t="s">
        <v>91</v>
      </c>
      <c r="AT82" s="1" t="s">
        <v>91</v>
      </c>
      <c r="AU82" s="1" t="s">
        <v>91</v>
      </c>
      <c r="AV82" t="s">
        <v>91</v>
      </c>
      <c r="AW82" t="s">
        <v>91</v>
      </c>
      <c r="AX82" t="s">
        <v>91</v>
      </c>
      <c r="AY82" t="s">
        <v>91</v>
      </c>
      <c r="AZ82" t="s">
        <v>91</v>
      </c>
      <c r="BA82" t="s">
        <v>91</v>
      </c>
      <c r="BB82" s="2">
        <v>44092.925393518519</v>
      </c>
      <c r="BC82" s="2"/>
      <c r="BD82" t="s">
        <v>91</v>
      </c>
      <c r="BF82" s="1" t="s">
        <v>75</v>
      </c>
      <c r="BG82">
        <v>0</v>
      </c>
      <c r="BH82">
        <v>0</v>
      </c>
      <c r="BI82" s="1" t="s">
        <v>88</v>
      </c>
      <c r="BJ82">
        <v>1</v>
      </c>
      <c r="BK82" s="1" t="s">
        <v>89</v>
      </c>
      <c r="BL82" t="s">
        <v>91</v>
      </c>
      <c r="BM82" s="1" t="s">
        <v>329</v>
      </c>
      <c r="BN82" s="1" t="s">
        <v>148</v>
      </c>
      <c r="BO82" s="1" t="s">
        <v>165</v>
      </c>
      <c r="BP82" s="1" t="s">
        <v>91</v>
      </c>
      <c r="BQ82" t="s">
        <v>91</v>
      </c>
      <c r="BR82" s="3">
        <v>44092</v>
      </c>
      <c r="BS82" s="3"/>
      <c r="BT82" t="s">
        <v>91</v>
      </c>
      <c r="BU82" t="s">
        <v>91</v>
      </c>
      <c r="BV82">
        <v>5</v>
      </c>
      <c r="BW82" s="1" t="s">
        <v>620</v>
      </c>
    </row>
    <row r="83" spans="1:75" x14ac:dyDescent="0.35">
      <c r="A83">
        <v>157559</v>
      </c>
      <c r="B83" s="1" t="s">
        <v>75</v>
      </c>
      <c r="C83">
        <v>80</v>
      </c>
      <c r="D83">
        <v>11121001</v>
      </c>
      <c r="E83">
        <v>121001</v>
      </c>
      <c r="F83" s="1" t="s">
        <v>76</v>
      </c>
      <c r="G83" s="1" t="s">
        <v>652</v>
      </c>
      <c r="H83">
        <v>0</v>
      </c>
      <c r="I83" s="1" t="s">
        <v>78</v>
      </c>
      <c r="J83" s="1" t="s">
        <v>653</v>
      </c>
      <c r="K83" s="1" t="s">
        <v>654</v>
      </c>
      <c r="L83" t="s">
        <v>91</v>
      </c>
      <c r="M83" t="s">
        <v>91</v>
      </c>
      <c r="N83" s="1" t="s">
        <v>655</v>
      </c>
      <c r="O83" t="s">
        <v>91</v>
      </c>
      <c r="P83" s="1" t="s">
        <v>656</v>
      </c>
      <c r="Q83" s="1" t="s">
        <v>657</v>
      </c>
      <c r="R83" s="1" t="s">
        <v>397</v>
      </c>
      <c r="S83">
        <v>1287</v>
      </c>
      <c r="T83">
        <v>89802132</v>
      </c>
      <c r="U83" s="1" t="s">
        <v>108</v>
      </c>
      <c r="V83" s="1" t="s">
        <v>86</v>
      </c>
      <c r="W83" s="1" t="s">
        <v>87</v>
      </c>
      <c r="X83">
        <v>49</v>
      </c>
      <c r="Y83">
        <v>33237235</v>
      </c>
      <c r="Z83" t="s">
        <v>91</v>
      </c>
      <c r="AA83" t="s">
        <v>91</v>
      </c>
      <c r="AB83" t="s">
        <v>91</v>
      </c>
      <c r="AC83" t="s">
        <v>91</v>
      </c>
      <c r="AD83" t="s">
        <v>91</v>
      </c>
      <c r="AE83" t="s">
        <v>91</v>
      </c>
      <c r="AF83" t="s">
        <v>91</v>
      </c>
      <c r="AG83" s="1" t="s">
        <v>91</v>
      </c>
      <c r="AH83" s="1" t="s">
        <v>91</v>
      </c>
      <c r="AI83" t="s">
        <v>91</v>
      </c>
      <c r="AM83" t="s">
        <v>91</v>
      </c>
      <c r="AN83" t="s">
        <v>91</v>
      </c>
      <c r="AO83" t="s">
        <v>91</v>
      </c>
      <c r="AP83" t="s">
        <v>91</v>
      </c>
      <c r="AQ83" s="1" t="s">
        <v>91</v>
      </c>
      <c r="AR83" s="1" t="s">
        <v>91</v>
      </c>
      <c r="AS83" s="1" t="s">
        <v>91</v>
      </c>
      <c r="AT83" s="1" t="s">
        <v>91</v>
      </c>
      <c r="AU83" s="1" t="s">
        <v>91</v>
      </c>
      <c r="AV83" t="s">
        <v>91</v>
      </c>
      <c r="AW83" t="s">
        <v>91</v>
      </c>
      <c r="AX83" t="s">
        <v>91</v>
      </c>
      <c r="AY83" t="s">
        <v>91</v>
      </c>
      <c r="AZ83" t="s">
        <v>91</v>
      </c>
      <c r="BA83" t="s">
        <v>91</v>
      </c>
      <c r="BB83" s="2">
        <v>45118.093391203707</v>
      </c>
      <c r="BC83" s="2"/>
      <c r="BD83" t="s">
        <v>91</v>
      </c>
      <c r="BF83" s="1" t="s">
        <v>75</v>
      </c>
      <c r="BI83" s="1" t="s">
        <v>88</v>
      </c>
      <c r="BJ83">
        <v>1</v>
      </c>
      <c r="BK83" s="1" t="s">
        <v>89</v>
      </c>
      <c r="BL83" t="s">
        <v>91</v>
      </c>
      <c r="BM83" s="1" t="s">
        <v>91</v>
      </c>
      <c r="BN83" s="1" t="s">
        <v>91</v>
      </c>
      <c r="BO83" s="1" t="s">
        <v>91</v>
      </c>
      <c r="BP83" s="1" t="s">
        <v>91</v>
      </c>
      <c r="BQ83" t="s">
        <v>91</v>
      </c>
      <c r="BR83" s="3">
        <v>45118</v>
      </c>
      <c r="BS83" s="3"/>
      <c r="BT83" t="s">
        <v>91</v>
      </c>
      <c r="BU83" t="s">
        <v>91</v>
      </c>
      <c r="BW83" s="1" t="s">
        <v>620</v>
      </c>
    </row>
    <row r="84" spans="1:75" x14ac:dyDescent="0.35">
      <c r="A84">
        <v>829</v>
      </c>
      <c r="B84" s="1" t="s">
        <v>75</v>
      </c>
      <c r="C84">
        <v>80</v>
      </c>
      <c r="D84">
        <v>11121001</v>
      </c>
      <c r="E84">
        <v>121001</v>
      </c>
      <c r="F84" s="1" t="s">
        <v>76</v>
      </c>
      <c r="G84" s="1" t="s">
        <v>658</v>
      </c>
      <c r="I84" s="1" t="s">
        <v>78</v>
      </c>
      <c r="J84" s="1" t="s">
        <v>659</v>
      </c>
      <c r="K84" s="1" t="s">
        <v>660</v>
      </c>
      <c r="L84" t="s">
        <v>91</v>
      </c>
      <c r="M84" t="s">
        <v>91</v>
      </c>
      <c r="N84" s="1" t="s">
        <v>661</v>
      </c>
      <c r="O84" t="s">
        <v>91</v>
      </c>
      <c r="P84" s="1" t="s">
        <v>662</v>
      </c>
      <c r="Q84" s="1" t="s">
        <v>663</v>
      </c>
      <c r="R84" s="1" t="s">
        <v>664</v>
      </c>
      <c r="S84">
        <v>1280</v>
      </c>
      <c r="T84">
        <v>89290000</v>
      </c>
      <c r="U84" s="1" t="s">
        <v>108</v>
      </c>
      <c r="V84" s="1" t="s">
        <v>520</v>
      </c>
      <c r="W84" s="1" t="s">
        <v>87</v>
      </c>
      <c r="X84">
        <v>47</v>
      </c>
      <c r="Y84">
        <v>36333165</v>
      </c>
      <c r="Z84" t="s">
        <v>91</v>
      </c>
      <c r="AA84" t="s">
        <v>91</v>
      </c>
      <c r="AB84" t="s">
        <v>91</v>
      </c>
      <c r="AC84" t="s">
        <v>91</v>
      </c>
      <c r="AD84" t="s">
        <v>91</v>
      </c>
      <c r="AE84" t="s">
        <v>91</v>
      </c>
      <c r="AF84" t="s">
        <v>91</v>
      </c>
      <c r="AG84" s="1" t="s">
        <v>91</v>
      </c>
      <c r="AH84" s="1" t="s">
        <v>91</v>
      </c>
      <c r="AI84" t="s">
        <v>91</v>
      </c>
      <c r="AJ84">
        <v>0</v>
      </c>
      <c r="AK84">
        <v>0</v>
      </c>
      <c r="AL84">
        <v>0</v>
      </c>
      <c r="AM84" t="s">
        <v>91</v>
      </c>
      <c r="AN84" t="s">
        <v>91</v>
      </c>
      <c r="AO84" t="s">
        <v>91</v>
      </c>
      <c r="AP84" t="s">
        <v>91</v>
      </c>
      <c r="AQ84" s="1" t="s">
        <v>91</v>
      </c>
      <c r="AR84" s="1" t="s">
        <v>91</v>
      </c>
      <c r="AS84" s="1" t="s">
        <v>91</v>
      </c>
      <c r="AT84" s="1" t="s">
        <v>91</v>
      </c>
      <c r="AU84" s="1" t="s">
        <v>91</v>
      </c>
      <c r="AV84" t="s">
        <v>91</v>
      </c>
      <c r="AW84" t="s">
        <v>91</v>
      </c>
      <c r="AX84" t="s">
        <v>91</v>
      </c>
      <c r="AY84" t="s">
        <v>91</v>
      </c>
      <c r="AZ84" t="s">
        <v>91</v>
      </c>
      <c r="BA84" t="s">
        <v>91</v>
      </c>
      <c r="BB84" s="2">
        <v>43308.392962962964</v>
      </c>
      <c r="BC84" s="2"/>
      <c r="BD84" t="s">
        <v>91</v>
      </c>
      <c r="BE84">
        <v>829</v>
      </c>
      <c r="BF84" s="1" t="s">
        <v>75</v>
      </c>
      <c r="BG84">
        <v>0</v>
      </c>
      <c r="BH84">
        <v>0</v>
      </c>
      <c r="BI84" s="1" t="s">
        <v>88</v>
      </c>
      <c r="BJ84">
        <v>1</v>
      </c>
      <c r="BK84" s="1" t="s">
        <v>89</v>
      </c>
      <c r="BL84" t="s">
        <v>91</v>
      </c>
      <c r="BM84" s="1" t="s">
        <v>329</v>
      </c>
      <c r="BN84" s="1" t="s">
        <v>148</v>
      </c>
      <c r="BO84" s="1" t="s">
        <v>165</v>
      </c>
      <c r="BP84" s="1" t="s">
        <v>91</v>
      </c>
      <c r="BQ84" t="s">
        <v>91</v>
      </c>
      <c r="BR84" s="3">
        <v>43308</v>
      </c>
      <c r="BS84" s="3"/>
      <c r="BT84" t="s">
        <v>91</v>
      </c>
      <c r="BU84" t="s">
        <v>91</v>
      </c>
      <c r="BV84">
        <v>5</v>
      </c>
      <c r="BW84" s="1" t="s">
        <v>665</v>
      </c>
    </row>
    <row r="85" spans="1:75" x14ac:dyDescent="0.35">
      <c r="A85">
        <v>157513</v>
      </c>
      <c r="B85" s="1" t="s">
        <v>75</v>
      </c>
      <c r="C85">
        <v>80</v>
      </c>
      <c r="D85">
        <v>11121001</v>
      </c>
      <c r="E85">
        <v>121001</v>
      </c>
      <c r="F85" s="1" t="s">
        <v>76</v>
      </c>
      <c r="G85" s="1" t="s">
        <v>666</v>
      </c>
      <c r="H85">
        <v>0</v>
      </c>
      <c r="I85" s="1" t="s">
        <v>78</v>
      </c>
      <c r="J85" s="1" t="s">
        <v>667</v>
      </c>
      <c r="K85" s="1" t="s">
        <v>668</v>
      </c>
      <c r="L85" t="s">
        <v>91</v>
      </c>
      <c r="M85" t="s">
        <v>91</v>
      </c>
      <c r="N85" s="1" t="s">
        <v>669</v>
      </c>
      <c r="O85" t="s">
        <v>91</v>
      </c>
      <c r="P85" s="1" t="s">
        <v>670</v>
      </c>
      <c r="Q85" s="1" t="s">
        <v>671</v>
      </c>
      <c r="R85" s="1" t="s">
        <v>91</v>
      </c>
      <c r="T85">
        <v>89700166</v>
      </c>
      <c r="U85" s="1" t="s">
        <v>108</v>
      </c>
      <c r="V85" s="1" t="s">
        <v>435</v>
      </c>
      <c r="W85" s="1" t="s">
        <v>87</v>
      </c>
      <c r="X85">
        <v>49</v>
      </c>
      <c r="Y85">
        <v>34420361</v>
      </c>
      <c r="Z85" t="s">
        <v>91</v>
      </c>
      <c r="AA85" t="s">
        <v>91</v>
      </c>
      <c r="AB85" t="s">
        <v>91</v>
      </c>
      <c r="AC85" t="s">
        <v>91</v>
      </c>
      <c r="AD85" t="s">
        <v>91</v>
      </c>
      <c r="AE85" t="s">
        <v>91</v>
      </c>
      <c r="AF85" t="s">
        <v>91</v>
      </c>
      <c r="AG85" s="1" t="s">
        <v>91</v>
      </c>
      <c r="AH85" s="1" t="s">
        <v>91</v>
      </c>
      <c r="AI85" t="s">
        <v>91</v>
      </c>
      <c r="AM85" t="s">
        <v>91</v>
      </c>
      <c r="AN85" t="s">
        <v>91</v>
      </c>
      <c r="AO85" t="s">
        <v>91</v>
      </c>
      <c r="AP85" t="s">
        <v>91</v>
      </c>
      <c r="AQ85" s="1" t="s">
        <v>91</v>
      </c>
      <c r="AR85" s="1" t="s">
        <v>91</v>
      </c>
      <c r="AS85" s="1" t="s">
        <v>91</v>
      </c>
      <c r="AT85" s="1" t="s">
        <v>91</v>
      </c>
      <c r="AU85" s="1" t="s">
        <v>91</v>
      </c>
      <c r="AV85" t="s">
        <v>91</v>
      </c>
      <c r="AW85" t="s">
        <v>91</v>
      </c>
      <c r="AX85" t="s">
        <v>91</v>
      </c>
      <c r="AY85" t="s">
        <v>91</v>
      </c>
      <c r="AZ85" t="s">
        <v>91</v>
      </c>
      <c r="BA85" t="s">
        <v>91</v>
      </c>
      <c r="BB85" s="2">
        <v>45118.093391203707</v>
      </c>
      <c r="BC85" s="2"/>
      <c r="BD85" t="s">
        <v>91</v>
      </c>
      <c r="BF85" s="1" t="s">
        <v>75</v>
      </c>
      <c r="BI85" s="1" t="s">
        <v>88</v>
      </c>
      <c r="BJ85">
        <v>1</v>
      </c>
      <c r="BK85" s="1" t="s">
        <v>89</v>
      </c>
      <c r="BL85" t="s">
        <v>91</v>
      </c>
      <c r="BM85" s="1" t="s">
        <v>91</v>
      </c>
      <c r="BN85" s="1" t="s">
        <v>91</v>
      </c>
      <c r="BO85" s="1" t="s">
        <v>91</v>
      </c>
      <c r="BP85" s="1" t="s">
        <v>91</v>
      </c>
      <c r="BQ85" t="s">
        <v>91</v>
      </c>
      <c r="BR85" s="3">
        <v>45118</v>
      </c>
      <c r="BS85" s="3"/>
      <c r="BT85" t="s">
        <v>91</v>
      </c>
      <c r="BU85" t="s">
        <v>91</v>
      </c>
      <c r="BW85" s="1" t="s">
        <v>90</v>
      </c>
    </row>
    <row r="86" spans="1:75" x14ac:dyDescent="0.35">
      <c r="A86">
        <v>157520</v>
      </c>
      <c r="B86" s="1" t="s">
        <v>75</v>
      </c>
      <c r="C86">
        <v>80</v>
      </c>
      <c r="D86">
        <v>11121001</v>
      </c>
      <c r="E86">
        <v>121001</v>
      </c>
      <c r="F86" s="1" t="s">
        <v>76</v>
      </c>
      <c r="G86" s="1" t="s">
        <v>672</v>
      </c>
      <c r="H86">
        <v>0</v>
      </c>
      <c r="I86" s="1" t="s">
        <v>78</v>
      </c>
      <c r="J86" s="1" t="s">
        <v>673</v>
      </c>
      <c r="K86" s="1" t="s">
        <v>674</v>
      </c>
      <c r="L86" t="s">
        <v>91</v>
      </c>
      <c r="M86" t="s">
        <v>91</v>
      </c>
      <c r="N86" s="1" t="s">
        <v>675</v>
      </c>
      <c r="O86" t="s">
        <v>91</v>
      </c>
      <c r="P86" s="1" t="s">
        <v>243</v>
      </c>
      <c r="Q86" s="1" t="s">
        <v>676</v>
      </c>
      <c r="R86" s="1" t="s">
        <v>677</v>
      </c>
      <c r="T86">
        <v>99010001</v>
      </c>
      <c r="U86" s="1" t="s">
        <v>108</v>
      </c>
      <c r="V86" s="1" t="s">
        <v>371</v>
      </c>
      <c r="W86" s="1" t="s">
        <v>157</v>
      </c>
      <c r="X86">
        <v>54</v>
      </c>
      <c r="Y86">
        <v>996767176</v>
      </c>
      <c r="Z86" t="s">
        <v>91</v>
      </c>
      <c r="AA86" t="s">
        <v>91</v>
      </c>
      <c r="AB86" t="s">
        <v>91</v>
      </c>
      <c r="AC86" t="s">
        <v>91</v>
      </c>
      <c r="AD86" t="s">
        <v>91</v>
      </c>
      <c r="AE86" t="s">
        <v>91</v>
      </c>
      <c r="AF86" t="s">
        <v>91</v>
      </c>
      <c r="AG86" s="1" t="s">
        <v>91</v>
      </c>
      <c r="AH86" s="1" t="s">
        <v>91</v>
      </c>
      <c r="AI86" t="s">
        <v>91</v>
      </c>
      <c r="AM86" t="s">
        <v>91</v>
      </c>
      <c r="AN86" t="s">
        <v>91</v>
      </c>
      <c r="AO86" t="s">
        <v>91</v>
      </c>
      <c r="AP86" t="s">
        <v>91</v>
      </c>
      <c r="AQ86" s="1" t="s">
        <v>91</v>
      </c>
      <c r="AR86" s="1" t="s">
        <v>91</v>
      </c>
      <c r="AS86" s="1" t="s">
        <v>91</v>
      </c>
      <c r="AT86" s="1" t="s">
        <v>91</v>
      </c>
      <c r="AU86" s="1" t="s">
        <v>91</v>
      </c>
      <c r="AV86" t="s">
        <v>91</v>
      </c>
      <c r="AW86" t="s">
        <v>91</v>
      </c>
      <c r="AX86" t="s">
        <v>91</v>
      </c>
      <c r="AY86" t="s">
        <v>91</v>
      </c>
      <c r="AZ86" t="s">
        <v>91</v>
      </c>
      <c r="BA86" t="s">
        <v>91</v>
      </c>
      <c r="BB86" s="2">
        <v>45118.093391203707</v>
      </c>
      <c r="BC86" s="2"/>
      <c r="BD86" t="s">
        <v>91</v>
      </c>
      <c r="BF86" s="1" t="s">
        <v>75</v>
      </c>
      <c r="BI86" s="1" t="s">
        <v>88</v>
      </c>
      <c r="BJ86">
        <v>1</v>
      </c>
      <c r="BK86" s="1" t="s">
        <v>89</v>
      </c>
      <c r="BL86" t="s">
        <v>91</v>
      </c>
      <c r="BM86" s="1" t="s">
        <v>91</v>
      </c>
      <c r="BN86" s="1" t="s">
        <v>91</v>
      </c>
      <c r="BO86" s="1" t="s">
        <v>91</v>
      </c>
      <c r="BP86" s="1" t="s">
        <v>91</v>
      </c>
      <c r="BQ86" t="s">
        <v>91</v>
      </c>
      <c r="BR86" s="3">
        <v>45118</v>
      </c>
      <c r="BS86" s="3"/>
      <c r="BT86" t="s">
        <v>91</v>
      </c>
      <c r="BU86" t="s">
        <v>91</v>
      </c>
      <c r="BW86" s="1" t="s">
        <v>90</v>
      </c>
    </row>
    <row r="87" spans="1:75" x14ac:dyDescent="0.35">
      <c r="A87">
        <v>120400</v>
      </c>
      <c r="B87" s="1" t="s">
        <v>75</v>
      </c>
      <c r="C87">
        <v>80</v>
      </c>
      <c r="D87">
        <v>11121001</v>
      </c>
      <c r="E87">
        <v>121001</v>
      </c>
      <c r="F87" s="1" t="s">
        <v>76</v>
      </c>
      <c r="G87" s="1" t="s">
        <v>678</v>
      </c>
      <c r="H87">
        <v>0</v>
      </c>
      <c r="I87" s="1" t="s">
        <v>78</v>
      </c>
      <c r="J87" s="1" t="s">
        <v>679</v>
      </c>
      <c r="K87" s="1" t="s">
        <v>680</v>
      </c>
      <c r="L87" t="s">
        <v>91</v>
      </c>
      <c r="M87" t="s">
        <v>91</v>
      </c>
      <c r="N87" s="1" t="s">
        <v>681</v>
      </c>
      <c r="O87" t="s">
        <v>91</v>
      </c>
      <c r="P87" s="1" t="s">
        <v>682</v>
      </c>
      <c r="Q87" s="1" t="s">
        <v>427</v>
      </c>
      <c r="R87" s="1" t="s">
        <v>320</v>
      </c>
      <c r="S87">
        <v>1285</v>
      </c>
      <c r="T87">
        <v>89600000</v>
      </c>
      <c r="U87" s="1" t="s">
        <v>343</v>
      </c>
      <c r="V87" s="1" t="s">
        <v>683</v>
      </c>
      <c r="W87" s="1" t="s">
        <v>87</v>
      </c>
      <c r="X87">
        <v>49</v>
      </c>
      <c r="Y87">
        <v>35223387</v>
      </c>
      <c r="Z87" t="s">
        <v>91</v>
      </c>
      <c r="AA87" t="s">
        <v>91</v>
      </c>
      <c r="AB87" t="s">
        <v>91</v>
      </c>
      <c r="AC87" t="s">
        <v>91</v>
      </c>
      <c r="AD87" t="s">
        <v>91</v>
      </c>
      <c r="AE87" t="s">
        <v>91</v>
      </c>
      <c r="AF87" t="s">
        <v>91</v>
      </c>
      <c r="AG87" s="1" t="s">
        <v>91</v>
      </c>
      <c r="AH87" s="1" t="s">
        <v>91</v>
      </c>
      <c r="AI87" t="s">
        <v>91</v>
      </c>
      <c r="AJ87">
        <v>0</v>
      </c>
      <c r="AK87">
        <v>0</v>
      </c>
      <c r="AL87">
        <v>0</v>
      </c>
      <c r="AM87" t="s">
        <v>91</v>
      </c>
      <c r="AN87" t="s">
        <v>91</v>
      </c>
      <c r="AO87" t="s">
        <v>91</v>
      </c>
      <c r="AP87" t="s">
        <v>91</v>
      </c>
      <c r="AQ87" s="1" t="s">
        <v>91</v>
      </c>
      <c r="AR87" s="1" t="s">
        <v>91</v>
      </c>
      <c r="AS87" s="1" t="s">
        <v>91</v>
      </c>
      <c r="AT87" s="1" t="s">
        <v>91</v>
      </c>
      <c r="AU87" s="1" t="s">
        <v>91</v>
      </c>
      <c r="AV87" t="s">
        <v>91</v>
      </c>
      <c r="AW87" t="s">
        <v>91</v>
      </c>
      <c r="AX87" t="s">
        <v>91</v>
      </c>
      <c r="AY87" t="s">
        <v>91</v>
      </c>
      <c r="AZ87" t="s">
        <v>91</v>
      </c>
      <c r="BA87" t="s">
        <v>91</v>
      </c>
      <c r="BB87" s="2">
        <v>44092.925393518519</v>
      </c>
      <c r="BC87" s="2"/>
      <c r="BD87" t="s">
        <v>91</v>
      </c>
      <c r="BF87" s="1" t="s">
        <v>75</v>
      </c>
      <c r="BG87">
        <v>0</v>
      </c>
      <c r="BH87">
        <v>0</v>
      </c>
      <c r="BI87" s="1" t="s">
        <v>88</v>
      </c>
      <c r="BJ87">
        <v>1</v>
      </c>
      <c r="BK87" s="1" t="s">
        <v>89</v>
      </c>
      <c r="BL87" t="s">
        <v>91</v>
      </c>
      <c r="BM87" s="1" t="s">
        <v>329</v>
      </c>
      <c r="BN87" s="1" t="s">
        <v>110</v>
      </c>
      <c r="BO87" s="1" t="s">
        <v>165</v>
      </c>
      <c r="BP87" s="1" t="s">
        <v>91</v>
      </c>
      <c r="BQ87" t="s">
        <v>91</v>
      </c>
      <c r="BR87" s="3">
        <v>44092</v>
      </c>
      <c r="BS87" s="3"/>
      <c r="BT87" t="s">
        <v>91</v>
      </c>
      <c r="BU87" t="s">
        <v>91</v>
      </c>
      <c r="BV87">
        <v>1</v>
      </c>
      <c r="BW87" s="1" t="s">
        <v>255</v>
      </c>
    </row>
    <row r="88" spans="1:75" x14ac:dyDescent="0.35">
      <c r="A88">
        <v>144621</v>
      </c>
      <c r="B88" s="1" t="s">
        <v>75</v>
      </c>
      <c r="C88">
        <v>80</v>
      </c>
      <c r="D88">
        <v>11121001</v>
      </c>
      <c r="E88">
        <v>121001</v>
      </c>
      <c r="F88" s="1" t="s">
        <v>76</v>
      </c>
      <c r="G88" s="1" t="s">
        <v>684</v>
      </c>
      <c r="I88" s="1" t="s">
        <v>78</v>
      </c>
      <c r="J88" s="1" t="s">
        <v>685</v>
      </c>
      <c r="K88" s="1" t="s">
        <v>686</v>
      </c>
      <c r="L88" t="s">
        <v>91</v>
      </c>
      <c r="M88" t="s">
        <v>91</v>
      </c>
      <c r="N88" s="1" t="s">
        <v>91</v>
      </c>
      <c r="O88" t="s">
        <v>91</v>
      </c>
      <c r="P88" s="1" t="s">
        <v>611</v>
      </c>
      <c r="Q88" s="1" t="s">
        <v>687</v>
      </c>
      <c r="R88" s="1" t="s">
        <v>91</v>
      </c>
      <c r="S88">
        <v>1279</v>
      </c>
      <c r="T88">
        <v>89237000</v>
      </c>
      <c r="U88" s="1" t="s">
        <v>688</v>
      </c>
      <c r="V88" s="1" t="s">
        <v>100</v>
      </c>
      <c r="W88" s="1" t="s">
        <v>87</v>
      </c>
      <c r="X88">
        <v>47</v>
      </c>
      <c r="Y88">
        <v>30430935</v>
      </c>
      <c r="Z88" t="s">
        <v>91</v>
      </c>
      <c r="AA88" t="s">
        <v>91</v>
      </c>
      <c r="AB88" t="s">
        <v>91</v>
      </c>
      <c r="AC88" t="s">
        <v>91</v>
      </c>
      <c r="AD88" t="s">
        <v>91</v>
      </c>
      <c r="AE88" t="s">
        <v>91</v>
      </c>
      <c r="AF88" t="s">
        <v>91</v>
      </c>
      <c r="AG88" s="1" t="s">
        <v>91</v>
      </c>
      <c r="AH88" s="1" t="s">
        <v>91</v>
      </c>
      <c r="AI88" t="s">
        <v>91</v>
      </c>
      <c r="AJ88">
        <v>0</v>
      </c>
      <c r="AK88">
        <v>0</v>
      </c>
      <c r="AL88">
        <v>0</v>
      </c>
      <c r="AM88" t="s">
        <v>91</v>
      </c>
      <c r="AN88" t="s">
        <v>91</v>
      </c>
      <c r="AO88" t="s">
        <v>91</v>
      </c>
      <c r="AP88" t="s">
        <v>91</v>
      </c>
      <c r="AQ88" s="1" t="s">
        <v>91</v>
      </c>
      <c r="AR88" s="1" t="s">
        <v>91</v>
      </c>
      <c r="AS88" s="1" t="s">
        <v>91</v>
      </c>
      <c r="AT88" s="1" t="s">
        <v>91</v>
      </c>
      <c r="AU88" s="1" t="s">
        <v>91</v>
      </c>
      <c r="AV88" t="s">
        <v>91</v>
      </c>
      <c r="AW88" t="s">
        <v>91</v>
      </c>
      <c r="AX88" t="s">
        <v>91</v>
      </c>
      <c r="AY88" t="s">
        <v>91</v>
      </c>
      <c r="AZ88" t="s">
        <v>91</v>
      </c>
      <c r="BA88" t="s">
        <v>91</v>
      </c>
      <c r="BB88" s="2"/>
      <c r="BC88" s="2"/>
      <c r="BD88" t="s">
        <v>91</v>
      </c>
      <c r="BF88" s="1" t="s">
        <v>75</v>
      </c>
      <c r="BG88">
        <v>0</v>
      </c>
      <c r="BH88">
        <v>0</v>
      </c>
      <c r="BI88" s="1" t="s">
        <v>88</v>
      </c>
      <c r="BJ88">
        <v>1</v>
      </c>
      <c r="BK88" s="1" t="s">
        <v>89</v>
      </c>
      <c r="BL88" t="s">
        <v>91</v>
      </c>
      <c r="BM88" s="1" t="s">
        <v>109</v>
      </c>
      <c r="BN88" s="1" t="s">
        <v>110</v>
      </c>
      <c r="BO88" s="1" t="s">
        <v>180</v>
      </c>
      <c r="BP88" s="1" t="s">
        <v>91</v>
      </c>
      <c r="BQ88" t="s">
        <v>91</v>
      </c>
      <c r="BR88" s="3"/>
      <c r="BS88" s="3"/>
      <c r="BT88" t="s">
        <v>91</v>
      </c>
      <c r="BU88" t="s">
        <v>91</v>
      </c>
      <c r="BV88">
        <v>9</v>
      </c>
      <c r="BW88" s="1" t="s">
        <v>90</v>
      </c>
    </row>
    <row r="89" spans="1:75" x14ac:dyDescent="0.35">
      <c r="A89">
        <v>144583</v>
      </c>
      <c r="B89" s="1" t="s">
        <v>75</v>
      </c>
      <c r="C89">
        <v>80</v>
      </c>
      <c r="D89">
        <v>11121001</v>
      </c>
      <c r="E89">
        <v>121001</v>
      </c>
      <c r="F89" s="1" t="s">
        <v>76</v>
      </c>
      <c r="G89" s="1" t="s">
        <v>689</v>
      </c>
      <c r="I89" s="1" t="s">
        <v>78</v>
      </c>
      <c r="J89" s="1" t="s">
        <v>690</v>
      </c>
      <c r="K89" s="1" t="s">
        <v>691</v>
      </c>
      <c r="L89" t="s">
        <v>91</v>
      </c>
      <c r="M89" t="s">
        <v>91</v>
      </c>
      <c r="N89" s="1" t="s">
        <v>692</v>
      </c>
      <c r="O89" t="s">
        <v>91</v>
      </c>
      <c r="P89" s="1" t="s">
        <v>693</v>
      </c>
      <c r="Q89" s="1" t="s">
        <v>211</v>
      </c>
      <c r="R89" s="1" t="s">
        <v>694</v>
      </c>
      <c r="S89">
        <v>1279</v>
      </c>
      <c r="T89">
        <v>89223005</v>
      </c>
      <c r="U89" s="1" t="s">
        <v>213</v>
      </c>
      <c r="V89" s="1" t="s">
        <v>100</v>
      </c>
      <c r="W89" s="1" t="s">
        <v>87</v>
      </c>
      <c r="X89">
        <v>47</v>
      </c>
      <c r="Y89">
        <v>988841396</v>
      </c>
      <c r="Z89" t="s">
        <v>91</v>
      </c>
      <c r="AA89" t="s">
        <v>91</v>
      </c>
      <c r="AB89" t="s">
        <v>91</v>
      </c>
      <c r="AC89" t="s">
        <v>91</v>
      </c>
      <c r="AD89" t="s">
        <v>91</v>
      </c>
      <c r="AE89" t="s">
        <v>91</v>
      </c>
      <c r="AF89" t="s">
        <v>91</v>
      </c>
      <c r="AG89" s="1" t="s">
        <v>91</v>
      </c>
      <c r="AH89" s="1" t="s">
        <v>91</v>
      </c>
      <c r="AI89" t="s">
        <v>91</v>
      </c>
      <c r="AM89" t="s">
        <v>91</v>
      </c>
      <c r="AN89" t="s">
        <v>91</v>
      </c>
      <c r="AO89" t="s">
        <v>91</v>
      </c>
      <c r="AP89" t="s">
        <v>91</v>
      </c>
      <c r="AQ89" s="1" t="s">
        <v>91</v>
      </c>
      <c r="AR89" s="1" t="s">
        <v>91</v>
      </c>
      <c r="AS89" s="1" t="s">
        <v>91</v>
      </c>
      <c r="AT89" s="1" t="s">
        <v>91</v>
      </c>
      <c r="AU89" s="1" t="s">
        <v>91</v>
      </c>
      <c r="AV89" t="s">
        <v>91</v>
      </c>
      <c r="AW89" t="s">
        <v>91</v>
      </c>
      <c r="AX89" t="s">
        <v>91</v>
      </c>
      <c r="AY89" t="s">
        <v>91</v>
      </c>
      <c r="AZ89" t="s">
        <v>91</v>
      </c>
      <c r="BA89" t="s">
        <v>91</v>
      </c>
      <c r="BB89" s="2"/>
      <c r="BC89" s="2"/>
      <c r="BD89" t="s">
        <v>91</v>
      </c>
      <c r="BF89" s="1" t="s">
        <v>75</v>
      </c>
      <c r="BI89" s="1" t="s">
        <v>88</v>
      </c>
      <c r="BJ89">
        <v>1</v>
      </c>
      <c r="BK89" s="1" t="s">
        <v>89</v>
      </c>
      <c r="BL89" t="s">
        <v>91</v>
      </c>
      <c r="BM89" s="1" t="s">
        <v>109</v>
      </c>
      <c r="BN89" s="1" t="s">
        <v>110</v>
      </c>
      <c r="BO89" s="1" t="s">
        <v>180</v>
      </c>
      <c r="BP89" s="1" t="s">
        <v>91</v>
      </c>
      <c r="BQ89" t="s">
        <v>91</v>
      </c>
      <c r="BR89" s="3"/>
      <c r="BS89" s="3"/>
      <c r="BT89" t="s">
        <v>91</v>
      </c>
      <c r="BU89" t="s">
        <v>91</v>
      </c>
      <c r="BV89">
        <v>9</v>
      </c>
      <c r="BW89" s="1" t="s">
        <v>90</v>
      </c>
    </row>
    <row r="90" spans="1:75" x14ac:dyDescent="0.35">
      <c r="A90">
        <v>120382</v>
      </c>
      <c r="B90" s="1" t="s">
        <v>75</v>
      </c>
      <c r="C90">
        <v>80</v>
      </c>
      <c r="D90">
        <v>11121001</v>
      </c>
      <c r="E90">
        <v>121001</v>
      </c>
      <c r="F90" s="1" t="s">
        <v>76</v>
      </c>
      <c r="G90" s="1" t="s">
        <v>695</v>
      </c>
      <c r="H90">
        <v>0</v>
      </c>
      <c r="I90" s="1" t="s">
        <v>78</v>
      </c>
      <c r="J90" s="1" t="s">
        <v>696</v>
      </c>
      <c r="K90" s="1" t="s">
        <v>697</v>
      </c>
      <c r="L90" t="s">
        <v>91</v>
      </c>
      <c r="M90" t="s">
        <v>91</v>
      </c>
      <c r="N90" s="1" t="s">
        <v>698</v>
      </c>
      <c r="O90" t="s">
        <v>91</v>
      </c>
      <c r="P90" s="1" t="s">
        <v>260</v>
      </c>
      <c r="Q90" s="1" t="s">
        <v>699</v>
      </c>
      <c r="R90" s="1" t="s">
        <v>91</v>
      </c>
      <c r="S90">
        <v>1289</v>
      </c>
      <c r="T90">
        <v>89900000</v>
      </c>
      <c r="U90" s="1" t="s">
        <v>108</v>
      </c>
      <c r="V90" s="1" t="s">
        <v>700</v>
      </c>
      <c r="W90" s="1" t="s">
        <v>87</v>
      </c>
      <c r="X90">
        <v>49</v>
      </c>
      <c r="Y90">
        <v>36222309</v>
      </c>
      <c r="Z90" t="s">
        <v>91</v>
      </c>
      <c r="AA90" t="s">
        <v>91</v>
      </c>
      <c r="AB90" t="s">
        <v>91</v>
      </c>
      <c r="AC90" t="s">
        <v>91</v>
      </c>
      <c r="AD90" t="s">
        <v>91</v>
      </c>
      <c r="AE90" t="s">
        <v>91</v>
      </c>
      <c r="AF90" t="s">
        <v>91</v>
      </c>
      <c r="AG90" s="1" t="s">
        <v>91</v>
      </c>
      <c r="AH90" s="1" t="s">
        <v>91</v>
      </c>
      <c r="AI90" t="s">
        <v>91</v>
      </c>
      <c r="AJ90">
        <v>0</v>
      </c>
      <c r="AK90">
        <v>0</v>
      </c>
      <c r="AL90">
        <v>0</v>
      </c>
      <c r="AM90" t="s">
        <v>91</v>
      </c>
      <c r="AN90" t="s">
        <v>91</v>
      </c>
      <c r="AO90" t="s">
        <v>91</v>
      </c>
      <c r="AP90" t="s">
        <v>91</v>
      </c>
      <c r="AQ90" s="1" t="s">
        <v>91</v>
      </c>
      <c r="AR90" s="1" t="s">
        <v>91</v>
      </c>
      <c r="AS90" s="1" t="s">
        <v>91</v>
      </c>
      <c r="AT90" s="1" t="s">
        <v>91</v>
      </c>
      <c r="AU90" s="1" t="s">
        <v>91</v>
      </c>
      <c r="AV90" t="s">
        <v>91</v>
      </c>
      <c r="AW90" t="s">
        <v>91</v>
      </c>
      <c r="AX90" t="s">
        <v>91</v>
      </c>
      <c r="AY90" t="s">
        <v>91</v>
      </c>
      <c r="AZ90" t="s">
        <v>91</v>
      </c>
      <c r="BA90" t="s">
        <v>91</v>
      </c>
      <c r="BB90" s="2">
        <v>44092.925393518519</v>
      </c>
      <c r="BC90" s="2"/>
      <c r="BD90" t="s">
        <v>91</v>
      </c>
      <c r="BF90" s="1" t="s">
        <v>75</v>
      </c>
      <c r="BG90">
        <v>0</v>
      </c>
      <c r="BH90">
        <v>0</v>
      </c>
      <c r="BI90" s="1" t="s">
        <v>88</v>
      </c>
      <c r="BJ90">
        <v>1</v>
      </c>
      <c r="BK90" s="1" t="s">
        <v>89</v>
      </c>
      <c r="BL90" t="s">
        <v>91</v>
      </c>
      <c r="BM90" s="1" t="s">
        <v>109</v>
      </c>
      <c r="BN90" s="1" t="s">
        <v>110</v>
      </c>
      <c r="BO90" s="1" t="s">
        <v>165</v>
      </c>
      <c r="BP90" s="1" t="s">
        <v>91</v>
      </c>
      <c r="BQ90" t="s">
        <v>91</v>
      </c>
      <c r="BR90" s="3">
        <v>44092</v>
      </c>
      <c r="BS90" s="3"/>
      <c r="BT90" t="s">
        <v>91</v>
      </c>
      <c r="BU90" t="s">
        <v>91</v>
      </c>
      <c r="BV90">
        <v>7</v>
      </c>
      <c r="BW90" s="1" t="s">
        <v>90</v>
      </c>
    </row>
    <row r="91" spans="1:75" x14ac:dyDescent="0.35">
      <c r="A91">
        <v>120344</v>
      </c>
      <c r="B91" s="1" t="s">
        <v>75</v>
      </c>
      <c r="C91">
        <v>80</v>
      </c>
      <c r="D91">
        <v>11121001</v>
      </c>
      <c r="E91">
        <v>121001</v>
      </c>
      <c r="F91" s="1" t="s">
        <v>76</v>
      </c>
      <c r="G91" s="1" t="s">
        <v>701</v>
      </c>
      <c r="H91">
        <v>0</v>
      </c>
      <c r="I91" s="1" t="s">
        <v>78</v>
      </c>
      <c r="J91" s="1" t="s">
        <v>702</v>
      </c>
      <c r="K91" s="1" t="s">
        <v>703</v>
      </c>
      <c r="L91" t="s">
        <v>91</v>
      </c>
      <c r="M91" t="s">
        <v>91</v>
      </c>
      <c r="N91" s="1" t="s">
        <v>704</v>
      </c>
      <c r="O91" t="s">
        <v>91</v>
      </c>
      <c r="P91" s="1" t="s">
        <v>705</v>
      </c>
      <c r="Q91" s="1" t="s">
        <v>706</v>
      </c>
      <c r="R91" s="1" t="s">
        <v>91</v>
      </c>
      <c r="S91">
        <v>1288</v>
      </c>
      <c r="T91">
        <v>89825000</v>
      </c>
      <c r="U91" s="1" t="s">
        <v>108</v>
      </c>
      <c r="V91" s="1" t="s">
        <v>707</v>
      </c>
      <c r="W91" s="1" t="s">
        <v>87</v>
      </c>
      <c r="X91">
        <v>49</v>
      </c>
      <c r="Y91">
        <v>33531623</v>
      </c>
      <c r="Z91" t="s">
        <v>91</v>
      </c>
      <c r="AA91" t="s">
        <v>91</v>
      </c>
      <c r="AB91" t="s">
        <v>91</v>
      </c>
      <c r="AC91" t="s">
        <v>91</v>
      </c>
      <c r="AD91" t="s">
        <v>91</v>
      </c>
      <c r="AE91" t="s">
        <v>91</v>
      </c>
      <c r="AF91" t="s">
        <v>91</v>
      </c>
      <c r="AG91" s="1" t="s">
        <v>91</v>
      </c>
      <c r="AH91" s="1" t="s">
        <v>91</v>
      </c>
      <c r="AI91" t="s">
        <v>91</v>
      </c>
      <c r="AJ91">
        <v>0</v>
      </c>
      <c r="AK91">
        <v>0</v>
      </c>
      <c r="AL91">
        <v>0</v>
      </c>
      <c r="AM91" t="s">
        <v>91</v>
      </c>
      <c r="AN91" t="s">
        <v>91</v>
      </c>
      <c r="AO91" t="s">
        <v>91</v>
      </c>
      <c r="AP91" t="s">
        <v>91</v>
      </c>
      <c r="AQ91" s="1" t="s">
        <v>91</v>
      </c>
      <c r="AR91" s="1" t="s">
        <v>91</v>
      </c>
      <c r="AS91" s="1" t="s">
        <v>91</v>
      </c>
      <c r="AT91" s="1" t="s">
        <v>91</v>
      </c>
      <c r="AU91" s="1" t="s">
        <v>91</v>
      </c>
      <c r="AV91" t="s">
        <v>91</v>
      </c>
      <c r="AW91" t="s">
        <v>91</v>
      </c>
      <c r="AX91" t="s">
        <v>91</v>
      </c>
      <c r="AY91" t="s">
        <v>91</v>
      </c>
      <c r="AZ91" t="s">
        <v>91</v>
      </c>
      <c r="BA91" t="s">
        <v>91</v>
      </c>
      <c r="BB91" s="2">
        <v>44092.925393518519</v>
      </c>
      <c r="BC91" s="2"/>
      <c r="BD91" t="s">
        <v>91</v>
      </c>
      <c r="BF91" s="1" t="s">
        <v>75</v>
      </c>
      <c r="BG91">
        <v>0</v>
      </c>
      <c r="BH91">
        <v>0</v>
      </c>
      <c r="BI91" s="1" t="s">
        <v>88</v>
      </c>
      <c r="BJ91">
        <v>1</v>
      </c>
      <c r="BK91" s="1" t="s">
        <v>89</v>
      </c>
      <c r="BL91" t="s">
        <v>91</v>
      </c>
      <c r="BM91" s="1" t="s">
        <v>329</v>
      </c>
      <c r="BN91" s="1" t="s">
        <v>110</v>
      </c>
      <c r="BO91" s="1" t="s">
        <v>128</v>
      </c>
      <c r="BP91" s="1" t="s">
        <v>91</v>
      </c>
      <c r="BQ91" t="s">
        <v>91</v>
      </c>
      <c r="BR91" s="3">
        <v>44092</v>
      </c>
      <c r="BS91" s="3"/>
      <c r="BT91" t="s">
        <v>91</v>
      </c>
      <c r="BU91" t="s">
        <v>91</v>
      </c>
      <c r="BV91">
        <v>5</v>
      </c>
      <c r="BW91" s="1" t="s">
        <v>708</v>
      </c>
    </row>
    <row r="92" spans="1:75" x14ac:dyDescent="0.35">
      <c r="A92">
        <v>156819</v>
      </c>
      <c r="B92" s="1" t="s">
        <v>75</v>
      </c>
      <c r="C92">
        <v>80</v>
      </c>
      <c r="D92">
        <v>11121001</v>
      </c>
      <c r="E92">
        <v>121001</v>
      </c>
      <c r="F92" s="1" t="s">
        <v>76</v>
      </c>
      <c r="G92" s="1" t="s">
        <v>709</v>
      </c>
      <c r="H92">
        <v>0</v>
      </c>
      <c r="I92" s="1" t="s">
        <v>78</v>
      </c>
      <c r="J92" s="1" t="s">
        <v>710</v>
      </c>
      <c r="K92" s="1" t="s">
        <v>711</v>
      </c>
      <c r="L92" t="s">
        <v>91</v>
      </c>
      <c r="M92" t="s">
        <v>91</v>
      </c>
      <c r="N92" s="1" t="s">
        <v>712</v>
      </c>
      <c r="O92" t="s">
        <v>91</v>
      </c>
      <c r="P92" s="1" t="s">
        <v>713</v>
      </c>
      <c r="Q92" s="1" t="s">
        <v>714</v>
      </c>
      <c r="R92" s="1" t="s">
        <v>715</v>
      </c>
      <c r="S92">
        <v>1277</v>
      </c>
      <c r="T92">
        <v>89201908</v>
      </c>
      <c r="U92" s="1" t="s">
        <v>108</v>
      </c>
      <c r="V92" s="1" t="s">
        <v>100</v>
      </c>
      <c r="W92" s="1" t="s">
        <v>87</v>
      </c>
      <c r="X92">
        <v>47</v>
      </c>
      <c r="Y92">
        <v>34331982</v>
      </c>
      <c r="Z92" t="s">
        <v>91</v>
      </c>
      <c r="AA92" t="s">
        <v>91</v>
      </c>
      <c r="AB92" t="s">
        <v>91</v>
      </c>
      <c r="AC92" t="s">
        <v>91</v>
      </c>
      <c r="AD92" t="s">
        <v>91</v>
      </c>
      <c r="AE92" t="s">
        <v>91</v>
      </c>
      <c r="AF92" t="s">
        <v>91</v>
      </c>
      <c r="AG92" s="1" t="s">
        <v>91</v>
      </c>
      <c r="AH92" s="1" t="s">
        <v>91</v>
      </c>
      <c r="AI92" t="s">
        <v>91</v>
      </c>
      <c r="AM92" t="s">
        <v>91</v>
      </c>
      <c r="AN92" t="s">
        <v>91</v>
      </c>
      <c r="AO92" t="s">
        <v>91</v>
      </c>
      <c r="AP92" t="s">
        <v>91</v>
      </c>
      <c r="AQ92" s="1" t="s">
        <v>91</v>
      </c>
      <c r="AR92" s="1" t="s">
        <v>91</v>
      </c>
      <c r="AS92" s="1" t="s">
        <v>91</v>
      </c>
      <c r="AT92" s="1" t="s">
        <v>91</v>
      </c>
      <c r="AU92" s="1" t="s">
        <v>91</v>
      </c>
      <c r="AV92" t="s">
        <v>91</v>
      </c>
      <c r="AW92" t="s">
        <v>91</v>
      </c>
      <c r="AX92" t="s">
        <v>91</v>
      </c>
      <c r="AY92" t="s">
        <v>91</v>
      </c>
      <c r="AZ92" t="s">
        <v>91</v>
      </c>
      <c r="BA92" t="s">
        <v>91</v>
      </c>
      <c r="BB92" s="2">
        <v>45113.505416666667</v>
      </c>
      <c r="BC92" s="2"/>
      <c r="BD92" t="s">
        <v>91</v>
      </c>
      <c r="BF92" s="1" t="s">
        <v>75</v>
      </c>
      <c r="BI92" s="1" t="s">
        <v>88</v>
      </c>
      <c r="BJ92">
        <v>1</v>
      </c>
      <c r="BK92" s="1" t="s">
        <v>89</v>
      </c>
      <c r="BL92" t="s">
        <v>91</v>
      </c>
      <c r="BM92" s="1" t="s">
        <v>91</v>
      </c>
      <c r="BN92" s="1" t="s">
        <v>91</v>
      </c>
      <c r="BO92" s="1" t="s">
        <v>91</v>
      </c>
      <c r="BP92" s="1" t="s">
        <v>91</v>
      </c>
      <c r="BQ92" t="s">
        <v>91</v>
      </c>
      <c r="BR92" s="3">
        <v>45113</v>
      </c>
      <c r="BS92" s="3"/>
      <c r="BT92" t="s">
        <v>91</v>
      </c>
      <c r="BU92" t="s">
        <v>91</v>
      </c>
      <c r="BW92" s="1" t="s">
        <v>90</v>
      </c>
    </row>
    <row r="93" spans="1:75" x14ac:dyDescent="0.35">
      <c r="A93">
        <v>138017</v>
      </c>
      <c r="B93" s="1" t="s">
        <v>75</v>
      </c>
      <c r="C93">
        <v>80</v>
      </c>
      <c r="D93">
        <v>11121001</v>
      </c>
      <c r="E93">
        <v>121001</v>
      </c>
      <c r="F93" s="1" t="s">
        <v>76</v>
      </c>
      <c r="G93" s="1" t="s">
        <v>716</v>
      </c>
      <c r="H93">
        <v>0</v>
      </c>
      <c r="I93" s="1" t="s">
        <v>78</v>
      </c>
      <c r="J93" s="1" t="s">
        <v>717</v>
      </c>
      <c r="K93" s="1" t="s">
        <v>718</v>
      </c>
      <c r="L93" t="s">
        <v>91</v>
      </c>
      <c r="M93" t="s">
        <v>91</v>
      </c>
      <c r="N93" s="1" t="s">
        <v>719</v>
      </c>
      <c r="O93" t="s">
        <v>91</v>
      </c>
      <c r="P93" s="1" t="s">
        <v>341</v>
      </c>
      <c r="Q93" s="1" t="s">
        <v>720</v>
      </c>
      <c r="R93" s="1" t="s">
        <v>91</v>
      </c>
      <c r="S93">
        <v>1377</v>
      </c>
      <c r="T93">
        <v>98400000</v>
      </c>
      <c r="U93" s="1" t="s">
        <v>108</v>
      </c>
      <c r="V93" s="1" t="s">
        <v>344</v>
      </c>
      <c r="W93" s="1" t="s">
        <v>157</v>
      </c>
      <c r="X93">
        <v>55</v>
      </c>
      <c r="Y93">
        <v>37443870</v>
      </c>
      <c r="Z93" t="s">
        <v>91</v>
      </c>
      <c r="AA93" t="s">
        <v>91</v>
      </c>
      <c r="AB93" t="s">
        <v>91</v>
      </c>
      <c r="AC93" t="s">
        <v>91</v>
      </c>
      <c r="AD93" t="s">
        <v>91</v>
      </c>
      <c r="AE93" t="s">
        <v>91</v>
      </c>
      <c r="AF93" t="s">
        <v>91</v>
      </c>
      <c r="AG93" s="1" t="s">
        <v>146</v>
      </c>
      <c r="AH93" s="1" t="s">
        <v>91</v>
      </c>
      <c r="AI93" t="s">
        <v>91</v>
      </c>
      <c r="AM93" t="s">
        <v>91</v>
      </c>
      <c r="AN93" t="s">
        <v>91</v>
      </c>
      <c r="AO93" t="s">
        <v>91</v>
      </c>
      <c r="AP93" t="s">
        <v>91</v>
      </c>
      <c r="AQ93" s="1" t="s">
        <v>147</v>
      </c>
      <c r="AR93" s="1" t="s">
        <v>147</v>
      </c>
      <c r="AS93" s="1" t="s">
        <v>147</v>
      </c>
      <c r="AT93" s="1" t="s">
        <v>147</v>
      </c>
      <c r="AU93" s="1" t="s">
        <v>147</v>
      </c>
      <c r="AV93" t="s">
        <v>91</v>
      </c>
      <c r="AW93" t="s">
        <v>91</v>
      </c>
      <c r="AX93" t="s">
        <v>91</v>
      </c>
      <c r="AY93" t="s">
        <v>91</v>
      </c>
      <c r="AZ93" t="s">
        <v>91</v>
      </c>
      <c r="BA93" t="s">
        <v>91</v>
      </c>
      <c r="BB93" s="2">
        <v>44378.578518518516</v>
      </c>
      <c r="BC93" s="2">
        <v>45119.454340277778</v>
      </c>
      <c r="BD93" t="s">
        <v>91</v>
      </c>
      <c r="BF93" s="1" t="s">
        <v>75</v>
      </c>
      <c r="BH93">
        <v>0</v>
      </c>
      <c r="BI93" s="1" t="s">
        <v>721</v>
      </c>
      <c r="BJ93">
        <v>1</v>
      </c>
      <c r="BK93" s="1" t="s">
        <v>89</v>
      </c>
      <c r="BL93" t="s">
        <v>91</v>
      </c>
      <c r="BM93" s="1" t="s">
        <v>109</v>
      </c>
      <c r="BN93" s="1" t="s">
        <v>110</v>
      </c>
      <c r="BO93" s="1" t="s">
        <v>128</v>
      </c>
      <c r="BP93" s="1" t="s">
        <v>91</v>
      </c>
      <c r="BQ93" t="s">
        <v>91</v>
      </c>
      <c r="BR93" s="3">
        <v>44378</v>
      </c>
      <c r="BS93" s="3">
        <v>45119</v>
      </c>
      <c r="BT93" t="s">
        <v>91</v>
      </c>
      <c r="BU93" t="s">
        <v>91</v>
      </c>
      <c r="BW93" s="1" t="s">
        <v>540</v>
      </c>
    </row>
    <row r="94" spans="1:75" x14ac:dyDescent="0.35">
      <c r="A94">
        <v>804</v>
      </c>
      <c r="B94" s="1" t="s">
        <v>75</v>
      </c>
      <c r="C94">
        <v>80</v>
      </c>
      <c r="D94">
        <v>11121001</v>
      </c>
      <c r="E94">
        <v>121001</v>
      </c>
      <c r="F94" s="1" t="s">
        <v>76</v>
      </c>
      <c r="G94" s="1" t="s">
        <v>722</v>
      </c>
      <c r="I94" s="1" t="s">
        <v>78</v>
      </c>
      <c r="J94" s="1" t="s">
        <v>723</v>
      </c>
      <c r="K94" s="1" t="s">
        <v>724</v>
      </c>
      <c r="L94" t="s">
        <v>91</v>
      </c>
      <c r="M94" t="s">
        <v>91</v>
      </c>
      <c r="N94" s="1" t="s">
        <v>725</v>
      </c>
      <c r="O94" t="s">
        <v>91</v>
      </c>
      <c r="P94" s="1" t="s">
        <v>726</v>
      </c>
      <c r="Q94" s="1" t="s">
        <v>727</v>
      </c>
      <c r="R94" s="1" t="s">
        <v>91</v>
      </c>
      <c r="S94">
        <v>1281</v>
      </c>
      <c r="T94">
        <v>89300000</v>
      </c>
      <c r="U94" s="1" t="s">
        <v>108</v>
      </c>
      <c r="V94" s="1" t="s">
        <v>314</v>
      </c>
      <c r="W94" s="1" t="s">
        <v>87</v>
      </c>
      <c r="X94">
        <v>47</v>
      </c>
      <c r="Y94">
        <v>36426375</v>
      </c>
      <c r="Z94" t="s">
        <v>91</v>
      </c>
      <c r="AA94" t="s">
        <v>91</v>
      </c>
      <c r="AB94" t="s">
        <v>91</v>
      </c>
      <c r="AC94" t="s">
        <v>91</v>
      </c>
      <c r="AD94" t="s">
        <v>91</v>
      </c>
      <c r="AE94" t="s">
        <v>91</v>
      </c>
      <c r="AF94" t="s">
        <v>91</v>
      </c>
      <c r="AG94" s="1" t="s">
        <v>91</v>
      </c>
      <c r="AH94" s="1" t="s">
        <v>91</v>
      </c>
      <c r="AI94" t="s">
        <v>91</v>
      </c>
      <c r="AJ94">
        <v>0</v>
      </c>
      <c r="AK94">
        <v>0</v>
      </c>
      <c r="AL94">
        <v>0</v>
      </c>
      <c r="AM94" t="s">
        <v>91</v>
      </c>
      <c r="AN94" t="s">
        <v>91</v>
      </c>
      <c r="AO94" t="s">
        <v>91</v>
      </c>
      <c r="AP94" t="s">
        <v>91</v>
      </c>
      <c r="AQ94" s="1" t="s">
        <v>91</v>
      </c>
      <c r="AR94" s="1" t="s">
        <v>91</v>
      </c>
      <c r="AS94" s="1" t="s">
        <v>91</v>
      </c>
      <c r="AT94" s="1" t="s">
        <v>91</v>
      </c>
      <c r="AU94" s="1" t="s">
        <v>91</v>
      </c>
      <c r="AV94" t="s">
        <v>91</v>
      </c>
      <c r="AW94" t="s">
        <v>91</v>
      </c>
      <c r="AX94" t="s">
        <v>91</v>
      </c>
      <c r="AY94" t="s">
        <v>91</v>
      </c>
      <c r="AZ94" t="s">
        <v>91</v>
      </c>
      <c r="BA94" t="s">
        <v>91</v>
      </c>
      <c r="BB94" s="2">
        <v>43308.392951388887</v>
      </c>
      <c r="BC94" s="2"/>
      <c r="BD94" t="s">
        <v>91</v>
      </c>
      <c r="BE94">
        <v>804</v>
      </c>
      <c r="BF94" s="1" t="s">
        <v>75</v>
      </c>
      <c r="BG94">
        <v>0</v>
      </c>
      <c r="BH94">
        <v>0</v>
      </c>
      <c r="BI94" s="1" t="s">
        <v>88</v>
      </c>
      <c r="BJ94">
        <v>1</v>
      </c>
      <c r="BK94" s="1" t="s">
        <v>89</v>
      </c>
      <c r="BL94" t="s">
        <v>91</v>
      </c>
      <c r="BM94" s="1" t="s">
        <v>109</v>
      </c>
      <c r="BN94" s="1" t="s">
        <v>110</v>
      </c>
      <c r="BO94" s="1" t="s">
        <v>111</v>
      </c>
      <c r="BP94" s="1" t="s">
        <v>91</v>
      </c>
      <c r="BQ94" t="s">
        <v>91</v>
      </c>
      <c r="BR94" s="3">
        <v>43308</v>
      </c>
      <c r="BS94" s="3"/>
      <c r="BT94" t="s">
        <v>91</v>
      </c>
      <c r="BU94" t="s">
        <v>91</v>
      </c>
      <c r="BV94">
        <v>6</v>
      </c>
      <c r="BW94" s="1" t="s">
        <v>728</v>
      </c>
    </row>
    <row r="95" spans="1:75" x14ac:dyDescent="0.35">
      <c r="A95">
        <v>157539</v>
      </c>
      <c r="B95" s="1" t="s">
        <v>75</v>
      </c>
      <c r="C95">
        <v>80</v>
      </c>
      <c r="D95">
        <v>11121001</v>
      </c>
      <c r="E95">
        <v>121001</v>
      </c>
      <c r="F95" s="1" t="s">
        <v>76</v>
      </c>
      <c r="G95" s="1" t="s">
        <v>729</v>
      </c>
      <c r="H95">
        <v>0</v>
      </c>
      <c r="I95" s="1" t="s">
        <v>78</v>
      </c>
      <c r="J95" s="1" t="s">
        <v>730</v>
      </c>
      <c r="K95" s="1" t="s">
        <v>731</v>
      </c>
      <c r="L95" t="s">
        <v>91</v>
      </c>
      <c r="M95" t="s">
        <v>91</v>
      </c>
      <c r="N95" s="1" t="s">
        <v>732</v>
      </c>
      <c r="O95" t="s">
        <v>91</v>
      </c>
      <c r="P95" s="1" t="s">
        <v>483</v>
      </c>
      <c r="Q95" s="1" t="s">
        <v>733</v>
      </c>
      <c r="R95" s="1" t="s">
        <v>734</v>
      </c>
      <c r="S95">
        <v>1287</v>
      </c>
      <c r="T95">
        <v>89802131</v>
      </c>
      <c r="U95" s="1" t="s">
        <v>108</v>
      </c>
      <c r="V95" s="1" t="s">
        <v>86</v>
      </c>
      <c r="W95" s="1" t="s">
        <v>87</v>
      </c>
      <c r="X95">
        <v>49</v>
      </c>
      <c r="Y95">
        <v>33162121</v>
      </c>
      <c r="Z95" t="s">
        <v>91</v>
      </c>
      <c r="AA95" t="s">
        <v>91</v>
      </c>
      <c r="AB95" t="s">
        <v>91</v>
      </c>
      <c r="AC95" t="s">
        <v>91</v>
      </c>
      <c r="AD95" t="s">
        <v>91</v>
      </c>
      <c r="AE95" t="s">
        <v>91</v>
      </c>
      <c r="AF95" t="s">
        <v>91</v>
      </c>
      <c r="AG95" s="1" t="s">
        <v>91</v>
      </c>
      <c r="AH95" s="1" t="s">
        <v>91</v>
      </c>
      <c r="AI95" t="s">
        <v>91</v>
      </c>
      <c r="AM95" t="s">
        <v>91</v>
      </c>
      <c r="AN95" t="s">
        <v>91</v>
      </c>
      <c r="AO95" t="s">
        <v>91</v>
      </c>
      <c r="AP95" t="s">
        <v>91</v>
      </c>
      <c r="AQ95" s="1" t="s">
        <v>91</v>
      </c>
      <c r="AR95" s="1" t="s">
        <v>91</v>
      </c>
      <c r="AS95" s="1" t="s">
        <v>91</v>
      </c>
      <c r="AT95" s="1" t="s">
        <v>91</v>
      </c>
      <c r="AU95" s="1" t="s">
        <v>91</v>
      </c>
      <c r="AV95" t="s">
        <v>91</v>
      </c>
      <c r="AW95" t="s">
        <v>91</v>
      </c>
      <c r="AX95" t="s">
        <v>91</v>
      </c>
      <c r="AY95" t="s">
        <v>91</v>
      </c>
      <c r="AZ95" t="s">
        <v>91</v>
      </c>
      <c r="BA95" t="s">
        <v>91</v>
      </c>
      <c r="BB95" s="2">
        <v>45118.093391203707</v>
      </c>
      <c r="BC95" s="2"/>
      <c r="BD95" t="s">
        <v>91</v>
      </c>
      <c r="BF95" s="1" t="s">
        <v>75</v>
      </c>
      <c r="BI95" s="1" t="s">
        <v>88</v>
      </c>
      <c r="BJ95">
        <v>1</v>
      </c>
      <c r="BK95" s="1" t="s">
        <v>89</v>
      </c>
      <c r="BL95" t="s">
        <v>91</v>
      </c>
      <c r="BM95" s="1" t="s">
        <v>91</v>
      </c>
      <c r="BN95" s="1" t="s">
        <v>91</v>
      </c>
      <c r="BO95" s="1" t="s">
        <v>91</v>
      </c>
      <c r="BP95" s="1" t="s">
        <v>91</v>
      </c>
      <c r="BQ95" t="s">
        <v>91</v>
      </c>
      <c r="BR95" s="3">
        <v>45118</v>
      </c>
      <c r="BS95" s="3"/>
      <c r="BT95" t="s">
        <v>91</v>
      </c>
      <c r="BU95" t="s">
        <v>91</v>
      </c>
      <c r="BW95" s="1" t="s">
        <v>735</v>
      </c>
    </row>
    <row r="96" spans="1:75" x14ac:dyDescent="0.35">
      <c r="A96">
        <v>138026</v>
      </c>
      <c r="B96" s="1" t="s">
        <v>75</v>
      </c>
      <c r="C96">
        <v>80</v>
      </c>
      <c r="D96">
        <v>11121001</v>
      </c>
      <c r="E96">
        <v>121001</v>
      </c>
      <c r="F96" s="1" t="s">
        <v>76</v>
      </c>
      <c r="G96" s="1" t="s">
        <v>736</v>
      </c>
      <c r="H96">
        <v>0</v>
      </c>
      <c r="I96" s="1" t="s">
        <v>78</v>
      </c>
      <c r="J96" s="1" t="s">
        <v>737</v>
      </c>
      <c r="K96" s="1" t="s">
        <v>738</v>
      </c>
      <c r="L96" t="s">
        <v>91</v>
      </c>
      <c r="M96" t="s">
        <v>91</v>
      </c>
      <c r="N96" s="1" t="s">
        <v>739</v>
      </c>
      <c r="O96" t="s">
        <v>91</v>
      </c>
      <c r="P96" s="1" t="s">
        <v>740</v>
      </c>
      <c r="Q96" s="1" t="s">
        <v>741</v>
      </c>
      <c r="R96" s="1" t="s">
        <v>91</v>
      </c>
      <c r="S96">
        <v>1284</v>
      </c>
      <c r="T96">
        <v>89520000</v>
      </c>
      <c r="U96" s="1" t="s">
        <v>343</v>
      </c>
      <c r="V96" s="1" t="s">
        <v>145</v>
      </c>
      <c r="W96" s="1" t="s">
        <v>87</v>
      </c>
      <c r="X96">
        <v>49</v>
      </c>
      <c r="Y96">
        <v>32450404</v>
      </c>
      <c r="Z96" t="s">
        <v>91</v>
      </c>
      <c r="AA96" t="s">
        <v>91</v>
      </c>
      <c r="AB96" t="s">
        <v>91</v>
      </c>
      <c r="AC96" t="s">
        <v>91</v>
      </c>
      <c r="AD96" t="s">
        <v>91</v>
      </c>
      <c r="AE96" t="s">
        <v>91</v>
      </c>
      <c r="AF96" t="s">
        <v>91</v>
      </c>
      <c r="AG96" s="1" t="s">
        <v>146</v>
      </c>
      <c r="AH96" s="1" t="s">
        <v>91</v>
      </c>
      <c r="AI96" t="s">
        <v>91</v>
      </c>
      <c r="AM96" t="s">
        <v>91</v>
      </c>
      <c r="AN96" t="s">
        <v>91</v>
      </c>
      <c r="AO96" t="s">
        <v>91</v>
      </c>
      <c r="AP96" t="s">
        <v>91</v>
      </c>
      <c r="AQ96" s="1" t="s">
        <v>147</v>
      </c>
      <c r="AR96" s="1" t="s">
        <v>147</v>
      </c>
      <c r="AS96" s="1" t="s">
        <v>147</v>
      </c>
      <c r="AT96" s="1" t="s">
        <v>147</v>
      </c>
      <c r="AU96" s="1" t="s">
        <v>147</v>
      </c>
      <c r="AV96" t="s">
        <v>91</v>
      </c>
      <c r="AW96" t="s">
        <v>91</v>
      </c>
      <c r="AX96" t="s">
        <v>91</v>
      </c>
      <c r="AY96" t="s">
        <v>91</v>
      </c>
      <c r="AZ96" t="s">
        <v>91</v>
      </c>
      <c r="BA96" t="s">
        <v>91</v>
      </c>
      <c r="BB96" s="2">
        <v>44378.578518518516</v>
      </c>
      <c r="BC96" s="2">
        <v>44734.474675925929</v>
      </c>
      <c r="BD96" t="s">
        <v>91</v>
      </c>
      <c r="BF96" s="1" t="s">
        <v>75</v>
      </c>
      <c r="BH96">
        <v>0</v>
      </c>
      <c r="BI96" s="1" t="s">
        <v>88</v>
      </c>
      <c r="BJ96">
        <v>1</v>
      </c>
      <c r="BK96" s="1" t="s">
        <v>89</v>
      </c>
      <c r="BL96" t="s">
        <v>91</v>
      </c>
      <c r="BM96" s="1" t="s">
        <v>329</v>
      </c>
      <c r="BN96" s="1" t="s">
        <v>110</v>
      </c>
      <c r="BO96" s="1" t="s">
        <v>165</v>
      </c>
      <c r="BP96" s="1" t="s">
        <v>91</v>
      </c>
      <c r="BQ96" t="s">
        <v>91</v>
      </c>
      <c r="BR96" s="3">
        <v>44378</v>
      </c>
      <c r="BS96" s="3">
        <v>44734</v>
      </c>
      <c r="BT96" t="s">
        <v>91</v>
      </c>
      <c r="BU96" t="s">
        <v>91</v>
      </c>
      <c r="BW96" s="1" t="s">
        <v>728</v>
      </c>
    </row>
    <row r="97" spans="1:75" x14ac:dyDescent="0.35">
      <c r="A97">
        <v>156754</v>
      </c>
      <c r="B97" s="1" t="s">
        <v>75</v>
      </c>
      <c r="C97">
        <v>80</v>
      </c>
      <c r="D97">
        <v>11121001</v>
      </c>
      <c r="E97">
        <v>121001</v>
      </c>
      <c r="F97" s="1" t="s">
        <v>76</v>
      </c>
      <c r="G97" s="1" t="s">
        <v>742</v>
      </c>
      <c r="H97">
        <v>0</v>
      </c>
      <c r="I97" s="1" t="s">
        <v>78</v>
      </c>
      <c r="J97" s="1" t="s">
        <v>743</v>
      </c>
      <c r="K97" s="1" t="s">
        <v>744</v>
      </c>
      <c r="L97" t="s">
        <v>91</v>
      </c>
      <c r="M97" t="s">
        <v>91</v>
      </c>
      <c r="N97" s="1" t="s">
        <v>745</v>
      </c>
      <c r="O97" t="s">
        <v>91</v>
      </c>
      <c r="P97" s="1" t="s">
        <v>105</v>
      </c>
      <c r="Q97" s="1" t="s">
        <v>746</v>
      </c>
      <c r="R97" s="1" t="s">
        <v>245</v>
      </c>
      <c r="S97">
        <v>1277</v>
      </c>
      <c r="T97">
        <v>89201000</v>
      </c>
      <c r="U97" s="1" t="s">
        <v>108</v>
      </c>
      <c r="V97" s="1" t="s">
        <v>100</v>
      </c>
      <c r="W97" s="1" t="s">
        <v>87</v>
      </c>
      <c r="X97">
        <v>47</v>
      </c>
      <c r="Y97">
        <v>32785398</v>
      </c>
      <c r="Z97" t="s">
        <v>91</v>
      </c>
      <c r="AA97" t="s">
        <v>91</v>
      </c>
      <c r="AB97" t="s">
        <v>91</v>
      </c>
      <c r="AC97" t="s">
        <v>91</v>
      </c>
      <c r="AD97" t="s">
        <v>91</v>
      </c>
      <c r="AE97" t="s">
        <v>91</v>
      </c>
      <c r="AF97" t="s">
        <v>91</v>
      </c>
      <c r="AG97" s="1" t="s">
        <v>91</v>
      </c>
      <c r="AH97" s="1" t="s">
        <v>91</v>
      </c>
      <c r="AI97" t="s">
        <v>91</v>
      </c>
      <c r="AM97" t="s">
        <v>91</v>
      </c>
      <c r="AN97" t="s">
        <v>91</v>
      </c>
      <c r="AO97" t="s">
        <v>91</v>
      </c>
      <c r="AP97" t="s">
        <v>91</v>
      </c>
      <c r="AQ97" s="1" t="s">
        <v>91</v>
      </c>
      <c r="AR97" s="1" t="s">
        <v>91</v>
      </c>
      <c r="AS97" s="1" t="s">
        <v>91</v>
      </c>
      <c r="AT97" s="1" t="s">
        <v>91</v>
      </c>
      <c r="AU97" s="1" t="s">
        <v>91</v>
      </c>
      <c r="AV97" t="s">
        <v>91</v>
      </c>
      <c r="AW97" t="s">
        <v>91</v>
      </c>
      <c r="AX97" t="s">
        <v>91</v>
      </c>
      <c r="AY97" t="s">
        <v>91</v>
      </c>
      <c r="AZ97" t="s">
        <v>91</v>
      </c>
      <c r="BA97" t="s">
        <v>91</v>
      </c>
      <c r="BB97" s="2">
        <v>45113.505416666667</v>
      </c>
      <c r="BC97" s="2"/>
      <c r="BD97" t="s">
        <v>91</v>
      </c>
      <c r="BF97" s="1" t="s">
        <v>75</v>
      </c>
      <c r="BI97" s="1" t="s">
        <v>88</v>
      </c>
      <c r="BJ97">
        <v>1</v>
      </c>
      <c r="BK97" s="1" t="s">
        <v>89</v>
      </c>
      <c r="BL97" t="s">
        <v>91</v>
      </c>
      <c r="BM97" s="1" t="s">
        <v>91</v>
      </c>
      <c r="BN97" s="1" t="s">
        <v>91</v>
      </c>
      <c r="BO97" s="1" t="s">
        <v>91</v>
      </c>
      <c r="BP97" s="1" t="s">
        <v>91</v>
      </c>
      <c r="BQ97" t="s">
        <v>91</v>
      </c>
      <c r="BR97" s="3">
        <v>45113</v>
      </c>
      <c r="BS97" s="3"/>
      <c r="BT97" t="s">
        <v>91</v>
      </c>
      <c r="BU97" t="s">
        <v>91</v>
      </c>
      <c r="BW97" s="1" t="s">
        <v>747</v>
      </c>
    </row>
    <row r="98" spans="1:75" x14ac:dyDescent="0.35">
      <c r="A98">
        <v>144510</v>
      </c>
      <c r="B98" s="1" t="s">
        <v>75</v>
      </c>
      <c r="C98">
        <v>80</v>
      </c>
      <c r="D98">
        <v>11121001</v>
      </c>
      <c r="E98">
        <v>121001</v>
      </c>
      <c r="F98" s="1" t="s">
        <v>76</v>
      </c>
      <c r="G98" s="1" t="s">
        <v>748</v>
      </c>
      <c r="I98" s="1" t="s">
        <v>78</v>
      </c>
      <c r="J98" s="1" t="s">
        <v>749</v>
      </c>
      <c r="K98" s="1" t="s">
        <v>750</v>
      </c>
      <c r="L98" t="s">
        <v>91</v>
      </c>
      <c r="M98" t="s">
        <v>91</v>
      </c>
      <c r="N98" s="1" t="s">
        <v>751</v>
      </c>
      <c r="O98" t="s">
        <v>91</v>
      </c>
      <c r="P98" s="1" t="s">
        <v>752</v>
      </c>
      <c r="Q98" s="1" t="s">
        <v>753</v>
      </c>
      <c r="R98" s="1" t="s">
        <v>327</v>
      </c>
      <c r="S98">
        <v>1282</v>
      </c>
      <c r="T98">
        <v>89440000</v>
      </c>
      <c r="U98" s="1" t="s">
        <v>108</v>
      </c>
      <c r="V98" s="1" t="s">
        <v>754</v>
      </c>
      <c r="W98" s="1" t="s">
        <v>87</v>
      </c>
      <c r="X98">
        <v>47</v>
      </c>
      <c r="Y98">
        <v>36251436</v>
      </c>
      <c r="Z98" t="s">
        <v>91</v>
      </c>
      <c r="AA98" t="s">
        <v>91</v>
      </c>
      <c r="AB98" t="s">
        <v>91</v>
      </c>
      <c r="AC98" t="s">
        <v>91</v>
      </c>
      <c r="AD98" t="s">
        <v>91</v>
      </c>
      <c r="AE98" t="s">
        <v>91</v>
      </c>
      <c r="AF98" t="s">
        <v>91</v>
      </c>
      <c r="AG98" s="1" t="s">
        <v>91</v>
      </c>
      <c r="AH98" s="1" t="s">
        <v>91</v>
      </c>
      <c r="AI98" t="s">
        <v>91</v>
      </c>
      <c r="AJ98">
        <v>0</v>
      </c>
      <c r="AK98">
        <v>0</v>
      </c>
      <c r="AL98">
        <v>0</v>
      </c>
      <c r="AM98" t="s">
        <v>91</v>
      </c>
      <c r="AN98" t="s">
        <v>91</v>
      </c>
      <c r="AO98" t="s">
        <v>91</v>
      </c>
      <c r="AP98" t="s">
        <v>91</v>
      </c>
      <c r="AQ98" s="1" t="s">
        <v>91</v>
      </c>
      <c r="AR98" s="1" t="s">
        <v>91</v>
      </c>
      <c r="AS98" s="1" t="s">
        <v>91</v>
      </c>
      <c r="AT98" s="1" t="s">
        <v>91</v>
      </c>
      <c r="AU98" s="1" t="s">
        <v>91</v>
      </c>
      <c r="AV98" t="s">
        <v>91</v>
      </c>
      <c r="AW98" t="s">
        <v>91</v>
      </c>
      <c r="AX98" t="s">
        <v>91</v>
      </c>
      <c r="AY98" t="s">
        <v>91</v>
      </c>
      <c r="AZ98" t="s">
        <v>91</v>
      </c>
      <c r="BA98" t="s">
        <v>91</v>
      </c>
      <c r="BB98" s="2"/>
      <c r="BC98" s="2"/>
      <c r="BD98" t="s">
        <v>91</v>
      </c>
      <c r="BF98" s="1" t="s">
        <v>75</v>
      </c>
      <c r="BG98">
        <v>0</v>
      </c>
      <c r="BH98">
        <v>0</v>
      </c>
      <c r="BI98" s="1" t="s">
        <v>88</v>
      </c>
      <c r="BJ98">
        <v>1</v>
      </c>
      <c r="BK98" s="1" t="s">
        <v>89</v>
      </c>
      <c r="BL98" t="s">
        <v>91</v>
      </c>
      <c r="BM98" s="1" t="s">
        <v>109</v>
      </c>
      <c r="BN98" s="1" t="s">
        <v>110</v>
      </c>
      <c r="BO98" s="1" t="s">
        <v>180</v>
      </c>
      <c r="BP98" s="1" t="s">
        <v>91</v>
      </c>
      <c r="BQ98" t="s">
        <v>91</v>
      </c>
      <c r="BR98" s="3"/>
      <c r="BS98" s="3"/>
      <c r="BT98" t="s">
        <v>91</v>
      </c>
      <c r="BU98" t="s">
        <v>91</v>
      </c>
      <c r="BV98">
        <v>9</v>
      </c>
      <c r="BW98" s="1" t="s">
        <v>90</v>
      </c>
    </row>
    <row r="99" spans="1:75" x14ac:dyDescent="0.35">
      <c r="A99">
        <v>139590</v>
      </c>
      <c r="B99" s="1" t="s">
        <v>75</v>
      </c>
      <c r="C99">
        <v>80</v>
      </c>
      <c r="D99">
        <v>11121001</v>
      </c>
      <c r="E99">
        <v>121001</v>
      </c>
      <c r="F99" s="1" t="s">
        <v>76</v>
      </c>
      <c r="G99" s="1" t="s">
        <v>755</v>
      </c>
      <c r="H99">
        <v>0</v>
      </c>
      <c r="I99" s="1" t="s">
        <v>78</v>
      </c>
      <c r="J99" s="1" t="s">
        <v>756</v>
      </c>
      <c r="K99" s="1" t="s">
        <v>757</v>
      </c>
      <c r="L99" t="s">
        <v>91</v>
      </c>
      <c r="M99" t="s">
        <v>91</v>
      </c>
      <c r="N99" s="1" t="s">
        <v>758</v>
      </c>
      <c r="O99" t="s">
        <v>91</v>
      </c>
      <c r="P99" s="1" t="s">
        <v>403</v>
      </c>
      <c r="Q99" s="1" t="s">
        <v>759</v>
      </c>
      <c r="R99" s="1" t="s">
        <v>91</v>
      </c>
      <c r="T99">
        <v>89801002</v>
      </c>
      <c r="U99" s="1" t="s">
        <v>108</v>
      </c>
      <c r="V99" s="1" t="s">
        <v>337</v>
      </c>
      <c r="W99" s="1" t="s">
        <v>87</v>
      </c>
      <c r="X99">
        <v>18</v>
      </c>
      <c r="Y99">
        <v>999783164</v>
      </c>
      <c r="Z99" t="s">
        <v>91</v>
      </c>
      <c r="AA99" t="s">
        <v>91</v>
      </c>
      <c r="AB99" t="s">
        <v>91</v>
      </c>
      <c r="AC99" t="s">
        <v>91</v>
      </c>
      <c r="AD99" t="s">
        <v>91</v>
      </c>
      <c r="AE99" t="s">
        <v>91</v>
      </c>
      <c r="AF99" t="s">
        <v>91</v>
      </c>
      <c r="AG99" s="1" t="s">
        <v>146</v>
      </c>
      <c r="AH99" s="1" t="s">
        <v>91</v>
      </c>
      <c r="AI99" t="s">
        <v>91</v>
      </c>
      <c r="AM99" t="s">
        <v>91</v>
      </c>
      <c r="AN99" t="s">
        <v>91</v>
      </c>
      <c r="AO99" t="s">
        <v>91</v>
      </c>
      <c r="AP99" t="s">
        <v>91</v>
      </c>
      <c r="AQ99" s="1" t="s">
        <v>147</v>
      </c>
      <c r="AR99" s="1" t="s">
        <v>147</v>
      </c>
      <c r="AS99" s="1" t="s">
        <v>147</v>
      </c>
      <c r="AT99" s="1" t="s">
        <v>147</v>
      </c>
      <c r="AU99" s="1" t="s">
        <v>147</v>
      </c>
      <c r="AV99" t="s">
        <v>91</v>
      </c>
      <c r="AW99" t="s">
        <v>91</v>
      </c>
      <c r="AX99" t="s">
        <v>91</v>
      </c>
      <c r="AY99" t="s">
        <v>91</v>
      </c>
      <c r="AZ99" t="s">
        <v>91</v>
      </c>
      <c r="BA99" t="s">
        <v>91</v>
      </c>
      <c r="BB99" s="2">
        <v>44417.501979166664</v>
      </c>
      <c r="BC99" s="2">
        <v>44663.488425925927</v>
      </c>
      <c r="BD99" t="s">
        <v>91</v>
      </c>
      <c r="BF99" s="1" t="s">
        <v>75</v>
      </c>
      <c r="BH99">
        <v>0</v>
      </c>
      <c r="BI99" s="1" t="s">
        <v>88</v>
      </c>
      <c r="BJ99">
        <v>1</v>
      </c>
      <c r="BK99" s="1" t="s">
        <v>89</v>
      </c>
      <c r="BL99" t="s">
        <v>91</v>
      </c>
      <c r="BM99" s="1" t="s">
        <v>109</v>
      </c>
      <c r="BN99" s="1" t="s">
        <v>110</v>
      </c>
      <c r="BO99" s="1" t="s">
        <v>128</v>
      </c>
      <c r="BP99" s="1" t="s">
        <v>91</v>
      </c>
      <c r="BQ99" t="s">
        <v>91</v>
      </c>
      <c r="BR99" s="3">
        <v>44417</v>
      </c>
      <c r="BS99" s="3">
        <v>44663</v>
      </c>
      <c r="BT99" t="s">
        <v>91</v>
      </c>
      <c r="BU99" t="s">
        <v>91</v>
      </c>
      <c r="BW99" s="1" t="s">
        <v>540</v>
      </c>
    </row>
    <row r="100" spans="1:75" x14ac:dyDescent="0.35">
      <c r="A100">
        <v>120395</v>
      </c>
      <c r="B100" s="1" t="s">
        <v>75</v>
      </c>
      <c r="C100">
        <v>80</v>
      </c>
      <c r="D100">
        <v>11121001</v>
      </c>
      <c r="E100">
        <v>121001</v>
      </c>
      <c r="F100" s="1" t="s">
        <v>76</v>
      </c>
      <c r="G100" s="1" t="s">
        <v>760</v>
      </c>
      <c r="H100">
        <v>0</v>
      </c>
      <c r="I100" s="1" t="s">
        <v>78</v>
      </c>
      <c r="J100" s="1" t="s">
        <v>761</v>
      </c>
      <c r="K100" s="1" t="s">
        <v>762</v>
      </c>
      <c r="L100" t="s">
        <v>91</v>
      </c>
      <c r="M100" t="s">
        <v>91</v>
      </c>
      <c r="N100" s="1" t="s">
        <v>763</v>
      </c>
      <c r="O100" t="s">
        <v>91</v>
      </c>
      <c r="P100" s="1" t="s">
        <v>448</v>
      </c>
      <c r="Q100" s="1" t="s">
        <v>764</v>
      </c>
      <c r="R100" s="1" t="s">
        <v>236</v>
      </c>
      <c r="S100">
        <v>1284</v>
      </c>
      <c r="T100">
        <v>89500000</v>
      </c>
      <c r="U100" s="1" t="s">
        <v>108</v>
      </c>
      <c r="V100" s="1" t="s">
        <v>527</v>
      </c>
      <c r="W100" s="1" t="s">
        <v>87</v>
      </c>
      <c r="X100">
        <v>49</v>
      </c>
      <c r="Y100">
        <v>35639750</v>
      </c>
      <c r="Z100" t="s">
        <v>91</v>
      </c>
      <c r="AA100" t="s">
        <v>91</v>
      </c>
      <c r="AB100" t="s">
        <v>91</v>
      </c>
      <c r="AC100" t="s">
        <v>91</v>
      </c>
      <c r="AD100" t="s">
        <v>91</v>
      </c>
      <c r="AE100" t="s">
        <v>91</v>
      </c>
      <c r="AF100" t="s">
        <v>91</v>
      </c>
      <c r="AG100" s="1" t="s">
        <v>91</v>
      </c>
      <c r="AH100" s="1" t="s">
        <v>91</v>
      </c>
      <c r="AI100" t="s">
        <v>91</v>
      </c>
      <c r="AJ100">
        <v>0</v>
      </c>
      <c r="AK100">
        <v>0</v>
      </c>
      <c r="AL100">
        <v>0</v>
      </c>
      <c r="AM100" t="s">
        <v>91</v>
      </c>
      <c r="AN100" t="s">
        <v>91</v>
      </c>
      <c r="AO100" t="s">
        <v>91</v>
      </c>
      <c r="AP100" t="s">
        <v>91</v>
      </c>
      <c r="AQ100" s="1" t="s">
        <v>91</v>
      </c>
      <c r="AR100" s="1" t="s">
        <v>91</v>
      </c>
      <c r="AS100" s="1" t="s">
        <v>91</v>
      </c>
      <c r="AT100" s="1" t="s">
        <v>91</v>
      </c>
      <c r="AU100" s="1" t="s">
        <v>91</v>
      </c>
      <c r="AV100" t="s">
        <v>91</v>
      </c>
      <c r="AW100" t="s">
        <v>91</v>
      </c>
      <c r="AX100" t="s">
        <v>91</v>
      </c>
      <c r="AY100" t="s">
        <v>91</v>
      </c>
      <c r="AZ100" t="s">
        <v>91</v>
      </c>
      <c r="BA100" t="s">
        <v>91</v>
      </c>
      <c r="BB100" s="2">
        <v>44092.925393518519</v>
      </c>
      <c r="BC100" s="2"/>
      <c r="BD100" t="s">
        <v>91</v>
      </c>
      <c r="BF100" s="1" t="s">
        <v>75</v>
      </c>
      <c r="BG100">
        <v>0</v>
      </c>
      <c r="BH100">
        <v>0</v>
      </c>
      <c r="BI100" s="1" t="s">
        <v>88</v>
      </c>
      <c r="BJ100">
        <v>1</v>
      </c>
      <c r="BK100" s="1" t="s">
        <v>89</v>
      </c>
      <c r="BL100" t="s">
        <v>91</v>
      </c>
      <c r="BM100" s="1" t="s">
        <v>329</v>
      </c>
      <c r="BN100" s="1" t="s">
        <v>110</v>
      </c>
      <c r="BO100" s="1" t="s">
        <v>165</v>
      </c>
      <c r="BP100" s="1" t="s">
        <v>91</v>
      </c>
      <c r="BQ100" t="s">
        <v>91</v>
      </c>
      <c r="BR100" s="3">
        <v>44092</v>
      </c>
      <c r="BS100" s="3"/>
      <c r="BT100" t="s">
        <v>91</v>
      </c>
      <c r="BU100" t="s">
        <v>91</v>
      </c>
      <c r="BV100">
        <v>3</v>
      </c>
      <c r="BW100" s="1" t="s">
        <v>90</v>
      </c>
    </row>
    <row r="101" spans="1:75" x14ac:dyDescent="0.35">
      <c r="A101">
        <v>156770</v>
      </c>
      <c r="B101" s="1" t="s">
        <v>75</v>
      </c>
      <c r="C101">
        <v>80</v>
      </c>
      <c r="D101">
        <v>11121001</v>
      </c>
      <c r="E101">
        <v>121001</v>
      </c>
      <c r="F101" s="1" t="s">
        <v>76</v>
      </c>
      <c r="G101" s="1" t="s">
        <v>765</v>
      </c>
      <c r="H101">
        <v>0</v>
      </c>
      <c r="I101" s="1" t="s">
        <v>78</v>
      </c>
      <c r="J101" s="1" t="s">
        <v>766</v>
      </c>
      <c r="K101" s="1" t="s">
        <v>767</v>
      </c>
      <c r="L101" t="s">
        <v>91</v>
      </c>
      <c r="M101" t="s">
        <v>91</v>
      </c>
      <c r="N101" s="1" t="s">
        <v>768</v>
      </c>
      <c r="O101" t="s">
        <v>91</v>
      </c>
      <c r="P101" s="1" t="s">
        <v>769</v>
      </c>
      <c r="Q101" s="1" t="s">
        <v>770</v>
      </c>
      <c r="R101" s="1" t="s">
        <v>98</v>
      </c>
      <c r="S101">
        <v>1280</v>
      </c>
      <c r="T101">
        <v>89251600</v>
      </c>
      <c r="U101" s="1" t="s">
        <v>108</v>
      </c>
      <c r="V101" s="1" t="s">
        <v>302</v>
      </c>
      <c r="W101" s="1" t="s">
        <v>87</v>
      </c>
      <c r="X101">
        <v>47</v>
      </c>
      <c r="Y101">
        <v>30841423</v>
      </c>
      <c r="Z101" t="s">
        <v>91</v>
      </c>
      <c r="AA101" t="s">
        <v>91</v>
      </c>
      <c r="AB101" t="s">
        <v>91</v>
      </c>
      <c r="AC101" t="s">
        <v>91</v>
      </c>
      <c r="AD101" t="s">
        <v>91</v>
      </c>
      <c r="AE101" t="s">
        <v>91</v>
      </c>
      <c r="AF101" t="s">
        <v>91</v>
      </c>
      <c r="AG101" s="1" t="s">
        <v>91</v>
      </c>
      <c r="AH101" s="1" t="s">
        <v>91</v>
      </c>
      <c r="AI101" t="s">
        <v>91</v>
      </c>
      <c r="AM101" t="s">
        <v>91</v>
      </c>
      <c r="AN101" t="s">
        <v>91</v>
      </c>
      <c r="AO101" t="s">
        <v>91</v>
      </c>
      <c r="AP101" t="s">
        <v>91</v>
      </c>
      <c r="AQ101" s="1" t="s">
        <v>91</v>
      </c>
      <c r="AR101" s="1" t="s">
        <v>91</v>
      </c>
      <c r="AS101" s="1" t="s">
        <v>91</v>
      </c>
      <c r="AT101" s="1" t="s">
        <v>91</v>
      </c>
      <c r="AU101" s="1" t="s">
        <v>91</v>
      </c>
      <c r="AV101" t="s">
        <v>91</v>
      </c>
      <c r="AW101" t="s">
        <v>91</v>
      </c>
      <c r="AX101" t="s">
        <v>91</v>
      </c>
      <c r="AY101" t="s">
        <v>91</v>
      </c>
      <c r="AZ101" t="s">
        <v>91</v>
      </c>
      <c r="BA101" t="s">
        <v>91</v>
      </c>
      <c r="BB101" s="2">
        <v>45113.505416666667</v>
      </c>
      <c r="BC101" s="2"/>
      <c r="BD101" t="s">
        <v>91</v>
      </c>
      <c r="BF101" s="1" t="s">
        <v>75</v>
      </c>
      <c r="BI101" s="1" t="s">
        <v>88</v>
      </c>
      <c r="BJ101">
        <v>1</v>
      </c>
      <c r="BK101" s="1" t="s">
        <v>89</v>
      </c>
      <c r="BL101" t="s">
        <v>91</v>
      </c>
      <c r="BM101" s="1" t="s">
        <v>91</v>
      </c>
      <c r="BN101" s="1" t="s">
        <v>91</v>
      </c>
      <c r="BO101" s="1" t="s">
        <v>91</v>
      </c>
      <c r="BP101" s="1" t="s">
        <v>91</v>
      </c>
      <c r="BQ101" t="s">
        <v>91</v>
      </c>
      <c r="BR101" s="3">
        <v>45113</v>
      </c>
      <c r="BS101" s="3"/>
      <c r="BT101" t="s">
        <v>91</v>
      </c>
      <c r="BU101" t="s">
        <v>91</v>
      </c>
      <c r="BW101" s="1" t="s">
        <v>90</v>
      </c>
    </row>
    <row r="102" spans="1:75" x14ac:dyDescent="0.35">
      <c r="A102">
        <v>156803</v>
      </c>
      <c r="B102" s="1" t="s">
        <v>75</v>
      </c>
      <c r="C102">
        <v>80</v>
      </c>
      <c r="D102">
        <v>11121001</v>
      </c>
      <c r="E102">
        <v>121001</v>
      </c>
      <c r="F102" s="1" t="s">
        <v>76</v>
      </c>
      <c r="G102" s="1" t="s">
        <v>771</v>
      </c>
      <c r="H102">
        <v>0</v>
      </c>
      <c r="I102" s="1" t="s">
        <v>78</v>
      </c>
      <c r="J102" s="1" t="s">
        <v>772</v>
      </c>
      <c r="K102" s="1" t="s">
        <v>773</v>
      </c>
      <c r="L102" t="s">
        <v>91</v>
      </c>
      <c r="M102" t="s">
        <v>91</v>
      </c>
      <c r="N102" s="1" t="s">
        <v>774</v>
      </c>
      <c r="O102" t="s">
        <v>91</v>
      </c>
      <c r="P102" s="1" t="s">
        <v>775</v>
      </c>
      <c r="Q102" s="1" t="s">
        <v>776</v>
      </c>
      <c r="R102" s="1" t="s">
        <v>91</v>
      </c>
      <c r="S102">
        <v>1283</v>
      </c>
      <c r="T102">
        <v>89460000</v>
      </c>
      <c r="U102" s="1" t="s">
        <v>108</v>
      </c>
      <c r="V102" s="1" t="s">
        <v>777</v>
      </c>
      <c r="W102" s="1" t="s">
        <v>87</v>
      </c>
      <c r="Z102" t="s">
        <v>91</v>
      </c>
      <c r="AA102" t="s">
        <v>91</v>
      </c>
      <c r="AB102" t="s">
        <v>91</v>
      </c>
      <c r="AC102" t="s">
        <v>91</v>
      </c>
      <c r="AD102" t="s">
        <v>91</v>
      </c>
      <c r="AE102" t="s">
        <v>91</v>
      </c>
      <c r="AF102" t="s">
        <v>91</v>
      </c>
      <c r="AG102" s="1" t="s">
        <v>91</v>
      </c>
      <c r="AH102" s="1" t="s">
        <v>91</v>
      </c>
      <c r="AI102" t="s">
        <v>91</v>
      </c>
      <c r="AM102" t="s">
        <v>91</v>
      </c>
      <c r="AN102" t="s">
        <v>91</v>
      </c>
      <c r="AO102" t="s">
        <v>91</v>
      </c>
      <c r="AP102" t="s">
        <v>91</v>
      </c>
      <c r="AQ102" s="1" t="s">
        <v>91</v>
      </c>
      <c r="AR102" s="1" t="s">
        <v>91</v>
      </c>
      <c r="AS102" s="1" t="s">
        <v>91</v>
      </c>
      <c r="AT102" s="1" t="s">
        <v>91</v>
      </c>
      <c r="AU102" s="1" t="s">
        <v>91</v>
      </c>
      <c r="AV102" t="s">
        <v>91</v>
      </c>
      <c r="AW102" t="s">
        <v>91</v>
      </c>
      <c r="AX102" t="s">
        <v>91</v>
      </c>
      <c r="AY102" t="s">
        <v>91</v>
      </c>
      <c r="AZ102" t="s">
        <v>91</v>
      </c>
      <c r="BA102" t="s">
        <v>91</v>
      </c>
      <c r="BB102" s="2">
        <v>45113.505416666667</v>
      </c>
      <c r="BC102" s="2"/>
      <c r="BD102" t="s">
        <v>91</v>
      </c>
      <c r="BF102" s="1" t="s">
        <v>75</v>
      </c>
      <c r="BI102" s="1" t="s">
        <v>88</v>
      </c>
      <c r="BJ102">
        <v>1</v>
      </c>
      <c r="BK102" s="1" t="s">
        <v>89</v>
      </c>
      <c r="BL102" t="s">
        <v>91</v>
      </c>
      <c r="BM102" s="1" t="s">
        <v>91</v>
      </c>
      <c r="BN102" s="1" t="s">
        <v>91</v>
      </c>
      <c r="BO102" s="1" t="s">
        <v>91</v>
      </c>
      <c r="BP102" s="1" t="s">
        <v>91</v>
      </c>
      <c r="BQ102" t="s">
        <v>91</v>
      </c>
      <c r="BR102" s="3">
        <v>45113</v>
      </c>
      <c r="BS102" s="3"/>
      <c r="BT102" t="s">
        <v>91</v>
      </c>
      <c r="BU102" t="s">
        <v>91</v>
      </c>
      <c r="BW102" s="1" t="s">
        <v>90</v>
      </c>
    </row>
    <row r="103" spans="1:75" x14ac:dyDescent="0.35">
      <c r="A103">
        <v>157527</v>
      </c>
      <c r="B103" s="1" t="s">
        <v>75</v>
      </c>
      <c r="C103">
        <v>80</v>
      </c>
      <c r="D103">
        <v>11121001</v>
      </c>
      <c r="E103">
        <v>121001</v>
      </c>
      <c r="F103" s="1" t="s">
        <v>76</v>
      </c>
      <c r="G103" s="1" t="s">
        <v>778</v>
      </c>
      <c r="H103">
        <v>0</v>
      </c>
      <c r="I103" s="1" t="s">
        <v>78</v>
      </c>
      <c r="J103" s="1" t="s">
        <v>779</v>
      </c>
      <c r="K103" s="1" t="s">
        <v>780</v>
      </c>
      <c r="L103" t="s">
        <v>91</v>
      </c>
      <c r="M103" t="s">
        <v>91</v>
      </c>
      <c r="N103" s="1" t="s">
        <v>781</v>
      </c>
      <c r="O103" t="s">
        <v>91</v>
      </c>
      <c r="P103" s="1" t="s">
        <v>782</v>
      </c>
      <c r="Q103" s="1" t="s">
        <v>783</v>
      </c>
      <c r="R103" s="1" t="s">
        <v>91</v>
      </c>
      <c r="T103">
        <v>89613000</v>
      </c>
      <c r="U103" s="1" t="s">
        <v>108</v>
      </c>
      <c r="V103" s="1" t="s">
        <v>784</v>
      </c>
      <c r="W103" s="1" t="s">
        <v>87</v>
      </c>
      <c r="X103">
        <v>49</v>
      </c>
      <c r="Y103">
        <v>35422000</v>
      </c>
      <c r="Z103" t="s">
        <v>91</v>
      </c>
      <c r="AA103" t="s">
        <v>91</v>
      </c>
      <c r="AB103" t="s">
        <v>91</v>
      </c>
      <c r="AC103" t="s">
        <v>91</v>
      </c>
      <c r="AD103" t="s">
        <v>91</v>
      </c>
      <c r="AE103" t="s">
        <v>91</v>
      </c>
      <c r="AF103" t="s">
        <v>91</v>
      </c>
      <c r="AG103" s="1" t="s">
        <v>91</v>
      </c>
      <c r="AH103" s="1" t="s">
        <v>91</v>
      </c>
      <c r="AI103" t="s">
        <v>91</v>
      </c>
      <c r="AM103" t="s">
        <v>91</v>
      </c>
      <c r="AN103" t="s">
        <v>91</v>
      </c>
      <c r="AO103" t="s">
        <v>91</v>
      </c>
      <c r="AP103" t="s">
        <v>91</v>
      </c>
      <c r="AQ103" s="1" t="s">
        <v>91</v>
      </c>
      <c r="AR103" s="1" t="s">
        <v>91</v>
      </c>
      <c r="AS103" s="1" t="s">
        <v>91</v>
      </c>
      <c r="AT103" s="1" t="s">
        <v>91</v>
      </c>
      <c r="AU103" s="1" t="s">
        <v>91</v>
      </c>
      <c r="AV103" t="s">
        <v>91</v>
      </c>
      <c r="AW103" t="s">
        <v>91</v>
      </c>
      <c r="AX103" t="s">
        <v>91</v>
      </c>
      <c r="AY103" t="s">
        <v>91</v>
      </c>
      <c r="AZ103" t="s">
        <v>91</v>
      </c>
      <c r="BA103" t="s">
        <v>91</v>
      </c>
      <c r="BB103" s="2">
        <v>45118.093391203707</v>
      </c>
      <c r="BC103" s="2"/>
      <c r="BD103" t="s">
        <v>91</v>
      </c>
      <c r="BF103" s="1" t="s">
        <v>75</v>
      </c>
      <c r="BI103" s="1" t="s">
        <v>88</v>
      </c>
      <c r="BJ103">
        <v>1</v>
      </c>
      <c r="BK103" s="1" t="s">
        <v>89</v>
      </c>
      <c r="BL103" t="s">
        <v>91</v>
      </c>
      <c r="BM103" s="1" t="s">
        <v>91</v>
      </c>
      <c r="BN103" s="1" t="s">
        <v>91</v>
      </c>
      <c r="BO103" s="1" t="s">
        <v>91</v>
      </c>
      <c r="BP103" s="1" t="s">
        <v>91</v>
      </c>
      <c r="BQ103" t="s">
        <v>91</v>
      </c>
      <c r="BR103" s="3">
        <v>45118</v>
      </c>
      <c r="BS103" s="3"/>
      <c r="BT103" t="s">
        <v>91</v>
      </c>
      <c r="BU103" t="s">
        <v>91</v>
      </c>
      <c r="BW103" s="1" t="s">
        <v>90</v>
      </c>
    </row>
    <row r="104" spans="1:75" x14ac:dyDescent="0.35">
      <c r="A104">
        <v>144639</v>
      </c>
      <c r="B104" s="1" t="s">
        <v>75</v>
      </c>
      <c r="C104">
        <v>80</v>
      </c>
      <c r="D104">
        <v>11121001</v>
      </c>
      <c r="E104">
        <v>121001</v>
      </c>
      <c r="F104" s="1" t="s">
        <v>76</v>
      </c>
      <c r="G104" s="1" t="s">
        <v>785</v>
      </c>
      <c r="I104" s="1" t="s">
        <v>78</v>
      </c>
      <c r="J104" s="1" t="s">
        <v>786</v>
      </c>
      <c r="K104" s="1" t="s">
        <v>787</v>
      </c>
      <c r="L104" t="s">
        <v>91</v>
      </c>
      <c r="M104" t="s">
        <v>91</v>
      </c>
      <c r="N104" s="1" t="s">
        <v>788</v>
      </c>
      <c r="O104" t="s">
        <v>91</v>
      </c>
      <c r="P104" s="1" t="s">
        <v>789</v>
      </c>
      <c r="Q104" s="1" t="s">
        <v>790</v>
      </c>
      <c r="R104" s="1" t="s">
        <v>370</v>
      </c>
      <c r="T104">
        <v>89227004</v>
      </c>
      <c r="U104" s="1" t="s">
        <v>426</v>
      </c>
      <c r="V104" s="1" t="s">
        <v>100</v>
      </c>
      <c r="W104" s="1" t="s">
        <v>87</v>
      </c>
      <c r="X104">
        <v>47</v>
      </c>
      <c r="Y104">
        <v>30280256</v>
      </c>
      <c r="Z104" t="s">
        <v>91</v>
      </c>
      <c r="AA104" t="s">
        <v>91</v>
      </c>
      <c r="AB104" t="s">
        <v>91</v>
      </c>
      <c r="AC104" t="s">
        <v>91</v>
      </c>
      <c r="AD104" t="s">
        <v>91</v>
      </c>
      <c r="AE104" t="s">
        <v>91</v>
      </c>
      <c r="AF104" t="s">
        <v>91</v>
      </c>
      <c r="AG104" s="1" t="s">
        <v>91</v>
      </c>
      <c r="AH104" s="1" t="s">
        <v>91</v>
      </c>
      <c r="AI104" t="s">
        <v>91</v>
      </c>
      <c r="AJ104">
        <v>0</v>
      </c>
      <c r="AK104">
        <v>0</v>
      </c>
      <c r="AL104">
        <v>0</v>
      </c>
      <c r="AM104" t="s">
        <v>91</v>
      </c>
      <c r="AN104" t="s">
        <v>91</v>
      </c>
      <c r="AO104" t="s">
        <v>91</v>
      </c>
      <c r="AP104" t="s">
        <v>91</v>
      </c>
      <c r="AQ104" s="1" t="s">
        <v>91</v>
      </c>
      <c r="AR104" s="1" t="s">
        <v>91</v>
      </c>
      <c r="AS104" s="1" t="s">
        <v>91</v>
      </c>
      <c r="AT104" s="1" t="s">
        <v>91</v>
      </c>
      <c r="AU104" s="1" t="s">
        <v>91</v>
      </c>
      <c r="AV104" t="s">
        <v>91</v>
      </c>
      <c r="AW104" t="s">
        <v>91</v>
      </c>
      <c r="AX104" t="s">
        <v>91</v>
      </c>
      <c r="AY104" t="s">
        <v>91</v>
      </c>
      <c r="AZ104" t="s">
        <v>91</v>
      </c>
      <c r="BA104" t="s">
        <v>91</v>
      </c>
      <c r="BB104" s="2"/>
      <c r="BC104" s="2"/>
      <c r="BD104" t="s">
        <v>91</v>
      </c>
      <c r="BF104" s="1" t="s">
        <v>75</v>
      </c>
      <c r="BG104">
        <v>0</v>
      </c>
      <c r="BH104">
        <v>0</v>
      </c>
      <c r="BI104" s="1" t="s">
        <v>88</v>
      </c>
      <c r="BJ104">
        <v>1</v>
      </c>
      <c r="BK104" s="1" t="s">
        <v>89</v>
      </c>
      <c r="BL104" t="s">
        <v>91</v>
      </c>
      <c r="BM104" s="1" t="s">
        <v>109</v>
      </c>
      <c r="BN104" s="1" t="s">
        <v>110</v>
      </c>
      <c r="BO104" s="1" t="s">
        <v>180</v>
      </c>
      <c r="BP104" s="1" t="s">
        <v>91</v>
      </c>
      <c r="BQ104" t="s">
        <v>91</v>
      </c>
      <c r="BR104" s="3"/>
      <c r="BS104" s="3"/>
      <c r="BT104" t="s">
        <v>91</v>
      </c>
      <c r="BU104" t="s">
        <v>91</v>
      </c>
      <c r="BV104">
        <v>9</v>
      </c>
      <c r="BW104" s="1" t="s">
        <v>83</v>
      </c>
    </row>
    <row r="105" spans="1:75" x14ac:dyDescent="0.35">
      <c r="A105">
        <v>156745</v>
      </c>
      <c r="B105" s="1" t="s">
        <v>75</v>
      </c>
      <c r="C105">
        <v>80</v>
      </c>
      <c r="D105">
        <v>11121001</v>
      </c>
      <c r="E105">
        <v>121001</v>
      </c>
      <c r="F105" s="1" t="s">
        <v>76</v>
      </c>
      <c r="G105" s="1" t="s">
        <v>791</v>
      </c>
      <c r="H105">
        <v>0</v>
      </c>
      <c r="I105" s="1" t="s">
        <v>78</v>
      </c>
      <c r="J105" s="1" t="s">
        <v>792</v>
      </c>
      <c r="K105" s="1" t="s">
        <v>793</v>
      </c>
      <c r="L105" t="s">
        <v>91</v>
      </c>
      <c r="M105" t="s">
        <v>91</v>
      </c>
      <c r="N105" s="1" t="s">
        <v>794</v>
      </c>
      <c r="O105" t="s">
        <v>91</v>
      </c>
      <c r="P105" s="1" t="s">
        <v>795</v>
      </c>
      <c r="Q105" s="1" t="s">
        <v>747</v>
      </c>
      <c r="R105" s="1" t="s">
        <v>796</v>
      </c>
      <c r="S105">
        <v>1280</v>
      </c>
      <c r="T105">
        <v>89245000</v>
      </c>
      <c r="U105" s="1" t="s">
        <v>797</v>
      </c>
      <c r="V105" s="1" t="s">
        <v>798</v>
      </c>
      <c r="W105" s="1" t="s">
        <v>87</v>
      </c>
      <c r="X105">
        <v>47</v>
      </c>
      <c r="Y105">
        <v>999727543</v>
      </c>
      <c r="Z105" t="s">
        <v>91</v>
      </c>
      <c r="AA105" t="s">
        <v>91</v>
      </c>
      <c r="AB105" t="s">
        <v>91</v>
      </c>
      <c r="AC105" t="s">
        <v>91</v>
      </c>
      <c r="AD105" t="s">
        <v>91</v>
      </c>
      <c r="AE105" t="s">
        <v>91</v>
      </c>
      <c r="AF105" t="s">
        <v>91</v>
      </c>
      <c r="AG105" s="1" t="s">
        <v>91</v>
      </c>
      <c r="AH105" s="1" t="s">
        <v>91</v>
      </c>
      <c r="AI105" t="s">
        <v>91</v>
      </c>
      <c r="AM105" t="s">
        <v>91</v>
      </c>
      <c r="AN105" t="s">
        <v>91</v>
      </c>
      <c r="AO105" t="s">
        <v>91</v>
      </c>
      <c r="AP105" t="s">
        <v>91</v>
      </c>
      <c r="AQ105" s="1" t="s">
        <v>91</v>
      </c>
      <c r="AR105" s="1" t="s">
        <v>91</v>
      </c>
      <c r="AS105" s="1" t="s">
        <v>91</v>
      </c>
      <c r="AT105" s="1" t="s">
        <v>91</v>
      </c>
      <c r="AU105" s="1" t="s">
        <v>91</v>
      </c>
      <c r="AV105" t="s">
        <v>91</v>
      </c>
      <c r="AW105" t="s">
        <v>91</v>
      </c>
      <c r="AX105" t="s">
        <v>91</v>
      </c>
      <c r="AY105" t="s">
        <v>91</v>
      </c>
      <c r="AZ105" t="s">
        <v>91</v>
      </c>
      <c r="BA105" t="s">
        <v>91</v>
      </c>
      <c r="BB105" s="2">
        <v>45113.505416666667</v>
      </c>
      <c r="BC105" s="2"/>
      <c r="BD105" t="s">
        <v>91</v>
      </c>
      <c r="BF105" s="1" t="s">
        <v>75</v>
      </c>
      <c r="BI105" s="1" t="s">
        <v>88</v>
      </c>
      <c r="BJ105">
        <v>1</v>
      </c>
      <c r="BK105" s="1" t="s">
        <v>89</v>
      </c>
      <c r="BL105" t="s">
        <v>91</v>
      </c>
      <c r="BM105" s="1" t="s">
        <v>91</v>
      </c>
      <c r="BN105" s="1" t="s">
        <v>91</v>
      </c>
      <c r="BO105" s="1" t="s">
        <v>91</v>
      </c>
      <c r="BP105" s="1" t="s">
        <v>91</v>
      </c>
      <c r="BQ105" t="s">
        <v>91</v>
      </c>
      <c r="BR105" s="3">
        <v>45113</v>
      </c>
      <c r="BS105" s="3"/>
      <c r="BT105" t="s">
        <v>91</v>
      </c>
      <c r="BU105" t="s">
        <v>91</v>
      </c>
      <c r="BW105" s="1" t="s">
        <v>90</v>
      </c>
    </row>
    <row r="106" spans="1:75" x14ac:dyDescent="0.35">
      <c r="A106">
        <v>138035</v>
      </c>
      <c r="B106" s="1" t="s">
        <v>75</v>
      </c>
      <c r="C106">
        <v>80</v>
      </c>
      <c r="D106">
        <v>11121001</v>
      </c>
      <c r="E106">
        <v>121001</v>
      </c>
      <c r="F106" s="1" t="s">
        <v>76</v>
      </c>
      <c r="G106" s="1" t="s">
        <v>799</v>
      </c>
      <c r="H106">
        <v>0</v>
      </c>
      <c r="I106" s="1" t="s">
        <v>78</v>
      </c>
      <c r="J106" s="1" t="s">
        <v>800</v>
      </c>
      <c r="K106" s="1" t="s">
        <v>801</v>
      </c>
      <c r="L106" t="s">
        <v>91</v>
      </c>
      <c r="M106" t="s">
        <v>91</v>
      </c>
      <c r="N106" s="1" t="s">
        <v>802</v>
      </c>
      <c r="O106" t="s">
        <v>91</v>
      </c>
      <c r="P106" s="1" t="s">
        <v>803</v>
      </c>
      <c r="Q106" s="1" t="s">
        <v>804</v>
      </c>
      <c r="R106" s="1" t="s">
        <v>91</v>
      </c>
      <c r="T106">
        <v>89700079</v>
      </c>
      <c r="U106" s="1" t="s">
        <v>108</v>
      </c>
      <c r="V106" s="1" t="s">
        <v>435</v>
      </c>
      <c r="W106" s="1" t="s">
        <v>87</v>
      </c>
      <c r="X106">
        <v>49</v>
      </c>
      <c r="Y106">
        <v>34259596</v>
      </c>
      <c r="Z106" t="s">
        <v>91</v>
      </c>
      <c r="AA106" t="s">
        <v>91</v>
      </c>
      <c r="AB106" t="s">
        <v>91</v>
      </c>
      <c r="AC106" t="s">
        <v>91</v>
      </c>
      <c r="AD106" t="s">
        <v>91</v>
      </c>
      <c r="AE106" t="s">
        <v>91</v>
      </c>
      <c r="AF106" t="s">
        <v>91</v>
      </c>
      <c r="AG106" s="1" t="s">
        <v>91</v>
      </c>
      <c r="AH106" s="1" t="s">
        <v>91</v>
      </c>
      <c r="AI106" t="s">
        <v>91</v>
      </c>
      <c r="AM106" t="s">
        <v>91</v>
      </c>
      <c r="AN106" t="s">
        <v>91</v>
      </c>
      <c r="AO106" t="s">
        <v>91</v>
      </c>
      <c r="AP106" t="s">
        <v>91</v>
      </c>
      <c r="AQ106" s="1" t="s">
        <v>91</v>
      </c>
      <c r="AR106" s="1" t="s">
        <v>91</v>
      </c>
      <c r="AS106" s="1" t="s">
        <v>91</v>
      </c>
      <c r="AT106" s="1" t="s">
        <v>91</v>
      </c>
      <c r="AU106" s="1" t="s">
        <v>91</v>
      </c>
      <c r="AV106" t="s">
        <v>91</v>
      </c>
      <c r="AW106" t="s">
        <v>91</v>
      </c>
      <c r="AX106" t="s">
        <v>91</v>
      </c>
      <c r="AY106" t="s">
        <v>91</v>
      </c>
      <c r="AZ106" t="s">
        <v>91</v>
      </c>
      <c r="BA106" t="s">
        <v>91</v>
      </c>
      <c r="BB106" s="2">
        <v>44378.578518518516</v>
      </c>
      <c r="BC106" s="2"/>
      <c r="BD106" t="s">
        <v>91</v>
      </c>
      <c r="BF106" s="1" t="s">
        <v>75</v>
      </c>
      <c r="BI106" s="1" t="s">
        <v>88</v>
      </c>
      <c r="BJ106">
        <v>1</v>
      </c>
      <c r="BK106" s="1" t="s">
        <v>89</v>
      </c>
      <c r="BL106" t="s">
        <v>91</v>
      </c>
      <c r="BM106" s="1" t="s">
        <v>109</v>
      </c>
      <c r="BN106" s="1" t="s">
        <v>110</v>
      </c>
      <c r="BO106" s="1" t="s">
        <v>111</v>
      </c>
      <c r="BP106" s="1" t="s">
        <v>91</v>
      </c>
      <c r="BQ106" t="s">
        <v>91</v>
      </c>
      <c r="BR106" s="3">
        <v>44378</v>
      </c>
      <c r="BS106" s="3"/>
      <c r="BT106" t="s">
        <v>91</v>
      </c>
      <c r="BU106" t="s">
        <v>91</v>
      </c>
      <c r="BW106" s="1" t="s">
        <v>90</v>
      </c>
    </row>
    <row r="107" spans="1:75" x14ac:dyDescent="0.35">
      <c r="A107">
        <v>144443</v>
      </c>
      <c r="B107" s="1" t="s">
        <v>75</v>
      </c>
      <c r="C107">
        <v>80</v>
      </c>
      <c r="D107">
        <v>11121001</v>
      </c>
      <c r="E107">
        <v>121001</v>
      </c>
      <c r="F107" s="1" t="s">
        <v>76</v>
      </c>
      <c r="G107" s="1" t="s">
        <v>805</v>
      </c>
      <c r="I107" s="1" t="s">
        <v>78</v>
      </c>
      <c r="J107" s="1" t="s">
        <v>806</v>
      </c>
      <c r="K107" s="1" t="s">
        <v>807</v>
      </c>
      <c r="L107" t="s">
        <v>91</v>
      </c>
      <c r="M107" t="s">
        <v>91</v>
      </c>
      <c r="N107" s="1" t="s">
        <v>808</v>
      </c>
      <c r="O107" t="s">
        <v>91</v>
      </c>
      <c r="P107" s="1" t="s">
        <v>281</v>
      </c>
      <c r="Q107" s="1" t="s">
        <v>804</v>
      </c>
      <c r="R107" s="1" t="s">
        <v>370</v>
      </c>
      <c r="S107">
        <v>1279</v>
      </c>
      <c r="T107">
        <v>89239100</v>
      </c>
      <c r="U107" s="1" t="s">
        <v>809</v>
      </c>
      <c r="V107" s="1" t="s">
        <v>100</v>
      </c>
      <c r="W107" s="1" t="s">
        <v>87</v>
      </c>
      <c r="X107">
        <v>47</v>
      </c>
      <c r="Y107">
        <v>34240491</v>
      </c>
      <c r="Z107" t="s">
        <v>91</v>
      </c>
      <c r="AA107" t="s">
        <v>91</v>
      </c>
      <c r="AB107" t="s">
        <v>91</v>
      </c>
      <c r="AC107" t="s">
        <v>91</v>
      </c>
      <c r="AD107" t="s">
        <v>91</v>
      </c>
      <c r="AE107" t="s">
        <v>91</v>
      </c>
      <c r="AF107" t="s">
        <v>91</v>
      </c>
      <c r="AG107" s="1" t="s">
        <v>91</v>
      </c>
      <c r="AH107" s="1" t="s">
        <v>91</v>
      </c>
      <c r="AI107" t="s">
        <v>91</v>
      </c>
      <c r="AJ107">
        <v>0</v>
      </c>
      <c r="AK107">
        <v>0</v>
      </c>
      <c r="AL107">
        <v>0</v>
      </c>
      <c r="AM107" t="s">
        <v>91</v>
      </c>
      <c r="AN107" t="s">
        <v>91</v>
      </c>
      <c r="AO107" t="s">
        <v>91</v>
      </c>
      <c r="AP107" t="s">
        <v>91</v>
      </c>
      <c r="AQ107" s="1" t="s">
        <v>91</v>
      </c>
      <c r="AR107" s="1" t="s">
        <v>91</v>
      </c>
      <c r="AS107" s="1" t="s">
        <v>91</v>
      </c>
      <c r="AT107" s="1" t="s">
        <v>91</v>
      </c>
      <c r="AU107" s="1" t="s">
        <v>91</v>
      </c>
      <c r="AV107" t="s">
        <v>91</v>
      </c>
      <c r="AW107" t="s">
        <v>91</v>
      </c>
      <c r="AX107" t="s">
        <v>91</v>
      </c>
      <c r="AY107" t="s">
        <v>91</v>
      </c>
      <c r="AZ107" t="s">
        <v>91</v>
      </c>
      <c r="BA107" t="s">
        <v>91</v>
      </c>
      <c r="BB107" s="2"/>
      <c r="BC107" s="2"/>
      <c r="BD107" t="s">
        <v>91</v>
      </c>
      <c r="BF107" s="1" t="s">
        <v>75</v>
      </c>
      <c r="BG107">
        <v>0</v>
      </c>
      <c r="BH107">
        <v>0</v>
      </c>
      <c r="BI107" s="1" t="s">
        <v>88</v>
      </c>
      <c r="BJ107">
        <v>1</v>
      </c>
      <c r="BK107" s="1" t="s">
        <v>89</v>
      </c>
      <c r="BL107" t="s">
        <v>91</v>
      </c>
      <c r="BM107" s="1" t="s">
        <v>109</v>
      </c>
      <c r="BN107" s="1" t="s">
        <v>148</v>
      </c>
      <c r="BO107" s="1" t="s">
        <v>128</v>
      </c>
      <c r="BP107" s="1" t="s">
        <v>91</v>
      </c>
      <c r="BQ107" t="s">
        <v>91</v>
      </c>
      <c r="BR107" s="3"/>
      <c r="BS107" s="3"/>
      <c r="BT107" t="s">
        <v>91</v>
      </c>
      <c r="BU107" t="s">
        <v>91</v>
      </c>
      <c r="BV107">
        <v>5</v>
      </c>
      <c r="BW107" s="1" t="s">
        <v>149</v>
      </c>
    </row>
    <row r="108" spans="1:75" x14ac:dyDescent="0.35">
      <c r="A108">
        <v>127553</v>
      </c>
      <c r="B108" s="1" t="s">
        <v>75</v>
      </c>
      <c r="C108">
        <v>80</v>
      </c>
      <c r="D108">
        <v>11121001</v>
      </c>
      <c r="E108">
        <v>121001</v>
      </c>
      <c r="F108" s="1" t="s">
        <v>76</v>
      </c>
      <c r="G108" s="1" t="s">
        <v>810</v>
      </c>
      <c r="H108">
        <v>0</v>
      </c>
      <c r="I108" s="1" t="s">
        <v>78</v>
      </c>
      <c r="J108" s="1" t="s">
        <v>811</v>
      </c>
      <c r="K108" s="1" t="s">
        <v>812</v>
      </c>
      <c r="L108" t="s">
        <v>91</v>
      </c>
      <c r="M108" t="s">
        <v>91</v>
      </c>
      <c r="N108" s="1" t="s">
        <v>813</v>
      </c>
      <c r="O108" t="s">
        <v>91</v>
      </c>
      <c r="P108" s="1" t="s">
        <v>814</v>
      </c>
      <c r="Q108" s="1" t="s">
        <v>427</v>
      </c>
      <c r="R108" s="1" t="s">
        <v>236</v>
      </c>
      <c r="S108">
        <v>1277</v>
      </c>
      <c r="T108">
        <v>89201020</v>
      </c>
      <c r="U108" s="1" t="s">
        <v>108</v>
      </c>
      <c r="V108" s="1" t="s">
        <v>100</v>
      </c>
      <c r="W108" s="1" t="s">
        <v>87</v>
      </c>
      <c r="X108">
        <v>47</v>
      </c>
      <c r="Y108">
        <v>34227079</v>
      </c>
      <c r="Z108" t="s">
        <v>91</v>
      </c>
      <c r="AA108" t="s">
        <v>91</v>
      </c>
      <c r="AB108" t="s">
        <v>91</v>
      </c>
      <c r="AC108" t="s">
        <v>91</v>
      </c>
      <c r="AD108" t="s">
        <v>91</v>
      </c>
      <c r="AE108" t="s">
        <v>91</v>
      </c>
      <c r="AF108" t="s">
        <v>91</v>
      </c>
      <c r="AG108" s="1" t="s">
        <v>91</v>
      </c>
      <c r="AH108" s="1" t="s">
        <v>91</v>
      </c>
      <c r="AI108" t="s">
        <v>91</v>
      </c>
      <c r="AJ108">
        <v>0</v>
      </c>
      <c r="AK108">
        <v>0</v>
      </c>
      <c r="AL108">
        <v>0</v>
      </c>
      <c r="AM108" t="s">
        <v>91</v>
      </c>
      <c r="AN108" t="s">
        <v>91</v>
      </c>
      <c r="AO108" t="s">
        <v>91</v>
      </c>
      <c r="AP108" t="s">
        <v>91</v>
      </c>
      <c r="AQ108" s="1" t="s">
        <v>91</v>
      </c>
      <c r="AR108" s="1" t="s">
        <v>91</v>
      </c>
      <c r="AS108" s="1" t="s">
        <v>91</v>
      </c>
      <c r="AT108" s="1" t="s">
        <v>91</v>
      </c>
      <c r="AU108" s="1" t="s">
        <v>91</v>
      </c>
      <c r="AV108" t="s">
        <v>91</v>
      </c>
      <c r="AW108" t="s">
        <v>91</v>
      </c>
      <c r="AX108" t="s">
        <v>91</v>
      </c>
      <c r="AY108" t="s">
        <v>91</v>
      </c>
      <c r="AZ108" t="s">
        <v>91</v>
      </c>
      <c r="BA108" t="s">
        <v>91</v>
      </c>
      <c r="BB108" s="2">
        <v>44111.380995370368</v>
      </c>
      <c r="BC108" s="2"/>
      <c r="BD108" t="s">
        <v>91</v>
      </c>
      <c r="BF108" s="1" t="s">
        <v>75</v>
      </c>
      <c r="BG108">
        <v>0</v>
      </c>
      <c r="BH108">
        <v>0</v>
      </c>
      <c r="BI108" s="1" t="s">
        <v>88</v>
      </c>
      <c r="BJ108">
        <v>1</v>
      </c>
      <c r="BK108" s="1" t="s">
        <v>89</v>
      </c>
      <c r="BL108" t="s">
        <v>91</v>
      </c>
      <c r="BM108" s="1" t="s">
        <v>329</v>
      </c>
      <c r="BN108" s="1" t="s">
        <v>148</v>
      </c>
      <c r="BO108" s="1" t="s">
        <v>165</v>
      </c>
      <c r="BP108" s="1" t="s">
        <v>91</v>
      </c>
      <c r="BQ108" t="s">
        <v>91</v>
      </c>
      <c r="BR108" s="3">
        <v>44111</v>
      </c>
      <c r="BS108" s="3"/>
      <c r="BT108" t="s">
        <v>91</v>
      </c>
      <c r="BU108" t="s">
        <v>91</v>
      </c>
      <c r="BV108">
        <v>1</v>
      </c>
      <c r="BW108" s="1" t="s">
        <v>166</v>
      </c>
    </row>
    <row r="109" spans="1:75" x14ac:dyDescent="0.35">
      <c r="A109">
        <v>127554</v>
      </c>
      <c r="B109" s="1" t="s">
        <v>75</v>
      </c>
      <c r="C109">
        <v>80</v>
      </c>
      <c r="D109">
        <v>11121001</v>
      </c>
      <c r="E109">
        <v>121001</v>
      </c>
      <c r="F109" s="1" t="s">
        <v>76</v>
      </c>
      <c r="G109" s="1" t="s">
        <v>815</v>
      </c>
      <c r="H109">
        <v>0</v>
      </c>
      <c r="I109" s="1" t="s">
        <v>78</v>
      </c>
      <c r="J109" s="1" t="s">
        <v>816</v>
      </c>
      <c r="K109" s="1" t="s">
        <v>817</v>
      </c>
      <c r="L109" t="s">
        <v>91</v>
      </c>
      <c r="M109" t="s">
        <v>91</v>
      </c>
      <c r="N109" s="1" t="s">
        <v>818</v>
      </c>
      <c r="O109" t="s">
        <v>91</v>
      </c>
      <c r="P109" s="1" t="s">
        <v>162</v>
      </c>
      <c r="Q109" s="1" t="s">
        <v>819</v>
      </c>
      <c r="R109" s="1" t="s">
        <v>820</v>
      </c>
      <c r="S109">
        <v>1278</v>
      </c>
      <c r="T109">
        <v>89204010</v>
      </c>
      <c r="U109" s="1" t="s">
        <v>108</v>
      </c>
      <c r="V109" s="1" t="s">
        <v>100</v>
      </c>
      <c r="W109" s="1" t="s">
        <v>87</v>
      </c>
      <c r="X109">
        <v>47</v>
      </c>
      <c r="Y109">
        <v>34320232</v>
      </c>
      <c r="Z109" t="s">
        <v>91</v>
      </c>
      <c r="AA109" t="s">
        <v>91</v>
      </c>
      <c r="AB109" t="s">
        <v>91</v>
      </c>
      <c r="AC109" t="s">
        <v>91</v>
      </c>
      <c r="AD109" t="s">
        <v>91</v>
      </c>
      <c r="AE109" t="s">
        <v>91</v>
      </c>
      <c r="AF109" t="s">
        <v>91</v>
      </c>
      <c r="AG109" s="1" t="s">
        <v>91</v>
      </c>
      <c r="AH109" s="1" t="s">
        <v>91</v>
      </c>
      <c r="AI109" t="s">
        <v>91</v>
      </c>
      <c r="AJ109">
        <v>0</v>
      </c>
      <c r="AK109">
        <v>0</v>
      </c>
      <c r="AL109">
        <v>0</v>
      </c>
      <c r="AM109" t="s">
        <v>91</v>
      </c>
      <c r="AN109" t="s">
        <v>91</v>
      </c>
      <c r="AO109" t="s">
        <v>91</v>
      </c>
      <c r="AP109" t="s">
        <v>91</v>
      </c>
      <c r="AQ109" s="1" t="s">
        <v>91</v>
      </c>
      <c r="AR109" s="1" t="s">
        <v>91</v>
      </c>
      <c r="AS109" s="1" t="s">
        <v>91</v>
      </c>
      <c r="AT109" s="1" t="s">
        <v>91</v>
      </c>
      <c r="AU109" s="1" t="s">
        <v>91</v>
      </c>
      <c r="AV109" t="s">
        <v>91</v>
      </c>
      <c r="AW109" t="s">
        <v>91</v>
      </c>
      <c r="AX109" t="s">
        <v>91</v>
      </c>
      <c r="AY109" t="s">
        <v>91</v>
      </c>
      <c r="AZ109" t="s">
        <v>91</v>
      </c>
      <c r="BA109" t="s">
        <v>91</v>
      </c>
      <c r="BB109" s="2">
        <v>44111.380995370368</v>
      </c>
      <c r="BC109" s="2"/>
      <c r="BD109" t="s">
        <v>91</v>
      </c>
      <c r="BF109" s="1" t="s">
        <v>75</v>
      </c>
      <c r="BG109">
        <v>0</v>
      </c>
      <c r="BH109">
        <v>0</v>
      </c>
      <c r="BI109" s="1" t="s">
        <v>88</v>
      </c>
      <c r="BJ109">
        <v>1</v>
      </c>
      <c r="BK109" s="1" t="s">
        <v>89</v>
      </c>
      <c r="BL109" t="s">
        <v>91</v>
      </c>
      <c r="BM109" s="1" t="s">
        <v>164</v>
      </c>
      <c r="BN109" s="1" t="s">
        <v>148</v>
      </c>
      <c r="BO109" s="1" t="s">
        <v>165</v>
      </c>
      <c r="BP109" s="1" t="s">
        <v>91</v>
      </c>
      <c r="BQ109" t="s">
        <v>91</v>
      </c>
      <c r="BR109" s="3">
        <v>44111</v>
      </c>
      <c r="BS109" s="3"/>
      <c r="BT109" t="s">
        <v>91</v>
      </c>
      <c r="BU109" t="s">
        <v>91</v>
      </c>
      <c r="BV109">
        <v>1</v>
      </c>
      <c r="BW109" s="1" t="s">
        <v>166</v>
      </c>
    </row>
    <row r="110" spans="1:75" x14ac:dyDescent="0.35">
      <c r="A110">
        <v>157582</v>
      </c>
      <c r="B110" s="1" t="s">
        <v>75</v>
      </c>
      <c r="C110">
        <v>80</v>
      </c>
      <c r="D110">
        <v>11121001</v>
      </c>
      <c r="E110">
        <v>121001</v>
      </c>
      <c r="F110" s="1" t="s">
        <v>76</v>
      </c>
      <c r="G110" s="1" t="s">
        <v>821</v>
      </c>
      <c r="H110">
        <v>0</v>
      </c>
      <c r="I110" s="1" t="s">
        <v>78</v>
      </c>
      <c r="J110" s="1" t="s">
        <v>822</v>
      </c>
      <c r="K110" s="1" t="s">
        <v>823</v>
      </c>
      <c r="L110" t="s">
        <v>91</v>
      </c>
      <c r="M110" t="s">
        <v>91</v>
      </c>
      <c r="N110" s="1" t="s">
        <v>824</v>
      </c>
      <c r="O110" t="s">
        <v>91</v>
      </c>
      <c r="P110" s="1" t="s">
        <v>825</v>
      </c>
      <c r="Q110" s="1" t="s">
        <v>826</v>
      </c>
      <c r="R110" s="1" t="s">
        <v>91</v>
      </c>
      <c r="S110">
        <v>1279</v>
      </c>
      <c r="T110">
        <v>89219220</v>
      </c>
      <c r="U110" s="1" t="s">
        <v>237</v>
      </c>
      <c r="V110" s="1" t="s">
        <v>100</v>
      </c>
      <c r="W110" s="1" t="s">
        <v>87</v>
      </c>
      <c r="X110">
        <v>47</v>
      </c>
      <c r="Y110">
        <v>21017777</v>
      </c>
      <c r="Z110" t="s">
        <v>91</v>
      </c>
      <c r="AA110" t="s">
        <v>91</v>
      </c>
      <c r="AB110" t="s">
        <v>91</v>
      </c>
      <c r="AC110" t="s">
        <v>91</v>
      </c>
      <c r="AD110" t="s">
        <v>91</v>
      </c>
      <c r="AE110" t="s">
        <v>91</v>
      </c>
      <c r="AF110" t="s">
        <v>91</v>
      </c>
      <c r="AG110" s="1" t="s">
        <v>91</v>
      </c>
      <c r="AH110" s="1" t="s">
        <v>91</v>
      </c>
      <c r="AI110" t="s">
        <v>91</v>
      </c>
      <c r="AM110" t="s">
        <v>91</v>
      </c>
      <c r="AN110" t="s">
        <v>91</v>
      </c>
      <c r="AO110" t="s">
        <v>91</v>
      </c>
      <c r="AP110" t="s">
        <v>91</v>
      </c>
      <c r="AQ110" s="1" t="s">
        <v>91</v>
      </c>
      <c r="AR110" s="1" t="s">
        <v>91</v>
      </c>
      <c r="AS110" s="1" t="s">
        <v>91</v>
      </c>
      <c r="AT110" s="1" t="s">
        <v>91</v>
      </c>
      <c r="AU110" s="1" t="s">
        <v>91</v>
      </c>
      <c r="AV110" t="s">
        <v>91</v>
      </c>
      <c r="AW110" t="s">
        <v>91</v>
      </c>
      <c r="AX110" t="s">
        <v>91</v>
      </c>
      <c r="AY110" t="s">
        <v>91</v>
      </c>
      <c r="AZ110" t="s">
        <v>91</v>
      </c>
      <c r="BA110" t="s">
        <v>91</v>
      </c>
      <c r="BB110" s="2">
        <v>45118.093391203707</v>
      </c>
      <c r="BC110" s="2"/>
      <c r="BD110" t="s">
        <v>91</v>
      </c>
      <c r="BF110" s="1" t="s">
        <v>75</v>
      </c>
      <c r="BI110" s="1" t="s">
        <v>88</v>
      </c>
      <c r="BJ110">
        <v>1</v>
      </c>
      <c r="BK110" s="1" t="s">
        <v>89</v>
      </c>
      <c r="BL110" t="s">
        <v>91</v>
      </c>
      <c r="BM110" s="1" t="s">
        <v>91</v>
      </c>
      <c r="BN110" s="1" t="s">
        <v>91</v>
      </c>
      <c r="BO110" s="1" t="s">
        <v>91</v>
      </c>
      <c r="BP110" s="1" t="s">
        <v>91</v>
      </c>
      <c r="BQ110" t="s">
        <v>91</v>
      </c>
      <c r="BR110" s="3">
        <v>45118</v>
      </c>
      <c r="BS110" s="3"/>
      <c r="BT110" t="s">
        <v>91</v>
      </c>
      <c r="BU110" t="s">
        <v>91</v>
      </c>
      <c r="BW110" s="1" t="s">
        <v>90</v>
      </c>
    </row>
    <row r="111" spans="1:75" x14ac:dyDescent="0.35">
      <c r="A111">
        <v>156743</v>
      </c>
      <c r="B111" s="1" t="s">
        <v>75</v>
      </c>
      <c r="C111">
        <v>80</v>
      </c>
      <c r="D111">
        <v>11121001</v>
      </c>
      <c r="E111">
        <v>121001</v>
      </c>
      <c r="F111" s="1" t="s">
        <v>76</v>
      </c>
      <c r="G111" s="1" t="s">
        <v>827</v>
      </c>
      <c r="H111">
        <v>0</v>
      </c>
      <c r="I111" s="1" t="s">
        <v>78</v>
      </c>
      <c r="J111" s="1" t="s">
        <v>828</v>
      </c>
      <c r="K111" s="1" t="s">
        <v>829</v>
      </c>
      <c r="L111" t="s">
        <v>91</v>
      </c>
      <c r="M111" t="s">
        <v>91</v>
      </c>
      <c r="N111" s="1" t="s">
        <v>830</v>
      </c>
      <c r="O111" t="s">
        <v>91</v>
      </c>
      <c r="P111" s="1" t="s">
        <v>831</v>
      </c>
      <c r="Q111" s="1" t="s">
        <v>832</v>
      </c>
      <c r="R111" s="1" t="s">
        <v>833</v>
      </c>
      <c r="S111">
        <v>1280</v>
      </c>
      <c r="T111">
        <v>89240000</v>
      </c>
      <c r="U111" s="1" t="s">
        <v>834</v>
      </c>
      <c r="V111" s="1" t="s">
        <v>222</v>
      </c>
      <c r="W111" s="1" t="s">
        <v>87</v>
      </c>
      <c r="X111">
        <v>47</v>
      </c>
      <c r="Y111">
        <v>991831729</v>
      </c>
      <c r="Z111" t="s">
        <v>91</v>
      </c>
      <c r="AA111" t="s">
        <v>91</v>
      </c>
      <c r="AB111" t="s">
        <v>91</v>
      </c>
      <c r="AC111" t="s">
        <v>91</v>
      </c>
      <c r="AD111" t="s">
        <v>91</v>
      </c>
      <c r="AE111" t="s">
        <v>91</v>
      </c>
      <c r="AF111" t="s">
        <v>91</v>
      </c>
      <c r="AG111" s="1" t="s">
        <v>91</v>
      </c>
      <c r="AH111" s="1" t="s">
        <v>91</v>
      </c>
      <c r="AI111" t="s">
        <v>91</v>
      </c>
      <c r="AM111" t="s">
        <v>91</v>
      </c>
      <c r="AN111" t="s">
        <v>91</v>
      </c>
      <c r="AO111" t="s">
        <v>91</v>
      </c>
      <c r="AP111" t="s">
        <v>91</v>
      </c>
      <c r="AQ111" s="1" t="s">
        <v>91</v>
      </c>
      <c r="AR111" s="1" t="s">
        <v>91</v>
      </c>
      <c r="AS111" s="1" t="s">
        <v>91</v>
      </c>
      <c r="AT111" s="1" t="s">
        <v>91</v>
      </c>
      <c r="AU111" s="1" t="s">
        <v>91</v>
      </c>
      <c r="AV111" t="s">
        <v>91</v>
      </c>
      <c r="AW111" t="s">
        <v>91</v>
      </c>
      <c r="AX111" t="s">
        <v>91</v>
      </c>
      <c r="AY111" t="s">
        <v>91</v>
      </c>
      <c r="AZ111" t="s">
        <v>91</v>
      </c>
      <c r="BA111" t="s">
        <v>91</v>
      </c>
      <c r="BB111" s="2">
        <v>45113.505416666667</v>
      </c>
      <c r="BC111" s="2"/>
      <c r="BD111" t="s">
        <v>91</v>
      </c>
      <c r="BF111" s="1" t="s">
        <v>75</v>
      </c>
      <c r="BI111" s="1" t="s">
        <v>88</v>
      </c>
      <c r="BJ111">
        <v>1</v>
      </c>
      <c r="BK111" s="1" t="s">
        <v>89</v>
      </c>
      <c r="BL111" t="s">
        <v>91</v>
      </c>
      <c r="BM111" s="1" t="s">
        <v>91</v>
      </c>
      <c r="BN111" s="1" t="s">
        <v>91</v>
      </c>
      <c r="BO111" s="1" t="s">
        <v>91</v>
      </c>
      <c r="BP111" s="1" t="s">
        <v>91</v>
      </c>
      <c r="BQ111" t="s">
        <v>91</v>
      </c>
      <c r="BR111" s="3">
        <v>45113</v>
      </c>
      <c r="BS111" s="3"/>
      <c r="BT111" t="s">
        <v>91</v>
      </c>
      <c r="BU111" t="s">
        <v>91</v>
      </c>
      <c r="BW111" s="1" t="s">
        <v>90</v>
      </c>
    </row>
    <row r="112" spans="1:75" x14ac:dyDescent="0.35">
      <c r="A112">
        <v>156715</v>
      </c>
      <c r="B112" s="1" t="s">
        <v>75</v>
      </c>
      <c r="C112">
        <v>80</v>
      </c>
      <c r="D112">
        <v>11121001</v>
      </c>
      <c r="E112">
        <v>121001</v>
      </c>
      <c r="F112" s="1" t="s">
        <v>76</v>
      </c>
      <c r="G112" s="1" t="s">
        <v>835</v>
      </c>
      <c r="H112">
        <v>0</v>
      </c>
      <c r="I112" s="1" t="s">
        <v>78</v>
      </c>
      <c r="J112" s="1" t="s">
        <v>836</v>
      </c>
      <c r="K112" s="1" t="s">
        <v>837</v>
      </c>
      <c r="L112" t="s">
        <v>91</v>
      </c>
      <c r="M112" t="s">
        <v>91</v>
      </c>
      <c r="N112" s="1" t="s">
        <v>838</v>
      </c>
      <c r="O112" t="s">
        <v>91</v>
      </c>
      <c r="P112" s="1" t="s">
        <v>839</v>
      </c>
      <c r="Q112" s="1" t="s">
        <v>840</v>
      </c>
      <c r="R112" s="1" t="s">
        <v>107</v>
      </c>
      <c r="S112">
        <v>1289</v>
      </c>
      <c r="T112">
        <v>89900000</v>
      </c>
      <c r="U112" s="1" t="s">
        <v>108</v>
      </c>
      <c r="V112" s="1" t="s">
        <v>619</v>
      </c>
      <c r="W112" s="1" t="s">
        <v>87</v>
      </c>
      <c r="X112">
        <v>49</v>
      </c>
      <c r="Y112">
        <v>319700300</v>
      </c>
      <c r="Z112" t="s">
        <v>91</v>
      </c>
      <c r="AA112" t="s">
        <v>91</v>
      </c>
      <c r="AB112" t="s">
        <v>91</v>
      </c>
      <c r="AC112" t="s">
        <v>91</v>
      </c>
      <c r="AD112" t="s">
        <v>91</v>
      </c>
      <c r="AE112" t="s">
        <v>91</v>
      </c>
      <c r="AF112" t="s">
        <v>91</v>
      </c>
      <c r="AG112" s="1" t="s">
        <v>91</v>
      </c>
      <c r="AH112" s="1" t="s">
        <v>91</v>
      </c>
      <c r="AI112" t="s">
        <v>91</v>
      </c>
      <c r="AM112" t="s">
        <v>91</v>
      </c>
      <c r="AN112" t="s">
        <v>91</v>
      </c>
      <c r="AO112" t="s">
        <v>91</v>
      </c>
      <c r="AP112" t="s">
        <v>91</v>
      </c>
      <c r="AQ112" s="1" t="s">
        <v>91</v>
      </c>
      <c r="AR112" s="1" t="s">
        <v>91</v>
      </c>
      <c r="AS112" s="1" t="s">
        <v>91</v>
      </c>
      <c r="AT112" s="1" t="s">
        <v>91</v>
      </c>
      <c r="AU112" s="1" t="s">
        <v>91</v>
      </c>
      <c r="AV112" t="s">
        <v>91</v>
      </c>
      <c r="AW112" t="s">
        <v>91</v>
      </c>
      <c r="AX112" t="s">
        <v>91</v>
      </c>
      <c r="AY112" t="s">
        <v>91</v>
      </c>
      <c r="AZ112" t="s">
        <v>91</v>
      </c>
      <c r="BA112" t="s">
        <v>91</v>
      </c>
      <c r="BB112" s="2">
        <v>45113.505416666667</v>
      </c>
      <c r="BC112" s="2"/>
      <c r="BD112" t="s">
        <v>91</v>
      </c>
      <c r="BF112" s="1" t="s">
        <v>75</v>
      </c>
      <c r="BI112" s="1" t="s">
        <v>88</v>
      </c>
      <c r="BJ112">
        <v>1</v>
      </c>
      <c r="BK112" s="1" t="s">
        <v>89</v>
      </c>
      <c r="BL112" t="s">
        <v>91</v>
      </c>
      <c r="BM112" s="1" t="s">
        <v>91</v>
      </c>
      <c r="BN112" s="1" t="s">
        <v>91</v>
      </c>
      <c r="BO112" s="1" t="s">
        <v>91</v>
      </c>
      <c r="BP112" s="1" t="s">
        <v>91</v>
      </c>
      <c r="BQ112" t="s">
        <v>91</v>
      </c>
      <c r="BR112" s="3">
        <v>45113</v>
      </c>
      <c r="BS112" s="3"/>
      <c r="BT112" t="s">
        <v>91</v>
      </c>
      <c r="BU112" t="s">
        <v>91</v>
      </c>
      <c r="BW112" s="1" t="s">
        <v>841</v>
      </c>
    </row>
    <row r="113" spans="1:75" x14ac:dyDescent="0.35">
      <c r="A113">
        <v>156725</v>
      </c>
      <c r="B113" s="1" t="s">
        <v>75</v>
      </c>
      <c r="C113">
        <v>80</v>
      </c>
      <c r="D113">
        <v>11121001</v>
      </c>
      <c r="E113">
        <v>121001</v>
      </c>
      <c r="F113" s="1" t="s">
        <v>76</v>
      </c>
      <c r="G113" s="1" t="s">
        <v>842</v>
      </c>
      <c r="H113">
        <v>0</v>
      </c>
      <c r="I113" s="1" t="s">
        <v>78</v>
      </c>
      <c r="J113" s="1" t="s">
        <v>843</v>
      </c>
      <c r="K113" s="1" t="s">
        <v>844</v>
      </c>
      <c r="L113" t="s">
        <v>91</v>
      </c>
      <c r="M113" t="s">
        <v>91</v>
      </c>
      <c r="N113" s="1" t="s">
        <v>845</v>
      </c>
      <c r="O113" t="s">
        <v>91</v>
      </c>
      <c r="P113" s="1" t="s">
        <v>846</v>
      </c>
      <c r="Q113" s="1" t="s">
        <v>847</v>
      </c>
      <c r="R113" s="1" t="s">
        <v>236</v>
      </c>
      <c r="T113">
        <v>98500000</v>
      </c>
      <c r="U113" s="1" t="s">
        <v>108</v>
      </c>
      <c r="V113" s="1" t="s">
        <v>848</v>
      </c>
      <c r="W113" s="1" t="s">
        <v>157</v>
      </c>
      <c r="X113">
        <v>49</v>
      </c>
      <c r="Y113">
        <v>999278181</v>
      </c>
      <c r="Z113" t="s">
        <v>91</v>
      </c>
      <c r="AA113" t="s">
        <v>91</v>
      </c>
      <c r="AB113" t="s">
        <v>91</v>
      </c>
      <c r="AC113" t="s">
        <v>91</v>
      </c>
      <c r="AD113" t="s">
        <v>91</v>
      </c>
      <c r="AE113" t="s">
        <v>91</v>
      </c>
      <c r="AF113" t="s">
        <v>91</v>
      </c>
      <c r="AG113" s="1" t="s">
        <v>91</v>
      </c>
      <c r="AH113" s="1" t="s">
        <v>91</v>
      </c>
      <c r="AI113" t="s">
        <v>91</v>
      </c>
      <c r="AM113" t="s">
        <v>91</v>
      </c>
      <c r="AN113" t="s">
        <v>91</v>
      </c>
      <c r="AO113" t="s">
        <v>91</v>
      </c>
      <c r="AP113" t="s">
        <v>91</v>
      </c>
      <c r="AQ113" s="1" t="s">
        <v>91</v>
      </c>
      <c r="AR113" s="1" t="s">
        <v>91</v>
      </c>
      <c r="AS113" s="1" t="s">
        <v>91</v>
      </c>
      <c r="AT113" s="1" t="s">
        <v>91</v>
      </c>
      <c r="AU113" s="1" t="s">
        <v>91</v>
      </c>
      <c r="AV113" t="s">
        <v>91</v>
      </c>
      <c r="AW113" t="s">
        <v>91</v>
      </c>
      <c r="AX113" t="s">
        <v>91</v>
      </c>
      <c r="AY113" t="s">
        <v>91</v>
      </c>
      <c r="AZ113" t="s">
        <v>91</v>
      </c>
      <c r="BA113" t="s">
        <v>91</v>
      </c>
      <c r="BB113" s="2">
        <v>45113.505416666667</v>
      </c>
      <c r="BC113" s="2"/>
      <c r="BD113" t="s">
        <v>91</v>
      </c>
      <c r="BF113" s="1" t="s">
        <v>75</v>
      </c>
      <c r="BI113" s="1" t="s">
        <v>88</v>
      </c>
      <c r="BJ113">
        <v>1</v>
      </c>
      <c r="BK113" s="1" t="s">
        <v>89</v>
      </c>
      <c r="BL113" t="s">
        <v>91</v>
      </c>
      <c r="BM113" s="1" t="s">
        <v>91</v>
      </c>
      <c r="BN113" s="1" t="s">
        <v>91</v>
      </c>
      <c r="BO113" s="1" t="s">
        <v>91</v>
      </c>
      <c r="BP113" s="1" t="s">
        <v>91</v>
      </c>
      <c r="BQ113" t="s">
        <v>91</v>
      </c>
      <c r="BR113" s="3">
        <v>45113</v>
      </c>
      <c r="BS113" s="3"/>
      <c r="BT113" t="s">
        <v>91</v>
      </c>
      <c r="BU113" t="s">
        <v>91</v>
      </c>
      <c r="BW113" s="1" t="s">
        <v>841</v>
      </c>
    </row>
    <row r="114" spans="1:75" x14ac:dyDescent="0.35">
      <c r="A114">
        <v>138039</v>
      </c>
      <c r="B114" s="1" t="s">
        <v>75</v>
      </c>
      <c r="C114">
        <v>80</v>
      </c>
      <c r="D114">
        <v>11121001</v>
      </c>
      <c r="E114">
        <v>121001</v>
      </c>
      <c r="F114" s="1" t="s">
        <v>76</v>
      </c>
      <c r="G114" s="1" t="s">
        <v>849</v>
      </c>
      <c r="H114">
        <v>0</v>
      </c>
      <c r="I114" s="1" t="s">
        <v>78</v>
      </c>
      <c r="J114" s="1" t="s">
        <v>850</v>
      </c>
      <c r="K114" s="1" t="s">
        <v>851</v>
      </c>
      <c r="L114" t="s">
        <v>91</v>
      </c>
      <c r="M114" t="s">
        <v>91</v>
      </c>
      <c r="N114" s="1" t="s">
        <v>852</v>
      </c>
      <c r="O114" t="s">
        <v>91</v>
      </c>
      <c r="P114" s="1" t="s">
        <v>853</v>
      </c>
      <c r="Q114" s="1" t="s">
        <v>854</v>
      </c>
      <c r="R114" s="1" t="s">
        <v>855</v>
      </c>
      <c r="S114">
        <v>1288</v>
      </c>
      <c r="T114">
        <v>89874000</v>
      </c>
      <c r="U114" s="1" t="s">
        <v>108</v>
      </c>
      <c r="V114" s="1" t="s">
        <v>174</v>
      </c>
      <c r="W114" s="1" t="s">
        <v>87</v>
      </c>
      <c r="X114">
        <v>49</v>
      </c>
      <c r="Y114">
        <v>36640455</v>
      </c>
      <c r="Z114" t="s">
        <v>91</v>
      </c>
      <c r="AA114" t="s">
        <v>91</v>
      </c>
      <c r="AB114" t="s">
        <v>91</v>
      </c>
      <c r="AC114" t="s">
        <v>91</v>
      </c>
      <c r="AD114" t="s">
        <v>91</v>
      </c>
      <c r="AE114" t="s">
        <v>91</v>
      </c>
      <c r="AF114" t="s">
        <v>91</v>
      </c>
      <c r="AG114" s="1" t="s">
        <v>146</v>
      </c>
      <c r="AH114" s="1" t="s">
        <v>91</v>
      </c>
      <c r="AI114" t="s">
        <v>91</v>
      </c>
      <c r="AM114" t="s">
        <v>91</v>
      </c>
      <c r="AN114" t="s">
        <v>91</v>
      </c>
      <c r="AO114" t="s">
        <v>91</v>
      </c>
      <c r="AP114" t="s">
        <v>91</v>
      </c>
      <c r="AQ114" s="1" t="s">
        <v>147</v>
      </c>
      <c r="AR114" s="1" t="s">
        <v>147</v>
      </c>
      <c r="AS114" s="1" t="s">
        <v>147</v>
      </c>
      <c r="AT114" s="1" t="s">
        <v>147</v>
      </c>
      <c r="AU114" s="1" t="s">
        <v>147</v>
      </c>
      <c r="AV114" t="s">
        <v>91</v>
      </c>
      <c r="AW114" t="s">
        <v>91</v>
      </c>
      <c r="AX114" t="s">
        <v>91</v>
      </c>
      <c r="AY114" t="s">
        <v>91</v>
      </c>
      <c r="AZ114" t="s">
        <v>91</v>
      </c>
      <c r="BA114" t="s">
        <v>91</v>
      </c>
      <c r="BB114" s="2">
        <v>44378.578518518516</v>
      </c>
      <c r="BC114" s="2">
        <v>44656.464583333334</v>
      </c>
      <c r="BD114" t="s">
        <v>91</v>
      </c>
      <c r="BF114" s="1" t="s">
        <v>75</v>
      </c>
      <c r="BH114">
        <v>0</v>
      </c>
      <c r="BI114" s="1" t="s">
        <v>88</v>
      </c>
      <c r="BJ114">
        <v>1</v>
      </c>
      <c r="BK114" s="1" t="s">
        <v>89</v>
      </c>
      <c r="BL114" t="s">
        <v>91</v>
      </c>
      <c r="BM114" s="1" t="s">
        <v>109</v>
      </c>
      <c r="BN114" s="1" t="s">
        <v>110</v>
      </c>
      <c r="BO114" s="1" t="s">
        <v>128</v>
      </c>
      <c r="BP114" s="1" t="s">
        <v>91</v>
      </c>
      <c r="BQ114" t="s">
        <v>91</v>
      </c>
      <c r="BR114" s="3">
        <v>44378</v>
      </c>
      <c r="BS114" s="3">
        <v>44656</v>
      </c>
      <c r="BT114" t="s">
        <v>91</v>
      </c>
      <c r="BU114" t="s">
        <v>91</v>
      </c>
      <c r="BW114" s="1" t="s">
        <v>841</v>
      </c>
    </row>
    <row r="115" spans="1:75" x14ac:dyDescent="0.35">
      <c r="A115">
        <v>138042</v>
      </c>
      <c r="B115" s="1" t="s">
        <v>75</v>
      </c>
      <c r="C115">
        <v>80</v>
      </c>
      <c r="D115">
        <v>11121001</v>
      </c>
      <c r="E115">
        <v>121001</v>
      </c>
      <c r="F115" s="1" t="s">
        <v>76</v>
      </c>
      <c r="G115" s="1" t="s">
        <v>856</v>
      </c>
      <c r="H115">
        <v>0</v>
      </c>
      <c r="I115" s="1" t="s">
        <v>78</v>
      </c>
      <c r="J115" s="1" t="s">
        <v>857</v>
      </c>
      <c r="K115" s="1" t="s">
        <v>858</v>
      </c>
      <c r="L115" t="s">
        <v>91</v>
      </c>
      <c r="M115" t="s">
        <v>91</v>
      </c>
      <c r="N115" s="1" t="s">
        <v>859</v>
      </c>
      <c r="O115" t="s">
        <v>91</v>
      </c>
      <c r="P115" s="1" t="s">
        <v>860</v>
      </c>
      <c r="Q115" s="1" t="s">
        <v>861</v>
      </c>
      <c r="R115" s="1" t="s">
        <v>135</v>
      </c>
      <c r="S115">
        <v>1288</v>
      </c>
      <c r="T115">
        <v>89887000</v>
      </c>
      <c r="U115" s="1" t="s">
        <v>108</v>
      </c>
      <c r="V115" s="1" t="s">
        <v>246</v>
      </c>
      <c r="W115" s="1" t="s">
        <v>87</v>
      </c>
      <c r="X115">
        <v>49</v>
      </c>
      <c r="Y115">
        <v>36472171</v>
      </c>
      <c r="Z115" t="s">
        <v>91</v>
      </c>
      <c r="AA115" t="s">
        <v>91</v>
      </c>
      <c r="AB115" t="s">
        <v>91</v>
      </c>
      <c r="AC115" t="s">
        <v>91</v>
      </c>
      <c r="AD115" t="s">
        <v>91</v>
      </c>
      <c r="AE115" t="s">
        <v>91</v>
      </c>
      <c r="AF115" t="s">
        <v>91</v>
      </c>
      <c r="AG115" s="1" t="s">
        <v>146</v>
      </c>
      <c r="AH115" s="1" t="s">
        <v>91</v>
      </c>
      <c r="AI115" t="s">
        <v>91</v>
      </c>
      <c r="AM115" t="s">
        <v>91</v>
      </c>
      <c r="AN115" t="s">
        <v>91</v>
      </c>
      <c r="AO115" t="s">
        <v>91</v>
      </c>
      <c r="AP115" t="s">
        <v>91</v>
      </c>
      <c r="AQ115" s="1" t="s">
        <v>147</v>
      </c>
      <c r="AR115" s="1" t="s">
        <v>147</v>
      </c>
      <c r="AS115" s="1" t="s">
        <v>147</v>
      </c>
      <c r="AT115" s="1" t="s">
        <v>147</v>
      </c>
      <c r="AU115" s="1" t="s">
        <v>147</v>
      </c>
      <c r="AV115" t="s">
        <v>91</v>
      </c>
      <c r="AW115" t="s">
        <v>91</v>
      </c>
      <c r="AX115" t="s">
        <v>91</v>
      </c>
      <c r="AY115" t="s">
        <v>91</v>
      </c>
      <c r="AZ115" t="s">
        <v>91</v>
      </c>
      <c r="BA115" t="s">
        <v>91</v>
      </c>
      <c r="BB115" s="2">
        <v>44378.578518518516</v>
      </c>
      <c r="BC115" s="2">
        <v>44693.440451388888</v>
      </c>
      <c r="BD115" t="s">
        <v>91</v>
      </c>
      <c r="BF115" s="1" t="s">
        <v>75</v>
      </c>
      <c r="BH115">
        <v>0</v>
      </c>
      <c r="BI115" s="1" t="s">
        <v>88</v>
      </c>
      <c r="BJ115">
        <v>1</v>
      </c>
      <c r="BK115" s="1" t="s">
        <v>89</v>
      </c>
      <c r="BL115" t="s">
        <v>91</v>
      </c>
      <c r="BM115" s="1" t="s">
        <v>109</v>
      </c>
      <c r="BN115" s="1" t="s">
        <v>110</v>
      </c>
      <c r="BO115" s="1" t="s">
        <v>128</v>
      </c>
      <c r="BP115" s="1" t="s">
        <v>91</v>
      </c>
      <c r="BQ115" t="s">
        <v>91</v>
      </c>
      <c r="BR115" s="3">
        <v>44378</v>
      </c>
      <c r="BS115" s="3">
        <v>44693</v>
      </c>
      <c r="BT115" t="s">
        <v>91</v>
      </c>
      <c r="BU115" t="s">
        <v>91</v>
      </c>
      <c r="BW115" s="1" t="s">
        <v>862</v>
      </c>
    </row>
    <row r="116" spans="1:75" x14ac:dyDescent="0.35">
      <c r="A116">
        <v>120517</v>
      </c>
      <c r="B116" s="1" t="s">
        <v>75</v>
      </c>
      <c r="C116">
        <v>80</v>
      </c>
      <c r="D116">
        <v>11121001</v>
      </c>
      <c r="E116">
        <v>121001</v>
      </c>
      <c r="F116" s="1" t="s">
        <v>76</v>
      </c>
      <c r="G116" s="1" t="s">
        <v>863</v>
      </c>
      <c r="H116">
        <v>0</v>
      </c>
      <c r="I116" s="1" t="s">
        <v>78</v>
      </c>
      <c r="J116" s="1" t="s">
        <v>864</v>
      </c>
      <c r="K116" s="1" t="s">
        <v>865</v>
      </c>
      <c r="L116" t="s">
        <v>91</v>
      </c>
      <c r="M116" t="s">
        <v>91</v>
      </c>
      <c r="N116" s="1" t="s">
        <v>866</v>
      </c>
      <c r="O116" t="s">
        <v>91</v>
      </c>
      <c r="P116" s="1" t="s">
        <v>867</v>
      </c>
      <c r="Q116" s="1" t="s">
        <v>868</v>
      </c>
      <c r="R116" s="1" t="s">
        <v>91</v>
      </c>
      <c r="S116">
        <v>1277</v>
      </c>
      <c r="T116">
        <v>89201400</v>
      </c>
      <c r="U116" s="1" t="s">
        <v>108</v>
      </c>
      <c r="V116" s="1" t="s">
        <v>100</v>
      </c>
      <c r="W116" s="1" t="s">
        <v>87</v>
      </c>
      <c r="X116">
        <v>47</v>
      </c>
      <c r="Y116">
        <v>34222209</v>
      </c>
      <c r="Z116" t="s">
        <v>91</v>
      </c>
      <c r="AA116" t="s">
        <v>91</v>
      </c>
      <c r="AB116" t="s">
        <v>91</v>
      </c>
      <c r="AC116" t="s">
        <v>91</v>
      </c>
      <c r="AD116" t="s">
        <v>91</v>
      </c>
      <c r="AE116" t="s">
        <v>91</v>
      </c>
      <c r="AF116" t="s">
        <v>91</v>
      </c>
      <c r="AG116" s="1" t="s">
        <v>91</v>
      </c>
      <c r="AH116" s="1" t="s">
        <v>91</v>
      </c>
      <c r="AI116" t="s">
        <v>91</v>
      </c>
      <c r="AM116" t="s">
        <v>91</v>
      </c>
      <c r="AN116" t="s">
        <v>91</v>
      </c>
      <c r="AO116" t="s">
        <v>91</v>
      </c>
      <c r="AP116" t="s">
        <v>91</v>
      </c>
      <c r="AQ116" s="1" t="s">
        <v>91</v>
      </c>
      <c r="AR116" s="1" t="s">
        <v>91</v>
      </c>
      <c r="AS116" s="1" t="s">
        <v>91</v>
      </c>
      <c r="AT116" s="1" t="s">
        <v>91</v>
      </c>
      <c r="AU116" s="1" t="s">
        <v>91</v>
      </c>
      <c r="AV116" t="s">
        <v>91</v>
      </c>
      <c r="AW116" t="s">
        <v>91</v>
      </c>
      <c r="AX116" t="s">
        <v>91</v>
      </c>
      <c r="AY116" t="s">
        <v>91</v>
      </c>
      <c r="AZ116" t="s">
        <v>91</v>
      </c>
      <c r="BA116" t="s">
        <v>91</v>
      </c>
      <c r="BB116" s="2">
        <v>44096.645520833335</v>
      </c>
      <c r="BC116" s="2"/>
      <c r="BD116" t="s">
        <v>91</v>
      </c>
      <c r="BF116" s="1" t="s">
        <v>75</v>
      </c>
      <c r="BI116" s="1" t="s">
        <v>88</v>
      </c>
      <c r="BJ116">
        <v>1</v>
      </c>
      <c r="BK116" s="1" t="s">
        <v>89</v>
      </c>
      <c r="BL116" t="s">
        <v>91</v>
      </c>
      <c r="BM116" s="1" t="s">
        <v>109</v>
      </c>
      <c r="BN116" s="1" t="s">
        <v>110</v>
      </c>
      <c r="BO116" s="1" t="s">
        <v>180</v>
      </c>
      <c r="BP116" s="1" t="s">
        <v>91</v>
      </c>
      <c r="BQ116" t="s">
        <v>91</v>
      </c>
      <c r="BR116" s="3">
        <v>44096</v>
      </c>
      <c r="BS116" s="3"/>
      <c r="BT116" t="s">
        <v>91</v>
      </c>
      <c r="BU116" t="s">
        <v>91</v>
      </c>
      <c r="BV116">
        <v>9</v>
      </c>
      <c r="BW116" s="1" t="s">
        <v>228</v>
      </c>
    </row>
    <row r="117" spans="1:75" x14ac:dyDescent="0.35">
      <c r="A117">
        <v>158723</v>
      </c>
      <c r="B117" s="1" t="s">
        <v>75</v>
      </c>
      <c r="C117">
        <v>80</v>
      </c>
      <c r="D117">
        <v>11121001</v>
      </c>
      <c r="E117">
        <v>121001</v>
      </c>
      <c r="F117" s="1" t="s">
        <v>76</v>
      </c>
      <c r="G117" s="1" t="s">
        <v>869</v>
      </c>
      <c r="I117" s="1" t="s">
        <v>78</v>
      </c>
      <c r="J117" s="1" t="s">
        <v>870</v>
      </c>
      <c r="K117" s="1" t="s">
        <v>871</v>
      </c>
      <c r="L117" t="s">
        <v>91</v>
      </c>
      <c r="M117" t="s">
        <v>91</v>
      </c>
      <c r="N117" s="1" t="s">
        <v>872</v>
      </c>
      <c r="O117" t="s">
        <v>91</v>
      </c>
      <c r="P117" s="1" t="s">
        <v>873</v>
      </c>
      <c r="Q117" s="1" t="s">
        <v>874</v>
      </c>
      <c r="R117" s="1" t="s">
        <v>91</v>
      </c>
      <c r="T117">
        <v>89700019</v>
      </c>
      <c r="U117" s="1" t="s">
        <v>108</v>
      </c>
      <c r="V117" s="1" t="s">
        <v>435</v>
      </c>
      <c r="W117" s="1" t="s">
        <v>87</v>
      </c>
      <c r="X117">
        <v>49</v>
      </c>
      <c r="Y117">
        <v>30110835</v>
      </c>
      <c r="Z117" t="s">
        <v>91</v>
      </c>
      <c r="AA117" t="s">
        <v>91</v>
      </c>
      <c r="AB117" t="s">
        <v>91</v>
      </c>
      <c r="AC117" t="s">
        <v>91</v>
      </c>
      <c r="AD117" t="s">
        <v>91</v>
      </c>
      <c r="AE117" t="s">
        <v>91</v>
      </c>
      <c r="AF117" t="s">
        <v>91</v>
      </c>
      <c r="AG117" s="1" t="s">
        <v>91</v>
      </c>
      <c r="AH117" s="1" t="s">
        <v>91</v>
      </c>
      <c r="AI117" t="s">
        <v>91</v>
      </c>
      <c r="AM117" t="s">
        <v>91</v>
      </c>
      <c r="AN117" t="s">
        <v>91</v>
      </c>
      <c r="AO117" t="s">
        <v>91</v>
      </c>
      <c r="AP117" t="s">
        <v>91</v>
      </c>
      <c r="AQ117" s="1" t="s">
        <v>91</v>
      </c>
      <c r="AR117" s="1" t="s">
        <v>91</v>
      </c>
      <c r="AS117" s="1" t="s">
        <v>91</v>
      </c>
      <c r="AT117" s="1" t="s">
        <v>91</v>
      </c>
      <c r="AU117" s="1" t="s">
        <v>91</v>
      </c>
      <c r="AV117" t="s">
        <v>91</v>
      </c>
      <c r="AW117" t="s">
        <v>91</v>
      </c>
      <c r="AX117" t="s">
        <v>91</v>
      </c>
      <c r="AY117" t="s">
        <v>91</v>
      </c>
      <c r="AZ117" t="s">
        <v>91</v>
      </c>
      <c r="BA117" t="s">
        <v>91</v>
      </c>
      <c r="BB117" s="2">
        <v>45155.700069444443</v>
      </c>
      <c r="BC117" s="2"/>
      <c r="BD117" t="s">
        <v>91</v>
      </c>
      <c r="BF117" s="1" t="s">
        <v>75</v>
      </c>
      <c r="BI117" s="1" t="s">
        <v>88</v>
      </c>
      <c r="BJ117">
        <v>1</v>
      </c>
      <c r="BK117" s="1" t="s">
        <v>89</v>
      </c>
      <c r="BL117" t="s">
        <v>91</v>
      </c>
      <c r="BM117" s="1" t="s">
        <v>91</v>
      </c>
      <c r="BN117" s="1" t="s">
        <v>91</v>
      </c>
      <c r="BO117" s="1" t="s">
        <v>91</v>
      </c>
      <c r="BP117" s="1" t="s">
        <v>91</v>
      </c>
      <c r="BQ117" t="s">
        <v>91</v>
      </c>
      <c r="BR117" s="3">
        <v>45155</v>
      </c>
      <c r="BS117" s="3"/>
      <c r="BT117" t="s">
        <v>91</v>
      </c>
      <c r="BU117" t="s">
        <v>91</v>
      </c>
      <c r="BW117" s="1" t="s">
        <v>263</v>
      </c>
    </row>
    <row r="118" spans="1:75" x14ac:dyDescent="0.35">
      <c r="A118">
        <v>931</v>
      </c>
      <c r="B118" s="1" t="s">
        <v>75</v>
      </c>
      <c r="C118">
        <v>80</v>
      </c>
      <c r="D118">
        <v>11121001</v>
      </c>
      <c r="E118">
        <v>121001</v>
      </c>
      <c r="F118" s="1" t="s">
        <v>76</v>
      </c>
      <c r="G118" s="1" t="s">
        <v>875</v>
      </c>
      <c r="I118" s="1" t="s">
        <v>78</v>
      </c>
      <c r="J118" s="1" t="s">
        <v>876</v>
      </c>
      <c r="K118" s="1" t="s">
        <v>877</v>
      </c>
      <c r="L118" t="s">
        <v>91</v>
      </c>
      <c r="M118" t="s">
        <v>91</v>
      </c>
      <c r="N118" s="1" t="s">
        <v>878</v>
      </c>
      <c r="O118" t="s">
        <v>91</v>
      </c>
      <c r="P118" s="1" t="s">
        <v>879</v>
      </c>
      <c r="Q118" s="1" t="s">
        <v>880</v>
      </c>
      <c r="R118" s="1" t="s">
        <v>91</v>
      </c>
      <c r="S118">
        <v>1280</v>
      </c>
      <c r="T118">
        <v>89249000</v>
      </c>
      <c r="U118" s="1" t="s">
        <v>881</v>
      </c>
      <c r="V118" s="1" t="s">
        <v>119</v>
      </c>
      <c r="W118" s="1" t="s">
        <v>87</v>
      </c>
      <c r="X118">
        <v>47</v>
      </c>
      <c r="Y118">
        <v>34433948</v>
      </c>
      <c r="Z118" t="s">
        <v>91</v>
      </c>
      <c r="AA118" t="s">
        <v>91</v>
      </c>
      <c r="AB118" t="s">
        <v>91</v>
      </c>
      <c r="AC118" t="s">
        <v>91</v>
      </c>
      <c r="AD118" t="s">
        <v>91</v>
      </c>
      <c r="AE118" t="s">
        <v>91</v>
      </c>
      <c r="AF118" t="s">
        <v>91</v>
      </c>
      <c r="AG118" s="1" t="s">
        <v>91</v>
      </c>
      <c r="AH118" s="1" t="s">
        <v>91</v>
      </c>
      <c r="AI118" t="s">
        <v>91</v>
      </c>
      <c r="AJ118">
        <v>0</v>
      </c>
      <c r="AK118">
        <v>0</v>
      </c>
      <c r="AL118">
        <v>0</v>
      </c>
      <c r="AM118" t="s">
        <v>91</v>
      </c>
      <c r="AN118" t="s">
        <v>91</v>
      </c>
      <c r="AO118" t="s">
        <v>91</v>
      </c>
      <c r="AP118" t="s">
        <v>91</v>
      </c>
      <c r="AQ118" s="1" t="s">
        <v>91</v>
      </c>
      <c r="AR118" s="1" t="s">
        <v>91</v>
      </c>
      <c r="AS118" s="1" t="s">
        <v>91</v>
      </c>
      <c r="AT118" s="1" t="s">
        <v>91</v>
      </c>
      <c r="AU118" s="1" t="s">
        <v>91</v>
      </c>
      <c r="AV118" t="s">
        <v>91</v>
      </c>
      <c r="AW118" t="s">
        <v>91</v>
      </c>
      <c r="AX118" t="s">
        <v>91</v>
      </c>
      <c r="AY118" t="s">
        <v>91</v>
      </c>
      <c r="AZ118" t="s">
        <v>91</v>
      </c>
      <c r="BA118" t="s">
        <v>91</v>
      </c>
      <c r="BB118" s="2">
        <v>43308.39298611111</v>
      </c>
      <c r="BC118" s="2"/>
      <c r="BD118" t="s">
        <v>91</v>
      </c>
      <c r="BE118">
        <v>931</v>
      </c>
      <c r="BF118" s="1" t="s">
        <v>75</v>
      </c>
      <c r="BG118">
        <v>0</v>
      </c>
      <c r="BH118">
        <v>0</v>
      </c>
      <c r="BI118" s="1" t="s">
        <v>88</v>
      </c>
      <c r="BJ118">
        <v>1</v>
      </c>
      <c r="BK118" s="1" t="s">
        <v>89</v>
      </c>
      <c r="BL118" t="s">
        <v>91</v>
      </c>
      <c r="BM118" s="1" t="s">
        <v>109</v>
      </c>
      <c r="BN118" s="1" t="s">
        <v>110</v>
      </c>
      <c r="BO118" s="1" t="s">
        <v>180</v>
      </c>
      <c r="BP118" s="1" t="s">
        <v>91</v>
      </c>
      <c r="BQ118" t="s">
        <v>91</v>
      </c>
      <c r="BR118" s="3">
        <v>43308</v>
      </c>
      <c r="BS118" s="3"/>
      <c r="BT118" t="s">
        <v>91</v>
      </c>
      <c r="BU118" t="s">
        <v>91</v>
      </c>
      <c r="BV118">
        <v>9</v>
      </c>
      <c r="BW118" s="1" t="s">
        <v>882</v>
      </c>
    </row>
    <row r="119" spans="1:75" x14ac:dyDescent="0.35">
      <c r="A119">
        <v>157534</v>
      </c>
      <c r="B119" s="1" t="s">
        <v>75</v>
      </c>
      <c r="C119">
        <v>80</v>
      </c>
      <c r="D119">
        <v>11121001</v>
      </c>
      <c r="E119">
        <v>121001</v>
      </c>
      <c r="F119" s="1" t="s">
        <v>76</v>
      </c>
      <c r="G119" s="1" t="s">
        <v>883</v>
      </c>
      <c r="H119">
        <v>0</v>
      </c>
      <c r="I119" s="1" t="s">
        <v>78</v>
      </c>
      <c r="J119" s="1" t="s">
        <v>884</v>
      </c>
      <c r="K119" s="1" t="s">
        <v>885</v>
      </c>
      <c r="L119" t="s">
        <v>91</v>
      </c>
      <c r="M119" t="s">
        <v>91</v>
      </c>
      <c r="N119" s="1" t="s">
        <v>886</v>
      </c>
      <c r="O119" t="s">
        <v>91</v>
      </c>
      <c r="P119" s="1" t="s">
        <v>438</v>
      </c>
      <c r="Q119" s="1" t="s">
        <v>887</v>
      </c>
      <c r="R119" s="1" t="s">
        <v>91</v>
      </c>
      <c r="S119">
        <v>1286</v>
      </c>
      <c r="T119">
        <v>89700001</v>
      </c>
      <c r="U119" s="1" t="s">
        <v>108</v>
      </c>
      <c r="V119" s="1" t="s">
        <v>435</v>
      </c>
      <c r="W119" s="1" t="s">
        <v>87</v>
      </c>
      <c r="X119">
        <v>49</v>
      </c>
      <c r="Y119">
        <v>34446197</v>
      </c>
      <c r="Z119" t="s">
        <v>91</v>
      </c>
      <c r="AA119" t="s">
        <v>91</v>
      </c>
      <c r="AB119" t="s">
        <v>91</v>
      </c>
      <c r="AC119" t="s">
        <v>91</v>
      </c>
      <c r="AD119" t="s">
        <v>91</v>
      </c>
      <c r="AE119" t="s">
        <v>91</v>
      </c>
      <c r="AF119" t="s">
        <v>91</v>
      </c>
      <c r="AG119" s="1" t="s">
        <v>91</v>
      </c>
      <c r="AH119" s="1" t="s">
        <v>91</v>
      </c>
      <c r="AI119" t="s">
        <v>91</v>
      </c>
      <c r="AM119" t="s">
        <v>91</v>
      </c>
      <c r="AN119" t="s">
        <v>91</v>
      </c>
      <c r="AO119" t="s">
        <v>91</v>
      </c>
      <c r="AP119" t="s">
        <v>91</v>
      </c>
      <c r="AQ119" s="1" t="s">
        <v>91</v>
      </c>
      <c r="AR119" s="1" t="s">
        <v>91</v>
      </c>
      <c r="AS119" s="1" t="s">
        <v>91</v>
      </c>
      <c r="AT119" s="1" t="s">
        <v>91</v>
      </c>
      <c r="AU119" s="1" t="s">
        <v>91</v>
      </c>
      <c r="AV119" t="s">
        <v>91</v>
      </c>
      <c r="AW119" t="s">
        <v>91</v>
      </c>
      <c r="AX119" t="s">
        <v>91</v>
      </c>
      <c r="AY119" t="s">
        <v>91</v>
      </c>
      <c r="AZ119" t="s">
        <v>91</v>
      </c>
      <c r="BA119" t="s">
        <v>91</v>
      </c>
      <c r="BB119" s="2">
        <v>45118.093391203707</v>
      </c>
      <c r="BC119" s="2"/>
      <c r="BD119" t="s">
        <v>91</v>
      </c>
      <c r="BF119" s="1" t="s">
        <v>75</v>
      </c>
      <c r="BI119" s="1" t="s">
        <v>88</v>
      </c>
      <c r="BJ119">
        <v>1</v>
      </c>
      <c r="BK119" s="1" t="s">
        <v>89</v>
      </c>
      <c r="BL119" t="s">
        <v>91</v>
      </c>
      <c r="BM119" s="1" t="s">
        <v>91</v>
      </c>
      <c r="BN119" s="1" t="s">
        <v>91</v>
      </c>
      <c r="BO119" s="1" t="s">
        <v>91</v>
      </c>
      <c r="BP119" s="1" t="s">
        <v>91</v>
      </c>
      <c r="BQ119" t="s">
        <v>91</v>
      </c>
      <c r="BR119" s="3">
        <v>45118</v>
      </c>
      <c r="BS119" s="3"/>
      <c r="BT119" t="s">
        <v>91</v>
      </c>
      <c r="BU119" t="s">
        <v>91</v>
      </c>
      <c r="BW119" s="1" t="s">
        <v>90</v>
      </c>
    </row>
    <row r="120" spans="1:75" x14ac:dyDescent="0.35">
      <c r="A120">
        <v>138045</v>
      </c>
      <c r="B120" s="1" t="s">
        <v>75</v>
      </c>
      <c r="C120">
        <v>80</v>
      </c>
      <c r="D120">
        <v>11121001</v>
      </c>
      <c r="E120">
        <v>121001</v>
      </c>
      <c r="F120" s="1" t="s">
        <v>76</v>
      </c>
      <c r="G120" s="1" t="s">
        <v>888</v>
      </c>
      <c r="H120">
        <v>0</v>
      </c>
      <c r="I120" s="1" t="s">
        <v>78</v>
      </c>
      <c r="J120" s="1" t="s">
        <v>889</v>
      </c>
      <c r="K120" s="1" t="s">
        <v>890</v>
      </c>
      <c r="L120" t="s">
        <v>91</v>
      </c>
      <c r="M120" t="s">
        <v>91</v>
      </c>
      <c r="N120" s="1" t="s">
        <v>891</v>
      </c>
      <c r="O120" t="s">
        <v>91</v>
      </c>
      <c r="P120" s="1" t="s">
        <v>892</v>
      </c>
      <c r="Q120" s="1" t="s">
        <v>893</v>
      </c>
      <c r="R120" s="1" t="s">
        <v>245</v>
      </c>
      <c r="S120">
        <v>1288</v>
      </c>
      <c r="T120">
        <v>89870000</v>
      </c>
      <c r="U120" s="1" t="s">
        <v>108</v>
      </c>
      <c r="V120" s="1" t="s">
        <v>634</v>
      </c>
      <c r="W120" s="1" t="s">
        <v>87</v>
      </c>
      <c r="X120">
        <v>49</v>
      </c>
      <c r="Y120">
        <v>33663556</v>
      </c>
      <c r="Z120" t="s">
        <v>91</v>
      </c>
      <c r="AA120" t="s">
        <v>91</v>
      </c>
      <c r="AB120" t="s">
        <v>91</v>
      </c>
      <c r="AC120" t="s">
        <v>91</v>
      </c>
      <c r="AD120" t="s">
        <v>91</v>
      </c>
      <c r="AE120" t="s">
        <v>91</v>
      </c>
      <c r="AF120" t="s">
        <v>91</v>
      </c>
      <c r="AG120" s="1" t="s">
        <v>146</v>
      </c>
      <c r="AH120" s="1" t="s">
        <v>91</v>
      </c>
      <c r="AI120" t="s">
        <v>91</v>
      </c>
      <c r="AM120" t="s">
        <v>91</v>
      </c>
      <c r="AN120" t="s">
        <v>91</v>
      </c>
      <c r="AO120" t="s">
        <v>91</v>
      </c>
      <c r="AP120" t="s">
        <v>91</v>
      </c>
      <c r="AQ120" s="1" t="s">
        <v>147</v>
      </c>
      <c r="AR120" s="1" t="s">
        <v>147</v>
      </c>
      <c r="AS120" s="1" t="s">
        <v>147</v>
      </c>
      <c r="AT120" s="1" t="s">
        <v>147</v>
      </c>
      <c r="AU120" s="1" t="s">
        <v>147</v>
      </c>
      <c r="AV120" t="s">
        <v>91</v>
      </c>
      <c r="AW120" t="s">
        <v>91</v>
      </c>
      <c r="AX120" t="s">
        <v>91</v>
      </c>
      <c r="AY120" t="s">
        <v>91</v>
      </c>
      <c r="AZ120" t="s">
        <v>91</v>
      </c>
      <c r="BA120" t="s">
        <v>91</v>
      </c>
      <c r="BB120" s="2">
        <v>44378.578518518516</v>
      </c>
      <c r="BC120" s="2">
        <v>44484.431203703702</v>
      </c>
      <c r="BD120" t="s">
        <v>91</v>
      </c>
      <c r="BF120" s="1" t="s">
        <v>75</v>
      </c>
      <c r="BH120">
        <v>0</v>
      </c>
      <c r="BI120" s="1" t="s">
        <v>88</v>
      </c>
      <c r="BJ120">
        <v>1</v>
      </c>
      <c r="BK120" s="1" t="s">
        <v>89</v>
      </c>
      <c r="BL120" t="s">
        <v>91</v>
      </c>
      <c r="BM120" s="1" t="s">
        <v>109</v>
      </c>
      <c r="BN120" s="1" t="s">
        <v>110</v>
      </c>
      <c r="BO120" s="1" t="s">
        <v>180</v>
      </c>
      <c r="BP120" s="1" t="s">
        <v>91</v>
      </c>
      <c r="BQ120" t="s">
        <v>91</v>
      </c>
      <c r="BR120" s="3">
        <v>44378</v>
      </c>
      <c r="BS120" s="3">
        <v>44484</v>
      </c>
      <c r="BT120" t="s">
        <v>91</v>
      </c>
      <c r="BU120" t="s">
        <v>91</v>
      </c>
      <c r="BW120" s="1" t="s">
        <v>90</v>
      </c>
    </row>
    <row r="121" spans="1:75" x14ac:dyDescent="0.35">
      <c r="A121">
        <v>144516</v>
      </c>
      <c r="B121" s="1" t="s">
        <v>75</v>
      </c>
      <c r="C121">
        <v>80</v>
      </c>
      <c r="D121">
        <v>11121001</v>
      </c>
      <c r="E121">
        <v>121001</v>
      </c>
      <c r="F121" s="1" t="s">
        <v>76</v>
      </c>
      <c r="G121" s="1" t="s">
        <v>894</v>
      </c>
      <c r="I121" s="1" t="s">
        <v>78</v>
      </c>
      <c r="J121" s="1" t="s">
        <v>895</v>
      </c>
      <c r="K121" s="1" t="s">
        <v>896</v>
      </c>
      <c r="L121" t="s">
        <v>91</v>
      </c>
      <c r="M121" t="s">
        <v>91</v>
      </c>
      <c r="N121" s="1" t="s">
        <v>897</v>
      </c>
      <c r="O121" t="s">
        <v>91</v>
      </c>
      <c r="P121" s="1" t="s">
        <v>260</v>
      </c>
      <c r="Q121" s="1" t="s">
        <v>898</v>
      </c>
      <c r="R121" s="1" t="s">
        <v>91</v>
      </c>
      <c r="S121">
        <v>1277</v>
      </c>
      <c r="T121">
        <v>89202000</v>
      </c>
      <c r="U121" s="1" t="s">
        <v>899</v>
      </c>
      <c r="V121" s="1" t="s">
        <v>100</v>
      </c>
      <c r="W121" s="1" t="s">
        <v>87</v>
      </c>
      <c r="X121">
        <v>47</v>
      </c>
      <c r="Y121">
        <v>30256592</v>
      </c>
      <c r="Z121" t="s">
        <v>91</v>
      </c>
      <c r="AA121" t="s">
        <v>91</v>
      </c>
      <c r="AB121" t="s">
        <v>91</v>
      </c>
      <c r="AC121" t="s">
        <v>91</v>
      </c>
      <c r="AD121" t="s">
        <v>91</v>
      </c>
      <c r="AE121" t="s">
        <v>91</v>
      </c>
      <c r="AF121" t="s">
        <v>91</v>
      </c>
      <c r="AG121" s="1" t="s">
        <v>91</v>
      </c>
      <c r="AH121" s="1" t="s">
        <v>91</v>
      </c>
      <c r="AI121" t="s">
        <v>91</v>
      </c>
      <c r="AM121" t="s">
        <v>91</v>
      </c>
      <c r="AN121" t="s">
        <v>91</v>
      </c>
      <c r="AO121" t="s">
        <v>91</v>
      </c>
      <c r="AP121" t="s">
        <v>91</v>
      </c>
      <c r="AQ121" s="1" t="s">
        <v>91</v>
      </c>
      <c r="AR121" s="1" t="s">
        <v>91</v>
      </c>
      <c r="AS121" s="1" t="s">
        <v>91</v>
      </c>
      <c r="AT121" s="1" t="s">
        <v>91</v>
      </c>
      <c r="AU121" s="1" t="s">
        <v>91</v>
      </c>
      <c r="AV121" t="s">
        <v>91</v>
      </c>
      <c r="AW121" t="s">
        <v>91</v>
      </c>
      <c r="AX121" t="s">
        <v>91</v>
      </c>
      <c r="AY121" t="s">
        <v>91</v>
      </c>
      <c r="AZ121" t="s">
        <v>91</v>
      </c>
      <c r="BA121" t="s">
        <v>91</v>
      </c>
      <c r="BB121" s="2"/>
      <c r="BC121" s="2"/>
      <c r="BD121" t="s">
        <v>91</v>
      </c>
      <c r="BF121" s="1" t="s">
        <v>75</v>
      </c>
      <c r="BI121" s="1" t="s">
        <v>88</v>
      </c>
      <c r="BJ121">
        <v>1</v>
      </c>
      <c r="BK121" s="1" t="s">
        <v>89</v>
      </c>
      <c r="BL121" t="s">
        <v>91</v>
      </c>
      <c r="BM121" s="1" t="s">
        <v>109</v>
      </c>
      <c r="BN121" s="1" t="s">
        <v>110</v>
      </c>
      <c r="BO121" s="1" t="s">
        <v>128</v>
      </c>
      <c r="BP121" s="1" t="s">
        <v>91</v>
      </c>
      <c r="BQ121" t="s">
        <v>91</v>
      </c>
      <c r="BR121" s="3"/>
      <c r="BS121" s="3"/>
      <c r="BT121" t="s">
        <v>91</v>
      </c>
      <c r="BU121" t="s">
        <v>91</v>
      </c>
      <c r="BV121">
        <v>9</v>
      </c>
      <c r="BW121" s="1" t="s">
        <v>90</v>
      </c>
    </row>
    <row r="122" spans="1:75" x14ac:dyDescent="0.35">
      <c r="A122">
        <v>138048</v>
      </c>
      <c r="B122" s="1" t="s">
        <v>75</v>
      </c>
      <c r="C122">
        <v>80</v>
      </c>
      <c r="D122">
        <v>11121001</v>
      </c>
      <c r="E122">
        <v>121001</v>
      </c>
      <c r="F122" s="1" t="s">
        <v>76</v>
      </c>
      <c r="G122" s="1" t="s">
        <v>900</v>
      </c>
      <c r="H122">
        <v>0</v>
      </c>
      <c r="I122" s="1" t="s">
        <v>78</v>
      </c>
      <c r="J122" s="1" t="s">
        <v>901</v>
      </c>
      <c r="K122" s="1" t="s">
        <v>902</v>
      </c>
      <c r="L122" t="s">
        <v>91</v>
      </c>
      <c r="M122" t="s">
        <v>91</v>
      </c>
      <c r="N122" s="1" t="s">
        <v>903</v>
      </c>
      <c r="O122" t="s">
        <v>91</v>
      </c>
      <c r="P122" s="1" t="s">
        <v>904</v>
      </c>
      <c r="Q122" s="1" t="s">
        <v>905</v>
      </c>
      <c r="R122" s="1" t="s">
        <v>91</v>
      </c>
      <c r="S122">
        <v>1286</v>
      </c>
      <c r="T122">
        <v>89770000</v>
      </c>
      <c r="U122" s="1" t="s">
        <v>108</v>
      </c>
      <c r="V122" s="1" t="s">
        <v>906</v>
      </c>
      <c r="W122" s="1" t="s">
        <v>87</v>
      </c>
      <c r="X122">
        <v>49</v>
      </c>
      <c r="Y122">
        <v>34522284</v>
      </c>
      <c r="Z122" t="s">
        <v>91</v>
      </c>
      <c r="AA122" t="s">
        <v>91</v>
      </c>
      <c r="AB122" t="s">
        <v>91</v>
      </c>
      <c r="AC122" t="s">
        <v>91</v>
      </c>
      <c r="AD122" t="s">
        <v>91</v>
      </c>
      <c r="AE122" t="s">
        <v>91</v>
      </c>
      <c r="AF122" t="s">
        <v>91</v>
      </c>
      <c r="AG122" s="1" t="s">
        <v>146</v>
      </c>
      <c r="AH122" s="1" t="s">
        <v>91</v>
      </c>
      <c r="AI122" t="s">
        <v>91</v>
      </c>
      <c r="AM122" t="s">
        <v>91</v>
      </c>
      <c r="AN122" t="s">
        <v>91</v>
      </c>
      <c r="AO122" t="s">
        <v>91</v>
      </c>
      <c r="AP122" t="s">
        <v>91</v>
      </c>
      <c r="AQ122" s="1" t="s">
        <v>147</v>
      </c>
      <c r="AR122" s="1" t="s">
        <v>147</v>
      </c>
      <c r="AS122" s="1" t="s">
        <v>147</v>
      </c>
      <c r="AT122" s="1" t="s">
        <v>147</v>
      </c>
      <c r="AU122" s="1" t="s">
        <v>147</v>
      </c>
      <c r="AV122" t="s">
        <v>91</v>
      </c>
      <c r="AW122" t="s">
        <v>91</v>
      </c>
      <c r="AX122" t="s">
        <v>91</v>
      </c>
      <c r="AY122" t="s">
        <v>91</v>
      </c>
      <c r="AZ122" t="s">
        <v>91</v>
      </c>
      <c r="BA122" t="s">
        <v>91</v>
      </c>
      <c r="BB122" s="2">
        <v>44378.578518518516</v>
      </c>
      <c r="BC122" s="2">
        <v>44510.448865740742</v>
      </c>
      <c r="BD122" t="s">
        <v>91</v>
      </c>
      <c r="BF122" s="1" t="s">
        <v>75</v>
      </c>
      <c r="BH122">
        <v>0</v>
      </c>
      <c r="BI122" s="1" t="s">
        <v>88</v>
      </c>
      <c r="BJ122">
        <v>1</v>
      </c>
      <c r="BK122" s="1" t="s">
        <v>89</v>
      </c>
      <c r="BL122" t="s">
        <v>91</v>
      </c>
      <c r="BM122" s="1" t="s">
        <v>109</v>
      </c>
      <c r="BN122" s="1" t="s">
        <v>110</v>
      </c>
      <c r="BO122" s="1" t="s">
        <v>180</v>
      </c>
      <c r="BP122" s="1" t="s">
        <v>91</v>
      </c>
      <c r="BQ122" t="s">
        <v>91</v>
      </c>
      <c r="BR122" s="3">
        <v>44378</v>
      </c>
      <c r="BS122" s="3">
        <v>44510</v>
      </c>
      <c r="BT122" t="s">
        <v>91</v>
      </c>
      <c r="BU122" t="s">
        <v>91</v>
      </c>
      <c r="BW122" s="1" t="s">
        <v>166</v>
      </c>
    </row>
    <row r="123" spans="1:75" x14ac:dyDescent="0.35">
      <c r="A123">
        <v>141884</v>
      </c>
      <c r="B123" s="1" t="s">
        <v>75</v>
      </c>
      <c r="C123">
        <v>80</v>
      </c>
      <c r="D123">
        <v>11121001</v>
      </c>
      <c r="E123">
        <v>121001</v>
      </c>
      <c r="F123" s="1" t="s">
        <v>76</v>
      </c>
      <c r="G123" s="1" t="s">
        <v>907</v>
      </c>
      <c r="H123">
        <v>0</v>
      </c>
      <c r="I123" s="1" t="s">
        <v>78</v>
      </c>
      <c r="J123" s="1" t="s">
        <v>908</v>
      </c>
      <c r="K123" s="1" t="s">
        <v>909</v>
      </c>
      <c r="L123" t="s">
        <v>91</v>
      </c>
      <c r="M123" t="s">
        <v>91</v>
      </c>
      <c r="N123" s="1" t="s">
        <v>910</v>
      </c>
      <c r="O123" t="s">
        <v>91</v>
      </c>
      <c r="P123" s="1" t="s">
        <v>911</v>
      </c>
      <c r="Q123" s="1" t="s">
        <v>912</v>
      </c>
      <c r="R123" s="1" t="s">
        <v>913</v>
      </c>
      <c r="T123">
        <v>98500000</v>
      </c>
      <c r="U123" s="1" t="s">
        <v>108</v>
      </c>
      <c r="V123" s="1" t="s">
        <v>848</v>
      </c>
      <c r="W123" s="1" t="s">
        <v>157</v>
      </c>
      <c r="X123">
        <v>55</v>
      </c>
      <c r="Y123">
        <v>35512996</v>
      </c>
      <c r="Z123" t="s">
        <v>91</v>
      </c>
      <c r="AA123" t="s">
        <v>91</v>
      </c>
      <c r="AB123" t="s">
        <v>91</v>
      </c>
      <c r="AC123" t="s">
        <v>91</v>
      </c>
      <c r="AD123" t="s">
        <v>91</v>
      </c>
      <c r="AE123" t="s">
        <v>91</v>
      </c>
      <c r="AF123" t="s">
        <v>91</v>
      </c>
      <c r="AG123" s="1" t="s">
        <v>91</v>
      </c>
      <c r="AH123" s="1" t="s">
        <v>91</v>
      </c>
      <c r="AI123" t="s">
        <v>91</v>
      </c>
      <c r="AM123" t="s">
        <v>91</v>
      </c>
      <c r="AN123" t="s">
        <v>91</v>
      </c>
      <c r="AO123" t="s">
        <v>91</v>
      </c>
      <c r="AP123" t="s">
        <v>91</v>
      </c>
      <c r="AQ123" s="1" t="s">
        <v>91</v>
      </c>
      <c r="AR123" s="1" t="s">
        <v>91</v>
      </c>
      <c r="AS123" s="1" t="s">
        <v>91</v>
      </c>
      <c r="AT123" s="1" t="s">
        <v>91</v>
      </c>
      <c r="AU123" s="1" t="s">
        <v>91</v>
      </c>
      <c r="AV123" t="s">
        <v>91</v>
      </c>
      <c r="AW123" t="s">
        <v>91</v>
      </c>
      <c r="AX123" t="s">
        <v>91</v>
      </c>
      <c r="AY123" t="s">
        <v>91</v>
      </c>
      <c r="AZ123" t="s">
        <v>91</v>
      </c>
      <c r="BA123" t="s">
        <v>91</v>
      </c>
      <c r="BB123" s="2">
        <v>44497.815659722219</v>
      </c>
      <c r="BC123" s="2"/>
      <c r="BD123" t="s">
        <v>91</v>
      </c>
      <c r="BF123" s="1" t="s">
        <v>75</v>
      </c>
      <c r="BI123" s="1" t="s">
        <v>88</v>
      </c>
      <c r="BJ123">
        <v>1</v>
      </c>
      <c r="BK123" s="1" t="s">
        <v>89</v>
      </c>
      <c r="BL123" t="s">
        <v>91</v>
      </c>
      <c r="BM123" s="1" t="s">
        <v>109</v>
      </c>
      <c r="BN123" s="1" t="s">
        <v>91</v>
      </c>
      <c r="BO123" s="1" t="s">
        <v>128</v>
      </c>
      <c r="BP123" s="1" t="s">
        <v>91</v>
      </c>
      <c r="BQ123" t="s">
        <v>91</v>
      </c>
      <c r="BR123" s="3">
        <v>44497</v>
      </c>
      <c r="BS123" s="3"/>
      <c r="BT123" t="s">
        <v>91</v>
      </c>
      <c r="BU123" t="s">
        <v>91</v>
      </c>
      <c r="BW123" s="1" t="s">
        <v>419</v>
      </c>
    </row>
    <row r="124" spans="1:75" x14ac:dyDescent="0.35">
      <c r="A124">
        <v>138051</v>
      </c>
      <c r="B124" s="1" t="s">
        <v>75</v>
      </c>
      <c r="C124">
        <v>80</v>
      </c>
      <c r="D124">
        <v>11121001</v>
      </c>
      <c r="E124">
        <v>121001</v>
      </c>
      <c r="F124" s="1" t="s">
        <v>76</v>
      </c>
      <c r="G124" s="1" t="s">
        <v>914</v>
      </c>
      <c r="H124">
        <v>0</v>
      </c>
      <c r="I124" s="1" t="s">
        <v>78</v>
      </c>
      <c r="J124" s="1" t="s">
        <v>915</v>
      </c>
      <c r="K124" s="1" t="s">
        <v>916</v>
      </c>
      <c r="L124" t="s">
        <v>91</v>
      </c>
      <c r="M124" t="s">
        <v>91</v>
      </c>
      <c r="N124" s="1" t="s">
        <v>917</v>
      </c>
      <c r="O124" t="s">
        <v>91</v>
      </c>
      <c r="P124" s="1" t="s">
        <v>918</v>
      </c>
      <c r="Q124" s="1" t="s">
        <v>919</v>
      </c>
      <c r="R124" s="1" t="s">
        <v>91</v>
      </c>
      <c r="S124">
        <v>1287</v>
      </c>
      <c r="T124">
        <v>89802000</v>
      </c>
      <c r="U124" s="1" t="s">
        <v>108</v>
      </c>
      <c r="V124" s="1" t="s">
        <v>337</v>
      </c>
      <c r="W124" s="1" t="s">
        <v>87</v>
      </c>
      <c r="X124">
        <v>49</v>
      </c>
      <c r="Y124">
        <v>33163233</v>
      </c>
      <c r="Z124" t="s">
        <v>91</v>
      </c>
      <c r="AA124" t="s">
        <v>91</v>
      </c>
      <c r="AB124" t="s">
        <v>91</v>
      </c>
      <c r="AC124" t="s">
        <v>91</v>
      </c>
      <c r="AD124" t="s">
        <v>91</v>
      </c>
      <c r="AE124" t="s">
        <v>91</v>
      </c>
      <c r="AF124" t="s">
        <v>91</v>
      </c>
      <c r="AG124" s="1" t="s">
        <v>146</v>
      </c>
      <c r="AH124" s="1" t="s">
        <v>91</v>
      </c>
      <c r="AI124" t="s">
        <v>91</v>
      </c>
      <c r="AM124" t="s">
        <v>91</v>
      </c>
      <c r="AN124" t="s">
        <v>91</v>
      </c>
      <c r="AO124" t="s">
        <v>91</v>
      </c>
      <c r="AP124" t="s">
        <v>91</v>
      </c>
      <c r="AQ124" s="1" t="s">
        <v>147</v>
      </c>
      <c r="AR124" s="1" t="s">
        <v>147</v>
      </c>
      <c r="AS124" s="1" t="s">
        <v>147</v>
      </c>
      <c r="AT124" s="1" t="s">
        <v>147</v>
      </c>
      <c r="AU124" s="1" t="s">
        <v>147</v>
      </c>
      <c r="AV124" t="s">
        <v>91</v>
      </c>
      <c r="AW124" t="s">
        <v>91</v>
      </c>
      <c r="AX124" t="s">
        <v>91</v>
      </c>
      <c r="AY124" t="s">
        <v>91</v>
      </c>
      <c r="AZ124" t="s">
        <v>91</v>
      </c>
      <c r="BA124" t="s">
        <v>91</v>
      </c>
      <c r="BB124" s="2">
        <v>44378.578518518516</v>
      </c>
      <c r="BC124" s="2">
        <v>44638.597997685189</v>
      </c>
      <c r="BD124" t="s">
        <v>91</v>
      </c>
      <c r="BF124" s="1" t="s">
        <v>75</v>
      </c>
      <c r="BH124">
        <v>0</v>
      </c>
      <c r="BI124" s="1" t="s">
        <v>88</v>
      </c>
      <c r="BJ124">
        <v>1</v>
      </c>
      <c r="BK124" s="1" t="s">
        <v>89</v>
      </c>
      <c r="BL124" t="s">
        <v>91</v>
      </c>
      <c r="BM124" s="1" t="s">
        <v>109</v>
      </c>
      <c r="BN124" s="1" t="s">
        <v>110</v>
      </c>
      <c r="BO124" s="1" t="s">
        <v>128</v>
      </c>
      <c r="BP124" s="1" t="s">
        <v>91</v>
      </c>
      <c r="BQ124" t="s">
        <v>91</v>
      </c>
      <c r="BR124" s="3">
        <v>44378</v>
      </c>
      <c r="BS124" s="3">
        <v>44638</v>
      </c>
      <c r="BT124" t="s">
        <v>91</v>
      </c>
      <c r="BU124" t="s">
        <v>91</v>
      </c>
      <c r="BW124" s="1" t="s">
        <v>735</v>
      </c>
    </row>
    <row r="125" spans="1:75" x14ac:dyDescent="0.35">
      <c r="A125">
        <v>127753</v>
      </c>
      <c r="B125" s="1" t="s">
        <v>75</v>
      </c>
      <c r="C125">
        <v>80</v>
      </c>
      <c r="D125">
        <v>11121001</v>
      </c>
      <c r="E125">
        <v>121001</v>
      </c>
      <c r="F125" s="1" t="s">
        <v>76</v>
      </c>
      <c r="G125" s="1" t="s">
        <v>920</v>
      </c>
      <c r="H125">
        <v>0</v>
      </c>
      <c r="I125" s="1" t="s">
        <v>78</v>
      </c>
      <c r="J125" s="1" t="s">
        <v>921</v>
      </c>
      <c r="K125" s="1" t="s">
        <v>922</v>
      </c>
      <c r="L125" t="s">
        <v>91</v>
      </c>
      <c r="M125" t="s">
        <v>91</v>
      </c>
      <c r="N125" s="1" t="s">
        <v>91</v>
      </c>
      <c r="O125" t="s">
        <v>91</v>
      </c>
      <c r="P125" s="1" t="s">
        <v>923</v>
      </c>
      <c r="Q125" s="1" t="s">
        <v>924</v>
      </c>
      <c r="R125" s="1" t="s">
        <v>91</v>
      </c>
      <c r="S125">
        <v>1280</v>
      </c>
      <c r="T125">
        <v>89290000</v>
      </c>
      <c r="U125" s="1" t="s">
        <v>108</v>
      </c>
      <c r="V125" s="1" t="s">
        <v>520</v>
      </c>
      <c r="W125" s="1" t="s">
        <v>87</v>
      </c>
      <c r="X125">
        <v>47</v>
      </c>
      <c r="Y125">
        <v>91746090</v>
      </c>
      <c r="Z125" t="s">
        <v>91</v>
      </c>
      <c r="AA125" t="s">
        <v>91</v>
      </c>
      <c r="AB125" t="s">
        <v>91</v>
      </c>
      <c r="AC125" t="s">
        <v>91</v>
      </c>
      <c r="AD125" t="s">
        <v>91</v>
      </c>
      <c r="AE125" t="s">
        <v>91</v>
      </c>
      <c r="AF125" t="s">
        <v>91</v>
      </c>
      <c r="AG125" s="1" t="s">
        <v>91</v>
      </c>
      <c r="AH125" s="1" t="s">
        <v>91</v>
      </c>
      <c r="AI125" t="s">
        <v>91</v>
      </c>
      <c r="AM125" t="s">
        <v>91</v>
      </c>
      <c r="AN125" t="s">
        <v>91</v>
      </c>
      <c r="AO125" t="s">
        <v>91</v>
      </c>
      <c r="AP125" t="s">
        <v>91</v>
      </c>
      <c r="AQ125" s="1" t="s">
        <v>91</v>
      </c>
      <c r="AR125" s="1" t="s">
        <v>91</v>
      </c>
      <c r="AS125" s="1" t="s">
        <v>91</v>
      </c>
      <c r="AT125" s="1" t="s">
        <v>91</v>
      </c>
      <c r="AU125" s="1" t="s">
        <v>91</v>
      </c>
      <c r="AV125" t="s">
        <v>91</v>
      </c>
      <c r="AW125" t="s">
        <v>91</v>
      </c>
      <c r="AX125" t="s">
        <v>91</v>
      </c>
      <c r="AY125" t="s">
        <v>91</v>
      </c>
      <c r="AZ125" t="s">
        <v>91</v>
      </c>
      <c r="BA125" t="s">
        <v>91</v>
      </c>
      <c r="BB125" s="2">
        <v>44111.380995370368</v>
      </c>
      <c r="BC125" s="2"/>
      <c r="BD125" t="s">
        <v>91</v>
      </c>
      <c r="BF125" s="1" t="s">
        <v>75</v>
      </c>
      <c r="BI125" s="1" t="s">
        <v>88</v>
      </c>
      <c r="BJ125">
        <v>1</v>
      </c>
      <c r="BK125" s="1" t="s">
        <v>89</v>
      </c>
      <c r="BL125" t="s">
        <v>91</v>
      </c>
      <c r="BM125" s="1" t="s">
        <v>109</v>
      </c>
      <c r="BN125" s="1" t="s">
        <v>110</v>
      </c>
      <c r="BO125" s="1" t="s">
        <v>180</v>
      </c>
      <c r="BP125" s="1" t="s">
        <v>91</v>
      </c>
      <c r="BQ125" t="s">
        <v>91</v>
      </c>
      <c r="BR125" s="3">
        <v>44111</v>
      </c>
      <c r="BS125" s="3"/>
      <c r="BT125" t="s">
        <v>91</v>
      </c>
      <c r="BU125" t="s">
        <v>91</v>
      </c>
      <c r="BV125">
        <v>9</v>
      </c>
      <c r="BW125" s="1" t="s">
        <v>90</v>
      </c>
    </row>
    <row r="126" spans="1:75" x14ac:dyDescent="0.35">
      <c r="A126">
        <v>157580</v>
      </c>
      <c r="B126" s="1" t="s">
        <v>75</v>
      </c>
      <c r="C126">
        <v>80</v>
      </c>
      <c r="D126">
        <v>11121001</v>
      </c>
      <c r="E126">
        <v>121001</v>
      </c>
      <c r="F126" s="1" t="s">
        <v>76</v>
      </c>
      <c r="G126" s="1" t="s">
        <v>925</v>
      </c>
      <c r="H126">
        <v>0</v>
      </c>
      <c r="I126" s="1" t="s">
        <v>78</v>
      </c>
      <c r="J126" s="1" t="s">
        <v>926</v>
      </c>
      <c r="K126" s="1" t="s">
        <v>927</v>
      </c>
      <c r="L126" t="s">
        <v>91</v>
      </c>
      <c r="M126" t="s">
        <v>91</v>
      </c>
      <c r="N126" s="1" t="s">
        <v>928</v>
      </c>
      <c r="O126" t="s">
        <v>91</v>
      </c>
      <c r="P126" s="1" t="s">
        <v>929</v>
      </c>
      <c r="Q126" s="1" t="s">
        <v>930</v>
      </c>
      <c r="R126" s="1" t="s">
        <v>173</v>
      </c>
      <c r="S126">
        <v>1279</v>
      </c>
      <c r="T126">
        <v>89227690</v>
      </c>
      <c r="U126" s="1" t="s">
        <v>426</v>
      </c>
      <c r="V126" s="1" t="s">
        <v>100</v>
      </c>
      <c r="W126" s="1" t="s">
        <v>87</v>
      </c>
      <c r="X126">
        <v>47</v>
      </c>
      <c r="Y126">
        <v>30572145</v>
      </c>
      <c r="Z126" t="s">
        <v>91</v>
      </c>
      <c r="AA126" t="s">
        <v>91</v>
      </c>
      <c r="AB126" t="s">
        <v>91</v>
      </c>
      <c r="AC126" t="s">
        <v>91</v>
      </c>
      <c r="AD126" t="s">
        <v>91</v>
      </c>
      <c r="AE126" t="s">
        <v>91</v>
      </c>
      <c r="AF126" t="s">
        <v>91</v>
      </c>
      <c r="AG126" s="1" t="s">
        <v>91</v>
      </c>
      <c r="AH126" s="1" t="s">
        <v>91</v>
      </c>
      <c r="AI126" t="s">
        <v>91</v>
      </c>
      <c r="AM126" t="s">
        <v>91</v>
      </c>
      <c r="AN126" t="s">
        <v>91</v>
      </c>
      <c r="AO126" t="s">
        <v>91</v>
      </c>
      <c r="AP126" t="s">
        <v>91</v>
      </c>
      <c r="AQ126" s="1" t="s">
        <v>91</v>
      </c>
      <c r="AR126" s="1" t="s">
        <v>91</v>
      </c>
      <c r="AS126" s="1" t="s">
        <v>91</v>
      </c>
      <c r="AT126" s="1" t="s">
        <v>91</v>
      </c>
      <c r="AU126" s="1" t="s">
        <v>91</v>
      </c>
      <c r="AV126" t="s">
        <v>91</v>
      </c>
      <c r="AW126" t="s">
        <v>91</v>
      </c>
      <c r="AX126" t="s">
        <v>91</v>
      </c>
      <c r="AY126" t="s">
        <v>91</v>
      </c>
      <c r="AZ126" t="s">
        <v>91</v>
      </c>
      <c r="BA126" t="s">
        <v>91</v>
      </c>
      <c r="BB126" s="2">
        <v>45118.093391203707</v>
      </c>
      <c r="BC126" s="2"/>
      <c r="BD126" t="s">
        <v>91</v>
      </c>
      <c r="BF126" s="1" t="s">
        <v>75</v>
      </c>
      <c r="BI126" s="1" t="s">
        <v>88</v>
      </c>
      <c r="BJ126">
        <v>1</v>
      </c>
      <c r="BK126" s="1" t="s">
        <v>89</v>
      </c>
      <c r="BL126" t="s">
        <v>91</v>
      </c>
      <c r="BM126" s="1" t="s">
        <v>91</v>
      </c>
      <c r="BN126" s="1" t="s">
        <v>91</v>
      </c>
      <c r="BO126" s="1" t="s">
        <v>91</v>
      </c>
      <c r="BP126" s="1" t="s">
        <v>91</v>
      </c>
      <c r="BQ126" t="s">
        <v>91</v>
      </c>
      <c r="BR126" s="3">
        <v>45118</v>
      </c>
      <c r="BS126" s="3"/>
      <c r="BT126" t="s">
        <v>91</v>
      </c>
      <c r="BU126" t="s">
        <v>91</v>
      </c>
      <c r="BW126" s="1" t="s">
        <v>90</v>
      </c>
    </row>
    <row r="127" spans="1:75" x14ac:dyDescent="0.35">
      <c r="A127">
        <v>157576</v>
      </c>
      <c r="B127" s="1" t="s">
        <v>75</v>
      </c>
      <c r="C127">
        <v>80</v>
      </c>
      <c r="D127">
        <v>11121001</v>
      </c>
      <c r="E127">
        <v>121001</v>
      </c>
      <c r="F127" s="1" t="s">
        <v>76</v>
      </c>
      <c r="G127" s="1" t="s">
        <v>931</v>
      </c>
      <c r="H127">
        <v>0</v>
      </c>
      <c r="I127" s="1" t="s">
        <v>78</v>
      </c>
      <c r="J127" s="1" t="s">
        <v>926</v>
      </c>
      <c r="K127" s="1" t="s">
        <v>932</v>
      </c>
      <c r="L127" t="s">
        <v>91</v>
      </c>
      <c r="M127" t="s">
        <v>91</v>
      </c>
      <c r="N127" s="1" t="s">
        <v>928</v>
      </c>
      <c r="O127" t="s">
        <v>91</v>
      </c>
      <c r="P127" s="1" t="s">
        <v>105</v>
      </c>
      <c r="Q127" s="1" t="s">
        <v>933</v>
      </c>
      <c r="R127" s="1" t="s">
        <v>91</v>
      </c>
      <c r="S127">
        <v>1277</v>
      </c>
      <c r="T127">
        <v>89201001</v>
      </c>
      <c r="U127" s="1" t="s">
        <v>108</v>
      </c>
      <c r="V127" s="1" t="s">
        <v>100</v>
      </c>
      <c r="W127" s="1" t="s">
        <v>87</v>
      </c>
      <c r="Z127" t="s">
        <v>91</v>
      </c>
      <c r="AA127" t="s">
        <v>91</v>
      </c>
      <c r="AB127" t="s">
        <v>91</v>
      </c>
      <c r="AC127" t="s">
        <v>91</v>
      </c>
      <c r="AD127" t="s">
        <v>91</v>
      </c>
      <c r="AE127" t="s">
        <v>91</v>
      </c>
      <c r="AF127" t="s">
        <v>91</v>
      </c>
      <c r="AG127" s="1" t="s">
        <v>91</v>
      </c>
      <c r="AH127" s="1" t="s">
        <v>91</v>
      </c>
      <c r="AI127" t="s">
        <v>91</v>
      </c>
      <c r="AM127" t="s">
        <v>91</v>
      </c>
      <c r="AN127" t="s">
        <v>91</v>
      </c>
      <c r="AO127" t="s">
        <v>91</v>
      </c>
      <c r="AP127" t="s">
        <v>91</v>
      </c>
      <c r="AQ127" s="1" t="s">
        <v>91</v>
      </c>
      <c r="AR127" s="1" t="s">
        <v>91</v>
      </c>
      <c r="AS127" s="1" t="s">
        <v>91</v>
      </c>
      <c r="AT127" s="1" t="s">
        <v>91</v>
      </c>
      <c r="AU127" s="1" t="s">
        <v>91</v>
      </c>
      <c r="AV127" t="s">
        <v>91</v>
      </c>
      <c r="AW127" t="s">
        <v>91</v>
      </c>
      <c r="AX127" t="s">
        <v>91</v>
      </c>
      <c r="AY127" t="s">
        <v>91</v>
      </c>
      <c r="AZ127" t="s">
        <v>91</v>
      </c>
      <c r="BA127" t="s">
        <v>91</v>
      </c>
      <c r="BB127" s="2">
        <v>45118.093391203707</v>
      </c>
      <c r="BC127" s="2"/>
      <c r="BD127" t="s">
        <v>91</v>
      </c>
      <c r="BF127" s="1" t="s">
        <v>75</v>
      </c>
      <c r="BI127" s="1" t="s">
        <v>88</v>
      </c>
      <c r="BJ127">
        <v>1</v>
      </c>
      <c r="BK127" s="1" t="s">
        <v>89</v>
      </c>
      <c r="BL127" t="s">
        <v>91</v>
      </c>
      <c r="BM127" s="1" t="s">
        <v>91</v>
      </c>
      <c r="BN127" s="1" t="s">
        <v>91</v>
      </c>
      <c r="BO127" s="1" t="s">
        <v>91</v>
      </c>
      <c r="BP127" s="1" t="s">
        <v>91</v>
      </c>
      <c r="BQ127" t="s">
        <v>91</v>
      </c>
      <c r="BR127" s="3">
        <v>45118</v>
      </c>
      <c r="BS127" s="3"/>
      <c r="BT127" t="s">
        <v>91</v>
      </c>
      <c r="BU127" t="s">
        <v>91</v>
      </c>
      <c r="BW127" s="1" t="s">
        <v>90</v>
      </c>
    </row>
    <row r="128" spans="1:75" x14ac:dyDescent="0.35">
      <c r="A128">
        <v>157577</v>
      </c>
      <c r="B128" s="1" t="s">
        <v>75</v>
      </c>
      <c r="C128">
        <v>80</v>
      </c>
      <c r="D128">
        <v>11121001</v>
      </c>
      <c r="E128">
        <v>121001</v>
      </c>
      <c r="F128" s="1" t="s">
        <v>76</v>
      </c>
      <c r="G128" s="1" t="s">
        <v>934</v>
      </c>
      <c r="H128">
        <v>0</v>
      </c>
      <c r="I128" s="1" t="s">
        <v>78</v>
      </c>
      <c r="J128" s="1" t="s">
        <v>926</v>
      </c>
      <c r="K128" s="1" t="s">
        <v>935</v>
      </c>
      <c r="L128" t="s">
        <v>91</v>
      </c>
      <c r="M128" t="s">
        <v>91</v>
      </c>
      <c r="N128" s="1" t="s">
        <v>928</v>
      </c>
      <c r="O128" t="s">
        <v>91</v>
      </c>
      <c r="P128" s="1" t="s">
        <v>125</v>
      </c>
      <c r="Q128" s="1" t="s">
        <v>126</v>
      </c>
      <c r="R128" s="1" t="s">
        <v>833</v>
      </c>
      <c r="S128">
        <v>1277</v>
      </c>
      <c r="T128">
        <v>89201010</v>
      </c>
      <c r="U128" s="1" t="s">
        <v>108</v>
      </c>
      <c r="V128" s="1" t="s">
        <v>100</v>
      </c>
      <c r="W128" s="1" t="s">
        <v>87</v>
      </c>
      <c r="X128">
        <v>47</v>
      </c>
      <c r="Y128">
        <v>30273436</v>
      </c>
      <c r="Z128" t="s">
        <v>91</v>
      </c>
      <c r="AA128" t="s">
        <v>91</v>
      </c>
      <c r="AB128" t="s">
        <v>91</v>
      </c>
      <c r="AC128" t="s">
        <v>91</v>
      </c>
      <c r="AD128" t="s">
        <v>91</v>
      </c>
      <c r="AE128" t="s">
        <v>91</v>
      </c>
      <c r="AF128" t="s">
        <v>91</v>
      </c>
      <c r="AG128" s="1" t="s">
        <v>91</v>
      </c>
      <c r="AH128" s="1" t="s">
        <v>91</v>
      </c>
      <c r="AI128" t="s">
        <v>91</v>
      </c>
      <c r="AM128" t="s">
        <v>91</v>
      </c>
      <c r="AN128" t="s">
        <v>91</v>
      </c>
      <c r="AO128" t="s">
        <v>91</v>
      </c>
      <c r="AP128" t="s">
        <v>91</v>
      </c>
      <c r="AQ128" s="1" t="s">
        <v>91</v>
      </c>
      <c r="AR128" s="1" t="s">
        <v>91</v>
      </c>
      <c r="AS128" s="1" t="s">
        <v>91</v>
      </c>
      <c r="AT128" s="1" t="s">
        <v>91</v>
      </c>
      <c r="AU128" s="1" t="s">
        <v>91</v>
      </c>
      <c r="AV128" t="s">
        <v>91</v>
      </c>
      <c r="AW128" t="s">
        <v>91</v>
      </c>
      <c r="AX128" t="s">
        <v>91</v>
      </c>
      <c r="AY128" t="s">
        <v>91</v>
      </c>
      <c r="AZ128" t="s">
        <v>91</v>
      </c>
      <c r="BA128" t="s">
        <v>91</v>
      </c>
      <c r="BB128" s="2">
        <v>45118.093391203707</v>
      </c>
      <c r="BC128" s="2"/>
      <c r="BD128" t="s">
        <v>91</v>
      </c>
      <c r="BF128" s="1" t="s">
        <v>75</v>
      </c>
      <c r="BI128" s="1" t="s">
        <v>88</v>
      </c>
      <c r="BJ128">
        <v>1</v>
      </c>
      <c r="BK128" s="1" t="s">
        <v>89</v>
      </c>
      <c r="BL128" t="s">
        <v>91</v>
      </c>
      <c r="BM128" s="1" t="s">
        <v>91</v>
      </c>
      <c r="BN128" s="1" t="s">
        <v>91</v>
      </c>
      <c r="BO128" s="1" t="s">
        <v>91</v>
      </c>
      <c r="BP128" s="1" t="s">
        <v>91</v>
      </c>
      <c r="BQ128" t="s">
        <v>91</v>
      </c>
      <c r="BR128" s="3">
        <v>45118</v>
      </c>
      <c r="BS128" s="3"/>
      <c r="BT128" t="s">
        <v>91</v>
      </c>
      <c r="BU128" t="s">
        <v>91</v>
      </c>
      <c r="BW128" s="1" t="s">
        <v>90</v>
      </c>
    </row>
    <row r="129" spans="1:75" x14ac:dyDescent="0.35">
      <c r="A129">
        <v>157505</v>
      </c>
      <c r="B129" s="1" t="s">
        <v>75</v>
      </c>
      <c r="C129">
        <v>80</v>
      </c>
      <c r="D129">
        <v>11121001</v>
      </c>
      <c r="E129">
        <v>121001</v>
      </c>
      <c r="F129" s="1" t="s">
        <v>76</v>
      </c>
      <c r="G129" s="1" t="s">
        <v>936</v>
      </c>
      <c r="H129">
        <v>0</v>
      </c>
      <c r="I129" s="1" t="s">
        <v>78</v>
      </c>
      <c r="J129" s="1" t="s">
        <v>937</v>
      </c>
      <c r="K129" s="1" t="s">
        <v>938</v>
      </c>
      <c r="L129" t="s">
        <v>91</v>
      </c>
      <c r="M129" t="s">
        <v>91</v>
      </c>
      <c r="N129" s="1" t="s">
        <v>939</v>
      </c>
      <c r="O129" t="s">
        <v>91</v>
      </c>
      <c r="P129" s="1" t="s">
        <v>940</v>
      </c>
      <c r="Q129" s="1" t="s">
        <v>941</v>
      </c>
      <c r="R129" s="1" t="s">
        <v>135</v>
      </c>
      <c r="T129">
        <v>89460048</v>
      </c>
      <c r="U129" s="1" t="s">
        <v>108</v>
      </c>
      <c r="V129" s="1" t="s">
        <v>777</v>
      </c>
      <c r="W129" s="1" t="s">
        <v>87</v>
      </c>
      <c r="X129">
        <v>47</v>
      </c>
      <c r="Y129">
        <v>36226132</v>
      </c>
      <c r="Z129" t="s">
        <v>91</v>
      </c>
      <c r="AA129" t="s">
        <v>91</v>
      </c>
      <c r="AB129" t="s">
        <v>91</v>
      </c>
      <c r="AC129" t="s">
        <v>91</v>
      </c>
      <c r="AD129" t="s">
        <v>91</v>
      </c>
      <c r="AE129" t="s">
        <v>91</v>
      </c>
      <c r="AF129" t="s">
        <v>91</v>
      </c>
      <c r="AG129" s="1" t="s">
        <v>91</v>
      </c>
      <c r="AH129" s="1" t="s">
        <v>91</v>
      </c>
      <c r="AI129" t="s">
        <v>91</v>
      </c>
      <c r="AM129" t="s">
        <v>91</v>
      </c>
      <c r="AN129" t="s">
        <v>91</v>
      </c>
      <c r="AO129" t="s">
        <v>91</v>
      </c>
      <c r="AP129" t="s">
        <v>91</v>
      </c>
      <c r="AQ129" s="1" t="s">
        <v>91</v>
      </c>
      <c r="AR129" s="1" t="s">
        <v>91</v>
      </c>
      <c r="AS129" s="1" t="s">
        <v>91</v>
      </c>
      <c r="AT129" s="1" t="s">
        <v>91</v>
      </c>
      <c r="AU129" s="1" t="s">
        <v>91</v>
      </c>
      <c r="AV129" t="s">
        <v>91</v>
      </c>
      <c r="AW129" t="s">
        <v>91</v>
      </c>
      <c r="AX129" t="s">
        <v>91</v>
      </c>
      <c r="AY129" t="s">
        <v>91</v>
      </c>
      <c r="AZ129" t="s">
        <v>91</v>
      </c>
      <c r="BA129" t="s">
        <v>91</v>
      </c>
      <c r="BB129" s="2">
        <v>45118.093391203707</v>
      </c>
      <c r="BC129" s="2"/>
      <c r="BD129" t="s">
        <v>91</v>
      </c>
      <c r="BF129" s="1" t="s">
        <v>75</v>
      </c>
      <c r="BI129" s="1" t="s">
        <v>88</v>
      </c>
      <c r="BJ129">
        <v>1</v>
      </c>
      <c r="BK129" s="1" t="s">
        <v>89</v>
      </c>
      <c r="BL129" t="s">
        <v>91</v>
      </c>
      <c r="BM129" s="1" t="s">
        <v>91</v>
      </c>
      <c r="BN129" s="1" t="s">
        <v>91</v>
      </c>
      <c r="BO129" s="1" t="s">
        <v>91</v>
      </c>
      <c r="BP129" s="1" t="s">
        <v>91</v>
      </c>
      <c r="BQ129" t="s">
        <v>91</v>
      </c>
      <c r="BR129" s="3">
        <v>45118</v>
      </c>
      <c r="BS129" s="3"/>
      <c r="BT129" t="s">
        <v>91</v>
      </c>
      <c r="BU129" t="s">
        <v>91</v>
      </c>
      <c r="BW129" s="1" t="s">
        <v>90</v>
      </c>
    </row>
    <row r="130" spans="1:75" x14ac:dyDescent="0.35">
      <c r="A130">
        <v>138055</v>
      </c>
      <c r="B130" s="1" t="s">
        <v>75</v>
      </c>
      <c r="C130">
        <v>80</v>
      </c>
      <c r="D130">
        <v>11121001</v>
      </c>
      <c r="E130">
        <v>121001</v>
      </c>
      <c r="F130" s="1" t="s">
        <v>76</v>
      </c>
      <c r="G130" s="1" t="s">
        <v>942</v>
      </c>
      <c r="H130">
        <v>0</v>
      </c>
      <c r="I130" s="1" t="s">
        <v>78</v>
      </c>
      <c r="J130" s="1" t="s">
        <v>943</v>
      </c>
      <c r="K130" s="1" t="s">
        <v>944</v>
      </c>
      <c r="L130" t="s">
        <v>91</v>
      </c>
      <c r="M130" t="s">
        <v>91</v>
      </c>
      <c r="N130" s="1" t="s">
        <v>945</v>
      </c>
      <c r="O130" t="s">
        <v>91</v>
      </c>
      <c r="P130" s="1" t="s">
        <v>946</v>
      </c>
      <c r="Q130" s="1" t="s">
        <v>930</v>
      </c>
      <c r="R130" s="1" t="s">
        <v>947</v>
      </c>
      <c r="S130">
        <v>1287</v>
      </c>
      <c r="T130">
        <v>89802100</v>
      </c>
      <c r="U130" s="1" t="s">
        <v>108</v>
      </c>
      <c r="V130" s="1" t="s">
        <v>337</v>
      </c>
      <c r="W130" s="1" t="s">
        <v>87</v>
      </c>
      <c r="X130">
        <v>49</v>
      </c>
      <c r="Y130">
        <v>33040203</v>
      </c>
      <c r="Z130" t="s">
        <v>91</v>
      </c>
      <c r="AA130" t="s">
        <v>91</v>
      </c>
      <c r="AB130" t="s">
        <v>91</v>
      </c>
      <c r="AC130" t="s">
        <v>91</v>
      </c>
      <c r="AD130" t="s">
        <v>91</v>
      </c>
      <c r="AE130" t="s">
        <v>91</v>
      </c>
      <c r="AF130" t="s">
        <v>91</v>
      </c>
      <c r="AG130" s="1" t="s">
        <v>146</v>
      </c>
      <c r="AH130" s="1" t="s">
        <v>91</v>
      </c>
      <c r="AI130" t="s">
        <v>91</v>
      </c>
      <c r="AM130" t="s">
        <v>91</v>
      </c>
      <c r="AN130" t="s">
        <v>91</v>
      </c>
      <c r="AO130" t="s">
        <v>91</v>
      </c>
      <c r="AP130" t="s">
        <v>91</v>
      </c>
      <c r="AQ130" s="1" t="s">
        <v>147</v>
      </c>
      <c r="AR130" s="1" t="s">
        <v>147</v>
      </c>
      <c r="AS130" s="1" t="s">
        <v>147</v>
      </c>
      <c r="AT130" s="1" t="s">
        <v>147</v>
      </c>
      <c r="AU130" s="1" t="s">
        <v>147</v>
      </c>
      <c r="AV130" t="s">
        <v>91</v>
      </c>
      <c r="AW130" t="s">
        <v>91</v>
      </c>
      <c r="AX130" t="s">
        <v>91</v>
      </c>
      <c r="AY130" t="s">
        <v>91</v>
      </c>
      <c r="AZ130" t="s">
        <v>91</v>
      </c>
      <c r="BA130" t="s">
        <v>91</v>
      </c>
      <c r="BB130" s="2">
        <v>44378.578518518516</v>
      </c>
      <c r="BC130" s="2">
        <v>44495.660127314812</v>
      </c>
      <c r="BD130" t="s">
        <v>91</v>
      </c>
      <c r="BF130" s="1" t="s">
        <v>75</v>
      </c>
      <c r="BH130">
        <v>0</v>
      </c>
      <c r="BI130" s="1" t="s">
        <v>88</v>
      </c>
      <c r="BJ130">
        <v>1</v>
      </c>
      <c r="BK130" s="1" t="s">
        <v>89</v>
      </c>
      <c r="BL130" t="s">
        <v>91</v>
      </c>
      <c r="BM130" s="1" t="s">
        <v>109</v>
      </c>
      <c r="BN130" s="1" t="s">
        <v>110</v>
      </c>
      <c r="BO130" s="1" t="s">
        <v>91</v>
      </c>
      <c r="BP130" s="1" t="s">
        <v>91</v>
      </c>
      <c r="BQ130" t="s">
        <v>91</v>
      </c>
      <c r="BR130" s="3">
        <v>44378</v>
      </c>
      <c r="BS130" s="3">
        <v>44495</v>
      </c>
      <c r="BT130" t="s">
        <v>91</v>
      </c>
      <c r="BU130" t="s">
        <v>91</v>
      </c>
      <c r="BW130" s="1" t="s">
        <v>90</v>
      </c>
    </row>
    <row r="131" spans="1:75" x14ac:dyDescent="0.35">
      <c r="A131">
        <v>144860</v>
      </c>
      <c r="B131" s="1" t="s">
        <v>75</v>
      </c>
      <c r="C131">
        <v>80</v>
      </c>
      <c r="D131">
        <v>11121001</v>
      </c>
      <c r="E131">
        <v>121001</v>
      </c>
      <c r="F131" s="1" t="s">
        <v>76</v>
      </c>
      <c r="G131" s="1" t="s">
        <v>948</v>
      </c>
      <c r="I131" s="1" t="s">
        <v>78</v>
      </c>
      <c r="J131" s="1" t="s">
        <v>949</v>
      </c>
      <c r="K131" s="1" t="s">
        <v>950</v>
      </c>
      <c r="L131" t="s">
        <v>91</v>
      </c>
      <c r="M131" t="s">
        <v>91</v>
      </c>
      <c r="N131" s="1" t="s">
        <v>951</v>
      </c>
      <c r="O131" t="s">
        <v>91</v>
      </c>
      <c r="P131" s="1" t="s">
        <v>952</v>
      </c>
      <c r="Q131" s="1" t="s">
        <v>953</v>
      </c>
      <c r="R131" s="1" t="s">
        <v>954</v>
      </c>
      <c r="T131">
        <v>89227447</v>
      </c>
      <c r="U131" s="1" t="s">
        <v>426</v>
      </c>
      <c r="V131" s="1" t="s">
        <v>100</v>
      </c>
      <c r="W131" s="1" t="s">
        <v>87</v>
      </c>
      <c r="X131">
        <v>47</v>
      </c>
      <c r="Y131">
        <v>988945195</v>
      </c>
      <c r="Z131" t="s">
        <v>91</v>
      </c>
      <c r="AA131" t="s">
        <v>91</v>
      </c>
      <c r="AB131" t="s">
        <v>91</v>
      </c>
      <c r="AC131" t="s">
        <v>91</v>
      </c>
      <c r="AD131" t="s">
        <v>91</v>
      </c>
      <c r="AE131" t="s">
        <v>91</v>
      </c>
      <c r="AF131" t="s">
        <v>91</v>
      </c>
      <c r="AG131" s="1" t="s">
        <v>91</v>
      </c>
      <c r="AH131" s="1" t="s">
        <v>91</v>
      </c>
      <c r="AI131" t="s">
        <v>91</v>
      </c>
      <c r="AM131" t="s">
        <v>91</v>
      </c>
      <c r="AN131" t="s">
        <v>91</v>
      </c>
      <c r="AO131" t="s">
        <v>91</v>
      </c>
      <c r="AP131" t="s">
        <v>91</v>
      </c>
      <c r="AQ131" s="1" t="s">
        <v>91</v>
      </c>
      <c r="AR131" s="1" t="s">
        <v>91</v>
      </c>
      <c r="AS131" s="1" t="s">
        <v>91</v>
      </c>
      <c r="AT131" s="1" t="s">
        <v>91</v>
      </c>
      <c r="AU131" s="1" t="s">
        <v>91</v>
      </c>
      <c r="AV131" t="s">
        <v>91</v>
      </c>
      <c r="AW131" t="s">
        <v>91</v>
      </c>
      <c r="AX131" t="s">
        <v>91</v>
      </c>
      <c r="AY131" t="s">
        <v>91</v>
      </c>
      <c r="AZ131" t="s">
        <v>91</v>
      </c>
      <c r="BA131" t="s">
        <v>91</v>
      </c>
      <c r="BB131" s="2"/>
      <c r="BC131" s="2"/>
      <c r="BD131" t="s">
        <v>91</v>
      </c>
      <c r="BF131" s="1" t="s">
        <v>75</v>
      </c>
      <c r="BI131" s="1" t="s">
        <v>88</v>
      </c>
      <c r="BJ131">
        <v>1</v>
      </c>
      <c r="BK131" s="1" t="s">
        <v>89</v>
      </c>
      <c r="BL131" t="s">
        <v>91</v>
      </c>
      <c r="BM131" s="1" t="s">
        <v>91</v>
      </c>
      <c r="BN131" s="1" t="s">
        <v>91</v>
      </c>
      <c r="BO131" s="1" t="s">
        <v>128</v>
      </c>
      <c r="BP131" s="1" t="s">
        <v>91</v>
      </c>
      <c r="BQ131" t="s">
        <v>91</v>
      </c>
      <c r="BR131" s="3"/>
      <c r="BS131" s="3"/>
      <c r="BT131" t="s">
        <v>91</v>
      </c>
      <c r="BU131" t="s">
        <v>91</v>
      </c>
      <c r="BW131" s="1" t="s">
        <v>955</v>
      </c>
    </row>
    <row r="132" spans="1:75" x14ac:dyDescent="0.35">
      <c r="A132">
        <v>156753</v>
      </c>
      <c r="B132" s="1" t="s">
        <v>75</v>
      </c>
      <c r="C132">
        <v>80</v>
      </c>
      <c r="D132">
        <v>11121001</v>
      </c>
      <c r="E132">
        <v>121001</v>
      </c>
      <c r="F132" s="1" t="s">
        <v>76</v>
      </c>
      <c r="G132" s="1" t="s">
        <v>956</v>
      </c>
      <c r="H132">
        <v>0</v>
      </c>
      <c r="I132" s="1" t="s">
        <v>78</v>
      </c>
      <c r="J132" s="1" t="s">
        <v>957</v>
      </c>
      <c r="K132" s="1" t="s">
        <v>958</v>
      </c>
      <c r="L132" t="s">
        <v>91</v>
      </c>
      <c r="M132" t="s">
        <v>91</v>
      </c>
      <c r="N132" s="1" t="s">
        <v>959</v>
      </c>
      <c r="O132" t="s">
        <v>91</v>
      </c>
      <c r="P132" s="1" t="s">
        <v>960</v>
      </c>
      <c r="Q132" s="1" t="s">
        <v>961</v>
      </c>
      <c r="R132" s="1" t="s">
        <v>370</v>
      </c>
      <c r="S132">
        <v>1280</v>
      </c>
      <c r="T132">
        <v>89245000</v>
      </c>
      <c r="U132" s="1" t="s">
        <v>962</v>
      </c>
      <c r="V132" s="1" t="s">
        <v>798</v>
      </c>
      <c r="W132" s="1" t="s">
        <v>87</v>
      </c>
      <c r="X132">
        <v>47</v>
      </c>
      <c r="Y132">
        <v>34220304</v>
      </c>
      <c r="Z132" t="s">
        <v>91</v>
      </c>
      <c r="AA132" t="s">
        <v>91</v>
      </c>
      <c r="AB132" t="s">
        <v>91</v>
      </c>
      <c r="AC132" t="s">
        <v>91</v>
      </c>
      <c r="AD132" t="s">
        <v>91</v>
      </c>
      <c r="AE132" t="s">
        <v>91</v>
      </c>
      <c r="AF132" t="s">
        <v>91</v>
      </c>
      <c r="AG132" s="1" t="s">
        <v>91</v>
      </c>
      <c r="AH132" s="1" t="s">
        <v>91</v>
      </c>
      <c r="AI132" t="s">
        <v>91</v>
      </c>
      <c r="AM132" t="s">
        <v>91</v>
      </c>
      <c r="AN132" t="s">
        <v>91</v>
      </c>
      <c r="AO132" t="s">
        <v>91</v>
      </c>
      <c r="AP132" t="s">
        <v>91</v>
      </c>
      <c r="AQ132" s="1" t="s">
        <v>91</v>
      </c>
      <c r="AR132" s="1" t="s">
        <v>91</v>
      </c>
      <c r="AS132" s="1" t="s">
        <v>91</v>
      </c>
      <c r="AT132" s="1" t="s">
        <v>91</v>
      </c>
      <c r="AU132" s="1" t="s">
        <v>91</v>
      </c>
      <c r="AV132" t="s">
        <v>91</v>
      </c>
      <c r="AW132" t="s">
        <v>91</v>
      </c>
      <c r="AX132" t="s">
        <v>91</v>
      </c>
      <c r="AY132" t="s">
        <v>91</v>
      </c>
      <c r="AZ132" t="s">
        <v>91</v>
      </c>
      <c r="BA132" t="s">
        <v>91</v>
      </c>
      <c r="BB132" s="2">
        <v>45113.505416666667</v>
      </c>
      <c r="BC132" s="2"/>
      <c r="BD132" t="s">
        <v>91</v>
      </c>
      <c r="BF132" s="1" t="s">
        <v>75</v>
      </c>
      <c r="BI132" s="1" t="s">
        <v>88</v>
      </c>
      <c r="BJ132">
        <v>1</v>
      </c>
      <c r="BK132" s="1" t="s">
        <v>89</v>
      </c>
      <c r="BL132" t="s">
        <v>91</v>
      </c>
      <c r="BM132" s="1" t="s">
        <v>91</v>
      </c>
      <c r="BN132" s="1" t="s">
        <v>91</v>
      </c>
      <c r="BO132" s="1" t="s">
        <v>91</v>
      </c>
      <c r="BP132" s="1" t="s">
        <v>91</v>
      </c>
      <c r="BQ132" t="s">
        <v>91</v>
      </c>
      <c r="BR132" s="3">
        <v>45113</v>
      </c>
      <c r="BS132" s="3"/>
      <c r="BT132" t="s">
        <v>91</v>
      </c>
      <c r="BU132" t="s">
        <v>91</v>
      </c>
      <c r="BW132" s="1" t="s">
        <v>419</v>
      </c>
    </row>
    <row r="133" spans="1:75" x14ac:dyDescent="0.35">
      <c r="A133">
        <v>156817</v>
      </c>
      <c r="B133" s="1" t="s">
        <v>75</v>
      </c>
      <c r="C133">
        <v>80</v>
      </c>
      <c r="D133">
        <v>11121001</v>
      </c>
      <c r="E133">
        <v>121001</v>
      </c>
      <c r="F133" s="1" t="s">
        <v>76</v>
      </c>
      <c r="G133" s="1" t="s">
        <v>963</v>
      </c>
      <c r="H133">
        <v>0</v>
      </c>
      <c r="I133" s="1" t="s">
        <v>78</v>
      </c>
      <c r="J133" s="1" t="s">
        <v>964</v>
      </c>
      <c r="K133" s="1" t="s">
        <v>965</v>
      </c>
      <c r="L133" t="s">
        <v>91</v>
      </c>
      <c r="M133" t="s">
        <v>91</v>
      </c>
      <c r="N133" s="1" t="s">
        <v>966</v>
      </c>
      <c r="O133" t="s">
        <v>91</v>
      </c>
      <c r="P133" s="1" t="s">
        <v>967</v>
      </c>
      <c r="Q133" s="1" t="s">
        <v>968</v>
      </c>
      <c r="R133" s="1" t="s">
        <v>91</v>
      </c>
      <c r="S133">
        <v>1198</v>
      </c>
      <c r="T133">
        <v>84600000</v>
      </c>
      <c r="U133" s="1" t="s">
        <v>108</v>
      </c>
      <c r="V133" s="1" t="s">
        <v>969</v>
      </c>
      <c r="W133" s="1" t="s">
        <v>137</v>
      </c>
      <c r="X133">
        <v>42</v>
      </c>
      <c r="Y133">
        <v>35224645</v>
      </c>
      <c r="Z133" t="s">
        <v>91</v>
      </c>
      <c r="AA133" t="s">
        <v>91</v>
      </c>
      <c r="AB133" t="s">
        <v>91</v>
      </c>
      <c r="AC133" t="s">
        <v>91</v>
      </c>
      <c r="AD133" t="s">
        <v>91</v>
      </c>
      <c r="AE133" t="s">
        <v>91</v>
      </c>
      <c r="AF133" t="s">
        <v>91</v>
      </c>
      <c r="AG133" s="1" t="s">
        <v>91</v>
      </c>
      <c r="AH133" s="1" t="s">
        <v>91</v>
      </c>
      <c r="AI133" t="s">
        <v>91</v>
      </c>
      <c r="AM133" t="s">
        <v>91</v>
      </c>
      <c r="AN133" t="s">
        <v>91</v>
      </c>
      <c r="AO133" t="s">
        <v>91</v>
      </c>
      <c r="AP133" t="s">
        <v>91</v>
      </c>
      <c r="AQ133" s="1" t="s">
        <v>91</v>
      </c>
      <c r="AR133" s="1" t="s">
        <v>91</v>
      </c>
      <c r="AS133" s="1" t="s">
        <v>91</v>
      </c>
      <c r="AT133" s="1" t="s">
        <v>91</v>
      </c>
      <c r="AU133" s="1" t="s">
        <v>91</v>
      </c>
      <c r="AV133" t="s">
        <v>91</v>
      </c>
      <c r="AW133" t="s">
        <v>91</v>
      </c>
      <c r="AX133" t="s">
        <v>91</v>
      </c>
      <c r="AY133" t="s">
        <v>91</v>
      </c>
      <c r="AZ133" t="s">
        <v>91</v>
      </c>
      <c r="BA133" t="s">
        <v>91</v>
      </c>
      <c r="BB133" s="2">
        <v>45113.505416666667</v>
      </c>
      <c r="BC133" s="2"/>
      <c r="BD133" t="s">
        <v>91</v>
      </c>
      <c r="BF133" s="1" t="s">
        <v>75</v>
      </c>
      <c r="BI133" s="1" t="s">
        <v>88</v>
      </c>
      <c r="BJ133">
        <v>1</v>
      </c>
      <c r="BK133" s="1" t="s">
        <v>89</v>
      </c>
      <c r="BL133" t="s">
        <v>91</v>
      </c>
      <c r="BM133" s="1" t="s">
        <v>91</v>
      </c>
      <c r="BN133" s="1" t="s">
        <v>91</v>
      </c>
      <c r="BO133" s="1" t="s">
        <v>91</v>
      </c>
      <c r="BP133" s="1" t="s">
        <v>91</v>
      </c>
      <c r="BQ133" t="s">
        <v>91</v>
      </c>
      <c r="BR133" s="3">
        <v>45113</v>
      </c>
      <c r="BS133" s="3"/>
      <c r="BT133" t="s">
        <v>91</v>
      </c>
      <c r="BU133" t="s">
        <v>91</v>
      </c>
      <c r="BW133" s="1" t="s">
        <v>90</v>
      </c>
    </row>
    <row r="134" spans="1:75" x14ac:dyDescent="0.35">
      <c r="A134">
        <v>144458</v>
      </c>
      <c r="B134" s="1" t="s">
        <v>75</v>
      </c>
      <c r="C134">
        <v>80</v>
      </c>
      <c r="D134">
        <v>11121001</v>
      </c>
      <c r="E134">
        <v>121001</v>
      </c>
      <c r="F134" s="1" t="s">
        <v>76</v>
      </c>
      <c r="G134" s="1" t="s">
        <v>970</v>
      </c>
      <c r="I134" s="1" t="s">
        <v>78</v>
      </c>
      <c r="J134" s="1" t="s">
        <v>971</v>
      </c>
      <c r="K134" s="1" t="s">
        <v>972</v>
      </c>
      <c r="L134" t="s">
        <v>91</v>
      </c>
      <c r="M134" t="s">
        <v>91</v>
      </c>
      <c r="N134" s="1" t="s">
        <v>973</v>
      </c>
      <c r="O134" t="s">
        <v>91</v>
      </c>
      <c r="P134" s="1" t="s">
        <v>125</v>
      </c>
      <c r="Q134" s="1" t="s">
        <v>974</v>
      </c>
      <c r="R134" s="1" t="s">
        <v>91</v>
      </c>
      <c r="S134">
        <v>1277</v>
      </c>
      <c r="T134">
        <v>89201010</v>
      </c>
      <c r="U134" s="1" t="s">
        <v>108</v>
      </c>
      <c r="V134" s="1" t="s">
        <v>100</v>
      </c>
      <c r="W134" s="1" t="s">
        <v>87</v>
      </c>
      <c r="X134">
        <v>47</v>
      </c>
      <c r="Y134">
        <v>34220304</v>
      </c>
      <c r="Z134" t="s">
        <v>91</v>
      </c>
      <c r="AA134" t="s">
        <v>91</v>
      </c>
      <c r="AB134" t="s">
        <v>91</v>
      </c>
      <c r="AC134" t="s">
        <v>91</v>
      </c>
      <c r="AD134" t="s">
        <v>91</v>
      </c>
      <c r="AE134" t="s">
        <v>91</v>
      </c>
      <c r="AF134" t="s">
        <v>91</v>
      </c>
      <c r="AG134" s="1" t="s">
        <v>91</v>
      </c>
      <c r="AH134" s="1" t="s">
        <v>91</v>
      </c>
      <c r="AI134" t="s">
        <v>91</v>
      </c>
      <c r="AJ134">
        <v>0</v>
      </c>
      <c r="AK134">
        <v>0</v>
      </c>
      <c r="AL134">
        <v>0</v>
      </c>
      <c r="AM134" t="s">
        <v>91</v>
      </c>
      <c r="AN134" t="s">
        <v>91</v>
      </c>
      <c r="AO134" t="s">
        <v>91</v>
      </c>
      <c r="AP134" t="s">
        <v>91</v>
      </c>
      <c r="AQ134" s="1" t="s">
        <v>91</v>
      </c>
      <c r="AR134" s="1" t="s">
        <v>91</v>
      </c>
      <c r="AS134" s="1" t="s">
        <v>91</v>
      </c>
      <c r="AT134" s="1" t="s">
        <v>91</v>
      </c>
      <c r="AU134" s="1" t="s">
        <v>91</v>
      </c>
      <c r="AV134" t="s">
        <v>91</v>
      </c>
      <c r="AW134" t="s">
        <v>91</v>
      </c>
      <c r="AX134" t="s">
        <v>91</v>
      </c>
      <c r="AY134" t="s">
        <v>91</v>
      </c>
      <c r="AZ134" t="s">
        <v>91</v>
      </c>
      <c r="BA134" t="s">
        <v>91</v>
      </c>
      <c r="BB134" s="2"/>
      <c r="BC134" s="2"/>
      <c r="BD134" t="s">
        <v>91</v>
      </c>
      <c r="BF134" s="1" t="s">
        <v>75</v>
      </c>
      <c r="BG134">
        <v>0</v>
      </c>
      <c r="BH134">
        <v>0</v>
      </c>
      <c r="BI134" s="1" t="s">
        <v>88</v>
      </c>
      <c r="BJ134">
        <v>1</v>
      </c>
      <c r="BK134" s="1" t="s">
        <v>89</v>
      </c>
      <c r="BL134" t="s">
        <v>91</v>
      </c>
      <c r="BM134" s="1" t="s">
        <v>329</v>
      </c>
      <c r="BN134" s="1" t="s">
        <v>110</v>
      </c>
      <c r="BO134" s="1" t="s">
        <v>165</v>
      </c>
      <c r="BP134" s="1" t="s">
        <v>91</v>
      </c>
      <c r="BQ134" t="s">
        <v>91</v>
      </c>
      <c r="BR134" s="3"/>
      <c r="BS134" s="3"/>
      <c r="BT134" t="s">
        <v>91</v>
      </c>
      <c r="BU134" t="s">
        <v>91</v>
      </c>
      <c r="BV134">
        <v>5</v>
      </c>
      <c r="BW134" s="1" t="s">
        <v>427</v>
      </c>
    </row>
    <row r="135" spans="1:75" x14ac:dyDescent="0.35">
      <c r="A135">
        <v>138056</v>
      </c>
      <c r="B135" s="1" t="s">
        <v>75</v>
      </c>
      <c r="C135">
        <v>80</v>
      </c>
      <c r="D135">
        <v>11121001</v>
      </c>
      <c r="E135">
        <v>121001</v>
      </c>
      <c r="F135" s="1" t="s">
        <v>76</v>
      </c>
      <c r="G135" s="1" t="s">
        <v>975</v>
      </c>
      <c r="H135">
        <v>0</v>
      </c>
      <c r="I135" s="1" t="s">
        <v>78</v>
      </c>
      <c r="J135" s="1" t="s">
        <v>976</v>
      </c>
      <c r="K135" s="1" t="s">
        <v>977</v>
      </c>
      <c r="L135" t="s">
        <v>91</v>
      </c>
      <c r="M135" t="s">
        <v>91</v>
      </c>
      <c r="N135" s="1" t="s">
        <v>978</v>
      </c>
      <c r="O135" t="s">
        <v>91</v>
      </c>
      <c r="P135" s="1" t="s">
        <v>325</v>
      </c>
      <c r="Q135" s="1" t="s">
        <v>979</v>
      </c>
      <c r="R135" s="1" t="s">
        <v>91</v>
      </c>
      <c r="S135">
        <v>1379</v>
      </c>
      <c r="T135">
        <v>98600000</v>
      </c>
      <c r="U135" s="1" t="s">
        <v>108</v>
      </c>
      <c r="V135" s="1" t="s">
        <v>328</v>
      </c>
      <c r="W135" s="1" t="s">
        <v>157</v>
      </c>
      <c r="X135">
        <v>55</v>
      </c>
      <c r="Y135">
        <v>35221248</v>
      </c>
      <c r="Z135" t="s">
        <v>91</v>
      </c>
      <c r="AA135" t="s">
        <v>91</v>
      </c>
      <c r="AB135" t="s">
        <v>91</v>
      </c>
      <c r="AC135" t="s">
        <v>91</v>
      </c>
      <c r="AD135" t="s">
        <v>91</v>
      </c>
      <c r="AE135" t="s">
        <v>91</v>
      </c>
      <c r="AF135" t="s">
        <v>91</v>
      </c>
      <c r="AG135" s="1" t="s">
        <v>146</v>
      </c>
      <c r="AH135" s="1" t="s">
        <v>91</v>
      </c>
      <c r="AI135" t="s">
        <v>91</v>
      </c>
      <c r="AM135" t="s">
        <v>91</v>
      </c>
      <c r="AN135" t="s">
        <v>91</v>
      </c>
      <c r="AO135" t="s">
        <v>91</v>
      </c>
      <c r="AP135" t="s">
        <v>91</v>
      </c>
      <c r="AQ135" s="1" t="s">
        <v>147</v>
      </c>
      <c r="AR135" s="1" t="s">
        <v>147</v>
      </c>
      <c r="AS135" s="1" t="s">
        <v>147</v>
      </c>
      <c r="AT135" s="1" t="s">
        <v>147</v>
      </c>
      <c r="AU135" s="1" t="s">
        <v>147</v>
      </c>
      <c r="AV135" t="s">
        <v>91</v>
      </c>
      <c r="AW135" t="s">
        <v>91</v>
      </c>
      <c r="AX135" t="s">
        <v>91</v>
      </c>
      <c r="AY135" t="s">
        <v>91</v>
      </c>
      <c r="AZ135" t="s">
        <v>91</v>
      </c>
      <c r="BA135" t="s">
        <v>91</v>
      </c>
      <c r="BB135" s="2">
        <v>44378.578518518516</v>
      </c>
      <c r="BC135" s="2">
        <v>44659.585914351854</v>
      </c>
      <c r="BD135" t="s">
        <v>91</v>
      </c>
      <c r="BF135" s="1" t="s">
        <v>75</v>
      </c>
      <c r="BH135">
        <v>0</v>
      </c>
      <c r="BI135" s="1" t="s">
        <v>88</v>
      </c>
      <c r="BJ135">
        <v>1</v>
      </c>
      <c r="BK135" s="1" t="s">
        <v>89</v>
      </c>
      <c r="BL135" t="s">
        <v>91</v>
      </c>
      <c r="BM135" s="1" t="s">
        <v>164</v>
      </c>
      <c r="BN135" s="1" t="s">
        <v>110</v>
      </c>
      <c r="BO135" s="1" t="s">
        <v>165</v>
      </c>
      <c r="BP135" s="1" t="s">
        <v>91</v>
      </c>
      <c r="BQ135" t="s">
        <v>91</v>
      </c>
      <c r="BR135" s="3">
        <v>44378</v>
      </c>
      <c r="BS135" s="3">
        <v>44659</v>
      </c>
      <c r="BT135" t="s">
        <v>91</v>
      </c>
      <c r="BU135" t="s">
        <v>91</v>
      </c>
      <c r="BW135" s="1" t="s">
        <v>90</v>
      </c>
    </row>
    <row r="136" spans="1:75" x14ac:dyDescent="0.35">
      <c r="A136">
        <v>138057</v>
      </c>
      <c r="B136" s="1" t="s">
        <v>75</v>
      </c>
      <c r="C136">
        <v>80</v>
      </c>
      <c r="D136">
        <v>11121001</v>
      </c>
      <c r="E136">
        <v>121001</v>
      </c>
      <c r="F136" s="1" t="s">
        <v>76</v>
      </c>
      <c r="G136" s="1" t="s">
        <v>980</v>
      </c>
      <c r="H136">
        <v>0</v>
      </c>
      <c r="I136" s="1" t="s">
        <v>78</v>
      </c>
      <c r="J136" s="1" t="s">
        <v>981</v>
      </c>
      <c r="K136" s="1" t="s">
        <v>982</v>
      </c>
      <c r="L136" t="s">
        <v>91</v>
      </c>
      <c r="M136" t="s">
        <v>91</v>
      </c>
      <c r="N136" s="1" t="s">
        <v>983</v>
      </c>
      <c r="O136" t="s">
        <v>91</v>
      </c>
      <c r="P136" s="1" t="s">
        <v>946</v>
      </c>
      <c r="Q136" s="1" t="s">
        <v>930</v>
      </c>
      <c r="R136" s="1" t="s">
        <v>984</v>
      </c>
      <c r="S136">
        <v>1287</v>
      </c>
      <c r="T136">
        <v>89802100</v>
      </c>
      <c r="U136" s="1" t="s">
        <v>108</v>
      </c>
      <c r="V136" s="1" t="s">
        <v>337</v>
      </c>
      <c r="W136" s="1" t="s">
        <v>87</v>
      </c>
      <c r="X136">
        <v>49</v>
      </c>
      <c r="Y136">
        <v>33233826</v>
      </c>
      <c r="Z136" t="s">
        <v>91</v>
      </c>
      <c r="AA136" t="s">
        <v>91</v>
      </c>
      <c r="AB136" t="s">
        <v>91</v>
      </c>
      <c r="AC136" t="s">
        <v>91</v>
      </c>
      <c r="AD136" t="s">
        <v>91</v>
      </c>
      <c r="AE136" t="s">
        <v>91</v>
      </c>
      <c r="AF136" t="s">
        <v>91</v>
      </c>
      <c r="AG136" s="1" t="s">
        <v>146</v>
      </c>
      <c r="AH136" s="1" t="s">
        <v>91</v>
      </c>
      <c r="AI136" t="s">
        <v>91</v>
      </c>
      <c r="AM136" t="s">
        <v>91</v>
      </c>
      <c r="AN136" t="s">
        <v>91</v>
      </c>
      <c r="AO136" t="s">
        <v>91</v>
      </c>
      <c r="AP136" t="s">
        <v>91</v>
      </c>
      <c r="AQ136" s="1" t="s">
        <v>147</v>
      </c>
      <c r="AR136" s="1" t="s">
        <v>147</v>
      </c>
      <c r="AS136" s="1" t="s">
        <v>147</v>
      </c>
      <c r="AT136" s="1" t="s">
        <v>147</v>
      </c>
      <c r="AU136" s="1" t="s">
        <v>147</v>
      </c>
      <c r="AV136" t="s">
        <v>91</v>
      </c>
      <c r="AW136" t="s">
        <v>91</v>
      </c>
      <c r="AX136" t="s">
        <v>91</v>
      </c>
      <c r="AY136" t="s">
        <v>91</v>
      </c>
      <c r="AZ136" t="s">
        <v>91</v>
      </c>
      <c r="BA136" t="s">
        <v>91</v>
      </c>
      <c r="BB136" s="2">
        <v>44378.578518518516</v>
      </c>
      <c r="BC136" s="2">
        <v>44663.702025462961</v>
      </c>
      <c r="BD136" t="s">
        <v>91</v>
      </c>
      <c r="BF136" s="1" t="s">
        <v>75</v>
      </c>
      <c r="BH136">
        <v>0</v>
      </c>
      <c r="BI136" s="1" t="s">
        <v>88</v>
      </c>
      <c r="BJ136">
        <v>1</v>
      </c>
      <c r="BK136" s="1" t="s">
        <v>89</v>
      </c>
      <c r="BL136" t="s">
        <v>91</v>
      </c>
      <c r="BM136" s="1" t="s">
        <v>109</v>
      </c>
      <c r="BN136" s="1" t="s">
        <v>110</v>
      </c>
      <c r="BO136" s="1" t="s">
        <v>165</v>
      </c>
      <c r="BP136" s="1" t="s">
        <v>91</v>
      </c>
      <c r="BQ136" t="s">
        <v>91</v>
      </c>
      <c r="BR136" s="3">
        <v>44378</v>
      </c>
      <c r="BS136" s="3">
        <v>44663</v>
      </c>
      <c r="BT136" t="s">
        <v>91</v>
      </c>
      <c r="BU136" t="s">
        <v>91</v>
      </c>
      <c r="BW136" s="1" t="s">
        <v>985</v>
      </c>
    </row>
    <row r="137" spans="1:75" x14ac:dyDescent="0.35">
      <c r="A137">
        <v>120454</v>
      </c>
      <c r="B137" s="1" t="s">
        <v>75</v>
      </c>
      <c r="C137">
        <v>80</v>
      </c>
      <c r="D137">
        <v>11121001</v>
      </c>
      <c r="E137">
        <v>121001</v>
      </c>
      <c r="F137" s="1" t="s">
        <v>76</v>
      </c>
      <c r="G137" s="1" t="s">
        <v>986</v>
      </c>
      <c r="H137">
        <v>0</v>
      </c>
      <c r="I137" s="1" t="s">
        <v>78</v>
      </c>
      <c r="J137" s="1" t="s">
        <v>987</v>
      </c>
      <c r="K137" s="1" t="s">
        <v>988</v>
      </c>
      <c r="L137" t="s">
        <v>91</v>
      </c>
      <c r="M137" t="s">
        <v>91</v>
      </c>
      <c r="N137" s="1" t="s">
        <v>989</v>
      </c>
      <c r="O137" t="s">
        <v>91</v>
      </c>
      <c r="P137" s="1" t="s">
        <v>990</v>
      </c>
      <c r="Q137" s="1" t="s">
        <v>991</v>
      </c>
      <c r="R137" s="1" t="s">
        <v>236</v>
      </c>
      <c r="S137">
        <v>1288</v>
      </c>
      <c r="T137">
        <v>89820000</v>
      </c>
      <c r="U137" s="1" t="s">
        <v>108</v>
      </c>
      <c r="V137" s="1" t="s">
        <v>992</v>
      </c>
      <c r="W137" s="1" t="s">
        <v>87</v>
      </c>
      <c r="X137">
        <v>49</v>
      </c>
      <c r="Y137">
        <v>34339630</v>
      </c>
      <c r="Z137" t="s">
        <v>91</v>
      </c>
      <c r="AA137" t="s">
        <v>91</v>
      </c>
      <c r="AB137" t="s">
        <v>91</v>
      </c>
      <c r="AC137" t="s">
        <v>91</v>
      </c>
      <c r="AD137" t="s">
        <v>91</v>
      </c>
      <c r="AE137" t="s">
        <v>91</v>
      </c>
      <c r="AF137" t="s">
        <v>91</v>
      </c>
      <c r="AG137" s="1" t="s">
        <v>91</v>
      </c>
      <c r="AH137" s="1" t="s">
        <v>91</v>
      </c>
      <c r="AI137" t="s">
        <v>91</v>
      </c>
      <c r="AM137" t="s">
        <v>91</v>
      </c>
      <c r="AN137" t="s">
        <v>91</v>
      </c>
      <c r="AO137" t="s">
        <v>91</v>
      </c>
      <c r="AP137" t="s">
        <v>91</v>
      </c>
      <c r="AQ137" s="1" t="s">
        <v>91</v>
      </c>
      <c r="AR137" s="1" t="s">
        <v>91</v>
      </c>
      <c r="AS137" s="1" t="s">
        <v>91</v>
      </c>
      <c r="AT137" s="1" t="s">
        <v>91</v>
      </c>
      <c r="AU137" s="1" t="s">
        <v>91</v>
      </c>
      <c r="AV137" t="s">
        <v>91</v>
      </c>
      <c r="AW137" t="s">
        <v>91</v>
      </c>
      <c r="AX137" t="s">
        <v>91</v>
      </c>
      <c r="AY137" t="s">
        <v>91</v>
      </c>
      <c r="AZ137" t="s">
        <v>91</v>
      </c>
      <c r="BA137" t="s">
        <v>91</v>
      </c>
      <c r="BB137" s="2">
        <v>44092.925393518519</v>
      </c>
      <c r="BC137" s="2"/>
      <c r="BD137" t="s">
        <v>91</v>
      </c>
      <c r="BF137" s="1" t="s">
        <v>75</v>
      </c>
      <c r="BI137" s="1" t="s">
        <v>88</v>
      </c>
      <c r="BJ137">
        <v>1</v>
      </c>
      <c r="BK137" s="1" t="s">
        <v>89</v>
      </c>
      <c r="BL137" t="s">
        <v>91</v>
      </c>
      <c r="BM137" s="1" t="s">
        <v>109</v>
      </c>
      <c r="BN137" s="1" t="s">
        <v>110</v>
      </c>
      <c r="BO137" s="1" t="s">
        <v>180</v>
      </c>
      <c r="BP137" s="1" t="s">
        <v>91</v>
      </c>
      <c r="BQ137" t="s">
        <v>91</v>
      </c>
      <c r="BR137" s="3">
        <v>44092</v>
      </c>
      <c r="BS137" s="3"/>
      <c r="BT137" t="s">
        <v>91</v>
      </c>
      <c r="BU137" t="s">
        <v>91</v>
      </c>
      <c r="BV137">
        <v>2</v>
      </c>
      <c r="BW137" s="1" t="s">
        <v>390</v>
      </c>
    </row>
    <row r="138" spans="1:75" x14ac:dyDescent="0.35">
      <c r="A138">
        <v>156773</v>
      </c>
      <c r="B138" s="1" t="s">
        <v>75</v>
      </c>
      <c r="C138">
        <v>80</v>
      </c>
      <c r="D138">
        <v>11121001</v>
      </c>
      <c r="E138">
        <v>121001</v>
      </c>
      <c r="F138" s="1" t="s">
        <v>76</v>
      </c>
      <c r="G138" s="1" t="s">
        <v>993</v>
      </c>
      <c r="H138">
        <v>0</v>
      </c>
      <c r="I138" s="1" t="s">
        <v>78</v>
      </c>
      <c r="J138" s="1" t="s">
        <v>994</v>
      </c>
      <c r="K138" s="1" t="s">
        <v>995</v>
      </c>
      <c r="L138" t="s">
        <v>91</v>
      </c>
      <c r="M138" t="s">
        <v>91</v>
      </c>
      <c r="N138" s="1" t="s">
        <v>996</v>
      </c>
      <c r="O138" t="s">
        <v>91</v>
      </c>
      <c r="P138" s="1" t="s">
        <v>311</v>
      </c>
      <c r="Q138" s="1" t="s">
        <v>476</v>
      </c>
      <c r="R138" s="1" t="s">
        <v>320</v>
      </c>
      <c r="S138">
        <v>1281</v>
      </c>
      <c r="T138">
        <v>89300000</v>
      </c>
      <c r="U138" s="1" t="s">
        <v>108</v>
      </c>
      <c r="V138" s="1" t="s">
        <v>314</v>
      </c>
      <c r="W138" s="1" t="s">
        <v>87</v>
      </c>
      <c r="X138">
        <v>47</v>
      </c>
      <c r="Y138">
        <v>36424703</v>
      </c>
      <c r="Z138" t="s">
        <v>91</v>
      </c>
      <c r="AA138" t="s">
        <v>91</v>
      </c>
      <c r="AB138" t="s">
        <v>91</v>
      </c>
      <c r="AC138" t="s">
        <v>91</v>
      </c>
      <c r="AD138" t="s">
        <v>91</v>
      </c>
      <c r="AE138" t="s">
        <v>91</v>
      </c>
      <c r="AF138" t="s">
        <v>91</v>
      </c>
      <c r="AG138" s="1" t="s">
        <v>91</v>
      </c>
      <c r="AH138" s="1" t="s">
        <v>91</v>
      </c>
      <c r="AI138" t="s">
        <v>91</v>
      </c>
      <c r="AM138" t="s">
        <v>91</v>
      </c>
      <c r="AN138" t="s">
        <v>91</v>
      </c>
      <c r="AO138" t="s">
        <v>91</v>
      </c>
      <c r="AP138" t="s">
        <v>91</v>
      </c>
      <c r="AQ138" s="1" t="s">
        <v>91</v>
      </c>
      <c r="AR138" s="1" t="s">
        <v>91</v>
      </c>
      <c r="AS138" s="1" t="s">
        <v>91</v>
      </c>
      <c r="AT138" s="1" t="s">
        <v>91</v>
      </c>
      <c r="AU138" s="1" t="s">
        <v>91</v>
      </c>
      <c r="AV138" t="s">
        <v>91</v>
      </c>
      <c r="AW138" t="s">
        <v>91</v>
      </c>
      <c r="AX138" t="s">
        <v>91</v>
      </c>
      <c r="AY138" t="s">
        <v>91</v>
      </c>
      <c r="AZ138" t="s">
        <v>91</v>
      </c>
      <c r="BA138" t="s">
        <v>91</v>
      </c>
      <c r="BB138" s="2">
        <v>45113.505416666667</v>
      </c>
      <c r="BC138" s="2"/>
      <c r="BD138" t="s">
        <v>91</v>
      </c>
      <c r="BF138" s="1" t="s">
        <v>75</v>
      </c>
      <c r="BI138" s="1" t="s">
        <v>88</v>
      </c>
      <c r="BJ138">
        <v>1</v>
      </c>
      <c r="BK138" s="1" t="s">
        <v>89</v>
      </c>
      <c r="BL138" t="s">
        <v>91</v>
      </c>
      <c r="BM138" s="1" t="s">
        <v>91</v>
      </c>
      <c r="BN138" s="1" t="s">
        <v>91</v>
      </c>
      <c r="BO138" s="1" t="s">
        <v>91</v>
      </c>
      <c r="BP138" s="1" t="s">
        <v>91</v>
      </c>
      <c r="BQ138" t="s">
        <v>91</v>
      </c>
      <c r="BR138" s="3">
        <v>45113</v>
      </c>
      <c r="BS138" s="3"/>
      <c r="BT138" t="s">
        <v>91</v>
      </c>
      <c r="BU138" t="s">
        <v>91</v>
      </c>
      <c r="BW138" s="1" t="s">
        <v>90</v>
      </c>
    </row>
    <row r="139" spans="1:75" x14ac:dyDescent="0.35">
      <c r="A139">
        <v>156748</v>
      </c>
      <c r="B139" s="1" t="s">
        <v>75</v>
      </c>
      <c r="C139">
        <v>80</v>
      </c>
      <c r="D139">
        <v>11121001</v>
      </c>
      <c r="E139">
        <v>121001</v>
      </c>
      <c r="F139" s="1" t="s">
        <v>76</v>
      </c>
      <c r="G139" s="1" t="s">
        <v>997</v>
      </c>
      <c r="H139">
        <v>0</v>
      </c>
      <c r="I139" s="1" t="s">
        <v>78</v>
      </c>
      <c r="J139" s="1" t="s">
        <v>998</v>
      </c>
      <c r="K139" s="1" t="s">
        <v>999</v>
      </c>
      <c r="L139" t="s">
        <v>91</v>
      </c>
      <c r="M139" t="s">
        <v>91</v>
      </c>
      <c r="N139" s="1" t="s">
        <v>1000</v>
      </c>
      <c r="O139" t="s">
        <v>91</v>
      </c>
      <c r="P139" s="1" t="s">
        <v>409</v>
      </c>
      <c r="Q139" s="1" t="s">
        <v>211</v>
      </c>
      <c r="R139" s="1" t="s">
        <v>1001</v>
      </c>
      <c r="S139">
        <v>1279</v>
      </c>
      <c r="T139">
        <v>89223005</v>
      </c>
      <c r="U139" s="1" t="s">
        <v>213</v>
      </c>
      <c r="V139" s="1" t="s">
        <v>100</v>
      </c>
      <c r="W139" s="1" t="s">
        <v>87</v>
      </c>
      <c r="X139">
        <v>47</v>
      </c>
      <c r="Y139">
        <v>30439010</v>
      </c>
      <c r="Z139" t="s">
        <v>91</v>
      </c>
      <c r="AA139" t="s">
        <v>91</v>
      </c>
      <c r="AB139" t="s">
        <v>91</v>
      </c>
      <c r="AC139" t="s">
        <v>91</v>
      </c>
      <c r="AD139" t="s">
        <v>91</v>
      </c>
      <c r="AE139" t="s">
        <v>91</v>
      </c>
      <c r="AF139" t="s">
        <v>91</v>
      </c>
      <c r="AG139" s="1" t="s">
        <v>91</v>
      </c>
      <c r="AH139" s="1" t="s">
        <v>91</v>
      </c>
      <c r="AI139" t="s">
        <v>91</v>
      </c>
      <c r="AM139" t="s">
        <v>91</v>
      </c>
      <c r="AN139" t="s">
        <v>91</v>
      </c>
      <c r="AO139" t="s">
        <v>91</v>
      </c>
      <c r="AP139" t="s">
        <v>91</v>
      </c>
      <c r="AQ139" s="1" t="s">
        <v>91</v>
      </c>
      <c r="AR139" s="1" t="s">
        <v>91</v>
      </c>
      <c r="AS139" s="1" t="s">
        <v>91</v>
      </c>
      <c r="AT139" s="1" t="s">
        <v>91</v>
      </c>
      <c r="AU139" s="1" t="s">
        <v>91</v>
      </c>
      <c r="AV139" t="s">
        <v>91</v>
      </c>
      <c r="AW139" t="s">
        <v>91</v>
      </c>
      <c r="AX139" t="s">
        <v>91</v>
      </c>
      <c r="AY139" t="s">
        <v>91</v>
      </c>
      <c r="AZ139" t="s">
        <v>91</v>
      </c>
      <c r="BA139" t="s">
        <v>91</v>
      </c>
      <c r="BB139" s="2">
        <v>45113.505416666667</v>
      </c>
      <c r="BC139" s="2"/>
      <c r="BD139" t="s">
        <v>91</v>
      </c>
      <c r="BF139" s="1" t="s">
        <v>75</v>
      </c>
      <c r="BI139" s="1" t="s">
        <v>88</v>
      </c>
      <c r="BJ139">
        <v>1</v>
      </c>
      <c r="BK139" s="1" t="s">
        <v>89</v>
      </c>
      <c r="BL139" t="s">
        <v>91</v>
      </c>
      <c r="BM139" s="1" t="s">
        <v>91</v>
      </c>
      <c r="BN139" s="1" t="s">
        <v>91</v>
      </c>
      <c r="BO139" s="1" t="s">
        <v>91</v>
      </c>
      <c r="BP139" s="1" t="s">
        <v>91</v>
      </c>
      <c r="BQ139" t="s">
        <v>91</v>
      </c>
      <c r="BR139" s="3">
        <v>45113</v>
      </c>
      <c r="BS139" s="3"/>
      <c r="BT139" t="s">
        <v>91</v>
      </c>
      <c r="BU139" t="s">
        <v>91</v>
      </c>
      <c r="BW139" s="1" t="s">
        <v>419</v>
      </c>
    </row>
    <row r="140" spans="1:75" x14ac:dyDescent="0.35">
      <c r="A140">
        <v>156746</v>
      </c>
      <c r="B140" s="1" t="s">
        <v>75</v>
      </c>
      <c r="C140">
        <v>80</v>
      </c>
      <c r="D140">
        <v>11121001</v>
      </c>
      <c r="E140">
        <v>121001</v>
      </c>
      <c r="F140" s="1" t="s">
        <v>76</v>
      </c>
      <c r="G140" s="1" t="s">
        <v>1002</v>
      </c>
      <c r="H140">
        <v>0</v>
      </c>
      <c r="I140" s="1" t="s">
        <v>78</v>
      </c>
      <c r="J140" s="1" t="s">
        <v>1003</v>
      </c>
      <c r="K140" s="1" t="s">
        <v>1004</v>
      </c>
      <c r="L140" t="s">
        <v>91</v>
      </c>
      <c r="M140" t="s">
        <v>91</v>
      </c>
      <c r="N140" s="1" t="s">
        <v>1005</v>
      </c>
      <c r="O140" t="s">
        <v>91</v>
      </c>
      <c r="P140" s="1" t="s">
        <v>292</v>
      </c>
      <c r="Q140" s="1" t="s">
        <v>1006</v>
      </c>
      <c r="R140" s="1" t="s">
        <v>1007</v>
      </c>
      <c r="S140">
        <v>1279</v>
      </c>
      <c r="T140">
        <v>89226000</v>
      </c>
      <c r="U140" s="1" t="s">
        <v>294</v>
      </c>
      <c r="V140" s="1" t="s">
        <v>100</v>
      </c>
      <c r="W140" s="1" t="s">
        <v>87</v>
      </c>
      <c r="X140">
        <v>47</v>
      </c>
      <c r="Y140">
        <v>32784223</v>
      </c>
      <c r="Z140" t="s">
        <v>91</v>
      </c>
      <c r="AA140" t="s">
        <v>91</v>
      </c>
      <c r="AB140" t="s">
        <v>91</v>
      </c>
      <c r="AC140" t="s">
        <v>91</v>
      </c>
      <c r="AD140" t="s">
        <v>91</v>
      </c>
      <c r="AE140" t="s">
        <v>91</v>
      </c>
      <c r="AF140" t="s">
        <v>91</v>
      </c>
      <c r="AG140" s="1" t="s">
        <v>91</v>
      </c>
      <c r="AH140" s="1" t="s">
        <v>91</v>
      </c>
      <c r="AI140" t="s">
        <v>91</v>
      </c>
      <c r="AM140" t="s">
        <v>91</v>
      </c>
      <c r="AN140" t="s">
        <v>91</v>
      </c>
      <c r="AO140" t="s">
        <v>91</v>
      </c>
      <c r="AP140" t="s">
        <v>91</v>
      </c>
      <c r="AQ140" s="1" t="s">
        <v>91</v>
      </c>
      <c r="AR140" s="1" t="s">
        <v>91</v>
      </c>
      <c r="AS140" s="1" t="s">
        <v>91</v>
      </c>
      <c r="AT140" s="1" t="s">
        <v>91</v>
      </c>
      <c r="AU140" s="1" t="s">
        <v>91</v>
      </c>
      <c r="AV140" t="s">
        <v>91</v>
      </c>
      <c r="AW140" t="s">
        <v>91</v>
      </c>
      <c r="AX140" t="s">
        <v>91</v>
      </c>
      <c r="AY140" t="s">
        <v>91</v>
      </c>
      <c r="AZ140" t="s">
        <v>91</v>
      </c>
      <c r="BA140" t="s">
        <v>91</v>
      </c>
      <c r="BB140" s="2">
        <v>45113.505416666667</v>
      </c>
      <c r="BC140" s="2"/>
      <c r="BD140" t="s">
        <v>91</v>
      </c>
      <c r="BF140" s="1" t="s">
        <v>75</v>
      </c>
      <c r="BI140" s="1" t="s">
        <v>88</v>
      </c>
      <c r="BJ140">
        <v>1</v>
      </c>
      <c r="BK140" s="1" t="s">
        <v>89</v>
      </c>
      <c r="BL140" t="s">
        <v>91</v>
      </c>
      <c r="BM140" s="1" t="s">
        <v>91</v>
      </c>
      <c r="BN140" s="1" t="s">
        <v>91</v>
      </c>
      <c r="BO140" s="1" t="s">
        <v>91</v>
      </c>
      <c r="BP140" s="1" t="s">
        <v>91</v>
      </c>
      <c r="BQ140" t="s">
        <v>91</v>
      </c>
      <c r="BR140" s="3">
        <v>45113</v>
      </c>
      <c r="BS140" s="3"/>
      <c r="BT140" t="s">
        <v>91</v>
      </c>
      <c r="BU140" t="s">
        <v>91</v>
      </c>
      <c r="BW140" s="1" t="s">
        <v>840</v>
      </c>
    </row>
    <row r="141" spans="1:75" x14ac:dyDescent="0.35">
      <c r="A141">
        <v>138063</v>
      </c>
      <c r="B141" s="1" t="s">
        <v>75</v>
      </c>
      <c r="C141">
        <v>80</v>
      </c>
      <c r="D141">
        <v>11121001</v>
      </c>
      <c r="E141">
        <v>121001</v>
      </c>
      <c r="F141" s="1" t="s">
        <v>76</v>
      </c>
      <c r="G141" s="1" t="s">
        <v>1008</v>
      </c>
      <c r="H141">
        <v>0</v>
      </c>
      <c r="I141" s="1" t="s">
        <v>78</v>
      </c>
      <c r="J141" s="1" t="s">
        <v>1009</v>
      </c>
      <c r="K141" s="1" t="s">
        <v>1010</v>
      </c>
      <c r="L141" t="s">
        <v>91</v>
      </c>
      <c r="M141" t="s">
        <v>91</v>
      </c>
      <c r="N141" s="1" t="s">
        <v>1011</v>
      </c>
      <c r="O141" t="s">
        <v>91</v>
      </c>
      <c r="P141" s="1" t="s">
        <v>1012</v>
      </c>
      <c r="Q141" s="1" t="s">
        <v>356</v>
      </c>
      <c r="R141" s="1" t="s">
        <v>91</v>
      </c>
      <c r="S141">
        <v>1289</v>
      </c>
      <c r="T141">
        <v>89900000</v>
      </c>
      <c r="U141" s="1" t="s">
        <v>108</v>
      </c>
      <c r="V141" s="1" t="s">
        <v>700</v>
      </c>
      <c r="W141" s="1" t="s">
        <v>87</v>
      </c>
      <c r="X141">
        <v>49</v>
      </c>
      <c r="Y141">
        <v>36228272</v>
      </c>
      <c r="Z141" t="s">
        <v>91</v>
      </c>
      <c r="AA141" t="s">
        <v>91</v>
      </c>
      <c r="AB141" t="s">
        <v>91</v>
      </c>
      <c r="AC141" t="s">
        <v>91</v>
      </c>
      <c r="AD141" t="s">
        <v>91</v>
      </c>
      <c r="AE141" t="s">
        <v>91</v>
      </c>
      <c r="AF141" t="s">
        <v>91</v>
      </c>
      <c r="AG141" s="1" t="s">
        <v>146</v>
      </c>
      <c r="AH141" s="1" t="s">
        <v>91</v>
      </c>
      <c r="AI141" t="s">
        <v>91</v>
      </c>
      <c r="AM141" t="s">
        <v>91</v>
      </c>
      <c r="AN141" t="s">
        <v>91</v>
      </c>
      <c r="AO141" t="s">
        <v>91</v>
      </c>
      <c r="AP141" t="s">
        <v>91</v>
      </c>
      <c r="AQ141" s="1" t="s">
        <v>147</v>
      </c>
      <c r="AR141" s="1" t="s">
        <v>147</v>
      </c>
      <c r="AS141" s="1" t="s">
        <v>147</v>
      </c>
      <c r="AT141" s="1" t="s">
        <v>147</v>
      </c>
      <c r="AU141" s="1" t="s">
        <v>147</v>
      </c>
      <c r="AV141" t="s">
        <v>91</v>
      </c>
      <c r="AW141" t="s">
        <v>91</v>
      </c>
      <c r="AX141" t="s">
        <v>91</v>
      </c>
      <c r="AY141" t="s">
        <v>91</v>
      </c>
      <c r="AZ141" t="s">
        <v>91</v>
      </c>
      <c r="BA141" t="s">
        <v>91</v>
      </c>
      <c r="BB141" s="2">
        <v>44378.578518518516</v>
      </c>
      <c r="BC141" s="2">
        <v>44519.603414351855</v>
      </c>
      <c r="BD141" t="s">
        <v>91</v>
      </c>
      <c r="BF141" s="1" t="s">
        <v>75</v>
      </c>
      <c r="BH141">
        <v>0</v>
      </c>
      <c r="BI141" s="1" t="s">
        <v>88</v>
      </c>
      <c r="BJ141">
        <v>1</v>
      </c>
      <c r="BK141" s="1" t="s">
        <v>89</v>
      </c>
      <c r="BL141" t="s">
        <v>91</v>
      </c>
      <c r="BM141" s="1" t="s">
        <v>109</v>
      </c>
      <c r="BN141" s="1" t="s">
        <v>110</v>
      </c>
      <c r="BO141" s="1" t="s">
        <v>128</v>
      </c>
      <c r="BP141" s="1" t="s">
        <v>91</v>
      </c>
      <c r="BQ141" t="s">
        <v>91</v>
      </c>
      <c r="BR141" s="3">
        <v>44378</v>
      </c>
      <c r="BS141" s="3">
        <v>44519</v>
      </c>
      <c r="BT141" t="s">
        <v>91</v>
      </c>
      <c r="BU141" t="s">
        <v>91</v>
      </c>
      <c r="BW141" s="1" t="s">
        <v>90</v>
      </c>
    </row>
    <row r="142" spans="1:75" x14ac:dyDescent="0.35">
      <c r="A142">
        <v>783</v>
      </c>
      <c r="B142" s="1" t="s">
        <v>75</v>
      </c>
      <c r="C142">
        <v>80</v>
      </c>
      <c r="D142">
        <v>11121001</v>
      </c>
      <c r="E142">
        <v>121001</v>
      </c>
      <c r="F142" s="1" t="s">
        <v>76</v>
      </c>
      <c r="G142" s="1" t="s">
        <v>1013</v>
      </c>
      <c r="I142" s="1" t="s">
        <v>78</v>
      </c>
      <c r="J142" s="1" t="s">
        <v>1014</v>
      </c>
      <c r="K142" s="1" t="s">
        <v>1015</v>
      </c>
      <c r="L142" t="s">
        <v>91</v>
      </c>
      <c r="M142" t="s">
        <v>91</v>
      </c>
      <c r="N142" s="1" t="s">
        <v>1016</v>
      </c>
      <c r="O142" t="s">
        <v>91</v>
      </c>
      <c r="P142" s="1" t="s">
        <v>1017</v>
      </c>
      <c r="Q142" s="1" t="s">
        <v>1018</v>
      </c>
      <c r="R142" s="1" t="s">
        <v>370</v>
      </c>
      <c r="S142">
        <v>1280</v>
      </c>
      <c r="T142">
        <v>89249000</v>
      </c>
      <c r="U142" s="1" t="s">
        <v>1019</v>
      </c>
      <c r="V142" s="1" t="s">
        <v>119</v>
      </c>
      <c r="W142" s="1" t="s">
        <v>87</v>
      </c>
      <c r="X142">
        <v>47</v>
      </c>
      <c r="Y142">
        <v>34431890</v>
      </c>
      <c r="Z142" t="s">
        <v>91</v>
      </c>
      <c r="AA142" t="s">
        <v>91</v>
      </c>
      <c r="AB142" t="s">
        <v>91</v>
      </c>
      <c r="AC142" t="s">
        <v>91</v>
      </c>
      <c r="AD142" t="s">
        <v>91</v>
      </c>
      <c r="AE142" t="s">
        <v>91</v>
      </c>
      <c r="AF142" t="s">
        <v>91</v>
      </c>
      <c r="AG142" s="1" t="s">
        <v>91</v>
      </c>
      <c r="AH142" s="1" t="s">
        <v>91</v>
      </c>
      <c r="AI142" t="s">
        <v>91</v>
      </c>
      <c r="AJ142">
        <v>0</v>
      </c>
      <c r="AK142">
        <v>0</v>
      </c>
      <c r="AL142">
        <v>0</v>
      </c>
      <c r="AM142" t="s">
        <v>91</v>
      </c>
      <c r="AN142" t="s">
        <v>91</v>
      </c>
      <c r="AO142" t="s">
        <v>91</v>
      </c>
      <c r="AP142" t="s">
        <v>91</v>
      </c>
      <c r="AQ142" s="1" t="s">
        <v>91</v>
      </c>
      <c r="AR142" s="1" t="s">
        <v>91</v>
      </c>
      <c r="AS142" s="1" t="s">
        <v>91</v>
      </c>
      <c r="AT142" s="1" t="s">
        <v>91</v>
      </c>
      <c r="AU142" s="1" t="s">
        <v>91</v>
      </c>
      <c r="AV142" t="s">
        <v>91</v>
      </c>
      <c r="AW142" t="s">
        <v>91</v>
      </c>
      <c r="AX142" t="s">
        <v>91</v>
      </c>
      <c r="AY142" t="s">
        <v>91</v>
      </c>
      <c r="AZ142" t="s">
        <v>91</v>
      </c>
      <c r="BA142" t="s">
        <v>91</v>
      </c>
      <c r="BB142" s="2">
        <v>43308.392951388887</v>
      </c>
      <c r="BC142" s="2"/>
      <c r="BD142" t="s">
        <v>91</v>
      </c>
      <c r="BE142">
        <v>783</v>
      </c>
      <c r="BF142" s="1" t="s">
        <v>75</v>
      </c>
      <c r="BG142">
        <v>0</v>
      </c>
      <c r="BH142">
        <v>0</v>
      </c>
      <c r="BI142" s="1" t="s">
        <v>88</v>
      </c>
      <c r="BJ142">
        <v>1</v>
      </c>
      <c r="BK142" s="1" t="s">
        <v>89</v>
      </c>
      <c r="BL142" t="s">
        <v>91</v>
      </c>
      <c r="BM142" s="1" t="s">
        <v>109</v>
      </c>
      <c r="BN142" s="1" t="s">
        <v>110</v>
      </c>
      <c r="BO142" s="1" t="s">
        <v>180</v>
      </c>
      <c r="BP142" s="1" t="s">
        <v>91</v>
      </c>
      <c r="BQ142" t="s">
        <v>91</v>
      </c>
      <c r="BR142" s="3">
        <v>43308</v>
      </c>
      <c r="BS142" s="3"/>
      <c r="BT142" t="s">
        <v>91</v>
      </c>
      <c r="BU142" t="s">
        <v>91</v>
      </c>
      <c r="BV142">
        <v>9</v>
      </c>
      <c r="BW142" s="1" t="s">
        <v>90</v>
      </c>
    </row>
    <row r="143" spans="1:75" x14ac:dyDescent="0.35">
      <c r="A143">
        <v>120353</v>
      </c>
      <c r="B143" s="1" t="s">
        <v>75</v>
      </c>
      <c r="C143">
        <v>80</v>
      </c>
      <c r="D143">
        <v>11121001</v>
      </c>
      <c r="E143">
        <v>121001</v>
      </c>
      <c r="F143" s="1" t="s">
        <v>76</v>
      </c>
      <c r="G143" s="1" t="s">
        <v>1020</v>
      </c>
      <c r="H143">
        <v>0</v>
      </c>
      <c r="I143" s="1" t="s">
        <v>78</v>
      </c>
      <c r="J143" s="1" t="s">
        <v>1021</v>
      </c>
      <c r="K143" s="1" t="s">
        <v>1022</v>
      </c>
      <c r="L143" t="s">
        <v>91</v>
      </c>
      <c r="M143" t="s">
        <v>91</v>
      </c>
      <c r="N143" s="1" t="s">
        <v>1023</v>
      </c>
      <c r="O143" t="s">
        <v>91</v>
      </c>
      <c r="P143" s="1" t="s">
        <v>1024</v>
      </c>
      <c r="Q143" s="1" t="s">
        <v>1025</v>
      </c>
      <c r="R143" s="1" t="s">
        <v>91</v>
      </c>
      <c r="S143">
        <v>1284</v>
      </c>
      <c r="T143">
        <v>89580000</v>
      </c>
      <c r="U143" s="1" t="s">
        <v>108</v>
      </c>
      <c r="V143" s="1" t="s">
        <v>1026</v>
      </c>
      <c r="W143" s="1" t="s">
        <v>87</v>
      </c>
      <c r="X143">
        <v>49</v>
      </c>
      <c r="Y143">
        <v>32465039</v>
      </c>
      <c r="Z143" t="s">
        <v>91</v>
      </c>
      <c r="AA143" t="s">
        <v>91</v>
      </c>
      <c r="AB143" t="s">
        <v>91</v>
      </c>
      <c r="AC143" t="s">
        <v>91</v>
      </c>
      <c r="AD143" t="s">
        <v>91</v>
      </c>
      <c r="AE143" t="s">
        <v>91</v>
      </c>
      <c r="AF143" t="s">
        <v>91</v>
      </c>
      <c r="AG143" s="1" t="s">
        <v>91</v>
      </c>
      <c r="AH143" s="1" t="s">
        <v>91</v>
      </c>
      <c r="AI143" t="s">
        <v>91</v>
      </c>
      <c r="AJ143">
        <v>0</v>
      </c>
      <c r="AK143">
        <v>0</v>
      </c>
      <c r="AL143">
        <v>0</v>
      </c>
      <c r="AM143" t="s">
        <v>91</v>
      </c>
      <c r="AN143" t="s">
        <v>91</v>
      </c>
      <c r="AO143" t="s">
        <v>91</v>
      </c>
      <c r="AP143" t="s">
        <v>91</v>
      </c>
      <c r="AQ143" s="1" t="s">
        <v>91</v>
      </c>
      <c r="AR143" s="1" t="s">
        <v>91</v>
      </c>
      <c r="AS143" s="1" t="s">
        <v>91</v>
      </c>
      <c r="AT143" s="1" t="s">
        <v>91</v>
      </c>
      <c r="AU143" s="1" t="s">
        <v>91</v>
      </c>
      <c r="AV143" t="s">
        <v>91</v>
      </c>
      <c r="AW143" t="s">
        <v>91</v>
      </c>
      <c r="AX143" t="s">
        <v>91</v>
      </c>
      <c r="AY143" t="s">
        <v>91</v>
      </c>
      <c r="AZ143" t="s">
        <v>91</v>
      </c>
      <c r="BA143" t="s">
        <v>91</v>
      </c>
      <c r="BB143" s="2">
        <v>44092.925393518519</v>
      </c>
      <c r="BC143" s="2"/>
      <c r="BD143" t="s">
        <v>91</v>
      </c>
      <c r="BF143" s="1" t="s">
        <v>75</v>
      </c>
      <c r="BG143">
        <v>0</v>
      </c>
      <c r="BH143">
        <v>0</v>
      </c>
      <c r="BI143" s="1" t="s">
        <v>88</v>
      </c>
      <c r="BJ143">
        <v>1</v>
      </c>
      <c r="BK143" s="1" t="s">
        <v>89</v>
      </c>
      <c r="BL143" t="s">
        <v>91</v>
      </c>
      <c r="BM143" s="1" t="s">
        <v>109</v>
      </c>
      <c r="BN143" s="1" t="s">
        <v>110</v>
      </c>
      <c r="BO143" s="1" t="s">
        <v>165</v>
      </c>
      <c r="BP143" s="1" t="s">
        <v>91</v>
      </c>
      <c r="BQ143" t="s">
        <v>91</v>
      </c>
      <c r="BR143" s="3">
        <v>44092</v>
      </c>
      <c r="BS143" s="3"/>
      <c r="BT143" t="s">
        <v>91</v>
      </c>
      <c r="BU143" t="s">
        <v>91</v>
      </c>
      <c r="BV143">
        <v>1</v>
      </c>
      <c r="BW143" s="1" t="s">
        <v>263</v>
      </c>
    </row>
    <row r="144" spans="1:75" x14ac:dyDescent="0.35">
      <c r="A144">
        <v>157553</v>
      </c>
      <c r="B144" s="1" t="s">
        <v>75</v>
      </c>
      <c r="C144">
        <v>80</v>
      </c>
      <c r="D144">
        <v>11121001</v>
      </c>
      <c r="E144">
        <v>121001</v>
      </c>
      <c r="F144" s="1" t="s">
        <v>76</v>
      </c>
      <c r="G144" s="1" t="s">
        <v>1027</v>
      </c>
      <c r="H144">
        <v>0</v>
      </c>
      <c r="I144" s="1" t="s">
        <v>78</v>
      </c>
      <c r="J144" s="1" t="s">
        <v>1028</v>
      </c>
      <c r="K144" s="1" t="s">
        <v>1029</v>
      </c>
      <c r="L144" t="s">
        <v>91</v>
      </c>
      <c r="M144" t="s">
        <v>91</v>
      </c>
      <c r="N144" s="1" t="s">
        <v>1030</v>
      </c>
      <c r="O144" t="s">
        <v>91</v>
      </c>
      <c r="P144" s="1" t="s">
        <v>1031</v>
      </c>
      <c r="Q144" s="1" t="s">
        <v>1032</v>
      </c>
      <c r="R144" s="1" t="s">
        <v>434</v>
      </c>
      <c r="S144">
        <v>1383</v>
      </c>
      <c r="T144">
        <v>99010023</v>
      </c>
      <c r="U144" s="1" t="s">
        <v>108</v>
      </c>
      <c r="V144" s="1" t="s">
        <v>371</v>
      </c>
      <c r="W144" s="1" t="s">
        <v>157</v>
      </c>
      <c r="X144">
        <v>54</v>
      </c>
      <c r="Y144">
        <v>30453085</v>
      </c>
      <c r="Z144" t="s">
        <v>91</v>
      </c>
      <c r="AA144" t="s">
        <v>91</v>
      </c>
      <c r="AB144" t="s">
        <v>91</v>
      </c>
      <c r="AC144" t="s">
        <v>91</v>
      </c>
      <c r="AD144" t="s">
        <v>91</v>
      </c>
      <c r="AE144" t="s">
        <v>91</v>
      </c>
      <c r="AF144" t="s">
        <v>91</v>
      </c>
      <c r="AG144" s="1" t="s">
        <v>91</v>
      </c>
      <c r="AH144" s="1" t="s">
        <v>91</v>
      </c>
      <c r="AI144" t="s">
        <v>91</v>
      </c>
      <c r="AM144" t="s">
        <v>91</v>
      </c>
      <c r="AN144" t="s">
        <v>91</v>
      </c>
      <c r="AO144" t="s">
        <v>91</v>
      </c>
      <c r="AP144" t="s">
        <v>91</v>
      </c>
      <c r="AQ144" s="1" t="s">
        <v>91</v>
      </c>
      <c r="AR144" s="1" t="s">
        <v>91</v>
      </c>
      <c r="AS144" s="1" t="s">
        <v>91</v>
      </c>
      <c r="AT144" s="1" t="s">
        <v>91</v>
      </c>
      <c r="AU144" s="1" t="s">
        <v>91</v>
      </c>
      <c r="AV144" t="s">
        <v>91</v>
      </c>
      <c r="AW144" t="s">
        <v>91</v>
      </c>
      <c r="AX144" t="s">
        <v>91</v>
      </c>
      <c r="AY144" t="s">
        <v>91</v>
      </c>
      <c r="AZ144" t="s">
        <v>91</v>
      </c>
      <c r="BA144" t="s">
        <v>91</v>
      </c>
      <c r="BB144" s="2">
        <v>45118.093391203707</v>
      </c>
      <c r="BC144" s="2"/>
      <c r="BD144" t="s">
        <v>91</v>
      </c>
      <c r="BF144" s="1" t="s">
        <v>75</v>
      </c>
      <c r="BI144" s="1" t="s">
        <v>88</v>
      </c>
      <c r="BJ144">
        <v>1</v>
      </c>
      <c r="BK144" s="1" t="s">
        <v>89</v>
      </c>
      <c r="BL144" t="s">
        <v>91</v>
      </c>
      <c r="BM144" s="1" t="s">
        <v>91</v>
      </c>
      <c r="BN144" s="1" t="s">
        <v>91</v>
      </c>
      <c r="BO144" s="1" t="s">
        <v>91</v>
      </c>
      <c r="BP144" s="1" t="s">
        <v>91</v>
      </c>
      <c r="BQ144" t="s">
        <v>91</v>
      </c>
      <c r="BR144" s="3">
        <v>45118</v>
      </c>
      <c r="BS144" s="3"/>
      <c r="BT144" t="s">
        <v>91</v>
      </c>
      <c r="BU144" t="s">
        <v>91</v>
      </c>
      <c r="BW144" s="1" t="s">
        <v>90</v>
      </c>
    </row>
    <row r="145" spans="1:75" x14ac:dyDescent="0.35">
      <c r="A145">
        <v>120408</v>
      </c>
      <c r="B145" s="1" t="s">
        <v>75</v>
      </c>
      <c r="C145">
        <v>80</v>
      </c>
      <c r="D145">
        <v>11121001</v>
      </c>
      <c r="E145">
        <v>121001</v>
      </c>
      <c r="F145" s="1" t="s">
        <v>76</v>
      </c>
      <c r="G145" s="1" t="s">
        <v>1033</v>
      </c>
      <c r="H145">
        <v>0</v>
      </c>
      <c r="I145" s="1" t="s">
        <v>78</v>
      </c>
      <c r="J145" s="1" t="s">
        <v>1034</v>
      </c>
      <c r="K145" s="1" t="s">
        <v>1035</v>
      </c>
      <c r="L145" t="s">
        <v>91</v>
      </c>
      <c r="M145" t="s">
        <v>91</v>
      </c>
      <c r="N145" s="1" t="s">
        <v>1036</v>
      </c>
      <c r="O145" t="s">
        <v>91</v>
      </c>
      <c r="P145" s="1" t="s">
        <v>1037</v>
      </c>
      <c r="Q145" s="1" t="s">
        <v>1038</v>
      </c>
      <c r="R145" s="1" t="s">
        <v>91</v>
      </c>
      <c r="S145">
        <v>1390</v>
      </c>
      <c r="T145">
        <v>99830000</v>
      </c>
      <c r="U145" s="1" t="s">
        <v>108</v>
      </c>
      <c r="V145" s="1" t="s">
        <v>1039</v>
      </c>
      <c r="W145" s="1" t="s">
        <v>157</v>
      </c>
      <c r="X145">
        <v>54</v>
      </c>
      <c r="Y145">
        <v>33911329</v>
      </c>
      <c r="Z145" t="s">
        <v>91</v>
      </c>
      <c r="AA145" t="s">
        <v>91</v>
      </c>
      <c r="AB145" t="s">
        <v>91</v>
      </c>
      <c r="AC145" t="s">
        <v>91</v>
      </c>
      <c r="AD145" t="s">
        <v>91</v>
      </c>
      <c r="AE145" t="s">
        <v>91</v>
      </c>
      <c r="AF145" t="s">
        <v>91</v>
      </c>
      <c r="AG145" s="1" t="s">
        <v>147</v>
      </c>
      <c r="AH145" s="1" t="s">
        <v>147</v>
      </c>
      <c r="AI145" t="s">
        <v>91</v>
      </c>
      <c r="AJ145">
        <v>0</v>
      </c>
      <c r="AK145">
        <v>0</v>
      </c>
      <c r="AL145">
        <v>0</v>
      </c>
      <c r="AM145" t="s">
        <v>91</v>
      </c>
      <c r="AN145" t="s">
        <v>91</v>
      </c>
      <c r="AO145" t="s">
        <v>91</v>
      </c>
      <c r="AP145" t="s">
        <v>91</v>
      </c>
      <c r="AQ145" s="1" t="s">
        <v>91</v>
      </c>
      <c r="AR145" s="1" t="s">
        <v>91</v>
      </c>
      <c r="AS145" s="1" t="s">
        <v>91</v>
      </c>
      <c r="AT145" s="1" t="s">
        <v>91</v>
      </c>
      <c r="AU145" s="1" t="s">
        <v>91</v>
      </c>
      <c r="AV145" t="s">
        <v>91</v>
      </c>
      <c r="AW145" t="s">
        <v>91</v>
      </c>
      <c r="AX145" t="s">
        <v>91</v>
      </c>
      <c r="AY145" t="s">
        <v>91</v>
      </c>
      <c r="AZ145" t="s">
        <v>91</v>
      </c>
      <c r="BA145" t="s">
        <v>91</v>
      </c>
      <c r="BB145" s="2">
        <v>44092.925393518519</v>
      </c>
      <c r="BC145" s="2"/>
      <c r="BD145" t="s">
        <v>91</v>
      </c>
      <c r="BF145" s="1" t="s">
        <v>75</v>
      </c>
      <c r="BG145">
        <v>0</v>
      </c>
      <c r="BH145">
        <v>0</v>
      </c>
      <c r="BI145" s="1" t="s">
        <v>88</v>
      </c>
      <c r="BJ145">
        <v>1</v>
      </c>
      <c r="BK145" s="1" t="s">
        <v>89</v>
      </c>
      <c r="BL145" t="s">
        <v>91</v>
      </c>
      <c r="BM145" s="1" t="s">
        <v>109</v>
      </c>
      <c r="BN145" s="1" t="s">
        <v>110</v>
      </c>
      <c r="BO145" s="1" t="s">
        <v>1040</v>
      </c>
      <c r="BP145" s="1" t="s">
        <v>1041</v>
      </c>
      <c r="BQ145" t="s">
        <v>91</v>
      </c>
      <c r="BR145" s="3">
        <v>44092</v>
      </c>
      <c r="BS145" s="3"/>
      <c r="BT145" t="s">
        <v>91</v>
      </c>
      <c r="BU145" t="s">
        <v>91</v>
      </c>
      <c r="BV145">
        <v>9</v>
      </c>
      <c r="BW145" s="1" t="s">
        <v>1042</v>
      </c>
    </row>
    <row r="146" spans="1:75" x14ac:dyDescent="0.35">
      <c r="A146">
        <v>157504</v>
      </c>
      <c r="B146" s="1" t="s">
        <v>75</v>
      </c>
      <c r="C146">
        <v>80</v>
      </c>
      <c r="D146">
        <v>11121001</v>
      </c>
      <c r="E146">
        <v>121001</v>
      </c>
      <c r="F146" s="1" t="s">
        <v>76</v>
      </c>
      <c r="G146" s="1" t="s">
        <v>1043</v>
      </c>
      <c r="H146">
        <v>0</v>
      </c>
      <c r="I146" s="1" t="s">
        <v>78</v>
      </c>
      <c r="J146" s="1" t="s">
        <v>1044</v>
      </c>
      <c r="K146" s="1" t="s">
        <v>1045</v>
      </c>
      <c r="L146" t="s">
        <v>91</v>
      </c>
      <c r="M146" t="s">
        <v>91</v>
      </c>
      <c r="N146" s="1" t="s">
        <v>1046</v>
      </c>
      <c r="O146" t="s">
        <v>91</v>
      </c>
      <c r="P146" s="1" t="s">
        <v>593</v>
      </c>
      <c r="Q146" s="1" t="s">
        <v>1047</v>
      </c>
      <c r="R146" s="1" t="s">
        <v>91</v>
      </c>
      <c r="S146">
        <v>1279</v>
      </c>
      <c r="T146">
        <v>89211300</v>
      </c>
      <c r="U146" s="1" t="s">
        <v>595</v>
      </c>
      <c r="V146" s="1" t="s">
        <v>100</v>
      </c>
      <c r="W146" s="1" t="s">
        <v>87</v>
      </c>
      <c r="X146">
        <v>47</v>
      </c>
      <c r="Y146">
        <v>34361823</v>
      </c>
      <c r="Z146" t="s">
        <v>91</v>
      </c>
      <c r="AA146" t="s">
        <v>91</v>
      </c>
      <c r="AB146" t="s">
        <v>91</v>
      </c>
      <c r="AC146" t="s">
        <v>91</v>
      </c>
      <c r="AD146" t="s">
        <v>91</v>
      </c>
      <c r="AE146" t="s">
        <v>91</v>
      </c>
      <c r="AF146" t="s">
        <v>91</v>
      </c>
      <c r="AG146" s="1" t="s">
        <v>91</v>
      </c>
      <c r="AH146" s="1" t="s">
        <v>91</v>
      </c>
      <c r="AI146" t="s">
        <v>91</v>
      </c>
      <c r="AM146" t="s">
        <v>91</v>
      </c>
      <c r="AN146" t="s">
        <v>91</v>
      </c>
      <c r="AO146" t="s">
        <v>91</v>
      </c>
      <c r="AP146" t="s">
        <v>91</v>
      </c>
      <c r="AQ146" s="1" t="s">
        <v>91</v>
      </c>
      <c r="AR146" s="1" t="s">
        <v>91</v>
      </c>
      <c r="AS146" s="1" t="s">
        <v>91</v>
      </c>
      <c r="AT146" s="1" t="s">
        <v>91</v>
      </c>
      <c r="AU146" s="1" t="s">
        <v>91</v>
      </c>
      <c r="AV146" t="s">
        <v>91</v>
      </c>
      <c r="AW146" t="s">
        <v>91</v>
      </c>
      <c r="AX146" t="s">
        <v>91</v>
      </c>
      <c r="AY146" t="s">
        <v>91</v>
      </c>
      <c r="AZ146" t="s">
        <v>91</v>
      </c>
      <c r="BA146" t="s">
        <v>91</v>
      </c>
      <c r="BB146" s="2">
        <v>45118.093391203707</v>
      </c>
      <c r="BC146" s="2"/>
      <c r="BD146" t="s">
        <v>91</v>
      </c>
      <c r="BF146" s="1" t="s">
        <v>75</v>
      </c>
      <c r="BI146" s="1" t="s">
        <v>88</v>
      </c>
      <c r="BJ146">
        <v>1</v>
      </c>
      <c r="BK146" s="1" t="s">
        <v>89</v>
      </c>
      <c r="BL146" t="s">
        <v>91</v>
      </c>
      <c r="BM146" s="1" t="s">
        <v>91</v>
      </c>
      <c r="BN146" s="1" t="s">
        <v>91</v>
      </c>
      <c r="BO146" s="1" t="s">
        <v>91</v>
      </c>
      <c r="BP146" s="1" t="s">
        <v>91</v>
      </c>
      <c r="BQ146" t="s">
        <v>91</v>
      </c>
      <c r="BR146" s="3">
        <v>45118</v>
      </c>
      <c r="BS146" s="3"/>
      <c r="BT146" t="s">
        <v>91</v>
      </c>
      <c r="BU146" t="s">
        <v>91</v>
      </c>
      <c r="BW146" s="1" t="s">
        <v>1048</v>
      </c>
    </row>
    <row r="147" spans="1:75" x14ac:dyDescent="0.35">
      <c r="A147">
        <v>144563</v>
      </c>
      <c r="B147" s="1" t="s">
        <v>75</v>
      </c>
      <c r="C147">
        <v>80</v>
      </c>
      <c r="D147">
        <v>11121001</v>
      </c>
      <c r="E147">
        <v>121001</v>
      </c>
      <c r="F147" s="1" t="s">
        <v>76</v>
      </c>
      <c r="G147" s="1" t="s">
        <v>1049</v>
      </c>
      <c r="I147" s="1" t="s">
        <v>78</v>
      </c>
      <c r="J147" s="1" t="s">
        <v>1050</v>
      </c>
      <c r="K147" s="1" t="s">
        <v>1051</v>
      </c>
      <c r="L147" t="s">
        <v>91</v>
      </c>
      <c r="M147" t="s">
        <v>91</v>
      </c>
      <c r="N147" s="1" t="s">
        <v>1052</v>
      </c>
      <c r="O147" t="s">
        <v>91</v>
      </c>
      <c r="P147" s="1" t="s">
        <v>1053</v>
      </c>
      <c r="Q147" s="1" t="s">
        <v>126</v>
      </c>
      <c r="R147" s="1" t="s">
        <v>91</v>
      </c>
      <c r="S147">
        <v>1281</v>
      </c>
      <c r="T147">
        <v>89340000</v>
      </c>
      <c r="U147" s="1" t="s">
        <v>108</v>
      </c>
      <c r="V147" s="1" t="s">
        <v>205</v>
      </c>
      <c r="W147" s="1" t="s">
        <v>87</v>
      </c>
      <c r="X147">
        <v>47</v>
      </c>
      <c r="Y147">
        <v>36522934</v>
      </c>
      <c r="Z147" t="s">
        <v>91</v>
      </c>
      <c r="AA147" t="s">
        <v>91</v>
      </c>
      <c r="AB147" t="s">
        <v>91</v>
      </c>
      <c r="AC147" t="s">
        <v>91</v>
      </c>
      <c r="AD147" t="s">
        <v>91</v>
      </c>
      <c r="AE147" t="s">
        <v>91</v>
      </c>
      <c r="AF147" t="s">
        <v>91</v>
      </c>
      <c r="AG147" s="1" t="s">
        <v>91</v>
      </c>
      <c r="AH147" s="1" t="s">
        <v>91</v>
      </c>
      <c r="AI147" t="s">
        <v>91</v>
      </c>
      <c r="AJ147">
        <v>0</v>
      </c>
      <c r="AK147">
        <v>0</v>
      </c>
      <c r="AL147">
        <v>0</v>
      </c>
      <c r="AM147" t="s">
        <v>91</v>
      </c>
      <c r="AN147" t="s">
        <v>91</v>
      </c>
      <c r="AO147" t="s">
        <v>91</v>
      </c>
      <c r="AP147" t="s">
        <v>91</v>
      </c>
      <c r="AQ147" s="1" t="s">
        <v>91</v>
      </c>
      <c r="AR147" s="1" t="s">
        <v>91</v>
      </c>
      <c r="AS147" s="1" t="s">
        <v>91</v>
      </c>
      <c r="AT147" s="1" t="s">
        <v>91</v>
      </c>
      <c r="AU147" s="1" t="s">
        <v>91</v>
      </c>
      <c r="AV147" t="s">
        <v>91</v>
      </c>
      <c r="AW147" t="s">
        <v>91</v>
      </c>
      <c r="AX147" t="s">
        <v>91</v>
      </c>
      <c r="AY147" t="s">
        <v>91</v>
      </c>
      <c r="AZ147" t="s">
        <v>91</v>
      </c>
      <c r="BA147" t="s">
        <v>91</v>
      </c>
      <c r="BB147" s="2"/>
      <c r="BC147" s="2"/>
      <c r="BD147" t="s">
        <v>91</v>
      </c>
      <c r="BF147" s="1" t="s">
        <v>75</v>
      </c>
      <c r="BG147">
        <v>0</v>
      </c>
      <c r="BH147">
        <v>0</v>
      </c>
      <c r="BI147" s="1" t="s">
        <v>88</v>
      </c>
      <c r="BJ147">
        <v>1</v>
      </c>
      <c r="BK147" s="1" t="s">
        <v>89</v>
      </c>
      <c r="BL147" t="s">
        <v>91</v>
      </c>
      <c r="BM147" s="1" t="s">
        <v>109</v>
      </c>
      <c r="BN147" s="1" t="s">
        <v>148</v>
      </c>
      <c r="BO147" s="1" t="s">
        <v>180</v>
      </c>
      <c r="BP147" s="1" t="s">
        <v>91</v>
      </c>
      <c r="BQ147" t="s">
        <v>91</v>
      </c>
      <c r="BR147" s="3"/>
      <c r="BS147" s="3"/>
      <c r="BT147" t="s">
        <v>91</v>
      </c>
      <c r="BU147" t="s">
        <v>91</v>
      </c>
      <c r="BV147">
        <v>9</v>
      </c>
      <c r="BW147" s="1" t="s">
        <v>924</v>
      </c>
    </row>
    <row r="148" spans="1:75" x14ac:dyDescent="0.35">
      <c r="A148">
        <v>157570</v>
      </c>
      <c r="B148" s="1" t="s">
        <v>75</v>
      </c>
      <c r="C148">
        <v>80</v>
      </c>
      <c r="D148">
        <v>11121001</v>
      </c>
      <c r="E148">
        <v>121001</v>
      </c>
      <c r="F148" s="1" t="s">
        <v>76</v>
      </c>
      <c r="G148" s="1" t="s">
        <v>1054</v>
      </c>
      <c r="H148">
        <v>0</v>
      </c>
      <c r="I148" s="1" t="s">
        <v>78</v>
      </c>
      <c r="J148" s="1" t="s">
        <v>1055</v>
      </c>
      <c r="K148" s="1" t="s">
        <v>1056</v>
      </c>
      <c r="L148" t="s">
        <v>91</v>
      </c>
      <c r="M148" t="s">
        <v>91</v>
      </c>
      <c r="N148" s="1" t="s">
        <v>1057</v>
      </c>
      <c r="O148" t="s">
        <v>91</v>
      </c>
      <c r="P148" s="1" t="s">
        <v>335</v>
      </c>
      <c r="Q148" s="1" t="s">
        <v>1058</v>
      </c>
      <c r="R148" s="1" t="s">
        <v>91</v>
      </c>
      <c r="S148">
        <v>1280</v>
      </c>
      <c r="T148">
        <v>89251700</v>
      </c>
      <c r="U148" s="1" t="s">
        <v>108</v>
      </c>
      <c r="V148" s="1" t="s">
        <v>302</v>
      </c>
      <c r="W148" s="1" t="s">
        <v>87</v>
      </c>
      <c r="X148">
        <v>47</v>
      </c>
      <c r="Y148">
        <v>30552393</v>
      </c>
      <c r="Z148" t="s">
        <v>91</v>
      </c>
      <c r="AA148" t="s">
        <v>91</v>
      </c>
      <c r="AB148" t="s">
        <v>91</v>
      </c>
      <c r="AC148" t="s">
        <v>91</v>
      </c>
      <c r="AD148" t="s">
        <v>91</v>
      </c>
      <c r="AE148" t="s">
        <v>91</v>
      </c>
      <c r="AF148" t="s">
        <v>91</v>
      </c>
      <c r="AG148" s="1" t="s">
        <v>91</v>
      </c>
      <c r="AH148" s="1" t="s">
        <v>91</v>
      </c>
      <c r="AI148" t="s">
        <v>91</v>
      </c>
      <c r="AM148" t="s">
        <v>91</v>
      </c>
      <c r="AN148" t="s">
        <v>91</v>
      </c>
      <c r="AO148" t="s">
        <v>91</v>
      </c>
      <c r="AP148" t="s">
        <v>91</v>
      </c>
      <c r="AQ148" s="1" t="s">
        <v>91</v>
      </c>
      <c r="AR148" s="1" t="s">
        <v>91</v>
      </c>
      <c r="AS148" s="1" t="s">
        <v>91</v>
      </c>
      <c r="AT148" s="1" t="s">
        <v>91</v>
      </c>
      <c r="AU148" s="1" t="s">
        <v>91</v>
      </c>
      <c r="AV148" t="s">
        <v>91</v>
      </c>
      <c r="AW148" t="s">
        <v>91</v>
      </c>
      <c r="AX148" t="s">
        <v>91</v>
      </c>
      <c r="AY148" t="s">
        <v>91</v>
      </c>
      <c r="AZ148" t="s">
        <v>91</v>
      </c>
      <c r="BA148" t="s">
        <v>91</v>
      </c>
      <c r="BB148" s="2">
        <v>45118.093391203707</v>
      </c>
      <c r="BC148" s="2"/>
      <c r="BD148" t="s">
        <v>91</v>
      </c>
      <c r="BF148" s="1" t="s">
        <v>75</v>
      </c>
      <c r="BI148" s="1" t="s">
        <v>88</v>
      </c>
      <c r="BJ148">
        <v>1</v>
      </c>
      <c r="BK148" s="1" t="s">
        <v>89</v>
      </c>
      <c r="BL148" t="s">
        <v>91</v>
      </c>
      <c r="BM148" s="1" t="s">
        <v>91</v>
      </c>
      <c r="BN148" s="1" t="s">
        <v>91</v>
      </c>
      <c r="BO148" s="1" t="s">
        <v>91</v>
      </c>
      <c r="BP148" s="1" t="s">
        <v>91</v>
      </c>
      <c r="BQ148" t="s">
        <v>91</v>
      </c>
      <c r="BR148" s="3">
        <v>45118</v>
      </c>
      <c r="BS148" s="3"/>
      <c r="BT148" t="s">
        <v>91</v>
      </c>
      <c r="BU148" t="s">
        <v>91</v>
      </c>
      <c r="BW148" s="1" t="s">
        <v>1048</v>
      </c>
    </row>
    <row r="149" spans="1:75" x14ac:dyDescent="0.35">
      <c r="A149">
        <v>138871</v>
      </c>
      <c r="B149" s="1" t="s">
        <v>75</v>
      </c>
      <c r="C149">
        <v>80</v>
      </c>
      <c r="D149">
        <v>11121001</v>
      </c>
      <c r="E149">
        <v>121001</v>
      </c>
      <c r="F149" s="1" t="s">
        <v>76</v>
      </c>
      <c r="G149" s="1" t="s">
        <v>1059</v>
      </c>
      <c r="H149">
        <v>0</v>
      </c>
      <c r="I149" s="1" t="s">
        <v>78</v>
      </c>
      <c r="J149" s="1" t="s">
        <v>1060</v>
      </c>
      <c r="K149" s="1" t="s">
        <v>1061</v>
      </c>
      <c r="L149" t="s">
        <v>91</v>
      </c>
      <c r="M149" t="s">
        <v>91</v>
      </c>
      <c r="N149" s="1" t="s">
        <v>1062</v>
      </c>
      <c r="O149" t="s">
        <v>91</v>
      </c>
      <c r="P149" s="1" t="s">
        <v>368</v>
      </c>
      <c r="Q149" s="1" t="s">
        <v>1063</v>
      </c>
      <c r="R149" s="1" t="s">
        <v>91</v>
      </c>
      <c r="S149">
        <v>1383</v>
      </c>
      <c r="T149">
        <v>99020030</v>
      </c>
      <c r="U149" s="1" t="s">
        <v>1064</v>
      </c>
      <c r="V149" s="1" t="s">
        <v>371</v>
      </c>
      <c r="W149" s="1" t="s">
        <v>157</v>
      </c>
      <c r="X149">
        <v>54</v>
      </c>
      <c r="Y149">
        <v>33114506</v>
      </c>
      <c r="Z149" t="s">
        <v>91</v>
      </c>
      <c r="AA149" t="s">
        <v>91</v>
      </c>
      <c r="AB149" t="s">
        <v>91</v>
      </c>
      <c r="AC149" t="s">
        <v>91</v>
      </c>
      <c r="AD149" t="s">
        <v>91</v>
      </c>
      <c r="AE149" t="s">
        <v>91</v>
      </c>
      <c r="AF149" t="s">
        <v>91</v>
      </c>
      <c r="AG149" s="1" t="s">
        <v>146</v>
      </c>
      <c r="AH149" s="1" t="s">
        <v>91</v>
      </c>
      <c r="AI149" t="s">
        <v>91</v>
      </c>
      <c r="AM149" t="s">
        <v>91</v>
      </c>
      <c r="AN149" t="s">
        <v>91</v>
      </c>
      <c r="AO149" t="s">
        <v>91</v>
      </c>
      <c r="AP149" t="s">
        <v>91</v>
      </c>
      <c r="AQ149" s="1" t="s">
        <v>147</v>
      </c>
      <c r="AR149" s="1" t="s">
        <v>147</v>
      </c>
      <c r="AS149" s="1" t="s">
        <v>147</v>
      </c>
      <c r="AT149" s="1" t="s">
        <v>147</v>
      </c>
      <c r="AU149" s="1" t="s">
        <v>147</v>
      </c>
      <c r="AV149" t="s">
        <v>91</v>
      </c>
      <c r="AW149" t="s">
        <v>91</v>
      </c>
      <c r="AX149" t="s">
        <v>91</v>
      </c>
      <c r="AY149" t="s">
        <v>91</v>
      </c>
      <c r="AZ149" t="s">
        <v>91</v>
      </c>
      <c r="BA149" t="s">
        <v>91</v>
      </c>
      <c r="BB149" s="2">
        <v>44392.456759259258</v>
      </c>
      <c r="BC149" s="2">
        <v>44677.42386574074</v>
      </c>
      <c r="BD149" t="s">
        <v>91</v>
      </c>
      <c r="BF149" s="1" t="s">
        <v>75</v>
      </c>
      <c r="BH149">
        <v>0</v>
      </c>
      <c r="BI149" s="1" t="s">
        <v>88</v>
      </c>
      <c r="BJ149">
        <v>1</v>
      </c>
      <c r="BK149" s="1" t="s">
        <v>89</v>
      </c>
      <c r="BL149" t="s">
        <v>91</v>
      </c>
      <c r="BM149" s="1" t="s">
        <v>109</v>
      </c>
      <c r="BN149" s="1" t="s">
        <v>148</v>
      </c>
      <c r="BO149" s="1" t="s">
        <v>165</v>
      </c>
      <c r="BP149" s="1" t="s">
        <v>91</v>
      </c>
      <c r="BQ149" t="s">
        <v>91</v>
      </c>
      <c r="BR149" s="3">
        <v>44392</v>
      </c>
      <c r="BS149" s="3">
        <v>44677</v>
      </c>
      <c r="BT149" t="s">
        <v>91</v>
      </c>
      <c r="BU149" t="s">
        <v>91</v>
      </c>
      <c r="BW149" s="1" t="s">
        <v>90</v>
      </c>
    </row>
    <row r="150" spans="1:75" x14ac:dyDescent="0.35">
      <c r="A150">
        <v>144588</v>
      </c>
      <c r="B150" s="1" t="s">
        <v>75</v>
      </c>
      <c r="C150">
        <v>80</v>
      </c>
      <c r="D150">
        <v>11121001</v>
      </c>
      <c r="E150">
        <v>121001</v>
      </c>
      <c r="F150" s="1" t="s">
        <v>76</v>
      </c>
      <c r="G150" s="1" t="s">
        <v>1065</v>
      </c>
      <c r="I150" s="1" t="s">
        <v>78</v>
      </c>
      <c r="J150" s="1" t="s">
        <v>1066</v>
      </c>
      <c r="K150" s="1" t="s">
        <v>1067</v>
      </c>
      <c r="L150" t="s">
        <v>91</v>
      </c>
      <c r="M150" t="s">
        <v>91</v>
      </c>
      <c r="N150" s="1" t="s">
        <v>1068</v>
      </c>
      <c r="O150" t="s">
        <v>91</v>
      </c>
      <c r="P150" s="1" t="s">
        <v>162</v>
      </c>
      <c r="Q150" s="1" t="s">
        <v>1069</v>
      </c>
      <c r="R150" s="1" t="s">
        <v>236</v>
      </c>
      <c r="S150">
        <v>1277</v>
      </c>
      <c r="T150">
        <v>89201205</v>
      </c>
      <c r="U150" s="1" t="s">
        <v>108</v>
      </c>
      <c r="V150" s="1" t="s">
        <v>100</v>
      </c>
      <c r="W150" s="1" t="s">
        <v>87</v>
      </c>
      <c r="X150">
        <v>47</v>
      </c>
      <c r="Y150">
        <v>30303132</v>
      </c>
      <c r="Z150" t="s">
        <v>91</v>
      </c>
      <c r="AA150" t="s">
        <v>91</v>
      </c>
      <c r="AB150" t="s">
        <v>91</v>
      </c>
      <c r="AC150" t="s">
        <v>91</v>
      </c>
      <c r="AD150" t="s">
        <v>91</v>
      </c>
      <c r="AE150" t="s">
        <v>91</v>
      </c>
      <c r="AF150" t="s">
        <v>91</v>
      </c>
      <c r="AG150" s="1" t="s">
        <v>91</v>
      </c>
      <c r="AH150" s="1" t="s">
        <v>91</v>
      </c>
      <c r="AI150" t="s">
        <v>91</v>
      </c>
      <c r="AJ150">
        <v>0</v>
      </c>
      <c r="AK150">
        <v>0</v>
      </c>
      <c r="AL150">
        <v>0</v>
      </c>
      <c r="AM150" t="s">
        <v>91</v>
      </c>
      <c r="AN150" t="s">
        <v>91</v>
      </c>
      <c r="AO150" t="s">
        <v>91</v>
      </c>
      <c r="AP150" t="s">
        <v>91</v>
      </c>
      <c r="AQ150" s="1" t="s">
        <v>91</v>
      </c>
      <c r="AR150" s="1" t="s">
        <v>91</v>
      </c>
      <c r="AS150" s="1" t="s">
        <v>91</v>
      </c>
      <c r="AT150" s="1" t="s">
        <v>91</v>
      </c>
      <c r="AU150" s="1" t="s">
        <v>91</v>
      </c>
      <c r="AV150" t="s">
        <v>91</v>
      </c>
      <c r="AW150" t="s">
        <v>91</v>
      </c>
      <c r="AX150" t="s">
        <v>91</v>
      </c>
      <c r="AY150" t="s">
        <v>91</v>
      </c>
      <c r="AZ150" t="s">
        <v>91</v>
      </c>
      <c r="BA150" t="s">
        <v>91</v>
      </c>
      <c r="BB150" s="2"/>
      <c r="BC150" s="2"/>
      <c r="BD150" t="s">
        <v>91</v>
      </c>
      <c r="BF150" s="1" t="s">
        <v>75</v>
      </c>
      <c r="BG150">
        <v>0</v>
      </c>
      <c r="BH150">
        <v>0</v>
      </c>
      <c r="BI150" s="1" t="s">
        <v>88</v>
      </c>
      <c r="BJ150">
        <v>1</v>
      </c>
      <c r="BK150" s="1" t="s">
        <v>89</v>
      </c>
      <c r="BL150" t="s">
        <v>91</v>
      </c>
      <c r="BM150" s="1" t="s">
        <v>109</v>
      </c>
      <c r="BN150" s="1" t="s">
        <v>110</v>
      </c>
      <c r="BO150" s="1" t="s">
        <v>111</v>
      </c>
      <c r="BP150" s="1" t="s">
        <v>91</v>
      </c>
      <c r="BQ150" t="s">
        <v>91</v>
      </c>
      <c r="BR150" s="3"/>
      <c r="BS150" s="3"/>
      <c r="BT150" t="s">
        <v>91</v>
      </c>
      <c r="BU150" t="s">
        <v>91</v>
      </c>
      <c r="BV150">
        <v>9</v>
      </c>
      <c r="BW150" s="1" t="s">
        <v>882</v>
      </c>
    </row>
    <row r="151" spans="1:75" x14ac:dyDescent="0.35">
      <c r="A151">
        <v>144576</v>
      </c>
      <c r="B151" s="1" t="s">
        <v>75</v>
      </c>
      <c r="C151">
        <v>80</v>
      </c>
      <c r="D151">
        <v>11121001</v>
      </c>
      <c r="E151">
        <v>121001</v>
      </c>
      <c r="F151" s="1" t="s">
        <v>76</v>
      </c>
      <c r="G151" s="1" t="s">
        <v>1070</v>
      </c>
      <c r="I151" s="1" t="s">
        <v>78</v>
      </c>
      <c r="J151" s="1" t="s">
        <v>1071</v>
      </c>
      <c r="K151" s="1" t="s">
        <v>1072</v>
      </c>
      <c r="L151" t="s">
        <v>91</v>
      </c>
      <c r="M151" t="s">
        <v>91</v>
      </c>
      <c r="N151" s="1" t="s">
        <v>1073</v>
      </c>
      <c r="O151" t="s">
        <v>91</v>
      </c>
      <c r="P151" s="1" t="s">
        <v>1074</v>
      </c>
      <c r="Q151" s="1" t="s">
        <v>330</v>
      </c>
      <c r="R151" s="1" t="s">
        <v>1075</v>
      </c>
      <c r="S151">
        <v>1280</v>
      </c>
      <c r="T151">
        <v>89252000</v>
      </c>
      <c r="U151" s="1" t="s">
        <v>108</v>
      </c>
      <c r="V151" s="1" t="s">
        <v>1076</v>
      </c>
      <c r="W151" s="1" t="s">
        <v>87</v>
      </c>
      <c r="X151">
        <v>47</v>
      </c>
      <c r="Y151">
        <v>33706276</v>
      </c>
      <c r="Z151" t="s">
        <v>91</v>
      </c>
      <c r="AA151" t="s">
        <v>91</v>
      </c>
      <c r="AB151" t="s">
        <v>91</v>
      </c>
      <c r="AC151" t="s">
        <v>91</v>
      </c>
      <c r="AD151" t="s">
        <v>91</v>
      </c>
      <c r="AE151" t="s">
        <v>91</v>
      </c>
      <c r="AF151" t="s">
        <v>91</v>
      </c>
      <c r="AG151" s="1" t="s">
        <v>91</v>
      </c>
      <c r="AH151" s="1" t="s">
        <v>91</v>
      </c>
      <c r="AI151" t="s">
        <v>91</v>
      </c>
      <c r="AJ151">
        <v>0</v>
      </c>
      <c r="AK151">
        <v>0</v>
      </c>
      <c r="AL151">
        <v>0</v>
      </c>
      <c r="AM151" t="s">
        <v>91</v>
      </c>
      <c r="AN151" t="s">
        <v>91</v>
      </c>
      <c r="AO151" t="s">
        <v>91</v>
      </c>
      <c r="AP151" t="s">
        <v>91</v>
      </c>
      <c r="AQ151" s="1" t="s">
        <v>91</v>
      </c>
      <c r="AR151" s="1" t="s">
        <v>91</v>
      </c>
      <c r="AS151" s="1" t="s">
        <v>91</v>
      </c>
      <c r="AT151" s="1" t="s">
        <v>91</v>
      </c>
      <c r="AU151" s="1" t="s">
        <v>91</v>
      </c>
      <c r="AV151" t="s">
        <v>91</v>
      </c>
      <c r="AW151" t="s">
        <v>91</v>
      </c>
      <c r="AX151" t="s">
        <v>91</v>
      </c>
      <c r="AY151" t="s">
        <v>91</v>
      </c>
      <c r="AZ151" t="s">
        <v>91</v>
      </c>
      <c r="BA151" t="s">
        <v>91</v>
      </c>
      <c r="BB151" s="2"/>
      <c r="BC151" s="2"/>
      <c r="BD151" t="s">
        <v>91</v>
      </c>
      <c r="BF151" s="1" t="s">
        <v>75</v>
      </c>
      <c r="BG151">
        <v>0</v>
      </c>
      <c r="BH151">
        <v>0</v>
      </c>
      <c r="BI151" s="1" t="s">
        <v>88</v>
      </c>
      <c r="BJ151">
        <v>1</v>
      </c>
      <c r="BK151" s="1" t="s">
        <v>89</v>
      </c>
      <c r="BL151" t="s">
        <v>91</v>
      </c>
      <c r="BM151" s="1" t="s">
        <v>109</v>
      </c>
      <c r="BN151" s="1" t="s">
        <v>110</v>
      </c>
      <c r="BO151" s="1" t="s">
        <v>180</v>
      </c>
      <c r="BP151" s="1" t="s">
        <v>91</v>
      </c>
      <c r="BQ151" t="s">
        <v>91</v>
      </c>
      <c r="BR151" s="3"/>
      <c r="BS151" s="3"/>
      <c r="BT151" t="s">
        <v>91</v>
      </c>
      <c r="BU151" t="s">
        <v>91</v>
      </c>
      <c r="BV151">
        <v>8</v>
      </c>
      <c r="BW151" s="1" t="s">
        <v>1077</v>
      </c>
    </row>
    <row r="152" spans="1:75" x14ac:dyDescent="0.35">
      <c r="A152">
        <v>138073</v>
      </c>
      <c r="B152" s="1" t="s">
        <v>75</v>
      </c>
      <c r="C152">
        <v>80</v>
      </c>
      <c r="D152">
        <v>11121001</v>
      </c>
      <c r="E152">
        <v>121001</v>
      </c>
      <c r="F152" s="1" t="s">
        <v>76</v>
      </c>
      <c r="G152" s="1" t="s">
        <v>1078</v>
      </c>
      <c r="H152">
        <v>0</v>
      </c>
      <c r="I152" s="1" t="s">
        <v>78</v>
      </c>
      <c r="J152" s="1" t="s">
        <v>1079</v>
      </c>
      <c r="K152" s="1" t="s">
        <v>1080</v>
      </c>
      <c r="L152" t="s">
        <v>91</v>
      </c>
      <c r="M152" t="s">
        <v>91</v>
      </c>
      <c r="N152" s="1" t="s">
        <v>1081</v>
      </c>
      <c r="O152" t="s">
        <v>91</v>
      </c>
      <c r="P152" s="1" t="s">
        <v>839</v>
      </c>
      <c r="Q152" s="1" t="s">
        <v>1082</v>
      </c>
      <c r="R152" s="1" t="s">
        <v>91</v>
      </c>
      <c r="S152">
        <v>1289</v>
      </c>
      <c r="T152">
        <v>89900000</v>
      </c>
      <c r="U152" s="1" t="s">
        <v>108</v>
      </c>
      <c r="V152" s="1" t="s">
        <v>700</v>
      </c>
      <c r="W152" s="1" t="s">
        <v>87</v>
      </c>
      <c r="X152">
        <v>49</v>
      </c>
      <c r="Y152">
        <v>36220093</v>
      </c>
      <c r="Z152" t="s">
        <v>91</v>
      </c>
      <c r="AA152" t="s">
        <v>91</v>
      </c>
      <c r="AB152" t="s">
        <v>91</v>
      </c>
      <c r="AC152" t="s">
        <v>91</v>
      </c>
      <c r="AD152" t="s">
        <v>91</v>
      </c>
      <c r="AE152" t="s">
        <v>91</v>
      </c>
      <c r="AF152" t="s">
        <v>91</v>
      </c>
      <c r="AG152" s="1" t="s">
        <v>146</v>
      </c>
      <c r="AH152" s="1" t="s">
        <v>91</v>
      </c>
      <c r="AI152" t="s">
        <v>91</v>
      </c>
      <c r="AM152" t="s">
        <v>91</v>
      </c>
      <c r="AN152" t="s">
        <v>91</v>
      </c>
      <c r="AO152" t="s">
        <v>91</v>
      </c>
      <c r="AP152" t="s">
        <v>91</v>
      </c>
      <c r="AQ152" s="1" t="s">
        <v>147</v>
      </c>
      <c r="AR152" s="1" t="s">
        <v>147</v>
      </c>
      <c r="AS152" s="1" t="s">
        <v>147</v>
      </c>
      <c r="AT152" s="1" t="s">
        <v>147</v>
      </c>
      <c r="AU152" s="1" t="s">
        <v>147</v>
      </c>
      <c r="AV152" t="s">
        <v>91</v>
      </c>
      <c r="AW152" t="s">
        <v>91</v>
      </c>
      <c r="AX152" t="s">
        <v>91</v>
      </c>
      <c r="AY152" t="s">
        <v>91</v>
      </c>
      <c r="AZ152" t="s">
        <v>91</v>
      </c>
      <c r="BA152" t="s">
        <v>91</v>
      </c>
      <c r="BB152" s="2">
        <v>44378.578518518516</v>
      </c>
      <c r="BC152" s="2">
        <v>44522.573773148149</v>
      </c>
      <c r="BD152" t="s">
        <v>91</v>
      </c>
      <c r="BF152" s="1" t="s">
        <v>75</v>
      </c>
      <c r="BH152">
        <v>0</v>
      </c>
      <c r="BI152" s="1" t="s">
        <v>88</v>
      </c>
      <c r="BJ152">
        <v>1</v>
      </c>
      <c r="BK152" s="1" t="s">
        <v>89</v>
      </c>
      <c r="BL152" t="s">
        <v>91</v>
      </c>
      <c r="BM152" s="1" t="s">
        <v>109</v>
      </c>
      <c r="BN152" s="1" t="s">
        <v>110</v>
      </c>
      <c r="BO152" s="1" t="s">
        <v>111</v>
      </c>
      <c r="BP152" s="1" t="s">
        <v>91</v>
      </c>
      <c r="BQ152" t="s">
        <v>91</v>
      </c>
      <c r="BR152" s="3">
        <v>44378</v>
      </c>
      <c r="BS152" s="3">
        <v>44522</v>
      </c>
      <c r="BT152" t="s">
        <v>91</v>
      </c>
      <c r="BU152" t="s">
        <v>91</v>
      </c>
      <c r="BW152" s="1" t="s">
        <v>728</v>
      </c>
    </row>
    <row r="153" spans="1:75" x14ac:dyDescent="0.35">
      <c r="A153">
        <v>138074</v>
      </c>
      <c r="B153" s="1" t="s">
        <v>75</v>
      </c>
      <c r="C153">
        <v>80</v>
      </c>
      <c r="D153">
        <v>11121001</v>
      </c>
      <c r="E153">
        <v>121001</v>
      </c>
      <c r="F153" s="1" t="s">
        <v>76</v>
      </c>
      <c r="G153" s="1" t="s">
        <v>1083</v>
      </c>
      <c r="H153">
        <v>0</v>
      </c>
      <c r="I153" s="1" t="s">
        <v>78</v>
      </c>
      <c r="J153" s="1" t="s">
        <v>1084</v>
      </c>
      <c r="K153" s="1" t="s">
        <v>1085</v>
      </c>
      <c r="L153" t="s">
        <v>91</v>
      </c>
      <c r="M153" t="s">
        <v>91</v>
      </c>
      <c r="N153" s="1" t="s">
        <v>1086</v>
      </c>
      <c r="O153" t="s">
        <v>91</v>
      </c>
      <c r="P153" s="1" t="s">
        <v>438</v>
      </c>
      <c r="Q153" s="1" t="s">
        <v>1087</v>
      </c>
      <c r="R153" s="1" t="s">
        <v>91</v>
      </c>
      <c r="T153">
        <v>89700174</v>
      </c>
      <c r="U153" s="1" t="s">
        <v>108</v>
      </c>
      <c r="V153" s="1" t="s">
        <v>1088</v>
      </c>
      <c r="W153" s="1" t="s">
        <v>87</v>
      </c>
      <c r="X153">
        <v>49</v>
      </c>
      <c r="Y153">
        <v>34420815</v>
      </c>
      <c r="Z153" t="s">
        <v>91</v>
      </c>
      <c r="AA153" t="s">
        <v>91</v>
      </c>
      <c r="AB153" t="s">
        <v>91</v>
      </c>
      <c r="AC153" t="s">
        <v>91</v>
      </c>
      <c r="AD153" t="s">
        <v>91</v>
      </c>
      <c r="AE153" t="s">
        <v>91</v>
      </c>
      <c r="AF153" t="s">
        <v>91</v>
      </c>
      <c r="AG153" s="1" t="s">
        <v>146</v>
      </c>
      <c r="AH153" s="1" t="s">
        <v>91</v>
      </c>
      <c r="AI153" t="s">
        <v>91</v>
      </c>
      <c r="AM153" t="s">
        <v>91</v>
      </c>
      <c r="AN153" t="s">
        <v>91</v>
      </c>
      <c r="AO153" t="s">
        <v>91</v>
      </c>
      <c r="AP153" t="s">
        <v>91</v>
      </c>
      <c r="AQ153" s="1" t="s">
        <v>147</v>
      </c>
      <c r="AR153" s="1" t="s">
        <v>147</v>
      </c>
      <c r="AS153" s="1" t="s">
        <v>147</v>
      </c>
      <c r="AT153" s="1" t="s">
        <v>147</v>
      </c>
      <c r="AU153" s="1" t="s">
        <v>147</v>
      </c>
      <c r="AV153" t="s">
        <v>91</v>
      </c>
      <c r="AW153" t="s">
        <v>91</v>
      </c>
      <c r="AX153" t="s">
        <v>91</v>
      </c>
      <c r="AY153" t="s">
        <v>91</v>
      </c>
      <c r="AZ153" t="s">
        <v>91</v>
      </c>
      <c r="BA153" t="s">
        <v>91</v>
      </c>
      <c r="BB153" s="2">
        <v>44378.578518518516</v>
      </c>
      <c r="BC153" s="2">
        <v>44749.640960648147</v>
      </c>
      <c r="BD153" t="s">
        <v>91</v>
      </c>
      <c r="BF153" s="1" t="s">
        <v>75</v>
      </c>
      <c r="BH153">
        <v>0</v>
      </c>
      <c r="BI153" s="1" t="s">
        <v>88</v>
      </c>
      <c r="BJ153">
        <v>1</v>
      </c>
      <c r="BK153" s="1" t="s">
        <v>89</v>
      </c>
      <c r="BL153" t="s">
        <v>91</v>
      </c>
      <c r="BM153" s="1" t="s">
        <v>329</v>
      </c>
      <c r="BN153" s="1" t="s">
        <v>110</v>
      </c>
      <c r="BO153" s="1" t="s">
        <v>165</v>
      </c>
      <c r="BP153" s="1" t="s">
        <v>91</v>
      </c>
      <c r="BQ153" t="s">
        <v>91</v>
      </c>
      <c r="BR153" s="3">
        <v>44378</v>
      </c>
      <c r="BS153" s="3">
        <v>44749</v>
      </c>
      <c r="BT153" t="s">
        <v>91</v>
      </c>
      <c r="BU153" t="s">
        <v>91</v>
      </c>
      <c r="BW153" s="1" t="s">
        <v>1089</v>
      </c>
    </row>
    <row r="154" spans="1:75" x14ac:dyDescent="0.35">
      <c r="A154">
        <v>1303</v>
      </c>
      <c r="B154" s="1" t="s">
        <v>75</v>
      </c>
      <c r="C154">
        <v>80</v>
      </c>
      <c r="D154">
        <v>11121001</v>
      </c>
      <c r="E154">
        <v>121001</v>
      </c>
      <c r="F154" s="1" t="s">
        <v>76</v>
      </c>
      <c r="G154" s="1" t="s">
        <v>1090</v>
      </c>
      <c r="I154" s="1" t="s">
        <v>78</v>
      </c>
      <c r="J154" s="1" t="s">
        <v>1091</v>
      </c>
      <c r="K154" s="1" t="s">
        <v>1092</v>
      </c>
      <c r="L154" t="s">
        <v>91</v>
      </c>
      <c r="M154" t="s">
        <v>91</v>
      </c>
      <c r="N154" s="1" t="s">
        <v>1093</v>
      </c>
      <c r="O154" t="s">
        <v>91</v>
      </c>
      <c r="P154" s="1" t="s">
        <v>1094</v>
      </c>
      <c r="Q154" s="1" t="s">
        <v>1095</v>
      </c>
      <c r="R154" s="1" t="s">
        <v>91</v>
      </c>
      <c r="S154">
        <v>1280</v>
      </c>
      <c r="T154">
        <v>89278000</v>
      </c>
      <c r="U154" s="1" t="s">
        <v>108</v>
      </c>
      <c r="V154" s="1" t="s">
        <v>1096</v>
      </c>
      <c r="W154" s="1" t="s">
        <v>87</v>
      </c>
      <c r="X154">
        <v>47</v>
      </c>
      <c r="Y154">
        <v>33750615</v>
      </c>
      <c r="Z154" t="s">
        <v>91</v>
      </c>
      <c r="AA154" t="s">
        <v>91</v>
      </c>
      <c r="AB154" t="s">
        <v>91</v>
      </c>
      <c r="AC154" t="s">
        <v>91</v>
      </c>
      <c r="AD154" t="s">
        <v>91</v>
      </c>
      <c r="AE154" t="s">
        <v>91</v>
      </c>
      <c r="AF154" t="s">
        <v>91</v>
      </c>
      <c r="AG154" s="1" t="s">
        <v>91</v>
      </c>
      <c r="AH154" s="1" t="s">
        <v>91</v>
      </c>
      <c r="AI154" t="s">
        <v>91</v>
      </c>
      <c r="AJ154">
        <v>0</v>
      </c>
      <c r="AK154">
        <v>0</v>
      </c>
      <c r="AL154">
        <v>0</v>
      </c>
      <c r="AM154" t="s">
        <v>91</v>
      </c>
      <c r="AN154" t="s">
        <v>91</v>
      </c>
      <c r="AO154" t="s">
        <v>91</v>
      </c>
      <c r="AP154" t="s">
        <v>91</v>
      </c>
      <c r="AQ154" s="1" t="s">
        <v>91</v>
      </c>
      <c r="AR154" s="1" t="s">
        <v>91</v>
      </c>
      <c r="AS154" s="1" t="s">
        <v>91</v>
      </c>
      <c r="AT154" s="1" t="s">
        <v>91</v>
      </c>
      <c r="AU154" s="1" t="s">
        <v>91</v>
      </c>
      <c r="AV154" t="s">
        <v>91</v>
      </c>
      <c r="AW154" t="s">
        <v>91</v>
      </c>
      <c r="AX154" t="s">
        <v>91</v>
      </c>
      <c r="AY154" t="s">
        <v>91</v>
      </c>
      <c r="AZ154" t="s">
        <v>91</v>
      </c>
      <c r="BA154" t="s">
        <v>91</v>
      </c>
      <c r="BB154" s="2">
        <v>43308.393217592595</v>
      </c>
      <c r="BC154" s="2"/>
      <c r="BD154" t="s">
        <v>91</v>
      </c>
      <c r="BE154">
        <v>1303</v>
      </c>
      <c r="BF154" s="1" t="s">
        <v>75</v>
      </c>
      <c r="BG154">
        <v>0</v>
      </c>
      <c r="BH154">
        <v>0</v>
      </c>
      <c r="BI154" s="1" t="s">
        <v>88</v>
      </c>
      <c r="BJ154">
        <v>1</v>
      </c>
      <c r="BK154" s="1" t="s">
        <v>89</v>
      </c>
      <c r="BL154" t="s">
        <v>91</v>
      </c>
      <c r="BM154" s="1" t="s">
        <v>329</v>
      </c>
      <c r="BN154" s="1" t="s">
        <v>110</v>
      </c>
      <c r="BO154" s="1" t="s">
        <v>165</v>
      </c>
      <c r="BP154" s="1" t="s">
        <v>91</v>
      </c>
      <c r="BQ154" t="s">
        <v>91</v>
      </c>
      <c r="BR154" s="3">
        <v>43308</v>
      </c>
      <c r="BS154" s="3"/>
      <c r="BT154" t="s">
        <v>91</v>
      </c>
      <c r="BU154" t="s">
        <v>91</v>
      </c>
      <c r="BV154">
        <v>5</v>
      </c>
      <c r="BW154" s="1" t="s">
        <v>90</v>
      </c>
    </row>
    <row r="155" spans="1:75" x14ac:dyDescent="0.35">
      <c r="A155">
        <v>157507</v>
      </c>
      <c r="B155" s="1" t="s">
        <v>75</v>
      </c>
      <c r="C155">
        <v>80</v>
      </c>
      <c r="D155">
        <v>11121001</v>
      </c>
      <c r="E155">
        <v>121001</v>
      </c>
      <c r="F155" s="1" t="s">
        <v>76</v>
      </c>
      <c r="G155" s="1" t="s">
        <v>1097</v>
      </c>
      <c r="H155">
        <v>0</v>
      </c>
      <c r="I155" s="1" t="s">
        <v>78</v>
      </c>
      <c r="J155" s="1" t="s">
        <v>1098</v>
      </c>
      <c r="K155" s="1" t="s">
        <v>1099</v>
      </c>
      <c r="L155" t="s">
        <v>91</v>
      </c>
      <c r="M155" t="s">
        <v>91</v>
      </c>
      <c r="N155" s="1" t="s">
        <v>1100</v>
      </c>
      <c r="O155" t="s">
        <v>91</v>
      </c>
      <c r="P155" s="1" t="s">
        <v>1101</v>
      </c>
      <c r="Q155" s="1" t="s">
        <v>1102</v>
      </c>
      <c r="R155" s="1" t="s">
        <v>236</v>
      </c>
      <c r="S155">
        <v>1280</v>
      </c>
      <c r="T155">
        <v>89270000</v>
      </c>
      <c r="U155" s="1" t="s">
        <v>108</v>
      </c>
      <c r="V155" s="1" t="s">
        <v>1103</v>
      </c>
      <c r="W155" s="1" t="s">
        <v>87</v>
      </c>
      <c r="X155">
        <v>47</v>
      </c>
      <c r="Y155">
        <v>33713130</v>
      </c>
      <c r="Z155" t="s">
        <v>91</v>
      </c>
      <c r="AA155" t="s">
        <v>91</v>
      </c>
      <c r="AB155" t="s">
        <v>91</v>
      </c>
      <c r="AC155" t="s">
        <v>91</v>
      </c>
      <c r="AD155" t="s">
        <v>91</v>
      </c>
      <c r="AE155" t="s">
        <v>91</v>
      </c>
      <c r="AF155" t="s">
        <v>91</v>
      </c>
      <c r="AG155" s="1" t="s">
        <v>91</v>
      </c>
      <c r="AH155" s="1" t="s">
        <v>91</v>
      </c>
      <c r="AI155" t="s">
        <v>91</v>
      </c>
      <c r="AM155" t="s">
        <v>91</v>
      </c>
      <c r="AN155" t="s">
        <v>91</v>
      </c>
      <c r="AO155" t="s">
        <v>91</v>
      </c>
      <c r="AP155" t="s">
        <v>91</v>
      </c>
      <c r="AQ155" s="1" t="s">
        <v>91</v>
      </c>
      <c r="AR155" s="1" t="s">
        <v>91</v>
      </c>
      <c r="AS155" s="1" t="s">
        <v>91</v>
      </c>
      <c r="AT155" s="1" t="s">
        <v>91</v>
      </c>
      <c r="AU155" s="1" t="s">
        <v>91</v>
      </c>
      <c r="AV155" t="s">
        <v>91</v>
      </c>
      <c r="AW155" t="s">
        <v>91</v>
      </c>
      <c r="AX155" t="s">
        <v>91</v>
      </c>
      <c r="AY155" t="s">
        <v>91</v>
      </c>
      <c r="AZ155" t="s">
        <v>91</v>
      </c>
      <c r="BA155" t="s">
        <v>91</v>
      </c>
      <c r="BB155" s="2">
        <v>45118.093391203707</v>
      </c>
      <c r="BC155" s="2"/>
      <c r="BD155" t="s">
        <v>91</v>
      </c>
      <c r="BF155" s="1" t="s">
        <v>75</v>
      </c>
      <c r="BI155" s="1" t="s">
        <v>88</v>
      </c>
      <c r="BJ155">
        <v>1</v>
      </c>
      <c r="BK155" s="1" t="s">
        <v>89</v>
      </c>
      <c r="BL155" t="s">
        <v>91</v>
      </c>
      <c r="BM155" s="1" t="s">
        <v>91</v>
      </c>
      <c r="BN155" s="1" t="s">
        <v>91</v>
      </c>
      <c r="BO155" s="1" t="s">
        <v>91</v>
      </c>
      <c r="BP155" s="1" t="s">
        <v>91</v>
      </c>
      <c r="BQ155" t="s">
        <v>91</v>
      </c>
      <c r="BR155" s="3">
        <v>45118</v>
      </c>
      <c r="BS155" s="3"/>
      <c r="BT155" t="s">
        <v>91</v>
      </c>
      <c r="BU155" t="s">
        <v>91</v>
      </c>
      <c r="BW155" s="1" t="s">
        <v>735</v>
      </c>
    </row>
    <row r="156" spans="1:75" x14ac:dyDescent="0.35">
      <c r="A156">
        <v>127575</v>
      </c>
      <c r="B156" s="1" t="s">
        <v>75</v>
      </c>
      <c r="C156">
        <v>80</v>
      </c>
      <c r="D156">
        <v>11121001</v>
      </c>
      <c r="E156">
        <v>121001</v>
      </c>
      <c r="F156" s="1" t="s">
        <v>76</v>
      </c>
      <c r="G156" s="1" t="s">
        <v>1104</v>
      </c>
      <c r="H156">
        <v>0</v>
      </c>
      <c r="I156" s="1" t="s">
        <v>78</v>
      </c>
      <c r="J156" s="1" t="s">
        <v>1105</v>
      </c>
      <c r="K156" s="1" t="s">
        <v>1106</v>
      </c>
      <c r="L156" t="s">
        <v>91</v>
      </c>
      <c r="M156" t="s">
        <v>91</v>
      </c>
      <c r="N156" s="1" t="s">
        <v>1107</v>
      </c>
      <c r="O156" t="s">
        <v>91</v>
      </c>
      <c r="P156" s="1" t="s">
        <v>105</v>
      </c>
      <c r="Q156" s="1" t="s">
        <v>1108</v>
      </c>
      <c r="R156" s="1" t="s">
        <v>370</v>
      </c>
      <c r="S156">
        <v>1277</v>
      </c>
      <c r="T156">
        <v>89201001</v>
      </c>
      <c r="U156" s="1" t="s">
        <v>108</v>
      </c>
      <c r="V156" s="1" t="s">
        <v>100</v>
      </c>
      <c r="W156" s="1" t="s">
        <v>87</v>
      </c>
      <c r="X156">
        <v>47</v>
      </c>
      <c r="Y156">
        <v>32752214</v>
      </c>
      <c r="Z156" t="s">
        <v>91</v>
      </c>
      <c r="AA156" t="s">
        <v>91</v>
      </c>
      <c r="AB156" t="s">
        <v>91</v>
      </c>
      <c r="AC156" t="s">
        <v>91</v>
      </c>
      <c r="AD156" t="s">
        <v>91</v>
      </c>
      <c r="AE156" t="s">
        <v>91</v>
      </c>
      <c r="AF156" t="s">
        <v>91</v>
      </c>
      <c r="AG156" s="1" t="s">
        <v>91</v>
      </c>
      <c r="AH156" s="1" t="s">
        <v>91</v>
      </c>
      <c r="AI156" t="s">
        <v>91</v>
      </c>
      <c r="AJ156">
        <v>0</v>
      </c>
      <c r="AK156">
        <v>0</v>
      </c>
      <c r="AL156">
        <v>0</v>
      </c>
      <c r="AM156" t="s">
        <v>91</v>
      </c>
      <c r="AN156" t="s">
        <v>91</v>
      </c>
      <c r="AO156" t="s">
        <v>91</v>
      </c>
      <c r="AP156" t="s">
        <v>91</v>
      </c>
      <c r="AQ156" s="1" t="s">
        <v>91</v>
      </c>
      <c r="AR156" s="1" t="s">
        <v>91</v>
      </c>
      <c r="AS156" s="1" t="s">
        <v>91</v>
      </c>
      <c r="AT156" s="1" t="s">
        <v>91</v>
      </c>
      <c r="AU156" s="1" t="s">
        <v>91</v>
      </c>
      <c r="AV156" t="s">
        <v>91</v>
      </c>
      <c r="AW156" t="s">
        <v>91</v>
      </c>
      <c r="AX156" t="s">
        <v>91</v>
      </c>
      <c r="AY156" t="s">
        <v>91</v>
      </c>
      <c r="AZ156" t="s">
        <v>91</v>
      </c>
      <c r="BA156" t="s">
        <v>91</v>
      </c>
      <c r="BB156" s="2">
        <v>44111.380995370368</v>
      </c>
      <c r="BC156" s="2"/>
      <c r="BD156" t="s">
        <v>91</v>
      </c>
      <c r="BF156" s="1" t="s">
        <v>75</v>
      </c>
      <c r="BG156">
        <v>0</v>
      </c>
      <c r="BH156">
        <v>0</v>
      </c>
      <c r="BI156" s="1" t="s">
        <v>88</v>
      </c>
      <c r="BJ156">
        <v>1</v>
      </c>
      <c r="BK156" s="1" t="s">
        <v>89</v>
      </c>
      <c r="BL156" t="s">
        <v>91</v>
      </c>
      <c r="BM156" s="1" t="s">
        <v>109</v>
      </c>
      <c r="BN156" s="1" t="s">
        <v>110</v>
      </c>
      <c r="BO156" s="1" t="s">
        <v>165</v>
      </c>
      <c r="BP156" s="1" t="s">
        <v>91</v>
      </c>
      <c r="BQ156" t="s">
        <v>91</v>
      </c>
      <c r="BR156" s="3">
        <v>44111</v>
      </c>
      <c r="BS156" s="3"/>
      <c r="BT156" t="s">
        <v>91</v>
      </c>
      <c r="BU156" t="s">
        <v>91</v>
      </c>
      <c r="BV156">
        <v>9</v>
      </c>
      <c r="BW156" s="1" t="s">
        <v>735</v>
      </c>
    </row>
    <row r="157" spans="1:75" x14ac:dyDescent="0.35">
      <c r="A157">
        <v>144496</v>
      </c>
      <c r="B157" s="1" t="s">
        <v>75</v>
      </c>
      <c r="C157">
        <v>80</v>
      </c>
      <c r="D157">
        <v>11121001</v>
      </c>
      <c r="E157">
        <v>121001</v>
      </c>
      <c r="F157" s="1" t="s">
        <v>76</v>
      </c>
      <c r="G157" s="1" t="s">
        <v>1109</v>
      </c>
      <c r="I157" s="1" t="s">
        <v>78</v>
      </c>
      <c r="J157" s="1" t="s">
        <v>1110</v>
      </c>
      <c r="K157" s="1" t="s">
        <v>1111</v>
      </c>
      <c r="L157" t="s">
        <v>91</v>
      </c>
      <c r="M157" t="s">
        <v>91</v>
      </c>
      <c r="N157" s="1" t="s">
        <v>1112</v>
      </c>
      <c r="O157" t="s">
        <v>91</v>
      </c>
      <c r="P157" s="1" t="s">
        <v>1113</v>
      </c>
      <c r="Q157" s="1" t="s">
        <v>470</v>
      </c>
      <c r="R157" s="1" t="s">
        <v>91</v>
      </c>
      <c r="S157">
        <v>1280</v>
      </c>
      <c r="T157">
        <v>89240000</v>
      </c>
      <c r="U157" s="1" t="s">
        <v>343</v>
      </c>
      <c r="V157" s="1" t="s">
        <v>1114</v>
      </c>
      <c r="W157" s="1" t="s">
        <v>87</v>
      </c>
      <c r="X157">
        <v>47</v>
      </c>
      <c r="Y157">
        <v>34441191</v>
      </c>
      <c r="Z157" t="s">
        <v>91</v>
      </c>
      <c r="AA157" t="s">
        <v>91</v>
      </c>
      <c r="AB157" t="s">
        <v>91</v>
      </c>
      <c r="AC157" t="s">
        <v>91</v>
      </c>
      <c r="AD157" t="s">
        <v>91</v>
      </c>
      <c r="AE157" t="s">
        <v>91</v>
      </c>
      <c r="AF157" t="s">
        <v>91</v>
      </c>
      <c r="AG157" s="1" t="s">
        <v>91</v>
      </c>
      <c r="AH157" s="1" t="s">
        <v>91</v>
      </c>
      <c r="AI157" t="s">
        <v>91</v>
      </c>
      <c r="AJ157">
        <v>0</v>
      </c>
      <c r="AK157">
        <v>0</v>
      </c>
      <c r="AL157">
        <v>0</v>
      </c>
      <c r="AM157" t="s">
        <v>91</v>
      </c>
      <c r="AN157" t="s">
        <v>91</v>
      </c>
      <c r="AO157" t="s">
        <v>91</v>
      </c>
      <c r="AP157" t="s">
        <v>91</v>
      </c>
      <c r="AQ157" s="1" t="s">
        <v>91</v>
      </c>
      <c r="AR157" s="1" t="s">
        <v>91</v>
      </c>
      <c r="AS157" s="1" t="s">
        <v>91</v>
      </c>
      <c r="AT157" s="1" t="s">
        <v>91</v>
      </c>
      <c r="AU157" s="1" t="s">
        <v>91</v>
      </c>
      <c r="AV157" t="s">
        <v>91</v>
      </c>
      <c r="AW157" t="s">
        <v>91</v>
      </c>
      <c r="AX157" t="s">
        <v>91</v>
      </c>
      <c r="AY157" t="s">
        <v>91</v>
      </c>
      <c r="AZ157" t="s">
        <v>91</v>
      </c>
      <c r="BA157" t="s">
        <v>91</v>
      </c>
      <c r="BB157" s="2"/>
      <c r="BC157" s="2"/>
      <c r="BD157" t="s">
        <v>91</v>
      </c>
      <c r="BF157" s="1" t="s">
        <v>75</v>
      </c>
      <c r="BG157">
        <v>0</v>
      </c>
      <c r="BH157">
        <v>0</v>
      </c>
      <c r="BI157" s="1" t="s">
        <v>88</v>
      </c>
      <c r="BJ157">
        <v>1</v>
      </c>
      <c r="BK157" s="1" t="s">
        <v>89</v>
      </c>
      <c r="BL157" t="s">
        <v>91</v>
      </c>
      <c r="BM157" s="1" t="s">
        <v>109</v>
      </c>
      <c r="BN157" s="1" t="s">
        <v>148</v>
      </c>
      <c r="BO157" s="1" t="s">
        <v>111</v>
      </c>
      <c r="BP157" s="1" t="s">
        <v>91</v>
      </c>
      <c r="BQ157" t="s">
        <v>91</v>
      </c>
      <c r="BR157" s="3"/>
      <c r="BS157" s="3"/>
      <c r="BT157" t="s">
        <v>91</v>
      </c>
      <c r="BU157" t="s">
        <v>91</v>
      </c>
      <c r="BV157">
        <v>6</v>
      </c>
      <c r="BW157" s="1" t="s">
        <v>295</v>
      </c>
    </row>
    <row r="158" spans="1:75" x14ac:dyDescent="0.35">
      <c r="A158">
        <v>144487</v>
      </c>
      <c r="B158" s="1" t="s">
        <v>75</v>
      </c>
      <c r="C158">
        <v>80</v>
      </c>
      <c r="D158">
        <v>11121001</v>
      </c>
      <c r="E158">
        <v>121001</v>
      </c>
      <c r="F158" s="1" t="s">
        <v>76</v>
      </c>
      <c r="G158" s="1" t="s">
        <v>1115</v>
      </c>
      <c r="I158" s="1" t="s">
        <v>78</v>
      </c>
      <c r="J158" s="1" t="s">
        <v>1116</v>
      </c>
      <c r="K158" s="1" t="s">
        <v>1117</v>
      </c>
      <c r="L158" t="s">
        <v>91</v>
      </c>
      <c r="M158" t="s">
        <v>91</v>
      </c>
      <c r="N158" s="1" t="s">
        <v>1118</v>
      </c>
      <c r="O158" t="s">
        <v>91</v>
      </c>
      <c r="P158" s="1" t="s">
        <v>1119</v>
      </c>
      <c r="Q158" s="1" t="s">
        <v>1120</v>
      </c>
      <c r="R158" s="1" t="s">
        <v>370</v>
      </c>
      <c r="S158">
        <v>1280</v>
      </c>
      <c r="T158">
        <v>89270000</v>
      </c>
      <c r="U158" s="1" t="s">
        <v>108</v>
      </c>
      <c r="V158" s="1" t="s">
        <v>1103</v>
      </c>
      <c r="W158" s="1" t="s">
        <v>87</v>
      </c>
      <c r="X158">
        <v>47</v>
      </c>
      <c r="Y158">
        <v>33731519</v>
      </c>
      <c r="Z158" t="s">
        <v>91</v>
      </c>
      <c r="AA158" t="s">
        <v>91</v>
      </c>
      <c r="AB158" t="s">
        <v>91</v>
      </c>
      <c r="AC158" t="s">
        <v>91</v>
      </c>
      <c r="AD158" t="s">
        <v>91</v>
      </c>
      <c r="AE158" t="s">
        <v>91</v>
      </c>
      <c r="AF158" t="s">
        <v>91</v>
      </c>
      <c r="AG158" s="1" t="s">
        <v>91</v>
      </c>
      <c r="AH158" s="1" t="s">
        <v>91</v>
      </c>
      <c r="AI158" t="s">
        <v>91</v>
      </c>
      <c r="AJ158">
        <v>0</v>
      </c>
      <c r="AK158">
        <v>0</v>
      </c>
      <c r="AL158">
        <v>0</v>
      </c>
      <c r="AM158" t="s">
        <v>91</v>
      </c>
      <c r="AN158" t="s">
        <v>91</v>
      </c>
      <c r="AO158" t="s">
        <v>91</v>
      </c>
      <c r="AP158" t="s">
        <v>91</v>
      </c>
      <c r="AQ158" s="1" t="s">
        <v>91</v>
      </c>
      <c r="AR158" s="1" t="s">
        <v>91</v>
      </c>
      <c r="AS158" s="1" t="s">
        <v>91</v>
      </c>
      <c r="AT158" s="1" t="s">
        <v>91</v>
      </c>
      <c r="AU158" s="1" t="s">
        <v>91</v>
      </c>
      <c r="AV158" t="s">
        <v>91</v>
      </c>
      <c r="AW158" t="s">
        <v>91</v>
      </c>
      <c r="AX158" t="s">
        <v>91</v>
      </c>
      <c r="AY158" t="s">
        <v>91</v>
      </c>
      <c r="AZ158" t="s">
        <v>91</v>
      </c>
      <c r="BA158" t="s">
        <v>91</v>
      </c>
      <c r="BB158" s="2"/>
      <c r="BC158" s="2"/>
      <c r="BD158" t="s">
        <v>91</v>
      </c>
      <c r="BF158" s="1" t="s">
        <v>75</v>
      </c>
      <c r="BG158">
        <v>0</v>
      </c>
      <c r="BH158">
        <v>0</v>
      </c>
      <c r="BI158" s="1" t="s">
        <v>88</v>
      </c>
      <c r="BJ158">
        <v>1</v>
      </c>
      <c r="BK158" s="1" t="s">
        <v>89</v>
      </c>
      <c r="BL158" t="s">
        <v>91</v>
      </c>
      <c r="BM158" s="1" t="s">
        <v>109</v>
      </c>
      <c r="BN158" s="1" t="s">
        <v>110</v>
      </c>
      <c r="BO158" s="1" t="s">
        <v>180</v>
      </c>
      <c r="BP158" s="1" t="s">
        <v>91</v>
      </c>
      <c r="BQ158" t="s">
        <v>91</v>
      </c>
      <c r="BR158" s="3"/>
      <c r="BS158" s="3"/>
      <c r="BT158" t="s">
        <v>91</v>
      </c>
      <c r="BU158" t="s">
        <v>91</v>
      </c>
      <c r="BV158">
        <v>6</v>
      </c>
      <c r="BW158" s="1" t="s">
        <v>90</v>
      </c>
    </row>
    <row r="159" spans="1:75" x14ac:dyDescent="0.35">
      <c r="A159">
        <v>118737</v>
      </c>
      <c r="B159" s="1" t="s">
        <v>75</v>
      </c>
      <c r="C159">
        <v>80</v>
      </c>
      <c r="D159">
        <v>11121001</v>
      </c>
      <c r="E159">
        <v>121001</v>
      </c>
      <c r="F159" s="1" t="s">
        <v>76</v>
      </c>
      <c r="G159" s="1" t="s">
        <v>1121</v>
      </c>
      <c r="I159" s="1" t="s">
        <v>78</v>
      </c>
      <c r="J159" s="1" t="s">
        <v>1122</v>
      </c>
      <c r="K159" s="1" t="s">
        <v>1123</v>
      </c>
      <c r="L159" t="s">
        <v>91</v>
      </c>
      <c r="M159" t="s">
        <v>91</v>
      </c>
      <c r="N159" s="1" t="s">
        <v>1124</v>
      </c>
      <c r="O159" t="s">
        <v>91</v>
      </c>
      <c r="P159" s="1" t="s">
        <v>1125</v>
      </c>
      <c r="Q159" s="1" t="s">
        <v>1126</v>
      </c>
      <c r="R159" s="1" t="s">
        <v>1127</v>
      </c>
      <c r="S159">
        <v>1280</v>
      </c>
      <c r="T159">
        <v>89275000</v>
      </c>
      <c r="U159" s="1" t="s">
        <v>108</v>
      </c>
      <c r="V159" s="1" t="s">
        <v>1128</v>
      </c>
      <c r="W159" s="1" t="s">
        <v>87</v>
      </c>
      <c r="X159">
        <v>47</v>
      </c>
      <c r="Y159">
        <v>33741711</v>
      </c>
      <c r="Z159" t="s">
        <v>91</v>
      </c>
      <c r="AA159" t="s">
        <v>91</v>
      </c>
      <c r="AB159" t="s">
        <v>91</v>
      </c>
      <c r="AC159" t="s">
        <v>91</v>
      </c>
      <c r="AD159" t="s">
        <v>91</v>
      </c>
      <c r="AE159" t="s">
        <v>91</v>
      </c>
      <c r="AF159" t="s">
        <v>91</v>
      </c>
      <c r="AG159" s="1" t="s">
        <v>91</v>
      </c>
      <c r="AH159" s="1" t="s">
        <v>91</v>
      </c>
      <c r="AI159" t="s">
        <v>91</v>
      </c>
      <c r="AJ159">
        <v>0</v>
      </c>
      <c r="AK159">
        <v>0</v>
      </c>
      <c r="AL159">
        <v>0</v>
      </c>
      <c r="AM159" t="s">
        <v>91</v>
      </c>
      <c r="AN159" t="s">
        <v>91</v>
      </c>
      <c r="AO159" t="s">
        <v>91</v>
      </c>
      <c r="AP159" t="s">
        <v>91</v>
      </c>
      <c r="AQ159" s="1" t="s">
        <v>91</v>
      </c>
      <c r="AR159" s="1" t="s">
        <v>91</v>
      </c>
      <c r="AS159" s="1" t="s">
        <v>91</v>
      </c>
      <c r="AT159" s="1" t="s">
        <v>91</v>
      </c>
      <c r="AU159" s="1" t="s">
        <v>91</v>
      </c>
      <c r="AV159" t="s">
        <v>91</v>
      </c>
      <c r="AW159" t="s">
        <v>91</v>
      </c>
      <c r="AX159" t="s">
        <v>91</v>
      </c>
      <c r="AY159" t="s">
        <v>91</v>
      </c>
      <c r="AZ159" t="s">
        <v>91</v>
      </c>
      <c r="BA159" t="s">
        <v>91</v>
      </c>
      <c r="BB159" s="2"/>
      <c r="BC159" s="2"/>
      <c r="BD159" t="s">
        <v>91</v>
      </c>
      <c r="BF159" s="1" t="s">
        <v>75</v>
      </c>
      <c r="BG159">
        <v>0</v>
      </c>
      <c r="BH159">
        <v>0</v>
      </c>
      <c r="BI159" s="1" t="s">
        <v>88</v>
      </c>
      <c r="BJ159">
        <v>1</v>
      </c>
      <c r="BK159" s="1" t="s">
        <v>89</v>
      </c>
      <c r="BL159" t="s">
        <v>91</v>
      </c>
      <c r="BM159" s="1" t="s">
        <v>109</v>
      </c>
      <c r="BN159" s="1" t="s">
        <v>110</v>
      </c>
      <c r="BO159" s="1" t="s">
        <v>180</v>
      </c>
      <c r="BP159" s="1" t="s">
        <v>91</v>
      </c>
      <c r="BQ159" t="s">
        <v>91</v>
      </c>
      <c r="BR159" s="3"/>
      <c r="BS159" s="3"/>
      <c r="BT159" t="s">
        <v>91</v>
      </c>
      <c r="BU159" t="s">
        <v>91</v>
      </c>
      <c r="BV159">
        <v>9</v>
      </c>
      <c r="BW159" s="1" t="s">
        <v>90</v>
      </c>
    </row>
    <row r="160" spans="1:75" x14ac:dyDescent="0.35">
      <c r="A160">
        <v>144741</v>
      </c>
      <c r="B160" s="1" t="s">
        <v>75</v>
      </c>
      <c r="C160">
        <v>80</v>
      </c>
      <c r="D160">
        <v>11121001</v>
      </c>
      <c r="E160">
        <v>121001</v>
      </c>
      <c r="F160" s="1" t="s">
        <v>76</v>
      </c>
      <c r="G160" s="1" t="s">
        <v>1129</v>
      </c>
      <c r="I160" s="1" t="s">
        <v>78</v>
      </c>
      <c r="J160" s="1" t="s">
        <v>1130</v>
      </c>
      <c r="K160" s="1" t="s">
        <v>1131</v>
      </c>
      <c r="L160" t="s">
        <v>91</v>
      </c>
      <c r="M160" t="s">
        <v>91</v>
      </c>
      <c r="N160" s="1" t="s">
        <v>1107</v>
      </c>
      <c r="O160" t="s">
        <v>91</v>
      </c>
      <c r="P160" s="1" t="s">
        <v>260</v>
      </c>
      <c r="Q160" s="1" t="s">
        <v>300</v>
      </c>
      <c r="R160" s="1" t="s">
        <v>1132</v>
      </c>
      <c r="S160">
        <v>1280</v>
      </c>
      <c r="T160">
        <v>89251000</v>
      </c>
      <c r="U160" s="1" t="s">
        <v>108</v>
      </c>
      <c r="V160" s="1" t="s">
        <v>302</v>
      </c>
      <c r="W160" s="1" t="s">
        <v>87</v>
      </c>
      <c r="X160">
        <v>47</v>
      </c>
      <c r="Y160">
        <v>33701969</v>
      </c>
      <c r="Z160" t="s">
        <v>91</v>
      </c>
      <c r="AA160" t="s">
        <v>91</v>
      </c>
      <c r="AB160" t="s">
        <v>91</v>
      </c>
      <c r="AC160" t="s">
        <v>91</v>
      </c>
      <c r="AD160" t="s">
        <v>91</v>
      </c>
      <c r="AE160" t="s">
        <v>91</v>
      </c>
      <c r="AF160" t="s">
        <v>91</v>
      </c>
      <c r="AG160" s="1" t="s">
        <v>91</v>
      </c>
      <c r="AH160" s="1" t="s">
        <v>91</v>
      </c>
      <c r="AI160" t="s">
        <v>91</v>
      </c>
      <c r="AM160" t="s">
        <v>91</v>
      </c>
      <c r="AN160" t="s">
        <v>91</v>
      </c>
      <c r="AO160" t="s">
        <v>91</v>
      </c>
      <c r="AP160" t="s">
        <v>91</v>
      </c>
      <c r="AQ160" s="1" t="s">
        <v>91</v>
      </c>
      <c r="AR160" s="1" t="s">
        <v>91</v>
      </c>
      <c r="AS160" s="1" t="s">
        <v>91</v>
      </c>
      <c r="AT160" s="1" t="s">
        <v>91</v>
      </c>
      <c r="AU160" s="1" t="s">
        <v>91</v>
      </c>
      <c r="AV160" t="s">
        <v>91</v>
      </c>
      <c r="AW160" t="s">
        <v>91</v>
      </c>
      <c r="AX160" t="s">
        <v>91</v>
      </c>
      <c r="AY160" t="s">
        <v>91</v>
      </c>
      <c r="AZ160" t="s">
        <v>91</v>
      </c>
      <c r="BA160" t="s">
        <v>91</v>
      </c>
      <c r="BB160" s="2"/>
      <c r="BC160" s="2"/>
      <c r="BD160" t="s">
        <v>91</v>
      </c>
      <c r="BF160" s="1" t="s">
        <v>75</v>
      </c>
      <c r="BI160" s="1" t="s">
        <v>88</v>
      </c>
      <c r="BJ160">
        <v>1</v>
      </c>
      <c r="BK160" s="1" t="s">
        <v>89</v>
      </c>
      <c r="BL160" t="s">
        <v>91</v>
      </c>
      <c r="BM160" s="1" t="s">
        <v>329</v>
      </c>
      <c r="BN160" s="1" t="s">
        <v>110</v>
      </c>
      <c r="BO160" s="1" t="s">
        <v>165</v>
      </c>
      <c r="BP160" s="1" t="s">
        <v>91</v>
      </c>
      <c r="BQ160" t="s">
        <v>91</v>
      </c>
      <c r="BR160" s="3"/>
      <c r="BS160" s="3"/>
      <c r="BT160" t="s">
        <v>91</v>
      </c>
      <c r="BU160" t="s">
        <v>91</v>
      </c>
      <c r="BV160">
        <v>1</v>
      </c>
      <c r="BW160" s="1" t="s">
        <v>735</v>
      </c>
    </row>
    <row r="161" spans="1:75" x14ac:dyDescent="0.35">
      <c r="A161">
        <v>138078</v>
      </c>
      <c r="B161" s="1" t="s">
        <v>75</v>
      </c>
      <c r="C161">
        <v>80</v>
      </c>
      <c r="D161">
        <v>11121001</v>
      </c>
      <c r="E161">
        <v>121001</v>
      </c>
      <c r="F161" s="1" t="s">
        <v>76</v>
      </c>
      <c r="G161" s="1" t="s">
        <v>1133</v>
      </c>
      <c r="H161">
        <v>0</v>
      </c>
      <c r="I161" s="1" t="s">
        <v>78</v>
      </c>
      <c r="J161" s="1" t="s">
        <v>1134</v>
      </c>
      <c r="K161" s="1" t="s">
        <v>1135</v>
      </c>
      <c r="L161" t="s">
        <v>91</v>
      </c>
      <c r="M161" t="s">
        <v>91</v>
      </c>
      <c r="N161" s="1" t="s">
        <v>1136</v>
      </c>
      <c r="O161" t="s">
        <v>91</v>
      </c>
      <c r="P161" s="1" t="s">
        <v>1137</v>
      </c>
      <c r="Q161" s="1" t="s">
        <v>1138</v>
      </c>
      <c r="R161" s="1" t="s">
        <v>147</v>
      </c>
      <c r="S161">
        <v>1287</v>
      </c>
      <c r="T161">
        <v>89802000</v>
      </c>
      <c r="U161" s="1" t="s">
        <v>108</v>
      </c>
      <c r="V161" s="1" t="s">
        <v>337</v>
      </c>
      <c r="W161" s="1" t="s">
        <v>87</v>
      </c>
      <c r="X161">
        <v>49</v>
      </c>
      <c r="Y161">
        <v>33237658</v>
      </c>
      <c r="Z161" t="s">
        <v>91</v>
      </c>
      <c r="AA161" t="s">
        <v>91</v>
      </c>
      <c r="AB161" t="s">
        <v>91</v>
      </c>
      <c r="AC161" t="s">
        <v>91</v>
      </c>
      <c r="AD161" t="s">
        <v>91</v>
      </c>
      <c r="AE161" t="s">
        <v>91</v>
      </c>
      <c r="AF161" t="s">
        <v>91</v>
      </c>
      <c r="AG161" s="1" t="s">
        <v>146</v>
      </c>
      <c r="AH161" s="1" t="s">
        <v>91</v>
      </c>
      <c r="AI161" t="s">
        <v>91</v>
      </c>
      <c r="AM161" t="s">
        <v>91</v>
      </c>
      <c r="AN161" t="s">
        <v>91</v>
      </c>
      <c r="AO161" t="s">
        <v>91</v>
      </c>
      <c r="AP161" t="s">
        <v>91</v>
      </c>
      <c r="AQ161" s="1" t="s">
        <v>147</v>
      </c>
      <c r="AR161" s="1" t="s">
        <v>147</v>
      </c>
      <c r="AS161" s="1" t="s">
        <v>147</v>
      </c>
      <c r="AT161" s="1" t="s">
        <v>147</v>
      </c>
      <c r="AU161" s="1" t="s">
        <v>147</v>
      </c>
      <c r="AV161" t="s">
        <v>91</v>
      </c>
      <c r="AW161" t="s">
        <v>91</v>
      </c>
      <c r="AX161" t="s">
        <v>91</v>
      </c>
      <c r="AY161" t="s">
        <v>91</v>
      </c>
      <c r="AZ161" t="s">
        <v>91</v>
      </c>
      <c r="BA161" t="s">
        <v>91</v>
      </c>
      <c r="BB161" s="2">
        <v>44378.578518518516</v>
      </c>
      <c r="BC161" s="2">
        <v>44743.568576388891</v>
      </c>
      <c r="BD161" t="s">
        <v>91</v>
      </c>
      <c r="BF161" s="1" t="s">
        <v>75</v>
      </c>
      <c r="BH161">
        <v>0</v>
      </c>
      <c r="BI161" s="1" t="s">
        <v>88</v>
      </c>
      <c r="BJ161">
        <v>1</v>
      </c>
      <c r="BK161" s="1" t="s">
        <v>89</v>
      </c>
      <c r="BL161" t="s">
        <v>91</v>
      </c>
      <c r="BM161" s="1" t="s">
        <v>329</v>
      </c>
      <c r="BN161" s="1" t="s">
        <v>110</v>
      </c>
      <c r="BO161" s="1" t="s">
        <v>165</v>
      </c>
      <c r="BP161" s="1" t="s">
        <v>91</v>
      </c>
      <c r="BQ161" t="s">
        <v>91</v>
      </c>
      <c r="BR161" s="3">
        <v>44378</v>
      </c>
      <c r="BS161" s="3">
        <v>44743</v>
      </c>
      <c r="BT161" t="s">
        <v>91</v>
      </c>
      <c r="BU161" t="s">
        <v>91</v>
      </c>
      <c r="BW161" s="1" t="s">
        <v>601</v>
      </c>
    </row>
    <row r="162" spans="1:75" x14ac:dyDescent="0.35">
      <c r="A162">
        <v>144490</v>
      </c>
      <c r="B162" s="1" t="s">
        <v>75</v>
      </c>
      <c r="C162">
        <v>80</v>
      </c>
      <c r="D162">
        <v>11121001</v>
      </c>
      <c r="E162">
        <v>121001</v>
      </c>
      <c r="F162" s="1" t="s">
        <v>76</v>
      </c>
      <c r="G162" s="1" t="s">
        <v>1139</v>
      </c>
      <c r="I162" s="1" t="s">
        <v>78</v>
      </c>
      <c r="J162" s="1" t="s">
        <v>1140</v>
      </c>
      <c r="K162" s="1" t="s">
        <v>1141</v>
      </c>
      <c r="L162" t="s">
        <v>91</v>
      </c>
      <c r="M162" t="s">
        <v>91</v>
      </c>
      <c r="N162" s="1" t="s">
        <v>1107</v>
      </c>
      <c r="O162" t="s">
        <v>91</v>
      </c>
      <c r="P162" s="1" t="s">
        <v>1142</v>
      </c>
      <c r="Q162" s="1" t="s">
        <v>1143</v>
      </c>
      <c r="R162" s="1" t="s">
        <v>236</v>
      </c>
      <c r="S162">
        <v>1280</v>
      </c>
      <c r="T162">
        <v>89251701</v>
      </c>
      <c r="U162" s="1" t="s">
        <v>108</v>
      </c>
      <c r="V162" s="1" t="s">
        <v>302</v>
      </c>
      <c r="W162" s="1" t="s">
        <v>87</v>
      </c>
      <c r="X162">
        <v>47</v>
      </c>
      <c r="Y162">
        <v>32752214</v>
      </c>
      <c r="Z162" t="s">
        <v>91</v>
      </c>
      <c r="AA162" t="s">
        <v>91</v>
      </c>
      <c r="AB162" t="s">
        <v>91</v>
      </c>
      <c r="AC162" t="s">
        <v>91</v>
      </c>
      <c r="AD162" t="s">
        <v>91</v>
      </c>
      <c r="AE162" t="s">
        <v>91</v>
      </c>
      <c r="AF162" t="s">
        <v>91</v>
      </c>
      <c r="AG162" s="1" t="s">
        <v>91</v>
      </c>
      <c r="AH162" s="1" t="s">
        <v>91</v>
      </c>
      <c r="AI162" t="s">
        <v>91</v>
      </c>
      <c r="AJ162">
        <v>0</v>
      </c>
      <c r="AK162">
        <v>0</v>
      </c>
      <c r="AL162">
        <v>0</v>
      </c>
      <c r="AM162" t="s">
        <v>91</v>
      </c>
      <c r="AN162" t="s">
        <v>91</v>
      </c>
      <c r="AO162" t="s">
        <v>91</v>
      </c>
      <c r="AP162" t="s">
        <v>91</v>
      </c>
      <c r="AQ162" s="1" t="s">
        <v>91</v>
      </c>
      <c r="AR162" s="1" t="s">
        <v>91</v>
      </c>
      <c r="AS162" s="1" t="s">
        <v>91</v>
      </c>
      <c r="AT162" s="1" t="s">
        <v>91</v>
      </c>
      <c r="AU162" s="1" t="s">
        <v>91</v>
      </c>
      <c r="AV162" t="s">
        <v>91</v>
      </c>
      <c r="AW162" t="s">
        <v>91</v>
      </c>
      <c r="AX162" t="s">
        <v>91</v>
      </c>
      <c r="AY162" t="s">
        <v>91</v>
      </c>
      <c r="AZ162" t="s">
        <v>91</v>
      </c>
      <c r="BA162" t="s">
        <v>91</v>
      </c>
      <c r="BB162" s="2"/>
      <c r="BC162" s="2"/>
      <c r="BD162" t="s">
        <v>91</v>
      </c>
      <c r="BF162" s="1" t="s">
        <v>75</v>
      </c>
      <c r="BG162">
        <v>0</v>
      </c>
      <c r="BH162">
        <v>0</v>
      </c>
      <c r="BI162" s="1" t="s">
        <v>88</v>
      </c>
      <c r="BJ162">
        <v>1</v>
      </c>
      <c r="BK162" s="1" t="s">
        <v>89</v>
      </c>
      <c r="BL162" t="s">
        <v>91</v>
      </c>
      <c r="BM162" s="1" t="s">
        <v>329</v>
      </c>
      <c r="BN162" s="1" t="s">
        <v>110</v>
      </c>
      <c r="BO162" s="1" t="s">
        <v>165</v>
      </c>
      <c r="BP162" s="1" t="s">
        <v>91</v>
      </c>
      <c r="BQ162" t="s">
        <v>91</v>
      </c>
      <c r="BR162" s="3"/>
      <c r="BS162" s="3"/>
      <c r="BT162" t="s">
        <v>91</v>
      </c>
      <c r="BU162" t="s">
        <v>91</v>
      </c>
      <c r="BV162">
        <v>1</v>
      </c>
      <c r="BW162" s="1" t="s">
        <v>735</v>
      </c>
    </row>
    <row r="163" spans="1:75" x14ac:dyDescent="0.35">
      <c r="A163">
        <v>138079</v>
      </c>
      <c r="B163" s="1" t="s">
        <v>75</v>
      </c>
      <c r="C163">
        <v>80</v>
      </c>
      <c r="D163">
        <v>11121001</v>
      </c>
      <c r="E163">
        <v>121001</v>
      </c>
      <c r="F163" s="1" t="s">
        <v>76</v>
      </c>
      <c r="G163" s="1" t="s">
        <v>1144</v>
      </c>
      <c r="H163">
        <v>0</v>
      </c>
      <c r="I163" s="1" t="s">
        <v>78</v>
      </c>
      <c r="J163" s="1" t="s">
        <v>1145</v>
      </c>
      <c r="K163" s="1" t="s">
        <v>1146</v>
      </c>
      <c r="L163" t="s">
        <v>91</v>
      </c>
      <c r="M163" t="s">
        <v>91</v>
      </c>
      <c r="N163" s="1" t="s">
        <v>1147</v>
      </c>
      <c r="O163" t="s">
        <v>91</v>
      </c>
      <c r="P163" s="1" t="s">
        <v>1148</v>
      </c>
      <c r="Q163" s="1" t="s">
        <v>1149</v>
      </c>
      <c r="R163" s="1" t="s">
        <v>91</v>
      </c>
      <c r="S163">
        <v>1285</v>
      </c>
      <c r="T163">
        <v>89620000</v>
      </c>
      <c r="U163" s="1" t="s">
        <v>343</v>
      </c>
      <c r="V163" s="1" t="s">
        <v>492</v>
      </c>
      <c r="W163" s="1" t="s">
        <v>87</v>
      </c>
      <c r="X163">
        <v>49</v>
      </c>
      <c r="Y163">
        <v>35412886</v>
      </c>
      <c r="Z163" t="s">
        <v>91</v>
      </c>
      <c r="AA163" t="s">
        <v>91</v>
      </c>
      <c r="AB163" t="s">
        <v>91</v>
      </c>
      <c r="AC163" t="s">
        <v>91</v>
      </c>
      <c r="AD163" t="s">
        <v>91</v>
      </c>
      <c r="AE163" t="s">
        <v>91</v>
      </c>
      <c r="AF163" t="s">
        <v>91</v>
      </c>
      <c r="AG163" s="1" t="s">
        <v>146</v>
      </c>
      <c r="AH163" s="1" t="s">
        <v>91</v>
      </c>
      <c r="AI163" t="s">
        <v>91</v>
      </c>
      <c r="AM163" t="s">
        <v>91</v>
      </c>
      <c r="AN163" t="s">
        <v>91</v>
      </c>
      <c r="AO163" t="s">
        <v>91</v>
      </c>
      <c r="AP163" t="s">
        <v>91</v>
      </c>
      <c r="AQ163" s="1" t="s">
        <v>147</v>
      </c>
      <c r="AR163" s="1" t="s">
        <v>147</v>
      </c>
      <c r="AS163" s="1" t="s">
        <v>147</v>
      </c>
      <c r="AT163" s="1" t="s">
        <v>147</v>
      </c>
      <c r="AU163" s="1" t="s">
        <v>147</v>
      </c>
      <c r="AV163" t="s">
        <v>91</v>
      </c>
      <c r="AW163" t="s">
        <v>91</v>
      </c>
      <c r="AX163" t="s">
        <v>91</v>
      </c>
      <c r="AY163" t="s">
        <v>91</v>
      </c>
      <c r="AZ163" t="s">
        <v>91</v>
      </c>
      <c r="BA163" t="s">
        <v>91</v>
      </c>
      <c r="BB163" s="2">
        <v>44378.578518518516</v>
      </c>
      <c r="BC163" s="2">
        <v>44599.636828703704</v>
      </c>
      <c r="BD163" t="s">
        <v>91</v>
      </c>
      <c r="BF163" s="1" t="s">
        <v>75</v>
      </c>
      <c r="BH163">
        <v>0</v>
      </c>
      <c r="BI163" s="1" t="s">
        <v>88</v>
      </c>
      <c r="BJ163">
        <v>1</v>
      </c>
      <c r="BK163" s="1" t="s">
        <v>89</v>
      </c>
      <c r="BL163" t="s">
        <v>91</v>
      </c>
      <c r="BM163" s="1" t="s">
        <v>329</v>
      </c>
      <c r="BN163" s="1" t="s">
        <v>110</v>
      </c>
      <c r="BO163" s="1" t="s">
        <v>165</v>
      </c>
      <c r="BP163" s="1" t="s">
        <v>91</v>
      </c>
      <c r="BQ163" t="s">
        <v>91</v>
      </c>
      <c r="BR163" s="3">
        <v>44378</v>
      </c>
      <c r="BS163" s="3">
        <v>44599</v>
      </c>
      <c r="BT163" t="s">
        <v>91</v>
      </c>
      <c r="BU163" t="s">
        <v>91</v>
      </c>
      <c r="BW163" s="1" t="s">
        <v>1150</v>
      </c>
    </row>
    <row r="164" spans="1:75" x14ac:dyDescent="0.35">
      <c r="A164">
        <v>120443</v>
      </c>
      <c r="B164" s="1" t="s">
        <v>75</v>
      </c>
      <c r="C164">
        <v>80</v>
      </c>
      <c r="D164">
        <v>11121001</v>
      </c>
      <c r="E164">
        <v>121001</v>
      </c>
      <c r="F164" s="1" t="s">
        <v>76</v>
      </c>
      <c r="G164" s="1" t="s">
        <v>1151</v>
      </c>
      <c r="H164">
        <v>0</v>
      </c>
      <c r="I164" s="1" t="s">
        <v>78</v>
      </c>
      <c r="J164" s="1" t="s">
        <v>1152</v>
      </c>
      <c r="K164" s="1" t="s">
        <v>1153</v>
      </c>
      <c r="L164" t="s">
        <v>91</v>
      </c>
      <c r="M164" t="s">
        <v>91</v>
      </c>
      <c r="N164" s="1" t="s">
        <v>1154</v>
      </c>
      <c r="O164" t="s">
        <v>91</v>
      </c>
      <c r="P164" s="1" t="s">
        <v>1148</v>
      </c>
      <c r="Q164" s="1" t="s">
        <v>1155</v>
      </c>
      <c r="R164" s="1" t="s">
        <v>91</v>
      </c>
      <c r="S164">
        <v>1285</v>
      </c>
      <c r="T164">
        <v>89620000</v>
      </c>
      <c r="U164" s="1" t="s">
        <v>343</v>
      </c>
      <c r="V164" s="1" t="s">
        <v>492</v>
      </c>
      <c r="W164" s="1" t="s">
        <v>87</v>
      </c>
      <c r="X164">
        <v>49</v>
      </c>
      <c r="Y164">
        <v>35410850</v>
      </c>
      <c r="Z164" t="s">
        <v>91</v>
      </c>
      <c r="AA164" t="s">
        <v>91</v>
      </c>
      <c r="AB164" t="s">
        <v>91</v>
      </c>
      <c r="AC164" t="s">
        <v>91</v>
      </c>
      <c r="AD164" t="s">
        <v>91</v>
      </c>
      <c r="AE164" t="s">
        <v>91</v>
      </c>
      <c r="AF164" t="s">
        <v>91</v>
      </c>
      <c r="AG164" s="1" t="s">
        <v>91</v>
      </c>
      <c r="AH164" s="1" t="s">
        <v>91</v>
      </c>
      <c r="AI164" t="s">
        <v>91</v>
      </c>
      <c r="AJ164">
        <v>0</v>
      </c>
      <c r="AK164">
        <v>0</v>
      </c>
      <c r="AL164">
        <v>0</v>
      </c>
      <c r="AM164" t="s">
        <v>91</v>
      </c>
      <c r="AN164" t="s">
        <v>91</v>
      </c>
      <c r="AO164" t="s">
        <v>91</v>
      </c>
      <c r="AP164" t="s">
        <v>91</v>
      </c>
      <c r="AQ164" s="1" t="s">
        <v>91</v>
      </c>
      <c r="AR164" s="1" t="s">
        <v>91</v>
      </c>
      <c r="AS164" s="1" t="s">
        <v>91</v>
      </c>
      <c r="AT164" s="1" t="s">
        <v>91</v>
      </c>
      <c r="AU164" s="1" t="s">
        <v>91</v>
      </c>
      <c r="AV164" t="s">
        <v>91</v>
      </c>
      <c r="AW164" t="s">
        <v>91</v>
      </c>
      <c r="AX164" t="s">
        <v>91</v>
      </c>
      <c r="AY164" t="s">
        <v>91</v>
      </c>
      <c r="AZ164" t="s">
        <v>91</v>
      </c>
      <c r="BA164" t="s">
        <v>91</v>
      </c>
      <c r="BB164" s="2">
        <v>44092.925393518519</v>
      </c>
      <c r="BC164" s="2"/>
      <c r="BD164" t="s">
        <v>91</v>
      </c>
      <c r="BF164" s="1" t="s">
        <v>75</v>
      </c>
      <c r="BG164">
        <v>0</v>
      </c>
      <c r="BH164">
        <v>0</v>
      </c>
      <c r="BI164" s="1" t="s">
        <v>88</v>
      </c>
      <c r="BJ164">
        <v>1</v>
      </c>
      <c r="BK164" s="1" t="s">
        <v>89</v>
      </c>
      <c r="BL164" t="s">
        <v>91</v>
      </c>
      <c r="BM164" s="1" t="s">
        <v>109</v>
      </c>
      <c r="BN164" s="1" t="s">
        <v>110</v>
      </c>
      <c r="BO164" s="1" t="s">
        <v>128</v>
      </c>
      <c r="BP164" s="1" t="s">
        <v>91</v>
      </c>
      <c r="BQ164" t="s">
        <v>91</v>
      </c>
      <c r="BR164" s="3">
        <v>44092</v>
      </c>
      <c r="BS164" s="3"/>
      <c r="BT164" t="s">
        <v>91</v>
      </c>
      <c r="BU164" t="s">
        <v>91</v>
      </c>
      <c r="BV164">
        <v>5</v>
      </c>
      <c r="BW164" s="1" t="s">
        <v>1156</v>
      </c>
    </row>
    <row r="165" spans="1:75" x14ac:dyDescent="0.35">
      <c r="A165">
        <v>138081</v>
      </c>
      <c r="B165" s="1" t="s">
        <v>75</v>
      </c>
      <c r="C165">
        <v>80</v>
      </c>
      <c r="D165">
        <v>11121001</v>
      </c>
      <c r="E165">
        <v>121001</v>
      </c>
      <c r="F165" s="1" t="s">
        <v>76</v>
      </c>
      <c r="G165" s="1" t="s">
        <v>1157</v>
      </c>
      <c r="H165">
        <v>0</v>
      </c>
      <c r="I165" s="1" t="s">
        <v>78</v>
      </c>
      <c r="J165" s="1" t="s">
        <v>1158</v>
      </c>
      <c r="K165" s="1" t="s">
        <v>1159</v>
      </c>
      <c r="L165" t="s">
        <v>91</v>
      </c>
      <c r="M165" t="s">
        <v>91</v>
      </c>
      <c r="N165" s="1" t="s">
        <v>91</v>
      </c>
      <c r="O165" t="s">
        <v>91</v>
      </c>
      <c r="P165" s="1" t="s">
        <v>1160</v>
      </c>
      <c r="Q165" s="1" t="s">
        <v>1161</v>
      </c>
      <c r="R165" s="1" t="s">
        <v>91</v>
      </c>
      <c r="S165">
        <v>1285</v>
      </c>
      <c r="T165">
        <v>89620000</v>
      </c>
      <c r="U165" s="1" t="s">
        <v>343</v>
      </c>
      <c r="V165" s="1" t="s">
        <v>492</v>
      </c>
      <c r="W165" s="1" t="s">
        <v>87</v>
      </c>
      <c r="X165">
        <v>49</v>
      </c>
      <c r="Y165">
        <v>35410535</v>
      </c>
      <c r="Z165" t="s">
        <v>91</v>
      </c>
      <c r="AA165" t="s">
        <v>91</v>
      </c>
      <c r="AB165" t="s">
        <v>91</v>
      </c>
      <c r="AC165" t="s">
        <v>91</v>
      </c>
      <c r="AD165" t="s">
        <v>91</v>
      </c>
      <c r="AE165" t="s">
        <v>91</v>
      </c>
      <c r="AF165" t="s">
        <v>91</v>
      </c>
      <c r="AG165" s="1" t="s">
        <v>146</v>
      </c>
      <c r="AH165" s="1" t="s">
        <v>91</v>
      </c>
      <c r="AI165" t="s">
        <v>91</v>
      </c>
      <c r="AM165" t="s">
        <v>91</v>
      </c>
      <c r="AN165" t="s">
        <v>91</v>
      </c>
      <c r="AO165" t="s">
        <v>91</v>
      </c>
      <c r="AP165" t="s">
        <v>91</v>
      </c>
      <c r="AQ165" s="1" t="s">
        <v>147</v>
      </c>
      <c r="AR165" s="1" t="s">
        <v>147</v>
      </c>
      <c r="AS165" s="1" t="s">
        <v>147</v>
      </c>
      <c r="AT165" s="1" t="s">
        <v>147</v>
      </c>
      <c r="AU165" s="1" t="s">
        <v>147</v>
      </c>
      <c r="AV165" t="s">
        <v>91</v>
      </c>
      <c r="AW165" t="s">
        <v>91</v>
      </c>
      <c r="AX165" t="s">
        <v>91</v>
      </c>
      <c r="AY165" t="s">
        <v>91</v>
      </c>
      <c r="AZ165" t="s">
        <v>91</v>
      </c>
      <c r="BA165" t="s">
        <v>91</v>
      </c>
      <c r="BB165" s="2">
        <v>44378.578518518516</v>
      </c>
      <c r="BC165" s="2">
        <v>44522.713009259256</v>
      </c>
      <c r="BD165" t="s">
        <v>91</v>
      </c>
      <c r="BF165" s="1" t="s">
        <v>75</v>
      </c>
      <c r="BH165">
        <v>0</v>
      </c>
      <c r="BI165" s="1" t="s">
        <v>88</v>
      </c>
      <c r="BJ165">
        <v>1</v>
      </c>
      <c r="BK165" s="1" t="s">
        <v>89</v>
      </c>
      <c r="BL165" t="s">
        <v>91</v>
      </c>
      <c r="BM165" s="1" t="s">
        <v>109</v>
      </c>
      <c r="BN165" s="1" t="s">
        <v>110</v>
      </c>
      <c r="BO165" s="1" t="s">
        <v>128</v>
      </c>
      <c r="BP165" s="1" t="s">
        <v>91</v>
      </c>
      <c r="BQ165" t="s">
        <v>91</v>
      </c>
      <c r="BR165" s="3">
        <v>44378</v>
      </c>
      <c r="BS165" s="3">
        <v>44522</v>
      </c>
      <c r="BT165" t="s">
        <v>91</v>
      </c>
      <c r="BU165" t="s">
        <v>91</v>
      </c>
      <c r="BW165" s="1" t="s">
        <v>924</v>
      </c>
    </row>
    <row r="166" spans="1:75" x14ac:dyDescent="0.35">
      <c r="A166">
        <v>156807</v>
      </c>
      <c r="B166" s="1" t="s">
        <v>75</v>
      </c>
      <c r="C166">
        <v>80</v>
      </c>
      <c r="D166">
        <v>11121001</v>
      </c>
      <c r="E166">
        <v>121001</v>
      </c>
      <c r="F166" s="1" t="s">
        <v>76</v>
      </c>
      <c r="G166" s="1" t="s">
        <v>1162</v>
      </c>
      <c r="H166">
        <v>0</v>
      </c>
      <c r="I166" s="1" t="s">
        <v>78</v>
      </c>
      <c r="J166" s="1" t="s">
        <v>1163</v>
      </c>
      <c r="K166" s="1" t="s">
        <v>1164</v>
      </c>
      <c r="L166" t="s">
        <v>91</v>
      </c>
      <c r="M166" t="s">
        <v>91</v>
      </c>
      <c r="N166" s="1" t="s">
        <v>1165</v>
      </c>
      <c r="O166" t="s">
        <v>91</v>
      </c>
      <c r="P166" s="1" t="s">
        <v>1166</v>
      </c>
      <c r="Q166" s="1" t="s">
        <v>478</v>
      </c>
      <c r="R166" s="1" t="s">
        <v>91</v>
      </c>
      <c r="S166">
        <v>1280</v>
      </c>
      <c r="T166">
        <v>89290000</v>
      </c>
      <c r="U166" s="1" t="s">
        <v>108</v>
      </c>
      <c r="V166" s="1" t="s">
        <v>520</v>
      </c>
      <c r="W166" s="1" t="s">
        <v>87</v>
      </c>
      <c r="X166">
        <v>47</v>
      </c>
      <c r="Y166">
        <v>36340426</v>
      </c>
      <c r="Z166" t="s">
        <v>91</v>
      </c>
      <c r="AA166" t="s">
        <v>91</v>
      </c>
      <c r="AB166" t="s">
        <v>91</v>
      </c>
      <c r="AC166" t="s">
        <v>91</v>
      </c>
      <c r="AD166" t="s">
        <v>91</v>
      </c>
      <c r="AE166" t="s">
        <v>91</v>
      </c>
      <c r="AF166" t="s">
        <v>91</v>
      </c>
      <c r="AG166" s="1" t="s">
        <v>91</v>
      </c>
      <c r="AH166" s="1" t="s">
        <v>91</v>
      </c>
      <c r="AI166" t="s">
        <v>91</v>
      </c>
      <c r="AM166" t="s">
        <v>91</v>
      </c>
      <c r="AN166" t="s">
        <v>91</v>
      </c>
      <c r="AO166" t="s">
        <v>91</v>
      </c>
      <c r="AP166" t="s">
        <v>91</v>
      </c>
      <c r="AQ166" s="1" t="s">
        <v>91</v>
      </c>
      <c r="AR166" s="1" t="s">
        <v>91</v>
      </c>
      <c r="AS166" s="1" t="s">
        <v>91</v>
      </c>
      <c r="AT166" s="1" t="s">
        <v>91</v>
      </c>
      <c r="AU166" s="1" t="s">
        <v>91</v>
      </c>
      <c r="AV166" t="s">
        <v>91</v>
      </c>
      <c r="AW166" t="s">
        <v>91</v>
      </c>
      <c r="AX166" t="s">
        <v>91</v>
      </c>
      <c r="AY166" t="s">
        <v>91</v>
      </c>
      <c r="AZ166" t="s">
        <v>91</v>
      </c>
      <c r="BA166" t="s">
        <v>91</v>
      </c>
      <c r="BB166" s="2">
        <v>45113.505416666667</v>
      </c>
      <c r="BC166" s="2"/>
      <c r="BD166" t="s">
        <v>91</v>
      </c>
      <c r="BF166" s="1" t="s">
        <v>75</v>
      </c>
      <c r="BI166" s="1" t="s">
        <v>88</v>
      </c>
      <c r="BJ166">
        <v>1</v>
      </c>
      <c r="BK166" s="1" t="s">
        <v>89</v>
      </c>
      <c r="BL166" t="s">
        <v>91</v>
      </c>
      <c r="BM166" s="1" t="s">
        <v>91</v>
      </c>
      <c r="BN166" s="1" t="s">
        <v>91</v>
      </c>
      <c r="BO166" s="1" t="s">
        <v>91</v>
      </c>
      <c r="BP166" s="1" t="s">
        <v>91</v>
      </c>
      <c r="BQ166" t="s">
        <v>91</v>
      </c>
      <c r="BR166" s="3">
        <v>45113</v>
      </c>
      <c r="BS166" s="3"/>
      <c r="BT166" t="s">
        <v>91</v>
      </c>
      <c r="BU166" t="s">
        <v>91</v>
      </c>
      <c r="BW166" s="1" t="s">
        <v>90</v>
      </c>
    </row>
    <row r="167" spans="1:75" x14ac:dyDescent="0.35">
      <c r="A167">
        <v>144745</v>
      </c>
      <c r="B167" s="1" t="s">
        <v>75</v>
      </c>
      <c r="C167">
        <v>80</v>
      </c>
      <c r="D167">
        <v>11121001</v>
      </c>
      <c r="E167">
        <v>121001</v>
      </c>
      <c r="F167" s="1" t="s">
        <v>76</v>
      </c>
      <c r="G167" s="1" t="s">
        <v>1167</v>
      </c>
      <c r="I167" s="1" t="s">
        <v>78</v>
      </c>
      <c r="J167" s="1" t="s">
        <v>1168</v>
      </c>
      <c r="K167" s="1" t="s">
        <v>1169</v>
      </c>
      <c r="L167" t="s">
        <v>91</v>
      </c>
      <c r="M167" t="s">
        <v>91</v>
      </c>
      <c r="N167" s="1" t="s">
        <v>1107</v>
      </c>
      <c r="O167" t="s">
        <v>91</v>
      </c>
      <c r="P167" s="1" t="s">
        <v>335</v>
      </c>
      <c r="Q167" s="1" t="s">
        <v>1170</v>
      </c>
      <c r="R167" s="1" t="s">
        <v>173</v>
      </c>
      <c r="S167">
        <v>1280</v>
      </c>
      <c r="T167">
        <v>89251700</v>
      </c>
      <c r="U167" s="1" t="s">
        <v>108</v>
      </c>
      <c r="V167" s="1" t="s">
        <v>1076</v>
      </c>
      <c r="W167" s="1" t="s">
        <v>87</v>
      </c>
      <c r="X167">
        <v>47</v>
      </c>
      <c r="Y167">
        <v>32752479</v>
      </c>
      <c r="Z167" t="s">
        <v>91</v>
      </c>
      <c r="AA167" t="s">
        <v>91</v>
      </c>
      <c r="AB167" t="s">
        <v>91</v>
      </c>
      <c r="AC167" t="s">
        <v>91</v>
      </c>
      <c r="AD167" t="s">
        <v>91</v>
      </c>
      <c r="AE167" t="s">
        <v>91</v>
      </c>
      <c r="AF167" t="s">
        <v>91</v>
      </c>
      <c r="AG167" s="1" t="s">
        <v>91</v>
      </c>
      <c r="AH167" s="1" t="s">
        <v>91</v>
      </c>
      <c r="AI167" t="s">
        <v>91</v>
      </c>
      <c r="AJ167">
        <v>0</v>
      </c>
      <c r="AK167">
        <v>0</v>
      </c>
      <c r="AL167">
        <v>0</v>
      </c>
      <c r="AM167" t="s">
        <v>91</v>
      </c>
      <c r="AN167" t="s">
        <v>91</v>
      </c>
      <c r="AO167" t="s">
        <v>91</v>
      </c>
      <c r="AP167" t="s">
        <v>91</v>
      </c>
      <c r="AQ167" s="1" t="s">
        <v>91</v>
      </c>
      <c r="AR167" s="1" t="s">
        <v>91</v>
      </c>
      <c r="AS167" s="1" t="s">
        <v>91</v>
      </c>
      <c r="AT167" s="1" t="s">
        <v>91</v>
      </c>
      <c r="AU167" s="1" t="s">
        <v>91</v>
      </c>
      <c r="AV167" t="s">
        <v>91</v>
      </c>
      <c r="AW167" t="s">
        <v>91</v>
      </c>
      <c r="AX167" t="s">
        <v>91</v>
      </c>
      <c r="AY167" t="s">
        <v>91</v>
      </c>
      <c r="AZ167" t="s">
        <v>91</v>
      </c>
      <c r="BA167" t="s">
        <v>91</v>
      </c>
      <c r="BB167" s="2"/>
      <c r="BC167" s="2"/>
      <c r="BD167" t="s">
        <v>91</v>
      </c>
      <c r="BF167" s="1" t="s">
        <v>75</v>
      </c>
      <c r="BG167">
        <v>0</v>
      </c>
      <c r="BH167">
        <v>0</v>
      </c>
      <c r="BI167" s="1" t="s">
        <v>88</v>
      </c>
      <c r="BJ167">
        <v>1</v>
      </c>
      <c r="BK167" s="1" t="s">
        <v>89</v>
      </c>
      <c r="BL167" t="s">
        <v>91</v>
      </c>
      <c r="BM167" s="1" t="s">
        <v>329</v>
      </c>
      <c r="BN167" s="1" t="s">
        <v>110</v>
      </c>
      <c r="BO167" s="1" t="s">
        <v>165</v>
      </c>
      <c r="BP167" s="1" t="s">
        <v>91</v>
      </c>
      <c r="BQ167" t="s">
        <v>91</v>
      </c>
      <c r="BR167" s="3"/>
      <c r="BS167" s="3"/>
      <c r="BT167" t="s">
        <v>91</v>
      </c>
      <c r="BU167" t="s">
        <v>91</v>
      </c>
      <c r="BV167">
        <v>1</v>
      </c>
      <c r="BW167" s="1" t="s">
        <v>1171</v>
      </c>
    </row>
    <row r="168" spans="1:75" x14ac:dyDescent="0.35">
      <c r="A168">
        <v>138082</v>
      </c>
      <c r="B168" s="1" t="s">
        <v>75</v>
      </c>
      <c r="C168">
        <v>80</v>
      </c>
      <c r="D168">
        <v>11121001</v>
      </c>
      <c r="E168">
        <v>121001</v>
      </c>
      <c r="F168" s="1" t="s">
        <v>76</v>
      </c>
      <c r="G168" s="1" t="s">
        <v>1172</v>
      </c>
      <c r="H168">
        <v>0</v>
      </c>
      <c r="I168" s="1" t="s">
        <v>78</v>
      </c>
      <c r="J168" s="1" t="s">
        <v>1173</v>
      </c>
      <c r="K168" s="1" t="s">
        <v>1174</v>
      </c>
      <c r="L168" t="s">
        <v>91</v>
      </c>
      <c r="M168" t="s">
        <v>91</v>
      </c>
      <c r="N168" s="1" t="s">
        <v>1175</v>
      </c>
      <c r="O168" t="s">
        <v>91</v>
      </c>
      <c r="P168" s="1" t="s">
        <v>341</v>
      </c>
      <c r="Q168" s="1" t="s">
        <v>1176</v>
      </c>
      <c r="R168" s="1" t="s">
        <v>91</v>
      </c>
      <c r="S168">
        <v>1377</v>
      </c>
      <c r="T168">
        <v>98400000</v>
      </c>
      <c r="U168" s="1" t="s">
        <v>108</v>
      </c>
      <c r="V168" s="1" t="s">
        <v>344</v>
      </c>
      <c r="W168" s="1" t="s">
        <v>157</v>
      </c>
      <c r="X168">
        <v>55</v>
      </c>
      <c r="Y168">
        <v>37441442</v>
      </c>
      <c r="Z168" t="s">
        <v>91</v>
      </c>
      <c r="AA168" t="s">
        <v>91</v>
      </c>
      <c r="AB168" t="s">
        <v>91</v>
      </c>
      <c r="AC168" t="s">
        <v>91</v>
      </c>
      <c r="AD168" t="s">
        <v>91</v>
      </c>
      <c r="AE168" t="s">
        <v>91</v>
      </c>
      <c r="AF168" t="s">
        <v>91</v>
      </c>
      <c r="AG168" s="1" t="s">
        <v>146</v>
      </c>
      <c r="AH168" s="1" t="s">
        <v>91</v>
      </c>
      <c r="AI168" t="s">
        <v>91</v>
      </c>
      <c r="AM168" t="s">
        <v>91</v>
      </c>
      <c r="AN168" t="s">
        <v>91</v>
      </c>
      <c r="AO168" t="s">
        <v>91</v>
      </c>
      <c r="AP168" t="s">
        <v>91</v>
      </c>
      <c r="AQ168" s="1" t="s">
        <v>147</v>
      </c>
      <c r="AR168" s="1" t="s">
        <v>147</v>
      </c>
      <c r="AS168" s="1" t="s">
        <v>147</v>
      </c>
      <c r="AT168" s="1" t="s">
        <v>147</v>
      </c>
      <c r="AU168" s="1" t="s">
        <v>147</v>
      </c>
      <c r="AV168" t="s">
        <v>91</v>
      </c>
      <c r="AW168" t="s">
        <v>91</v>
      </c>
      <c r="AX168" t="s">
        <v>91</v>
      </c>
      <c r="AY168" t="s">
        <v>91</v>
      </c>
      <c r="AZ168" t="s">
        <v>91</v>
      </c>
      <c r="BA168" t="s">
        <v>91</v>
      </c>
      <c r="BB168" s="2">
        <v>44378.578518518516</v>
      </c>
      <c r="BC168" s="2">
        <v>44638.62537037037</v>
      </c>
      <c r="BD168" t="s">
        <v>91</v>
      </c>
      <c r="BF168" s="1" t="s">
        <v>75</v>
      </c>
      <c r="BH168">
        <v>0</v>
      </c>
      <c r="BI168" s="1" t="s">
        <v>88</v>
      </c>
      <c r="BJ168">
        <v>1</v>
      </c>
      <c r="BK168" s="1" t="s">
        <v>89</v>
      </c>
      <c r="BL168" t="s">
        <v>91</v>
      </c>
      <c r="BM168" s="1" t="s">
        <v>109</v>
      </c>
      <c r="BN168" s="1" t="s">
        <v>110</v>
      </c>
      <c r="BO168" s="1" t="s">
        <v>111</v>
      </c>
      <c r="BP168" s="1" t="s">
        <v>91</v>
      </c>
      <c r="BQ168" t="s">
        <v>91</v>
      </c>
      <c r="BR168" s="3">
        <v>44378</v>
      </c>
      <c r="BS168" s="3">
        <v>44638</v>
      </c>
      <c r="BT168" t="s">
        <v>91</v>
      </c>
      <c r="BU168" t="s">
        <v>91</v>
      </c>
      <c r="BW168" s="1" t="s">
        <v>90</v>
      </c>
    </row>
    <row r="169" spans="1:75" x14ac:dyDescent="0.35">
      <c r="A169">
        <v>144476</v>
      </c>
      <c r="B169" s="1" t="s">
        <v>75</v>
      </c>
      <c r="C169">
        <v>80</v>
      </c>
      <c r="D169">
        <v>11121001</v>
      </c>
      <c r="E169">
        <v>121001</v>
      </c>
      <c r="F169" s="1" t="s">
        <v>76</v>
      </c>
      <c r="G169" s="1" t="s">
        <v>1177</v>
      </c>
      <c r="I169" s="1" t="s">
        <v>78</v>
      </c>
      <c r="J169" s="1" t="s">
        <v>1178</v>
      </c>
      <c r="K169" s="1" t="s">
        <v>1179</v>
      </c>
      <c r="L169" t="s">
        <v>91</v>
      </c>
      <c r="M169" t="s">
        <v>91</v>
      </c>
      <c r="N169" s="1" t="s">
        <v>1180</v>
      </c>
      <c r="O169" t="s">
        <v>91</v>
      </c>
      <c r="P169" s="1" t="s">
        <v>125</v>
      </c>
      <c r="Q169" s="1" t="s">
        <v>463</v>
      </c>
      <c r="R169" s="1" t="s">
        <v>98</v>
      </c>
      <c r="S169">
        <v>1277</v>
      </c>
      <c r="T169">
        <v>89201010</v>
      </c>
      <c r="U169" s="1" t="s">
        <v>108</v>
      </c>
      <c r="V169" s="1" t="s">
        <v>100</v>
      </c>
      <c r="W169" s="1" t="s">
        <v>87</v>
      </c>
      <c r="X169">
        <v>47</v>
      </c>
      <c r="Y169">
        <v>34338494</v>
      </c>
      <c r="Z169" t="s">
        <v>91</v>
      </c>
      <c r="AA169" t="s">
        <v>91</v>
      </c>
      <c r="AB169" t="s">
        <v>91</v>
      </c>
      <c r="AC169" t="s">
        <v>91</v>
      </c>
      <c r="AD169" t="s">
        <v>91</v>
      </c>
      <c r="AE169" t="s">
        <v>91</v>
      </c>
      <c r="AF169" t="s">
        <v>91</v>
      </c>
      <c r="AG169" s="1" t="s">
        <v>91</v>
      </c>
      <c r="AH169" s="1" t="s">
        <v>91</v>
      </c>
      <c r="AI169" t="s">
        <v>91</v>
      </c>
      <c r="AJ169">
        <v>0</v>
      </c>
      <c r="AK169">
        <v>0</v>
      </c>
      <c r="AL169">
        <v>0</v>
      </c>
      <c r="AM169" t="s">
        <v>91</v>
      </c>
      <c r="AN169" t="s">
        <v>91</v>
      </c>
      <c r="AO169" t="s">
        <v>91</v>
      </c>
      <c r="AP169" t="s">
        <v>91</v>
      </c>
      <c r="AQ169" s="1" t="s">
        <v>91</v>
      </c>
      <c r="AR169" s="1" t="s">
        <v>91</v>
      </c>
      <c r="AS169" s="1" t="s">
        <v>91</v>
      </c>
      <c r="AT169" s="1" t="s">
        <v>91</v>
      </c>
      <c r="AU169" s="1" t="s">
        <v>91</v>
      </c>
      <c r="AV169" t="s">
        <v>91</v>
      </c>
      <c r="AW169" t="s">
        <v>91</v>
      </c>
      <c r="AX169" t="s">
        <v>91</v>
      </c>
      <c r="AY169" t="s">
        <v>91</v>
      </c>
      <c r="AZ169" t="s">
        <v>91</v>
      </c>
      <c r="BA169" t="s">
        <v>91</v>
      </c>
      <c r="BB169" s="2"/>
      <c r="BC169" s="2"/>
      <c r="BD169" t="s">
        <v>91</v>
      </c>
      <c r="BF169" s="1" t="s">
        <v>75</v>
      </c>
      <c r="BG169">
        <v>0</v>
      </c>
      <c r="BH169">
        <v>0</v>
      </c>
      <c r="BI169" s="1" t="s">
        <v>88</v>
      </c>
      <c r="BJ169">
        <v>1</v>
      </c>
      <c r="BK169" s="1" t="s">
        <v>89</v>
      </c>
      <c r="BL169" t="s">
        <v>91</v>
      </c>
      <c r="BM169" s="1" t="s">
        <v>109</v>
      </c>
      <c r="BN169" s="1" t="s">
        <v>148</v>
      </c>
      <c r="BO169" s="1" t="s">
        <v>180</v>
      </c>
      <c r="BP169" s="1" t="s">
        <v>91</v>
      </c>
      <c r="BQ169" t="s">
        <v>91</v>
      </c>
      <c r="BR169" s="3"/>
      <c r="BS169" s="3"/>
      <c r="BT169" t="s">
        <v>91</v>
      </c>
      <c r="BU169" t="s">
        <v>91</v>
      </c>
      <c r="BV169">
        <v>2</v>
      </c>
      <c r="BW169" s="1" t="s">
        <v>90</v>
      </c>
    </row>
    <row r="170" spans="1:75" x14ac:dyDescent="0.35">
      <c r="A170">
        <v>157562</v>
      </c>
      <c r="B170" s="1" t="s">
        <v>75</v>
      </c>
      <c r="C170">
        <v>80</v>
      </c>
      <c r="D170">
        <v>11121001</v>
      </c>
      <c r="E170">
        <v>121001</v>
      </c>
      <c r="F170" s="1" t="s">
        <v>76</v>
      </c>
      <c r="G170" s="1" t="s">
        <v>1181</v>
      </c>
      <c r="H170">
        <v>0</v>
      </c>
      <c r="I170" s="1" t="s">
        <v>78</v>
      </c>
      <c r="J170" s="1" t="s">
        <v>1182</v>
      </c>
      <c r="K170" s="1" t="s">
        <v>1183</v>
      </c>
      <c r="L170" t="s">
        <v>91</v>
      </c>
      <c r="M170" t="s">
        <v>91</v>
      </c>
      <c r="N170" s="1" t="s">
        <v>739</v>
      </c>
      <c r="O170" t="s">
        <v>91</v>
      </c>
      <c r="P170" s="1" t="s">
        <v>1184</v>
      </c>
      <c r="Q170" s="1" t="s">
        <v>741</v>
      </c>
      <c r="R170" s="1" t="s">
        <v>1185</v>
      </c>
      <c r="S170">
        <v>1284</v>
      </c>
      <c r="T170">
        <v>89520000</v>
      </c>
      <c r="U170" s="1" t="s">
        <v>343</v>
      </c>
      <c r="V170" s="1" t="s">
        <v>145</v>
      </c>
      <c r="W170" s="1" t="s">
        <v>87</v>
      </c>
      <c r="X170">
        <v>49</v>
      </c>
      <c r="Y170">
        <v>32450404</v>
      </c>
      <c r="Z170" t="s">
        <v>91</v>
      </c>
      <c r="AA170" t="s">
        <v>91</v>
      </c>
      <c r="AB170" t="s">
        <v>91</v>
      </c>
      <c r="AC170" t="s">
        <v>91</v>
      </c>
      <c r="AD170" t="s">
        <v>91</v>
      </c>
      <c r="AE170" t="s">
        <v>91</v>
      </c>
      <c r="AF170" t="s">
        <v>91</v>
      </c>
      <c r="AG170" s="1" t="s">
        <v>91</v>
      </c>
      <c r="AH170" s="1" t="s">
        <v>91</v>
      </c>
      <c r="AI170" t="s">
        <v>91</v>
      </c>
      <c r="AM170" t="s">
        <v>91</v>
      </c>
      <c r="AN170" t="s">
        <v>91</v>
      </c>
      <c r="AO170" t="s">
        <v>91</v>
      </c>
      <c r="AP170" t="s">
        <v>91</v>
      </c>
      <c r="AQ170" s="1" t="s">
        <v>91</v>
      </c>
      <c r="AR170" s="1" t="s">
        <v>91</v>
      </c>
      <c r="AS170" s="1" t="s">
        <v>91</v>
      </c>
      <c r="AT170" s="1" t="s">
        <v>91</v>
      </c>
      <c r="AU170" s="1" t="s">
        <v>91</v>
      </c>
      <c r="AV170" t="s">
        <v>91</v>
      </c>
      <c r="AW170" t="s">
        <v>91</v>
      </c>
      <c r="AX170" t="s">
        <v>91</v>
      </c>
      <c r="AY170" t="s">
        <v>91</v>
      </c>
      <c r="AZ170" t="s">
        <v>91</v>
      </c>
      <c r="BA170" t="s">
        <v>91</v>
      </c>
      <c r="BB170" s="2">
        <v>45118.093391203707</v>
      </c>
      <c r="BC170" s="2"/>
      <c r="BD170" t="s">
        <v>91</v>
      </c>
      <c r="BF170" s="1" t="s">
        <v>75</v>
      </c>
      <c r="BI170" s="1" t="s">
        <v>88</v>
      </c>
      <c r="BJ170">
        <v>1</v>
      </c>
      <c r="BK170" s="1" t="s">
        <v>89</v>
      </c>
      <c r="BL170" t="s">
        <v>91</v>
      </c>
      <c r="BM170" s="1" t="s">
        <v>91</v>
      </c>
      <c r="BN170" s="1" t="s">
        <v>91</v>
      </c>
      <c r="BO170" s="1" t="s">
        <v>91</v>
      </c>
      <c r="BP170" s="1" t="s">
        <v>91</v>
      </c>
      <c r="BQ170" t="s">
        <v>91</v>
      </c>
      <c r="BR170" s="3">
        <v>45118</v>
      </c>
      <c r="BS170" s="3"/>
      <c r="BT170" t="s">
        <v>91</v>
      </c>
      <c r="BU170" t="s">
        <v>91</v>
      </c>
      <c r="BW170" s="1" t="s">
        <v>90</v>
      </c>
    </row>
    <row r="171" spans="1:75" x14ac:dyDescent="0.35">
      <c r="A171">
        <v>156778</v>
      </c>
      <c r="B171" s="1" t="s">
        <v>75</v>
      </c>
      <c r="C171">
        <v>80</v>
      </c>
      <c r="D171">
        <v>11121001</v>
      </c>
      <c r="E171">
        <v>121001</v>
      </c>
      <c r="F171" s="1" t="s">
        <v>76</v>
      </c>
      <c r="G171" s="1" t="s">
        <v>1186</v>
      </c>
      <c r="H171">
        <v>0</v>
      </c>
      <c r="I171" s="1" t="s">
        <v>78</v>
      </c>
      <c r="J171" s="1" t="s">
        <v>1187</v>
      </c>
      <c r="K171" s="1" t="s">
        <v>1188</v>
      </c>
      <c r="L171" t="s">
        <v>91</v>
      </c>
      <c r="M171" t="s">
        <v>91</v>
      </c>
      <c r="N171" s="1" t="s">
        <v>1189</v>
      </c>
      <c r="O171" t="s">
        <v>91</v>
      </c>
      <c r="P171" s="1" t="s">
        <v>1190</v>
      </c>
      <c r="Q171" s="1" t="s">
        <v>1191</v>
      </c>
      <c r="R171" s="1" t="s">
        <v>1192</v>
      </c>
      <c r="S171">
        <v>1278</v>
      </c>
      <c r="T171">
        <v>89204041</v>
      </c>
      <c r="U171" s="1" t="s">
        <v>418</v>
      </c>
      <c r="V171" s="1" t="s">
        <v>100</v>
      </c>
      <c r="W171" s="1" t="s">
        <v>87</v>
      </c>
      <c r="X171">
        <v>47</v>
      </c>
      <c r="Y171">
        <v>34225828</v>
      </c>
      <c r="Z171" t="s">
        <v>91</v>
      </c>
      <c r="AA171" t="s">
        <v>91</v>
      </c>
      <c r="AB171" t="s">
        <v>91</v>
      </c>
      <c r="AC171" t="s">
        <v>91</v>
      </c>
      <c r="AD171" t="s">
        <v>91</v>
      </c>
      <c r="AE171" t="s">
        <v>91</v>
      </c>
      <c r="AF171" t="s">
        <v>91</v>
      </c>
      <c r="AG171" s="1" t="s">
        <v>91</v>
      </c>
      <c r="AH171" s="1" t="s">
        <v>91</v>
      </c>
      <c r="AI171" t="s">
        <v>91</v>
      </c>
      <c r="AM171" t="s">
        <v>91</v>
      </c>
      <c r="AN171" t="s">
        <v>91</v>
      </c>
      <c r="AO171" t="s">
        <v>91</v>
      </c>
      <c r="AP171" t="s">
        <v>91</v>
      </c>
      <c r="AQ171" s="1" t="s">
        <v>91</v>
      </c>
      <c r="AR171" s="1" t="s">
        <v>91</v>
      </c>
      <c r="AS171" s="1" t="s">
        <v>91</v>
      </c>
      <c r="AT171" s="1" t="s">
        <v>91</v>
      </c>
      <c r="AU171" s="1" t="s">
        <v>91</v>
      </c>
      <c r="AV171" t="s">
        <v>91</v>
      </c>
      <c r="AW171" t="s">
        <v>91</v>
      </c>
      <c r="AX171" t="s">
        <v>91</v>
      </c>
      <c r="AY171" t="s">
        <v>91</v>
      </c>
      <c r="AZ171" t="s">
        <v>91</v>
      </c>
      <c r="BA171" t="s">
        <v>91</v>
      </c>
      <c r="BB171" s="2">
        <v>45113.505416666667</v>
      </c>
      <c r="BC171" s="2"/>
      <c r="BD171" t="s">
        <v>91</v>
      </c>
      <c r="BF171" s="1" t="s">
        <v>75</v>
      </c>
      <c r="BI171" s="1" t="s">
        <v>88</v>
      </c>
      <c r="BJ171">
        <v>1</v>
      </c>
      <c r="BK171" s="1" t="s">
        <v>89</v>
      </c>
      <c r="BL171" t="s">
        <v>91</v>
      </c>
      <c r="BM171" s="1" t="s">
        <v>91</v>
      </c>
      <c r="BN171" s="1" t="s">
        <v>91</v>
      </c>
      <c r="BO171" s="1" t="s">
        <v>91</v>
      </c>
      <c r="BP171" s="1" t="s">
        <v>91</v>
      </c>
      <c r="BQ171" t="s">
        <v>91</v>
      </c>
      <c r="BR171" s="3">
        <v>45113</v>
      </c>
      <c r="BS171" s="3"/>
      <c r="BT171" t="s">
        <v>91</v>
      </c>
      <c r="BU171" t="s">
        <v>91</v>
      </c>
      <c r="BW171" s="1" t="s">
        <v>90</v>
      </c>
    </row>
    <row r="172" spans="1:75" x14ac:dyDescent="0.35">
      <c r="A172">
        <v>144492</v>
      </c>
      <c r="B172" s="1" t="s">
        <v>75</v>
      </c>
      <c r="C172">
        <v>80</v>
      </c>
      <c r="D172">
        <v>11121001</v>
      </c>
      <c r="E172">
        <v>121001</v>
      </c>
      <c r="F172" s="1" t="s">
        <v>76</v>
      </c>
      <c r="G172" s="1" t="s">
        <v>1193</v>
      </c>
      <c r="I172" s="1" t="s">
        <v>78</v>
      </c>
      <c r="J172" s="1" t="s">
        <v>1194</v>
      </c>
      <c r="K172" s="1" t="s">
        <v>1195</v>
      </c>
      <c r="L172" t="s">
        <v>91</v>
      </c>
      <c r="M172" t="s">
        <v>91</v>
      </c>
      <c r="N172" s="1" t="s">
        <v>91</v>
      </c>
      <c r="O172" t="s">
        <v>91</v>
      </c>
      <c r="P172" s="1" t="s">
        <v>1196</v>
      </c>
      <c r="Q172" s="1" t="s">
        <v>1197</v>
      </c>
      <c r="R172" s="1" t="s">
        <v>820</v>
      </c>
      <c r="S172">
        <v>1280</v>
      </c>
      <c r="T172">
        <v>89260000</v>
      </c>
      <c r="U172" s="1" t="s">
        <v>1198</v>
      </c>
      <c r="V172" s="1" t="s">
        <v>1076</v>
      </c>
      <c r="W172" s="1" t="s">
        <v>87</v>
      </c>
      <c r="X172">
        <v>47</v>
      </c>
      <c r="Y172">
        <v>33761299</v>
      </c>
      <c r="Z172" t="s">
        <v>91</v>
      </c>
      <c r="AA172" t="s">
        <v>91</v>
      </c>
      <c r="AB172" t="s">
        <v>91</v>
      </c>
      <c r="AC172" t="s">
        <v>91</v>
      </c>
      <c r="AD172" t="s">
        <v>91</v>
      </c>
      <c r="AE172" t="s">
        <v>91</v>
      </c>
      <c r="AF172" t="s">
        <v>91</v>
      </c>
      <c r="AG172" s="1" t="s">
        <v>146</v>
      </c>
      <c r="AH172" s="1" t="s">
        <v>91</v>
      </c>
      <c r="AI172" t="s">
        <v>91</v>
      </c>
      <c r="AJ172">
        <v>0</v>
      </c>
      <c r="AK172">
        <v>0</v>
      </c>
      <c r="AL172">
        <v>0</v>
      </c>
      <c r="AM172" t="s">
        <v>91</v>
      </c>
      <c r="AN172" t="s">
        <v>91</v>
      </c>
      <c r="AO172" t="s">
        <v>91</v>
      </c>
      <c r="AP172" t="s">
        <v>91</v>
      </c>
      <c r="AQ172" s="1" t="s">
        <v>147</v>
      </c>
      <c r="AR172" s="1" t="s">
        <v>147</v>
      </c>
      <c r="AS172" s="1" t="s">
        <v>147</v>
      </c>
      <c r="AT172" s="1" t="s">
        <v>147</v>
      </c>
      <c r="AU172" s="1" t="s">
        <v>147</v>
      </c>
      <c r="AV172" t="s">
        <v>91</v>
      </c>
      <c r="AW172" t="s">
        <v>91</v>
      </c>
      <c r="AX172" t="s">
        <v>91</v>
      </c>
      <c r="AY172" t="s">
        <v>91</v>
      </c>
      <c r="AZ172" t="s">
        <v>91</v>
      </c>
      <c r="BA172" t="s">
        <v>91</v>
      </c>
      <c r="BB172" s="2"/>
      <c r="BC172" s="2">
        <v>44573.653310185182</v>
      </c>
      <c r="BD172" t="s">
        <v>91</v>
      </c>
      <c r="BF172" s="1" t="s">
        <v>75</v>
      </c>
      <c r="BG172">
        <v>0</v>
      </c>
      <c r="BH172">
        <v>0</v>
      </c>
      <c r="BI172" s="1" t="s">
        <v>88</v>
      </c>
      <c r="BJ172">
        <v>1</v>
      </c>
      <c r="BK172" s="1" t="s">
        <v>89</v>
      </c>
      <c r="BL172" t="s">
        <v>91</v>
      </c>
      <c r="BM172" s="1" t="s">
        <v>329</v>
      </c>
      <c r="BN172" s="1" t="s">
        <v>110</v>
      </c>
      <c r="BO172" s="1" t="s">
        <v>165</v>
      </c>
      <c r="BP172" s="1" t="s">
        <v>91</v>
      </c>
      <c r="BQ172" t="s">
        <v>91</v>
      </c>
      <c r="BR172" s="3"/>
      <c r="BS172" s="3">
        <v>44573</v>
      </c>
      <c r="BT172" t="s">
        <v>91</v>
      </c>
      <c r="BU172" t="s">
        <v>91</v>
      </c>
      <c r="BV172">
        <v>5</v>
      </c>
      <c r="BW172" s="1" t="s">
        <v>601</v>
      </c>
    </row>
    <row r="173" spans="1:75" x14ac:dyDescent="0.35">
      <c r="A173">
        <v>138086</v>
      </c>
      <c r="B173" s="1" t="s">
        <v>75</v>
      </c>
      <c r="C173">
        <v>80</v>
      </c>
      <c r="D173">
        <v>11121001</v>
      </c>
      <c r="E173">
        <v>121001</v>
      </c>
      <c r="F173" s="1" t="s">
        <v>76</v>
      </c>
      <c r="G173" s="1" t="s">
        <v>1199</v>
      </c>
      <c r="H173">
        <v>0</v>
      </c>
      <c r="I173" s="1" t="s">
        <v>78</v>
      </c>
      <c r="J173" s="1" t="s">
        <v>1200</v>
      </c>
      <c r="K173" s="1" t="s">
        <v>1201</v>
      </c>
      <c r="L173" t="s">
        <v>91</v>
      </c>
      <c r="M173" t="s">
        <v>91</v>
      </c>
      <c r="N173" s="1" t="s">
        <v>1202</v>
      </c>
      <c r="O173" t="s">
        <v>91</v>
      </c>
      <c r="P173" s="1" t="s">
        <v>1203</v>
      </c>
      <c r="Q173" s="1" t="s">
        <v>1204</v>
      </c>
      <c r="R173" s="1" t="s">
        <v>91</v>
      </c>
      <c r="S173">
        <v>1383</v>
      </c>
      <c r="T173">
        <v>99010033</v>
      </c>
      <c r="U173" s="1" t="s">
        <v>108</v>
      </c>
      <c r="V173" s="1" t="s">
        <v>371</v>
      </c>
      <c r="W173" s="1" t="s">
        <v>157</v>
      </c>
      <c r="X173">
        <v>54</v>
      </c>
      <c r="Y173">
        <v>33136807</v>
      </c>
      <c r="Z173" t="s">
        <v>91</v>
      </c>
      <c r="AA173" t="s">
        <v>91</v>
      </c>
      <c r="AB173" t="s">
        <v>91</v>
      </c>
      <c r="AC173" t="s">
        <v>91</v>
      </c>
      <c r="AD173" t="s">
        <v>91</v>
      </c>
      <c r="AE173" t="s">
        <v>91</v>
      </c>
      <c r="AF173" t="s">
        <v>91</v>
      </c>
      <c r="AG173" s="1" t="s">
        <v>146</v>
      </c>
      <c r="AH173" s="1" t="s">
        <v>91</v>
      </c>
      <c r="AI173" t="s">
        <v>91</v>
      </c>
      <c r="AM173" t="s">
        <v>91</v>
      </c>
      <c r="AN173" t="s">
        <v>91</v>
      </c>
      <c r="AO173" t="s">
        <v>91</v>
      </c>
      <c r="AP173" t="s">
        <v>91</v>
      </c>
      <c r="AQ173" s="1" t="s">
        <v>147</v>
      </c>
      <c r="AR173" s="1" t="s">
        <v>147</v>
      </c>
      <c r="AS173" s="1" t="s">
        <v>147</v>
      </c>
      <c r="AT173" s="1" t="s">
        <v>147</v>
      </c>
      <c r="AU173" s="1" t="s">
        <v>147</v>
      </c>
      <c r="AV173" t="s">
        <v>91</v>
      </c>
      <c r="AW173" t="s">
        <v>91</v>
      </c>
      <c r="AX173" t="s">
        <v>91</v>
      </c>
      <c r="AY173" t="s">
        <v>91</v>
      </c>
      <c r="AZ173" t="s">
        <v>91</v>
      </c>
      <c r="BA173" t="s">
        <v>91</v>
      </c>
      <c r="BB173" s="2">
        <v>44378.578518518516</v>
      </c>
      <c r="BC173" s="2">
        <v>44699.442025462966</v>
      </c>
      <c r="BD173" t="s">
        <v>91</v>
      </c>
      <c r="BF173" s="1" t="s">
        <v>75</v>
      </c>
      <c r="BH173">
        <v>0</v>
      </c>
      <c r="BI173" s="1" t="s">
        <v>88</v>
      </c>
      <c r="BJ173">
        <v>1</v>
      </c>
      <c r="BK173" s="1" t="s">
        <v>89</v>
      </c>
      <c r="BL173" t="s">
        <v>91</v>
      </c>
      <c r="BM173" s="1" t="s">
        <v>109</v>
      </c>
      <c r="BN173" s="1" t="s">
        <v>110</v>
      </c>
      <c r="BO173" s="1" t="s">
        <v>165</v>
      </c>
      <c r="BP173" s="1" t="s">
        <v>91</v>
      </c>
      <c r="BQ173" t="s">
        <v>91</v>
      </c>
      <c r="BR173" s="3">
        <v>44378</v>
      </c>
      <c r="BS173" s="3">
        <v>44699</v>
      </c>
      <c r="BT173" t="s">
        <v>91</v>
      </c>
      <c r="BU173" t="s">
        <v>91</v>
      </c>
      <c r="BW173" s="1" t="s">
        <v>1205</v>
      </c>
    </row>
    <row r="174" spans="1:75" x14ac:dyDescent="0.35">
      <c r="A174">
        <v>144488</v>
      </c>
      <c r="B174" s="1" t="s">
        <v>75</v>
      </c>
      <c r="C174">
        <v>80</v>
      </c>
      <c r="D174">
        <v>11121001</v>
      </c>
      <c r="E174">
        <v>121001</v>
      </c>
      <c r="F174" s="1" t="s">
        <v>76</v>
      </c>
      <c r="G174" s="1" t="s">
        <v>1206</v>
      </c>
      <c r="I174" s="1" t="s">
        <v>78</v>
      </c>
      <c r="J174" s="1" t="s">
        <v>1207</v>
      </c>
      <c r="K174" s="1" t="s">
        <v>1208</v>
      </c>
      <c r="L174" t="s">
        <v>91</v>
      </c>
      <c r="M174" t="s">
        <v>91</v>
      </c>
      <c r="N174" s="1" t="s">
        <v>1209</v>
      </c>
      <c r="O174" t="s">
        <v>91</v>
      </c>
      <c r="P174" s="1" t="s">
        <v>1210</v>
      </c>
      <c r="Q174" s="1" t="s">
        <v>912</v>
      </c>
      <c r="R174" s="1" t="s">
        <v>91</v>
      </c>
      <c r="S174">
        <v>1280</v>
      </c>
      <c r="T174">
        <v>89251150</v>
      </c>
      <c r="U174" s="1" t="s">
        <v>108</v>
      </c>
      <c r="V174" s="1" t="s">
        <v>1076</v>
      </c>
      <c r="W174" s="1" t="s">
        <v>87</v>
      </c>
      <c r="X174">
        <v>47</v>
      </c>
      <c r="Y174">
        <v>33711911</v>
      </c>
      <c r="Z174" t="s">
        <v>91</v>
      </c>
      <c r="AA174" t="s">
        <v>91</v>
      </c>
      <c r="AB174" t="s">
        <v>91</v>
      </c>
      <c r="AC174" t="s">
        <v>91</v>
      </c>
      <c r="AD174" t="s">
        <v>91</v>
      </c>
      <c r="AE174" t="s">
        <v>91</v>
      </c>
      <c r="AF174" t="s">
        <v>91</v>
      </c>
      <c r="AG174" s="1" t="s">
        <v>91</v>
      </c>
      <c r="AH174" s="1" t="s">
        <v>91</v>
      </c>
      <c r="AI174" t="s">
        <v>91</v>
      </c>
      <c r="AJ174">
        <v>0</v>
      </c>
      <c r="AK174">
        <v>0</v>
      </c>
      <c r="AL174">
        <v>0</v>
      </c>
      <c r="AM174" t="s">
        <v>91</v>
      </c>
      <c r="AN174" t="s">
        <v>91</v>
      </c>
      <c r="AO174" t="s">
        <v>91</v>
      </c>
      <c r="AP174" t="s">
        <v>91</v>
      </c>
      <c r="AQ174" s="1" t="s">
        <v>91</v>
      </c>
      <c r="AR174" s="1" t="s">
        <v>91</v>
      </c>
      <c r="AS174" s="1" t="s">
        <v>91</v>
      </c>
      <c r="AT174" s="1" t="s">
        <v>91</v>
      </c>
      <c r="AU174" s="1" t="s">
        <v>91</v>
      </c>
      <c r="AV174" t="s">
        <v>91</v>
      </c>
      <c r="AW174" t="s">
        <v>91</v>
      </c>
      <c r="AX174" t="s">
        <v>91</v>
      </c>
      <c r="AY174" t="s">
        <v>91</v>
      </c>
      <c r="AZ174" t="s">
        <v>91</v>
      </c>
      <c r="BA174" t="s">
        <v>91</v>
      </c>
      <c r="BB174" s="2"/>
      <c r="BC174" s="2"/>
      <c r="BD174" t="s">
        <v>91</v>
      </c>
      <c r="BF174" s="1" t="s">
        <v>75</v>
      </c>
      <c r="BG174">
        <v>0</v>
      </c>
      <c r="BH174">
        <v>0</v>
      </c>
      <c r="BI174" s="1" t="s">
        <v>88</v>
      </c>
      <c r="BJ174">
        <v>1</v>
      </c>
      <c r="BK174" s="1" t="s">
        <v>89</v>
      </c>
      <c r="BL174" t="s">
        <v>91</v>
      </c>
      <c r="BM174" s="1" t="s">
        <v>329</v>
      </c>
      <c r="BN174" s="1" t="s">
        <v>110</v>
      </c>
      <c r="BO174" s="1" t="s">
        <v>165</v>
      </c>
      <c r="BP174" s="1" t="s">
        <v>91</v>
      </c>
      <c r="BQ174" t="s">
        <v>91</v>
      </c>
      <c r="BR174" s="3"/>
      <c r="BS174" s="3"/>
      <c r="BT174" t="s">
        <v>91</v>
      </c>
      <c r="BU174" t="s">
        <v>91</v>
      </c>
      <c r="BV174">
        <v>3</v>
      </c>
      <c r="BW174" s="1" t="s">
        <v>1211</v>
      </c>
    </row>
    <row r="175" spans="1:75" x14ac:dyDescent="0.35">
      <c r="A175">
        <v>157544</v>
      </c>
      <c r="B175" s="1" t="s">
        <v>75</v>
      </c>
      <c r="C175">
        <v>80</v>
      </c>
      <c r="D175">
        <v>11121001</v>
      </c>
      <c r="E175">
        <v>121001</v>
      </c>
      <c r="F175" s="1" t="s">
        <v>76</v>
      </c>
      <c r="G175" s="1" t="s">
        <v>1212</v>
      </c>
      <c r="H175">
        <v>0</v>
      </c>
      <c r="I175" s="1" t="s">
        <v>78</v>
      </c>
      <c r="J175" s="1" t="s">
        <v>1213</v>
      </c>
      <c r="K175" s="1" t="s">
        <v>1214</v>
      </c>
      <c r="L175" t="s">
        <v>91</v>
      </c>
      <c r="M175" t="s">
        <v>91</v>
      </c>
      <c r="N175" s="1" t="s">
        <v>360</v>
      </c>
      <c r="O175" t="s">
        <v>91</v>
      </c>
      <c r="P175" s="1" t="s">
        <v>1215</v>
      </c>
      <c r="Q175" s="1" t="s">
        <v>1216</v>
      </c>
      <c r="R175" s="1" t="s">
        <v>1217</v>
      </c>
      <c r="S175">
        <v>1383</v>
      </c>
      <c r="T175">
        <v>99010111</v>
      </c>
      <c r="U175" s="1" t="s">
        <v>108</v>
      </c>
      <c r="V175" s="1" t="s">
        <v>371</v>
      </c>
      <c r="W175" s="1" t="s">
        <v>157</v>
      </c>
      <c r="X175">
        <v>54</v>
      </c>
      <c r="Y175">
        <v>21035742</v>
      </c>
      <c r="Z175" t="s">
        <v>91</v>
      </c>
      <c r="AA175" t="s">
        <v>91</v>
      </c>
      <c r="AB175" t="s">
        <v>91</v>
      </c>
      <c r="AC175" t="s">
        <v>91</v>
      </c>
      <c r="AD175" t="s">
        <v>91</v>
      </c>
      <c r="AE175" t="s">
        <v>91</v>
      </c>
      <c r="AF175" t="s">
        <v>91</v>
      </c>
      <c r="AG175" s="1" t="s">
        <v>91</v>
      </c>
      <c r="AH175" s="1" t="s">
        <v>91</v>
      </c>
      <c r="AI175" t="s">
        <v>91</v>
      </c>
      <c r="AM175" t="s">
        <v>91</v>
      </c>
      <c r="AN175" t="s">
        <v>91</v>
      </c>
      <c r="AO175" t="s">
        <v>91</v>
      </c>
      <c r="AP175" t="s">
        <v>91</v>
      </c>
      <c r="AQ175" s="1" t="s">
        <v>91</v>
      </c>
      <c r="AR175" s="1" t="s">
        <v>91</v>
      </c>
      <c r="AS175" s="1" t="s">
        <v>91</v>
      </c>
      <c r="AT175" s="1" t="s">
        <v>91</v>
      </c>
      <c r="AU175" s="1" t="s">
        <v>91</v>
      </c>
      <c r="AV175" t="s">
        <v>91</v>
      </c>
      <c r="AW175" t="s">
        <v>91</v>
      </c>
      <c r="AX175" t="s">
        <v>91</v>
      </c>
      <c r="AY175" t="s">
        <v>91</v>
      </c>
      <c r="AZ175" t="s">
        <v>91</v>
      </c>
      <c r="BA175" t="s">
        <v>91</v>
      </c>
      <c r="BB175" s="2">
        <v>45118.093391203707</v>
      </c>
      <c r="BC175" s="2"/>
      <c r="BD175" t="s">
        <v>91</v>
      </c>
      <c r="BF175" s="1" t="s">
        <v>75</v>
      </c>
      <c r="BI175" s="1" t="s">
        <v>88</v>
      </c>
      <c r="BJ175">
        <v>1</v>
      </c>
      <c r="BK175" s="1" t="s">
        <v>89</v>
      </c>
      <c r="BL175" t="s">
        <v>91</v>
      </c>
      <c r="BM175" s="1" t="s">
        <v>91</v>
      </c>
      <c r="BN175" s="1" t="s">
        <v>91</v>
      </c>
      <c r="BO175" s="1" t="s">
        <v>91</v>
      </c>
      <c r="BP175" s="1" t="s">
        <v>91</v>
      </c>
      <c r="BQ175" t="s">
        <v>91</v>
      </c>
      <c r="BR175" s="3">
        <v>45118</v>
      </c>
      <c r="BS175" s="3"/>
      <c r="BT175" t="s">
        <v>91</v>
      </c>
      <c r="BU175" t="s">
        <v>91</v>
      </c>
      <c r="BW175" s="1" t="s">
        <v>90</v>
      </c>
    </row>
    <row r="176" spans="1:75" x14ac:dyDescent="0.35">
      <c r="A176">
        <v>1224</v>
      </c>
      <c r="B176" s="1" t="s">
        <v>75</v>
      </c>
      <c r="C176">
        <v>80</v>
      </c>
      <c r="D176">
        <v>11121001</v>
      </c>
      <c r="E176">
        <v>121001</v>
      </c>
      <c r="F176" s="1" t="s">
        <v>76</v>
      </c>
      <c r="G176" s="1" t="s">
        <v>1218</v>
      </c>
      <c r="I176" s="1" t="s">
        <v>78</v>
      </c>
      <c r="J176" s="1" t="s">
        <v>1219</v>
      </c>
      <c r="K176" s="1" t="s">
        <v>1220</v>
      </c>
      <c r="L176" t="s">
        <v>91</v>
      </c>
      <c r="M176" t="s">
        <v>91</v>
      </c>
      <c r="N176" s="1" t="s">
        <v>1221</v>
      </c>
      <c r="O176" t="s">
        <v>91</v>
      </c>
      <c r="P176" s="1" t="s">
        <v>1142</v>
      </c>
      <c r="Q176" s="1" t="s">
        <v>1222</v>
      </c>
      <c r="R176" s="1" t="s">
        <v>91</v>
      </c>
      <c r="S176">
        <v>1280</v>
      </c>
      <c r="T176">
        <v>89251700</v>
      </c>
      <c r="U176" s="1" t="s">
        <v>108</v>
      </c>
      <c r="V176" s="1" t="s">
        <v>1076</v>
      </c>
      <c r="W176" s="1" t="s">
        <v>87</v>
      </c>
      <c r="X176">
        <v>47</v>
      </c>
      <c r="Y176">
        <v>33718583</v>
      </c>
      <c r="Z176" t="s">
        <v>91</v>
      </c>
      <c r="AA176" t="s">
        <v>91</v>
      </c>
      <c r="AB176" t="s">
        <v>91</v>
      </c>
      <c r="AC176" t="s">
        <v>91</v>
      </c>
      <c r="AD176" t="s">
        <v>91</v>
      </c>
      <c r="AE176" t="s">
        <v>91</v>
      </c>
      <c r="AF176" t="s">
        <v>91</v>
      </c>
      <c r="AG176" s="1" t="s">
        <v>91</v>
      </c>
      <c r="AH176" s="1" t="s">
        <v>91</v>
      </c>
      <c r="AI176" t="s">
        <v>91</v>
      </c>
      <c r="AJ176">
        <v>0</v>
      </c>
      <c r="AK176">
        <v>0</v>
      </c>
      <c r="AL176">
        <v>0</v>
      </c>
      <c r="AM176" t="s">
        <v>91</v>
      </c>
      <c r="AN176" t="s">
        <v>91</v>
      </c>
      <c r="AO176" t="s">
        <v>91</v>
      </c>
      <c r="AP176" t="s">
        <v>91</v>
      </c>
      <c r="AQ176" s="1" t="s">
        <v>91</v>
      </c>
      <c r="AR176" s="1" t="s">
        <v>91</v>
      </c>
      <c r="AS176" s="1" t="s">
        <v>91</v>
      </c>
      <c r="AT176" s="1" t="s">
        <v>91</v>
      </c>
      <c r="AU176" s="1" t="s">
        <v>91</v>
      </c>
      <c r="AV176" t="s">
        <v>91</v>
      </c>
      <c r="AW176" t="s">
        <v>91</v>
      </c>
      <c r="AX176" t="s">
        <v>91</v>
      </c>
      <c r="AY176" t="s">
        <v>91</v>
      </c>
      <c r="AZ176" t="s">
        <v>91</v>
      </c>
      <c r="BA176" t="s">
        <v>91</v>
      </c>
      <c r="BB176" s="2">
        <v>43308.393171296295</v>
      </c>
      <c r="BC176" s="2"/>
      <c r="BD176" t="s">
        <v>91</v>
      </c>
      <c r="BE176">
        <v>1224</v>
      </c>
      <c r="BF176" s="1" t="s">
        <v>75</v>
      </c>
      <c r="BG176">
        <v>0</v>
      </c>
      <c r="BH176">
        <v>0</v>
      </c>
      <c r="BI176" s="1" t="s">
        <v>88</v>
      </c>
      <c r="BJ176">
        <v>1</v>
      </c>
      <c r="BK176" s="1" t="s">
        <v>89</v>
      </c>
      <c r="BL176" t="s">
        <v>91</v>
      </c>
      <c r="BM176" s="1" t="s">
        <v>109</v>
      </c>
      <c r="BN176" s="1" t="s">
        <v>110</v>
      </c>
      <c r="BO176" s="1" t="s">
        <v>111</v>
      </c>
      <c r="BP176" s="1" t="s">
        <v>91</v>
      </c>
      <c r="BQ176" t="s">
        <v>91</v>
      </c>
      <c r="BR176" s="3">
        <v>43308</v>
      </c>
      <c r="BS176" s="3"/>
      <c r="BT176" t="s">
        <v>91</v>
      </c>
      <c r="BU176" t="s">
        <v>91</v>
      </c>
      <c r="BV176">
        <v>6</v>
      </c>
      <c r="BW176" s="1" t="s">
        <v>166</v>
      </c>
    </row>
    <row r="177" spans="1:75" x14ac:dyDescent="0.35">
      <c r="A177">
        <v>138091</v>
      </c>
      <c r="B177" s="1" t="s">
        <v>75</v>
      </c>
      <c r="C177">
        <v>80</v>
      </c>
      <c r="D177">
        <v>11121001</v>
      </c>
      <c r="E177">
        <v>121001</v>
      </c>
      <c r="F177" s="1" t="s">
        <v>76</v>
      </c>
      <c r="G177" s="1" t="s">
        <v>1223</v>
      </c>
      <c r="H177">
        <v>0</v>
      </c>
      <c r="I177" s="1" t="s">
        <v>78</v>
      </c>
      <c r="J177" s="1" t="s">
        <v>1224</v>
      </c>
      <c r="K177" s="1" t="s">
        <v>1225</v>
      </c>
      <c r="L177" t="s">
        <v>91</v>
      </c>
      <c r="M177" t="s">
        <v>91</v>
      </c>
      <c r="N177" s="1" t="s">
        <v>1226</v>
      </c>
      <c r="O177" t="s">
        <v>91</v>
      </c>
      <c r="P177" s="1" t="s">
        <v>1137</v>
      </c>
      <c r="Q177" s="1" t="s">
        <v>1227</v>
      </c>
      <c r="R177" s="1" t="s">
        <v>91</v>
      </c>
      <c r="S177">
        <v>1287</v>
      </c>
      <c r="T177">
        <v>89802000</v>
      </c>
      <c r="U177" s="1" t="s">
        <v>108</v>
      </c>
      <c r="V177" s="1" t="s">
        <v>337</v>
      </c>
      <c r="W177" s="1" t="s">
        <v>87</v>
      </c>
      <c r="X177">
        <v>49</v>
      </c>
      <c r="Y177">
        <v>33239427</v>
      </c>
      <c r="Z177" t="s">
        <v>91</v>
      </c>
      <c r="AA177" t="s">
        <v>91</v>
      </c>
      <c r="AB177" t="s">
        <v>91</v>
      </c>
      <c r="AC177" t="s">
        <v>91</v>
      </c>
      <c r="AD177" t="s">
        <v>91</v>
      </c>
      <c r="AE177" t="s">
        <v>91</v>
      </c>
      <c r="AF177" t="s">
        <v>91</v>
      </c>
      <c r="AG177" s="1" t="s">
        <v>146</v>
      </c>
      <c r="AH177" s="1" t="s">
        <v>91</v>
      </c>
      <c r="AI177" t="s">
        <v>91</v>
      </c>
      <c r="AM177" t="s">
        <v>91</v>
      </c>
      <c r="AN177" t="s">
        <v>91</v>
      </c>
      <c r="AO177" t="s">
        <v>91</v>
      </c>
      <c r="AP177" t="s">
        <v>91</v>
      </c>
      <c r="AQ177" s="1" t="s">
        <v>147</v>
      </c>
      <c r="AR177" s="1" t="s">
        <v>147</v>
      </c>
      <c r="AS177" s="1" t="s">
        <v>147</v>
      </c>
      <c r="AT177" s="1" t="s">
        <v>147</v>
      </c>
      <c r="AU177" s="1" t="s">
        <v>147</v>
      </c>
      <c r="AV177" t="s">
        <v>91</v>
      </c>
      <c r="AW177" t="s">
        <v>91</v>
      </c>
      <c r="AX177" t="s">
        <v>91</v>
      </c>
      <c r="AY177" t="s">
        <v>91</v>
      </c>
      <c r="AZ177" t="s">
        <v>91</v>
      </c>
      <c r="BA177" t="s">
        <v>91</v>
      </c>
      <c r="BB177" s="2">
        <v>44378.578518518516</v>
      </c>
      <c r="BC177" s="2">
        <v>44636.420405092591</v>
      </c>
      <c r="BD177" t="s">
        <v>91</v>
      </c>
      <c r="BF177" s="1" t="s">
        <v>75</v>
      </c>
      <c r="BH177">
        <v>0</v>
      </c>
      <c r="BI177" s="1" t="s">
        <v>88</v>
      </c>
      <c r="BJ177">
        <v>1</v>
      </c>
      <c r="BK177" s="1" t="s">
        <v>89</v>
      </c>
      <c r="BL177" t="s">
        <v>91</v>
      </c>
      <c r="BM177" s="1" t="s">
        <v>109</v>
      </c>
      <c r="BN177" s="1" t="s">
        <v>110</v>
      </c>
      <c r="BO177" s="1" t="s">
        <v>165</v>
      </c>
      <c r="BP177" s="1" t="s">
        <v>91</v>
      </c>
      <c r="BQ177" t="s">
        <v>91</v>
      </c>
      <c r="BR177" s="3">
        <v>44378</v>
      </c>
      <c r="BS177" s="3">
        <v>44636</v>
      </c>
      <c r="BT177" t="s">
        <v>91</v>
      </c>
      <c r="BU177" t="s">
        <v>91</v>
      </c>
      <c r="BW177" s="1" t="s">
        <v>1228</v>
      </c>
    </row>
    <row r="178" spans="1:75" x14ac:dyDescent="0.35">
      <c r="A178">
        <v>144818</v>
      </c>
      <c r="B178" s="1" t="s">
        <v>75</v>
      </c>
      <c r="C178">
        <v>80</v>
      </c>
      <c r="D178">
        <v>11121001</v>
      </c>
      <c r="E178">
        <v>121001</v>
      </c>
      <c r="F178" s="1" t="s">
        <v>76</v>
      </c>
      <c r="G178" s="1" t="s">
        <v>1229</v>
      </c>
      <c r="I178" s="1" t="s">
        <v>78</v>
      </c>
      <c r="J178" s="1" t="s">
        <v>1230</v>
      </c>
      <c r="K178" s="1" t="s">
        <v>1231</v>
      </c>
      <c r="L178" t="s">
        <v>91</v>
      </c>
      <c r="M178" t="s">
        <v>91</v>
      </c>
      <c r="N178" s="1" t="s">
        <v>1232</v>
      </c>
      <c r="O178" t="s">
        <v>91</v>
      </c>
      <c r="P178" s="1" t="s">
        <v>587</v>
      </c>
      <c r="Q178" s="1" t="s">
        <v>478</v>
      </c>
      <c r="R178" s="1" t="s">
        <v>1233</v>
      </c>
      <c r="T178">
        <v>89204250</v>
      </c>
      <c r="U178" s="1" t="s">
        <v>418</v>
      </c>
      <c r="V178" s="1" t="s">
        <v>100</v>
      </c>
      <c r="W178" s="1" t="s">
        <v>87</v>
      </c>
      <c r="X178">
        <v>48</v>
      </c>
      <c r="Y178">
        <v>32259791</v>
      </c>
      <c r="Z178" t="s">
        <v>91</v>
      </c>
      <c r="AA178" t="s">
        <v>91</v>
      </c>
      <c r="AB178" t="s">
        <v>91</v>
      </c>
      <c r="AC178" t="s">
        <v>91</v>
      </c>
      <c r="AD178" t="s">
        <v>91</v>
      </c>
      <c r="AE178" t="s">
        <v>91</v>
      </c>
      <c r="AF178" t="s">
        <v>91</v>
      </c>
      <c r="AG178" s="1" t="s">
        <v>91</v>
      </c>
      <c r="AH178" s="1" t="s">
        <v>91</v>
      </c>
      <c r="AI178" t="s">
        <v>91</v>
      </c>
      <c r="AM178" t="s">
        <v>91</v>
      </c>
      <c r="AN178" t="s">
        <v>91</v>
      </c>
      <c r="AO178" t="s">
        <v>91</v>
      </c>
      <c r="AP178" t="s">
        <v>91</v>
      </c>
      <c r="AQ178" s="1" t="s">
        <v>91</v>
      </c>
      <c r="AR178" s="1" t="s">
        <v>91</v>
      </c>
      <c r="AS178" s="1" t="s">
        <v>91</v>
      </c>
      <c r="AT178" s="1" t="s">
        <v>91</v>
      </c>
      <c r="AU178" s="1" t="s">
        <v>91</v>
      </c>
      <c r="AV178" t="s">
        <v>91</v>
      </c>
      <c r="AW178" t="s">
        <v>91</v>
      </c>
      <c r="AX178" t="s">
        <v>91</v>
      </c>
      <c r="AY178" t="s">
        <v>91</v>
      </c>
      <c r="AZ178" t="s">
        <v>91</v>
      </c>
      <c r="BA178" t="s">
        <v>91</v>
      </c>
      <c r="BB178" s="2"/>
      <c r="BC178" s="2"/>
      <c r="BD178" t="s">
        <v>91</v>
      </c>
      <c r="BF178" s="1" t="s">
        <v>75</v>
      </c>
      <c r="BI178" s="1" t="s">
        <v>88</v>
      </c>
      <c r="BJ178">
        <v>1</v>
      </c>
      <c r="BK178" s="1" t="s">
        <v>89</v>
      </c>
      <c r="BL178" t="s">
        <v>91</v>
      </c>
      <c r="BM178" s="1" t="s">
        <v>109</v>
      </c>
      <c r="BN178" s="1" t="s">
        <v>110</v>
      </c>
      <c r="BO178" s="1" t="s">
        <v>165</v>
      </c>
      <c r="BP178" s="1" t="s">
        <v>91</v>
      </c>
      <c r="BQ178" t="s">
        <v>91</v>
      </c>
      <c r="BR178" s="3"/>
      <c r="BS178" s="3"/>
      <c r="BT178" t="s">
        <v>91</v>
      </c>
      <c r="BU178" t="s">
        <v>91</v>
      </c>
      <c r="BW178" s="1" t="s">
        <v>1234</v>
      </c>
    </row>
    <row r="179" spans="1:75" x14ac:dyDescent="0.35">
      <c r="A179">
        <v>156768</v>
      </c>
      <c r="B179" s="1" t="s">
        <v>75</v>
      </c>
      <c r="C179">
        <v>80</v>
      </c>
      <c r="D179">
        <v>11121001</v>
      </c>
      <c r="E179">
        <v>121001</v>
      </c>
      <c r="F179" s="1" t="s">
        <v>76</v>
      </c>
      <c r="G179" s="1" t="s">
        <v>1235</v>
      </c>
      <c r="H179">
        <v>0</v>
      </c>
      <c r="I179" s="1" t="s">
        <v>78</v>
      </c>
      <c r="J179" s="1" t="s">
        <v>1236</v>
      </c>
      <c r="K179" s="1" t="s">
        <v>1237</v>
      </c>
      <c r="L179" t="s">
        <v>91</v>
      </c>
      <c r="M179" t="s">
        <v>91</v>
      </c>
      <c r="N179" s="1" t="s">
        <v>1238</v>
      </c>
      <c r="O179" t="s">
        <v>91</v>
      </c>
      <c r="P179" s="1" t="s">
        <v>940</v>
      </c>
      <c r="Q179" s="1" t="s">
        <v>172</v>
      </c>
      <c r="R179" s="1" t="s">
        <v>833</v>
      </c>
      <c r="S179">
        <v>1283</v>
      </c>
      <c r="T179">
        <v>89460000</v>
      </c>
      <c r="U179" s="1" t="s">
        <v>108</v>
      </c>
      <c r="V179" s="1" t="s">
        <v>777</v>
      </c>
      <c r="W179" s="1" t="s">
        <v>87</v>
      </c>
      <c r="X179">
        <v>42</v>
      </c>
      <c r="Y179">
        <v>99677129</v>
      </c>
      <c r="Z179" t="s">
        <v>91</v>
      </c>
      <c r="AA179" t="s">
        <v>91</v>
      </c>
      <c r="AB179" t="s">
        <v>91</v>
      </c>
      <c r="AC179" t="s">
        <v>91</v>
      </c>
      <c r="AD179" t="s">
        <v>91</v>
      </c>
      <c r="AE179" t="s">
        <v>91</v>
      </c>
      <c r="AF179" t="s">
        <v>91</v>
      </c>
      <c r="AG179" s="1" t="s">
        <v>91</v>
      </c>
      <c r="AH179" s="1" t="s">
        <v>91</v>
      </c>
      <c r="AI179" t="s">
        <v>91</v>
      </c>
      <c r="AM179" t="s">
        <v>91</v>
      </c>
      <c r="AN179" t="s">
        <v>91</v>
      </c>
      <c r="AO179" t="s">
        <v>91</v>
      </c>
      <c r="AP179" t="s">
        <v>91</v>
      </c>
      <c r="AQ179" s="1" t="s">
        <v>91</v>
      </c>
      <c r="AR179" s="1" t="s">
        <v>91</v>
      </c>
      <c r="AS179" s="1" t="s">
        <v>91</v>
      </c>
      <c r="AT179" s="1" t="s">
        <v>91</v>
      </c>
      <c r="AU179" s="1" t="s">
        <v>91</v>
      </c>
      <c r="AV179" t="s">
        <v>91</v>
      </c>
      <c r="AW179" t="s">
        <v>91</v>
      </c>
      <c r="AX179" t="s">
        <v>91</v>
      </c>
      <c r="AY179" t="s">
        <v>91</v>
      </c>
      <c r="AZ179" t="s">
        <v>91</v>
      </c>
      <c r="BA179" t="s">
        <v>91</v>
      </c>
      <c r="BB179" s="2">
        <v>45113.505416666667</v>
      </c>
      <c r="BC179" s="2"/>
      <c r="BD179" t="s">
        <v>91</v>
      </c>
      <c r="BF179" s="1" t="s">
        <v>75</v>
      </c>
      <c r="BI179" s="1" t="s">
        <v>88</v>
      </c>
      <c r="BJ179">
        <v>1</v>
      </c>
      <c r="BK179" s="1" t="s">
        <v>89</v>
      </c>
      <c r="BL179" t="s">
        <v>91</v>
      </c>
      <c r="BM179" s="1" t="s">
        <v>91</v>
      </c>
      <c r="BN179" s="1" t="s">
        <v>91</v>
      </c>
      <c r="BO179" s="1" t="s">
        <v>91</v>
      </c>
      <c r="BP179" s="1" t="s">
        <v>91</v>
      </c>
      <c r="BQ179" t="s">
        <v>91</v>
      </c>
      <c r="BR179" s="3">
        <v>45113</v>
      </c>
      <c r="BS179" s="3"/>
      <c r="BT179" t="s">
        <v>91</v>
      </c>
      <c r="BU179" t="s">
        <v>91</v>
      </c>
      <c r="BW179" s="1" t="s">
        <v>90</v>
      </c>
    </row>
    <row r="180" spans="1:75" x14ac:dyDescent="0.35">
      <c r="A180">
        <v>118723</v>
      </c>
      <c r="B180" s="1" t="s">
        <v>75</v>
      </c>
      <c r="C180">
        <v>80</v>
      </c>
      <c r="D180">
        <v>11121001</v>
      </c>
      <c r="E180">
        <v>121001</v>
      </c>
      <c r="F180" s="1" t="s">
        <v>76</v>
      </c>
      <c r="G180" s="1" t="s">
        <v>1239</v>
      </c>
      <c r="I180" s="1" t="s">
        <v>78</v>
      </c>
      <c r="J180" s="1" t="s">
        <v>1240</v>
      </c>
      <c r="K180" s="1" t="s">
        <v>1241</v>
      </c>
      <c r="L180" t="s">
        <v>91</v>
      </c>
      <c r="M180" t="s">
        <v>91</v>
      </c>
      <c r="N180" s="1" t="s">
        <v>1242</v>
      </c>
      <c r="O180" t="s">
        <v>91</v>
      </c>
      <c r="P180" s="1" t="s">
        <v>125</v>
      </c>
      <c r="Q180" s="1" t="s">
        <v>504</v>
      </c>
      <c r="R180" s="1" t="s">
        <v>370</v>
      </c>
      <c r="S180">
        <v>1277</v>
      </c>
      <c r="T180">
        <v>89201010</v>
      </c>
      <c r="U180" s="1" t="s">
        <v>108</v>
      </c>
      <c r="V180" s="1" t="s">
        <v>100</v>
      </c>
      <c r="W180" s="1" t="s">
        <v>87</v>
      </c>
      <c r="X180">
        <v>47</v>
      </c>
      <c r="Y180">
        <v>30275101</v>
      </c>
      <c r="Z180" t="s">
        <v>91</v>
      </c>
      <c r="AA180" t="s">
        <v>91</v>
      </c>
      <c r="AB180" t="s">
        <v>91</v>
      </c>
      <c r="AC180" t="s">
        <v>91</v>
      </c>
      <c r="AD180" t="s">
        <v>91</v>
      </c>
      <c r="AE180" t="s">
        <v>91</v>
      </c>
      <c r="AF180" t="s">
        <v>91</v>
      </c>
      <c r="AG180" s="1" t="s">
        <v>91</v>
      </c>
      <c r="AH180" s="1" t="s">
        <v>91</v>
      </c>
      <c r="AI180" t="s">
        <v>91</v>
      </c>
      <c r="AJ180">
        <v>0</v>
      </c>
      <c r="AK180">
        <v>0</v>
      </c>
      <c r="AL180">
        <v>0</v>
      </c>
      <c r="AM180" t="s">
        <v>91</v>
      </c>
      <c r="AN180" t="s">
        <v>91</v>
      </c>
      <c r="AO180" t="s">
        <v>91</v>
      </c>
      <c r="AP180" t="s">
        <v>91</v>
      </c>
      <c r="AQ180" s="1" t="s">
        <v>91</v>
      </c>
      <c r="AR180" s="1" t="s">
        <v>91</v>
      </c>
      <c r="AS180" s="1" t="s">
        <v>91</v>
      </c>
      <c r="AT180" s="1" t="s">
        <v>91</v>
      </c>
      <c r="AU180" s="1" t="s">
        <v>91</v>
      </c>
      <c r="AV180" t="s">
        <v>91</v>
      </c>
      <c r="AW180" t="s">
        <v>91</v>
      </c>
      <c r="AX180" t="s">
        <v>91</v>
      </c>
      <c r="AY180" t="s">
        <v>91</v>
      </c>
      <c r="AZ180" t="s">
        <v>91</v>
      </c>
      <c r="BA180" t="s">
        <v>91</v>
      </c>
      <c r="BB180" s="2"/>
      <c r="BC180" s="2"/>
      <c r="BD180" t="s">
        <v>91</v>
      </c>
      <c r="BF180" s="1" t="s">
        <v>75</v>
      </c>
      <c r="BG180">
        <v>0</v>
      </c>
      <c r="BH180">
        <v>0</v>
      </c>
      <c r="BI180" s="1" t="s">
        <v>88</v>
      </c>
      <c r="BJ180">
        <v>1</v>
      </c>
      <c r="BK180" s="1" t="s">
        <v>89</v>
      </c>
      <c r="BL180" t="s">
        <v>91</v>
      </c>
      <c r="BM180" s="1" t="s">
        <v>109</v>
      </c>
      <c r="BN180" s="1" t="s">
        <v>110</v>
      </c>
      <c r="BO180" s="1" t="s">
        <v>111</v>
      </c>
      <c r="BP180" s="1" t="s">
        <v>91</v>
      </c>
      <c r="BQ180" t="s">
        <v>91</v>
      </c>
      <c r="BR180" s="3"/>
      <c r="BS180" s="3"/>
      <c r="BT180" t="s">
        <v>91</v>
      </c>
      <c r="BU180" t="s">
        <v>91</v>
      </c>
      <c r="BV180">
        <v>8</v>
      </c>
      <c r="BW180" s="1" t="s">
        <v>247</v>
      </c>
    </row>
    <row r="181" spans="1:75" x14ac:dyDescent="0.35">
      <c r="A181">
        <v>144817</v>
      </c>
      <c r="B181" s="1" t="s">
        <v>75</v>
      </c>
      <c r="C181">
        <v>80</v>
      </c>
      <c r="D181">
        <v>11121001</v>
      </c>
      <c r="E181">
        <v>121001</v>
      </c>
      <c r="F181" s="1" t="s">
        <v>76</v>
      </c>
      <c r="G181" s="1" t="s">
        <v>1243</v>
      </c>
      <c r="I181" s="1" t="s">
        <v>78</v>
      </c>
      <c r="J181" s="1" t="s">
        <v>1244</v>
      </c>
      <c r="K181" s="1" t="s">
        <v>1245</v>
      </c>
      <c r="L181" t="s">
        <v>91</v>
      </c>
      <c r="M181" t="s">
        <v>91</v>
      </c>
      <c r="N181" s="1" t="s">
        <v>1246</v>
      </c>
      <c r="O181" t="s">
        <v>91</v>
      </c>
      <c r="P181" s="1" t="s">
        <v>105</v>
      </c>
      <c r="Q181" s="1" t="s">
        <v>1247</v>
      </c>
      <c r="R181" s="1" t="s">
        <v>1248</v>
      </c>
      <c r="S181">
        <v>1277</v>
      </c>
      <c r="T181">
        <v>89201001</v>
      </c>
      <c r="U181" s="1" t="s">
        <v>108</v>
      </c>
      <c r="V181" s="1" t="s">
        <v>100</v>
      </c>
      <c r="W181" s="1" t="s">
        <v>87</v>
      </c>
      <c r="X181">
        <v>47</v>
      </c>
      <c r="Y181">
        <v>996960579</v>
      </c>
      <c r="Z181" t="s">
        <v>91</v>
      </c>
      <c r="AA181" t="s">
        <v>91</v>
      </c>
      <c r="AB181" t="s">
        <v>91</v>
      </c>
      <c r="AC181" t="s">
        <v>91</v>
      </c>
      <c r="AD181" t="s">
        <v>91</v>
      </c>
      <c r="AE181" t="s">
        <v>91</v>
      </c>
      <c r="AF181" t="s">
        <v>91</v>
      </c>
      <c r="AG181" s="1" t="s">
        <v>91</v>
      </c>
      <c r="AH181" s="1" t="s">
        <v>91</v>
      </c>
      <c r="AI181" t="s">
        <v>91</v>
      </c>
      <c r="AM181" t="s">
        <v>91</v>
      </c>
      <c r="AN181" t="s">
        <v>91</v>
      </c>
      <c r="AO181" t="s">
        <v>91</v>
      </c>
      <c r="AP181" t="s">
        <v>91</v>
      </c>
      <c r="AQ181" s="1" t="s">
        <v>91</v>
      </c>
      <c r="AR181" s="1" t="s">
        <v>91</v>
      </c>
      <c r="AS181" s="1" t="s">
        <v>91</v>
      </c>
      <c r="AT181" s="1" t="s">
        <v>91</v>
      </c>
      <c r="AU181" s="1" t="s">
        <v>91</v>
      </c>
      <c r="AV181" t="s">
        <v>91</v>
      </c>
      <c r="AW181" t="s">
        <v>91</v>
      </c>
      <c r="AX181" t="s">
        <v>91</v>
      </c>
      <c r="AY181" t="s">
        <v>91</v>
      </c>
      <c r="AZ181" t="s">
        <v>91</v>
      </c>
      <c r="BA181" t="s">
        <v>91</v>
      </c>
      <c r="BB181" s="2"/>
      <c r="BC181" s="2"/>
      <c r="BD181" t="s">
        <v>91</v>
      </c>
      <c r="BF181" s="1" t="s">
        <v>75</v>
      </c>
      <c r="BI181" s="1" t="s">
        <v>88</v>
      </c>
      <c r="BJ181">
        <v>1</v>
      </c>
      <c r="BK181" s="1" t="s">
        <v>89</v>
      </c>
      <c r="BL181" t="s">
        <v>91</v>
      </c>
      <c r="BM181" s="1" t="s">
        <v>109</v>
      </c>
      <c r="BN181" s="1" t="s">
        <v>110</v>
      </c>
      <c r="BO181" s="1" t="s">
        <v>91</v>
      </c>
      <c r="BP181" s="1" t="s">
        <v>91</v>
      </c>
      <c r="BQ181" t="s">
        <v>91</v>
      </c>
      <c r="BR181" s="3"/>
      <c r="BS181" s="3"/>
      <c r="BT181" t="s">
        <v>91</v>
      </c>
      <c r="BU181" t="s">
        <v>91</v>
      </c>
      <c r="BW181" s="1" t="s">
        <v>255</v>
      </c>
    </row>
    <row r="182" spans="1:75" x14ac:dyDescent="0.35">
      <c r="A182">
        <v>157509</v>
      </c>
      <c r="B182" s="1" t="s">
        <v>75</v>
      </c>
      <c r="C182">
        <v>80</v>
      </c>
      <c r="D182">
        <v>11121001</v>
      </c>
      <c r="E182">
        <v>121001</v>
      </c>
      <c r="F182" s="1" t="s">
        <v>76</v>
      </c>
      <c r="G182" s="1" t="s">
        <v>1249</v>
      </c>
      <c r="H182">
        <v>0</v>
      </c>
      <c r="I182" s="1" t="s">
        <v>78</v>
      </c>
      <c r="J182" s="1" t="s">
        <v>1250</v>
      </c>
      <c r="K182" s="1" t="s">
        <v>1251</v>
      </c>
      <c r="L182" t="s">
        <v>91</v>
      </c>
      <c r="M182" t="s">
        <v>91</v>
      </c>
      <c r="N182" s="1" t="s">
        <v>1252</v>
      </c>
      <c r="O182" t="s">
        <v>91</v>
      </c>
      <c r="P182" s="1" t="s">
        <v>415</v>
      </c>
      <c r="Q182" s="1" t="s">
        <v>1253</v>
      </c>
      <c r="R182" s="1" t="s">
        <v>370</v>
      </c>
      <c r="S182">
        <v>1277</v>
      </c>
      <c r="T182">
        <v>89201300</v>
      </c>
      <c r="U182" s="1" t="s">
        <v>108</v>
      </c>
      <c r="V182" s="1" t="s">
        <v>100</v>
      </c>
      <c r="W182" s="1" t="s">
        <v>87</v>
      </c>
      <c r="X182">
        <v>47</v>
      </c>
      <c r="Y182">
        <v>30289755</v>
      </c>
      <c r="Z182" t="s">
        <v>91</v>
      </c>
      <c r="AA182" t="s">
        <v>91</v>
      </c>
      <c r="AB182" t="s">
        <v>91</v>
      </c>
      <c r="AC182" t="s">
        <v>91</v>
      </c>
      <c r="AD182" t="s">
        <v>91</v>
      </c>
      <c r="AE182" t="s">
        <v>91</v>
      </c>
      <c r="AF182" t="s">
        <v>91</v>
      </c>
      <c r="AG182" s="1" t="s">
        <v>91</v>
      </c>
      <c r="AH182" s="1" t="s">
        <v>91</v>
      </c>
      <c r="AI182" t="s">
        <v>91</v>
      </c>
      <c r="AM182" t="s">
        <v>91</v>
      </c>
      <c r="AN182" t="s">
        <v>91</v>
      </c>
      <c r="AO182" t="s">
        <v>91</v>
      </c>
      <c r="AP182" t="s">
        <v>91</v>
      </c>
      <c r="AQ182" s="1" t="s">
        <v>91</v>
      </c>
      <c r="AR182" s="1" t="s">
        <v>91</v>
      </c>
      <c r="AS182" s="1" t="s">
        <v>91</v>
      </c>
      <c r="AT182" s="1" t="s">
        <v>91</v>
      </c>
      <c r="AU182" s="1" t="s">
        <v>91</v>
      </c>
      <c r="AV182" t="s">
        <v>91</v>
      </c>
      <c r="AW182" t="s">
        <v>91</v>
      </c>
      <c r="AX182" t="s">
        <v>91</v>
      </c>
      <c r="AY182" t="s">
        <v>91</v>
      </c>
      <c r="AZ182" t="s">
        <v>91</v>
      </c>
      <c r="BA182" t="s">
        <v>91</v>
      </c>
      <c r="BB182" s="2">
        <v>45118.093391203707</v>
      </c>
      <c r="BC182" s="2"/>
      <c r="BD182" t="s">
        <v>91</v>
      </c>
      <c r="BF182" s="1" t="s">
        <v>75</v>
      </c>
      <c r="BI182" s="1" t="s">
        <v>88</v>
      </c>
      <c r="BJ182">
        <v>1</v>
      </c>
      <c r="BK182" s="1" t="s">
        <v>89</v>
      </c>
      <c r="BL182" t="s">
        <v>91</v>
      </c>
      <c r="BM182" s="1" t="s">
        <v>91</v>
      </c>
      <c r="BN182" s="1" t="s">
        <v>91</v>
      </c>
      <c r="BO182" s="1" t="s">
        <v>91</v>
      </c>
      <c r="BP182" s="1" t="s">
        <v>91</v>
      </c>
      <c r="BQ182" t="s">
        <v>91</v>
      </c>
      <c r="BR182" s="3">
        <v>45118</v>
      </c>
      <c r="BS182" s="3"/>
      <c r="BT182" t="s">
        <v>91</v>
      </c>
      <c r="BU182" t="s">
        <v>91</v>
      </c>
      <c r="BW182" s="1" t="s">
        <v>1254</v>
      </c>
    </row>
    <row r="183" spans="1:75" x14ac:dyDescent="0.35">
      <c r="A183">
        <v>144743</v>
      </c>
      <c r="B183" s="1" t="s">
        <v>75</v>
      </c>
      <c r="C183">
        <v>80</v>
      </c>
      <c r="D183">
        <v>11121001</v>
      </c>
      <c r="E183">
        <v>121001</v>
      </c>
      <c r="F183" s="1" t="s">
        <v>76</v>
      </c>
      <c r="G183" s="1" t="s">
        <v>1255</v>
      </c>
      <c r="I183" s="1" t="s">
        <v>78</v>
      </c>
      <c r="J183" s="1" t="s">
        <v>1256</v>
      </c>
      <c r="K183" s="1" t="s">
        <v>1257</v>
      </c>
      <c r="L183" t="s">
        <v>91</v>
      </c>
      <c r="M183" t="s">
        <v>91</v>
      </c>
      <c r="N183" s="1" t="s">
        <v>1258</v>
      </c>
      <c r="O183" t="s">
        <v>91</v>
      </c>
      <c r="P183" s="1" t="s">
        <v>335</v>
      </c>
      <c r="Q183" s="1" t="s">
        <v>1259</v>
      </c>
      <c r="R183" s="1" t="s">
        <v>833</v>
      </c>
      <c r="S183">
        <v>1280</v>
      </c>
      <c r="T183">
        <v>89251700</v>
      </c>
      <c r="U183" s="1" t="s">
        <v>108</v>
      </c>
      <c r="V183" s="1" t="s">
        <v>1076</v>
      </c>
      <c r="W183" s="1" t="s">
        <v>87</v>
      </c>
      <c r="X183">
        <v>47</v>
      </c>
      <c r="Y183">
        <v>30179336</v>
      </c>
      <c r="Z183" t="s">
        <v>91</v>
      </c>
      <c r="AA183" t="s">
        <v>91</v>
      </c>
      <c r="AB183" t="s">
        <v>91</v>
      </c>
      <c r="AC183" t="s">
        <v>91</v>
      </c>
      <c r="AD183" t="s">
        <v>91</v>
      </c>
      <c r="AE183" t="s">
        <v>91</v>
      </c>
      <c r="AF183" t="s">
        <v>91</v>
      </c>
      <c r="AG183" s="1" t="s">
        <v>146</v>
      </c>
      <c r="AH183" s="1" t="s">
        <v>91</v>
      </c>
      <c r="AI183" t="s">
        <v>91</v>
      </c>
      <c r="AJ183">
        <v>0</v>
      </c>
      <c r="AK183">
        <v>0</v>
      </c>
      <c r="AL183">
        <v>0</v>
      </c>
      <c r="AM183" t="s">
        <v>91</v>
      </c>
      <c r="AN183" t="s">
        <v>91</v>
      </c>
      <c r="AO183" t="s">
        <v>91</v>
      </c>
      <c r="AP183" t="s">
        <v>91</v>
      </c>
      <c r="AQ183" s="1" t="s">
        <v>147</v>
      </c>
      <c r="AR183" s="1" t="s">
        <v>147</v>
      </c>
      <c r="AS183" s="1" t="s">
        <v>147</v>
      </c>
      <c r="AT183" s="1" t="s">
        <v>147</v>
      </c>
      <c r="AU183" s="1" t="s">
        <v>147</v>
      </c>
      <c r="AV183" t="s">
        <v>91</v>
      </c>
      <c r="AW183" t="s">
        <v>91</v>
      </c>
      <c r="AX183" t="s">
        <v>91</v>
      </c>
      <c r="AY183" t="s">
        <v>91</v>
      </c>
      <c r="AZ183" t="s">
        <v>91</v>
      </c>
      <c r="BA183" t="s">
        <v>91</v>
      </c>
      <c r="BB183" s="2"/>
      <c r="BC183" s="2"/>
      <c r="BD183" t="s">
        <v>91</v>
      </c>
      <c r="BF183" s="1" t="s">
        <v>75</v>
      </c>
      <c r="BG183">
        <v>0</v>
      </c>
      <c r="BH183">
        <v>0</v>
      </c>
      <c r="BI183" s="1" t="s">
        <v>88</v>
      </c>
      <c r="BJ183">
        <v>1</v>
      </c>
      <c r="BK183" s="1" t="s">
        <v>89</v>
      </c>
      <c r="BL183" t="s">
        <v>91</v>
      </c>
      <c r="BM183" s="1" t="s">
        <v>164</v>
      </c>
      <c r="BN183" s="1" t="s">
        <v>110</v>
      </c>
      <c r="BO183" s="1" t="s">
        <v>165</v>
      </c>
      <c r="BP183" s="1" t="s">
        <v>91</v>
      </c>
      <c r="BQ183" t="s">
        <v>91</v>
      </c>
      <c r="BR183" s="3"/>
      <c r="BS183" s="3"/>
      <c r="BT183" t="s">
        <v>91</v>
      </c>
      <c r="BU183" t="s">
        <v>91</v>
      </c>
      <c r="BV183">
        <v>1</v>
      </c>
      <c r="BW183" s="1" t="s">
        <v>1260</v>
      </c>
    </row>
    <row r="184" spans="1:75" x14ac:dyDescent="0.35">
      <c r="A184">
        <v>144744</v>
      </c>
      <c r="B184" s="1" t="s">
        <v>75</v>
      </c>
      <c r="C184">
        <v>80</v>
      </c>
      <c r="D184">
        <v>11121001</v>
      </c>
      <c r="E184">
        <v>121001</v>
      </c>
      <c r="F184" s="1" t="s">
        <v>76</v>
      </c>
      <c r="G184" s="1" t="s">
        <v>1261</v>
      </c>
      <c r="I184" s="1" t="s">
        <v>78</v>
      </c>
      <c r="J184" s="1" t="s">
        <v>1256</v>
      </c>
      <c r="K184" s="1" t="s">
        <v>1262</v>
      </c>
      <c r="L184" t="s">
        <v>91</v>
      </c>
      <c r="M184" t="s">
        <v>91</v>
      </c>
      <c r="N184" s="1" t="s">
        <v>1258</v>
      </c>
      <c r="O184" t="s">
        <v>91</v>
      </c>
      <c r="P184" s="1" t="s">
        <v>260</v>
      </c>
      <c r="Q184" s="1" t="s">
        <v>300</v>
      </c>
      <c r="R184" s="1" t="s">
        <v>91</v>
      </c>
      <c r="S184">
        <v>1280</v>
      </c>
      <c r="T184">
        <v>89251000</v>
      </c>
      <c r="U184" s="1" t="s">
        <v>108</v>
      </c>
      <c r="V184" s="1" t="s">
        <v>1076</v>
      </c>
      <c r="W184" s="1" t="s">
        <v>87</v>
      </c>
      <c r="X184">
        <v>47</v>
      </c>
      <c r="Y184">
        <v>30858532</v>
      </c>
      <c r="Z184" t="s">
        <v>91</v>
      </c>
      <c r="AA184" t="s">
        <v>91</v>
      </c>
      <c r="AB184" t="s">
        <v>91</v>
      </c>
      <c r="AC184" t="s">
        <v>91</v>
      </c>
      <c r="AD184" t="s">
        <v>91</v>
      </c>
      <c r="AE184" t="s">
        <v>91</v>
      </c>
      <c r="AF184" t="s">
        <v>91</v>
      </c>
      <c r="AG184" s="1" t="s">
        <v>91</v>
      </c>
      <c r="AH184" s="1" t="s">
        <v>91</v>
      </c>
      <c r="AI184" t="s">
        <v>91</v>
      </c>
      <c r="AJ184">
        <v>0</v>
      </c>
      <c r="AK184">
        <v>0</v>
      </c>
      <c r="AL184">
        <v>0</v>
      </c>
      <c r="AM184" t="s">
        <v>91</v>
      </c>
      <c r="AN184" t="s">
        <v>91</v>
      </c>
      <c r="AO184" t="s">
        <v>91</v>
      </c>
      <c r="AP184" t="s">
        <v>91</v>
      </c>
      <c r="AQ184" s="1" t="s">
        <v>91</v>
      </c>
      <c r="AR184" s="1" t="s">
        <v>91</v>
      </c>
      <c r="AS184" s="1" t="s">
        <v>91</v>
      </c>
      <c r="AT184" s="1" t="s">
        <v>91</v>
      </c>
      <c r="AU184" s="1" t="s">
        <v>91</v>
      </c>
      <c r="AV184" t="s">
        <v>91</v>
      </c>
      <c r="AW184" t="s">
        <v>91</v>
      </c>
      <c r="AX184" t="s">
        <v>91</v>
      </c>
      <c r="AY184" t="s">
        <v>91</v>
      </c>
      <c r="AZ184" t="s">
        <v>91</v>
      </c>
      <c r="BA184" t="s">
        <v>91</v>
      </c>
      <c r="BB184" s="2"/>
      <c r="BC184" s="2"/>
      <c r="BD184" t="s">
        <v>91</v>
      </c>
      <c r="BF184" s="1" t="s">
        <v>75</v>
      </c>
      <c r="BG184">
        <v>0</v>
      </c>
      <c r="BH184">
        <v>0</v>
      </c>
      <c r="BI184" s="1" t="s">
        <v>88</v>
      </c>
      <c r="BJ184">
        <v>1</v>
      </c>
      <c r="BK184" s="1" t="s">
        <v>89</v>
      </c>
      <c r="BL184" t="s">
        <v>91</v>
      </c>
      <c r="BM184" s="1" t="s">
        <v>164</v>
      </c>
      <c r="BN184" s="1" t="s">
        <v>110</v>
      </c>
      <c r="BO184" s="1" t="s">
        <v>165</v>
      </c>
      <c r="BP184" s="1" t="s">
        <v>91</v>
      </c>
      <c r="BQ184" t="s">
        <v>91</v>
      </c>
      <c r="BR184" s="3"/>
      <c r="BS184" s="3"/>
      <c r="BT184" t="s">
        <v>91</v>
      </c>
      <c r="BU184" t="s">
        <v>91</v>
      </c>
      <c r="BV184">
        <v>1</v>
      </c>
      <c r="BW184" s="1" t="s">
        <v>1234</v>
      </c>
    </row>
    <row r="185" spans="1:75" x14ac:dyDescent="0.35">
      <c r="A185">
        <v>158729</v>
      </c>
      <c r="B185" s="1" t="s">
        <v>75</v>
      </c>
      <c r="C185">
        <v>80</v>
      </c>
      <c r="D185">
        <v>11121001</v>
      </c>
      <c r="E185">
        <v>121001</v>
      </c>
      <c r="F185" s="1" t="s">
        <v>76</v>
      </c>
      <c r="G185" s="1" t="s">
        <v>1263</v>
      </c>
      <c r="I185" s="1" t="s">
        <v>78</v>
      </c>
      <c r="J185" s="1" t="s">
        <v>1264</v>
      </c>
      <c r="K185" s="1" t="s">
        <v>1265</v>
      </c>
      <c r="L185" t="s">
        <v>91</v>
      </c>
      <c r="M185" t="s">
        <v>91</v>
      </c>
      <c r="N185" s="1" t="s">
        <v>1232</v>
      </c>
      <c r="O185" t="s">
        <v>91</v>
      </c>
      <c r="P185" s="1" t="s">
        <v>1266</v>
      </c>
      <c r="Q185" s="1" t="s">
        <v>1267</v>
      </c>
      <c r="R185" s="1" t="s">
        <v>236</v>
      </c>
      <c r="S185">
        <v>1280</v>
      </c>
      <c r="T185">
        <v>89251700</v>
      </c>
      <c r="U185" s="1" t="s">
        <v>108</v>
      </c>
      <c r="V185" s="1" t="s">
        <v>302</v>
      </c>
      <c r="W185" s="1" t="s">
        <v>87</v>
      </c>
      <c r="X185">
        <v>48</v>
      </c>
      <c r="Y185">
        <v>32259791</v>
      </c>
      <c r="Z185" t="s">
        <v>91</v>
      </c>
      <c r="AA185" t="s">
        <v>91</v>
      </c>
      <c r="AB185" t="s">
        <v>91</v>
      </c>
      <c r="AC185" t="s">
        <v>91</v>
      </c>
      <c r="AD185" t="s">
        <v>91</v>
      </c>
      <c r="AE185" t="s">
        <v>91</v>
      </c>
      <c r="AF185" t="s">
        <v>91</v>
      </c>
      <c r="AG185" s="1" t="s">
        <v>91</v>
      </c>
      <c r="AH185" s="1" t="s">
        <v>91</v>
      </c>
      <c r="AI185" t="s">
        <v>91</v>
      </c>
      <c r="AM185" t="s">
        <v>91</v>
      </c>
      <c r="AN185" t="s">
        <v>91</v>
      </c>
      <c r="AO185" t="s">
        <v>91</v>
      </c>
      <c r="AP185" t="s">
        <v>91</v>
      </c>
      <c r="AQ185" s="1" t="s">
        <v>91</v>
      </c>
      <c r="AR185" s="1" t="s">
        <v>91</v>
      </c>
      <c r="AS185" s="1" t="s">
        <v>91</v>
      </c>
      <c r="AT185" s="1" t="s">
        <v>91</v>
      </c>
      <c r="AU185" s="1" t="s">
        <v>91</v>
      </c>
      <c r="AV185" t="s">
        <v>91</v>
      </c>
      <c r="AW185" t="s">
        <v>91</v>
      </c>
      <c r="AX185" t="s">
        <v>91</v>
      </c>
      <c r="AY185" t="s">
        <v>91</v>
      </c>
      <c r="AZ185" t="s">
        <v>91</v>
      </c>
      <c r="BA185" t="s">
        <v>91</v>
      </c>
      <c r="BB185" s="2">
        <v>45155.700069444443</v>
      </c>
      <c r="BC185" s="2"/>
      <c r="BD185" t="s">
        <v>91</v>
      </c>
      <c r="BF185" s="1" t="s">
        <v>75</v>
      </c>
      <c r="BI185" s="1" t="s">
        <v>88</v>
      </c>
      <c r="BJ185">
        <v>1</v>
      </c>
      <c r="BK185" s="1" t="s">
        <v>89</v>
      </c>
      <c r="BL185" t="s">
        <v>91</v>
      </c>
      <c r="BM185" s="1" t="s">
        <v>91</v>
      </c>
      <c r="BN185" s="1" t="s">
        <v>91</v>
      </c>
      <c r="BO185" s="1" t="s">
        <v>91</v>
      </c>
      <c r="BP185" s="1" t="s">
        <v>91</v>
      </c>
      <c r="BQ185" t="s">
        <v>91</v>
      </c>
      <c r="BR185" s="3">
        <v>45155</v>
      </c>
      <c r="BS185" s="3"/>
      <c r="BT185" t="s">
        <v>91</v>
      </c>
      <c r="BU185" t="s">
        <v>91</v>
      </c>
      <c r="BW185" s="1" t="s">
        <v>90</v>
      </c>
    </row>
    <row r="186" spans="1:75" x14ac:dyDescent="0.35">
      <c r="A186">
        <v>120295</v>
      </c>
      <c r="B186" s="1" t="s">
        <v>75</v>
      </c>
      <c r="C186">
        <v>80</v>
      </c>
      <c r="D186">
        <v>11121001</v>
      </c>
      <c r="E186">
        <v>121001</v>
      </c>
      <c r="F186" s="1" t="s">
        <v>76</v>
      </c>
      <c r="G186" s="1" t="s">
        <v>1268</v>
      </c>
      <c r="H186">
        <v>0</v>
      </c>
      <c r="I186" s="1" t="s">
        <v>78</v>
      </c>
      <c r="J186" s="1" t="s">
        <v>1269</v>
      </c>
      <c r="K186" s="1" t="s">
        <v>1270</v>
      </c>
      <c r="L186" t="s">
        <v>91</v>
      </c>
      <c r="M186" t="s">
        <v>91</v>
      </c>
      <c r="N186" s="1" t="s">
        <v>1271</v>
      </c>
      <c r="O186" t="s">
        <v>91</v>
      </c>
      <c r="P186" s="1" t="s">
        <v>468</v>
      </c>
      <c r="Q186" s="1" t="s">
        <v>1272</v>
      </c>
      <c r="R186" s="1" t="s">
        <v>236</v>
      </c>
      <c r="S186">
        <v>1288</v>
      </c>
      <c r="T186">
        <v>89874000</v>
      </c>
      <c r="U186" s="1" t="s">
        <v>108</v>
      </c>
      <c r="V186" s="1" t="s">
        <v>174</v>
      </c>
      <c r="W186" s="1" t="s">
        <v>87</v>
      </c>
      <c r="X186">
        <v>49</v>
      </c>
      <c r="Y186">
        <v>36640280</v>
      </c>
      <c r="Z186" t="s">
        <v>91</v>
      </c>
      <c r="AA186" t="s">
        <v>91</v>
      </c>
      <c r="AB186" t="s">
        <v>91</v>
      </c>
      <c r="AC186" t="s">
        <v>91</v>
      </c>
      <c r="AD186" t="s">
        <v>91</v>
      </c>
      <c r="AE186" t="s">
        <v>91</v>
      </c>
      <c r="AF186" t="s">
        <v>91</v>
      </c>
      <c r="AG186" s="1" t="s">
        <v>91</v>
      </c>
      <c r="AH186" s="1" t="s">
        <v>91</v>
      </c>
      <c r="AI186" t="s">
        <v>91</v>
      </c>
      <c r="AJ186">
        <v>0</v>
      </c>
      <c r="AK186">
        <v>0</v>
      </c>
      <c r="AL186">
        <v>0</v>
      </c>
      <c r="AM186" t="s">
        <v>91</v>
      </c>
      <c r="AN186" t="s">
        <v>91</v>
      </c>
      <c r="AO186" t="s">
        <v>91</v>
      </c>
      <c r="AP186" t="s">
        <v>91</v>
      </c>
      <c r="AQ186" s="1" t="s">
        <v>91</v>
      </c>
      <c r="AR186" s="1" t="s">
        <v>91</v>
      </c>
      <c r="AS186" s="1" t="s">
        <v>91</v>
      </c>
      <c r="AT186" s="1" t="s">
        <v>91</v>
      </c>
      <c r="AU186" s="1" t="s">
        <v>91</v>
      </c>
      <c r="AV186" t="s">
        <v>91</v>
      </c>
      <c r="AW186" t="s">
        <v>91</v>
      </c>
      <c r="AX186" t="s">
        <v>91</v>
      </c>
      <c r="AY186" t="s">
        <v>91</v>
      </c>
      <c r="AZ186" t="s">
        <v>91</v>
      </c>
      <c r="BA186" t="s">
        <v>91</v>
      </c>
      <c r="BB186" s="2">
        <v>44092.925393518519</v>
      </c>
      <c r="BC186" s="2"/>
      <c r="BD186" t="s">
        <v>91</v>
      </c>
      <c r="BF186" s="1" t="s">
        <v>75</v>
      </c>
      <c r="BG186">
        <v>0</v>
      </c>
      <c r="BH186">
        <v>0</v>
      </c>
      <c r="BI186" s="1" t="s">
        <v>88</v>
      </c>
      <c r="BJ186">
        <v>1</v>
      </c>
      <c r="BK186" s="1" t="s">
        <v>89</v>
      </c>
      <c r="BL186" t="s">
        <v>91</v>
      </c>
      <c r="BM186" s="1" t="s">
        <v>109</v>
      </c>
      <c r="BN186" s="1" t="s">
        <v>110</v>
      </c>
      <c r="BO186" s="1" t="s">
        <v>128</v>
      </c>
      <c r="BP186" s="1" t="s">
        <v>91</v>
      </c>
      <c r="BQ186" t="s">
        <v>91</v>
      </c>
      <c r="BR186" s="3">
        <v>44092</v>
      </c>
      <c r="BS186" s="3"/>
      <c r="BT186" t="s">
        <v>91</v>
      </c>
      <c r="BU186" t="s">
        <v>91</v>
      </c>
      <c r="BV186">
        <v>5</v>
      </c>
      <c r="BW186" s="1" t="s">
        <v>390</v>
      </c>
    </row>
    <row r="187" spans="1:75" x14ac:dyDescent="0.35">
      <c r="A187">
        <v>120404</v>
      </c>
      <c r="B187" s="1" t="s">
        <v>75</v>
      </c>
      <c r="C187">
        <v>80</v>
      </c>
      <c r="D187">
        <v>11121001</v>
      </c>
      <c r="E187">
        <v>121001</v>
      </c>
      <c r="F187" s="1" t="s">
        <v>76</v>
      </c>
      <c r="G187" s="1" t="s">
        <v>1273</v>
      </c>
      <c r="H187">
        <v>0</v>
      </c>
      <c r="I187" s="1" t="s">
        <v>78</v>
      </c>
      <c r="J187" s="1" t="s">
        <v>1274</v>
      </c>
      <c r="K187" s="1" t="s">
        <v>1275</v>
      </c>
      <c r="L187" t="s">
        <v>91</v>
      </c>
      <c r="M187" t="s">
        <v>91</v>
      </c>
      <c r="N187" s="1" t="s">
        <v>91</v>
      </c>
      <c r="O187" t="s">
        <v>91</v>
      </c>
      <c r="P187" s="1" t="s">
        <v>1276</v>
      </c>
      <c r="Q187" s="1" t="s">
        <v>1277</v>
      </c>
      <c r="R187" s="1" t="s">
        <v>91</v>
      </c>
      <c r="S187">
        <v>1389</v>
      </c>
      <c r="T187">
        <v>99700000</v>
      </c>
      <c r="U187" s="1" t="s">
        <v>108</v>
      </c>
      <c r="V187" s="1" t="s">
        <v>156</v>
      </c>
      <c r="W187" s="1" t="s">
        <v>157</v>
      </c>
      <c r="X187">
        <v>54</v>
      </c>
      <c r="Y187">
        <v>35226956</v>
      </c>
      <c r="Z187" t="s">
        <v>91</v>
      </c>
      <c r="AA187" t="s">
        <v>91</v>
      </c>
      <c r="AB187" t="s">
        <v>91</v>
      </c>
      <c r="AC187" t="s">
        <v>91</v>
      </c>
      <c r="AD187" t="s">
        <v>91</v>
      </c>
      <c r="AE187" t="s">
        <v>91</v>
      </c>
      <c r="AF187" t="s">
        <v>91</v>
      </c>
      <c r="AG187" s="1" t="s">
        <v>91</v>
      </c>
      <c r="AH187" s="1" t="s">
        <v>91</v>
      </c>
      <c r="AI187" t="s">
        <v>91</v>
      </c>
      <c r="AM187" t="s">
        <v>91</v>
      </c>
      <c r="AN187" t="s">
        <v>91</v>
      </c>
      <c r="AO187" t="s">
        <v>91</v>
      </c>
      <c r="AP187" t="s">
        <v>91</v>
      </c>
      <c r="AQ187" s="1" t="s">
        <v>91</v>
      </c>
      <c r="AR187" s="1" t="s">
        <v>91</v>
      </c>
      <c r="AS187" s="1" t="s">
        <v>91</v>
      </c>
      <c r="AT187" s="1" t="s">
        <v>91</v>
      </c>
      <c r="AU187" s="1" t="s">
        <v>91</v>
      </c>
      <c r="AV187" t="s">
        <v>91</v>
      </c>
      <c r="AW187" t="s">
        <v>91</v>
      </c>
      <c r="AX187" t="s">
        <v>91</v>
      </c>
      <c r="AY187" t="s">
        <v>91</v>
      </c>
      <c r="AZ187" t="s">
        <v>91</v>
      </c>
      <c r="BA187" t="s">
        <v>91</v>
      </c>
      <c r="BB187" s="2">
        <v>44092.925393518519</v>
      </c>
      <c r="BC187" s="2"/>
      <c r="BD187" t="s">
        <v>91</v>
      </c>
      <c r="BF187" s="1" t="s">
        <v>75</v>
      </c>
      <c r="BI187" s="1" t="s">
        <v>88</v>
      </c>
      <c r="BJ187">
        <v>1</v>
      </c>
      <c r="BK187" s="1" t="s">
        <v>89</v>
      </c>
      <c r="BL187" t="s">
        <v>91</v>
      </c>
      <c r="BM187" s="1" t="s">
        <v>109</v>
      </c>
      <c r="BN187" s="1" t="s">
        <v>110</v>
      </c>
      <c r="BO187" s="1" t="s">
        <v>111</v>
      </c>
      <c r="BP187" s="1" t="s">
        <v>91</v>
      </c>
      <c r="BQ187" t="s">
        <v>91</v>
      </c>
      <c r="BR187" s="3">
        <v>44092</v>
      </c>
      <c r="BS187" s="3"/>
      <c r="BT187" t="s">
        <v>91</v>
      </c>
      <c r="BU187" t="s">
        <v>91</v>
      </c>
      <c r="BV187">
        <v>2</v>
      </c>
      <c r="BW187" s="1" t="s">
        <v>90</v>
      </c>
    </row>
    <row r="188" spans="1:75" x14ac:dyDescent="0.35">
      <c r="A188">
        <v>144515</v>
      </c>
      <c r="B188" s="1" t="s">
        <v>75</v>
      </c>
      <c r="C188">
        <v>80</v>
      </c>
      <c r="D188">
        <v>11121001</v>
      </c>
      <c r="E188">
        <v>121001</v>
      </c>
      <c r="F188" s="1" t="s">
        <v>76</v>
      </c>
      <c r="G188" s="1" t="s">
        <v>1278</v>
      </c>
      <c r="I188" s="1" t="s">
        <v>78</v>
      </c>
      <c r="J188" s="1" t="s">
        <v>1279</v>
      </c>
      <c r="K188" s="1" t="s">
        <v>1280</v>
      </c>
      <c r="L188" t="s">
        <v>91</v>
      </c>
      <c r="M188" t="s">
        <v>91</v>
      </c>
      <c r="N188" s="1" t="s">
        <v>1281</v>
      </c>
      <c r="O188" t="s">
        <v>91</v>
      </c>
      <c r="P188" s="1" t="s">
        <v>789</v>
      </c>
      <c r="Q188" s="1" t="s">
        <v>880</v>
      </c>
      <c r="R188" s="1" t="s">
        <v>1282</v>
      </c>
      <c r="T188">
        <v>89221515</v>
      </c>
      <c r="U188" s="1" t="s">
        <v>1283</v>
      </c>
      <c r="V188" s="1" t="s">
        <v>100</v>
      </c>
      <c r="W188" s="1" t="s">
        <v>87</v>
      </c>
      <c r="X188">
        <v>47</v>
      </c>
      <c r="Y188">
        <v>30253055</v>
      </c>
      <c r="Z188" t="s">
        <v>91</v>
      </c>
      <c r="AA188" t="s">
        <v>91</v>
      </c>
      <c r="AB188" t="s">
        <v>91</v>
      </c>
      <c r="AC188" t="s">
        <v>91</v>
      </c>
      <c r="AD188" t="s">
        <v>91</v>
      </c>
      <c r="AE188" t="s">
        <v>91</v>
      </c>
      <c r="AF188" t="s">
        <v>91</v>
      </c>
      <c r="AG188" s="1" t="s">
        <v>91</v>
      </c>
      <c r="AH188" s="1" t="s">
        <v>91</v>
      </c>
      <c r="AI188" t="s">
        <v>91</v>
      </c>
      <c r="AJ188">
        <v>0</v>
      </c>
      <c r="AK188">
        <v>0</v>
      </c>
      <c r="AL188">
        <v>0</v>
      </c>
      <c r="AM188" t="s">
        <v>91</v>
      </c>
      <c r="AN188" t="s">
        <v>91</v>
      </c>
      <c r="AO188" t="s">
        <v>91</v>
      </c>
      <c r="AP188" t="s">
        <v>91</v>
      </c>
      <c r="AQ188" s="1" t="s">
        <v>91</v>
      </c>
      <c r="AR188" s="1" t="s">
        <v>91</v>
      </c>
      <c r="AS188" s="1" t="s">
        <v>91</v>
      </c>
      <c r="AT188" s="1" t="s">
        <v>91</v>
      </c>
      <c r="AU188" s="1" t="s">
        <v>91</v>
      </c>
      <c r="AV188" t="s">
        <v>91</v>
      </c>
      <c r="AW188" t="s">
        <v>91</v>
      </c>
      <c r="AX188" t="s">
        <v>91</v>
      </c>
      <c r="AY188" t="s">
        <v>91</v>
      </c>
      <c r="AZ188" t="s">
        <v>91</v>
      </c>
      <c r="BA188" t="s">
        <v>91</v>
      </c>
      <c r="BB188" s="2"/>
      <c r="BC188" s="2"/>
      <c r="BD188" t="s">
        <v>91</v>
      </c>
      <c r="BF188" s="1" t="s">
        <v>75</v>
      </c>
      <c r="BG188">
        <v>0</v>
      </c>
      <c r="BH188">
        <v>0</v>
      </c>
      <c r="BI188" s="1" t="s">
        <v>88</v>
      </c>
      <c r="BJ188">
        <v>1</v>
      </c>
      <c r="BK188" s="1" t="s">
        <v>89</v>
      </c>
      <c r="BL188" t="s">
        <v>91</v>
      </c>
      <c r="BM188" s="1" t="s">
        <v>109</v>
      </c>
      <c r="BN188" s="1" t="s">
        <v>110</v>
      </c>
      <c r="BO188" s="1" t="s">
        <v>180</v>
      </c>
      <c r="BP188" s="1" t="s">
        <v>91</v>
      </c>
      <c r="BQ188" t="s">
        <v>91</v>
      </c>
      <c r="BR188" s="3"/>
      <c r="BS188" s="3"/>
      <c r="BT188" t="s">
        <v>91</v>
      </c>
      <c r="BU188" t="s">
        <v>91</v>
      </c>
      <c r="BV188">
        <v>9</v>
      </c>
      <c r="BW188" s="1" t="s">
        <v>1284</v>
      </c>
    </row>
    <row r="189" spans="1:75" x14ac:dyDescent="0.35">
      <c r="A189">
        <v>138100</v>
      </c>
      <c r="B189" s="1" t="s">
        <v>75</v>
      </c>
      <c r="C189">
        <v>80</v>
      </c>
      <c r="D189">
        <v>11121001</v>
      </c>
      <c r="E189">
        <v>121001</v>
      </c>
      <c r="F189" s="1" t="s">
        <v>76</v>
      </c>
      <c r="G189" s="1" t="s">
        <v>1285</v>
      </c>
      <c r="H189">
        <v>0</v>
      </c>
      <c r="I189" s="1" t="s">
        <v>78</v>
      </c>
      <c r="J189" s="1" t="s">
        <v>1286</v>
      </c>
      <c r="K189" s="1" t="s">
        <v>1287</v>
      </c>
      <c r="L189" t="s">
        <v>91</v>
      </c>
      <c r="M189" t="s">
        <v>91</v>
      </c>
      <c r="N189" s="1" t="s">
        <v>1288</v>
      </c>
      <c r="O189" t="s">
        <v>91</v>
      </c>
      <c r="P189" s="1" t="s">
        <v>341</v>
      </c>
      <c r="Q189" s="1" t="s">
        <v>1289</v>
      </c>
      <c r="R189" s="1" t="s">
        <v>91</v>
      </c>
      <c r="S189">
        <v>1377</v>
      </c>
      <c r="T189">
        <v>98400000</v>
      </c>
      <c r="U189" s="1" t="s">
        <v>108</v>
      </c>
      <c r="V189" s="1" t="s">
        <v>344</v>
      </c>
      <c r="W189" s="1" t="s">
        <v>157</v>
      </c>
      <c r="X189">
        <v>55</v>
      </c>
      <c r="Y189">
        <v>37441652</v>
      </c>
      <c r="Z189" t="s">
        <v>91</v>
      </c>
      <c r="AA189" t="s">
        <v>91</v>
      </c>
      <c r="AB189" t="s">
        <v>91</v>
      </c>
      <c r="AC189" t="s">
        <v>91</v>
      </c>
      <c r="AD189" t="s">
        <v>91</v>
      </c>
      <c r="AE189" t="s">
        <v>91</v>
      </c>
      <c r="AF189" t="s">
        <v>91</v>
      </c>
      <c r="AG189" s="1" t="s">
        <v>146</v>
      </c>
      <c r="AH189" s="1" t="s">
        <v>91</v>
      </c>
      <c r="AI189" t="s">
        <v>91</v>
      </c>
      <c r="AM189" t="s">
        <v>91</v>
      </c>
      <c r="AN189" t="s">
        <v>91</v>
      </c>
      <c r="AO189" t="s">
        <v>91</v>
      </c>
      <c r="AP189" t="s">
        <v>91</v>
      </c>
      <c r="AQ189" s="1" t="s">
        <v>147</v>
      </c>
      <c r="AR189" s="1" t="s">
        <v>147</v>
      </c>
      <c r="AS189" s="1" t="s">
        <v>147</v>
      </c>
      <c r="AT189" s="1" t="s">
        <v>147</v>
      </c>
      <c r="AU189" s="1" t="s">
        <v>147</v>
      </c>
      <c r="AV189" t="s">
        <v>91</v>
      </c>
      <c r="AW189" t="s">
        <v>91</v>
      </c>
      <c r="AX189" t="s">
        <v>91</v>
      </c>
      <c r="AY189" t="s">
        <v>91</v>
      </c>
      <c r="AZ189" t="s">
        <v>91</v>
      </c>
      <c r="BA189" t="s">
        <v>91</v>
      </c>
      <c r="BB189" s="2">
        <v>44378.578518518516</v>
      </c>
      <c r="BC189" s="2">
        <v>44669.610358796293</v>
      </c>
      <c r="BD189" t="s">
        <v>91</v>
      </c>
      <c r="BF189" s="1" t="s">
        <v>75</v>
      </c>
      <c r="BH189">
        <v>0</v>
      </c>
      <c r="BI189" s="1" t="s">
        <v>88</v>
      </c>
      <c r="BJ189">
        <v>1</v>
      </c>
      <c r="BK189" s="1" t="s">
        <v>89</v>
      </c>
      <c r="BL189" t="s">
        <v>91</v>
      </c>
      <c r="BM189" s="1" t="s">
        <v>329</v>
      </c>
      <c r="BN189" s="1" t="s">
        <v>110</v>
      </c>
      <c r="BO189" s="1" t="s">
        <v>165</v>
      </c>
      <c r="BP189" s="1" t="s">
        <v>91</v>
      </c>
      <c r="BQ189" t="s">
        <v>91</v>
      </c>
      <c r="BR189" s="3">
        <v>44378</v>
      </c>
      <c r="BS189" s="3">
        <v>44669</v>
      </c>
      <c r="BT189" t="s">
        <v>91</v>
      </c>
      <c r="BU189" t="s">
        <v>91</v>
      </c>
      <c r="BW189" s="1" t="s">
        <v>120</v>
      </c>
    </row>
    <row r="190" spans="1:75" x14ac:dyDescent="0.35">
      <c r="A190">
        <v>138101</v>
      </c>
      <c r="B190" s="1" t="s">
        <v>75</v>
      </c>
      <c r="C190">
        <v>80</v>
      </c>
      <c r="D190">
        <v>11121001</v>
      </c>
      <c r="E190">
        <v>121001</v>
      </c>
      <c r="F190" s="1" t="s">
        <v>76</v>
      </c>
      <c r="G190" s="1" t="s">
        <v>1290</v>
      </c>
      <c r="H190">
        <v>0</v>
      </c>
      <c r="I190" s="1" t="s">
        <v>78</v>
      </c>
      <c r="J190" s="1" t="s">
        <v>1291</v>
      </c>
      <c r="K190" s="1" t="s">
        <v>1292</v>
      </c>
      <c r="L190" t="s">
        <v>91</v>
      </c>
      <c r="M190" t="s">
        <v>91</v>
      </c>
      <c r="N190" s="1" t="s">
        <v>467</v>
      </c>
      <c r="O190" t="s">
        <v>91</v>
      </c>
      <c r="P190" s="1" t="s">
        <v>1293</v>
      </c>
      <c r="Q190" s="1" t="s">
        <v>1294</v>
      </c>
      <c r="R190" s="1" t="s">
        <v>91</v>
      </c>
      <c r="S190">
        <v>1288</v>
      </c>
      <c r="T190">
        <v>89874000</v>
      </c>
      <c r="U190" s="1" t="s">
        <v>108</v>
      </c>
      <c r="V190" s="1" t="s">
        <v>174</v>
      </c>
      <c r="W190" s="1" t="s">
        <v>87</v>
      </c>
      <c r="X190">
        <v>49</v>
      </c>
      <c r="Y190">
        <v>36640180</v>
      </c>
      <c r="Z190" t="s">
        <v>91</v>
      </c>
      <c r="AA190" t="s">
        <v>91</v>
      </c>
      <c r="AB190" t="s">
        <v>91</v>
      </c>
      <c r="AC190" t="s">
        <v>91</v>
      </c>
      <c r="AD190" t="s">
        <v>91</v>
      </c>
      <c r="AE190" t="s">
        <v>91</v>
      </c>
      <c r="AF190" t="s">
        <v>91</v>
      </c>
      <c r="AG190" s="1" t="s">
        <v>146</v>
      </c>
      <c r="AH190" s="1" t="s">
        <v>91</v>
      </c>
      <c r="AI190" t="s">
        <v>91</v>
      </c>
      <c r="AM190" t="s">
        <v>91</v>
      </c>
      <c r="AN190" t="s">
        <v>91</v>
      </c>
      <c r="AO190" t="s">
        <v>91</v>
      </c>
      <c r="AP190" t="s">
        <v>91</v>
      </c>
      <c r="AQ190" s="1" t="s">
        <v>147</v>
      </c>
      <c r="AR190" s="1" t="s">
        <v>147</v>
      </c>
      <c r="AS190" s="1" t="s">
        <v>147</v>
      </c>
      <c r="AT190" s="1" t="s">
        <v>147</v>
      </c>
      <c r="AU190" s="1" t="s">
        <v>147</v>
      </c>
      <c r="AV190" t="s">
        <v>91</v>
      </c>
      <c r="AW190" t="s">
        <v>91</v>
      </c>
      <c r="AX190" t="s">
        <v>91</v>
      </c>
      <c r="AY190" t="s">
        <v>91</v>
      </c>
      <c r="AZ190" t="s">
        <v>91</v>
      </c>
      <c r="BA190" t="s">
        <v>91</v>
      </c>
      <c r="BB190" s="2">
        <v>44378.578518518516</v>
      </c>
      <c r="BC190" s="2">
        <v>44655.398530092592</v>
      </c>
      <c r="BD190" t="s">
        <v>91</v>
      </c>
      <c r="BF190" s="1" t="s">
        <v>75</v>
      </c>
      <c r="BH190">
        <v>0</v>
      </c>
      <c r="BI190" s="1" t="s">
        <v>88</v>
      </c>
      <c r="BJ190">
        <v>1</v>
      </c>
      <c r="BK190" s="1" t="s">
        <v>89</v>
      </c>
      <c r="BL190" t="s">
        <v>91</v>
      </c>
      <c r="BM190" s="1" t="s">
        <v>109</v>
      </c>
      <c r="BN190" s="1" t="s">
        <v>110</v>
      </c>
      <c r="BO190" s="1" t="s">
        <v>128</v>
      </c>
      <c r="BP190" s="1" t="s">
        <v>91</v>
      </c>
      <c r="BQ190" t="s">
        <v>91</v>
      </c>
      <c r="BR190" s="3">
        <v>44378</v>
      </c>
      <c r="BS190" s="3">
        <v>44655</v>
      </c>
      <c r="BT190" t="s">
        <v>91</v>
      </c>
      <c r="BU190" t="s">
        <v>91</v>
      </c>
      <c r="BW190" s="1" t="s">
        <v>470</v>
      </c>
    </row>
    <row r="191" spans="1:75" x14ac:dyDescent="0.35">
      <c r="A191">
        <v>157568</v>
      </c>
      <c r="B191" s="1" t="s">
        <v>75</v>
      </c>
      <c r="C191">
        <v>80</v>
      </c>
      <c r="D191">
        <v>11121001</v>
      </c>
      <c r="E191">
        <v>121001</v>
      </c>
      <c r="F191" s="1" t="s">
        <v>76</v>
      </c>
      <c r="G191" s="1" t="s">
        <v>1295</v>
      </c>
      <c r="H191">
        <v>0</v>
      </c>
      <c r="I191" s="1" t="s">
        <v>78</v>
      </c>
      <c r="J191" s="1" t="s">
        <v>1296</v>
      </c>
      <c r="K191" s="1" t="s">
        <v>1297</v>
      </c>
      <c r="L191" t="s">
        <v>91</v>
      </c>
      <c r="M191" t="s">
        <v>91</v>
      </c>
      <c r="N191" s="1" t="s">
        <v>1298</v>
      </c>
      <c r="O191" t="s">
        <v>91</v>
      </c>
      <c r="P191" s="1" t="s">
        <v>1119</v>
      </c>
      <c r="Q191" s="1" t="s">
        <v>1299</v>
      </c>
      <c r="R191" s="1" t="s">
        <v>173</v>
      </c>
      <c r="S191">
        <v>1280</v>
      </c>
      <c r="T191">
        <v>89270000</v>
      </c>
      <c r="U191" s="1" t="s">
        <v>108</v>
      </c>
      <c r="V191" s="1" t="s">
        <v>1103</v>
      </c>
      <c r="W191" s="1" t="s">
        <v>87</v>
      </c>
      <c r="X191">
        <v>47</v>
      </c>
      <c r="Y191">
        <v>999077981</v>
      </c>
      <c r="Z191" t="s">
        <v>91</v>
      </c>
      <c r="AA191" t="s">
        <v>91</v>
      </c>
      <c r="AB191" t="s">
        <v>91</v>
      </c>
      <c r="AC191" t="s">
        <v>91</v>
      </c>
      <c r="AD191" t="s">
        <v>91</v>
      </c>
      <c r="AE191" t="s">
        <v>91</v>
      </c>
      <c r="AF191" t="s">
        <v>91</v>
      </c>
      <c r="AG191" s="1" t="s">
        <v>91</v>
      </c>
      <c r="AH191" s="1" t="s">
        <v>91</v>
      </c>
      <c r="AI191" t="s">
        <v>91</v>
      </c>
      <c r="AM191" t="s">
        <v>91</v>
      </c>
      <c r="AN191" t="s">
        <v>91</v>
      </c>
      <c r="AO191" t="s">
        <v>91</v>
      </c>
      <c r="AP191" t="s">
        <v>91</v>
      </c>
      <c r="AQ191" s="1" t="s">
        <v>91</v>
      </c>
      <c r="AR191" s="1" t="s">
        <v>91</v>
      </c>
      <c r="AS191" s="1" t="s">
        <v>91</v>
      </c>
      <c r="AT191" s="1" t="s">
        <v>91</v>
      </c>
      <c r="AU191" s="1" t="s">
        <v>91</v>
      </c>
      <c r="AV191" t="s">
        <v>91</v>
      </c>
      <c r="AW191" t="s">
        <v>91</v>
      </c>
      <c r="AX191" t="s">
        <v>91</v>
      </c>
      <c r="AY191" t="s">
        <v>91</v>
      </c>
      <c r="AZ191" t="s">
        <v>91</v>
      </c>
      <c r="BA191" t="s">
        <v>91</v>
      </c>
      <c r="BB191" s="2">
        <v>45118.093391203707</v>
      </c>
      <c r="BC191" s="2"/>
      <c r="BD191" t="s">
        <v>91</v>
      </c>
      <c r="BF191" s="1" t="s">
        <v>75</v>
      </c>
      <c r="BI191" s="1" t="s">
        <v>88</v>
      </c>
      <c r="BJ191">
        <v>1</v>
      </c>
      <c r="BK191" s="1" t="s">
        <v>89</v>
      </c>
      <c r="BL191" t="s">
        <v>91</v>
      </c>
      <c r="BM191" s="1" t="s">
        <v>91</v>
      </c>
      <c r="BN191" s="1" t="s">
        <v>91</v>
      </c>
      <c r="BO191" s="1" t="s">
        <v>91</v>
      </c>
      <c r="BP191" s="1" t="s">
        <v>91</v>
      </c>
      <c r="BQ191" t="s">
        <v>91</v>
      </c>
      <c r="BR191" s="3">
        <v>45118</v>
      </c>
      <c r="BS191" s="3"/>
      <c r="BT191" t="s">
        <v>91</v>
      </c>
      <c r="BU191" t="s">
        <v>91</v>
      </c>
      <c r="BW191" s="1" t="s">
        <v>1048</v>
      </c>
    </row>
    <row r="192" spans="1:75" x14ac:dyDescent="0.35">
      <c r="A192">
        <v>138102</v>
      </c>
      <c r="B192" s="1" t="s">
        <v>75</v>
      </c>
      <c r="C192">
        <v>80</v>
      </c>
      <c r="D192">
        <v>11121001</v>
      </c>
      <c r="E192">
        <v>121001</v>
      </c>
      <c r="F192" s="1" t="s">
        <v>76</v>
      </c>
      <c r="G192" s="1" t="s">
        <v>1300</v>
      </c>
      <c r="H192">
        <v>0</v>
      </c>
      <c r="I192" s="1" t="s">
        <v>78</v>
      </c>
      <c r="J192" s="1" t="s">
        <v>1301</v>
      </c>
      <c r="K192" s="1" t="s">
        <v>1302</v>
      </c>
      <c r="L192" t="s">
        <v>91</v>
      </c>
      <c r="M192" t="s">
        <v>91</v>
      </c>
      <c r="N192" s="1" t="s">
        <v>1303</v>
      </c>
      <c r="O192" t="s">
        <v>91</v>
      </c>
      <c r="P192" s="1" t="s">
        <v>1304</v>
      </c>
      <c r="Q192" s="1" t="s">
        <v>1305</v>
      </c>
      <c r="R192" s="1" t="s">
        <v>91</v>
      </c>
      <c r="S192">
        <v>1288</v>
      </c>
      <c r="T192">
        <v>89825000</v>
      </c>
      <c r="U192" s="1" t="s">
        <v>108</v>
      </c>
      <c r="V192" s="1" t="s">
        <v>707</v>
      </c>
      <c r="W192" s="1" t="s">
        <v>87</v>
      </c>
      <c r="X192">
        <v>49</v>
      </c>
      <c r="Y192">
        <v>33531448</v>
      </c>
      <c r="Z192" t="s">
        <v>91</v>
      </c>
      <c r="AA192" t="s">
        <v>91</v>
      </c>
      <c r="AB192" t="s">
        <v>91</v>
      </c>
      <c r="AC192" t="s">
        <v>91</v>
      </c>
      <c r="AD192" t="s">
        <v>91</v>
      </c>
      <c r="AE192" t="s">
        <v>91</v>
      </c>
      <c r="AF192" t="s">
        <v>91</v>
      </c>
      <c r="AG192" s="1" t="s">
        <v>146</v>
      </c>
      <c r="AH192" s="1" t="s">
        <v>91</v>
      </c>
      <c r="AI192" t="s">
        <v>91</v>
      </c>
      <c r="AM192" t="s">
        <v>91</v>
      </c>
      <c r="AN192" t="s">
        <v>91</v>
      </c>
      <c r="AO192" t="s">
        <v>91</v>
      </c>
      <c r="AP192" t="s">
        <v>91</v>
      </c>
      <c r="AQ192" s="1" t="s">
        <v>147</v>
      </c>
      <c r="AR192" s="1" t="s">
        <v>147</v>
      </c>
      <c r="AS192" s="1" t="s">
        <v>147</v>
      </c>
      <c r="AT192" s="1" t="s">
        <v>147</v>
      </c>
      <c r="AU192" s="1" t="s">
        <v>147</v>
      </c>
      <c r="AV192" t="s">
        <v>91</v>
      </c>
      <c r="AW192" t="s">
        <v>91</v>
      </c>
      <c r="AX192" t="s">
        <v>91</v>
      </c>
      <c r="AY192" t="s">
        <v>91</v>
      </c>
      <c r="AZ192" t="s">
        <v>91</v>
      </c>
      <c r="BA192" t="s">
        <v>91</v>
      </c>
      <c r="BB192" s="2">
        <v>44378.578518518516</v>
      </c>
      <c r="BC192" s="2">
        <v>44704.450613425928</v>
      </c>
      <c r="BD192" t="s">
        <v>91</v>
      </c>
      <c r="BF192" s="1" t="s">
        <v>75</v>
      </c>
      <c r="BH192">
        <v>0</v>
      </c>
      <c r="BI192" s="1" t="s">
        <v>88</v>
      </c>
      <c r="BJ192">
        <v>1</v>
      </c>
      <c r="BK192" s="1" t="s">
        <v>89</v>
      </c>
      <c r="BL192" t="s">
        <v>91</v>
      </c>
      <c r="BM192" s="1" t="s">
        <v>109</v>
      </c>
      <c r="BN192" s="1" t="s">
        <v>148</v>
      </c>
      <c r="BO192" s="1" t="s">
        <v>180</v>
      </c>
      <c r="BP192" s="1" t="s">
        <v>91</v>
      </c>
      <c r="BQ192" t="s">
        <v>91</v>
      </c>
      <c r="BR192" s="3">
        <v>44378</v>
      </c>
      <c r="BS192" s="3">
        <v>44704</v>
      </c>
      <c r="BT192" t="s">
        <v>91</v>
      </c>
      <c r="BU192" t="s">
        <v>91</v>
      </c>
      <c r="BW192" s="1" t="s">
        <v>90</v>
      </c>
    </row>
    <row r="193" spans="1:75" x14ac:dyDescent="0.35">
      <c r="A193">
        <v>953</v>
      </c>
      <c r="B193" s="1" t="s">
        <v>75</v>
      </c>
      <c r="C193">
        <v>80</v>
      </c>
      <c r="D193">
        <v>11121001</v>
      </c>
      <c r="E193">
        <v>121001</v>
      </c>
      <c r="F193" s="1" t="s">
        <v>76</v>
      </c>
      <c r="G193" s="1" t="s">
        <v>1306</v>
      </c>
      <c r="I193" s="1" t="s">
        <v>78</v>
      </c>
      <c r="J193" s="1" t="s">
        <v>1307</v>
      </c>
      <c r="K193" s="1" t="s">
        <v>1308</v>
      </c>
      <c r="L193" t="s">
        <v>91</v>
      </c>
      <c r="M193" t="s">
        <v>91</v>
      </c>
      <c r="N193" s="1" t="s">
        <v>1309</v>
      </c>
      <c r="O193" t="s">
        <v>91</v>
      </c>
      <c r="P193" s="1" t="s">
        <v>311</v>
      </c>
      <c r="Q193" s="1" t="s">
        <v>1310</v>
      </c>
      <c r="R193" s="1" t="s">
        <v>91</v>
      </c>
      <c r="S193">
        <v>1280</v>
      </c>
      <c r="T193">
        <v>89290000</v>
      </c>
      <c r="U193" s="1" t="s">
        <v>108</v>
      </c>
      <c r="V193" s="1" t="s">
        <v>520</v>
      </c>
      <c r="W193" s="1" t="s">
        <v>87</v>
      </c>
      <c r="X193">
        <v>47</v>
      </c>
      <c r="Y193">
        <v>36334660</v>
      </c>
      <c r="Z193" t="s">
        <v>91</v>
      </c>
      <c r="AA193" t="s">
        <v>91</v>
      </c>
      <c r="AB193" t="s">
        <v>91</v>
      </c>
      <c r="AC193" t="s">
        <v>91</v>
      </c>
      <c r="AD193" t="s">
        <v>91</v>
      </c>
      <c r="AE193" t="s">
        <v>91</v>
      </c>
      <c r="AF193" t="s">
        <v>91</v>
      </c>
      <c r="AG193" s="1" t="s">
        <v>91</v>
      </c>
      <c r="AH193" s="1" t="s">
        <v>91</v>
      </c>
      <c r="AI193" t="s">
        <v>91</v>
      </c>
      <c r="AJ193">
        <v>0</v>
      </c>
      <c r="AK193">
        <v>0</v>
      </c>
      <c r="AL193">
        <v>0</v>
      </c>
      <c r="AM193" t="s">
        <v>91</v>
      </c>
      <c r="AN193" t="s">
        <v>91</v>
      </c>
      <c r="AO193" t="s">
        <v>91</v>
      </c>
      <c r="AP193" t="s">
        <v>91</v>
      </c>
      <c r="AQ193" s="1" t="s">
        <v>91</v>
      </c>
      <c r="AR193" s="1" t="s">
        <v>91</v>
      </c>
      <c r="AS193" s="1" t="s">
        <v>91</v>
      </c>
      <c r="AT193" s="1" t="s">
        <v>91</v>
      </c>
      <c r="AU193" s="1" t="s">
        <v>91</v>
      </c>
      <c r="AV193" t="s">
        <v>91</v>
      </c>
      <c r="AW193" t="s">
        <v>91</v>
      </c>
      <c r="AX193" t="s">
        <v>91</v>
      </c>
      <c r="AY193" t="s">
        <v>91</v>
      </c>
      <c r="AZ193" t="s">
        <v>91</v>
      </c>
      <c r="BA193" t="s">
        <v>91</v>
      </c>
      <c r="BB193" s="2">
        <v>43308.392997685187</v>
      </c>
      <c r="BC193" s="2"/>
      <c r="BD193" t="s">
        <v>91</v>
      </c>
      <c r="BE193">
        <v>953</v>
      </c>
      <c r="BF193" s="1" t="s">
        <v>75</v>
      </c>
      <c r="BG193">
        <v>0</v>
      </c>
      <c r="BH193">
        <v>0</v>
      </c>
      <c r="BI193" s="1" t="s">
        <v>88</v>
      </c>
      <c r="BJ193">
        <v>1</v>
      </c>
      <c r="BK193" s="1" t="s">
        <v>89</v>
      </c>
      <c r="BL193" t="s">
        <v>91</v>
      </c>
      <c r="BM193" s="1" t="s">
        <v>329</v>
      </c>
      <c r="BN193" s="1" t="s">
        <v>110</v>
      </c>
      <c r="BO193" s="1" t="s">
        <v>165</v>
      </c>
      <c r="BP193" s="1" t="s">
        <v>91</v>
      </c>
      <c r="BQ193" t="s">
        <v>91</v>
      </c>
      <c r="BR193" s="3">
        <v>43308</v>
      </c>
      <c r="BS193" s="3"/>
      <c r="BT193" t="s">
        <v>91</v>
      </c>
      <c r="BU193" t="s">
        <v>91</v>
      </c>
      <c r="BV193">
        <v>1</v>
      </c>
      <c r="BW193" s="1" t="s">
        <v>90</v>
      </c>
    </row>
    <row r="194" spans="1:75" x14ac:dyDescent="0.35">
      <c r="A194">
        <v>157564</v>
      </c>
      <c r="B194" s="1" t="s">
        <v>75</v>
      </c>
      <c r="C194">
        <v>80</v>
      </c>
      <c r="D194">
        <v>11121001</v>
      </c>
      <c r="E194">
        <v>121001</v>
      </c>
      <c r="F194" s="1" t="s">
        <v>76</v>
      </c>
      <c r="G194" s="1" t="s">
        <v>1311</v>
      </c>
      <c r="H194">
        <v>0</v>
      </c>
      <c r="I194" s="1" t="s">
        <v>78</v>
      </c>
      <c r="J194" s="1" t="s">
        <v>1312</v>
      </c>
      <c r="K194" s="1" t="s">
        <v>1313</v>
      </c>
      <c r="L194" t="s">
        <v>91</v>
      </c>
      <c r="M194" t="s">
        <v>91</v>
      </c>
      <c r="N194" s="1" t="s">
        <v>1314</v>
      </c>
      <c r="O194" t="s">
        <v>91</v>
      </c>
      <c r="P194" s="1" t="s">
        <v>1315</v>
      </c>
      <c r="Q194" s="1" t="s">
        <v>1316</v>
      </c>
      <c r="R194" s="1" t="s">
        <v>1317</v>
      </c>
      <c r="T194">
        <v>89300333</v>
      </c>
      <c r="U194" s="1" t="s">
        <v>1318</v>
      </c>
      <c r="V194" s="1" t="s">
        <v>314</v>
      </c>
      <c r="W194" s="1" t="s">
        <v>87</v>
      </c>
      <c r="X194">
        <v>47</v>
      </c>
      <c r="Y194">
        <v>34071189</v>
      </c>
      <c r="Z194" t="s">
        <v>91</v>
      </c>
      <c r="AA194" t="s">
        <v>91</v>
      </c>
      <c r="AB194" t="s">
        <v>91</v>
      </c>
      <c r="AC194" t="s">
        <v>91</v>
      </c>
      <c r="AD194" t="s">
        <v>91</v>
      </c>
      <c r="AE194" t="s">
        <v>91</v>
      </c>
      <c r="AF194" t="s">
        <v>91</v>
      </c>
      <c r="AG194" s="1" t="s">
        <v>91</v>
      </c>
      <c r="AH194" s="1" t="s">
        <v>91</v>
      </c>
      <c r="AI194" t="s">
        <v>91</v>
      </c>
      <c r="AM194" t="s">
        <v>91</v>
      </c>
      <c r="AN194" t="s">
        <v>91</v>
      </c>
      <c r="AO194" t="s">
        <v>91</v>
      </c>
      <c r="AP194" t="s">
        <v>91</v>
      </c>
      <c r="AQ194" s="1" t="s">
        <v>91</v>
      </c>
      <c r="AR194" s="1" t="s">
        <v>91</v>
      </c>
      <c r="AS194" s="1" t="s">
        <v>91</v>
      </c>
      <c r="AT194" s="1" t="s">
        <v>91</v>
      </c>
      <c r="AU194" s="1" t="s">
        <v>91</v>
      </c>
      <c r="AV194" t="s">
        <v>91</v>
      </c>
      <c r="AW194" t="s">
        <v>91</v>
      </c>
      <c r="AX194" t="s">
        <v>91</v>
      </c>
      <c r="AY194" t="s">
        <v>91</v>
      </c>
      <c r="AZ194" t="s">
        <v>91</v>
      </c>
      <c r="BA194" t="s">
        <v>91</v>
      </c>
      <c r="BB194" s="2">
        <v>45118.093391203707</v>
      </c>
      <c r="BC194" s="2"/>
      <c r="BD194" t="s">
        <v>91</v>
      </c>
      <c r="BF194" s="1" t="s">
        <v>75</v>
      </c>
      <c r="BI194" s="1" t="s">
        <v>88</v>
      </c>
      <c r="BJ194">
        <v>1</v>
      </c>
      <c r="BK194" s="1" t="s">
        <v>89</v>
      </c>
      <c r="BL194" t="s">
        <v>91</v>
      </c>
      <c r="BM194" s="1" t="s">
        <v>91</v>
      </c>
      <c r="BN194" s="1" t="s">
        <v>91</v>
      </c>
      <c r="BO194" s="1" t="s">
        <v>91</v>
      </c>
      <c r="BP194" s="1" t="s">
        <v>91</v>
      </c>
      <c r="BQ194" t="s">
        <v>91</v>
      </c>
      <c r="BR194" s="3">
        <v>45118</v>
      </c>
      <c r="BS194" s="3"/>
      <c r="BT194" t="s">
        <v>91</v>
      </c>
      <c r="BU194" t="s">
        <v>91</v>
      </c>
      <c r="BW194" s="1" t="s">
        <v>1319</v>
      </c>
    </row>
    <row r="195" spans="1:75" x14ac:dyDescent="0.35">
      <c r="A195">
        <v>144643</v>
      </c>
      <c r="B195" s="1" t="s">
        <v>75</v>
      </c>
      <c r="C195">
        <v>80</v>
      </c>
      <c r="D195">
        <v>11121001</v>
      </c>
      <c r="E195">
        <v>121001</v>
      </c>
      <c r="F195" s="1" t="s">
        <v>76</v>
      </c>
      <c r="G195" s="1" t="s">
        <v>1320</v>
      </c>
      <c r="I195" s="1" t="s">
        <v>78</v>
      </c>
      <c r="J195" s="1" t="s">
        <v>1321</v>
      </c>
      <c r="K195" s="1" t="s">
        <v>1322</v>
      </c>
      <c r="L195" t="s">
        <v>91</v>
      </c>
      <c r="M195" t="s">
        <v>91</v>
      </c>
      <c r="N195" s="1" t="s">
        <v>1323</v>
      </c>
      <c r="O195" t="s">
        <v>91</v>
      </c>
      <c r="P195" s="1" t="s">
        <v>311</v>
      </c>
      <c r="Q195" s="1" t="s">
        <v>1324</v>
      </c>
      <c r="R195" s="1" t="s">
        <v>91</v>
      </c>
      <c r="T195">
        <v>89300178</v>
      </c>
      <c r="U195" s="1" t="s">
        <v>313</v>
      </c>
      <c r="V195" s="1" t="s">
        <v>314</v>
      </c>
      <c r="W195" s="1" t="s">
        <v>87</v>
      </c>
      <c r="X195">
        <v>47</v>
      </c>
      <c r="Y195">
        <v>30120814</v>
      </c>
      <c r="Z195" t="s">
        <v>91</v>
      </c>
      <c r="AA195" t="s">
        <v>91</v>
      </c>
      <c r="AB195" t="s">
        <v>91</v>
      </c>
      <c r="AC195" t="s">
        <v>91</v>
      </c>
      <c r="AD195" t="s">
        <v>91</v>
      </c>
      <c r="AE195" t="s">
        <v>91</v>
      </c>
      <c r="AF195" t="s">
        <v>91</v>
      </c>
      <c r="AG195" s="1" t="s">
        <v>91</v>
      </c>
      <c r="AH195" s="1" t="s">
        <v>91</v>
      </c>
      <c r="AI195" t="s">
        <v>91</v>
      </c>
      <c r="AJ195">
        <v>0</v>
      </c>
      <c r="AK195">
        <v>0</v>
      </c>
      <c r="AL195">
        <v>0</v>
      </c>
      <c r="AM195" t="s">
        <v>91</v>
      </c>
      <c r="AN195" t="s">
        <v>91</v>
      </c>
      <c r="AO195" t="s">
        <v>91</v>
      </c>
      <c r="AP195" t="s">
        <v>91</v>
      </c>
      <c r="AQ195" s="1" t="s">
        <v>91</v>
      </c>
      <c r="AR195" s="1" t="s">
        <v>91</v>
      </c>
      <c r="AS195" s="1" t="s">
        <v>91</v>
      </c>
      <c r="AT195" s="1" t="s">
        <v>91</v>
      </c>
      <c r="AU195" s="1" t="s">
        <v>91</v>
      </c>
      <c r="AV195" t="s">
        <v>91</v>
      </c>
      <c r="AW195" t="s">
        <v>91</v>
      </c>
      <c r="AX195" t="s">
        <v>91</v>
      </c>
      <c r="AY195" t="s">
        <v>91</v>
      </c>
      <c r="AZ195" t="s">
        <v>91</v>
      </c>
      <c r="BA195" t="s">
        <v>91</v>
      </c>
      <c r="BB195" s="2"/>
      <c r="BC195" s="2"/>
      <c r="BD195" t="s">
        <v>91</v>
      </c>
      <c r="BF195" s="1" t="s">
        <v>75</v>
      </c>
      <c r="BG195">
        <v>0</v>
      </c>
      <c r="BH195">
        <v>0</v>
      </c>
      <c r="BI195" s="1" t="s">
        <v>88</v>
      </c>
      <c r="BJ195">
        <v>1</v>
      </c>
      <c r="BK195" s="1" t="s">
        <v>89</v>
      </c>
      <c r="BL195" t="s">
        <v>91</v>
      </c>
      <c r="BM195" s="1" t="s">
        <v>109</v>
      </c>
      <c r="BN195" s="1" t="s">
        <v>110</v>
      </c>
      <c r="BO195" s="1" t="s">
        <v>111</v>
      </c>
      <c r="BP195" s="1" t="s">
        <v>91</v>
      </c>
      <c r="BQ195" t="s">
        <v>91</v>
      </c>
      <c r="BR195" s="3"/>
      <c r="BS195" s="3"/>
      <c r="BT195" t="s">
        <v>91</v>
      </c>
      <c r="BU195" t="s">
        <v>91</v>
      </c>
      <c r="BV195">
        <v>2</v>
      </c>
      <c r="BW195" s="1" t="s">
        <v>1325</v>
      </c>
    </row>
    <row r="196" spans="1:75" x14ac:dyDescent="0.35">
      <c r="A196">
        <v>144644</v>
      </c>
      <c r="B196" s="1" t="s">
        <v>75</v>
      </c>
      <c r="C196">
        <v>80</v>
      </c>
      <c r="D196">
        <v>11121001</v>
      </c>
      <c r="E196">
        <v>121001</v>
      </c>
      <c r="F196" s="1" t="s">
        <v>76</v>
      </c>
      <c r="G196" s="1" t="s">
        <v>1326</v>
      </c>
      <c r="I196" s="1" t="s">
        <v>78</v>
      </c>
      <c r="J196" s="1" t="s">
        <v>1321</v>
      </c>
      <c r="K196" s="1" t="s">
        <v>1327</v>
      </c>
      <c r="L196" t="s">
        <v>91</v>
      </c>
      <c r="M196" t="s">
        <v>91</v>
      </c>
      <c r="N196" s="1" t="s">
        <v>1328</v>
      </c>
      <c r="O196" t="s">
        <v>91</v>
      </c>
      <c r="P196" s="1" t="s">
        <v>1329</v>
      </c>
      <c r="Q196" s="1" t="s">
        <v>1330</v>
      </c>
      <c r="R196" s="1" t="s">
        <v>91</v>
      </c>
      <c r="T196">
        <v>89280175</v>
      </c>
      <c r="U196" s="1" t="s">
        <v>108</v>
      </c>
      <c r="V196" s="1" t="s">
        <v>1331</v>
      </c>
      <c r="W196" s="1" t="s">
        <v>87</v>
      </c>
      <c r="X196">
        <v>47</v>
      </c>
      <c r="Y196">
        <v>30125611</v>
      </c>
      <c r="Z196" t="s">
        <v>91</v>
      </c>
      <c r="AA196" t="s">
        <v>91</v>
      </c>
      <c r="AB196" t="s">
        <v>91</v>
      </c>
      <c r="AC196" t="s">
        <v>91</v>
      </c>
      <c r="AD196" t="s">
        <v>91</v>
      </c>
      <c r="AE196" t="s">
        <v>91</v>
      </c>
      <c r="AF196" t="s">
        <v>91</v>
      </c>
      <c r="AG196" s="1" t="s">
        <v>91</v>
      </c>
      <c r="AH196" s="1" t="s">
        <v>91</v>
      </c>
      <c r="AI196" t="s">
        <v>91</v>
      </c>
      <c r="AJ196">
        <v>0</v>
      </c>
      <c r="AK196">
        <v>0</v>
      </c>
      <c r="AL196">
        <v>0</v>
      </c>
      <c r="AM196" t="s">
        <v>91</v>
      </c>
      <c r="AN196" t="s">
        <v>91</v>
      </c>
      <c r="AO196" t="s">
        <v>91</v>
      </c>
      <c r="AP196" t="s">
        <v>91</v>
      </c>
      <c r="AQ196" s="1" t="s">
        <v>91</v>
      </c>
      <c r="AR196" s="1" t="s">
        <v>91</v>
      </c>
      <c r="AS196" s="1" t="s">
        <v>91</v>
      </c>
      <c r="AT196" s="1" t="s">
        <v>91</v>
      </c>
      <c r="AU196" s="1" t="s">
        <v>91</v>
      </c>
      <c r="AV196" t="s">
        <v>91</v>
      </c>
      <c r="AW196" t="s">
        <v>91</v>
      </c>
      <c r="AX196" t="s">
        <v>91</v>
      </c>
      <c r="AY196" t="s">
        <v>91</v>
      </c>
      <c r="AZ196" t="s">
        <v>91</v>
      </c>
      <c r="BA196" t="s">
        <v>91</v>
      </c>
      <c r="BB196" s="2"/>
      <c r="BC196" s="2"/>
      <c r="BD196" t="s">
        <v>91</v>
      </c>
      <c r="BF196" s="1" t="s">
        <v>75</v>
      </c>
      <c r="BG196">
        <v>0</v>
      </c>
      <c r="BH196">
        <v>0</v>
      </c>
      <c r="BI196" s="1" t="s">
        <v>88</v>
      </c>
      <c r="BJ196">
        <v>1</v>
      </c>
      <c r="BK196" s="1" t="s">
        <v>89</v>
      </c>
      <c r="BL196" t="s">
        <v>91</v>
      </c>
      <c r="BM196" s="1" t="s">
        <v>109</v>
      </c>
      <c r="BN196" s="1" t="s">
        <v>110</v>
      </c>
      <c r="BO196" s="1" t="s">
        <v>1040</v>
      </c>
      <c r="BP196" s="1" t="s">
        <v>91</v>
      </c>
      <c r="BQ196" t="s">
        <v>91</v>
      </c>
      <c r="BR196" s="3"/>
      <c r="BS196" s="3"/>
      <c r="BT196" t="s">
        <v>91</v>
      </c>
      <c r="BU196" t="s">
        <v>91</v>
      </c>
      <c r="BV196">
        <v>2</v>
      </c>
      <c r="BW196" s="1" t="s">
        <v>1332</v>
      </c>
    </row>
    <row r="197" spans="1:75" x14ac:dyDescent="0.35">
      <c r="A197">
        <v>784</v>
      </c>
      <c r="B197" s="1" t="s">
        <v>75</v>
      </c>
      <c r="C197">
        <v>80</v>
      </c>
      <c r="D197">
        <v>11121001</v>
      </c>
      <c r="E197">
        <v>121001</v>
      </c>
      <c r="F197" s="1" t="s">
        <v>76</v>
      </c>
      <c r="G197" s="1" t="s">
        <v>1333</v>
      </c>
      <c r="I197" s="1" t="s">
        <v>78</v>
      </c>
      <c r="J197" s="1" t="s">
        <v>1334</v>
      </c>
      <c r="K197" s="1" t="s">
        <v>1335</v>
      </c>
      <c r="L197" t="s">
        <v>91</v>
      </c>
      <c r="M197" t="s">
        <v>91</v>
      </c>
      <c r="N197" s="1" t="s">
        <v>1336</v>
      </c>
      <c r="O197" t="s">
        <v>91</v>
      </c>
      <c r="P197" s="1" t="s">
        <v>311</v>
      </c>
      <c r="Q197" s="1" t="s">
        <v>1337</v>
      </c>
      <c r="R197" s="1" t="s">
        <v>91</v>
      </c>
      <c r="S197">
        <v>1281</v>
      </c>
      <c r="T197">
        <v>89300000</v>
      </c>
      <c r="U197" s="1" t="s">
        <v>108</v>
      </c>
      <c r="V197" s="1" t="s">
        <v>314</v>
      </c>
      <c r="W197" s="1" t="s">
        <v>87</v>
      </c>
      <c r="X197">
        <v>47</v>
      </c>
      <c r="Y197">
        <v>36420171</v>
      </c>
      <c r="Z197" t="s">
        <v>91</v>
      </c>
      <c r="AA197" t="s">
        <v>91</v>
      </c>
      <c r="AB197" t="s">
        <v>91</v>
      </c>
      <c r="AC197" t="s">
        <v>91</v>
      </c>
      <c r="AD197" t="s">
        <v>91</v>
      </c>
      <c r="AE197" t="s">
        <v>91</v>
      </c>
      <c r="AF197" t="s">
        <v>91</v>
      </c>
      <c r="AG197" s="1" t="s">
        <v>91</v>
      </c>
      <c r="AH197" s="1" t="s">
        <v>91</v>
      </c>
      <c r="AI197" t="s">
        <v>91</v>
      </c>
      <c r="AJ197">
        <v>0</v>
      </c>
      <c r="AK197">
        <v>0</v>
      </c>
      <c r="AL197">
        <v>0</v>
      </c>
      <c r="AM197" t="s">
        <v>91</v>
      </c>
      <c r="AN197" t="s">
        <v>91</v>
      </c>
      <c r="AO197" t="s">
        <v>91</v>
      </c>
      <c r="AP197" t="s">
        <v>91</v>
      </c>
      <c r="AQ197" s="1" t="s">
        <v>91</v>
      </c>
      <c r="AR197" s="1" t="s">
        <v>91</v>
      </c>
      <c r="AS197" s="1" t="s">
        <v>91</v>
      </c>
      <c r="AT197" s="1" t="s">
        <v>91</v>
      </c>
      <c r="AU197" s="1" t="s">
        <v>91</v>
      </c>
      <c r="AV197" t="s">
        <v>91</v>
      </c>
      <c r="AW197" t="s">
        <v>91</v>
      </c>
      <c r="AX197" t="s">
        <v>91</v>
      </c>
      <c r="AY197" t="s">
        <v>91</v>
      </c>
      <c r="AZ197" t="s">
        <v>91</v>
      </c>
      <c r="BA197" t="s">
        <v>91</v>
      </c>
      <c r="BB197" s="2">
        <v>43308.392951388887</v>
      </c>
      <c r="BC197" s="2"/>
      <c r="BD197" t="s">
        <v>91</v>
      </c>
      <c r="BE197">
        <v>784</v>
      </c>
      <c r="BF197" s="1" t="s">
        <v>75</v>
      </c>
      <c r="BG197">
        <v>0</v>
      </c>
      <c r="BH197">
        <v>0</v>
      </c>
      <c r="BI197" s="1" t="s">
        <v>88</v>
      </c>
      <c r="BJ197">
        <v>1</v>
      </c>
      <c r="BK197" s="1" t="s">
        <v>89</v>
      </c>
      <c r="BL197" t="s">
        <v>91</v>
      </c>
      <c r="BM197" s="1" t="s">
        <v>639</v>
      </c>
      <c r="BN197" s="1" t="s">
        <v>110</v>
      </c>
      <c r="BO197" s="1" t="s">
        <v>165</v>
      </c>
      <c r="BP197" s="1" t="s">
        <v>91</v>
      </c>
      <c r="BQ197" t="s">
        <v>91</v>
      </c>
      <c r="BR197" s="3">
        <v>43308</v>
      </c>
      <c r="BS197" s="3"/>
      <c r="BT197" t="s">
        <v>91</v>
      </c>
      <c r="BU197" t="s">
        <v>91</v>
      </c>
      <c r="BV197">
        <v>1</v>
      </c>
      <c r="BW197" s="1" t="s">
        <v>1319</v>
      </c>
    </row>
    <row r="198" spans="1:75" x14ac:dyDescent="0.35">
      <c r="A198">
        <v>138104</v>
      </c>
      <c r="B198" s="1" t="s">
        <v>75</v>
      </c>
      <c r="C198">
        <v>80</v>
      </c>
      <c r="D198">
        <v>11121001</v>
      </c>
      <c r="E198">
        <v>121001</v>
      </c>
      <c r="F198" s="1" t="s">
        <v>76</v>
      </c>
      <c r="G198" s="1" t="s">
        <v>1338</v>
      </c>
      <c r="H198">
        <v>0</v>
      </c>
      <c r="I198" s="1" t="s">
        <v>78</v>
      </c>
      <c r="J198" s="1" t="s">
        <v>1339</v>
      </c>
      <c r="K198" s="1" t="s">
        <v>1340</v>
      </c>
      <c r="L198" t="s">
        <v>91</v>
      </c>
      <c r="M198" t="s">
        <v>91</v>
      </c>
      <c r="N198" s="1" t="s">
        <v>1341</v>
      </c>
      <c r="O198" t="s">
        <v>91</v>
      </c>
      <c r="P198" s="1" t="s">
        <v>1276</v>
      </c>
      <c r="Q198" s="1" t="s">
        <v>1342</v>
      </c>
      <c r="R198" s="1" t="s">
        <v>91</v>
      </c>
      <c r="T198">
        <v>99700600</v>
      </c>
      <c r="U198" s="1" t="s">
        <v>108</v>
      </c>
      <c r="V198" s="1" t="s">
        <v>156</v>
      </c>
      <c r="W198" s="1" t="s">
        <v>157</v>
      </c>
      <c r="X198">
        <v>54</v>
      </c>
      <c r="Y198">
        <v>33211208</v>
      </c>
      <c r="Z198" t="s">
        <v>91</v>
      </c>
      <c r="AA198" t="s">
        <v>91</v>
      </c>
      <c r="AB198" t="s">
        <v>91</v>
      </c>
      <c r="AC198" t="s">
        <v>91</v>
      </c>
      <c r="AD198" t="s">
        <v>91</v>
      </c>
      <c r="AE198" t="s">
        <v>91</v>
      </c>
      <c r="AF198" t="s">
        <v>91</v>
      </c>
      <c r="AG198" s="1" t="s">
        <v>146</v>
      </c>
      <c r="AH198" s="1" t="s">
        <v>91</v>
      </c>
      <c r="AI198" t="s">
        <v>91</v>
      </c>
      <c r="AM198" t="s">
        <v>91</v>
      </c>
      <c r="AN198" t="s">
        <v>91</v>
      </c>
      <c r="AO198" t="s">
        <v>91</v>
      </c>
      <c r="AP198" t="s">
        <v>91</v>
      </c>
      <c r="AQ198" s="1" t="s">
        <v>147</v>
      </c>
      <c r="AR198" s="1" t="s">
        <v>147</v>
      </c>
      <c r="AS198" s="1" t="s">
        <v>147</v>
      </c>
      <c r="AT198" s="1" t="s">
        <v>147</v>
      </c>
      <c r="AU198" s="1" t="s">
        <v>147</v>
      </c>
      <c r="AV198" t="s">
        <v>91</v>
      </c>
      <c r="AW198" t="s">
        <v>91</v>
      </c>
      <c r="AX198" t="s">
        <v>91</v>
      </c>
      <c r="AY198" t="s">
        <v>91</v>
      </c>
      <c r="AZ198" t="s">
        <v>91</v>
      </c>
      <c r="BA198" t="s">
        <v>91</v>
      </c>
      <c r="BB198" s="2">
        <v>44378.578518518516</v>
      </c>
      <c r="BC198" s="2">
        <v>44687.407152777778</v>
      </c>
      <c r="BD198" t="s">
        <v>91</v>
      </c>
      <c r="BF198" s="1" t="s">
        <v>75</v>
      </c>
      <c r="BH198">
        <v>0</v>
      </c>
      <c r="BI198" s="1" t="s">
        <v>88</v>
      </c>
      <c r="BJ198">
        <v>1</v>
      </c>
      <c r="BK198" s="1" t="s">
        <v>89</v>
      </c>
      <c r="BL198" t="s">
        <v>91</v>
      </c>
      <c r="BM198" s="1" t="s">
        <v>329</v>
      </c>
      <c r="BN198" s="1" t="s">
        <v>110</v>
      </c>
      <c r="BO198" s="1" t="s">
        <v>165</v>
      </c>
      <c r="BP198" s="1" t="s">
        <v>91</v>
      </c>
      <c r="BQ198" t="s">
        <v>91</v>
      </c>
      <c r="BR198" s="3">
        <v>44378</v>
      </c>
      <c r="BS198" s="3">
        <v>44687</v>
      </c>
      <c r="BT198" t="s">
        <v>91</v>
      </c>
      <c r="BU198" t="s">
        <v>91</v>
      </c>
      <c r="BW198" s="1" t="s">
        <v>263</v>
      </c>
    </row>
    <row r="199" spans="1:75" x14ac:dyDescent="0.35">
      <c r="A199">
        <v>1239</v>
      </c>
      <c r="B199" s="1" t="s">
        <v>75</v>
      </c>
      <c r="C199">
        <v>80</v>
      </c>
      <c r="D199">
        <v>11121001</v>
      </c>
      <c r="E199">
        <v>121001</v>
      </c>
      <c r="F199" s="1" t="s">
        <v>76</v>
      </c>
      <c r="G199" s="1" t="s">
        <v>1343</v>
      </c>
      <c r="I199" s="1" t="s">
        <v>78</v>
      </c>
      <c r="J199" s="1" t="s">
        <v>1344</v>
      </c>
      <c r="K199" s="1" t="s">
        <v>1345</v>
      </c>
      <c r="L199" t="s">
        <v>91</v>
      </c>
      <c r="M199" t="s">
        <v>91</v>
      </c>
      <c r="N199" s="1" t="s">
        <v>1346</v>
      </c>
      <c r="O199" t="s">
        <v>91</v>
      </c>
      <c r="P199" s="1" t="s">
        <v>1142</v>
      </c>
      <c r="Q199" s="1" t="s">
        <v>770</v>
      </c>
      <c r="R199" s="1" t="s">
        <v>820</v>
      </c>
      <c r="S199">
        <v>1280</v>
      </c>
      <c r="T199">
        <v>89251700</v>
      </c>
      <c r="U199" s="1" t="s">
        <v>108</v>
      </c>
      <c r="V199" s="1" t="s">
        <v>1076</v>
      </c>
      <c r="W199" s="1" t="s">
        <v>87</v>
      </c>
      <c r="X199">
        <v>47</v>
      </c>
      <c r="Y199">
        <v>32752866</v>
      </c>
      <c r="Z199" t="s">
        <v>91</v>
      </c>
      <c r="AA199" t="s">
        <v>91</v>
      </c>
      <c r="AB199" t="s">
        <v>91</v>
      </c>
      <c r="AC199" t="s">
        <v>91</v>
      </c>
      <c r="AD199" t="s">
        <v>91</v>
      </c>
      <c r="AE199" t="s">
        <v>91</v>
      </c>
      <c r="AF199" t="s">
        <v>91</v>
      </c>
      <c r="AG199" s="1" t="s">
        <v>91</v>
      </c>
      <c r="AH199" s="1" t="s">
        <v>91</v>
      </c>
      <c r="AI199" t="s">
        <v>91</v>
      </c>
      <c r="AJ199">
        <v>0</v>
      </c>
      <c r="AK199">
        <v>0</v>
      </c>
      <c r="AL199">
        <v>0</v>
      </c>
      <c r="AM199" t="s">
        <v>91</v>
      </c>
      <c r="AN199" t="s">
        <v>91</v>
      </c>
      <c r="AO199" t="s">
        <v>91</v>
      </c>
      <c r="AP199" t="s">
        <v>91</v>
      </c>
      <c r="AQ199" s="1" t="s">
        <v>91</v>
      </c>
      <c r="AR199" s="1" t="s">
        <v>91</v>
      </c>
      <c r="AS199" s="1" t="s">
        <v>91</v>
      </c>
      <c r="AT199" s="1" t="s">
        <v>91</v>
      </c>
      <c r="AU199" s="1" t="s">
        <v>91</v>
      </c>
      <c r="AV199" t="s">
        <v>91</v>
      </c>
      <c r="AW199" t="s">
        <v>91</v>
      </c>
      <c r="AX199" t="s">
        <v>91</v>
      </c>
      <c r="AY199" t="s">
        <v>91</v>
      </c>
      <c r="AZ199" t="s">
        <v>91</v>
      </c>
      <c r="BA199" t="s">
        <v>91</v>
      </c>
      <c r="BB199" s="2">
        <v>43308.393182870372</v>
      </c>
      <c r="BC199" s="2"/>
      <c r="BD199" t="s">
        <v>91</v>
      </c>
      <c r="BE199">
        <v>1239</v>
      </c>
      <c r="BF199" s="1" t="s">
        <v>75</v>
      </c>
      <c r="BG199">
        <v>0</v>
      </c>
      <c r="BH199">
        <v>0</v>
      </c>
      <c r="BI199" s="1" t="s">
        <v>88</v>
      </c>
      <c r="BJ199">
        <v>1</v>
      </c>
      <c r="BK199" s="1" t="s">
        <v>89</v>
      </c>
      <c r="BL199" t="s">
        <v>91</v>
      </c>
      <c r="BM199" s="1" t="s">
        <v>109</v>
      </c>
      <c r="BN199" s="1" t="s">
        <v>110</v>
      </c>
      <c r="BO199" s="1" t="s">
        <v>128</v>
      </c>
      <c r="BP199" s="1" t="s">
        <v>91</v>
      </c>
      <c r="BQ199" t="s">
        <v>91</v>
      </c>
      <c r="BR199" s="3">
        <v>43308</v>
      </c>
      <c r="BS199" s="3"/>
      <c r="BT199" t="s">
        <v>91</v>
      </c>
      <c r="BU199" t="s">
        <v>91</v>
      </c>
      <c r="BV199">
        <v>5</v>
      </c>
      <c r="BW199" s="1" t="s">
        <v>90</v>
      </c>
    </row>
    <row r="200" spans="1:75" x14ac:dyDescent="0.35">
      <c r="A200">
        <v>157573</v>
      </c>
      <c r="B200" s="1" t="s">
        <v>75</v>
      </c>
      <c r="C200">
        <v>80</v>
      </c>
      <c r="D200">
        <v>11121001</v>
      </c>
      <c r="E200">
        <v>121001</v>
      </c>
      <c r="F200" s="1" t="s">
        <v>76</v>
      </c>
      <c r="G200" s="1" t="s">
        <v>1347</v>
      </c>
      <c r="H200">
        <v>0</v>
      </c>
      <c r="I200" s="1" t="s">
        <v>78</v>
      </c>
      <c r="J200" s="1" t="s">
        <v>1348</v>
      </c>
      <c r="K200" s="1" t="s">
        <v>1349</v>
      </c>
      <c r="L200" t="s">
        <v>91</v>
      </c>
      <c r="M200" t="s">
        <v>91</v>
      </c>
      <c r="N200" s="1" t="s">
        <v>1350</v>
      </c>
      <c r="O200" t="s">
        <v>91</v>
      </c>
      <c r="P200" s="1" t="s">
        <v>946</v>
      </c>
      <c r="Q200" s="1" t="s">
        <v>1351</v>
      </c>
      <c r="R200" s="1" t="s">
        <v>91</v>
      </c>
      <c r="T200">
        <v>89280478</v>
      </c>
      <c r="U200" s="1" t="s">
        <v>108</v>
      </c>
      <c r="V200" s="1" t="s">
        <v>520</v>
      </c>
      <c r="W200" s="1" t="s">
        <v>87</v>
      </c>
      <c r="X200">
        <v>41</v>
      </c>
      <c r="Y200">
        <v>99633286</v>
      </c>
      <c r="Z200" t="s">
        <v>91</v>
      </c>
      <c r="AA200" t="s">
        <v>91</v>
      </c>
      <c r="AB200" t="s">
        <v>91</v>
      </c>
      <c r="AC200" t="s">
        <v>91</v>
      </c>
      <c r="AD200" t="s">
        <v>91</v>
      </c>
      <c r="AE200" t="s">
        <v>91</v>
      </c>
      <c r="AF200" t="s">
        <v>91</v>
      </c>
      <c r="AG200" s="1" t="s">
        <v>91</v>
      </c>
      <c r="AH200" s="1" t="s">
        <v>91</v>
      </c>
      <c r="AI200" t="s">
        <v>91</v>
      </c>
      <c r="AM200" t="s">
        <v>91</v>
      </c>
      <c r="AN200" t="s">
        <v>91</v>
      </c>
      <c r="AO200" t="s">
        <v>91</v>
      </c>
      <c r="AP200" t="s">
        <v>91</v>
      </c>
      <c r="AQ200" s="1" t="s">
        <v>91</v>
      </c>
      <c r="AR200" s="1" t="s">
        <v>91</v>
      </c>
      <c r="AS200" s="1" t="s">
        <v>91</v>
      </c>
      <c r="AT200" s="1" t="s">
        <v>91</v>
      </c>
      <c r="AU200" s="1" t="s">
        <v>91</v>
      </c>
      <c r="AV200" t="s">
        <v>91</v>
      </c>
      <c r="AW200" t="s">
        <v>91</v>
      </c>
      <c r="AX200" t="s">
        <v>91</v>
      </c>
      <c r="AY200" t="s">
        <v>91</v>
      </c>
      <c r="AZ200" t="s">
        <v>91</v>
      </c>
      <c r="BA200" t="s">
        <v>91</v>
      </c>
      <c r="BB200" s="2">
        <v>45118.093391203707</v>
      </c>
      <c r="BC200" s="2"/>
      <c r="BD200" t="s">
        <v>91</v>
      </c>
      <c r="BF200" s="1" t="s">
        <v>75</v>
      </c>
      <c r="BI200" s="1" t="s">
        <v>88</v>
      </c>
      <c r="BJ200">
        <v>1</v>
      </c>
      <c r="BK200" s="1" t="s">
        <v>89</v>
      </c>
      <c r="BL200" t="s">
        <v>91</v>
      </c>
      <c r="BM200" s="1" t="s">
        <v>91</v>
      </c>
      <c r="BN200" s="1" t="s">
        <v>91</v>
      </c>
      <c r="BO200" s="1" t="s">
        <v>91</v>
      </c>
      <c r="BP200" s="1" t="s">
        <v>91</v>
      </c>
      <c r="BQ200" t="s">
        <v>91</v>
      </c>
      <c r="BR200" s="3">
        <v>45118</v>
      </c>
      <c r="BS200" s="3"/>
      <c r="BT200" t="s">
        <v>91</v>
      </c>
      <c r="BU200" t="s">
        <v>91</v>
      </c>
      <c r="BW200" s="1" t="s">
        <v>90</v>
      </c>
    </row>
    <row r="201" spans="1:75" x14ac:dyDescent="0.35">
      <c r="A201">
        <v>157530</v>
      </c>
      <c r="B201" s="1" t="s">
        <v>75</v>
      </c>
      <c r="C201">
        <v>80</v>
      </c>
      <c r="D201">
        <v>11121001</v>
      </c>
      <c r="E201">
        <v>121001</v>
      </c>
      <c r="F201" s="1" t="s">
        <v>76</v>
      </c>
      <c r="G201" s="1" t="s">
        <v>1352</v>
      </c>
      <c r="H201">
        <v>0</v>
      </c>
      <c r="I201" s="1" t="s">
        <v>78</v>
      </c>
      <c r="J201" s="1" t="s">
        <v>1353</v>
      </c>
      <c r="K201" s="1" t="s">
        <v>1354</v>
      </c>
      <c r="L201" t="s">
        <v>91</v>
      </c>
      <c r="M201" t="s">
        <v>91</v>
      </c>
      <c r="N201" s="1" t="s">
        <v>1355</v>
      </c>
      <c r="O201" t="s">
        <v>91</v>
      </c>
      <c r="P201" s="1" t="s">
        <v>1356</v>
      </c>
      <c r="Q201" s="1" t="s">
        <v>247</v>
      </c>
      <c r="R201" s="1" t="s">
        <v>1357</v>
      </c>
      <c r="S201">
        <v>1287</v>
      </c>
      <c r="T201">
        <v>89802130</v>
      </c>
      <c r="U201" s="1" t="s">
        <v>1358</v>
      </c>
      <c r="V201" s="1" t="s">
        <v>86</v>
      </c>
      <c r="W201" s="1" t="s">
        <v>87</v>
      </c>
      <c r="X201">
        <v>49</v>
      </c>
      <c r="Y201">
        <v>31993314</v>
      </c>
      <c r="Z201" t="s">
        <v>91</v>
      </c>
      <c r="AA201" t="s">
        <v>91</v>
      </c>
      <c r="AB201" t="s">
        <v>91</v>
      </c>
      <c r="AC201" t="s">
        <v>91</v>
      </c>
      <c r="AD201" t="s">
        <v>91</v>
      </c>
      <c r="AE201" t="s">
        <v>91</v>
      </c>
      <c r="AF201" t="s">
        <v>91</v>
      </c>
      <c r="AG201" s="1" t="s">
        <v>91</v>
      </c>
      <c r="AH201" s="1" t="s">
        <v>91</v>
      </c>
      <c r="AI201" t="s">
        <v>91</v>
      </c>
      <c r="AM201" t="s">
        <v>91</v>
      </c>
      <c r="AN201" t="s">
        <v>91</v>
      </c>
      <c r="AO201" t="s">
        <v>91</v>
      </c>
      <c r="AP201" t="s">
        <v>91</v>
      </c>
      <c r="AQ201" s="1" t="s">
        <v>91</v>
      </c>
      <c r="AR201" s="1" t="s">
        <v>91</v>
      </c>
      <c r="AS201" s="1" t="s">
        <v>91</v>
      </c>
      <c r="AT201" s="1" t="s">
        <v>91</v>
      </c>
      <c r="AU201" s="1" t="s">
        <v>91</v>
      </c>
      <c r="AV201" t="s">
        <v>91</v>
      </c>
      <c r="AW201" t="s">
        <v>91</v>
      </c>
      <c r="AX201" t="s">
        <v>91</v>
      </c>
      <c r="AY201" t="s">
        <v>91</v>
      </c>
      <c r="AZ201" t="s">
        <v>91</v>
      </c>
      <c r="BA201" t="s">
        <v>91</v>
      </c>
      <c r="BB201" s="2">
        <v>45118.093391203707</v>
      </c>
      <c r="BC201" s="2"/>
      <c r="BD201" t="s">
        <v>91</v>
      </c>
      <c r="BF201" s="1" t="s">
        <v>75</v>
      </c>
      <c r="BI201" s="1" t="s">
        <v>88</v>
      </c>
      <c r="BJ201">
        <v>1</v>
      </c>
      <c r="BK201" s="1" t="s">
        <v>89</v>
      </c>
      <c r="BL201" t="s">
        <v>91</v>
      </c>
      <c r="BM201" s="1" t="s">
        <v>91</v>
      </c>
      <c r="BN201" s="1" t="s">
        <v>91</v>
      </c>
      <c r="BO201" s="1" t="s">
        <v>91</v>
      </c>
      <c r="BP201" s="1" t="s">
        <v>91</v>
      </c>
      <c r="BQ201" t="s">
        <v>91</v>
      </c>
      <c r="BR201" s="3">
        <v>45118</v>
      </c>
      <c r="BS201" s="3"/>
      <c r="BT201" t="s">
        <v>91</v>
      </c>
      <c r="BU201" t="s">
        <v>91</v>
      </c>
      <c r="BW201" s="1" t="s">
        <v>90</v>
      </c>
    </row>
    <row r="202" spans="1:75" x14ac:dyDescent="0.35">
      <c r="A202">
        <v>138106</v>
      </c>
      <c r="B202" s="1" t="s">
        <v>75</v>
      </c>
      <c r="C202">
        <v>80</v>
      </c>
      <c r="D202">
        <v>11121001</v>
      </c>
      <c r="E202">
        <v>121001</v>
      </c>
      <c r="F202" s="1" t="s">
        <v>76</v>
      </c>
      <c r="G202" s="1" t="s">
        <v>1359</v>
      </c>
      <c r="H202">
        <v>0</v>
      </c>
      <c r="I202" s="1" t="s">
        <v>78</v>
      </c>
      <c r="J202" s="1" t="s">
        <v>1360</v>
      </c>
      <c r="K202" s="1" t="s">
        <v>1361</v>
      </c>
      <c r="L202" t="s">
        <v>91</v>
      </c>
      <c r="M202" t="s">
        <v>91</v>
      </c>
      <c r="N202" s="1" t="s">
        <v>1362</v>
      </c>
      <c r="O202" t="s">
        <v>91</v>
      </c>
      <c r="P202" s="1" t="s">
        <v>1137</v>
      </c>
      <c r="Q202" s="1" t="s">
        <v>1363</v>
      </c>
      <c r="R202" s="1" t="s">
        <v>91</v>
      </c>
      <c r="T202">
        <v>89801002</v>
      </c>
      <c r="U202" s="1" t="s">
        <v>108</v>
      </c>
      <c r="V202" s="1" t="s">
        <v>337</v>
      </c>
      <c r="W202" s="1" t="s">
        <v>87</v>
      </c>
      <c r="X202">
        <v>49</v>
      </c>
      <c r="Y202">
        <v>31993392</v>
      </c>
      <c r="Z202" t="s">
        <v>91</v>
      </c>
      <c r="AA202" t="s">
        <v>91</v>
      </c>
      <c r="AB202" t="s">
        <v>91</v>
      </c>
      <c r="AC202" t="s">
        <v>91</v>
      </c>
      <c r="AD202" t="s">
        <v>91</v>
      </c>
      <c r="AE202" t="s">
        <v>91</v>
      </c>
      <c r="AF202" t="s">
        <v>91</v>
      </c>
      <c r="AG202" s="1" t="s">
        <v>146</v>
      </c>
      <c r="AH202" s="1" t="s">
        <v>91</v>
      </c>
      <c r="AI202" t="s">
        <v>91</v>
      </c>
      <c r="AM202" t="s">
        <v>91</v>
      </c>
      <c r="AN202" t="s">
        <v>91</v>
      </c>
      <c r="AO202" t="s">
        <v>91</v>
      </c>
      <c r="AP202" t="s">
        <v>91</v>
      </c>
      <c r="AQ202" s="1" t="s">
        <v>147</v>
      </c>
      <c r="AR202" s="1" t="s">
        <v>147</v>
      </c>
      <c r="AS202" s="1" t="s">
        <v>147</v>
      </c>
      <c r="AT202" s="1" t="s">
        <v>147</v>
      </c>
      <c r="AU202" s="1" t="s">
        <v>147</v>
      </c>
      <c r="AV202" t="s">
        <v>91</v>
      </c>
      <c r="AW202" t="s">
        <v>91</v>
      </c>
      <c r="AX202" t="s">
        <v>91</v>
      </c>
      <c r="AY202" t="s">
        <v>91</v>
      </c>
      <c r="AZ202" t="s">
        <v>91</v>
      </c>
      <c r="BA202" t="s">
        <v>91</v>
      </c>
      <c r="BB202" s="2">
        <v>44378.578518518516</v>
      </c>
      <c r="BC202" s="2">
        <v>44630.592430555553</v>
      </c>
      <c r="BD202" t="s">
        <v>91</v>
      </c>
      <c r="BF202" s="1" t="s">
        <v>75</v>
      </c>
      <c r="BH202">
        <v>0</v>
      </c>
      <c r="BI202" s="1" t="s">
        <v>88</v>
      </c>
      <c r="BJ202">
        <v>1</v>
      </c>
      <c r="BK202" s="1" t="s">
        <v>89</v>
      </c>
      <c r="BL202" t="s">
        <v>91</v>
      </c>
      <c r="BM202" s="1" t="s">
        <v>109</v>
      </c>
      <c r="BN202" s="1" t="s">
        <v>110</v>
      </c>
      <c r="BO202" s="1" t="s">
        <v>111</v>
      </c>
      <c r="BP202" s="1" t="s">
        <v>91</v>
      </c>
      <c r="BQ202" t="s">
        <v>91</v>
      </c>
      <c r="BR202" s="3">
        <v>44378</v>
      </c>
      <c r="BS202" s="3">
        <v>44630</v>
      </c>
      <c r="BT202" t="s">
        <v>91</v>
      </c>
      <c r="BU202" t="s">
        <v>91</v>
      </c>
      <c r="BW202" s="1" t="s">
        <v>166</v>
      </c>
    </row>
    <row r="203" spans="1:75" x14ac:dyDescent="0.35">
      <c r="A203">
        <v>144442</v>
      </c>
      <c r="B203" s="1" t="s">
        <v>75</v>
      </c>
      <c r="C203">
        <v>80</v>
      </c>
      <c r="D203">
        <v>11121001</v>
      </c>
      <c r="E203">
        <v>121001</v>
      </c>
      <c r="F203" s="1" t="s">
        <v>76</v>
      </c>
      <c r="G203" s="1" t="s">
        <v>1364</v>
      </c>
      <c r="I203" s="1" t="s">
        <v>78</v>
      </c>
      <c r="J203" s="1" t="s">
        <v>1365</v>
      </c>
      <c r="K203" s="1" t="s">
        <v>1366</v>
      </c>
      <c r="L203" t="s">
        <v>91</v>
      </c>
      <c r="M203" t="s">
        <v>91</v>
      </c>
      <c r="N203" s="1" t="s">
        <v>1252</v>
      </c>
      <c r="O203" t="s">
        <v>91</v>
      </c>
      <c r="P203" s="1" t="s">
        <v>867</v>
      </c>
      <c r="Q203" s="1" t="s">
        <v>1367</v>
      </c>
      <c r="R203" s="1" t="s">
        <v>1368</v>
      </c>
      <c r="S203">
        <v>1277</v>
      </c>
      <c r="T203">
        <v>89201400</v>
      </c>
      <c r="U203" s="1" t="s">
        <v>108</v>
      </c>
      <c r="V203" s="1" t="s">
        <v>100</v>
      </c>
      <c r="W203" s="1" t="s">
        <v>87</v>
      </c>
      <c r="X203">
        <v>47</v>
      </c>
      <c r="Y203">
        <v>30292132</v>
      </c>
      <c r="Z203" t="s">
        <v>91</v>
      </c>
      <c r="AA203" t="s">
        <v>91</v>
      </c>
      <c r="AB203" t="s">
        <v>91</v>
      </c>
      <c r="AC203" t="s">
        <v>91</v>
      </c>
      <c r="AD203" t="s">
        <v>91</v>
      </c>
      <c r="AE203" t="s">
        <v>91</v>
      </c>
      <c r="AF203" t="s">
        <v>91</v>
      </c>
      <c r="AG203" s="1" t="s">
        <v>91</v>
      </c>
      <c r="AH203" s="1" t="s">
        <v>91</v>
      </c>
      <c r="AI203" t="s">
        <v>91</v>
      </c>
      <c r="AJ203">
        <v>0</v>
      </c>
      <c r="AK203">
        <v>0</v>
      </c>
      <c r="AL203">
        <v>0</v>
      </c>
      <c r="AM203" t="s">
        <v>91</v>
      </c>
      <c r="AN203" t="s">
        <v>91</v>
      </c>
      <c r="AO203" t="s">
        <v>91</v>
      </c>
      <c r="AP203" t="s">
        <v>91</v>
      </c>
      <c r="AQ203" s="1" t="s">
        <v>91</v>
      </c>
      <c r="AR203" s="1" t="s">
        <v>91</v>
      </c>
      <c r="AS203" s="1" t="s">
        <v>91</v>
      </c>
      <c r="AT203" s="1" t="s">
        <v>91</v>
      </c>
      <c r="AU203" s="1" t="s">
        <v>91</v>
      </c>
      <c r="AV203" t="s">
        <v>91</v>
      </c>
      <c r="AW203" t="s">
        <v>91</v>
      </c>
      <c r="AX203" t="s">
        <v>91</v>
      </c>
      <c r="AY203" t="s">
        <v>91</v>
      </c>
      <c r="AZ203" t="s">
        <v>91</v>
      </c>
      <c r="BA203" t="s">
        <v>91</v>
      </c>
      <c r="BB203" s="2"/>
      <c r="BC203" s="2"/>
      <c r="BD203" t="s">
        <v>91</v>
      </c>
      <c r="BF203" s="1" t="s">
        <v>75</v>
      </c>
      <c r="BG203">
        <v>0</v>
      </c>
      <c r="BH203">
        <v>0</v>
      </c>
      <c r="BI203" s="1" t="s">
        <v>88</v>
      </c>
      <c r="BJ203">
        <v>1</v>
      </c>
      <c r="BK203" s="1" t="s">
        <v>89</v>
      </c>
      <c r="BL203" t="s">
        <v>91</v>
      </c>
      <c r="BM203" s="1" t="s">
        <v>109</v>
      </c>
      <c r="BN203" s="1" t="s">
        <v>148</v>
      </c>
      <c r="BO203" s="1" t="s">
        <v>165</v>
      </c>
      <c r="BP203" s="1" t="s">
        <v>91</v>
      </c>
      <c r="BQ203" t="s">
        <v>91</v>
      </c>
      <c r="BR203" s="3"/>
      <c r="BS203" s="3"/>
      <c r="BT203" t="s">
        <v>91</v>
      </c>
      <c r="BU203" t="s">
        <v>91</v>
      </c>
      <c r="BV203">
        <v>1</v>
      </c>
      <c r="BW203" s="1" t="s">
        <v>882</v>
      </c>
    </row>
    <row r="204" spans="1:75" x14ac:dyDescent="0.35">
      <c r="A204">
        <v>118720</v>
      </c>
      <c r="B204" s="1" t="s">
        <v>75</v>
      </c>
      <c r="C204">
        <v>80</v>
      </c>
      <c r="D204">
        <v>11121001</v>
      </c>
      <c r="E204">
        <v>121001</v>
      </c>
      <c r="F204" s="1" t="s">
        <v>76</v>
      </c>
      <c r="G204" s="1" t="s">
        <v>1369</v>
      </c>
      <c r="I204" s="1" t="s">
        <v>78</v>
      </c>
      <c r="J204" s="1" t="s">
        <v>1370</v>
      </c>
      <c r="K204" s="1" t="s">
        <v>1371</v>
      </c>
      <c r="L204" t="s">
        <v>91</v>
      </c>
      <c r="M204" t="s">
        <v>91</v>
      </c>
      <c r="N204" s="1" t="s">
        <v>1372</v>
      </c>
      <c r="O204" t="s">
        <v>91</v>
      </c>
      <c r="P204" s="1" t="s">
        <v>105</v>
      </c>
      <c r="Q204" s="1" t="s">
        <v>1108</v>
      </c>
      <c r="R204" s="1" t="s">
        <v>320</v>
      </c>
      <c r="S204">
        <v>1277</v>
      </c>
      <c r="T204">
        <v>89201001</v>
      </c>
      <c r="U204" s="1" t="s">
        <v>108</v>
      </c>
      <c r="V204" s="1" t="s">
        <v>100</v>
      </c>
      <c r="W204" s="1" t="s">
        <v>87</v>
      </c>
      <c r="X204">
        <v>47</v>
      </c>
      <c r="Y204">
        <v>30252030</v>
      </c>
      <c r="Z204" t="s">
        <v>91</v>
      </c>
      <c r="AA204" t="s">
        <v>91</v>
      </c>
      <c r="AB204" t="s">
        <v>91</v>
      </c>
      <c r="AC204" t="s">
        <v>91</v>
      </c>
      <c r="AD204" t="s">
        <v>91</v>
      </c>
      <c r="AE204" t="s">
        <v>91</v>
      </c>
      <c r="AF204" t="s">
        <v>91</v>
      </c>
      <c r="AG204" s="1" t="s">
        <v>91</v>
      </c>
      <c r="AH204" s="1" t="s">
        <v>91</v>
      </c>
      <c r="AI204" t="s">
        <v>91</v>
      </c>
      <c r="AJ204">
        <v>0</v>
      </c>
      <c r="AK204">
        <v>0</v>
      </c>
      <c r="AL204">
        <v>0</v>
      </c>
      <c r="AM204" t="s">
        <v>91</v>
      </c>
      <c r="AN204" t="s">
        <v>91</v>
      </c>
      <c r="AO204" t="s">
        <v>91</v>
      </c>
      <c r="AP204" t="s">
        <v>91</v>
      </c>
      <c r="AQ204" s="1" t="s">
        <v>91</v>
      </c>
      <c r="AR204" s="1" t="s">
        <v>91</v>
      </c>
      <c r="AS204" s="1" t="s">
        <v>91</v>
      </c>
      <c r="AT204" s="1" t="s">
        <v>91</v>
      </c>
      <c r="AU204" s="1" t="s">
        <v>91</v>
      </c>
      <c r="AV204" t="s">
        <v>91</v>
      </c>
      <c r="AW204" t="s">
        <v>91</v>
      </c>
      <c r="AX204" t="s">
        <v>91</v>
      </c>
      <c r="AY204" t="s">
        <v>91</v>
      </c>
      <c r="AZ204" t="s">
        <v>91</v>
      </c>
      <c r="BA204" t="s">
        <v>91</v>
      </c>
      <c r="BB204" s="2"/>
      <c r="BC204" s="2"/>
      <c r="BD204" t="s">
        <v>91</v>
      </c>
      <c r="BF204" s="1" t="s">
        <v>75</v>
      </c>
      <c r="BG204">
        <v>0</v>
      </c>
      <c r="BH204">
        <v>0</v>
      </c>
      <c r="BI204" s="1" t="s">
        <v>88</v>
      </c>
      <c r="BJ204">
        <v>1</v>
      </c>
      <c r="BK204" s="1" t="s">
        <v>89</v>
      </c>
      <c r="BL204" t="s">
        <v>91</v>
      </c>
      <c r="BM204" s="1" t="s">
        <v>109</v>
      </c>
      <c r="BN204" s="1" t="s">
        <v>110</v>
      </c>
      <c r="BO204" s="1" t="s">
        <v>180</v>
      </c>
      <c r="BP204" s="1" t="s">
        <v>91</v>
      </c>
      <c r="BQ204" t="s">
        <v>91</v>
      </c>
      <c r="BR204" s="3"/>
      <c r="BS204" s="3"/>
      <c r="BT204" t="s">
        <v>91</v>
      </c>
      <c r="BU204" t="s">
        <v>91</v>
      </c>
      <c r="BV204">
        <v>9</v>
      </c>
      <c r="BW204" s="1" t="s">
        <v>90</v>
      </c>
    </row>
    <row r="205" spans="1:75" x14ac:dyDescent="0.35">
      <c r="A205">
        <v>138109</v>
      </c>
      <c r="B205" s="1" t="s">
        <v>75</v>
      </c>
      <c r="C205">
        <v>80</v>
      </c>
      <c r="D205">
        <v>11121001</v>
      </c>
      <c r="E205">
        <v>121001</v>
      </c>
      <c r="F205" s="1" t="s">
        <v>76</v>
      </c>
      <c r="G205" s="1" t="s">
        <v>1373</v>
      </c>
      <c r="H205">
        <v>0</v>
      </c>
      <c r="I205" s="1" t="s">
        <v>78</v>
      </c>
      <c r="J205" s="1" t="s">
        <v>1374</v>
      </c>
      <c r="K205" s="1" t="s">
        <v>1375</v>
      </c>
      <c r="L205" t="s">
        <v>91</v>
      </c>
      <c r="M205" t="s">
        <v>91</v>
      </c>
      <c r="N205" s="1" t="s">
        <v>1376</v>
      </c>
      <c r="O205" t="s">
        <v>91</v>
      </c>
      <c r="P205" s="1" t="s">
        <v>1377</v>
      </c>
      <c r="Q205" s="1" t="s">
        <v>1378</v>
      </c>
      <c r="R205" s="1" t="s">
        <v>254</v>
      </c>
      <c r="S205">
        <v>1284</v>
      </c>
      <c r="T205">
        <v>89580000</v>
      </c>
      <c r="U205" s="1" t="s">
        <v>108</v>
      </c>
      <c r="V205" s="1" t="s">
        <v>1026</v>
      </c>
      <c r="W205" s="1" t="s">
        <v>87</v>
      </c>
      <c r="X205">
        <v>49</v>
      </c>
      <c r="Y205">
        <v>32463003</v>
      </c>
      <c r="Z205" t="s">
        <v>91</v>
      </c>
      <c r="AA205" t="s">
        <v>91</v>
      </c>
      <c r="AB205" t="s">
        <v>91</v>
      </c>
      <c r="AC205" t="s">
        <v>91</v>
      </c>
      <c r="AD205" t="s">
        <v>91</v>
      </c>
      <c r="AE205" t="s">
        <v>91</v>
      </c>
      <c r="AF205" t="s">
        <v>91</v>
      </c>
      <c r="AG205" s="1" t="s">
        <v>146</v>
      </c>
      <c r="AH205" s="1" t="s">
        <v>91</v>
      </c>
      <c r="AI205" t="s">
        <v>91</v>
      </c>
      <c r="AM205" t="s">
        <v>91</v>
      </c>
      <c r="AN205" t="s">
        <v>91</v>
      </c>
      <c r="AO205" t="s">
        <v>91</v>
      </c>
      <c r="AP205" t="s">
        <v>91</v>
      </c>
      <c r="AQ205" s="1" t="s">
        <v>147</v>
      </c>
      <c r="AR205" s="1" t="s">
        <v>147</v>
      </c>
      <c r="AS205" s="1" t="s">
        <v>147</v>
      </c>
      <c r="AT205" s="1" t="s">
        <v>147</v>
      </c>
      <c r="AU205" s="1" t="s">
        <v>147</v>
      </c>
      <c r="AV205" t="s">
        <v>91</v>
      </c>
      <c r="AW205" t="s">
        <v>91</v>
      </c>
      <c r="AX205" t="s">
        <v>91</v>
      </c>
      <c r="AY205" t="s">
        <v>91</v>
      </c>
      <c r="AZ205" t="s">
        <v>91</v>
      </c>
      <c r="BA205" t="s">
        <v>91</v>
      </c>
      <c r="BB205" s="2">
        <v>44378.578518518516</v>
      </c>
      <c r="BC205" s="2">
        <v>44712.655347222222</v>
      </c>
      <c r="BD205" t="s">
        <v>91</v>
      </c>
      <c r="BF205" s="1" t="s">
        <v>75</v>
      </c>
      <c r="BH205">
        <v>0</v>
      </c>
      <c r="BI205" s="1" t="s">
        <v>88</v>
      </c>
      <c r="BJ205">
        <v>1</v>
      </c>
      <c r="BK205" s="1" t="s">
        <v>89</v>
      </c>
      <c r="BL205" t="s">
        <v>91</v>
      </c>
      <c r="BM205" s="1" t="s">
        <v>329</v>
      </c>
      <c r="BN205" s="1" t="s">
        <v>110</v>
      </c>
      <c r="BO205" s="1" t="s">
        <v>165</v>
      </c>
      <c r="BP205" s="1" t="s">
        <v>91</v>
      </c>
      <c r="BQ205" t="s">
        <v>91</v>
      </c>
      <c r="BR205" s="3">
        <v>44378</v>
      </c>
      <c r="BS205" s="3">
        <v>44712</v>
      </c>
      <c r="BT205" t="s">
        <v>91</v>
      </c>
      <c r="BU205" t="s">
        <v>91</v>
      </c>
      <c r="BW205" s="1" t="s">
        <v>1089</v>
      </c>
    </row>
    <row r="206" spans="1:75" x14ac:dyDescent="0.35">
      <c r="A206">
        <v>144831</v>
      </c>
      <c r="B206" s="1" t="s">
        <v>75</v>
      </c>
      <c r="C206">
        <v>80</v>
      </c>
      <c r="D206">
        <v>11121001</v>
      </c>
      <c r="E206">
        <v>121001</v>
      </c>
      <c r="F206" s="1" t="s">
        <v>76</v>
      </c>
      <c r="G206" s="1" t="s">
        <v>1379</v>
      </c>
      <c r="I206" s="1" t="s">
        <v>78</v>
      </c>
      <c r="J206" s="1" t="s">
        <v>1380</v>
      </c>
      <c r="K206" s="1" t="s">
        <v>1381</v>
      </c>
      <c r="L206" t="s">
        <v>91</v>
      </c>
      <c r="M206" t="s">
        <v>91</v>
      </c>
      <c r="N206" s="1" t="s">
        <v>1382</v>
      </c>
      <c r="O206" t="s">
        <v>91</v>
      </c>
      <c r="P206" s="1" t="s">
        <v>125</v>
      </c>
      <c r="Q206" s="1" t="s">
        <v>1383</v>
      </c>
      <c r="R206" s="1" t="s">
        <v>1384</v>
      </c>
      <c r="S206">
        <v>1279</v>
      </c>
      <c r="T206">
        <v>89211307</v>
      </c>
      <c r="U206" s="1" t="s">
        <v>108</v>
      </c>
      <c r="V206" s="1" t="s">
        <v>100</v>
      </c>
      <c r="W206" s="1" t="s">
        <v>87</v>
      </c>
      <c r="X206">
        <v>47</v>
      </c>
      <c r="Y206">
        <v>30136373</v>
      </c>
      <c r="Z206" t="s">
        <v>91</v>
      </c>
      <c r="AA206" t="s">
        <v>91</v>
      </c>
      <c r="AB206" t="s">
        <v>91</v>
      </c>
      <c r="AC206" t="s">
        <v>91</v>
      </c>
      <c r="AD206" t="s">
        <v>91</v>
      </c>
      <c r="AE206" t="s">
        <v>91</v>
      </c>
      <c r="AF206" t="s">
        <v>91</v>
      </c>
      <c r="AG206" s="1" t="s">
        <v>91</v>
      </c>
      <c r="AH206" s="1" t="s">
        <v>91</v>
      </c>
      <c r="AI206" t="s">
        <v>91</v>
      </c>
      <c r="AM206" t="s">
        <v>91</v>
      </c>
      <c r="AN206" t="s">
        <v>91</v>
      </c>
      <c r="AO206" t="s">
        <v>91</v>
      </c>
      <c r="AP206" t="s">
        <v>91</v>
      </c>
      <c r="AQ206" s="1" t="s">
        <v>91</v>
      </c>
      <c r="AR206" s="1" t="s">
        <v>91</v>
      </c>
      <c r="AS206" s="1" t="s">
        <v>91</v>
      </c>
      <c r="AT206" s="1" t="s">
        <v>91</v>
      </c>
      <c r="AU206" s="1" t="s">
        <v>91</v>
      </c>
      <c r="AV206" t="s">
        <v>91</v>
      </c>
      <c r="AW206" t="s">
        <v>91</v>
      </c>
      <c r="AX206" t="s">
        <v>91</v>
      </c>
      <c r="AY206" t="s">
        <v>91</v>
      </c>
      <c r="AZ206" t="s">
        <v>91</v>
      </c>
      <c r="BA206" t="s">
        <v>91</v>
      </c>
      <c r="BB206" s="2"/>
      <c r="BC206" s="2"/>
      <c r="BD206" t="s">
        <v>91</v>
      </c>
      <c r="BF206" s="1" t="s">
        <v>75</v>
      </c>
      <c r="BI206" s="1" t="s">
        <v>88</v>
      </c>
      <c r="BJ206">
        <v>1</v>
      </c>
      <c r="BK206" s="1" t="s">
        <v>89</v>
      </c>
      <c r="BL206" t="s">
        <v>91</v>
      </c>
      <c r="BM206" s="1" t="s">
        <v>109</v>
      </c>
      <c r="BN206" s="1" t="s">
        <v>110</v>
      </c>
      <c r="BO206" s="1" t="s">
        <v>91</v>
      </c>
      <c r="BP206" s="1" t="s">
        <v>91</v>
      </c>
      <c r="BQ206" t="s">
        <v>91</v>
      </c>
      <c r="BR206" s="3"/>
      <c r="BS206" s="3"/>
      <c r="BT206" t="s">
        <v>91</v>
      </c>
      <c r="BU206" t="s">
        <v>91</v>
      </c>
      <c r="BW206" s="1" t="s">
        <v>90</v>
      </c>
    </row>
    <row r="207" spans="1:75" x14ac:dyDescent="0.35">
      <c r="A207">
        <v>120542</v>
      </c>
      <c r="B207" s="1" t="s">
        <v>75</v>
      </c>
      <c r="C207">
        <v>80</v>
      </c>
      <c r="D207">
        <v>11121001</v>
      </c>
      <c r="E207">
        <v>121001</v>
      </c>
      <c r="F207" s="1" t="s">
        <v>76</v>
      </c>
      <c r="G207" s="1" t="s">
        <v>1385</v>
      </c>
      <c r="H207">
        <v>0</v>
      </c>
      <c r="I207" s="1" t="s">
        <v>78</v>
      </c>
      <c r="J207" s="1" t="s">
        <v>1386</v>
      </c>
      <c r="K207" s="1" t="s">
        <v>1387</v>
      </c>
      <c r="L207" t="s">
        <v>91</v>
      </c>
      <c r="M207" t="s">
        <v>91</v>
      </c>
      <c r="N207" s="1" t="s">
        <v>1388</v>
      </c>
      <c r="O207" t="s">
        <v>91</v>
      </c>
      <c r="P207" s="1" t="s">
        <v>693</v>
      </c>
      <c r="Q207" s="1" t="s">
        <v>211</v>
      </c>
      <c r="R207" s="1" t="s">
        <v>1389</v>
      </c>
      <c r="S207">
        <v>1279</v>
      </c>
      <c r="T207">
        <v>89223005</v>
      </c>
      <c r="U207" s="1" t="s">
        <v>213</v>
      </c>
      <c r="V207" s="1" t="s">
        <v>100</v>
      </c>
      <c r="W207" s="1" t="s">
        <v>87</v>
      </c>
      <c r="X207">
        <v>47</v>
      </c>
      <c r="Y207">
        <v>30439413</v>
      </c>
      <c r="Z207" t="s">
        <v>91</v>
      </c>
      <c r="AA207" t="s">
        <v>91</v>
      </c>
      <c r="AB207" t="s">
        <v>91</v>
      </c>
      <c r="AC207" t="s">
        <v>91</v>
      </c>
      <c r="AD207" t="s">
        <v>91</v>
      </c>
      <c r="AE207" t="s">
        <v>91</v>
      </c>
      <c r="AF207" t="s">
        <v>91</v>
      </c>
      <c r="AG207" s="1" t="s">
        <v>91</v>
      </c>
      <c r="AH207" s="1" t="s">
        <v>91</v>
      </c>
      <c r="AI207" t="s">
        <v>91</v>
      </c>
      <c r="AM207" t="s">
        <v>91</v>
      </c>
      <c r="AN207" t="s">
        <v>91</v>
      </c>
      <c r="AO207" t="s">
        <v>91</v>
      </c>
      <c r="AP207" t="s">
        <v>91</v>
      </c>
      <c r="AQ207" s="1" t="s">
        <v>91</v>
      </c>
      <c r="AR207" s="1" t="s">
        <v>91</v>
      </c>
      <c r="AS207" s="1" t="s">
        <v>91</v>
      </c>
      <c r="AT207" s="1" t="s">
        <v>91</v>
      </c>
      <c r="AU207" s="1" t="s">
        <v>91</v>
      </c>
      <c r="AV207" t="s">
        <v>91</v>
      </c>
      <c r="AW207" t="s">
        <v>91</v>
      </c>
      <c r="AX207" t="s">
        <v>91</v>
      </c>
      <c r="AY207" t="s">
        <v>91</v>
      </c>
      <c r="AZ207" t="s">
        <v>91</v>
      </c>
      <c r="BA207" t="s">
        <v>91</v>
      </c>
      <c r="BB207" s="2">
        <v>44096.645520833335</v>
      </c>
      <c r="BC207" s="2"/>
      <c r="BD207" t="s">
        <v>91</v>
      </c>
      <c r="BF207" s="1" t="s">
        <v>75</v>
      </c>
      <c r="BI207" s="1" t="s">
        <v>88</v>
      </c>
      <c r="BJ207">
        <v>1</v>
      </c>
      <c r="BK207" s="1" t="s">
        <v>89</v>
      </c>
      <c r="BL207" t="s">
        <v>91</v>
      </c>
      <c r="BM207" s="1" t="s">
        <v>109</v>
      </c>
      <c r="BN207" s="1" t="s">
        <v>110</v>
      </c>
      <c r="BO207" s="1" t="s">
        <v>180</v>
      </c>
      <c r="BP207" s="1" t="s">
        <v>91</v>
      </c>
      <c r="BQ207" t="s">
        <v>91</v>
      </c>
      <c r="BR207" s="3">
        <v>44096</v>
      </c>
      <c r="BS207" s="3"/>
      <c r="BT207" t="s">
        <v>91</v>
      </c>
      <c r="BU207" t="s">
        <v>91</v>
      </c>
      <c r="BV207">
        <v>9</v>
      </c>
      <c r="BW207" s="1" t="s">
        <v>90</v>
      </c>
    </row>
    <row r="208" spans="1:75" x14ac:dyDescent="0.35">
      <c r="A208">
        <v>138114</v>
      </c>
      <c r="B208" s="1" t="s">
        <v>75</v>
      </c>
      <c r="C208">
        <v>80</v>
      </c>
      <c r="D208">
        <v>11121001</v>
      </c>
      <c r="E208">
        <v>121001</v>
      </c>
      <c r="F208" s="1" t="s">
        <v>76</v>
      </c>
      <c r="G208" s="1" t="s">
        <v>1390</v>
      </c>
      <c r="H208">
        <v>0</v>
      </c>
      <c r="I208" s="1" t="s">
        <v>78</v>
      </c>
      <c r="J208" s="1" t="s">
        <v>1391</v>
      </c>
      <c r="K208" s="1" t="s">
        <v>1392</v>
      </c>
      <c r="L208" t="s">
        <v>91</v>
      </c>
      <c r="M208" t="s">
        <v>91</v>
      </c>
      <c r="N208" s="1" t="s">
        <v>1393</v>
      </c>
      <c r="O208" t="s">
        <v>91</v>
      </c>
      <c r="P208" s="1" t="s">
        <v>325</v>
      </c>
      <c r="Q208" s="1" t="s">
        <v>1394</v>
      </c>
      <c r="R208" s="1" t="s">
        <v>91</v>
      </c>
      <c r="S208">
        <v>1379</v>
      </c>
      <c r="T208">
        <v>98600000</v>
      </c>
      <c r="U208" s="1" t="s">
        <v>108</v>
      </c>
      <c r="V208" s="1" t="s">
        <v>328</v>
      </c>
      <c r="W208" s="1" t="s">
        <v>157</v>
      </c>
      <c r="X208">
        <v>55</v>
      </c>
      <c r="Y208">
        <v>35221060</v>
      </c>
      <c r="Z208" t="s">
        <v>91</v>
      </c>
      <c r="AA208" t="s">
        <v>91</v>
      </c>
      <c r="AB208" t="s">
        <v>91</v>
      </c>
      <c r="AC208" t="s">
        <v>91</v>
      </c>
      <c r="AD208" t="s">
        <v>91</v>
      </c>
      <c r="AE208" t="s">
        <v>91</v>
      </c>
      <c r="AF208" t="s">
        <v>91</v>
      </c>
      <c r="AG208" s="1" t="s">
        <v>146</v>
      </c>
      <c r="AH208" s="1" t="s">
        <v>91</v>
      </c>
      <c r="AI208" t="s">
        <v>91</v>
      </c>
      <c r="AM208" t="s">
        <v>91</v>
      </c>
      <c r="AN208" t="s">
        <v>91</v>
      </c>
      <c r="AO208" t="s">
        <v>91</v>
      </c>
      <c r="AP208" t="s">
        <v>91</v>
      </c>
      <c r="AQ208" s="1" t="s">
        <v>147</v>
      </c>
      <c r="AR208" s="1" t="s">
        <v>147</v>
      </c>
      <c r="AS208" s="1" t="s">
        <v>147</v>
      </c>
      <c r="AT208" s="1" t="s">
        <v>147</v>
      </c>
      <c r="AU208" s="1" t="s">
        <v>147</v>
      </c>
      <c r="AV208" t="s">
        <v>91</v>
      </c>
      <c r="AW208" t="s">
        <v>91</v>
      </c>
      <c r="AX208" t="s">
        <v>91</v>
      </c>
      <c r="AY208" t="s">
        <v>91</v>
      </c>
      <c r="AZ208" t="s">
        <v>91</v>
      </c>
      <c r="BA208" t="s">
        <v>91</v>
      </c>
      <c r="BB208" s="2">
        <v>44378.578518518516</v>
      </c>
      <c r="BC208" s="2">
        <v>44683.466099537036</v>
      </c>
      <c r="BD208" t="s">
        <v>91</v>
      </c>
      <c r="BF208" s="1" t="s">
        <v>75</v>
      </c>
      <c r="BH208">
        <v>0</v>
      </c>
      <c r="BI208" s="1" t="s">
        <v>88</v>
      </c>
      <c r="BJ208">
        <v>1</v>
      </c>
      <c r="BK208" s="1" t="s">
        <v>89</v>
      </c>
      <c r="BL208" t="s">
        <v>91</v>
      </c>
      <c r="BM208" s="1" t="s">
        <v>164</v>
      </c>
      <c r="BN208" s="1" t="s">
        <v>110</v>
      </c>
      <c r="BO208" s="1" t="s">
        <v>165</v>
      </c>
      <c r="BP208" s="1" t="s">
        <v>91</v>
      </c>
      <c r="BQ208" t="s">
        <v>91</v>
      </c>
      <c r="BR208" s="3">
        <v>44378</v>
      </c>
      <c r="BS208" s="3">
        <v>44683</v>
      </c>
      <c r="BT208" t="s">
        <v>91</v>
      </c>
      <c r="BU208" t="s">
        <v>91</v>
      </c>
      <c r="BW208" s="1" t="s">
        <v>120</v>
      </c>
    </row>
    <row r="209" spans="1:75" x14ac:dyDescent="0.35">
      <c r="A209">
        <v>138116</v>
      </c>
      <c r="B209" s="1" t="s">
        <v>75</v>
      </c>
      <c r="C209">
        <v>80</v>
      </c>
      <c r="D209">
        <v>11121001</v>
      </c>
      <c r="E209">
        <v>121001</v>
      </c>
      <c r="F209" s="1" t="s">
        <v>76</v>
      </c>
      <c r="G209" s="1" t="s">
        <v>1395</v>
      </c>
      <c r="H209">
        <v>0</v>
      </c>
      <c r="I209" s="1" t="s">
        <v>78</v>
      </c>
      <c r="J209" s="1" t="s">
        <v>1396</v>
      </c>
      <c r="K209" s="1" t="s">
        <v>1397</v>
      </c>
      <c r="L209" t="s">
        <v>91</v>
      </c>
      <c r="M209" t="s">
        <v>91</v>
      </c>
      <c r="N209" s="1" t="s">
        <v>1398</v>
      </c>
      <c r="O209" t="s">
        <v>91</v>
      </c>
      <c r="P209" s="1" t="s">
        <v>1399</v>
      </c>
      <c r="Q209" s="1" t="s">
        <v>319</v>
      </c>
      <c r="R209" s="1" t="s">
        <v>84</v>
      </c>
      <c r="S209">
        <v>1287</v>
      </c>
      <c r="T209">
        <v>89802131</v>
      </c>
      <c r="U209" s="1" t="s">
        <v>108</v>
      </c>
      <c r="V209" s="1" t="s">
        <v>337</v>
      </c>
      <c r="W209" s="1" t="s">
        <v>87</v>
      </c>
      <c r="X209">
        <v>49</v>
      </c>
      <c r="Y209">
        <v>33251900</v>
      </c>
      <c r="Z209" t="s">
        <v>91</v>
      </c>
      <c r="AA209" t="s">
        <v>91</v>
      </c>
      <c r="AB209" t="s">
        <v>91</v>
      </c>
      <c r="AC209" t="s">
        <v>91</v>
      </c>
      <c r="AD209" t="s">
        <v>91</v>
      </c>
      <c r="AE209" t="s">
        <v>91</v>
      </c>
      <c r="AF209" t="s">
        <v>91</v>
      </c>
      <c r="AG209" s="1" t="s">
        <v>146</v>
      </c>
      <c r="AH209" s="1" t="s">
        <v>91</v>
      </c>
      <c r="AI209" t="s">
        <v>91</v>
      </c>
      <c r="AM209" t="s">
        <v>91</v>
      </c>
      <c r="AN209" t="s">
        <v>91</v>
      </c>
      <c r="AO209" t="s">
        <v>91</v>
      </c>
      <c r="AP209" t="s">
        <v>91</v>
      </c>
      <c r="AQ209" s="1" t="s">
        <v>147</v>
      </c>
      <c r="AR209" s="1" t="s">
        <v>147</v>
      </c>
      <c r="AS209" s="1" t="s">
        <v>147</v>
      </c>
      <c r="AT209" s="1" t="s">
        <v>147</v>
      </c>
      <c r="AU209" s="1" t="s">
        <v>147</v>
      </c>
      <c r="AV209" t="s">
        <v>91</v>
      </c>
      <c r="AW209" t="s">
        <v>91</v>
      </c>
      <c r="AX209" t="s">
        <v>91</v>
      </c>
      <c r="AY209" t="s">
        <v>91</v>
      </c>
      <c r="AZ209" t="s">
        <v>91</v>
      </c>
      <c r="BA209" t="s">
        <v>91</v>
      </c>
      <c r="BB209" s="2">
        <v>44378.578518518516</v>
      </c>
      <c r="BC209" s="2">
        <v>44743.567824074074</v>
      </c>
      <c r="BD209" t="s">
        <v>91</v>
      </c>
      <c r="BF209" s="1" t="s">
        <v>75</v>
      </c>
      <c r="BH209">
        <v>0</v>
      </c>
      <c r="BI209" s="1" t="s">
        <v>88</v>
      </c>
      <c r="BJ209">
        <v>1</v>
      </c>
      <c r="BK209" s="1" t="s">
        <v>89</v>
      </c>
      <c r="BL209" t="s">
        <v>91</v>
      </c>
      <c r="BM209" s="1" t="s">
        <v>109</v>
      </c>
      <c r="BN209" s="1" t="s">
        <v>110</v>
      </c>
      <c r="BO209" s="1" t="s">
        <v>165</v>
      </c>
      <c r="BP209" s="1" t="s">
        <v>91</v>
      </c>
      <c r="BQ209" t="s">
        <v>91</v>
      </c>
      <c r="BR209" s="3">
        <v>44378</v>
      </c>
      <c r="BS209" s="3">
        <v>44743</v>
      </c>
      <c r="BT209" t="s">
        <v>91</v>
      </c>
      <c r="BU209" t="s">
        <v>91</v>
      </c>
      <c r="BW209" s="1" t="s">
        <v>728</v>
      </c>
    </row>
    <row r="210" spans="1:75" x14ac:dyDescent="0.35">
      <c r="A210">
        <v>156772</v>
      </c>
      <c r="B210" s="1" t="s">
        <v>75</v>
      </c>
      <c r="C210">
        <v>80</v>
      </c>
      <c r="D210">
        <v>11121001</v>
      </c>
      <c r="E210">
        <v>121001</v>
      </c>
      <c r="F210" s="1" t="s">
        <v>76</v>
      </c>
      <c r="G210" s="1" t="s">
        <v>1400</v>
      </c>
      <c r="H210">
        <v>0</v>
      </c>
      <c r="I210" s="1" t="s">
        <v>78</v>
      </c>
      <c r="J210" s="1" t="s">
        <v>1401</v>
      </c>
      <c r="K210" s="1" t="s">
        <v>1402</v>
      </c>
      <c r="L210" t="s">
        <v>91</v>
      </c>
      <c r="M210" t="s">
        <v>91</v>
      </c>
      <c r="N210" s="1" t="s">
        <v>1403</v>
      </c>
      <c r="O210" t="s">
        <v>91</v>
      </c>
      <c r="P210" s="1" t="s">
        <v>1074</v>
      </c>
      <c r="Q210" s="1" t="s">
        <v>1228</v>
      </c>
      <c r="R210" s="1" t="s">
        <v>1404</v>
      </c>
      <c r="S210">
        <v>1280</v>
      </c>
      <c r="T210">
        <v>89252000</v>
      </c>
      <c r="U210" s="1" t="s">
        <v>108</v>
      </c>
      <c r="V210" s="1" t="s">
        <v>302</v>
      </c>
      <c r="W210" s="1" t="s">
        <v>87</v>
      </c>
      <c r="X210">
        <v>47</v>
      </c>
      <c r="Y210">
        <v>33717571</v>
      </c>
      <c r="Z210" t="s">
        <v>91</v>
      </c>
      <c r="AA210" t="s">
        <v>91</v>
      </c>
      <c r="AB210" t="s">
        <v>91</v>
      </c>
      <c r="AC210" t="s">
        <v>91</v>
      </c>
      <c r="AD210" t="s">
        <v>91</v>
      </c>
      <c r="AE210" t="s">
        <v>91</v>
      </c>
      <c r="AF210" t="s">
        <v>91</v>
      </c>
      <c r="AG210" s="1" t="s">
        <v>91</v>
      </c>
      <c r="AH210" s="1" t="s">
        <v>91</v>
      </c>
      <c r="AI210" t="s">
        <v>91</v>
      </c>
      <c r="AM210" t="s">
        <v>91</v>
      </c>
      <c r="AN210" t="s">
        <v>91</v>
      </c>
      <c r="AO210" t="s">
        <v>91</v>
      </c>
      <c r="AP210" t="s">
        <v>91</v>
      </c>
      <c r="AQ210" s="1" t="s">
        <v>91</v>
      </c>
      <c r="AR210" s="1" t="s">
        <v>91</v>
      </c>
      <c r="AS210" s="1" t="s">
        <v>91</v>
      </c>
      <c r="AT210" s="1" t="s">
        <v>91</v>
      </c>
      <c r="AU210" s="1" t="s">
        <v>91</v>
      </c>
      <c r="AV210" t="s">
        <v>91</v>
      </c>
      <c r="AW210" t="s">
        <v>91</v>
      </c>
      <c r="AX210" t="s">
        <v>91</v>
      </c>
      <c r="AY210" t="s">
        <v>91</v>
      </c>
      <c r="AZ210" t="s">
        <v>91</v>
      </c>
      <c r="BA210" t="s">
        <v>91</v>
      </c>
      <c r="BB210" s="2">
        <v>45113.505416666667</v>
      </c>
      <c r="BC210" s="2"/>
      <c r="BD210" t="s">
        <v>91</v>
      </c>
      <c r="BF210" s="1" t="s">
        <v>75</v>
      </c>
      <c r="BI210" s="1" t="s">
        <v>88</v>
      </c>
      <c r="BJ210">
        <v>1</v>
      </c>
      <c r="BK210" s="1" t="s">
        <v>89</v>
      </c>
      <c r="BL210" t="s">
        <v>91</v>
      </c>
      <c r="BM210" s="1" t="s">
        <v>91</v>
      </c>
      <c r="BN210" s="1" t="s">
        <v>91</v>
      </c>
      <c r="BO210" s="1" t="s">
        <v>91</v>
      </c>
      <c r="BP210" s="1" t="s">
        <v>91</v>
      </c>
      <c r="BQ210" t="s">
        <v>91</v>
      </c>
      <c r="BR210" s="3">
        <v>45113</v>
      </c>
      <c r="BS210" s="3"/>
      <c r="BT210" t="s">
        <v>91</v>
      </c>
      <c r="BU210" t="s">
        <v>91</v>
      </c>
      <c r="BW210" s="1" t="s">
        <v>90</v>
      </c>
    </row>
    <row r="211" spans="1:75" x14ac:dyDescent="0.35">
      <c r="A211">
        <v>157556</v>
      </c>
      <c r="B211" s="1" t="s">
        <v>75</v>
      </c>
      <c r="C211">
        <v>80</v>
      </c>
      <c r="D211">
        <v>11121001</v>
      </c>
      <c r="E211">
        <v>121001</v>
      </c>
      <c r="F211" s="1" t="s">
        <v>76</v>
      </c>
      <c r="G211" s="1" t="s">
        <v>1405</v>
      </c>
      <c r="H211">
        <v>0</v>
      </c>
      <c r="I211" s="1" t="s">
        <v>78</v>
      </c>
      <c r="J211" s="1" t="s">
        <v>1406</v>
      </c>
      <c r="K211" s="1" t="s">
        <v>1407</v>
      </c>
      <c r="L211" t="s">
        <v>91</v>
      </c>
      <c r="M211" t="s">
        <v>91</v>
      </c>
      <c r="N211" s="1" t="s">
        <v>1408</v>
      </c>
      <c r="O211" t="s">
        <v>91</v>
      </c>
      <c r="P211" s="1" t="s">
        <v>1409</v>
      </c>
      <c r="Q211" s="1" t="s">
        <v>1410</v>
      </c>
      <c r="R211" s="1" t="s">
        <v>1411</v>
      </c>
      <c r="S211">
        <v>1288</v>
      </c>
      <c r="T211">
        <v>89820000</v>
      </c>
      <c r="U211" s="1" t="s">
        <v>108</v>
      </c>
      <c r="V211" s="1" t="s">
        <v>992</v>
      </c>
      <c r="W211" s="1" t="s">
        <v>87</v>
      </c>
      <c r="X211">
        <v>49</v>
      </c>
      <c r="Y211">
        <v>34335316</v>
      </c>
      <c r="Z211" t="s">
        <v>91</v>
      </c>
      <c r="AA211" t="s">
        <v>91</v>
      </c>
      <c r="AB211" t="s">
        <v>91</v>
      </c>
      <c r="AC211" t="s">
        <v>91</v>
      </c>
      <c r="AD211" t="s">
        <v>91</v>
      </c>
      <c r="AE211" t="s">
        <v>91</v>
      </c>
      <c r="AF211" t="s">
        <v>91</v>
      </c>
      <c r="AG211" s="1" t="s">
        <v>91</v>
      </c>
      <c r="AH211" s="1" t="s">
        <v>91</v>
      </c>
      <c r="AI211" t="s">
        <v>91</v>
      </c>
      <c r="AM211" t="s">
        <v>91</v>
      </c>
      <c r="AN211" t="s">
        <v>91</v>
      </c>
      <c r="AO211" t="s">
        <v>91</v>
      </c>
      <c r="AP211" t="s">
        <v>91</v>
      </c>
      <c r="AQ211" s="1" t="s">
        <v>91</v>
      </c>
      <c r="AR211" s="1" t="s">
        <v>91</v>
      </c>
      <c r="AS211" s="1" t="s">
        <v>91</v>
      </c>
      <c r="AT211" s="1" t="s">
        <v>91</v>
      </c>
      <c r="AU211" s="1" t="s">
        <v>91</v>
      </c>
      <c r="AV211" t="s">
        <v>91</v>
      </c>
      <c r="AW211" t="s">
        <v>91</v>
      </c>
      <c r="AX211" t="s">
        <v>91</v>
      </c>
      <c r="AY211" t="s">
        <v>91</v>
      </c>
      <c r="AZ211" t="s">
        <v>91</v>
      </c>
      <c r="BA211" t="s">
        <v>91</v>
      </c>
      <c r="BB211" s="2">
        <v>45118.093391203707</v>
      </c>
      <c r="BC211" s="2"/>
      <c r="BD211" t="s">
        <v>91</v>
      </c>
      <c r="BF211" s="1" t="s">
        <v>75</v>
      </c>
      <c r="BI211" s="1" t="s">
        <v>88</v>
      </c>
      <c r="BJ211">
        <v>1</v>
      </c>
      <c r="BK211" s="1" t="s">
        <v>89</v>
      </c>
      <c r="BL211" t="s">
        <v>91</v>
      </c>
      <c r="BM211" s="1" t="s">
        <v>91</v>
      </c>
      <c r="BN211" s="1" t="s">
        <v>91</v>
      </c>
      <c r="BO211" s="1" t="s">
        <v>91</v>
      </c>
      <c r="BP211" s="1" t="s">
        <v>91</v>
      </c>
      <c r="BQ211" t="s">
        <v>91</v>
      </c>
      <c r="BR211" s="3">
        <v>45118</v>
      </c>
      <c r="BS211" s="3"/>
      <c r="BT211" t="s">
        <v>91</v>
      </c>
      <c r="BU211" t="s">
        <v>91</v>
      </c>
      <c r="BW211" s="1" t="s">
        <v>90</v>
      </c>
    </row>
    <row r="212" spans="1:75" x14ac:dyDescent="0.35">
      <c r="A212">
        <v>144450</v>
      </c>
      <c r="B212" s="1" t="s">
        <v>75</v>
      </c>
      <c r="C212">
        <v>80</v>
      </c>
      <c r="D212">
        <v>11121001</v>
      </c>
      <c r="E212">
        <v>121001</v>
      </c>
      <c r="F212" s="1" t="s">
        <v>76</v>
      </c>
      <c r="G212" s="1" t="s">
        <v>1412</v>
      </c>
      <c r="I212" s="1" t="s">
        <v>78</v>
      </c>
      <c r="J212" s="1" t="s">
        <v>1413</v>
      </c>
      <c r="K212" s="1" t="s">
        <v>1414</v>
      </c>
      <c r="L212" t="s">
        <v>91</v>
      </c>
      <c r="M212" t="s">
        <v>91</v>
      </c>
      <c r="N212" s="1" t="s">
        <v>1415</v>
      </c>
      <c r="O212" t="s">
        <v>91</v>
      </c>
      <c r="P212" s="1" t="s">
        <v>1416</v>
      </c>
      <c r="Q212" s="1" t="s">
        <v>1417</v>
      </c>
      <c r="R212" s="1" t="s">
        <v>91</v>
      </c>
      <c r="S212">
        <v>1281</v>
      </c>
      <c r="T212">
        <v>89300000</v>
      </c>
      <c r="U212" s="1" t="s">
        <v>108</v>
      </c>
      <c r="V212" s="1" t="s">
        <v>314</v>
      </c>
      <c r="W212" s="1" t="s">
        <v>87</v>
      </c>
      <c r="X212">
        <v>47</v>
      </c>
      <c r="Y212">
        <v>36427481</v>
      </c>
      <c r="Z212" t="s">
        <v>91</v>
      </c>
      <c r="AA212" t="s">
        <v>91</v>
      </c>
      <c r="AB212" t="s">
        <v>91</v>
      </c>
      <c r="AC212" t="s">
        <v>91</v>
      </c>
      <c r="AD212" t="s">
        <v>91</v>
      </c>
      <c r="AE212" t="s">
        <v>91</v>
      </c>
      <c r="AF212" t="s">
        <v>91</v>
      </c>
      <c r="AG212" s="1" t="s">
        <v>91</v>
      </c>
      <c r="AH212" s="1" t="s">
        <v>91</v>
      </c>
      <c r="AI212" t="s">
        <v>91</v>
      </c>
      <c r="AJ212">
        <v>0</v>
      </c>
      <c r="AK212">
        <v>0</v>
      </c>
      <c r="AL212">
        <v>0</v>
      </c>
      <c r="AM212" t="s">
        <v>91</v>
      </c>
      <c r="AN212" t="s">
        <v>91</v>
      </c>
      <c r="AO212" t="s">
        <v>91</v>
      </c>
      <c r="AP212" t="s">
        <v>91</v>
      </c>
      <c r="AQ212" s="1" t="s">
        <v>91</v>
      </c>
      <c r="AR212" s="1" t="s">
        <v>91</v>
      </c>
      <c r="AS212" s="1" t="s">
        <v>91</v>
      </c>
      <c r="AT212" s="1" t="s">
        <v>91</v>
      </c>
      <c r="AU212" s="1" t="s">
        <v>91</v>
      </c>
      <c r="AV212" t="s">
        <v>91</v>
      </c>
      <c r="AW212" t="s">
        <v>91</v>
      </c>
      <c r="AX212" t="s">
        <v>91</v>
      </c>
      <c r="AY212" t="s">
        <v>91</v>
      </c>
      <c r="AZ212" t="s">
        <v>91</v>
      </c>
      <c r="BA212" t="s">
        <v>91</v>
      </c>
      <c r="BB212" s="2"/>
      <c r="BC212" s="2"/>
      <c r="BD212" t="s">
        <v>91</v>
      </c>
      <c r="BF212" s="1" t="s">
        <v>75</v>
      </c>
      <c r="BG212">
        <v>0</v>
      </c>
      <c r="BH212">
        <v>0</v>
      </c>
      <c r="BI212" s="1" t="s">
        <v>88</v>
      </c>
      <c r="BJ212">
        <v>1</v>
      </c>
      <c r="BK212" s="1" t="s">
        <v>89</v>
      </c>
      <c r="BL212" t="s">
        <v>91</v>
      </c>
      <c r="BM212" s="1" t="s">
        <v>164</v>
      </c>
      <c r="BN212" s="1" t="s">
        <v>110</v>
      </c>
      <c r="BO212" s="1" t="s">
        <v>165</v>
      </c>
      <c r="BP212" s="1" t="s">
        <v>91</v>
      </c>
      <c r="BQ212" t="s">
        <v>91</v>
      </c>
      <c r="BR212" s="3"/>
      <c r="BS212" s="3"/>
      <c r="BT212" t="s">
        <v>91</v>
      </c>
      <c r="BU212" t="s">
        <v>91</v>
      </c>
      <c r="BV212">
        <v>1</v>
      </c>
      <c r="BW212" s="1" t="s">
        <v>255</v>
      </c>
    </row>
    <row r="213" spans="1:75" x14ac:dyDescent="0.35">
      <c r="A213">
        <v>138118</v>
      </c>
      <c r="B213" s="1" t="s">
        <v>75</v>
      </c>
      <c r="C213">
        <v>80</v>
      </c>
      <c r="D213">
        <v>11121001</v>
      </c>
      <c r="E213">
        <v>121001</v>
      </c>
      <c r="F213" s="1" t="s">
        <v>76</v>
      </c>
      <c r="G213" s="1" t="s">
        <v>1418</v>
      </c>
      <c r="H213">
        <v>0</v>
      </c>
      <c r="I213" s="1" t="s">
        <v>78</v>
      </c>
      <c r="J213" s="1" t="s">
        <v>1419</v>
      </c>
      <c r="K213" s="1" t="s">
        <v>1420</v>
      </c>
      <c r="L213" t="s">
        <v>91</v>
      </c>
      <c r="M213" t="s">
        <v>91</v>
      </c>
      <c r="N213" s="1" t="s">
        <v>1421</v>
      </c>
      <c r="O213" t="s">
        <v>91</v>
      </c>
      <c r="P213" s="1" t="s">
        <v>403</v>
      </c>
      <c r="Q213" s="1" t="s">
        <v>847</v>
      </c>
      <c r="R213" s="1" t="s">
        <v>91</v>
      </c>
      <c r="S213">
        <v>1287</v>
      </c>
      <c r="T213">
        <v>89801000</v>
      </c>
      <c r="U213" s="1" t="s">
        <v>108</v>
      </c>
      <c r="V213" s="1" t="s">
        <v>337</v>
      </c>
      <c r="W213" s="1" t="s">
        <v>87</v>
      </c>
      <c r="X213">
        <v>49</v>
      </c>
      <c r="Y213">
        <v>33223024</v>
      </c>
      <c r="Z213" t="s">
        <v>91</v>
      </c>
      <c r="AA213" t="s">
        <v>91</v>
      </c>
      <c r="AB213" t="s">
        <v>91</v>
      </c>
      <c r="AC213" t="s">
        <v>91</v>
      </c>
      <c r="AD213" t="s">
        <v>91</v>
      </c>
      <c r="AE213" t="s">
        <v>91</v>
      </c>
      <c r="AF213" t="s">
        <v>91</v>
      </c>
      <c r="AG213" s="1" t="s">
        <v>146</v>
      </c>
      <c r="AH213" s="1" t="s">
        <v>91</v>
      </c>
      <c r="AI213" t="s">
        <v>91</v>
      </c>
      <c r="AM213" t="s">
        <v>91</v>
      </c>
      <c r="AN213" t="s">
        <v>91</v>
      </c>
      <c r="AO213" t="s">
        <v>91</v>
      </c>
      <c r="AP213" t="s">
        <v>91</v>
      </c>
      <c r="AQ213" s="1" t="s">
        <v>147</v>
      </c>
      <c r="AR213" s="1" t="s">
        <v>147</v>
      </c>
      <c r="AS213" s="1" t="s">
        <v>147</v>
      </c>
      <c r="AT213" s="1" t="s">
        <v>147</v>
      </c>
      <c r="AU213" s="1" t="s">
        <v>147</v>
      </c>
      <c r="AV213" t="s">
        <v>91</v>
      </c>
      <c r="AW213" t="s">
        <v>91</v>
      </c>
      <c r="AX213" t="s">
        <v>91</v>
      </c>
      <c r="AY213" t="s">
        <v>91</v>
      </c>
      <c r="AZ213" t="s">
        <v>91</v>
      </c>
      <c r="BA213" t="s">
        <v>91</v>
      </c>
      <c r="BB213" s="2">
        <v>44378.578518518516</v>
      </c>
      <c r="BC213" s="2">
        <v>44511.565000000002</v>
      </c>
      <c r="BD213" t="s">
        <v>91</v>
      </c>
      <c r="BF213" s="1" t="s">
        <v>75</v>
      </c>
      <c r="BH213">
        <v>0</v>
      </c>
      <c r="BI213" s="1" t="s">
        <v>88</v>
      </c>
      <c r="BJ213">
        <v>1</v>
      </c>
      <c r="BK213" s="1" t="s">
        <v>89</v>
      </c>
      <c r="BL213" t="s">
        <v>91</v>
      </c>
      <c r="BM213" s="1" t="s">
        <v>109</v>
      </c>
      <c r="BN213" s="1" t="s">
        <v>110</v>
      </c>
      <c r="BO213" s="1" t="s">
        <v>111</v>
      </c>
      <c r="BP213" s="1" t="s">
        <v>91</v>
      </c>
      <c r="BQ213" t="s">
        <v>91</v>
      </c>
      <c r="BR213" s="3">
        <v>44378</v>
      </c>
      <c r="BS213" s="3">
        <v>44511</v>
      </c>
      <c r="BT213" t="s">
        <v>91</v>
      </c>
      <c r="BU213" t="s">
        <v>91</v>
      </c>
      <c r="BW213" s="1" t="s">
        <v>90</v>
      </c>
    </row>
    <row r="214" spans="1:75" x14ac:dyDescent="0.35">
      <c r="A214">
        <v>120522</v>
      </c>
      <c r="B214" s="1" t="s">
        <v>75</v>
      </c>
      <c r="C214">
        <v>80</v>
      </c>
      <c r="D214">
        <v>11121001</v>
      </c>
      <c r="E214">
        <v>121001</v>
      </c>
      <c r="F214" s="1" t="s">
        <v>76</v>
      </c>
      <c r="G214" s="1" t="s">
        <v>1422</v>
      </c>
      <c r="H214">
        <v>0</v>
      </c>
      <c r="I214" s="1" t="s">
        <v>78</v>
      </c>
      <c r="J214" s="1" t="s">
        <v>1423</v>
      </c>
      <c r="K214" s="1" t="s">
        <v>1424</v>
      </c>
      <c r="L214" t="s">
        <v>91</v>
      </c>
      <c r="M214" t="s">
        <v>91</v>
      </c>
      <c r="N214" s="1" t="s">
        <v>1425</v>
      </c>
      <c r="O214" t="s">
        <v>91</v>
      </c>
      <c r="P214" s="1" t="s">
        <v>611</v>
      </c>
      <c r="Q214" s="1" t="s">
        <v>1426</v>
      </c>
      <c r="R214" s="1" t="s">
        <v>91</v>
      </c>
      <c r="S214">
        <v>1279</v>
      </c>
      <c r="T214">
        <v>89237000</v>
      </c>
      <c r="U214" s="1" t="s">
        <v>688</v>
      </c>
      <c r="V214" s="1" t="s">
        <v>100</v>
      </c>
      <c r="W214" s="1" t="s">
        <v>87</v>
      </c>
      <c r="X214">
        <v>47</v>
      </c>
      <c r="Y214">
        <v>34392267</v>
      </c>
      <c r="Z214" t="s">
        <v>91</v>
      </c>
      <c r="AA214" t="s">
        <v>91</v>
      </c>
      <c r="AB214" t="s">
        <v>91</v>
      </c>
      <c r="AC214" t="s">
        <v>91</v>
      </c>
      <c r="AD214" t="s">
        <v>91</v>
      </c>
      <c r="AE214" t="s">
        <v>91</v>
      </c>
      <c r="AF214" t="s">
        <v>91</v>
      </c>
      <c r="AG214" s="1" t="s">
        <v>91</v>
      </c>
      <c r="AH214" s="1" t="s">
        <v>91</v>
      </c>
      <c r="AI214" t="s">
        <v>91</v>
      </c>
      <c r="AM214" t="s">
        <v>91</v>
      </c>
      <c r="AN214" t="s">
        <v>91</v>
      </c>
      <c r="AO214" t="s">
        <v>91</v>
      </c>
      <c r="AP214" t="s">
        <v>91</v>
      </c>
      <c r="AQ214" s="1" t="s">
        <v>91</v>
      </c>
      <c r="AR214" s="1" t="s">
        <v>91</v>
      </c>
      <c r="AS214" s="1" t="s">
        <v>91</v>
      </c>
      <c r="AT214" s="1" t="s">
        <v>91</v>
      </c>
      <c r="AU214" s="1" t="s">
        <v>91</v>
      </c>
      <c r="AV214" t="s">
        <v>91</v>
      </c>
      <c r="AW214" t="s">
        <v>91</v>
      </c>
      <c r="AX214" t="s">
        <v>91</v>
      </c>
      <c r="AY214" t="s">
        <v>91</v>
      </c>
      <c r="AZ214" t="s">
        <v>91</v>
      </c>
      <c r="BA214" t="s">
        <v>91</v>
      </c>
      <c r="BB214" s="2">
        <v>44096.645520833335</v>
      </c>
      <c r="BC214" s="2"/>
      <c r="BD214" t="s">
        <v>91</v>
      </c>
      <c r="BF214" s="1" t="s">
        <v>75</v>
      </c>
      <c r="BI214" s="1" t="s">
        <v>88</v>
      </c>
      <c r="BJ214">
        <v>1</v>
      </c>
      <c r="BK214" s="1" t="s">
        <v>89</v>
      </c>
      <c r="BL214" t="s">
        <v>91</v>
      </c>
      <c r="BM214" s="1" t="s">
        <v>109</v>
      </c>
      <c r="BN214" s="1" t="s">
        <v>110</v>
      </c>
      <c r="BO214" s="1" t="s">
        <v>180</v>
      </c>
      <c r="BP214" s="1" t="s">
        <v>91</v>
      </c>
      <c r="BQ214" t="s">
        <v>91</v>
      </c>
      <c r="BR214" s="3">
        <v>44096</v>
      </c>
      <c r="BS214" s="3"/>
      <c r="BT214" t="s">
        <v>91</v>
      </c>
      <c r="BU214" t="s">
        <v>91</v>
      </c>
      <c r="BV214">
        <v>9</v>
      </c>
      <c r="BW214" s="1" t="s">
        <v>90</v>
      </c>
    </row>
    <row r="215" spans="1:75" x14ac:dyDescent="0.35">
      <c r="A215">
        <v>144813</v>
      </c>
      <c r="B215" s="1" t="s">
        <v>75</v>
      </c>
      <c r="C215">
        <v>80</v>
      </c>
      <c r="D215">
        <v>11121001</v>
      </c>
      <c r="E215">
        <v>121001</v>
      </c>
      <c r="F215" s="1" t="s">
        <v>76</v>
      </c>
      <c r="G215" s="1" t="s">
        <v>1427</v>
      </c>
      <c r="I215" s="1" t="s">
        <v>78</v>
      </c>
      <c r="J215" s="1" t="s">
        <v>1428</v>
      </c>
      <c r="K215" s="1" t="s">
        <v>1429</v>
      </c>
      <c r="L215" t="s">
        <v>91</v>
      </c>
      <c r="M215" t="s">
        <v>91</v>
      </c>
      <c r="N215" s="1" t="s">
        <v>1430</v>
      </c>
      <c r="O215" t="s">
        <v>91</v>
      </c>
      <c r="P215" s="1" t="s">
        <v>1266</v>
      </c>
      <c r="Q215" s="1" t="s">
        <v>1431</v>
      </c>
      <c r="R215" s="1" t="s">
        <v>173</v>
      </c>
      <c r="S215">
        <v>1280</v>
      </c>
      <c r="T215">
        <v>89251701</v>
      </c>
      <c r="U215" s="1" t="s">
        <v>108</v>
      </c>
      <c r="V215" s="1" t="s">
        <v>1076</v>
      </c>
      <c r="W215" s="1" t="s">
        <v>87</v>
      </c>
      <c r="X215">
        <v>47</v>
      </c>
      <c r="Y215">
        <v>32795870</v>
      </c>
      <c r="Z215" t="s">
        <v>91</v>
      </c>
      <c r="AA215" t="s">
        <v>91</v>
      </c>
      <c r="AB215" t="s">
        <v>91</v>
      </c>
      <c r="AC215" t="s">
        <v>91</v>
      </c>
      <c r="AD215" t="s">
        <v>91</v>
      </c>
      <c r="AE215" t="s">
        <v>91</v>
      </c>
      <c r="AF215" t="s">
        <v>91</v>
      </c>
      <c r="AG215" s="1" t="s">
        <v>146</v>
      </c>
      <c r="AH215" s="1" t="s">
        <v>91</v>
      </c>
      <c r="AI215" t="s">
        <v>91</v>
      </c>
      <c r="AJ215">
        <v>0</v>
      </c>
      <c r="AK215">
        <v>0</v>
      </c>
      <c r="AL215">
        <v>0</v>
      </c>
      <c r="AM215" t="s">
        <v>91</v>
      </c>
      <c r="AN215" t="s">
        <v>91</v>
      </c>
      <c r="AO215" t="s">
        <v>91</v>
      </c>
      <c r="AP215" t="s">
        <v>91</v>
      </c>
      <c r="AQ215" s="1" t="s">
        <v>147</v>
      </c>
      <c r="AR215" s="1" t="s">
        <v>147</v>
      </c>
      <c r="AS215" s="1" t="s">
        <v>147</v>
      </c>
      <c r="AT215" s="1" t="s">
        <v>147</v>
      </c>
      <c r="AU215" s="1" t="s">
        <v>147</v>
      </c>
      <c r="AV215" t="s">
        <v>91</v>
      </c>
      <c r="AW215" t="s">
        <v>91</v>
      </c>
      <c r="AX215" t="s">
        <v>91</v>
      </c>
      <c r="AY215" t="s">
        <v>91</v>
      </c>
      <c r="AZ215" t="s">
        <v>91</v>
      </c>
      <c r="BA215" t="s">
        <v>91</v>
      </c>
      <c r="BB215" s="2"/>
      <c r="BC215" s="2">
        <v>44559.674525462964</v>
      </c>
      <c r="BD215" t="s">
        <v>91</v>
      </c>
      <c r="BF215" s="1" t="s">
        <v>75</v>
      </c>
      <c r="BG215">
        <v>0</v>
      </c>
      <c r="BH215">
        <v>0</v>
      </c>
      <c r="BI215" s="1" t="s">
        <v>88</v>
      </c>
      <c r="BJ215">
        <v>1</v>
      </c>
      <c r="BK215" s="1" t="s">
        <v>89</v>
      </c>
      <c r="BL215" t="s">
        <v>91</v>
      </c>
      <c r="BM215" s="1" t="s">
        <v>109</v>
      </c>
      <c r="BN215" s="1" t="s">
        <v>110</v>
      </c>
      <c r="BO215" s="1" t="s">
        <v>111</v>
      </c>
      <c r="BP215" s="1" t="s">
        <v>91</v>
      </c>
      <c r="BQ215" t="s">
        <v>91</v>
      </c>
      <c r="BR215" s="3"/>
      <c r="BS215" s="3">
        <v>44559</v>
      </c>
      <c r="BT215" t="s">
        <v>91</v>
      </c>
      <c r="BU215" t="s">
        <v>91</v>
      </c>
      <c r="BW215" s="1" t="s">
        <v>601</v>
      </c>
    </row>
    <row r="216" spans="1:75" x14ac:dyDescent="0.35">
      <c r="A216">
        <v>138121</v>
      </c>
      <c r="B216" s="1" t="s">
        <v>75</v>
      </c>
      <c r="C216">
        <v>80</v>
      </c>
      <c r="D216">
        <v>11121001</v>
      </c>
      <c r="E216">
        <v>121001</v>
      </c>
      <c r="F216" s="1" t="s">
        <v>76</v>
      </c>
      <c r="G216" s="1" t="s">
        <v>1432</v>
      </c>
      <c r="H216">
        <v>0</v>
      </c>
      <c r="I216" s="1" t="s">
        <v>78</v>
      </c>
      <c r="J216" s="1" t="s">
        <v>1433</v>
      </c>
      <c r="K216" s="1" t="s">
        <v>1434</v>
      </c>
      <c r="L216" t="s">
        <v>91</v>
      </c>
      <c r="M216" t="s">
        <v>91</v>
      </c>
      <c r="N216" s="1" t="s">
        <v>1435</v>
      </c>
      <c r="O216" t="s">
        <v>91</v>
      </c>
      <c r="P216" s="1" t="s">
        <v>448</v>
      </c>
      <c r="Q216" s="1" t="s">
        <v>1436</v>
      </c>
      <c r="R216" s="1" t="s">
        <v>173</v>
      </c>
      <c r="S216">
        <v>1284</v>
      </c>
      <c r="T216">
        <v>89500148</v>
      </c>
      <c r="U216" s="1" t="s">
        <v>108</v>
      </c>
      <c r="V216" s="1" t="s">
        <v>450</v>
      </c>
      <c r="W216" s="1" t="s">
        <v>87</v>
      </c>
      <c r="X216">
        <v>49</v>
      </c>
      <c r="Y216">
        <v>99994516</v>
      </c>
      <c r="Z216" t="s">
        <v>91</v>
      </c>
      <c r="AA216" t="s">
        <v>91</v>
      </c>
      <c r="AB216" t="s">
        <v>91</v>
      </c>
      <c r="AC216" t="s">
        <v>91</v>
      </c>
      <c r="AD216" t="s">
        <v>91</v>
      </c>
      <c r="AE216" t="s">
        <v>91</v>
      </c>
      <c r="AF216" t="s">
        <v>91</v>
      </c>
      <c r="AG216" s="1" t="s">
        <v>146</v>
      </c>
      <c r="AH216" s="1" t="s">
        <v>91</v>
      </c>
      <c r="AI216" t="s">
        <v>91</v>
      </c>
      <c r="AM216" t="s">
        <v>91</v>
      </c>
      <c r="AN216" t="s">
        <v>91</v>
      </c>
      <c r="AO216" t="s">
        <v>91</v>
      </c>
      <c r="AP216" t="s">
        <v>91</v>
      </c>
      <c r="AQ216" s="1" t="s">
        <v>147</v>
      </c>
      <c r="AR216" s="1" t="s">
        <v>147</v>
      </c>
      <c r="AS216" s="1" t="s">
        <v>147</v>
      </c>
      <c r="AT216" s="1" t="s">
        <v>147</v>
      </c>
      <c r="AU216" s="1" t="s">
        <v>147</v>
      </c>
      <c r="AV216" t="s">
        <v>91</v>
      </c>
      <c r="AW216" t="s">
        <v>91</v>
      </c>
      <c r="AX216" t="s">
        <v>91</v>
      </c>
      <c r="AY216" t="s">
        <v>91</v>
      </c>
      <c r="AZ216" t="s">
        <v>91</v>
      </c>
      <c r="BA216" t="s">
        <v>91</v>
      </c>
      <c r="BB216" s="2">
        <v>44378.578518518516</v>
      </c>
      <c r="BC216" s="2">
        <v>44642.461215277777</v>
      </c>
      <c r="BD216" t="s">
        <v>91</v>
      </c>
      <c r="BF216" s="1" t="s">
        <v>75</v>
      </c>
      <c r="BH216">
        <v>0</v>
      </c>
      <c r="BI216" s="1" t="s">
        <v>88</v>
      </c>
      <c r="BJ216">
        <v>1</v>
      </c>
      <c r="BK216" s="1" t="s">
        <v>89</v>
      </c>
      <c r="BL216" t="s">
        <v>91</v>
      </c>
      <c r="BM216" s="1" t="s">
        <v>109</v>
      </c>
      <c r="BN216" s="1" t="s">
        <v>110</v>
      </c>
      <c r="BO216" s="1" t="s">
        <v>128</v>
      </c>
      <c r="BP216" s="1" t="s">
        <v>91</v>
      </c>
      <c r="BQ216" t="s">
        <v>91</v>
      </c>
      <c r="BR216" s="3">
        <v>44378</v>
      </c>
      <c r="BS216" s="3">
        <v>44642</v>
      </c>
      <c r="BT216" t="s">
        <v>91</v>
      </c>
      <c r="BU216" t="s">
        <v>91</v>
      </c>
      <c r="BW216" s="1" t="s">
        <v>1437</v>
      </c>
    </row>
    <row r="217" spans="1:75" x14ac:dyDescent="0.35">
      <c r="A217">
        <v>120403</v>
      </c>
      <c r="B217" s="1" t="s">
        <v>75</v>
      </c>
      <c r="C217">
        <v>80</v>
      </c>
      <c r="D217">
        <v>11121001</v>
      </c>
      <c r="E217">
        <v>121001</v>
      </c>
      <c r="F217" s="1" t="s">
        <v>76</v>
      </c>
      <c r="G217" s="1" t="s">
        <v>1438</v>
      </c>
      <c r="H217">
        <v>0</v>
      </c>
      <c r="I217" s="1" t="s">
        <v>78</v>
      </c>
      <c r="J217" s="1" t="s">
        <v>1439</v>
      </c>
      <c r="K217" s="1" t="s">
        <v>1440</v>
      </c>
      <c r="L217" t="s">
        <v>91</v>
      </c>
      <c r="M217" t="s">
        <v>91</v>
      </c>
      <c r="N217" s="1" t="s">
        <v>1441</v>
      </c>
      <c r="O217" t="s">
        <v>91</v>
      </c>
      <c r="P217" s="1" t="s">
        <v>1137</v>
      </c>
      <c r="Q217" s="1" t="s">
        <v>1442</v>
      </c>
      <c r="R217" s="1" t="s">
        <v>146</v>
      </c>
      <c r="S217">
        <v>1287</v>
      </c>
      <c r="T217">
        <v>89807150</v>
      </c>
      <c r="U217" s="1" t="s">
        <v>108</v>
      </c>
      <c r="V217" s="1" t="s">
        <v>86</v>
      </c>
      <c r="W217" s="1" t="s">
        <v>87</v>
      </c>
      <c r="X217">
        <v>49</v>
      </c>
      <c r="Y217">
        <v>33295720</v>
      </c>
      <c r="Z217" t="s">
        <v>91</v>
      </c>
      <c r="AA217" t="s">
        <v>91</v>
      </c>
      <c r="AB217" t="s">
        <v>91</v>
      </c>
      <c r="AC217" t="s">
        <v>91</v>
      </c>
      <c r="AD217" t="s">
        <v>91</v>
      </c>
      <c r="AE217" t="s">
        <v>91</v>
      </c>
      <c r="AF217" t="s">
        <v>91</v>
      </c>
      <c r="AG217" s="1" t="s">
        <v>91</v>
      </c>
      <c r="AH217" s="1" t="s">
        <v>91</v>
      </c>
      <c r="AI217" t="s">
        <v>91</v>
      </c>
      <c r="AJ217">
        <v>0</v>
      </c>
      <c r="AK217">
        <v>0</v>
      </c>
      <c r="AL217">
        <v>0</v>
      </c>
      <c r="AM217" t="s">
        <v>91</v>
      </c>
      <c r="AN217" t="s">
        <v>91</v>
      </c>
      <c r="AO217" t="s">
        <v>91</v>
      </c>
      <c r="AP217" t="s">
        <v>91</v>
      </c>
      <c r="AQ217" s="1" t="s">
        <v>91</v>
      </c>
      <c r="AR217" s="1" t="s">
        <v>91</v>
      </c>
      <c r="AS217" s="1" t="s">
        <v>91</v>
      </c>
      <c r="AT217" s="1" t="s">
        <v>91</v>
      </c>
      <c r="AU217" s="1" t="s">
        <v>91</v>
      </c>
      <c r="AV217" t="s">
        <v>91</v>
      </c>
      <c r="AW217" t="s">
        <v>91</v>
      </c>
      <c r="AX217" t="s">
        <v>91</v>
      </c>
      <c r="AY217" t="s">
        <v>91</v>
      </c>
      <c r="AZ217" t="s">
        <v>91</v>
      </c>
      <c r="BA217" t="s">
        <v>91</v>
      </c>
      <c r="BB217" s="2">
        <v>44092.925393518519</v>
      </c>
      <c r="BC217" s="2"/>
      <c r="BD217" t="s">
        <v>91</v>
      </c>
      <c r="BF217" s="1" t="s">
        <v>75</v>
      </c>
      <c r="BG217">
        <v>0</v>
      </c>
      <c r="BH217">
        <v>0</v>
      </c>
      <c r="BI217" s="1" t="s">
        <v>88</v>
      </c>
      <c r="BJ217">
        <v>1</v>
      </c>
      <c r="BK217" s="1" t="s">
        <v>89</v>
      </c>
      <c r="BL217" t="s">
        <v>91</v>
      </c>
      <c r="BM217" s="1" t="s">
        <v>109</v>
      </c>
      <c r="BN217" s="1" t="s">
        <v>110</v>
      </c>
      <c r="BO217" s="1" t="s">
        <v>180</v>
      </c>
      <c r="BP217" s="1" t="s">
        <v>91</v>
      </c>
      <c r="BQ217" t="s">
        <v>91</v>
      </c>
      <c r="BR217" s="3">
        <v>44092</v>
      </c>
      <c r="BS217" s="3"/>
      <c r="BT217" t="s">
        <v>91</v>
      </c>
      <c r="BU217" t="s">
        <v>91</v>
      </c>
      <c r="BV217">
        <v>9</v>
      </c>
      <c r="BW217" s="1" t="s">
        <v>90</v>
      </c>
    </row>
    <row r="218" spans="1:75" x14ac:dyDescent="0.35">
      <c r="A218">
        <v>158728</v>
      </c>
      <c r="B218" s="1" t="s">
        <v>75</v>
      </c>
      <c r="C218">
        <v>80</v>
      </c>
      <c r="D218">
        <v>11121001</v>
      </c>
      <c r="E218">
        <v>121001</v>
      </c>
      <c r="F218" s="1" t="s">
        <v>76</v>
      </c>
      <c r="G218" s="1" t="s">
        <v>1443</v>
      </c>
      <c r="I218" s="1" t="s">
        <v>78</v>
      </c>
      <c r="J218" s="1" t="s">
        <v>1444</v>
      </c>
      <c r="K218" s="1" t="s">
        <v>1445</v>
      </c>
      <c r="L218" t="s">
        <v>91</v>
      </c>
      <c r="M218" t="s">
        <v>91</v>
      </c>
      <c r="N218" s="1" t="s">
        <v>1446</v>
      </c>
      <c r="O218" t="s">
        <v>91</v>
      </c>
      <c r="P218" s="1" t="s">
        <v>1447</v>
      </c>
      <c r="Q218" s="1" t="s">
        <v>1305</v>
      </c>
      <c r="R218" s="1" t="s">
        <v>370</v>
      </c>
      <c r="T218">
        <v>99010080</v>
      </c>
      <c r="U218" s="1" t="s">
        <v>108</v>
      </c>
      <c r="V218" s="1" t="s">
        <v>371</v>
      </c>
      <c r="W218" s="1" t="s">
        <v>157</v>
      </c>
      <c r="X218">
        <v>54</v>
      </c>
      <c r="Y218">
        <v>36225011</v>
      </c>
      <c r="Z218" t="s">
        <v>91</v>
      </c>
      <c r="AA218" t="s">
        <v>91</v>
      </c>
      <c r="AB218" t="s">
        <v>91</v>
      </c>
      <c r="AC218" t="s">
        <v>91</v>
      </c>
      <c r="AD218" t="s">
        <v>91</v>
      </c>
      <c r="AE218" t="s">
        <v>91</v>
      </c>
      <c r="AF218" t="s">
        <v>91</v>
      </c>
      <c r="AG218" s="1" t="s">
        <v>91</v>
      </c>
      <c r="AH218" s="1" t="s">
        <v>91</v>
      </c>
      <c r="AI218" t="s">
        <v>91</v>
      </c>
      <c r="AM218" t="s">
        <v>91</v>
      </c>
      <c r="AN218" t="s">
        <v>91</v>
      </c>
      <c r="AO218" t="s">
        <v>91</v>
      </c>
      <c r="AP218" t="s">
        <v>91</v>
      </c>
      <c r="AQ218" s="1" t="s">
        <v>91</v>
      </c>
      <c r="AR218" s="1" t="s">
        <v>91</v>
      </c>
      <c r="AS218" s="1" t="s">
        <v>91</v>
      </c>
      <c r="AT218" s="1" t="s">
        <v>91</v>
      </c>
      <c r="AU218" s="1" t="s">
        <v>91</v>
      </c>
      <c r="AV218" t="s">
        <v>91</v>
      </c>
      <c r="AW218" t="s">
        <v>91</v>
      </c>
      <c r="AX218" t="s">
        <v>91</v>
      </c>
      <c r="AY218" t="s">
        <v>91</v>
      </c>
      <c r="AZ218" t="s">
        <v>91</v>
      </c>
      <c r="BA218" t="s">
        <v>91</v>
      </c>
      <c r="BB218" s="2">
        <v>45155.700069444443</v>
      </c>
      <c r="BC218" s="2"/>
      <c r="BD218" t="s">
        <v>91</v>
      </c>
      <c r="BF218" s="1" t="s">
        <v>75</v>
      </c>
      <c r="BI218" s="1" t="s">
        <v>88</v>
      </c>
      <c r="BJ218">
        <v>1</v>
      </c>
      <c r="BK218" s="1" t="s">
        <v>89</v>
      </c>
      <c r="BL218" t="s">
        <v>91</v>
      </c>
      <c r="BM218" s="1" t="s">
        <v>91</v>
      </c>
      <c r="BN218" s="1" t="s">
        <v>91</v>
      </c>
      <c r="BO218" s="1" t="s">
        <v>91</v>
      </c>
      <c r="BP218" s="1" t="s">
        <v>91</v>
      </c>
      <c r="BQ218" t="s">
        <v>91</v>
      </c>
      <c r="BR218" s="3">
        <v>45155</v>
      </c>
      <c r="BS218" s="3"/>
      <c r="BT218" t="s">
        <v>91</v>
      </c>
      <c r="BU218" t="s">
        <v>91</v>
      </c>
      <c r="BW218" s="1" t="s">
        <v>419</v>
      </c>
    </row>
    <row r="219" spans="1:75" x14ac:dyDescent="0.35">
      <c r="A219">
        <v>157500</v>
      </c>
      <c r="B219" s="1" t="s">
        <v>75</v>
      </c>
      <c r="C219">
        <v>80</v>
      </c>
      <c r="D219">
        <v>11121001</v>
      </c>
      <c r="E219">
        <v>121001</v>
      </c>
      <c r="F219" s="1" t="s">
        <v>76</v>
      </c>
      <c r="G219" s="1" t="s">
        <v>1448</v>
      </c>
      <c r="H219">
        <v>0</v>
      </c>
      <c r="I219" s="1" t="s">
        <v>78</v>
      </c>
      <c r="J219" s="1" t="s">
        <v>1449</v>
      </c>
      <c r="K219" s="1" t="s">
        <v>1450</v>
      </c>
      <c r="L219" t="s">
        <v>91</v>
      </c>
      <c r="M219" t="s">
        <v>91</v>
      </c>
      <c r="N219" s="1" t="s">
        <v>1451</v>
      </c>
      <c r="O219" t="s">
        <v>91</v>
      </c>
      <c r="P219" s="1" t="s">
        <v>682</v>
      </c>
      <c r="Q219" s="1" t="s">
        <v>1452</v>
      </c>
      <c r="R219" s="1" t="s">
        <v>327</v>
      </c>
      <c r="S219">
        <v>1285</v>
      </c>
      <c r="T219">
        <v>89600000</v>
      </c>
      <c r="U219" s="1" t="s">
        <v>108</v>
      </c>
      <c r="V219" s="1" t="s">
        <v>1453</v>
      </c>
      <c r="W219" s="1" t="s">
        <v>87</v>
      </c>
      <c r="X219">
        <v>49</v>
      </c>
      <c r="Y219">
        <v>35223745</v>
      </c>
      <c r="Z219" t="s">
        <v>91</v>
      </c>
      <c r="AA219" t="s">
        <v>91</v>
      </c>
      <c r="AB219" t="s">
        <v>91</v>
      </c>
      <c r="AC219" t="s">
        <v>91</v>
      </c>
      <c r="AD219" t="s">
        <v>91</v>
      </c>
      <c r="AE219" t="s">
        <v>91</v>
      </c>
      <c r="AF219" t="s">
        <v>91</v>
      </c>
      <c r="AG219" s="1" t="s">
        <v>91</v>
      </c>
      <c r="AH219" s="1" t="s">
        <v>91</v>
      </c>
      <c r="AI219" t="s">
        <v>91</v>
      </c>
      <c r="AM219" t="s">
        <v>91</v>
      </c>
      <c r="AN219" t="s">
        <v>91</v>
      </c>
      <c r="AO219" t="s">
        <v>91</v>
      </c>
      <c r="AP219" t="s">
        <v>91</v>
      </c>
      <c r="AQ219" s="1" t="s">
        <v>91</v>
      </c>
      <c r="AR219" s="1" t="s">
        <v>91</v>
      </c>
      <c r="AS219" s="1" t="s">
        <v>91</v>
      </c>
      <c r="AT219" s="1" t="s">
        <v>91</v>
      </c>
      <c r="AU219" s="1" t="s">
        <v>91</v>
      </c>
      <c r="AV219" t="s">
        <v>91</v>
      </c>
      <c r="AW219" t="s">
        <v>91</v>
      </c>
      <c r="AX219" t="s">
        <v>91</v>
      </c>
      <c r="AY219" t="s">
        <v>91</v>
      </c>
      <c r="AZ219" t="s">
        <v>91</v>
      </c>
      <c r="BA219" t="s">
        <v>91</v>
      </c>
      <c r="BB219" s="2">
        <v>45118.093391203707</v>
      </c>
      <c r="BC219" s="2"/>
      <c r="BD219" t="s">
        <v>91</v>
      </c>
      <c r="BF219" s="1" t="s">
        <v>75</v>
      </c>
      <c r="BI219" s="1" t="s">
        <v>88</v>
      </c>
      <c r="BJ219">
        <v>1</v>
      </c>
      <c r="BK219" s="1" t="s">
        <v>89</v>
      </c>
      <c r="BL219" t="s">
        <v>91</v>
      </c>
      <c r="BM219" s="1" t="s">
        <v>91</v>
      </c>
      <c r="BN219" s="1" t="s">
        <v>91</v>
      </c>
      <c r="BO219" s="1" t="s">
        <v>91</v>
      </c>
      <c r="BP219" s="1" t="s">
        <v>91</v>
      </c>
      <c r="BQ219" t="s">
        <v>91</v>
      </c>
      <c r="BR219" s="3">
        <v>45118</v>
      </c>
      <c r="BS219" s="3"/>
      <c r="BT219" t="s">
        <v>91</v>
      </c>
      <c r="BU219" t="s">
        <v>91</v>
      </c>
      <c r="BW219" s="1" t="s">
        <v>263</v>
      </c>
    </row>
    <row r="220" spans="1:75" x14ac:dyDescent="0.35">
      <c r="A220">
        <v>120510</v>
      </c>
      <c r="B220" s="1" t="s">
        <v>75</v>
      </c>
      <c r="C220">
        <v>80</v>
      </c>
      <c r="D220">
        <v>11121001</v>
      </c>
      <c r="E220">
        <v>121001</v>
      </c>
      <c r="F220" s="1" t="s">
        <v>76</v>
      </c>
      <c r="G220" s="1" t="s">
        <v>1454</v>
      </c>
      <c r="H220">
        <v>0</v>
      </c>
      <c r="I220" s="1" t="s">
        <v>78</v>
      </c>
      <c r="J220" s="1" t="s">
        <v>1455</v>
      </c>
      <c r="K220" s="1" t="s">
        <v>1456</v>
      </c>
      <c r="L220" t="s">
        <v>91</v>
      </c>
      <c r="M220" t="s">
        <v>91</v>
      </c>
      <c r="N220" s="1" t="s">
        <v>1457</v>
      </c>
      <c r="O220" t="s">
        <v>91</v>
      </c>
      <c r="P220" s="1" t="s">
        <v>311</v>
      </c>
      <c r="Q220" s="1" t="s">
        <v>706</v>
      </c>
      <c r="R220" s="1" t="s">
        <v>1458</v>
      </c>
      <c r="T220">
        <v>89300074</v>
      </c>
      <c r="U220" s="1" t="s">
        <v>1459</v>
      </c>
      <c r="V220" s="1" t="s">
        <v>314</v>
      </c>
      <c r="W220" s="1" t="s">
        <v>87</v>
      </c>
      <c r="X220">
        <v>47</v>
      </c>
      <c r="Y220">
        <v>30121414</v>
      </c>
      <c r="Z220" t="s">
        <v>91</v>
      </c>
      <c r="AA220" t="s">
        <v>91</v>
      </c>
      <c r="AB220" t="s">
        <v>91</v>
      </c>
      <c r="AC220" t="s">
        <v>91</v>
      </c>
      <c r="AD220" t="s">
        <v>91</v>
      </c>
      <c r="AE220" t="s">
        <v>91</v>
      </c>
      <c r="AF220" t="s">
        <v>91</v>
      </c>
      <c r="AG220" s="1" t="s">
        <v>91</v>
      </c>
      <c r="AH220" s="1" t="s">
        <v>91</v>
      </c>
      <c r="AI220" t="s">
        <v>91</v>
      </c>
      <c r="AJ220">
        <v>0</v>
      </c>
      <c r="AK220">
        <v>0</v>
      </c>
      <c r="AL220">
        <v>0</v>
      </c>
      <c r="AM220" t="s">
        <v>91</v>
      </c>
      <c r="AN220" t="s">
        <v>91</v>
      </c>
      <c r="AO220" t="s">
        <v>91</v>
      </c>
      <c r="AP220" t="s">
        <v>91</v>
      </c>
      <c r="AQ220" s="1" t="s">
        <v>91</v>
      </c>
      <c r="AR220" s="1" t="s">
        <v>91</v>
      </c>
      <c r="AS220" s="1" t="s">
        <v>91</v>
      </c>
      <c r="AT220" s="1" t="s">
        <v>91</v>
      </c>
      <c r="AU220" s="1" t="s">
        <v>91</v>
      </c>
      <c r="AV220" t="s">
        <v>91</v>
      </c>
      <c r="AW220" t="s">
        <v>91</v>
      </c>
      <c r="AX220" t="s">
        <v>91</v>
      </c>
      <c r="AY220" t="s">
        <v>91</v>
      </c>
      <c r="AZ220" t="s">
        <v>91</v>
      </c>
      <c r="BA220" t="s">
        <v>91</v>
      </c>
      <c r="BB220" s="2">
        <v>44096.645520833335</v>
      </c>
      <c r="BC220" s="2"/>
      <c r="BD220" t="s">
        <v>91</v>
      </c>
      <c r="BF220" s="1" t="s">
        <v>75</v>
      </c>
      <c r="BG220">
        <v>0</v>
      </c>
      <c r="BH220">
        <v>0</v>
      </c>
      <c r="BI220" s="1" t="s">
        <v>88</v>
      </c>
      <c r="BJ220">
        <v>1</v>
      </c>
      <c r="BK220" s="1" t="s">
        <v>89</v>
      </c>
      <c r="BL220" t="s">
        <v>91</v>
      </c>
      <c r="BM220" s="1" t="s">
        <v>109</v>
      </c>
      <c r="BN220" s="1" t="s">
        <v>110</v>
      </c>
      <c r="BO220" s="1" t="s">
        <v>165</v>
      </c>
      <c r="BP220" s="1" t="s">
        <v>91</v>
      </c>
      <c r="BQ220" t="s">
        <v>91</v>
      </c>
      <c r="BR220" s="3">
        <v>44096</v>
      </c>
      <c r="BS220" s="3"/>
      <c r="BT220" t="s">
        <v>91</v>
      </c>
      <c r="BU220" t="s">
        <v>91</v>
      </c>
      <c r="BV220">
        <v>5</v>
      </c>
      <c r="BW220" s="1" t="s">
        <v>840</v>
      </c>
    </row>
    <row r="221" spans="1:75" x14ac:dyDescent="0.35">
      <c r="A221">
        <v>780</v>
      </c>
      <c r="B221" s="1" t="s">
        <v>75</v>
      </c>
      <c r="C221">
        <v>80</v>
      </c>
      <c r="D221">
        <v>11121001</v>
      </c>
      <c r="E221">
        <v>121001</v>
      </c>
      <c r="F221" s="1" t="s">
        <v>76</v>
      </c>
      <c r="G221" s="1" t="s">
        <v>1460</v>
      </c>
      <c r="I221" s="1" t="s">
        <v>78</v>
      </c>
      <c r="J221" s="1" t="s">
        <v>1455</v>
      </c>
      <c r="K221" s="1" t="s">
        <v>1461</v>
      </c>
      <c r="L221" t="s">
        <v>91</v>
      </c>
      <c r="M221" t="s">
        <v>91</v>
      </c>
      <c r="N221" s="1" t="s">
        <v>1462</v>
      </c>
      <c r="O221" t="s">
        <v>91</v>
      </c>
      <c r="P221" s="1" t="s">
        <v>311</v>
      </c>
      <c r="Q221" s="1" t="s">
        <v>1442</v>
      </c>
      <c r="R221" s="1" t="s">
        <v>75</v>
      </c>
      <c r="S221">
        <v>1281</v>
      </c>
      <c r="T221">
        <v>89300000</v>
      </c>
      <c r="U221" s="1" t="s">
        <v>108</v>
      </c>
      <c r="V221" s="1" t="s">
        <v>314</v>
      </c>
      <c r="W221" s="1" t="s">
        <v>87</v>
      </c>
      <c r="X221">
        <v>47</v>
      </c>
      <c r="Y221">
        <v>36424951</v>
      </c>
      <c r="Z221" t="s">
        <v>91</v>
      </c>
      <c r="AA221" t="s">
        <v>91</v>
      </c>
      <c r="AB221" t="s">
        <v>91</v>
      </c>
      <c r="AC221" t="s">
        <v>91</v>
      </c>
      <c r="AD221" t="s">
        <v>91</v>
      </c>
      <c r="AE221" t="s">
        <v>91</v>
      </c>
      <c r="AF221" t="s">
        <v>91</v>
      </c>
      <c r="AG221" s="1" t="s">
        <v>91</v>
      </c>
      <c r="AH221" s="1" t="s">
        <v>91</v>
      </c>
      <c r="AI221" t="s">
        <v>91</v>
      </c>
      <c r="AJ221">
        <v>0</v>
      </c>
      <c r="AK221">
        <v>0</v>
      </c>
      <c r="AL221">
        <v>0</v>
      </c>
      <c r="AM221" t="s">
        <v>91</v>
      </c>
      <c r="AN221" t="s">
        <v>91</v>
      </c>
      <c r="AO221" t="s">
        <v>91</v>
      </c>
      <c r="AP221" t="s">
        <v>91</v>
      </c>
      <c r="AQ221" s="1" t="s">
        <v>91</v>
      </c>
      <c r="AR221" s="1" t="s">
        <v>91</v>
      </c>
      <c r="AS221" s="1" t="s">
        <v>91</v>
      </c>
      <c r="AT221" s="1" t="s">
        <v>91</v>
      </c>
      <c r="AU221" s="1" t="s">
        <v>91</v>
      </c>
      <c r="AV221" t="s">
        <v>91</v>
      </c>
      <c r="AW221" t="s">
        <v>91</v>
      </c>
      <c r="AX221" t="s">
        <v>91</v>
      </c>
      <c r="AY221" t="s">
        <v>91</v>
      </c>
      <c r="AZ221" t="s">
        <v>91</v>
      </c>
      <c r="BA221" t="s">
        <v>91</v>
      </c>
      <c r="BB221" s="2">
        <v>43308.392951388887</v>
      </c>
      <c r="BC221" s="2"/>
      <c r="BD221" t="s">
        <v>91</v>
      </c>
      <c r="BE221">
        <v>780</v>
      </c>
      <c r="BF221" s="1" t="s">
        <v>75</v>
      </c>
      <c r="BG221">
        <v>0</v>
      </c>
      <c r="BH221">
        <v>0</v>
      </c>
      <c r="BI221" s="1" t="s">
        <v>88</v>
      </c>
      <c r="BJ221">
        <v>1</v>
      </c>
      <c r="BK221" s="1" t="s">
        <v>89</v>
      </c>
      <c r="BL221" t="s">
        <v>91</v>
      </c>
      <c r="BM221" s="1" t="s">
        <v>329</v>
      </c>
      <c r="BN221" s="1" t="s">
        <v>110</v>
      </c>
      <c r="BO221" s="1" t="s">
        <v>165</v>
      </c>
      <c r="BP221" s="1" t="s">
        <v>91</v>
      </c>
      <c r="BQ221" t="s">
        <v>91</v>
      </c>
      <c r="BR221" s="3">
        <v>43308</v>
      </c>
      <c r="BS221" s="3"/>
      <c r="BT221" t="s">
        <v>91</v>
      </c>
      <c r="BU221" t="s">
        <v>91</v>
      </c>
      <c r="BV221">
        <v>1</v>
      </c>
      <c r="BW221" s="1" t="s">
        <v>840</v>
      </c>
    </row>
    <row r="222" spans="1:75" x14ac:dyDescent="0.35">
      <c r="A222">
        <v>144468</v>
      </c>
      <c r="B222" s="1" t="s">
        <v>75</v>
      </c>
      <c r="C222">
        <v>80</v>
      </c>
      <c r="D222">
        <v>11121001</v>
      </c>
      <c r="E222">
        <v>121001</v>
      </c>
      <c r="F222" s="1" t="s">
        <v>76</v>
      </c>
      <c r="G222" s="1" t="s">
        <v>1463</v>
      </c>
      <c r="I222" s="1" t="s">
        <v>78</v>
      </c>
      <c r="J222" s="1" t="s">
        <v>1464</v>
      </c>
      <c r="K222" s="1" t="s">
        <v>1465</v>
      </c>
      <c r="L222" t="s">
        <v>91</v>
      </c>
      <c r="M222" t="s">
        <v>91</v>
      </c>
      <c r="N222" s="1" t="s">
        <v>1466</v>
      </c>
      <c r="O222" t="s">
        <v>91</v>
      </c>
      <c r="P222" s="1" t="s">
        <v>946</v>
      </c>
      <c r="Q222" s="1" t="s">
        <v>1467</v>
      </c>
      <c r="R222" s="1" t="s">
        <v>1468</v>
      </c>
      <c r="S222">
        <v>1280</v>
      </c>
      <c r="T222">
        <v>89290000</v>
      </c>
      <c r="U222" s="1" t="s">
        <v>108</v>
      </c>
      <c r="V222" s="1" t="s">
        <v>520</v>
      </c>
      <c r="W222" s="1" t="s">
        <v>87</v>
      </c>
      <c r="X222">
        <v>47</v>
      </c>
      <c r="Y222">
        <v>36340849</v>
      </c>
      <c r="Z222" t="s">
        <v>91</v>
      </c>
      <c r="AA222" t="s">
        <v>91</v>
      </c>
      <c r="AB222" t="s">
        <v>91</v>
      </c>
      <c r="AC222" t="s">
        <v>91</v>
      </c>
      <c r="AD222" t="s">
        <v>91</v>
      </c>
      <c r="AE222" t="s">
        <v>91</v>
      </c>
      <c r="AF222" t="s">
        <v>91</v>
      </c>
      <c r="AG222" s="1" t="s">
        <v>91</v>
      </c>
      <c r="AH222" s="1" t="s">
        <v>91</v>
      </c>
      <c r="AI222" t="s">
        <v>91</v>
      </c>
      <c r="AJ222">
        <v>0</v>
      </c>
      <c r="AK222">
        <v>0</v>
      </c>
      <c r="AL222">
        <v>0</v>
      </c>
      <c r="AM222" t="s">
        <v>91</v>
      </c>
      <c r="AN222" t="s">
        <v>91</v>
      </c>
      <c r="AO222" t="s">
        <v>91</v>
      </c>
      <c r="AP222" t="s">
        <v>91</v>
      </c>
      <c r="AQ222" s="1" t="s">
        <v>91</v>
      </c>
      <c r="AR222" s="1" t="s">
        <v>91</v>
      </c>
      <c r="AS222" s="1" t="s">
        <v>91</v>
      </c>
      <c r="AT222" s="1" t="s">
        <v>91</v>
      </c>
      <c r="AU222" s="1" t="s">
        <v>91</v>
      </c>
      <c r="AV222" t="s">
        <v>91</v>
      </c>
      <c r="AW222" t="s">
        <v>91</v>
      </c>
      <c r="AX222" t="s">
        <v>91</v>
      </c>
      <c r="AY222" t="s">
        <v>91</v>
      </c>
      <c r="AZ222" t="s">
        <v>91</v>
      </c>
      <c r="BA222" t="s">
        <v>91</v>
      </c>
      <c r="BB222" s="2"/>
      <c r="BC222" s="2"/>
      <c r="BD222" t="s">
        <v>91</v>
      </c>
      <c r="BF222" s="1" t="s">
        <v>75</v>
      </c>
      <c r="BG222">
        <v>0</v>
      </c>
      <c r="BH222">
        <v>0</v>
      </c>
      <c r="BI222" s="1" t="s">
        <v>88</v>
      </c>
      <c r="BJ222">
        <v>1</v>
      </c>
      <c r="BK222" s="1" t="s">
        <v>89</v>
      </c>
      <c r="BL222" t="s">
        <v>91</v>
      </c>
      <c r="BM222" s="1" t="s">
        <v>164</v>
      </c>
      <c r="BN222" s="1" t="s">
        <v>110</v>
      </c>
      <c r="BO222" s="1" t="s">
        <v>165</v>
      </c>
      <c r="BP222" s="1" t="s">
        <v>91</v>
      </c>
      <c r="BQ222" t="s">
        <v>91</v>
      </c>
      <c r="BR222" s="3"/>
      <c r="BS222" s="3"/>
      <c r="BT222" t="s">
        <v>91</v>
      </c>
      <c r="BU222" t="s">
        <v>91</v>
      </c>
      <c r="BV222">
        <v>1</v>
      </c>
      <c r="BW222" s="1" t="s">
        <v>1469</v>
      </c>
    </row>
    <row r="223" spans="1:75" x14ac:dyDescent="0.35">
      <c r="A223">
        <v>157581</v>
      </c>
      <c r="B223" s="1" t="s">
        <v>75</v>
      </c>
      <c r="C223">
        <v>80</v>
      </c>
      <c r="D223">
        <v>11121001</v>
      </c>
      <c r="E223">
        <v>121001</v>
      </c>
      <c r="F223" s="1" t="s">
        <v>76</v>
      </c>
      <c r="G223" s="1" t="s">
        <v>1470</v>
      </c>
      <c r="H223">
        <v>0</v>
      </c>
      <c r="I223" s="1" t="s">
        <v>78</v>
      </c>
      <c r="J223" s="1" t="s">
        <v>1471</v>
      </c>
      <c r="K223" s="1" t="s">
        <v>1472</v>
      </c>
      <c r="L223" t="s">
        <v>91</v>
      </c>
      <c r="M223" t="s">
        <v>91</v>
      </c>
      <c r="N223" s="1" t="s">
        <v>1473</v>
      </c>
      <c r="O223" t="s">
        <v>91</v>
      </c>
      <c r="P223" s="1" t="s">
        <v>1474</v>
      </c>
      <c r="Q223" s="1" t="s">
        <v>1475</v>
      </c>
      <c r="R223" s="1" t="s">
        <v>1476</v>
      </c>
      <c r="S223">
        <v>1279</v>
      </c>
      <c r="T223">
        <v>89211320</v>
      </c>
      <c r="U223" s="1" t="s">
        <v>595</v>
      </c>
      <c r="V223" s="1" t="s">
        <v>100</v>
      </c>
      <c r="W223" s="1" t="s">
        <v>87</v>
      </c>
      <c r="X223">
        <v>47</v>
      </c>
      <c r="Y223">
        <v>32277555</v>
      </c>
      <c r="Z223" t="s">
        <v>91</v>
      </c>
      <c r="AA223" t="s">
        <v>91</v>
      </c>
      <c r="AB223" t="s">
        <v>91</v>
      </c>
      <c r="AC223" t="s">
        <v>91</v>
      </c>
      <c r="AD223" t="s">
        <v>91</v>
      </c>
      <c r="AE223" t="s">
        <v>91</v>
      </c>
      <c r="AF223" t="s">
        <v>91</v>
      </c>
      <c r="AG223" s="1" t="s">
        <v>91</v>
      </c>
      <c r="AH223" s="1" t="s">
        <v>91</v>
      </c>
      <c r="AI223" t="s">
        <v>91</v>
      </c>
      <c r="AM223" t="s">
        <v>91</v>
      </c>
      <c r="AN223" t="s">
        <v>91</v>
      </c>
      <c r="AO223" t="s">
        <v>91</v>
      </c>
      <c r="AP223" t="s">
        <v>91</v>
      </c>
      <c r="AQ223" s="1" t="s">
        <v>91</v>
      </c>
      <c r="AR223" s="1" t="s">
        <v>91</v>
      </c>
      <c r="AS223" s="1" t="s">
        <v>91</v>
      </c>
      <c r="AT223" s="1" t="s">
        <v>91</v>
      </c>
      <c r="AU223" s="1" t="s">
        <v>91</v>
      </c>
      <c r="AV223" t="s">
        <v>91</v>
      </c>
      <c r="AW223" t="s">
        <v>91</v>
      </c>
      <c r="AX223" t="s">
        <v>91</v>
      </c>
      <c r="AY223" t="s">
        <v>91</v>
      </c>
      <c r="AZ223" t="s">
        <v>91</v>
      </c>
      <c r="BA223" t="s">
        <v>91</v>
      </c>
      <c r="BB223" s="2">
        <v>45118.093391203707</v>
      </c>
      <c r="BC223" s="2"/>
      <c r="BD223" t="s">
        <v>91</v>
      </c>
      <c r="BF223" s="1" t="s">
        <v>75</v>
      </c>
      <c r="BI223" s="1" t="s">
        <v>88</v>
      </c>
      <c r="BJ223">
        <v>1</v>
      </c>
      <c r="BK223" s="1" t="s">
        <v>89</v>
      </c>
      <c r="BL223" t="s">
        <v>91</v>
      </c>
      <c r="BM223" s="1" t="s">
        <v>91</v>
      </c>
      <c r="BN223" s="1" t="s">
        <v>91</v>
      </c>
      <c r="BO223" s="1" t="s">
        <v>91</v>
      </c>
      <c r="BP223" s="1" t="s">
        <v>91</v>
      </c>
      <c r="BQ223" t="s">
        <v>91</v>
      </c>
      <c r="BR223" s="3">
        <v>45118</v>
      </c>
      <c r="BS223" s="3"/>
      <c r="BT223" t="s">
        <v>91</v>
      </c>
      <c r="BU223" t="s">
        <v>91</v>
      </c>
      <c r="BW223" s="1" t="s">
        <v>90</v>
      </c>
    </row>
    <row r="224" spans="1:75" x14ac:dyDescent="0.35">
      <c r="A224">
        <v>144452</v>
      </c>
      <c r="B224" s="1" t="s">
        <v>75</v>
      </c>
      <c r="C224">
        <v>80</v>
      </c>
      <c r="D224">
        <v>11121001</v>
      </c>
      <c r="E224">
        <v>121001</v>
      </c>
      <c r="F224" s="1" t="s">
        <v>76</v>
      </c>
      <c r="G224" s="1" t="s">
        <v>1477</v>
      </c>
      <c r="I224" s="1" t="s">
        <v>78</v>
      </c>
      <c r="J224" s="1" t="s">
        <v>1478</v>
      </c>
      <c r="K224" s="1" t="s">
        <v>1479</v>
      </c>
      <c r="L224" t="s">
        <v>91</v>
      </c>
      <c r="M224" t="s">
        <v>91</v>
      </c>
      <c r="N224" s="1" t="s">
        <v>1480</v>
      </c>
      <c r="O224" t="s">
        <v>91</v>
      </c>
      <c r="P224" s="1" t="s">
        <v>125</v>
      </c>
      <c r="Q224" s="1" t="s">
        <v>463</v>
      </c>
      <c r="R224" s="1" t="s">
        <v>173</v>
      </c>
      <c r="S224">
        <v>1277</v>
      </c>
      <c r="T224">
        <v>89201010</v>
      </c>
      <c r="U224" s="1" t="s">
        <v>108</v>
      </c>
      <c r="V224" s="1" t="s">
        <v>100</v>
      </c>
      <c r="W224" s="1" t="s">
        <v>87</v>
      </c>
      <c r="X224">
        <v>47</v>
      </c>
      <c r="Y224">
        <v>34338494</v>
      </c>
      <c r="Z224" t="s">
        <v>91</v>
      </c>
      <c r="AA224" t="s">
        <v>91</v>
      </c>
      <c r="AB224" t="s">
        <v>91</v>
      </c>
      <c r="AC224" t="s">
        <v>91</v>
      </c>
      <c r="AD224" t="s">
        <v>91</v>
      </c>
      <c r="AE224" t="s">
        <v>91</v>
      </c>
      <c r="AF224" t="s">
        <v>91</v>
      </c>
      <c r="AG224" s="1" t="s">
        <v>91</v>
      </c>
      <c r="AH224" s="1" t="s">
        <v>91</v>
      </c>
      <c r="AI224" t="s">
        <v>91</v>
      </c>
      <c r="AJ224">
        <v>0</v>
      </c>
      <c r="AK224">
        <v>0</v>
      </c>
      <c r="AL224">
        <v>0</v>
      </c>
      <c r="AM224" t="s">
        <v>91</v>
      </c>
      <c r="AN224" t="s">
        <v>91</v>
      </c>
      <c r="AO224" t="s">
        <v>91</v>
      </c>
      <c r="AP224" t="s">
        <v>91</v>
      </c>
      <c r="AQ224" s="1" t="s">
        <v>91</v>
      </c>
      <c r="AR224" s="1" t="s">
        <v>91</v>
      </c>
      <c r="AS224" s="1" t="s">
        <v>91</v>
      </c>
      <c r="AT224" s="1" t="s">
        <v>91</v>
      </c>
      <c r="AU224" s="1" t="s">
        <v>91</v>
      </c>
      <c r="AV224" t="s">
        <v>91</v>
      </c>
      <c r="AW224" t="s">
        <v>91</v>
      </c>
      <c r="AX224" t="s">
        <v>91</v>
      </c>
      <c r="AY224" t="s">
        <v>91</v>
      </c>
      <c r="AZ224" t="s">
        <v>91</v>
      </c>
      <c r="BA224" t="s">
        <v>91</v>
      </c>
      <c r="BB224" s="2"/>
      <c r="BC224" s="2"/>
      <c r="BD224" t="s">
        <v>91</v>
      </c>
      <c r="BF224" s="1" t="s">
        <v>75</v>
      </c>
      <c r="BG224">
        <v>0</v>
      </c>
      <c r="BH224">
        <v>0</v>
      </c>
      <c r="BI224" s="1" t="s">
        <v>88</v>
      </c>
      <c r="BJ224">
        <v>1</v>
      </c>
      <c r="BK224" s="1" t="s">
        <v>89</v>
      </c>
      <c r="BL224" t="s">
        <v>91</v>
      </c>
      <c r="BM224" s="1" t="s">
        <v>109</v>
      </c>
      <c r="BN224" s="1" t="s">
        <v>110</v>
      </c>
      <c r="BO224" s="1" t="s">
        <v>111</v>
      </c>
      <c r="BP224" s="1" t="s">
        <v>91</v>
      </c>
      <c r="BQ224" t="s">
        <v>91</v>
      </c>
      <c r="BR224" s="3"/>
      <c r="BS224" s="3"/>
      <c r="BT224" t="s">
        <v>91</v>
      </c>
      <c r="BU224" t="s">
        <v>91</v>
      </c>
      <c r="BV224">
        <v>9</v>
      </c>
      <c r="BW224" s="1" t="s">
        <v>90</v>
      </c>
    </row>
    <row r="225" spans="1:75" x14ac:dyDescent="0.35">
      <c r="A225">
        <v>138128</v>
      </c>
      <c r="B225" s="1" t="s">
        <v>75</v>
      </c>
      <c r="C225">
        <v>80</v>
      </c>
      <c r="D225">
        <v>11121001</v>
      </c>
      <c r="E225">
        <v>121001</v>
      </c>
      <c r="F225" s="1" t="s">
        <v>76</v>
      </c>
      <c r="G225" s="1" t="s">
        <v>1481</v>
      </c>
      <c r="H225">
        <v>0</v>
      </c>
      <c r="I225" s="1" t="s">
        <v>78</v>
      </c>
      <c r="J225" s="1" t="s">
        <v>1482</v>
      </c>
      <c r="K225" s="1" t="s">
        <v>1483</v>
      </c>
      <c r="L225" t="s">
        <v>91</v>
      </c>
      <c r="M225" t="s">
        <v>91</v>
      </c>
      <c r="N225" s="1" t="s">
        <v>1484</v>
      </c>
      <c r="O225" t="s">
        <v>91</v>
      </c>
      <c r="P225" s="1" t="s">
        <v>839</v>
      </c>
      <c r="Q225" s="1" t="s">
        <v>1485</v>
      </c>
      <c r="R225" s="1" t="s">
        <v>91</v>
      </c>
      <c r="S225">
        <v>1289</v>
      </c>
      <c r="T225">
        <v>89900000</v>
      </c>
      <c r="U225" s="1" t="s">
        <v>108</v>
      </c>
      <c r="V225" s="1" t="s">
        <v>700</v>
      </c>
      <c r="W225" s="1" t="s">
        <v>87</v>
      </c>
      <c r="X225">
        <v>49</v>
      </c>
      <c r="Y225">
        <v>36220391</v>
      </c>
      <c r="Z225" t="s">
        <v>91</v>
      </c>
      <c r="AA225" t="s">
        <v>91</v>
      </c>
      <c r="AB225" t="s">
        <v>91</v>
      </c>
      <c r="AC225" t="s">
        <v>91</v>
      </c>
      <c r="AD225" t="s">
        <v>91</v>
      </c>
      <c r="AE225" t="s">
        <v>91</v>
      </c>
      <c r="AF225" t="s">
        <v>91</v>
      </c>
      <c r="AG225" s="1" t="s">
        <v>146</v>
      </c>
      <c r="AH225" s="1" t="s">
        <v>91</v>
      </c>
      <c r="AI225" t="s">
        <v>91</v>
      </c>
      <c r="AM225" t="s">
        <v>91</v>
      </c>
      <c r="AN225" t="s">
        <v>91</v>
      </c>
      <c r="AO225" t="s">
        <v>91</v>
      </c>
      <c r="AP225" t="s">
        <v>91</v>
      </c>
      <c r="AQ225" s="1" t="s">
        <v>147</v>
      </c>
      <c r="AR225" s="1" t="s">
        <v>147</v>
      </c>
      <c r="AS225" s="1" t="s">
        <v>147</v>
      </c>
      <c r="AT225" s="1" t="s">
        <v>147</v>
      </c>
      <c r="AU225" s="1" t="s">
        <v>147</v>
      </c>
      <c r="AV225" t="s">
        <v>91</v>
      </c>
      <c r="AW225" t="s">
        <v>91</v>
      </c>
      <c r="AX225" t="s">
        <v>91</v>
      </c>
      <c r="AY225" t="s">
        <v>91</v>
      </c>
      <c r="AZ225" t="s">
        <v>91</v>
      </c>
      <c r="BA225" t="s">
        <v>91</v>
      </c>
      <c r="BB225" s="2">
        <v>44378.578518518516</v>
      </c>
      <c r="BC225" s="2">
        <v>44747.634571759256</v>
      </c>
      <c r="BD225" t="s">
        <v>91</v>
      </c>
      <c r="BF225" s="1" t="s">
        <v>75</v>
      </c>
      <c r="BH225">
        <v>0</v>
      </c>
      <c r="BI225" s="1" t="s">
        <v>88</v>
      </c>
      <c r="BJ225">
        <v>1</v>
      </c>
      <c r="BK225" s="1" t="s">
        <v>89</v>
      </c>
      <c r="BL225" t="s">
        <v>91</v>
      </c>
      <c r="BM225" s="1" t="s">
        <v>329</v>
      </c>
      <c r="BN225" s="1" t="s">
        <v>110</v>
      </c>
      <c r="BO225" s="1" t="s">
        <v>165</v>
      </c>
      <c r="BP225" s="1" t="s">
        <v>91</v>
      </c>
      <c r="BQ225" t="s">
        <v>91</v>
      </c>
      <c r="BR225" s="3">
        <v>44378</v>
      </c>
      <c r="BS225" s="3">
        <v>44747</v>
      </c>
      <c r="BT225" t="s">
        <v>91</v>
      </c>
      <c r="BU225" t="s">
        <v>91</v>
      </c>
      <c r="BW225" s="1" t="s">
        <v>1089</v>
      </c>
    </row>
    <row r="226" spans="1:75" x14ac:dyDescent="0.35">
      <c r="A226">
        <v>144804</v>
      </c>
      <c r="B226" s="1" t="s">
        <v>75</v>
      </c>
      <c r="C226">
        <v>80</v>
      </c>
      <c r="D226">
        <v>11121001</v>
      </c>
      <c r="E226">
        <v>121001</v>
      </c>
      <c r="F226" s="1" t="s">
        <v>76</v>
      </c>
      <c r="G226" s="1" t="s">
        <v>1486</v>
      </c>
      <c r="I226" s="1" t="s">
        <v>78</v>
      </c>
      <c r="J226" s="1" t="s">
        <v>1487</v>
      </c>
      <c r="K226" s="1" t="s">
        <v>1488</v>
      </c>
      <c r="L226" t="s">
        <v>91</v>
      </c>
      <c r="M226" t="s">
        <v>91</v>
      </c>
      <c r="N226" s="1" t="s">
        <v>1489</v>
      </c>
      <c r="O226" t="s">
        <v>91</v>
      </c>
      <c r="P226" s="1" t="s">
        <v>867</v>
      </c>
      <c r="Q226" s="1" t="s">
        <v>1490</v>
      </c>
      <c r="R226" s="1" t="s">
        <v>434</v>
      </c>
      <c r="S226">
        <v>1277</v>
      </c>
      <c r="T226">
        <v>89201400</v>
      </c>
      <c r="U226" s="1" t="s">
        <v>108</v>
      </c>
      <c r="V226" s="1" t="s">
        <v>100</v>
      </c>
      <c r="W226" s="1" t="s">
        <v>87</v>
      </c>
      <c r="X226">
        <v>47</v>
      </c>
      <c r="Y226">
        <v>996965959</v>
      </c>
      <c r="Z226" t="s">
        <v>91</v>
      </c>
      <c r="AA226" t="s">
        <v>91</v>
      </c>
      <c r="AB226" t="s">
        <v>91</v>
      </c>
      <c r="AC226" t="s">
        <v>91</v>
      </c>
      <c r="AD226" t="s">
        <v>91</v>
      </c>
      <c r="AE226" t="s">
        <v>91</v>
      </c>
      <c r="AF226" t="s">
        <v>91</v>
      </c>
      <c r="AG226" s="1" t="s">
        <v>91</v>
      </c>
      <c r="AH226" s="1" t="s">
        <v>91</v>
      </c>
      <c r="AI226" t="s">
        <v>91</v>
      </c>
      <c r="AJ226">
        <v>0</v>
      </c>
      <c r="AK226">
        <v>0</v>
      </c>
      <c r="AL226">
        <v>0</v>
      </c>
      <c r="AM226" t="s">
        <v>91</v>
      </c>
      <c r="AN226" t="s">
        <v>91</v>
      </c>
      <c r="AO226" t="s">
        <v>91</v>
      </c>
      <c r="AP226" t="s">
        <v>91</v>
      </c>
      <c r="AQ226" s="1" t="s">
        <v>91</v>
      </c>
      <c r="AR226" s="1" t="s">
        <v>91</v>
      </c>
      <c r="AS226" s="1" t="s">
        <v>91</v>
      </c>
      <c r="AT226" s="1" t="s">
        <v>91</v>
      </c>
      <c r="AU226" s="1" t="s">
        <v>91</v>
      </c>
      <c r="AV226" t="s">
        <v>91</v>
      </c>
      <c r="AW226" t="s">
        <v>91</v>
      </c>
      <c r="AX226" t="s">
        <v>91</v>
      </c>
      <c r="AY226" t="s">
        <v>91</v>
      </c>
      <c r="AZ226" t="s">
        <v>91</v>
      </c>
      <c r="BA226" t="s">
        <v>91</v>
      </c>
      <c r="BB226" s="2"/>
      <c r="BC226" s="2"/>
      <c r="BD226" t="s">
        <v>91</v>
      </c>
      <c r="BF226" s="1" t="s">
        <v>75</v>
      </c>
      <c r="BG226">
        <v>0</v>
      </c>
      <c r="BH226">
        <v>0</v>
      </c>
      <c r="BI226" s="1" t="s">
        <v>88</v>
      </c>
      <c r="BJ226">
        <v>1</v>
      </c>
      <c r="BK226" s="1" t="s">
        <v>89</v>
      </c>
      <c r="BL226" t="s">
        <v>91</v>
      </c>
      <c r="BM226" s="1" t="s">
        <v>109</v>
      </c>
      <c r="BN226" s="1" t="s">
        <v>110</v>
      </c>
      <c r="BO226" s="1" t="s">
        <v>91</v>
      </c>
      <c r="BP226" s="1" t="s">
        <v>91</v>
      </c>
      <c r="BQ226" t="s">
        <v>91</v>
      </c>
      <c r="BR226" s="3"/>
      <c r="BS226" s="3"/>
      <c r="BT226" t="s">
        <v>91</v>
      </c>
      <c r="BU226" t="s">
        <v>91</v>
      </c>
      <c r="BW226" s="1" t="s">
        <v>319</v>
      </c>
    </row>
    <row r="227" spans="1:75" x14ac:dyDescent="0.35">
      <c r="A227">
        <v>144451</v>
      </c>
      <c r="B227" s="1" t="s">
        <v>75</v>
      </c>
      <c r="C227">
        <v>80</v>
      </c>
      <c r="D227">
        <v>11121001</v>
      </c>
      <c r="E227">
        <v>121001</v>
      </c>
      <c r="F227" s="1" t="s">
        <v>76</v>
      </c>
      <c r="G227" s="1" t="s">
        <v>1491</v>
      </c>
      <c r="I227" s="1" t="s">
        <v>78</v>
      </c>
      <c r="J227" s="1" t="s">
        <v>1492</v>
      </c>
      <c r="K227" s="1" t="s">
        <v>1493</v>
      </c>
      <c r="L227" t="s">
        <v>91</v>
      </c>
      <c r="M227" t="s">
        <v>91</v>
      </c>
      <c r="N227" s="1" t="s">
        <v>1494</v>
      </c>
      <c r="O227" t="s">
        <v>91</v>
      </c>
      <c r="P227" s="1" t="s">
        <v>1495</v>
      </c>
      <c r="Q227" s="1" t="s">
        <v>1496</v>
      </c>
      <c r="R227" s="1" t="s">
        <v>91</v>
      </c>
      <c r="S227">
        <v>1280</v>
      </c>
      <c r="T227">
        <v>89280352</v>
      </c>
      <c r="U227" s="1" t="s">
        <v>108</v>
      </c>
      <c r="V227" s="1" t="s">
        <v>1331</v>
      </c>
      <c r="W227" s="1" t="s">
        <v>87</v>
      </c>
      <c r="X227">
        <v>47</v>
      </c>
      <c r="Y227">
        <v>36353408</v>
      </c>
      <c r="Z227" t="s">
        <v>91</v>
      </c>
      <c r="AA227" t="s">
        <v>91</v>
      </c>
      <c r="AB227" t="s">
        <v>91</v>
      </c>
      <c r="AC227" t="s">
        <v>91</v>
      </c>
      <c r="AD227" t="s">
        <v>91</v>
      </c>
      <c r="AE227" t="s">
        <v>91</v>
      </c>
      <c r="AF227" t="s">
        <v>91</v>
      </c>
      <c r="AG227" s="1" t="s">
        <v>91</v>
      </c>
      <c r="AH227" s="1" t="s">
        <v>91</v>
      </c>
      <c r="AI227" t="s">
        <v>91</v>
      </c>
      <c r="AJ227">
        <v>0</v>
      </c>
      <c r="AK227">
        <v>0</v>
      </c>
      <c r="AL227">
        <v>0</v>
      </c>
      <c r="AM227" t="s">
        <v>91</v>
      </c>
      <c r="AN227" t="s">
        <v>91</v>
      </c>
      <c r="AO227" t="s">
        <v>91</v>
      </c>
      <c r="AP227" t="s">
        <v>91</v>
      </c>
      <c r="AQ227" s="1" t="s">
        <v>91</v>
      </c>
      <c r="AR227" s="1" t="s">
        <v>91</v>
      </c>
      <c r="AS227" s="1" t="s">
        <v>91</v>
      </c>
      <c r="AT227" s="1" t="s">
        <v>91</v>
      </c>
      <c r="AU227" s="1" t="s">
        <v>91</v>
      </c>
      <c r="AV227" t="s">
        <v>91</v>
      </c>
      <c r="AW227" t="s">
        <v>91</v>
      </c>
      <c r="AX227" t="s">
        <v>91</v>
      </c>
      <c r="AY227" t="s">
        <v>91</v>
      </c>
      <c r="AZ227" t="s">
        <v>91</v>
      </c>
      <c r="BA227" t="s">
        <v>91</v>
      </c>
      <c r="BB227" s="2"/>
      <c r="BC227" s="2"/>
      <c r="BD227" t="s">
        <v>91</v>
      </c>
      <c r="BF227" s="1" t="s">
        <v>75</v>
      </c>
      <c r="BG227">
        <v>0</v>
      </c>
      <c r="BH227">
        <v>0</v>
      </c>
      <c r="BI227" s="1" t="s">
        <v>88</v>
      </c>
      <c r="BJ227">
        <v>1</v>
      </c>
      <c r="BK227" s="1" t="s">
        <v>89</v>
      </c>
      <c r="BL227" t="s">
        <v>91</v>
      </c>
      <c r="BM227" s="1" t="s">
        <v>109</v>
      </c>
      <c r="BN227" s="1" t="s">
        <v>148</v>
      </c>
      <c r="BO227" s="1" t="s">
        <v>111</v>
      </c>
      <c r="BP227" s="1" t="s">
        <v>91</v>
      </c>
      <c r="BQ227" t="s">
        <v>91</v>
      </c>
      <c r="BR227" s="3"/>
      <c r="BS227" s="3"/>
      <c r="BT227" t="s">
        <v>91</v>
      </c>
      <c r="BU227" t="s">
        <v>91</v>
      </c>
      <c r="BV227">
        <v>6</v>
      </c>
      <c r="BW227" s="1" t="s">
        <v>90</v>
      </c>
    </row>
    <row r="228" spans="1:75" x14ac:dyDescent="0.35">
      <c r="A228">
        <v>157517</v>
      </c>
      <c r="B228" s="1" t="s">
        <v>75</v>
      </c>
      <c r="C228">
        <v>80</v>
      </c>
      <c r="D228">
        <v>11121001</v>
      </c>
      <c r="E228">
        <v>121001</v>
      </c>
      <c r="F228" s="1" t="s">
        <v>76</v>
      </c>
      <c r="G228" s="1" t="s">
        <v>1497</v>
      </c>
      <c r="H228">
        <v>0</v>
      </c>
      <c r="I228" s="1" t="s">
        <v>78</v>
      </c>
      <c r="J228" s="1" t="s">
        <v>1498</v>
      </c>
      <c r="K228" s="1" t="s">
        <v>1499</v>
      </c>
      <c r="L228" t="s">
        <v>91</v>
      </c>
      <c r="M228" t="s">
        <v>91</v>
      </c>
      <c r="N228" s="1" t="s">
        <v>1500</v>
      </c>
      <c r="O228" t="s">
        <v>91</v>
      </c>
      <c r="P228" s="1" t="s">
        <v>1501</v>
      </c>
      <c r="Q228" s="1" t="s">
        <v>930</v>
      </c>
      <c r="R228" s="1" t="s">
        <v>1502</v>
      </c>
      <c r="S228">
        <v>1287</v>
      </c>
      <c r="T228">
        <v>89802200</v>
      </c>
      <c r="U228" s="1" t="s">
        <v>108</v>
      </c>
      <c r="V228" s="1" t="s">
        <v>86</v>
      </c>
      <c r="W228" s="1" t="s">
        <v>87</v>
      </c>
      <c r="X228">
        <v>49</v>
      </c>
      <c r="Y228">
        <v>33008762</v>
      </c>
      <c r="Z228" t="s">
        <v>91</v>
      </c>
      <c r="AA228" t="s">
        <v>91</v>
      </c>
      <c r="AB228" t="s">
        <v>91</v>
      </c>
      <c r="AC228" t="s">
        <v>91</v>
      </c>
      <c r="AD228" t="s">
        <v>91</v>
      </c>
      <c r="AE228" t="s">
        <v>91</v>
      </c>
      <c r="AF228" t="s">
        <v>91</v>
      </c>
      <c r="AG228" s="1" t="s">
        <v>91</v>
      </c>
      <c r="AH228" s="1" t="s">
        <v>91</v>
      </c>
      <c r="AI228" t="s">
        <v>91</v>
      </c>
      <c r="AM228" t="s">
        <v>91</v>
      </c>
      <c r="AN228" t="s">
        <v>91</v>
      </c>
      <c r="AO228" t="s">
        <v>91</v>
      </c>
      <c r="AP228" t="s">
        <v>91</v>
      </c>
      <c r="AQ228" s="1" t="s">
        <v>91</v>
      </c>
      <c r="AR228" s="1" t="s">
        <v>91</v>
      </c>
      <c r="AS228" s="1" t="s">
        <v>91</v>
      </c>
      <c r="AT228" s="1" t="s">
        <v>91</v>
      </c>
      <c r="AU228" s="1" t="s">
        <v>91</v>
      </c>
      <c r="AV228" t="s">
        <v>91</v>
      </c>
      <c r="AW228" t="s">
        <v>91</v>
      </c>
      <c r="AX228" t="s">
        <v>91</v>
      </c>
      <c r="AY228" t="s">
        <v>91</v>
      </c>
      <c r="AZ228" t="s">
        <v>91</v>
      </c>
      <c r="BA228" t="s">
        <v>91</v>
      </c>
      <c r="BB228" s="2">
        <v>45118.093391203707</v>
      </c>
      <c r="BC228" s="2"/>
      <c r="BD228" t="s">
        <v>91</v>
      </c>
      <c r="BF228" s="1" t="s">
        <v>75</v>
      </c>
      <c r="BI228" s="1" t="s">
        <v>88</v>
      </c>
      <c r="BJ228">
        <v>1</v>
      </c>
      <c r="BK228" s="1" t="s">
        <v>89</v>
      </c>
      <c r="BL228" t="s">
        <v>91</v>
      </c>
      <c r="BM228" s="1" t="s">
        <v>91</v>
      </c>
      <c r="BN228" s="1" t="s">
        <v>91</v>
      </c>
      <c r="BO228" s="1" t="s">
        <v>91</v>
      </c>
      <c r="BP228" s="1" t="s">
        <v>91</v>
      </c>
      <c r="BQ228" t="s">
        <v>91</v>
      </c>
      <c r="BR228" s="3">
        <v>45118</v>
      </c>
      <c r="BS228" s="3"/>
      <c r="BT228" t="s">
        <v>91</v>
      </c>
      <c r="BU228" t="s">
        <v>91</v>
      </c>
      <c r="BW228" s="1" t="s">
        <v>90</v>
      </c>
    </row>
    <row r="229" spans="1:75" x14ac:dyDescent="0.35">
      <c r="A229">
        <v>156728</v>
      </c>
      <c r="B229" s="1" t="s">
        <v>75</v>
      </c>
      <c r="C229">
        <v>80</v>
      </c>
      <c r="D229">
        <v>11121001</v>
      </c>
      <c r="E229">
        <v>121001</v>
      </c>
      <c r="F229" s="1" t="s">
        <v>76</v>
      </c>
      <c r="G229" s="1" t="s">
        <v>1503</v>
      </c>
      <c r="H229">
        <v>0</v>
      </c>
      <c r="I229" s="1" t="s">
        <v>78</v>
      </c>
      <c r="J229" s="1" t="s">
        <v>1504</v>
      </c>
      <c r="K229" s="1" t="s">
        <v>1505</v>
      </c>
      <c r="L229" t="s">
        <v>91</v>
      </c>
      <c r="M229" t="s">
        <v>91</v>
      </c>
      <c r="N229" s="1" t="s">
        <v>1506</v>
      </c>
      <c r="O229" t="s">
        <v>91</v>
      </c>
      <c r="P229" s="1" t="s">
        <v>1203</v>
      </c>
      <c r="Q229" s="1" t="s">
        <v>1507</v>
      </c>
      <c r="R229" s="1" t="s">
        <v>91</v>
      </c>
      <c r="S229">
        <v>1383</v>
      </c>
      <c r="T229">
        <v>99010031</v>
      </c>
      <c r="U229" s="1" t="s">
        <v>108</v>
      </c>
      <c r="V229" s="1" t="s">
        <v>371</v>
      </c>
      <c r="W229" s="1" t="s">
        <v>157</v>
      </c>
      <c r="X229">
        <v>54</v>
      </c>
      <c r="Y229">
        <v>30454505</v>
      </c>
      <c r="Z229" t="s">
        <v>91</v>
      </c>
      <c r="AA229" t="s">
        <v>91</v>
      </c>
      <c r="AB229" t="s">
        <v>91</v>
      </c>
      <c r="AC229" t="s">
        <v>91</v>
      </c>
      <c r="AD229" t="s">
        <v>91</v>
      </c>
      <c r="AE229" t="s">
        <v>91</v>
      </c>
      <c r="AF229" t="s">
        <v>91</v>
      </c>
      <c r="AG229" s="1" t="s">
        <v>91</v>
      </c>
      <c r="AH229" s="1" t="s">
        <v>91</v>
      </c>
      <c r="AI229" t="s">
        <v>91</v>
      </c>
      <c r="AM229" t="s">
        <v>91</v>
      </c>
      <c r="AN229" t="s">
        <v>91</v>
      </c>
      <c r="AO229" t="s">
        <v>91</v>
      </c>
      <c r="AP229" t="s">
        <v>91</v>
      </c>
      <c r="AQ229" s="1" t="s">
        <v>91</v>
      </c>
      <c r="AR229" s="1" t="s">
        <v>91</v>
      </c>
      <c r="AS229" s="1" t="s">
        <v>91</v>
      </c>
      <c r="AT229" s="1" t="s">
        <v>91</v>
      </c>
      <c r="AU229" s="1" t="s">
        <v>91</v>
      </c>
      <c r="AV229" t="s">
        <v>91</v>
      </c>
      <c r="AW229" t="s">
        <v>91</v>
      </c>
      <c r="AX229" t="s">
        <v>91</v>
      </c>
      <c r="AY229" t="s">
        <v>91</v>
      </c>
      <c r="AZ229" t="s">
        <v>91</v>
      </c>
      <c r="BA229" t="s">
        <v>91</v>
      </c>
      <c r="BB229" s="2">
        <v>45113.505416666667</v>
      </c>
      <c r="BC229" s="2"/>
      <c r="BD229" t="s">
        <v>91</v>
      </c>
      <c r="BF229" s="1" t="s">
        <v>75</v>
      </c>
      <c r="BI229" s="1" t="s">
        <v>88</v>
      </c>
      <c r="BJ229">
        <v>1</v>
      </c>
      <c r="BK229" s="1" t="s">
        <v>89</v>
      </c>
      <c r="BL229" t="s">
        <v>91</v>
      </c>
      <c r="BM229" s="1" t="s">
        <v>91</v>
      </c>
      <c r="BN229" s="1" t="s">
        <v>91</v>
      </c>
      <c r="BO229" s="1" t="s">
        <v>91</v>
      </c>
      <c r="BP229" s="1" t="s">
        <v>91</v>
      </c>
      <c r="BQ229" t="s">
        <v>91</v>
      </c>
      <c r="BR229" s="3">
        <v>45113</v>
      </c>
      <c r="BS229" s="3"/>
      <c r="BT229" t="s">
        <v>91</v>
      </c>
      <c r="BU229" t="s">
        <v>91</v>
      </c>
      <c r="BW229" s="1" t="s">
        <v>90</v>
      </c>
    </row>
    <row r="230" spans="1:75" x14ac:dyDescent="0.35">
      <c r="A230">
        <v>157533</v>
      </c>
      <c r="B230" s="1" t="s">
        <v>75</v>
      </c>
      <c r="C230">
        <v>80</v>
      </c>
      <c r="D230">
        <v>11121001</v>
      </c>
      <c r="E230">
        <v>121001</v>
      </c>
      <c r="F230" s="1" t="s">
        <v>76</v>
      </c>
      <c r="G230" s="1" t="s">
        <v>1508</v>
      </c>
      <c r="H230">
        <v>0</v>
      </c>
      <c r="I230" s="1" t="s">
        <v>78</v>
      </c>
      <c r="J230" s="1" t="s">
        <v>1509</v>
      </c>
      <c r="K230" s="1" t="s">
        <v>1510</v>
      </c>
      <c r="L230" t="s">
        <v>91</v>
      </c>
      <c r="M230" t="s">
        <v>91</v>
      </c>
      <c r="N230" s="1" t="s">
        <v>1511</v>
      </c>
      <c r="O230" t="s">
        <v>91</v>
      </c>
      <c r="P230" s="1" t="s">
        <v>1512</v>
      </c>
      <c r="Q230" s="1" t="s">
        <v>1513</v>
      </c>
      <c r="R230" s="1" t="s">
        <v>1514</v>
      </c>
      <c r="S230">
        <v>1287</v>
      </c>
      <c r="T230">
        <v>89805042</v>
      </c>
      <c r="U230" s="1" t="s">
        <v>1515</v>
      </c>
      <c r="V230" s="1" t="s">
        <v>86</v>
      </c>
      <c r="W230" s="1" t="s">
        <v>87</v>
      </c>
      <c r="X230">
        <v>49</v>
      </c>
      <c r="Y230">
        <v>33233553</v>
      </c>
      <c r="Z230" t="s">
        <v>91</v>
      </c>
      <c r="AA230" t="s">
        <v>91</v>
      </c>
      <c r="AB230" t="s">
        <v>91</v>
      </c>
      <c r="AC230" t="s">
        <v>91</v>
      </c>
      <c r="AD230" t="s">
        <v>91</v>
      </c>
      <c r="AE230" t="s">
        <v>91</v>
      </c>
      <c r="AF230" t="s">
        <v>91</v>
      </c>
      <c r="AG230" s="1" t="s">
        <v>91</v>
      </c>
      <c r="AH230" s="1" t="s">
        <v>91</v>
      </c>
      <c r="AI230" t="s">
        <v>91</v>
      </c>
      <c r="AM230" t="s">
        <v>91</v>
      </c>
      <c r="AN230" t="s">
        <v>91</v>
      </c>
      <c r="AO230" t="s">
        <v>91</v>
      </c>
      <c r="AP230" t="s">
        <v>91</v>
      </c>
      <c r="AQ230" s="1" t="s">
        <v>91</v>
      </c>
      <c r="AR230" s="1" t="s">
        <v>91</v>
      </c>
      <c r="AS230" s="1" t="s">
        <v>91</v>
      </c>
      <c r="AT230" s="1" t="s">
        <v>91</v>
      </c>
      <c r="AU230" s="1" t="s">
        <v>91</v>
      </c>
      <c r="AV230" t="s">
        <v>91</v>
      </c>
      <c r="AW230" t="s">
        <v>91</v>
      </c>
      <c r="AX230" t="s">
        <v>91</v>
      </c>
      <c r="AY230" t="s">
        <v>91</v>
      </c>
      <c r="AZ230" t="s">
        <v>91</v>
      </c>
      <c r="BA230" t="s">
        <v>91</v>
      </c>
      <c r="BB230" s="2">
        <v>45118.093391203707</v>
      </c>
      <c r="BC230" s="2"/>
      <c r="BD230" t="s">
        <v>91</v>
      </c>
      <c r="BF230" s="1" t="s">
        <v>75</v>
      </c>
      <c r="BI230" s="1" t="s">
        <v>88</v>
      </c>
      <c r="BJ230">
        <v>1</v>
      </c>
      <c r="BK230" s="1" t="s">
        <v>89</v>
      </c>
      <c r="BL230" t="s">
        <v>91</v>
      </c>
      <c r="BM230" s="1" t="s">
        <v>91</v>
      </c>
      <c r="BN230" s="1" t="s">
        <v>91</v>
      </c>
      <c r="BO230" s="1" t="s">
        <v>91</v>
      </c>
      <c r="BP230" s="1" t="s">
        <v>91</v>
      </c>
      <c r="BQ230" t="s">
        <v>91</v>
      </c>
      <c r="BR230" s="3">
        <v>45118</v>
      </c>
      <c r="BS230" s="3"/>
      <c r="BT230" t="s">
        <v>91</v>
      </c>
      <c r="BU230" t="s">
        <v>91</v>
      </c>
      <c r="BW230" s="1" t="s">
        <v>90</v>
      </c>
    </row>
    <row r="231" spans="1:75" x14ac:dyDescent="0.35">
      <c r="A231">
        <v>144512</v>
      </c>
      <c r="B231" s="1" t="s">
        <v>75</v>
      </c>
      <c r="C231">
        <v>80</v>
      </c>
      <c r="D231">
        <v>11121001</v>
      </c>
      <c r="E231">
        <v>121001</v>
      </c>
      <c r="F231" s="1" t="s">
        <v>76</v>
      </c>
      <c r="G231" s="1" t="s">
        <v>1516</v>
      </c>
      <c r="I231" s="1" t="s">
        <v>78</v>
      </c>
      <c r="J231" s="1" t="s">
        <v>1517</v>
      </c>
      <c r="K231" s="1" t="s">
        <v>1518</v>
      </c>
      <c r="L231" t="s">
        <v>91</v>
      </c>
      <c r="M231" t="s">
        <v>91</v>
      </c>
      <c r="N231" s="1" t="s">
        <v>1519</v>
      </c>
      <c r="O231" t="s">
        <v>91</v>
      </c>
      <c r="P231" s="1" t="s">
        <v>1520</v>
      </c>
      <c r="Q231" s="1" t="s">
        <v>1521</v>
      </c>
      <c r="R231" s="1" t="s">
        <v>1522</v>
      </c>
      <c r="T231">
        <v>89202005</v>
      </c>
      <c r="U231" s="1" t="s">
        <v>899</v>
      </c>
      <c r="V231" s="1" t="s">
        <v>100</v>
      </c>
      <c r="W231" s="1" t="s">
        <v>87</v>
      </c>
      <c r="X231">
        <v>47</v>
      </c>
      <c r="Y231">
        <v>991931881</v>
      </c>
      <c r="Z231" t="s">
        <v>91</v>
      </c>
      <c r="AA231" t="s">
        <v>91</v>
      </c>
      <c r="AB231" t="s">
        <v>91</v>
      </c>
      <c r="AC231" t="s">
        <v>91</v>
      </c>
      <c r="AD231" t="s">
        <v>91</v>
      </c>
      <c r="AE231" t="s">
        <v>91</v>
      </c>
      <c r="AF231" t="s">
        <v>91</v>
      </c>
      <c r="AG231" s="1" t="s">
        <v>91</v>
      </c>
      <c r="AH231" s="1" t="s">
        <v>91</v>
      </c>
      <c r="AI231" t="s">
        <v>91</v>
      </c>
      <c r="AJ231">
        <v>0</v>
      </c>
      <c r="AK231">
        <v>0</v>
      </c>
      <c r="AL231">
        <v>0</v>
      </c>
      <c r="AM231" t="s">
        <v>91</v>
      </c>
      <c r="AN231" t="s">
        <v>91</v>
      </c>
      <c r="AO231" t="s">
        <v>91</v>
      </c>
      <c r="AP231" t="s">
        <v>91</v>
      </c>
      <c r="AQ231" s="1" t="s">
        <v>91</v>
      </c>
      <c r="AR231" s="1" t="s">
        <v>91</v>
      </c>
      <c r="AS231" s="1" t="s">
        <v>91</v>
      </c>
      <c r="AT231" s="1" t="s">
        <v>91</v>
      </c>
      <c r="AU231" s="1" t="s">
        <v>91</v>
      </c>
      <c r="AV231" t="s">
        <v>91</v>
      </c>
      <c r="AW231" t="s">
        <v>91</v>
      </c>
      <c r="AX231" t="s">
        <v>91</v>
      </c>
      <c r="AY231" t="s">
        <v>91</v>
      </c>
      <c r="AZ231" t="s">
        <v>91</v>
      </c>
      <c r="BA231" t="s">
        <v>91</v>
      </c>
      <c r="BB231" s="2"/>
      <c r="BC231" s="2"/>
      <c r="BD231" t="s">
        <v>91</v>
      </c>
      <c r="BF231" s="1" t="s">
        <v>75</v>
      </c>
      <c r="BG231">
        <v>0</v>
      </c>
      <c r="BH231">
        <v>0</v>
      </c>
      <c r="BI231" s="1" t="s">
        <v>88</v>
      </c>
      <c r="BJ231">
        <v>1</v>
      </c>
      <c r="BK231" s="1" t="s">
        <v>89</v>
      </c>
      <c r="BL231" t="s">
        <v>91</v>
      </c>
      <c r="BM231" s="1" t="s">
        <v>109</v>
      </c>
      <c r="BN231" s="1" t="s">
        <v>110</v>
      </c>
      <c r="BO231" s="1" t="s">
        <v>111</v>
      </c>
      <c r="BP231" s="1" t="s">
        <v>91</v>
      </c>
      <c r="BQ231" t="s">
        <v>91</v>
      </c>
      <c r="BR231" s="3"/>
      <c r="BS231" s="3"/>
      <c r="BT231" t="s">
        <v>91</v>
      </c>
      <c r="BU231" t="s">
        <v>91</v>
      </c>
      <c r="BV231">
        <v>9</v>
      </c>
      <c r="BW231" s="1" t="s">
        <v>1469</v>
      </c>
    </row>
    <row r="232" spans="1:75" x14ac:dyDescent="0.35">
      <c r="A232">
        <v>144448</v>
      </c>
      <c r="B232" s="1" t="s">
        <v>75</v>
      </c>
      <c r="C232">
        <v>80</v>
      </c>
      <c r="D232">
        <v>11121001</v>
      </c>
      <c r="E232">
        <v>121001</v>
      </c>
      <c r="F232" s="1" t="s">
        <v>76</v>
      </c>
      <c r="G232" s="1" t="s">
        <v>1523</v>
      </c>
      <c r="I232" s="1" t="s">
        <v>78</v>
      </c>
      <c r="J232" s="1" t="s">
        <v>1524</v>
      </c>
      <c r="K232" s="1" t="s">
        <v>1525</v>
      </c>
      <c r="L232" t="s">
        <v>91</v>
      </c>
      <c r="M232" t="s">
        <v>91</v>
      </c>
      <c r="N232" s="1" t="s">
        <v>1519</v>
      </c>
      <c r="O232" t="s">
        <v>91</v>
      </c>
      <c r="P232" s="1" t="s">
        <v>611</v>
      </c>
      <c r="Q232" s="1" t="s">
        <v>1526</v>
      </c>
      <c r="R232" s="1" t="s">
        <v>236</v>
      </c>
      <c r="T232">
        <v>88237001</v>
      </c>
      <c r="U232" s="1" t="s">
        <v>688</v>
      </c>
      <c r="V232" s="1" t="s">
        <v>100</v>
      </c>
      <c r="W232" s="1" t="s">
        <v>87</v>
      </c>
      <c r="X232">
        <v>47</v>
      </c>
      <c r="Y232">
        <v>991931881</v>
      </c>
      <c r="Z232" t="s">
        <v>91</v>
      </c>
      <c r="AA232" t="s">
        <v>91</v>
      </c>
      <c r="AB232" t="s">
        <v>91</v>
      </c>
      <c r="AC232" t="s">
        <v>91</v>
      </c>
      <c r="AD232" t="s">
        <v>91</v>
      </c>
      <c r="AE232" t="s">
        <v>91</v>
      </c>
      <c r="AF232" t="s">
        <v>91</v>
      </c>
      <c r="AG232" s="1" t="s">
        <v>91</v>
      </c>
      <c r="AH232" s="1" t="s">
        <v>91</v>
      </c>
      <c r="AI232" t="s">
        <v>91</v>
      </c>
      <c r="AJ232">
        <v>0</v>
      </c>
      <c r="AK232">
        <v>0</v>
      </c>
      <c r="AL232">
        <v>0</v>
      </c>
      <c r="AM232" t="s">
        <v>91</v>
      </c>
      <c r="AN232" t="s">
        <v>91</v>
      </c>
      <c r="AO232" t="s">
        <v>91</v>
      </c>
      <c r="AP232" t="s">
        <v>91</v>
      </c>
      <c r="AQ232" s="1" t="s">
        <v>91</v>
      </c>
      <c r="AR232" s="1" t="s">
        <v>91</v>
      </c>
      <c r="AS232" s="1" t="s">
        <v>91</v>
      </c>
      <c r="AT232" s="1" t="s">
        <v>91</v>
      </c>
      <c r="AU232" s="1" t="s">
        <v>91</v>
      </c>
      <c r="AV232" t="s">
        <v>91</v>
      </c>
      <c r="AW232" t="s">
        <v>91</v>
      </c>
      <c r="AX232" t="s">
        <v>91</v>
      </c>
      <c r="AY232" t="s">
        <v>91</v>
      </c>
      <c r="AZ232" t="s">
        <v>91</v>
      </c>
      <c r="BA232" t="s">
        <v>91</v>
      </c>
      <c r="BB232" s="2"/>
      <c r="BC232" s="2"/>
      <c r="BD232" t="s">
        <v>91</v>
      </c>
      <c r="BF232" s="1" t="s">
        <v>75</v>
      </c>
      <c r="BG232">
        <v>0</v>
      </c>
      <c r="BH232">
        <v>0</v>
      </c>
      <c r="BI232" s="1" t="s">
        <v>88</v>
      </c>
      <c r="BJ232">
        <v>1</v>
      </c>
      <c r="BK232" s="1" t="s">
        <v>89</v>
      </c>
      <c r="BL232" t="s">
        <v>91</v>
      </c>
      <c r="BM232" s="1" t="s">
        <v>109</v>
      </c>
      <c r="BN232" s="1" t="s">
        <v>110</v>
      </c>
      <c r="BO232" s="1" t="s">
        <v>111</v>
      </c>
      <c r="BP232" s="1" t="s">
        <v>91</v>
      </c>
      <c r="BQ232" t="s">
        <v>91</v>
      </c>
      <c r="BR232" s="3"/>
      <c r="BS232" s="3"/>
      <c r="BT232" t="s">
        <v>91</v>
      </c>
      <c r="BU232" t="s">
        <v>91</v>
      </c>
      <c r="BV232">
        <v>9</v>
      </c>
      <c r="BW232" s="1" t="s">
        <v>1469</v>
      </c>
    </row>
    <row r="233" spans="1:75" x14ac:dyDescent="0.35">
      <c r="A233">
        <v>127550</v>
      </c>
      <c r="B233" s="1" t="s">
        <v>75</v>
      </c>
      <c r="C233">
        <v>80</v>
      </c>
      <c r="D233">
        <v>11121001</v>
      </c>
      <c r="E233">
        <v>121001</v>
      </c>
      <c r="F233" s="1" t="s">
        <v>76</v>
      </c>
      <c r="G233" s="1" t="s">
        <v>1527</v>
      </c>
      <c r="H233">
        <v>0</v>
      </c>
      <c r="I233" s="1" t="s">
        <v>78</v>
      </c>
      <c r="J233" s="1" t="s">
        <v>1528</v>
      </c>
      <c r="K233" s="1" t="s">
        <v>1529</v>
      </c>
      <c r="L233" t="s">
        <v>91</v>
      </c>
      <c r="M233" t="s">
        <v>91</v>
      </c>
      <c r="N233" s="1" t="s">
        <v>1530</v>
      </c>
      <c r="O233" t="s">
        <v>91</v>
      </c>
      <c r="P233" s="1" t="s">
        <v>1531</v>
      </c>
      <c r="Q233" s="1" t="s">
        <v>1532</v>
      </c>
      <c r="R233" s="1" t="s">
        <v>91</v>
      </c>
      <c r="S233">
        <v>1279</v>
      </c>
      <c r="T233">
        <v>89228310</v>
      </c>
      <c r="U233" s="1" t="s">
        <v>1533</v>
      </c>
      <c r="V233" s="1" t="s">
        <v>100</v>
      </c>
      <c r="W233" s="1" t="s">
        <v>87</v>
      </c>
      <c r="X233">
        <v>47</v>
      </c>
      <c r="Y233">
        <v>34343750</v>
      </c>
      <c r="Z233" t="s">
        <v>91</v>
      </c>
      <c r="AA233" t="s">
        <v>91</v>
      </c>
      <c r="AB233" t="s">
        <v>91</v>
      </c>
      <c r="AC233" t="s">
        <v>91</v>
      </c>
      <c r="AD233" t="s">
        <v>91</v>
      </c>
      <c r="AE233" t="s">
        <v>91</v>
      </c>
      <c r="AF233" t="s">
        <v>91</v>
      </c>
      <c r="AG233" s="1" t="s">
        <v>91</v>
      </c>
      <c r="AH233" s="1" t="s">
        <v>91</v>
      </c>
      <c r="AI233" t="s">
        <v>91</v>
      </c>
      <c r="AJ233">
        <v>0</v>
      </c>
      <c r="AK233">
        <v>0</v>
      </c>
      <c r="AL233">
        <v>0</v>
      </c>
      <c r="AM233" t="s">
        <v>91</v>
      </c>
      <c r="AN233" t="s">
        <v>91</v>
      </c>
      <c r="AO233" t="s">
        <v>91</v>
      </c>
      <c r="AP233" t="s">
        <v>91</v>
      </c>
      <c r="AQ233" s="1" t="s">
        <v>91</v>
      </c>
      <c r="AR233" s="1" t="s">
        <v>91</v>
      </c>
      <c r="AS233" s="1" t="s">
        <v>91</v>
      </c>
      <c r="AT233" s="1" t="s">
        <v>91</v>
      </c>
      <c r="AU233" s="1" t="s">
        <v>91</v>
      </c>
      <c r="AV233" t="s">
        <v>91</v>
      </c>
      <c r="AW233" t="s">
        <v>91</v>
      </c>
      <c r="AX233" t="s">
        <v>91</v>
      </c>
      <c r="AY233" t="s">
        <v>91</v>
      </c>
      <c r="AZ233" t="s">
        <v>91</v>
      </c>
      <c r="BA233" t="s">
        <v>91</v>
      </c>
      <c r="BB233" s="2">
        <v>44111.380995370368</v>
      </c>
      <c r="BC233" s="2"/>
      <c r="BD233" t="s">
        <v>91</v>
      </c>
      <c r="BF233" s="1" t="s">
        <v>75</v>
      </c>
      <c r="BG233">
        <v>0</v>
      </c>
      <c r="BH233">
        <v>0</v>
      </c>
      <c r="BI233" s="1" t="s">
        <v>88</v>
      </c>
      <c r="BJ233">
        <v>1</v>
      </c>
      <c r="BK233" s="1" t="s">
        <v>89</v>
      </c>
      <c r="BL233" t="s">
        <v>91</v>
      </c>
      <c r="BM233" s="1" t="s">
        <v>109</v>
      </c>
      <c r="BN233" s="1" t="s">
        <v>110</v>
      </c>
      <c r="BO233" s="1" t="s">
        <v>165</v>
      </c>
      <c r="BP233" s="1" t="s">
        <v>91</v>
      </c>
      <c r="BQ233" t="s">
        <v>91</v>
      </c>
      <c r="BR233" s="3">
        <v>44111</v>
      </c>
      <c r="BS233" s="3"/>
      <c r="BT233" t="s">
        <v>91</v>
      </c>
      <c r="BU233" t="s">
        <v>91</v>
      </c>
      <c r="BV233">
        <v>1</v>
      </c>
      <c r="BW233" s="1" t="s">
        <v>699</v>
      </c>
    </row>
    <row r="234" spans="1:75" x14ac:dyDescent="0.35">
      <c r="A234">
        <v>157583</v>
      </c>
      <c r="B234" s="1" t="s">
        <v>75</v>
      </c>
      <c r="C234">
        <v>80</v>
      </c>
      <c r="D234">
        <v>11121001</v>
      </c>
      <c r="E234">
        <v>121001</v>
      </c>
      <c r="F234" s="1" t="s">
        <v>76</v>
      </c>
      <c r="G234" s="1" t="s">
        <v>1534</v>
      </c>
      <c r="H234">
        <v>0</v>
      </c>
      <c r="I234" s="1" t="s">
        <v>78</v>
      </c>
      <c r="J234" s="1" t="s">
        <v>1535</v>
      </c>
      <c r="K234" s="1" t="s">
        <v>1536</v>
      </c>
      <c r="L234" t="s">
        <v>91</v>
      </c>
      <c r="M234" t="s">
        <v>91</v>
      </c>
      <c r="N234" s="1" t="s">
        <v>1537</v>
      </c>
      <c r="O234" t="s">
        <v>91</v>
      </c>
      <c r="P234" s="1" t="s">
        <v>194</v>
      </c>
      <c r="Q234" s="1" t="s">
        <v>195</v>
      </c>
      <c r="R234" s="1" t="s">
        <v>91</v>
      </c>
      <c r="S234">
        <v>1279</v>
      </c>
      <c r="T234">
        <v>89207301</v>
      </c>
      <c r="U234" s="1" t="s">
        <v>196</v>
      </c>
      <c r="V234" s="1" t="s">
        <v>100</v>
      </c>
      <c r="W234" s="1" t="s">
        <v>87</v>
      </c>
      <c r="X234">
        <v>47</v>
      </c>
      <c r="Y234">
        <v>34366978</v>
      </c>
      <c r="Z234" t="s">
        <v>91</v>
      </c>
      <c r="AA234" t="s">
        <v>91</v>
      </c>
      <c r="AB234" t="s">
        <v>91</v>
      </c>
      <c r="AC234" t="s">
        <v>91</v>
      </c>
      <c r="AD234" t="s">
        <v>91</v>
      </c>
      <c r="AE234" t="s">
        <v>91</v>
      </c>
      <c r="AF234" t="s">
        <v>91</v>
      </c>
      <c r="AG234" s="1" t="s">
        <v>91</v>
      </c>
      <c r="AH234" s="1" t="s">
        <v>91</v>
      </c>
      <c r="AI234" t="s">
        <v>91</v>
      </c>
      <c r="AM234" t="s">
        <v>91</v>
      </c>
      <c r="AN234" t="s">
        <v>91</v>
      </c>
      <c r="AO234" t="s">
        <v>91</v>
      </c>
      <c r="AP234" t="s">
        <v>91</v>
      </c>
      <c r="AQ234" s="1" t="s">
        <v>91</v>
      </c>
      <c r="AR234" s="1" t="s">
        <v>91</v>
      </c>
      <c r="AS234" s="1" t="s">
        <v>91</v>
      </c>
      <c r="AT234" s="1" t="s">
        <v>91</v>
      </c>
      <c r="AU234" s="1" t="s">
        <v>91</v>
      </c>
      <c r="AV234" t="s">
        <v>91</v>
      </c>
      <c r="AW234" t="s">
        <v>91</v>
      </c>
      <c r="AX234" t="s">
        <v>91</v>
      </c>
      <c r="AY234" t="s">
        <v>91</v>
      </c>
      <c r="AZ234" t="s">
        <v>91</v>
      </c>
      <c r="BA234" t="s">
        <v>91</v>
      </c>
      <c r="BB234" s="2">
        <v>45118.093391203707</v>
      </c>
      <c r="BC234" s="2"/>
      <c r="BD234" t="s">
        <v>91</v>
      </c>
      <c r="BF234" s="1" t="s">
        <v>75</v>
      </c>
      <c r="BI234" s="1" t="s">
        <v>88</v>
      </c>
      <c r="BJ234">
        <v>1</v>
      </c>
      <c r="BK234" s="1" t="s">
        <v>89</v>
      </c>
      <c r="BL234" t="s">
        <v>91</v>
      </c>
      <c r="BM234" s="1" t="s">
        <v>91</v>
      </c>
      <c r="BN234" s="1" t="s">
        <v>91</v>
      </c>
      <c r="BO234" s="1" t="s">
        <v>91</v>
      </c>
      <c r="BP234" s="1" t="s">
        <v>91</v>
      </c>
      <c r="BQ234" t="s">
        <v>91</v>
      </c>
      <c r="BR234" s="3">
        <v>45118</v>
      </c>
      <c r="BS234" s="3"/>
      <c r="BT234" t="s">
        <v>91</v>
      </c>
      <c r="BU234" t="s">
        <v>91</v>
      </c>
      <c r="BW234" s="1" t="s">
        <v>90</v>
      </c>
    </row>
    <row r="235" spans="1:75" x14ac:dyDescent="0.35">
      <c r="A235">
        <v>144730</v>
      </c>
      <c r="B235" s="1" t="s">
        <v>75</v>
      </c>
      <c r="C235">
        <v>80</v>
      </c>
      <c r="D235">
        <v>11121001</v>
      </c>
      <c r="E235">
        <v>121001</v>
      </c>
      <c r="F235" s="1" t="s">
        <v>76</v>
      </c>
      <c r="G235" s="1" t="s">
        <v>1538</v>
      </c>
      <c r="I235" s="1" t="s">
        <v>78</v>
      </c>
      <c r="J235" s="1" t="s">
        <v>1539</v>
      </c>
      <c r="K235" s="1" t="s">
        <v>1540</v>
      </c>
      <c r="L235" t="s">
        <v>91</v>
      </c>
      <c r="M235" t="s">
        <v>91</v>
      </c>
      <c r="N235" s="1" t="s">
        <v>1541</v>
      </c>
      <c r="O235" t="s">
        <v>91</v>
      </c>
      <c r="P235" s="1" t="s">
        <v>234</v>
      </c>
      <c r="Q235" s="1" t="s">
        <v>186</v>
      </c>
      <c r="R235" s="1" t="s">
        <v>1458</v>
      </c>
      <c r="S235">
        <v>1279</v>
      </c>
      <c r="T235">
        <v>89219200</v>
      </c>
      <c r="U235" s="1" t="s">
        <v>237</v>
      </c>
      <c r="V235" s="1" t="s">
        <v>100</v>
      </c>
      <c r="W235" s="1" t="s">
        <v>87</v>
      </c>
      <c r="X235">
        <v>47</v>
      </c>
      <c r="Y235">
        <v>30266978</v>
      </c>
      <c r="Z235" t="s">
        <v>91</v>
      </c>
      <c r="AA235" t="s">
        <v>91</v>
      </c>
      <c r="AB235" t="s">
        <v>91</v>
      </c>
      <c r="AC235" t="s">
        <v>91</v>
      </c>
      <c r="AD235" t="s">
        <v>91</v>
      </c>
      <c r="AE235" t="s">
        <v>91</v>
      </c>
      <c r="AF235" t="s">
        <v>91</v>
      </c>
      <c r="AG235" s="1" t="s">
        <v>91</v>
      </c>
      <c r="AH235" s="1" t="s">
        <v>91</v>
      </c>
      <c r="AI235" t="s">
        <v>91</v>
      </c>
      <c r="AJ235">
        <v>0</v>
      </c>
      <c r="AK235">
        <v>0</v>
      </c>
      <c r="AL235">
        <v>0</v>
      </c>
      <c r="AM235" t="s">
        <v>91</v>
      </c>
      <c r="AN235" t="s">
        <v>91</v>
      </c>
      <c r="AO235" t="s">
        <v>91</v>
      </c>
      <c r="AP235" t="s">
        <v>91</v>
      </c>
      <c r="AQ235" s="1" t="s">
        <v>91</v>
      </c>
      <c r="AR235" s="1" t="s">
        <v>91</v>
      </c>
      <c r="AS235" s="1" t="s">
        <v>91</v>
      </c>
      <c r="AT235" s="1" t="s">
        <v>91</v>
      </c>
      <c r="AU235" s="1" t="s">
        <v>91</v>
      </c>
      <c r="AV235" t="s">
        <v>91</v>
      </c>
      <c r="AW235" t="s">
        <v>91</v>
      </c>
      <c r="AX235" t="s">
        <v>91</v>
      </c>
      <c r="AY235" t="s">
        <v>91</v>
      </c>
      <c r="AZ235" t="s">
        <v>91</v>
      </c>
      <c r="BA235" t="s">
        <v>91</v>
      </c>
      <c r="BB235" s="2"/>
      <c r="BC235" s="2"/>
      <c r="BD235" t="s">
        <v>91</v>
      </c>
      <c r="BF235" s="1" t="s">
        <v>75</v>
      </c>
      <c r="BG235">
        <v>0</v>
      </c>
      <c r="BH235">
        <v>0</v>
      </c>
      <c r="BI235" s="1" t="s">
        <v>88</v>
      </c>
      <c r="BJ235">
        <v>1</v>
      </c>
      <c r="BK235" s="1" t="s">
        <v>89</v>
      </c>
      <c r="BL235" t="s">
        <v>91</v>
      </c>
      <c r="BM235" s="1" t="s">
        <v>164</v>
      </c>
      <c r="BN235" s="1" t="s">
        <v>110</v>
      </c>
      <c r="BO235" s="1" t="s">
        <v>165</v>
      </c>
      <c r="BP235" s="1" t="s">
        <v>91</v>
      </c>
      <c r="BQ235" t="s">
        <v>91</v>
      </c>
      <c r="BR235" s="3"/>
      <c r="BS235" s="3"/>
      <c r="BT235" t="s">
        <v>91</v>
      </c>
      <c r="BU235" t="s">
        <v>91</v>
      </c>
      <c r="BV235">
        <v>1</v>
      </c>
      <c r="BW235" s="1" t="s">
        <v>1171</v>
      </c>
    </row>
    <row r="236" spans="1:75" x14ac:dyDescent="0.35">
      <c r="A236">
        <v>127756</v>
      </c>
      <c r="B236" s="1" t="s">
        <v>75</v>
      </c>
      <c r="C236">
        <v>80</v>
      </c>
      <c r="D236">
        <v>11121001</v>
      </c>
      <c r="E236">
        <v>121001</v>
      </c>
      <c r="F236" s="1" t="s">
        <v>76</v>
      </c>
      <c r="G236" s="1" t="s">
        <v>1542</v>
      </c>
      <c r="H236">
        <v>0</v>
      </c>
      <c r="I236" s="1" t="s">
        <v>78</v>
      </c>
      <c r="J236" s="1" t="s">
        <v>1543</v>
      </c>
      <c r="K236" s="1" t="s">
        <v>1544</v>
      </c>
      <c r="L236" t="s">
        <v>91</v>
      </c>
      <c r="M236" t="s">
        <v>91</v>
      </c>
      <c r="N236" s="1" t="s">
        <v>1545</v>
      </c>
      <c r="O236" t="s">
        <v>91</v>
      </c>
      <c r="P236" s="1" t="s">
        <v>611</v>
      </c>
      <c r="Q236" s="1" t="s">
        <v>1546</v>
      </c>
      <c r="R236" s="1" t="s">
        <v>91</v>
      </c>
      <c r="S236">
        <v>1277</v>
      </c>
      <c r="T236">
        <v>89201601</v>
      </c>
      <c r="U236" s="1" t="s">
        <v>108</v>
      </c>
      <c r="V236" s="1" t="s">
        <v>100</v>
      </c>
      <c r="W236" s="1" t="s">
        <v>87</v>
      </c>
      <c r="X236">
        <v>47</v>
      </c>
      <c r="Y236">
        <v>34225100</v>
      </c>
      <c r="Z236" t="s">
        <v>91</v>
      </c>
      <c r="AA236" t="s">
        <v>91</v>
      </c>
      <c r="AB236" t="s">
        <v>91</v>
      </c>
      <c r="AC236" t="s">
        <v>91</v>
      </c>
      <c r="AD236" t="s">
        <v>91</v>
      </c>
      <c r="AE236" t="s">
        <v>91</v>
      </c>
      <c r="AF236" t="s">
        <v>91</v>
      </c>
      <c r="AG236" s="1" t="s">
        <v>91</v>
      </c>
      <c r="AH236" s="1" t="s">
        <v>91</v>
      </c>
      <c r="AI236" t="s">
        <v>91</v>
      </c>
      <c r="AM236" t="s">
        <v>91</v>
      </c>
      <c r="AN236" t="s">
        <v>91</v>
      </c>
      <c r="AO236" t="s">
        <v>91</v>
      </c>
      <c r="AP236" t="s">
        <v>91</v>
      </c>
      <c r="AQ236" s="1" t="s">
        <v>91</v>
      </c>
      <c r="AR236" s="1" t="s">
        <v>91</v>
      </c>
      <c r="AS236" s="1" t="s">
        <v>91</v>
      </c>
      <c r="AT236" s="1" t="s">
        <v>91</v>
      </c>
      <c r="AU236" s="1" t="s">
        <v>91</v>
      </c>
      <c r="AV236" t="s">
        <v>91</v>
      </c>
      <c r="AW236" t="s">
        <v>91</v>
      </c>
      <c r="AX236" t="s">
        <v>91</v>
      </c>
      <c r="AY236" t="s">
        <v>91</v>
      </c>
      <c r="AZ236" t="s">
        <v>91</v>
      </c>
      <c r="BA236" t="s">
        <v>91</v>
      </c>
      <c r="BB236" s="2">
        <v>44111.380995370368</v>
      </c>
      <c r="BC236" s="2"/>
      <c r="BD236" t="s">
        <v>91</v>
      </c>
      <c r="BF236" s="1" t="s">
        <v>75</v>
      </c>
      <c r="BI236" s="1" t="s">
        <v>88</v>
      </c>
      <c r="BJ236">
        <v>1</v>
      </c>
      <c r="BK236" s="1" t="s">
        <v>89</v>
      </c>
      <c r="BL236" t="s">
        <v>91</v>
      </c>
      <c r="BM236" s="1" t="s">
        <v>109</v>
      </c>
      <c r="BN236" s="1" t="s">
        <v>110</v>
      </c>
      <c r="BO236" s="1" t="s">
        <v>180</v>
      </c>
      <c r="BP236" s="1" t="s">
        <v>91</v>
      </c>
      <c r="BQ236" t="s">
        <v>91</v>
      </c>
      <c r="BR236" s="3">
        <v>44111</v>
      </c>
      <c r="BS236" s="3"/>
      <c r="BT236" t="s">
        <v>91</v>
      </c>
      <c r="BU236" t="s">
        <v>91</v>
      </c>
      <c r="BV236">
        <v>9</v>
      </c>
      <c r="BW236" s="1" t="s">
        <v>90</v>
      </c>
    </row>
    <row r="237" spans="1:75" x14ac:dyDescent="0.35">
      <c r="A237">
        <v>765</v>
      </c>
      <c r="B237" s="1" t="s">
        <v>75</v>
      </c>
      <c r="C237">
        <v>80</v>
      </c>
      <c r="D237">
        <v>11121001</v>
      </c>
      <c r="E237">
        <v>121001</v>
      </c>
      <c r="F237" s="1" t="s">
        <v>76</v>
      </c>
      <c r="G237" s="1" t="s">
        <v>1547</v>
      </c>
      <c r="I237" s="1" t="s">
        <v>78</v>
      </c>
      <c r="J237" s="1" t="s">
        <v>1548</v>
      </c>
      <c r="K237" s="1" t="s">
        <v>1549</v>
      </c>
      <c r="L237" t="s">
        <v>91</v>
      </c>
      <c r="M237" t="s">
        <v>91</v>
      </c>
      <c r="N237" s="1" t="s">
        <v>1550</v>
      </c>
      <c r="O237" t="s">
        <v>91</v>
      </c>
      <c r="P237" s="1" t="s">
        <v>260</v>
      </c>
      <c r="Q237" s="1" t="s">
        <v>1551</v>
      </c>
      <c r="R237" s="1" t="s">
        <v>1552</v>
      </c>
      <c r="S237">
        <v>1277</v>
      </c>
      <c r="T237">
        <v>89202002</v>
      </c>
      <c r="U237" s="1" t="s">
        <v>899</v>
      </c>
      <c r="V237" s="1" t="s">
        <v>100</v>
      </c>
      <c r="W237" s="1" t="s">
        <v>87</v>
      </c>
      <c r="X237">
        <v>47</v>
      </c>
      <c r="Y237">
        <v>34551835</v>
      </c>
      <c r="Z237" t="s">
        <v>91</v>
      </c>
      <c r="AA237" t="s">
        <v>91</v>
      </c>
      <c r="AB237" t="s">
        <v>91</v>
      </c>
      <c r="AC237" t="s">
        <v>91</v>
      </c>
      <c r="AD237" t="s">
        <v>91</v>
      </c>
      <c r="AE237" t="s">
        <v>91</v>
      </c>
      <c r="AF237" t="s">
        <v>91</v>
      </c>
      <c r="AG237" s="1" t="s">
        <v>91</v>
      </c>
      <c r="AH237" s="1" t="s">
        <v>91</v>
      </c>
      <c r="AI237" t="s">
        <v>91</v>
      </c>
      <c r="AJ237">
        <v>0</v>
      </c>
      <c r="AK237">
        <v>0</v>
      </c>
      <c r="AL237">
        <v>0</v>
      </c>
      <c r="AM237" t="s">
        <v>91</v>
      </c>
      <c r="AN237" t="s">
        <v>91</v>
      </c>
      <c r="AO237" t="s">
        <v>91</v>
      </c>
      <c r="AP237" t="s">
        <v>91</v>
      </c>
      <c r="AQ237" s="1" t="s">
        <v>91</v>
      </c>
      <c r="AR237" s="1" t="s">
        <v>91</v>
      </c>
      <c r="AS237" s="1" t="s">
        <v>91</v>
      </c>
      <c r="AT237" s="1" t="s">
        <v>91</v>
      </c>
      <c r="AU237" s="1" t="s">
        <v>91</v>
      </c>
      <c r="AV237" t="s">
        <v>91</v>
      </c>
      <c r="AW237" t="s">
        <v>91</v>
      </c>
      <c r="AX237" t="s">
        <v>91</v>
      </c>
      <c r="AY237" t="s">
        <v>91</v>
      </c>
      <c r="AZ237" t="s">
        <v>91</v>
      </c>
      <c r="BA237" t="s">
        <v>91</v>
      </c>
      <c r="BB237" s="2">
        <v>43308.392939814818</v>
      </c>
      <c r="BC237" s="2"/>
      <c r="BD237" t="s">
        <v>91</v>
      </c>
      <c r="BE237">
        <v>765</v>
      </c>
      <c r="BF237" s="1" t="s">
        <v>75</v>
      </c>
      <c r="BG237">
        <v>0</v>
      </c>
      <c r="BH237">
        <v>0</v>
      </c>
      <c r="BI237" s="1" t="s">
        <v>88</v>
      </c>
      <c r="BJ237">
        <v>1</v>
      </c>
      <c r="BK237" s="1" t="s">
        <v>89</v>
      </c>
      <c r="BL237" t="s">
        <v>91</v>
      </c>
      <c r="BM237" s="1" t="s">
        <v>109</v>
      </c>
      <c r="BN237" s="1" t="s">
        <v>110</v>
      </c>
      <c r="BO237" s="1" t="s">
        <v>128</v>
      </c>
      <c r="BP237" s="1" t="s">
        <v>91</v>
      </c>
      <c r="BQ237" t="s">
        <v>91</v>
      </c>
      <c r="BR237" s="3">
        <v>43308</v>
      </c>
      <c r="BS237" s="3"/>
      <c r="BT237" t="s">
        <v>91</v>
      </c>
      <c r="BU237" t="s">
        <v>91</v>
      </c>
      <c r="BV237">
        <v>1</v>
      </c>
      <c r="BW237" s="1" t="s">
        <v>601</v>
      </c>
    </row>
    <row r="238" spans="1:75" x14ac:dyDescent="0.35">
      <c r="A238">
        <v>158730</v>
      </c>
      <c r="B238" s="1" t="s">
        <v>75</v>
      </c>
      <c r="C238">
        <v>80</v>
      </c>
      <c r="D238">
        <v>11121001</v>
      </c>
      <c r="E238">
        <v>121001</v>
      </c>
      <c r="F238" s="1" t="s">
        <v>76</v>
      </c>
      <c r="G238" s="1" t="s">
        <v>1553</v>
      </c>
      <c r="I238" s="1" t="s">
        <v>78</v>
      </c>
      <c r="J238" s="1" t="s">
        <v>1554</v>
      </c>
      <c r="K238" s="1" t="s">
        <v>1555</v>
      </c>
      <c r="L238" t="s">
        <v>91</v>
      </c>
      <c r="M238" t="s">
        <v>91</v>
      </c>
      <c r="N238" s="1" t="s">
        <v>1556</v>
      </c>
      <c r="O238" t="s">
        <v>91</v>
      </c>
      <c r="P238" s="1" t="s">
        <v>415</v>
      </c>
      <c r="Q238" s="1" t="s">
        <v>1557</v>
      </c>
      <c r="R238" s="1" t="s">
        <v>91</v>
      </c>
      <c r="T238">
        <v>89201299</v>
      </c>
      <c r="U238" s="1" t="s">
        <v>108</v>
      </c>
      <c r="V238" s="1" t="s">
        <v>100</v>
      </c>
      <c r="W238" s="1" t="s">
        <v>87</v>
      </c>
      <c r="X238">
        <v>47</v>
      </c>
      <c r="Y238">
        <v>34232666</v>
      </c>
      <c r="Z238" t="s">
        <v>91</v>
      </c>
      <c r="AA238" t="s">
        <v>91</v>
      </c>
      <c r="AB238" t="s">
        <v>91</v>
      </c>
      <c r="AC238" t="s">
        <v>91</v>
      </c>
      <c r="AD238" t="s">
        <v>91</v>
      </c>
      <c r="AE238" t="s">
        <v>91</v>
      </c>
      <c r="AF238" t="s">
        <v>91</v>
      </c>
      <c r="AG238" s="1" t="s">
        <v>91</v>
      </c>
      <c r="AH238" s="1" t="s">
        <v>91</v>
      </c>
      <c r="AI238" t="s">
        <v>91</v>
      </c>
      <c r="AM238" t="s">
        <v>91</v>
      </c>
      <c r="AN238" t="s">
        <v>91</v>
      </c>
      <c r="AO238" t="s">
        <v>91</v>
      </c>
      <c r="AP238" t="s">
        <v>91</v>
      </c>
      <c r="AQ238" s="1" t="s">
        <v>91</v>
      </c>
      <c r="AR238" s="1" t="s">
        <v>91</v>
      </c>
      <c r="AS238" s="1" t="s">
        <v>91</v>
      </c>
      <c r="AT238" s="1" t="s">
        <v>91</v>
      </c>
      <c r="AU238" s="1" t="s">
        <v>91</v>
      </c>
      <c r="AV238" t="s">
        <v>91</v>
      </c>
      <c r="AW238" t="s">
        <v>91</v>
      </c>
      <c r="AX238" t="s">
        <v>91</v>
      </c>
      <c r="AY238" t="s">
        <v>91</v>
      </c>
      <c r="AZ238" t="s">
        <v>91</v>
      </c>
      <c r="BA238" t="s">
        <v>91</v>
      </c>
      <c r="BB238" s="2">
        <v>45155.700069444443</v>
      </c>
      <c r="BC238" s="2"/>
      <c r="BD238" t="s">
        <v>91</v>
      </c>
      <c r="BF238" s="1" t="s">
        <v>75</v>
      </c>
      <c r="BI238" s="1" t="s">
        <v>88</v>
      </c>
      <c r="BJ238">
        <v>1</v>
      </c>
      <c r="BK238" s="1" t="s">
        <v>89</v>
      </c>
      <c r="BL238" t="s">
        <v>91</v>
      </c>
      <c r="BM238" s="1" t="s">
        <v>91</v>
      </c>
      <c r="BN238" s="1" t="s">
        <v>91</v>
      </c>
      <c r="BO238" s="1" t="s">
        <v>91</v>
      </c>
      <c r="BP238" s="1" t="s">
        <v>91</v>
      </c>
      <c r="BQ238" t="s">
        <v>91</v>
      </c>
      <c r="BR238" s="3">
        <v>45155</v>
      </c>
      <c r="BS238" s="3"/>
      <c r="BT238" t="s">
        <v>91</v>
      </c>
      <c r="BU238" t="s">
        <v>91</v>
      </c>
      <c r="BW238" s="1" t="s">
        <v>90</v>
      </c>
    </row>
    <row r="239" spans="1:75" x14ac:dyDescent="0.35">
      <c r="A239">
        <v>138130</v>
      </c>
      <c r="B239" s="1" t="s">
        <v>75</v>
      </c>
      <c r="C239">
        <v>80</v>
      </c>
      <c r="D239">
        <v>11121001</v>
      </c>
      <c r="E239">
        <v>121001</v>
      </c>
      <c r="F239" s="1" t="s">
        <v>76</v>
      </c>
      <c r="G239" s="1" t="s">
        <v>1558</v>
      </c>
      <c r="H239">
        <v>0</v>
      </c>
      <c r="I239" s="1" t="s">
        <v>78</v>
      </c>
      <c r="J239" s="1" t="s">
        <v>1559</v>
      </c>
      <c r="K239" s="1" t="s">
        <v>1560</v>
      </c>
      <c r="L239" t="s">
        <v>91</v>
      </c>
      <c r="M239" t="s">
        <v>91</v>
      </c>
      <c r="N239" s="1" t="s">
        <v>1561</v>
      </c>
      <c r="O239" t="s">
        <v>91</v>
      </c>
      <c r="P239" s="1" t="s">
        <v>1562</v>
      </c>
      <c r="Q239" s="1" t="s">
        <v>1563</v>
      </c>
      <c r="R239" s="1" t="s">
        <v>397</v>
      </c>
      <c r="S239">
        <v>1287</v>
      </c>
      <c r="T239">
        <v>89802101</v>
      </c>
      <c r="U239" s="1" t="s">
        <v>458</v>
      </c>
      <c r="V239" s="1" t="s">
        <v>337</v>
      </c>
      <c r="W239" s="1" t="s">
        <v>87</v>
      </c>
      <c r="X239">
        <v>49</v>
      </c>
      <c r="Y239">
        <v>33225819</v>
      </c>
      <c r="Z239" t="s">
        <v>91</v>
      </c>
      <c r="AA239" t="s">
        <v>91</v>
      </c>
      <c r="AB239" t="s">
        <v>91</v>
      </c>
      <c r="AC239" t="s">
        <v>91</v>
      </c>
      <c r="AD239" t="s">
        <v>91</v>
      </c>
      <c r="AE239" t="s">
        <v>91</v>
      </c>
      <c r="AF239" t="s">
        <v>91</v>
      </c>
      <c r="AG239" s="1" t="s">
        <v>146</v>
      </c>
      <c r="AH239" s="1" t="s">
        <v>91</v>
      </c>
      <c r="AI239" t="s">
        <v>91</v>
      </c>
      <c r="AM239" t="s">
        <v>91</v>
      </c>
      <c r="AN239" t="s">
        <v>91</v>
      </c>
      <c r="AO239" t="s">
        <v>91</v>
      </c>
      <c r="AP239" t="s">
        <v>91</v>
      </c>
      <c r="AQ239" s="1" t="s">
        <v>147</v>
      </c>
      <c r="AR239" s="1" t="s">
        <v>147</v>
      </c>
      <c r="AS239" s="1" t="s">
        <v>147</v>
      </c>
      <c r="AT239" s="1" t="s">
        <v>147</v>
      </c>
      <c r="AU239" s="1" t="s">
        <v>147</v>
      </c>
      <c r="AV239" t="s">
        <v>91</v>
      </c>
      <c r="AW239" t="s">
        <v>91</v>
      </c>
      <c r="AX239" t="s">
        <v>91</v>
      </c>
      <c r="AY239" t="s">
        <v>91</v>
      </c>
      <c r="AZ239" t="s">
        <v>91</v>
      </c>
      <c r="BA239" t="s">
        <v>91</v>
      </c>
      <c r="BB239" s="2">
        <v>44378.578518518516</v>
      </c>
      <c r="BC239" s="2">
        <v>44557.376840277779</v>
      </c>
      <c r="BD239" t="s">
        <v>91</v>
      </c>
      <c r="BF239" s="1" t="s">
        <v>75</v>
      </c>
      <c r="BH239">
        <v>0</v>
      </c>
      <c r="BI239" s="1" t="s">
        <v>88</v>
      </c>
      <c r="BJ239">
        <v>1</v>
      </c>
      <c r="BK239" s="1" t="s">
        <v>89</v>
      </c>
      <c r="BL239" t="s">
        <v>91</v>
      </c>
      <c r="BM239" s="1" t="s">
        <v>329</v>
      </c>
      <c r="BN239" s="1" t="s">
        <v>110</v>
      </c>
      <c r="BO239" s="1" t="s">
        <v>165</v>
      </c>
      <c r="BP239" s="1" t="s">
        <v>91</v>
      </c>
      <c r="BQ239" t="s">
        <v>91</v>
      </c>
      <c r="BR239" s="3">
        <v>44378</v>
      </c>
      <c r="BS239" s="3">
        <v>44557</v>
      </c>
      <c r="BT239" t="s">
        <v>91</v>
      </c>
      <c r="BU239" t="s">
        <v>91</v>
      </c>
      <c r="BW239" s="1" t="s">
        <v>1564</v>
      </c>
    </row>
    <row r="240" spans="1:75" x14ac:dyDescent="0.35">
      <c r="A240">
        <v>138131</v>
      </c>
      <c r="B240" s="1" t="s">
        <v>75</v>
      </c>
      <c r="C240">
        <v>80</v>
      </c>
      <c r="D240">
        <v>11121001</v>
      </c>
      <c r="E240">
        <v>121001</v>
      </c>
      <c r="F240" s="1" t="s">
        <v>76</v>
      </c>
      <c r="G240" s="1" t="s">
        <v>1565</v>
      </c>
      <c r="H240">
        <v>0</v>
      </c>
      <c r="I240" s="1" t="s">
        <v>78</v>
      </c>
      <c r="J240" s="1" t="s">
        <v>1566</v>
      </c>
      <c r="K240" s="1" t="s">
        <v>1567</v>
      </c>
      <c r="L240" t="s">
        <v>91</v>
      </c>
      <c r="M240" t="s">
        <v>91</v>
      </c>
      <c r="N240" s="1" t="s">
        <v>1568</v>
      </c>
      <c r="O240" t="s">
        <v>91</v>
      </c>
      <c r="P240" s="1" t="s">
        <v>873</v>
      </c>
      <c r="Q240" s="1" t="s">
        <v>1569</v>
      </c>
      <c r="R240" s="1" t="s">
        <v>91</v>
      </c>
      <c r="S240">
        <v>1285</v>
      </c>
      <c r="T240">
        <v>89600000</v>
      </c>
      <c r="U240" s="1" t="s">
        <v>108</v>
      </c>
      <c r="V240" s="1" t="s">
        <v>683</v>
      </c>
      <c r="W240" s="1" t="s">
        <v>87</v>
      </c>
      <c r="X240">
        <v>49</v>
      </c>
      <c r="Y240">
        <v>35221643</v>
      </c>
      <c r="Z240" t="s">
        <v>91</v>
      </c>
      <c r="AA240" t="s">
        <v>91</v>
      </c>
      <c r="AB240" t="s">
        <v>91</v>
      </c>
      <c r="AC240" t="s">
        <v>91</v>
      </c>
      <c r="AD240" t="s">
        <v>91</v>
      </c>
      <c r="AE240" t="s">
        <v>91</v>
      </c>
      <c r="AF240" t="s">
        <v>91</v>
      </c>
      <c r="AG240" s="1" t="s">
        <v>146</v>
      </c>
      <c r="AH240" s="1" t="s">
        <v>91</v>
      </c>
      <c r="AI240" t="s">
        <v>91</v>
      </c>
      <c r="AM240" t="s">
        <v>91</v>
      </c>
      <c r="AN240" t="s">
        <v>91</v>
      </c>
      <c r="AO240" t="s">
        <v>91</v>
      </c>
      <c r="AP240" t="s">
        <v>91</v>
      </c>
      <c r="AQ240" s="1" t="s">
        <v>147</v>
      </c>
      <c r="AR240" s="1" t="s">
        <v>147</v>
      </c>
      <c r="AS240" s="1" t="s">
        <v>147</v>
      </c>
      <c r="AT240" s="1" t="s">
        <v>147</v>
      </c>
      <c r="AU240" s="1" t="s">
        <v>147</v>
      </c>
      <c r="AV240" t="s">
        <v>91</v>
      </c>
      <c r="AW240" t="s">
        <v>91</v>
      </c>
      <c r="AX240" t="s">
        <v>91</v>
      </c>
      <c r="AY240" t="s">
        <v>91</v>
      </c>
      <c r="AZ240" t="s">
        <v>91</v>
      </c>
      <c r="BA240" t="s">
        <v>91</v>
      </c>
      <c r="BB240" s="2">
        <v>44378.578518518516</v>
      </c>
      <c r="BC240" s="2">
        <v>44732.657627314817</v>
      </c>
      <c r="BD240" t="s">
        <v>91</v>
      </c>
      <c r="BF240" s="1" t="s">
        <v>75</v>
      </c>
      <c r="BH240">
        <v>0</v>
      </c>
      <c r="BI240" s="1" t="s">
        <v>88</v>
      </c>
      <c r="BJ240">
        <v>1</v>
      </c>
      <c r="BK240" s="1" t="s">
        <v>89</v>
      </c>
      <c r="BL240" t="s">
        <v>91</v>
      </c>
      <c r="BM240" s="1" t="s">
        <v>164</v>
      </c>
      <c r="BN240" s="1" t="s">
        <v>110</v>
      </c>
      <c r="BO240" s="1" t="s">
        <v>165</v>
      </c>
      <c r="BP240" s="1" t="s">
        <v>91</v>
      </c>
      <c r="BQ240" t="s">
        <v>91</v>
      </c>
      <c r="BR240" s="3">
        <v>44378</v>
      </c>
      <c r="BS240" s="3">
        <v>44732</v>
      </c>
      <c r="BT240" t="s">
        <v>91</v>
      </c>
      <c r="BU240" t="s">
        <v>91</v>
      </c>
      <c r="BW240" s="1" t="s">
        <v>1469</v>
      </c>
    </row>
    <row r="241" spans="1:75" x14ac:dyDescent="0.35">
      <c r="A241">
        <v>144485</v>
      </c>
      <c r="B241" s="1" t="s">
        <v>75</v>
      </c>
      <c r="C241">
        <v>80</v>
      </c>
      <c r="D241">
        <v>11121001</v>
      </c>
      <c r="E241">
        <v>121001</v>
      </c>
      <c r="F241" s="1" t="s">
        <v>76</v>
      </c>
      <c r="G241" s="1" t="s">
        <v>1570</v>
      </c>
      <c r="I241" s="1" t="s">
        <v>78</v>
      </c>
      <c r="J241" s="1" t="s">
        <v>1571</v>
      </c>
      <c r="K241" s="1" t="s">
        <v>1572</v>
      </c>
      <c r="L241" t="s">
        <v>91</v>
      </c>
      <c r="M241" t="s">
        <v>91</v>
      </c>
      <c r="N241" s="1" t="s">
        <v>1573</v>
      </c>
      <c r="O241" t="s">
        <v>91</v>
      </c>
      <c r="P241" s="1" t="s">
        <v>769</v>
      </c>
      <c r="Q241" s="1" t="s">
        <v>1574</v>
      </c>
      <c r="R241" s="1" t="s">
        <v>173</v>
      </c>
      <c r="S241">
        <v>1280</v>
      </c>
      <c r="T241">
        <v>89251600</v>
      </c>
      <c r="U241" s="1" t="s">
        <v>108</v>
      </c>
      <c r="V241" s="1" t="s">
        <v>1076</v>
      </c>
      <c r="W241" s="1" t="s">
        <v>87</v>
      </c>
      <c r="X241">
        <v>47</v>
      </c>
      <c r="Y241">
        <v>30553661</v>
      </c>
      <c r="Z241" t="s">
        <v>91</v>
      </c>
      <c r="AA241" t="s">
        <v>91</v>
      </c>
      <c r="AB241" t="s">
        <v>91</v>
      </c>
      <c r="AC241" t="s">
        <v>91</v>
      </c>
      <c r="AD241" t="s">
        <v>91</v>
      </c>
      <c r="AE241" t="s">
        <v>91</v>
      </c>
      <c r="AF241" t="s">
        <v>91</v>
      </c>
      <c r="AG241" s="1" t="s">
        <v>91</v>
      </c>
      <c r="AH241" s="1" t="s">
        <v>91</v>
      </c>
      <c r="AI241" t="s">
        <v>91</v>
      </c>
      <c r="AJ241">
        <v>0</v>
      </c>
      <c r="AK241">
        <v>0</v>
      </c>
      <c r="AL241">
        <v>0</v>
      </c>
      <c r="AM241" t="s">
        <v>91</v>
      </c>
      <c r="AN241" t="s">
        <v>91</v>
      </c>
      <c r="AO241" t="s">
        <v>91</v>
      </c>
      <c r="AP241" t="s">
        <v>91</v>
      </c>
      <c r="AQ241" s="1" t="s">
        <v>91</v>
      </c>
      <c r="AR241" s="1" t="s">
        <v>91</v>
      </c>
      <c r="AS241" s="1" t="s">
        <v>91</v>
      </c>
      <c r="AT241" s="1" t="s">
        <v>91</v>
      </c>
      <c r="AU241" s="1" t="s">
        <v>91</v>
      </c>
      <c r="AV241" t="s">
        <v>91</v>
      </c>
      <c r="AW241" t="s">
        <v>91</v>
      </c>
      <c r="AX241" t="s">
        <v>91</v>
      </c>
      <c r="AY241" t="s">
        <v>91</v>
      </c>
      <c r="AZ241" t="s">
        <v>91</v>
      </c>
      <c r="BA241" t="s">
        <v>91</v>
      </c>
      <c r="BB241" s="2"/>
      <c r="BC241" s="2"/>
      <c r="BD241" t="s">
        <v>91</v>
      </c>
      <c r="BF241" s="1" t="s">
        <v>75</v>
      </c>
      <c r="BG241">
        <v>0</v>
      </c>
      <c r="BH241">
        <v>0</v>
      </c>
      <c r="BI241" s="1" t="s">
        <v>88</v>
      </c>
      <c r="BJ241">
        <v>1</v>
      </c>
      <c r="BK241" s="1" t="s">
        <v>89</v>
      </c>
      <c r="BL241" t="s">
        <v>91</v>
      </c>
      <c r="BM241" s="1" t="s">
        <v>329</v>
      </c>
      <c r="BN241" s="1" t="s">
        <v>110</v>
      </c>
      <c r="BO241" s="1" t="s">
        <v>165</v>
      </c>
      <c r="BP241" s="1" t="s">
        <v>91</v>
      </c>
      <c r="BQ241" t="s">
        <v>91</v>
      </c>
      <c r="BR241" s="3"/>
      <c r="BS241" s="3"/>
      <c r="BT241" t="s">
        <v>91</v>
      </c>
      <c r="BU241" t="s">
        <v>91</v>
      </c>
      <c r="BV241">
        <v>5</v>
      </c>
      <c r="BW241" s="1" t="s">
        <v>1575</v>
      </c>
    </row>
    <row r="242" spans="1:75" x14ac:dyDescent="0.35">
      <c r="A242">
        <v>144517</v>
      </c>
      <c r="B242" s="1" t="s">
        <v>75</v>
      </c>
      <c r="C242">
        <v>80</v>
      </c>
      <c r="D242">
        <v>11121001</v>
      </c>
      <c r="E242">
        <v>121001</v>
      </c>
      <c r="F242" s="1" t="s">
        <v>76</v>
      </c>
      <c r="G242" s="1" t="s">
        <v>1576</v>
      </c>
      <c r="I242" s="1" t="s">
        <v>78</v>
      </c>
      <c r="J242" s="1" t="s">
        <v>1571</v>
      </c>
      <c r="K242" s="1" t="s">
        <v>1577</v>
      </c>
      <c r="L242" t="s">
        <v>91</v>
      </c>
      <c r="M242" t="s">
        <v>91</v>
      </c>
      <c r="N242" s="1" t="s">
        <v>1578</v>
      </c>
      <c r="O242" t="s">
        <v>91</v>
      </c>
      <c r="P242" s="1" t="s">
        <v>1579</v>
      </c>
      <c r="Q242" s="1" t="s">
        <v>1580</v>
      </c>
      <c r="R242" s="1" t="s">
        <v>1581</v>
      </c>
      <c r="S242">
        <v>1280</v>
      </c>
      <c r="T242">
        <v>89251700</v>
      </c>
      <c r="U242" s="1" t="s">
        <v>108</v>
      </c>
      <c r="V242" s="1" t="s">
        <v>1076</v>
      </c>
      <c r="W242" s="1" t="s">
        <v>87</v>
      </c>
      <c r="X242">
        <v>47</v>
      </c>
      <c r="Y242">
        <v>35110058</v>
      </c>
      <c r="Z242" t="s">
        <v>91</v>
      </c>
      <c r="AA242" t="s">
        <v>91</v>
      </c>
      <c r="AB242" t="s">
        <v>91</v>
      </c>
      <c r="AC242" t="s">
        <v>91</v>
      </c>
      <c r="AD242" t="s">
        <v>91</v>
      </c>
      <c r="AE242" t="s">
        <v>91</v>
      </c>
      <c r="AF242" t="s">
        <v>91</v>
      </c>
      <c r="AG242" s="1" t="s">
        <v>91</v>
      </c>
      <c r="AH242" s="1" t="s">
        <v>91</v>
      </c>
      <c r="AI242" t="s">
        <v>91</v>
      </c>
      <c r="AJ242">
        <v>0</v>
      </c>
      <c r="AK242">
        <v>0</v>
      </c>
      <c r="AL242">
        <v>0</v>
      </c>
      <c r="AM242" t="s">
        <v>91</v>
      </c>
      <c r="AN242" t="s">
        <v>91</v>
      </c>
      <c r="AO242" t="s">
        <v>91</v>
      </c>
      <c r="AP242" t="s">
        <v>91</v>
      </c>
      <c r="AQ242" s="1" t="s">
        <v>91</v>
      </c>
      <c r="AR242" s="1" t="s">
        <v>91</v>
      </c>
      <c r="AS242" s="1" t="s">
        <v>91</v>
      </c>
      <c r="AT242" s="1" t="s">
        <v>91</v>
      </c>
      <c r="AU242" s="1" t="s">
        <v>91</v>
      </c>
      <c r="AV242" t="s">
        <v>91</v>
      </c>
      <c r="AW242" t="s">
        <v>91</v>
      </c>
      <c r="AX242" t="s">
        <v>91</v>
      </c>
      <c r="AY242" t="s">
        <v>91</v>
      </c>
      <c r="AZ242" t="s">
        <v>91</v>
      </c>
      <c r="BA242" t="s">
        <v>91</v>
      </c>
      <c r="BB242" s="2"/>
      <c r="BC242" s="2"/>
      <c r="BD242" t="s">
        <v>91</v>
      </c>
      <c r="BF242" s="1" t="s">
        <v>75</v>
      </c>
      <c r="BG242">
        <v>0</v>
      </c>
      <c r="BH242">
        <v>0</v>
      </c>
      <c r="BI242" s="1" t="s">
        <v>88</v>
      </c>
      <c r="BJ242">
        <v>1</v>
      </c>
      <c r="BK242" s="1" t="s">
        <v>89</v>
      </c>
      <c r="BL242" t="s">
        <v>91</v>
      </c>
      <c r="BM242" s="1" t="s">
        <v>109</v>
      </c>
      <c r="BN242" s="1" t="s">
        <v>148</v>
      </c>
      <c r="BO242" s="1" t="s">
        <v>165</v>
      </c>
      <c r="BP242" s="1" t="s">
        <v>91</v>
      </c>
      <c r="BQ242" t="s">
        <v>91</v>
      </c>
      <c r="BR242" s="3"/>
      <c r="BS242" s="3"/>
      <c r="BT242" t="s">
        <v>91</v>
      </c>
      <c r="BU242" t="s">
        <v>91</v>
      </c>
      <c r="BV242">
        <v>5</v>
      </c>
      <c r="BW242" s="1" t="s">
        <v>255</v>
      </c>
    </row>
    <row r="243" spans="1:75" x14ac:dyDescent="0.35">
      <c r="A243">
        <v>144473</v>
      </c>
      <c r="B243" s="1" t="s">
        <v>75</v>
      </c>
      <c r="C243">
        <v>80</v>
      </c>
      <c r="D243">
        <v>11121001</v>
      </c>
      <c r="E243">
        <v>121001</v>
      </c>
      <c r="F243" s="1" t="s">
        <v>76</v>
      </c>
      <c r="G243" s="1" t="s">
        <v>1582</v>
      </c>
      <c r="I243" s="1" t="s">
        <v>78</v>
      </c>
      <c r="J243" s="1" t="s">
        <v>1583</v>
      </c>
      <c r="K243" s="1" t="s">
        <v>1584</v>
      </c>
      <c r="L243" t="s">
        <v>91</v>
      </c>
      <c r="M243" t="s">
        <v>91</v>
      </c>
      <c r="N243" s="1" t="s">
        <v>1585</v>
      </c>
      <c r="O243" t="s">
        <v>91</v>
      </c>
      <c r="P243" s="1" t="s">
        <v>1586</v>
      </c>
      <c r="Q243" s="1" t="s">
        <v>651</v>
      </c>
      <c r="R243" s="1" t="s">
        <v>91</v>
      </c>
      <c r="S243">
        <v>1282</v>
      </c>
      <c r="T243">
        <v>89400000</v>
      </c>
      <c r="U243" s="1" t="s">
        <v>108</v>
      </c>
      <c r="V243" s="1" t="s">
        <v>1587</v>
      </c>
      <c r="W243" s="1" t="s">
        <v>87</v>
      </c>
      <c r="X243">
        <v>42</v>
      </c>
      <c r="Y243">
        <v>35221782</v>
      </c>
      <c r="Z243" t="s">
        <v>91</v>
      </c>
      <c r="AA243" t="s">
        <v>91</v>
      </c>
      <c r="AB243" t="s">
        <v>91</v>
      </c>
      <c r="AC243" t="s">
        <v>91</v>
      </c>
      <c r="AD243" t="s">
        <v>91</v>
      </c>
      <c r="AE243" t="s">
        <v>91</v>
      </c>
      <c r="AF243" t="s">
        <v>91</v>
      </c>
      <c r="AG243" s="1" t="s">
        <v>91</v>
      </c>
      <c r="AH243" s="1" t="s">
        <v>91</v>
      </c>
      <c r="AI243" t="s">
        <v>91</v>
      </c>
      <c r="AJ243">
        <v>0</v>
      </c>
      <c r="AK243">
        <v>0</v>
      </c>
      <c r="AL243">
        <v>0</v>
      </c>
      <c r="AM243" t="s">
        <v>91</v>
      </c>
      <c r="AN243" t="s">
        <v>91</v>
      </c>
      <c r="AO243" t="s">
        <v>91</v>
      </c>
      <c r="AP243" t="s">
        <v>91</v>
      </c>
      <c r="AQ243" s="1" t="s">
        <v>91</v>
      </c>
      <c r="AR243" s="1" t="s">
        <v>91</v>
      </c>
      <c r="AS243" s="1" t="s">
        <v>91</v>
      </c>
      <c r="AT243" s="1" t="s">
        <v>91</v>
      </c>
      <c r="AU243" s="1" t="s">
        <v>91</v>
      </c>
      <c r="AV243" t="s">
        <v>91</v>
      </c>
      <c r="AW243" t="s">
        <v>91</v>
      </c>
      <c r="AX243" t="s">
        <v>91</v>
      </c>
      <c r="AY243" t="s">
        <v>91</v>
      </c>
      <c r="AZ243" t="s">
        <v>91</v>
      </c>
      <c r="BA243" t="s">
        <v>91</v>
      </c>
      <c r="BB243" s="2"/>
      <c r="BC243" s="2"/>
      <c r="BD243" t="s">
        <v>91</v>
      </c>
      <c r="BF243" s="1" t="s">
        <v>75</v>
      </c>
      <c r="BG243">
        <v>0</v>
      </c>
      <c r="BH243">
        <v>0</v>
      </c>
      <c r="BI243" s="1" t="s">
        <v>88</v>
      </c>
      <c r="BJ243">
        <v>1</v>
      </c>
      <c r="BK243" s="1" t="s">
        <v>89</v>
      </c>
      <c r="BL243" t="s">
        <v>91</v>
      </c>
      <c r="BM243" s="1" t="s">
        <v>329</v>
      </c>
      <c r="BN243" s="1" t="s">
        <v>110</v>
      </c>
      <c r="BO243" s="1" t="s">
        <v>165</v>
      </c>
      <c r="BP243" s="1" t="s">
        <v>91</v>
      </c>
      <c r="BQ243" t="s">
        <v>91</v>
      </c>
      <c r="BR243" s="3"/>
      <c r="BS243" s="3"/>
      <c r="BT243" t="s">
        <v>91</v>
      </c>
      <c r="BU243" t="s">
        <v>91</v>
      </c>
      <c r="BV243">
        <v>5</v>
      </c>
      <c r="BW243" s="1" t="s">
        <v>601</v>
      </c>
    </row>
    <row r="244" spans="1:75" x14ac:dyDescent="0.35">
      <c r="A244">
        <v>144531</v>
      </c>
      <c r="B244" s="1" t="s">
        <v>75</v>
      </c>
      <c r="C244">
        <v>80</v>
      </c>
      <c r="D244">
        <v>11121001</v>
      </c>
      <c r="E244">
        <v>121001</v>
      </c>
      <c r="F244" s="1" t="s">
        <v>76</v>
      </c>
      <c r="G244" s="1" t="s">
        <v>1588</v>
      </c>
      <c r="I244" s="1" t="s">
        <v>78</v>
      </c>
      <c r="J244" s="1" t="s">
        <v>1589</v>
      </c>
      <c r="K244" s="1" t="s">
        <v>1590</v>
      </c>
      <c r="L244" t="s">
        <v>91</v>
      </c>
      <c r="M244" t="s">
        <v>91</v>
      </c>
      <c r="N244" s="1" t="s">
        <v>1591</v>
      </c>
      <c r="O244" t="s">
        <v>91</v>
      </c>
      <c r="P244" s="1" t="s">
        <v>587</v>
      </c>
      <c r="Q244" s="1" t="s">
        <v>478</v>
      </c>
      <c r="R244" s="1" t="s">
        <v>1468</v>
      </c>
      <c r="T244">
        <v>89204251</v>
      </c>
      <c r="U244" s="1" t="s">
        <v>108</v>
      </c>
      <c r="V244" s="1" t="s">
        <v>100</v>
      </c>
      <c r="W244" s="1" t="s">
        <v>87</v>
      </c>
      <c r="X244">
        <v>47</v>
      </c>
      <c r="Y244">
        <v>996435559</v>
      </c>
      <c r="Z244" t="s">
        <v>91</v>
      </c>
      <c r="AA244" t="s">
        <v>91</v>
      </c>
      <c r="AB244" t="s">
        <v>91</v>
      </c>
      <c r="AC244" t="s">
        <v>91</v>
      </c>
      <c r="AD244" t="s">
        <v>91</v>
      </c>
      <c r="AE244" t="s">
        <v>91</v>
      </c>
      <c r="AF244" t="s">
        <v>91</v>
      </c>
      <c r="AG244" s="1" t="s">
        <v>146</v>
      </c>
      <c r="AH244" s="1" t="s">
        <v>91</v>
      </c>
      <c r="AI244" t="s">
        <v>91</v>
      </c>
      <c r="AJ244">
        <v>0</v>
      </c>
      <c r="AK244">
        <v>0</v>
      </c>
      <c r="AL244">
        <v>0</v>
      </c>
      <c r="AM244" t="s">
        <v>91</v>
      </c>
      <c r="AN244" t="s">
        <v>91</v>
      </c>
      <c r="AO244" t="s">
        <v>91</v>
      </c>
      <c r="AP244" t="s">
        <v>91</v>
      </c>
      <c r="AQ244" s="1" t="s">
        <v>147</v>
      </c>
      <c r="AR244" s="1" t="s">
        <v>147</v>
      </c>
      <c r="AS244" s="1" t="s">
        <v>147</v>
      </c>
      <c r="AT244" s="1" t="s">
        <v>147</v>
      </c>
      <c r="AU244" s="1" t="s">
        <v>147</v>
      </c>
      <c r="AV244" t="s">
        <v>91</v>
      </c>
      <c r="AW244" t="s">
        <v>91</v>
      </c>
      <c r="AX244" t="s">
        <v>91</v>
      </c>
      <c r="AY244" t="s">
        <v>91</v>
      </c>
      <c r="AZ244" t="s">
        <v>91</v>
      </c>
      <c r="BA244" t="s">
        <v>91</v>
      </c>
      <c r="BB244" s="2"/>
      <c r="BC244" s="2">
        <v>44573.749293981484</v>
      </c>
      <c r="BD244" t="s">
        <v>91</v>
      </c>
      <c r="BF244" s="1" t="s">
        <v>75</v>
      </c>
      <c r="BG244">
        <v>0</v>
      </c>
      <c r="BH244">
        <v>0</v>
      </c>
      <c r="BI244" s="1" t="s">
        <v>88</v>
      </c>
      <c r="BJ244">
        <v>1</v>
      </c>
      <c r="BK244" s="1" t="s">
        <v>89</v>
      </c>
      <c r="BL244" t="s">
        <v>91</v>
      </c>
      <c r="BM244" s="1" t="s">
        <v>109</v>
      </c>
      <c r="BN244" s="1" t="s">
        <v>110</v>
      </c>
      <c r="BO244" s="1" t="s">
        <v>91</v>
      </c>
      <c r="BP244" s="1" t="s">
        <v>91</v>
      </c>
      <c r="BQ244" t="s">
        <v>91</v>
      </c>
      <c r="BR244" s="3"/>
      <c r="BS244" s="3">
        <v>44573</v>
      </c>
      <c r="BT244" t="s">
        <v>91</v>
      </c>
      <c r="BU244" t="s">
        <v>91</v>
      </c>
      <c r="BV244">
        <v>9</v>
      </c>
      <c r="BW244" s="1" t="s">
        <v>1592</v>
      </c>
    </row>
    <row r="245" spans="1:75" x14ac:dyDescent="0.35">
      <c r="A245">
        <v>156739</v>
      </c>
      <c r="B245" s="1" t="s">
        <v>75</v>
      </c>
      <c r="C245">
        <v>80</v>
      </c>
      <c r="D245">
        <v>11121001</v>
      </c>
      <c r="E245">
        <v>121001</v>
      </c>
      <c r="F245" s="1" t="s">
        <v>76</v>
      </c>
      <c r="G245" s="1" t="s">
        <v>1593</v>
      </c>
      <c r="H245">
        <v>0</v>
      </c>
      <c r="I245" s="1" t="s">
        <v>78</v>
      </c>
      <c r="J245" s="1" t="s">
        <v>1594</v>
      </c>
      <c r="K245" s="1" t="s">
        <v>1595</v>
      </c>
      <c r="L245" t="s">
        <v>91</v>
      </c>
      <c r="M245" t="s">
        <v>91</v>
      </c>
      <c r="N245" s="1" t="s">
        <v>1596</v>
      </c>
      <c r="O245" t="s">
        <v>91</v>
      </c>
      <c r="P245" s="1" t="s">
        <v>1597</v>
      </c>
      <c r="Q245" s="1" t="s">
        <v>1598</v>
      </c>
      <c r="R245" s="1" t="s">
        <v>236</v>
      </c>
      <c r="T245">
        <v>89224150</v>
      </c>
      <c r="U245" s="1" t="s">
        <v>1599</v>
      </c>
      <c r="V245" s="1" t="s">
        <v>100</v>
      </c>
      <c r="W245" s="1" t="s">
        <v>87</v>
      </c>
      <c r="X245">
        <v>47</v>
      </c>
      <c r="Y245">
        <v>34220304</v>
      </c>
      <c r="Z245" t="s">
        <v>91</v>
      </c>
      <c r="AA245" t="s">
        <v>91</v>
      </c>
      <c r="AB245" t="s">
        <v>91</v>
      </c>
      <c r="AC245" t="s">
        <v>91</v>
      </c>
      <c r="AD245" t="s">
        <v>91</v>
      </c>
      <c r="AE245" t="s">
        <v>91</v>
      </c>
      <c r="AF245" t="s">
        <v>91</v>
      </c>
      <c r="AG245" s="1" t="s">
        <v>91</v>
      </c>
      <c r="AH245" s="1" t="s">
        <v>91</v>
      </c>
      <c r="AI245" t="s">
        <v>91</v>
      </c>
      <c r="AM245" t="s">
        <v>91</v>
      </c>
      <c r="AN245" t="s">
        <v>91</v>
      </c>
      <c r="AO245" t="s">
        <v>91</v>
      </c>
      <c r="AP245" t="s">
        <v>91</v>
      </c>
      <c r="AQ245" s="1" t="s">
        <v>91</v>
      </c>
      <c r="AR245" s="1" t="s">
        <v>91</v>
      </c>
      <c r="AS245" s="1" t="s">
        <v>91</v>
      </c>
      <c r="AT245" s="1" t="s">
        <v>91</v>
      </c>
      <c r="AU245" s="1" t="s">
        <v>91</v>
      </c>
      <c r="AV245" t="s">
        <v>91</v>
      </c>
      <c r="AW245" t="s">
        <v>91</v>
      </c>
      <c r="AX245" t="s">
        <v>91</v>
      </c>
      <c r="AY245" t="s">
        <v>91</v>
      </c>
      <c r="AZ245" t="s">
        <v>91</v>
      </c>
      <c r="BA245" t="s">
        <v>91</v>
      </c>
      <c r="BB245" s="2">
        <v>45113.505416666667</v>
      </c>
      <c r="BC245" s="2"/>
      <c r="BD245" t="s">
        <v>91</v>
      </c>
      <c r="BF245" s="1" t="s">
        <v>75</v>
      </c>
      <c r="BI245" s="1" t="s">
        <v>88</v>
      </c>
      <c r="BJ245">
        <v>1</v>
      </c>
      <c r="BK245" s="1" t="s">
        <v>89</v>
      </c>
      <c r="BL245" t="s">
        <v>91</v>
      </c>
      <c r="BM245" s="1" t="s">
        <v>91</v>
      </c>
      <c r="BN245" s="1" t="s">
        <v>91</v>
      </c>
      <c r="BO245" s="1" t="s">
        <v>91</v>
      </c>
      <c r="BP245" s="1" t="s">
        <v>91</v>
      </c>
      <c r="BQ245" t="s">
        <v>91</v>
      </c>
      <c r="BR245" s="3">
        <v>45113</v>
      </c>
      <c r="BS245" s="3"/>
      <c r="BT245" t="s">
        <v>91</v>
      </c>
      <c r="BU245" t="s">
        <v>91</v>
      </c>
      <c r="BW245" s="1" t="s">
        <v>427</v>
      </c>
    </row>
    <row r="246" spans="1:75" x14ac:dyDescent="0.35">
      <c r="A246">
        <v>156800</v>
      </c>
      <c r="B246" s="1" t="s">
        <v>75</v>
      </c>
      <c r="C246">
        <v>80</v>
      </c>
      <c r="D246">
        <v>11121001</v>
      </c>
      <c r="E246">
        <v>121001</v>
      </c>
      <c r="F246" s="1" t="s">
        <v>76</v>
      </c>
      <c r="G246" s="1" t="s">
        <v>1600</v>
      </c>
      <c r="H246">
        <v>0</v>
      </c>
      <c r="I246" s="1" t="s">
        <v>78</v>
      </c>
      <c r="J246" s="1" t="s">
        <v>1601</v>
      </c>
      <c r="K246" s="1" t="s">
        <v>1602</v>
      </c>
      <c r="L246" t="s">
        <v>91</v>
      </c>
      <c r="M246" t="s">
        <v>91</v>
      </c>
      <c r="N246" s="1" t="s">
        <v>1603</v>
      </c>
      <c r="O246" t="s">
        <v>91</v>
      </c>
      <c r="P246" s="1" t="s">
        <v>1604</v>
      </c>
      <c r="Q246" s="1" t="s">
        <v>1605</v>
      </c>
      <c r="R246" s="1" t="s">
        <v>91</v>
      </c>
      <c r="S246">
        <v>1198</v>
      </c>
      <c r="T246">
        <v>84600000</v>
      </c>
      <c r="U246" s="1" t="s">
        <v>108</v>
      </c>
      <c r="V246" s="1" t="s">
        <v>969</v>
      </c>
      <c r="W246" s="1" t="s">
        <v>137</v>
      </c>
      <c r="X246">
        <v>42</v>
      </c>
      <c r="Y246">
        <v>35223239</v>
      </c>
      <c r="Z246" t="s">
        <v>91</v>
      </c>
      <c r="AA246" t="s">
        <v>91</v>
      </c>
      <c r="AB246" t="s">
        <v>91</v>
      </c>
      <c r="AC246" t="s">
        <v>91</v>
      </c>
      <c r="AD246" t="s">
        <v>91</v>
      </c>
      <c r="AE246" t="s">
        <v>91</v>
      </c>
      <c r="AF246" t="s">
        <v>91</v>
      </c>
      <c r="AG246" s="1" t="s">
        <v>91</v>
      </c>
      <c r="AH246" s="1" t="s">
        <v>91</v>
      </c>
      <c r="AI246" t="s">
        <v>91</v>
      </c>
      <c r="AM246" t="s">
        <v>91</v>
      </c>
      <c r="AN246" t="s">
        <v>91</v>
      </c>
      <c r="AO246" t="s">
        <v>91</v>
      </c>
      <c r="AP246" t="s">
        <v>91</v>
      </c>
      <c r="AQ246" s="1" t="s">
        <v>91</v>
      </c>
      <c r="AR246" s="1" t="s">
        <v>91</v>
      </c>
      <c r="AS246" s="1" t="s">
        <v>91</v>
      </c>
      <c r="AT246" s="1" t="s">
        <v>91</v>
      </c>
      <c r="AU246" s="1" t="s">
        <v>91</v>
      </c>
      <c r="AV246" t="s">
        <v>91</v>
      </c>
      <c r="AW246" t="s">
        <v>91</v>
      </c>
      <c r="AX246" t="s">
        <v>91</v>
      </c>
      <c r="AY246" t="s">
        <v>91</v>
      </c>
      <c r="AZ246" t="s">
        <v>91</v>
      </c>
      <c r="BA246" t="s">
        <v>91</v>
      </c>
      <c r="BB246" s="2">
        <v>45113.505416666667</v>
      </c>
      <c r="BC246" s="2"/>
      <c r="BD246" t="s">
        <v>91</v>
      </c>
      <c r="BF246" s="1" t="s">
        <v>75</v>
      </c>
      <c r="BI246" s="1" t="s">
        <v>88</v>
      </c>
      <c r="BJ246">
        <v>1</v>
      </c>
      <c r="BK246" s="1" t="s">
        <v>89</v>
      </c>
      <c r="BL246" t="s">
        <v>91</v>
      </c>
      <c r="BM246" s="1" t="s">
        <v>91</v>
      </c>
      <c r="BN246" s="1" t="s">
        <v>91</v>
      </c>
      <c r="BO246" s="1" t="s">
        <v>91</v>
      </c>
      <c r="BP246" s="1" t="s">
        <v>91</v>
      </c>
      <c r="BQ246" t="s">
        <v>91</v>
      </c>
      <c r="BR246" s="3">
        <v>45113</v>
      </c>
      <c r="BS246" s="3"/>
      <c r="BT246" t="s">
        <v>91</v>
      </c>
      <c r="BU246" t="s">
        <v>91</v>
      </c>
      <c r="BW246" s="1" t="s">
        <v>263</v>
      </c>
    </row>
    <row r="247" spans="1:75" x14ac:dyDescent="0.35">
      <c r="A247">
        <v>876</v>
      </c>
      <c r="B247" s="1" t="s">
        <v>75</v>
      </c>
      <c r="C247">
        <v>80</v>
      </c>
      <c r="D247">
        <v>11121001</v>
      </c>
      <c r="E247">
        <v>121001</v>
      </c>
      <c r="F247" s="1" t="s">
        <v>76</v>
      </c>
      <c r="G247" s="1" t="s">
        <v>1606</v>
      </c>
      <c r="I247" s="1" t="s">
        <v>78</v>
      </c>
      <c r="J247" s="1" t="s">
        <v>1607</v>
      </c>
      <c r="K247" s="1" t="s">
        <v>1608</v>
      </c>
      <c r="L247" t="s">
        <v>91</v>
      </c>
      <c r="M247" t="s">
        <v>91</v>
      </c>
      <c r="N247" s="1" t="s">
        <v>1609</v>
      </c>
      <c r="O247" t="s">
        <v>91</v>
      </c>
      <c r="P247" s="1" t="s">
        <v>105</v>
      </c>
      <c r="Q247" s="1" t="s">
        <v>1610</v>
      </c>
      <c r="R247" s="1" t="s">
        <v>91</v>
      </c>
      <c r="S247">
        <v>1277</v>
      </c>
      <c r="T247">
        <v>89201000</v>
      </c>
      <c r="U247" s="1" t="s">
        <v>108</v>
      </c>
      <c r="V247" s="1" t="s">
        <v>100</v>
      </c>
      <c r="W247" s="1" t="s">
        <v>87</v>
      </c>
      <c r="X247">
        <v>47</v>
      </c>
      <c r="Y247">
        <v>34222244</v>
      </c>
      <c r="Z247" t="s">
        <v>91</v>
      </c>
      <c r="AA247" t="s">
        <v>91</v>
      </c>
      <c r="AB247" t="s">
        <v>91</v>
      </c>
      <c r="AC247" t="s">
        <v>91</v>
      </c>
      <c r="AD247" t="s">
        <v>91</v>
      </c>
      <c r="AE247" t="s">
        <v>91</v>
      </c>
      <c r="AF247" t="s">
        <v>91</v>
      </c>
      <c r="AG247" s="1" t="s">
        <v>91</v>
      </c>
      <c r="AH247" s="1" t="s">
        <v>91</v>
      </c>
      <c r="AI247" t="s">
        <v>91</v>
      </c>
      <c r="AJ247">
        <v>0</v>
      </c>
      <c r="AK247">
        <v>0</v>
      </c>
      <c r="AL247">
        <v>0</v>
      </c>
      <c r="AM247" t="s">
        <v>91</v>
      </c>
      <c r="AN247" t="s">
        <v>91</v>
      </c>
      <c r="AO247" t="s">
        <v>91</v>
      </c>
      <c r="AP247" t="s">
        <v>91</v>
      </c>
      <c r="AQ247" s="1" t="s">
        <v>91</v>
      </c>
      <c r="AR247" s="1" t="s">
        <v>91</v>
      </c>
      <c r="AS247" s="1" t="s">
        <v>91</v>
      </c>
      <c r="AT247" s="1" t="s">
        <v>91</v>
      </c>
      <c r="AU247" s="1" t="s">
        <v>91</v>
      </c>
      <c r="AV247" t="s">
        <v>91</v>
      </c>
      <c r="AW247" t="s">
        <v>91</v>
      </c>
      <c r="AX247" t="s">
        <v>91</v>
      </c>
      <c r="AY247" t="s">
        <v>91</v>
      </c>
      <c r="AZ247" t="s">
        <v>91</v>
      </c>
      <c r="BA247" t="s">
        <v>91</v>
      </c>
      <c r="BB247" s="2">
        <v>43308.392974537041</v>
      </c>
      <c r="BC247" s="2"/>
      <c r="BD247" t="s">
        <v>91</v>
      </c>
      <c r="BE247">
        <v>876</v>
      </c>
      <c r="BF247" s="1" t="s">
        <v>75</v>
      </c>
      <c r="BG247">
        <v>0</v>
      </c>
      <c r="BH247">
        <v>0</v>
      </c>
      <c r="BI247" s="1" t="s">
        <v>88</v>
      </c>
      <c r="BJ247">
        <v>1</v>
      </c>
      <c r="BK247" s="1" t="s">
        <v>89</v>
      </c>
      <c r="BL247" t="s">
        <v>91</v>
      </c>
      <c r="BM247" s="1" t="s">
        <v>329</v>
      </c>
      <c r="BN247" s="1" t="s">
        <v>110</v>
      </c>
      <c r="BO247" s="1" t="s">
        <v>165</v>
      </c>
      <c r="BP247" s="1" t="s">
        <v>91</v>
      </c>
      <c r="BQ247" t="s">
        <v>91</v>
      </c>
      <c r="BR247" s="3">
        <v>43308</v>
      </c>
      <c r="BS247" s="3"/>
      <c r="BT247" t="s">
        <v>91</v>
      </c>
      <c r="BU247" t="s">
        <v>91</v>
      </c>
      <c r="BV247">
        <v>5</v>
      </c>
      <c r="BW247" s="1" t="s">
        <v>90</v>
      </c>
    </row>
    <row r="248" spans="1:75" x14ac:dyDescent="0.35">
      <c r="A248">
        <v>144731</v>
      </c>
      <c r="B248" s="1" t="s">
        <v>75</v>
      </c>
      <c r="C248">
        <v>80</v>
      </c>
      <c r="D248">
        <v>11121001</v>
      </c>
      <c r="E248">
        <v>121001</v>
      </c>
      <c r="F248" s="1" t="s">
        <v>76</v>
      </c>
      <c r="G248" s="1" t="s">
        <v>1611</v>
      </c>
      <c r="I248" s="1" t="s">
        <v>78</v>
      </c>
      <c r="J248" s="1" t="s">
        <v>1612</v>
      </c>
      <c r="K248" s="1" t="s">
        <v>1613</v>
      </c>
      <c r="L248" t="s">
        <v>91</v>
      </c>
      <c r="M248" t="s">
        <v>91</v>
      </c>
      <c r="N248" s="1" t="s">
        <v>1614</v>
      </c>
      <c r="O248" t="s">
        <v>91</v>
      </c>
      <c r="P248" s="1" t="s">
        <v>1615</v>
      </c>
      <c r="Q248" s="1" t="s">
        <v>1616</v>
      </c>
      <c r="R248" s="1" t="s">
        <v>91</v>
      </c>
      <c r="S248">
        <v>1280</v>
      </c>
      <c r="T248">
        <v>89245000</v>
      </c>
      <c r="U248" s="1" t="s">
        <v>962</v>
      </c>
      <c r="V248" s="1" t="s">
        <v>798</v>
      </c>
      <c r="W248" s="1" t="s">
        <v>87</v>
      </c>
      <c r="X248">
        <v>47</v>
      </c>
      <c r="Y248">
        <v>34366266</v>
      </c>
      <c r="Z248" t="s">
        <v>91</v>
      </c>
      <c r="AA248" t="s">
        <v>91</v>
      </c>
      <c r="AB248" t="s">
        <v>91</v>
      </c>
      <c r="AC248" t="s">
        <v>91</v>
      </c>
      <c r="AD248" t="s">
        <v>91</v>
      </c>
      <c r="AE248" t="s">
        <v>91</v>
      </c>
      <c r="AF248" t="s">
        <v>91</v>
      </c>
      <c r="AG248" s="1" t="s">
        <v>91</v>
      </c>
      <c r="AH248" s="1" t="s">
        <v>91</v>
      </c>
      <c r="AI248" t="s">
        <v>91</v>
      </c>
      <c r="AJ248">
        <v>0</v>
      </c>
      <c r="AK248">
        <v>0</v>
      </c>
      <c r="AL248">
        <v>0</v>
      </c>
      <c r="AM248" t="s">
        <v>91</v>
      </c>
      <c r="AN248" t="s">
        <v>91</v>
      </c>
      <c r="AO248" t="s">
        <v>91</v>
      </c>
      <c r="AP248" t="s">
        <v>91</v>
      </c>
      <c r="AQ248" s="1" t="s">
        <v>91</v>
      </c>
      <c r="AR248" s="1" t="s">
        <v>91</v>
      </c>
      <c r="AS248" s="1" t="s">
        <v>91</v>
      </c>
      <c r="AT248" s="1" t="s">
        <v>91</v>
      </c>
      <c r="AU248" s="1" t="s">
        <v>91</v>
      </c>
      <c r="AV248" t="s">
        <v>91</v>
      </c>
      <c r="AW248" t="s">
        <v>91</v>
      </c>
      <c r="AX248" t="s">
        <v>91</v>
      </c>
      <c r="AY248" t="s">
        <v>91</v>
      </c>
      <c r="AZ248" t="s">
        <v>91</v>
      </c>
      <c r="BA248" t="s">
        <v>91</v>
      </c>
      <c r="BB248" s="2"/>
      <c r="BC248" s="2"/>
      <c r="BD248" t="s">
        <v>91</v>
      </c>
      <c r="BF248" s="1" t="s">
        <v>75</v>
      </c>
      <c r="BG248">
        <v>0</v>
      </c>
      <c r="BH248">
        <v>0</v>
      </c>
      <c r="BI248" s="1" t="s">
        <v>88</v>
      </c>
      <c r="BJ248">
        <v>1</v>
      </c>
      <c r="BK248" s="1" t="s">
        <v>89</v>
      </c>
      <c r="BL248" t="s">
        <v>91</v>
      </c>
      <c r="BM248" s="1" t="s">
        <v>109</v>
      </c>
      <c r="BN248" s="1" t="s">
        <v>110</v>
      </c>
      <c r="BO248" s="1" t="s">
        <v>128</v>
      </c>
      <c r="BP248" s="1" t="s">
        <v>91</v>
      </c>
      <c r="BQ248" t="s">
        <v>91</v>
      </c>
      <c r="BR248" s="3"/>
      <c r="BS248" s="3"/>
      <c r="BT248" t="s">
        <v>91</v>
      </c>
      <c r="BU248" t="s">
        <v>91</v>
      </c>
      <c r="BV248">
        <v>9</v>
      </c>
      <c r="BW248" s="1" t="s">
        <v>295</v>
      </c>
    </row>
    <row r="249" spans="1:75" x14ac:dyDescent="0.35">
      <c r="A249">
        <v>156766</v>
      </c>
      <c r="B249" s="1" t="s">
        <v>75</v>
      </c>
      <c r="C249">
        <v>80</v>
      </c>
      <c r="D249">
        <v>11121001</v>
      </c>
      <c r="E249">
        <v>121001</v>
      </c>
      <c r="F249" s="1" t="s">
        <v>76</v>
      </c>
      <c r="G249" s="1" t="s">
        <v>1617</v>
      </c>
      <c r="H249">
        <v>0</v>
      </c>
      <c r="I249" s="1" t="s">
        <v>78</v>
      </c>
      <c r="J249" s="1" t="s">
        <v>1618</v>
      </c>
      <c r="K249" s="1" t="s">
        <v>1619</v>
      </c>
      <c r="L249" t="s">
        <v>91</v>
      </c>
      <c r="M249" t="s">
        <v>91</v>
      </c>
      <c r="N249" s="1" t="s">
        <v>1620</v>
      </c>
      <c r="O249" t="s">
        <v>91</v>
      </c>
      <c r="P249" s="1" t="s">
        <v>162</v>
      </c>
      <c r="Q249" s="1" t="s">
        <v>1621</v>
      </c>
      <c r="R249" s="1" t="s">
        <v>320</v>
      </c>
      <c r="S249">
        <v>1278</v>
      </c>
      <c r="T249">
        <v>89204010</v>
      </c>
      <c r="U249" s="1" t="s">
        <v>108</v>
      </c>
      <c r="V249" s="1" t="s">
        <v>100</v>
      </c>
      <c r="W249" s="1" t="s">
        <v>87</v>
      </c>
      <c r="X249">
        <v>47</v>
      </c>
      <c r="Y249">
        <v>30319696</v>
      </c>
      <c r="Z249" t="s">
        <v>91</v>
      </c>
      <c r="AA249" t="s">
        <v>91</v>
      </c>
      <c r="AB249" t="s">
        <v>91</v>
      </c>
      <c r="AC249" t="s">
        <v>91</v>
      </c>
      <c r="AD249" t="s">
        <v>91</v>
      </c>
      <c r="AE249" t="s">
        <v>91</v>
      </c>
      <c r="AF249" t="s">
        <v>91</v>
      </c>
      <c r="AG249" s="1" t="s">
        <v>91</v>
      </c>
      <c r="AH249" s="1" t="s">
        <v>91</v>
      </c>
      <c r="AI249" t="s">
        <v>91</v>
      </c>
      <c r="AM249" t="s">
        <v>91</v>
      </c>
      <c r="AN249" t="s">
        <v>91</v>
      </c>
      <c r="AO249" t="s">
        <v>91</v>
      </c>
      <c r="AP249" t="s">
        <v>91</v>
      </c>
      <c r="AQ249" s="1" t="s">
        <v>91</v>
      </c>
      <c r="AR249" s="1" t="s">
        <v>91</v>
      </c>
      <c r="AS249" s="1" t="s">
        <v>91</v>
      </c>
      <c r="AT249" s="1" t="s">
        <v>91</v>
      </c>
      <c r="AU249" s="1" t="s">
        <v>91</v>
      </c>
      <c r="AV249" t="s">
        <v>91</v>
      </c>
      <c r="AW249" t="s">
        <v>91</v>
      </c>
      <c r="AX249" t="s">
        <v>91</v>
      </c>
      <c r="AY249" t="s">
        <v>91</v>
      </c>
      <c r="AZ249" t="s">
        <v>91</v>
      </c>
      <c r="BA249" t="s">
        <v>91</v>
      </c>
      <c r="BB249" s="2">
        <v>45113.505416666667</v>
      </c>
      <c r="BC249" s="2"/>
      <c r="BD249" t="s">
        <v>91</v>
      </c>
      <c r="BF249" s="1" t="s">
        <v>75</v>
      </c>
      <c r="BI249" s="1" t="s">
        <v>88</v>
      </c>
      <c r="BJ249">
        <v>1</v>
      </c>
      <c r="BK249" s="1" t="s">
        <v>89</v>
      </c>
      <c r="BL249" t="s">
        <v>91</v>
      </c>
      <c r="BM249" s="1" t="s">
        <v>91</v>
      </c>
      <c r="BN249" s="1" t="s">
        <v>91</v>
      </c>
      <c r="BO249" s="1" t="s">
        <v>91</v>
      </c>
      <c r="BP249" s="1" t="s">
        <v>91</v>
      </c>
      <c r="BQ249" t="s">
        <v>91</v>
      </c>
      <c r="BR249" s="3">
        <v>45113</v>
      </c>
      <c r="BS249" s="3"/>
      <c r="BT249" t="s">
        <v>91</v>
      </c>
      <c r="BU249" t="s">
        <v>91</v>
      </c>
      <c r="BW249" s="1" t="s">
        <v>90</v>
      </c>
    </row>
    <row r="250" spans="1:75" x14ac:dyDescent="0.35">
      <c r="A250">
        <v>120455</v>
      </c>
      <c r="B250" s="1" t="s">
        <v>75</v>
      </c>
      <c r="C250">
        <v>80</v>
      </c>
      <c r="D250">
        <v>11121001</v>
      </c>
      <c r="E250">
        <v>121001</v>
      </c>
      <c r="F250" s="1" t="s">
        <v>76</v>
      </c>
      <c r="G250" s="1" t="s">
        <v>1622</v>
      </c>
      <c r="H250">
        <v>0</v>
      </c>
      <c r="I250" s="1" t="s">
        <v>78</v>
      </c>
      <c r="J250" s="1" t="s">
        <v>1623</v>
      </c>
      <c r="K250" s="1" t="s">
        <v>1624</v>
      </c>
      <c r="L250" t="s">
        <v>91</v>
      </c>
      <c r="M250" t="s">
        <v>91</v>
      </c>
      <c r="N250" s="1" t="s">
        <v>1625</v>
      </c>
      <c r="O250" t="s">
        <v>91</v>
      </c>
      <c r="P250" s="1" t="s">
        <v>1626</v>
      </c>
      <c r="Q250" s="1" t="s">
        <v>1627</v>
      </c>
      <c r="R250" s="1" t="s">
        <v>91</v>
      </c>
      <c r="S250">
        <v>1389</v>
      </c>
      <c r="T250">
        <v>99700000</v>
      </c>
      <c r="U250" s="1" t="s">
        <v>1628</v>
      </c>
      <c r="V250" s="1" t="s">
        <v>156</v>
      </c>
      <c r="W250" s="1" t="s">
        <v>157</v>
      </c>
      <c r="X250">
        <v>54</v>
      </c>
      <c r="Y250">
        <v>35223860</v>
      </c>
      <c r="Z250" t="s">
        <v>91</v>
      </c>
      <c r="AA250" t="s">
        <v>91</v>
      </c>
      <c r="AB250" t="s">
        <v>91</v>
      </c>
      <c r="AC250" t="s">
        <v>91</v>
      </c>
      <c r="AD250" t="s">
        <v>91</v>
      </c>
      <c r="AE250" t="s">
        <v>91</v>
      </c>
      <c r="AF250" t="s">
        <v>91</v>
      </c>
      <c r="AG250" s="1" t="s">
        <v>91</v>
      </c>
      <c r="AH250" s="1" t="s">
        <v>91</v>
      </c>
      <c r="AI250" t="s">
        <v>91</v>
      </c>
      <c r="AJ250">
        <v>0</v>
      </c>
      <c r="AK250">
        <v>0</v>
      </c>
      <c r="AL250">
        <v>0</v>
      </c>
      <c r="AM250" t="s">
        <v>91</v>
      </c>
      <c r="AN250" t="s">
        <v>91</v>
      </c>
      <c r="AO250" t="s">
        <v>91</v>
      </c>
      <c r="AP250" t="s">
        <v>91</v>
      </c>
      <c r="AQ250" s="1" t="s">
        <v>91</v>
      </c>
      <c r="AR250" s="1" t="s">
        <v>91</v>
      </c>
      <c r="AS250" s="1" t="s">
        <v>91</v>
      </c>
      <c r="AT250" s="1" t="s">
        <v>91</v>
      </c>
      <c r="AU250" s="1" t="s">
        <v>91</v>
      </c>
      <c r="AV250" t="s">
        <v>91</v>
      </c>
      <c r="AW250" t="s">
        <v>91</v>
      </c>
      <c r="AX250" t="s">
        <v>91</v>
      </c>
      <c r="AY250" t="s">
        <v>91</v>
      </c>
      <c r="AZ250" t="s">
        <v>91</v>
      </c>
      <c r="BA250" t="s">
        <v>91</v>
      </c>
      <c r="BB250" s="2">
        <v>44092.925393518519</v>
      </c>
      <c r="BC250" s="2"/>
      <c r="BD250" t="s">
        <v>91</v>
      </c>
      <c r="BF250" s="1" t="s">
        <v>75</v>
      </c>
      <c r="BG250">
        <v>0</v>
      </c>
      <c r="BH250">
        <v>0</v>
      </c>
      <c r="BI250" s="1" t="s">
        <v>88</v>
      </c>
      <c r="BJ250">
        <v>1</v>
      </c>
      <c r="BK250" s="1" t="s">
        <v>89</v>
      </c>
      <c r="BL250" t="s">
        <v>91</v>
      </c>
      <c r="BM250" s="1" t="s">
        <v>197</v>
      </c>
      <c r="BN250" s="1" t="s">
        <v>110</v>
      </c>
      <c r="BO250" s="1" t="s">
        <v>111</v>
      </c>
      <c r="BP250" s="1" t="s">
        <v>91</v>
      </c>
      <c r="BQ250" t="s">
        <v>91</v>
      </c>
      <c r="BR250" s="3">
        <v>44092</v>
      </c>
      <c r="BS250" s="3"/>
      <c r="BT250" t="s">
        <v>91</v>
      </c>
      <c r="BU250" t="s">
        <v>91</v>
      </c>
      <c r="BV250">
        <v>2</v>
      </c>
      <c r="BW250" s="1" t="s">
        <v>90</v>
      </c>
    </row>
    <row r="251" spans="1:75" x14ac:dyDescent="0.35">
      <c r="A251">
        <v>138137</v>
      </c>
      <c r="B251" s="1" t="s">
        <v>75</v>
      </c>
      <c r="C251">
        <v>80</v>
      </c>
      <c r="D251">
        <v>11121001</v>
      </c>
      <c r="E251">
        <v>121001</v>
      </c>
      <c r="F251" s="1" t="s">
        <v>76</v>
      </c>
      <c r="G251" s="1" t="s">
        <v>1629</v>
      </c>
      <c r="H251">
        <v>0</v>
      </c>
      <c r="I251" s="1" t="s">
        <v>78</v>
      </c>
      <c r="J251" s="1" t="s">
        <v>1630</v>
      </c>
      <c r="K251" s="1" t="s">
        <v>1631</v>
      </c>
      <c r="L251" t="s">
        <v>91</v>
      </c>
      <c r="M251" t="s">
        <v>91</v>
      </c>
      <c r="N251" s="1" t="s">
        <v>1632</v>
      </c>
      <c r="O251" t="s">
        <v>91</v>
      </c>
      <c r="P251" s="1" t="s">
        <v>1512</v>
      </c>
      <c r="Q251" s="1" t="s">
        <v>625</v>
      </c>
      <c r="R251" s="1" t="s">
        <v>1633</v>
      </c>
      <c r="S251">
        <v>1287</v>
      </c>
      <c r="T251">
        <v>89805203</v>
      </c>
      <c r="U251" s="1" t="s">
        <v>627</v>
      </c>
      <c r="V251" s="1" t="s">
        <v>337</v>
      </c>
      <c r="W251" s="1" t="s">
        <v>87</v>
      </c>
      <c r="X251">
        <v>49</v>
      </c>
      <c r="Y251">
        <v>33123630</v>
      </c>
      <c r="Z251" t="s">
        <v>91</v>
      </c>
      <c r="AA251" t="s">
        <v>91</v>
      </c>
      <c r="AB251" t="s">
        <v>91</v>
      </c>
      <c r="AC251" t="s">
        <v>91</v>
      </c>
      <c r="AD251" t="s">
        <v>91</v>
      </c>
      <c r="AE251" t="s">
        <v>91</v>
      </c>
      <c r="AF251" t="s">
        <v>91</v>
      </c>
      <c r="AG251" s="1" t="s">
        <v>146</v>
      </c>
      <c r="AH251" s="1" t="s">
        <v>91</v>
      </c>
      <c r="AI251" t="s">
        <v>91</v>
      </c>
      <c r="AM251" t="s">
        <v>91</v>
      </c>
      <c r="AN251" t="s">
        <v>91</v>
      </c>
      <c r="AO251" t="s">
        <v>91</v>
      </c>
      <c r="AP251" t="s">
        <v>91</v>
      </c>
      <c r="AQ251" s="1" t="s">
        <v>147</v>
      </c>
      <c r="AR251" s="1" t="s">
        <v>147</v>
      </c>
      <c r="AS251" s="1" t="s">
        <v>147</v>
      </c>
      <c r="AT251" s="1" t="s">
        <v>147</v>
      </c>
      <c r="AU251" s="1" t="s">
        <v>147</v>
      </c>
      <c r="AV251" t="s">
        <v>91</v>
      </c>
      <c r="AW251" t="s">
        <v>91</v>
      </c>
      <c r="AX251" t="s">
        <v>91</v>
      </c>
      <c r="AY251" t="s">
        <v>91</v>
      </c>
      <c r="AZ251" t="s">
        <v>91</v>
      </c>
      <c r="BA251" t="s">
        <v>91</v>
      </c>
      <c r="BB251" s="2">
        <v>44378.578518518516</v>
      </c>
      <c r="BC251" s="2">
        <v>44559.378969907404</v>
      </c>
      <c r="BD251" t="s">
        <v>91</v>
      </c>
      <c r="BF251" s="1" t="s">
        <v>75</v>
      </c>
      <c r="BH251">
        <v>0</v>
      </c>
      <c r="BI251" s="1" t="s">
        <v>88</v>
      </c>
      <c r="BJ251">
        <v>1</v>
      </c>
      <c r="BK251" s="1" t="s">
        <v>89</v>
      </c>
      <c r="BL251" t="s">
        <v>91</v>
      </c>
      <c r="BM251" s="1" t="s">
        <v>109</v>
      </c>
      <c r="BN251" s="1" t="s">
        <v>110</v>
      </c>
      <c r="BO251" s="1" t="s">
        <v>128</v>
      </c>
      <c r="BP251" s="1" t="s">
        <v>91</v>
      </c>
      <c r="BQ251" t="s">
        <v>91</v>
      </c>
      <c r="BR251" s="3">
        <v>44378</v>
      </c>
      <c r="BS251" s="3">
        <v>44559</v>
      </c>
      <c r="BT251" t="s">
        <v>91</v>
      </c>
      <c r="BU251" t="s">
        <v>91</v>
      </c>
      <c r="BW251" s="1" t="s">
        <v>144</v>
      </c>
    </row>
    <row r="252" spans="1:75" x14ac:dyDescent="0.35">
      <c r="A252">
        <v>144840</v>
      </c>
      <c r="B252" s="1" t="s">
        <v>75</v>
      </c>
      <c r="C252">
        <v>80</v>
      </c>
      <c r="D252">
        <v>11121001</v>
      </c>
      <c r="E252">
        <v>121001</v>
      </c>
      <c r="F252" s="1" t="s">
        <v>76</v>
      </c>
      <c r="G252" s="1" t="s">
        <v>1634</v>
      </c>
      <c r="I252" s="1" t="s">
        <v>78</v>
      </c>
      <c r="J252" s="1" t="s">
        <v>1635</v>
      </c>
      <c r="K252" s="1" t="s">
        <v>1636</v>
      </c>
      <c r="L252" t="s">
        <v>91</v>
      </c>
      <c r="M252" t="s">
        <v>91</v>
      </c>
      <c r="N252" s="1" t="s">
        <v>1637</v>
      </c>
      <c r="O252" t="s">
        <v>91</v>
      </c>
      <c r="P252" s="1" t="s">
        <v>1638</v>
      </c>
      <c r="Q252" s="1" t="s">
        <v>1639</v>
      </c>
      <c r="R252" s="1" t="s">
        <v>1640</v>
      </c>
      <c r="S252">
        <v>1280</v>
      </c>
      <c r="T252">
        <v>89245000</v>
      </c>
      <c r="U252" s="1" t="s">
        <v>962</v>
      </c>
      <c r="V252" s="1" t="s">
        <v>798</v>
      </c>
      <c r="W252" s="1" t="s">
        <v>87</v>
      </c>
      <c r="X252">
        <v>47</v>
      </c>
      <c r="Y252">
        <v>30256592</v>
      </c>
      <c r="Z252" t="s">
        <v>91</v>
      </c>
      <c r="AA252" t="s">
        <v>91</v>
      </c>
      <c r="AB252" t="s">
        <v>91</v>
      </c>
      <c r="AC252" t="s">
        <v>91</v>
      </c>
      <c r="AD252" t="s">
        <v>91</v>
      </c>
      <c r="AE252" t="s">
        <v>91</v>
      </c>
      <c r="AF252" t="s">
        <v>91</v>
      </c>
      <c r="AG252" s="1" t="s">
        <v>91</v>
      </c>
      <c r="AH252" s="1" t="s">
        <v>91</v>
      </c>
      <c r="AI252" t="s">
        <v>91</v>
      </c>
      <c r="AJ252">
        <v>0</v>
      </c>
      <c r="AK252">
        <v>0</v>
      </c>
      <c r="AL252">
        <v>0</v>
      </c>
      <c r="AM252" t="s">
        <v>91</v>
      </c>
      <c r="AN252" t="s">
        <v>91</v>
      </c>
      <c r="AO252" t="s">
        <v>91</v>
      </c>
      <c r="AP252" t="s">
        <v>91</v>
      </c>
      <c r="AQ252" s="1" t="s">
        <v>91</v>
      </c>
      <c r="AR252" s="1" t="s">
        <v>91</v>
      </c>
      <c r="AS252" s="1" t="s">
        <v>91</v>
      </c>
      <c r="AT252" s="1" t="s">
        <v>91</v>
      </c>
      <c r="AU252" s="1" t="s">
        <v>91</v>
      </c>
      <c r="AV252" t="s">
        <v>91</v>
      </c>
      <c r="AW252" t="s">
        <v>91</v>
      </c>
      <c r="AX252" t="s">
        <v>91</v>
      </c>
      <c r="AY252" t="s">
        <v>91</v>
      </c>
      <c r="AZ252" t="s">
        <v>91</v>
      </c>
      <c r="BA252" t="s">
        <v>91</v>
      </c>
      <c r="BB252" s="2"/>
      <c r="BC252" s="2"/>
      <c r="BD252" t="s">
        <v>91</v>
      </c>
      <c r="BF252" s="1" t="s">
        <v>75</v>
      </c>
      <c r="BG252">
        <v>0</v>
      </c>
      <c r="BH252">
        <v>0</v>
      </c>
      <c r="BI252" s="1" t="s">
        <v>88</v>
      </c>
      <c r="BJ252">
        <v>1</v>
      </c>
      <c r="BK252" s="1" t="s">
        <v>89</v>
      </c>
      <c r="BL252" t="s">
        <v>91</v>
      </c>
      <c r="BM252" s="1" t="s">
        <v>91</v>
      </c>
      <c r="BN252" s="1" t="s">
        <v>91</v>
      </c>
      <c r="BO252" s="1" t="s">
        <v>180</v>
      </c>
      <c r="BP252" s="1" t="s">
        <v>91</v>
      </c>
      <c r="BQ252" t="s">
        <v>91</v>
      </c>
      <c r="BR252" s="3"/>
      <c r="BS252" s="3"/>
      <c r="BT252" t="s">
        <v>91</v>
      </c>
      <c r="BU252" t="s">
        <v>91</v>
      </c>
      <c r="BW252" s="1" t="s">
        <v>862</v>
      </c>
    </row>
    <row r="253" spans="1:75" x14ac:dyDescent="0.35">
      <c r="A253">
        <v>156788</v>
      </c>
      <c r="B253" s="1" t="s">
        <v>75</v>
      </c>
      <c r="C253">
        <v>80</v>
      </c>
      <c r="D253">
        <v>11121001</v>
      </c>
      <c r="E253">
        <v>121001</v>
      </c>
      <c r="F253" s="1" t="s">
        <v>76</v>
      </c>
      <c r="G253" s="1" t="s">
        <v>1641</v>
      </c>
      <c r="H253">
        <v>0</v>
      </c>
      <c r="I253" s="1" t="s">
        <v>78</v>
      </c>
      <c r="J253" s="1" t="s">
        <v>1642</v>
      </c>
      <c r="K253" s="1" t="s">
        <v>1643</v>
      </c>
      <c r="L253" t="s">
        <v>91</v>
      </c>
      <c r="M253" t="s">
        <v>91</v>
      </c>
      <c r="N253" s="1" t="s">
        <v>1644</v>
      </c>
      <c r="O253" t="s">
        <v>91</v>
      </c>
      <c r="P253" s="1" t="s">
        <v>611</v>
      </c>
      <c r="Q253" s="1" t="s">
        <v>1645</v>
      </c>
      <c r="R253" s="1" t="s">
        <v>91</v>
      </c>
      <c r="T253">
        <v>89237448</v>
      </c>
      <c r="U253" s="1" t="s">
        <v>688</v>
      </c>
      <c r="V253" s="1" t="s">
        <v>100</v>
      </c>
      <c r="W253" s="1" t="s">
        <v>87</v>
      </c>
      <c r="X253">
        <v>47</v>
      </c>
      <c r="Y253">
        <v>30287401</v>
      </c>
      <c r="Z253" t="s">
        <v>91</v>
      </c>
      <c r="AA253" t="s">
        <v>91</v>
      </c>
      <c r="AB253" t="s">
        <v>91</v>
      </c>
      <c r="AC253" t="s">
        <v>91</v>
      </c>
      <c r="AD253" t="s">
        <v>91</v>
      </c>
      <c r="AE253" t="s">
        <v>91</v>
      </c>
      <c r="AF253" t="s">
        <v>91</v>
      </c>
      <c r="AG253" s="1" t="s">
        <v>91</v>
      </c>
      <c r="AH253" s="1" t="s">
        <v>91</v>
      </c>
      <c r="AI253" t="s">
        <v>91</v>
      </c>
      <c r="AM253" t="s">
        <v>91</v>
      </c>
      <c r="AN253" t="s">
        <v>91</v>
      </c>
      <c r="AO253" t="s">
        <v>91</v>
      </c>
      <c r="AP253" t="s">
        <v>91</v>
      </c>
      <c r="AQ253" s="1" t="s">
        <v>91</v>
      </c>
      <c r="AR253" s="1" t="s">
        <v>91</v>
      </c>
      <c r="AS253" s="1" t="s">
        <v>91</v>
      </c>
      <c r="AT253" s="1" t="s">
        <v>91</v>
      </c>
      <c r="AU253" s="1" t="s">
        <v>91</v>
      </c>
      <c r="AV253" t="s">
        <v>91</v>
      </c>
      <c r="AW253" t="s">
        <v>91</v>
      </c>
      <c r="AX253" t="s">
        <v>91</v>
      </c>
      <c r="AY253" t="s">
        <v>91</v>
      </c>
      <c r="AZ253" t="s">
        <v>91</v>
      </c>
      <c r="BA253" t="s">
        <v>91</v>
      </c>
      <c r="BB253" s="2">
        <v>45113.505416666667</v>
      </c>
      <c r="BC253" s="2"/>
      <c r="BD253" t="s">
        <v>91</v>
      </c>
      <c r="BF253" s="1" t="s">
        <v>75</v>
      </c>
      <c r="BI253" s="1" t="s">
        <v>88</v>
      </c>
      <c r="BJ253">
        <v>1</v>
      </c>
      <c r="BK253" s="1" t="s">
        <v>89</v>
      </c>
      <c r="BL253" t="s">
        <v>91</v>
      </c>
      <c r="BM253" s="1" t="s">
        <v>91</v>
      </c>
      <c r="BN253" s="1" t="s">
        <v>91</v>
      </c>
      <c r="BO253" s="1" t="s">
        <v>91</v>
      </c>
      <c r="BP253" s="1" t="s">
        <v>91</v>
      </c>
      <c r="BQ253" t="s">
        <v>91</v>
      </c>
      <c r="BR253" s="3">
        <v>45113</v>
      </c>
      <c r="BS253" s="3"/>
      <c r="BT253" t="s">
        <v>91</v>
      </c>
      <c r="BU253" t="s">
        <v>91</v>
      </c>
      <c r="BW253" s="1" t="s">
        <v>862</v>
      </c>
    </row>
    <row r="254" spans="1:75" x14ac:dyDescent="0.35">
      <c r="A254">
        <v>800</v>
      </c>
      <c r="B254" s="1" t="s">
        <v>75</v>
      </c>
      <c r="C254">
        <v>80</v>
      </c>
      <c r="D254">
        <v>11121001</v>
      </c>
      <c r="E254">
        <v>121001</v>
      </c>
      <c r="F254" s="1" t="s">
        <v>76</v>
      </c>
      <c r="G254" s="1" t="s">
        <v>1646</v>
      </c>
      <c r="I254" s="1" t="s">
        <v>78</v>
      </c>
      <c r="J254" s="1" t="s">
        <v>1647</v>
      </c>
      <c r="K254" s="1" t="s">
        <v>1648</v>
      </c>
      <c r="L254" t="s">
        <v>91</v>
      </c>
      <c r="M254" t="s">
        <v>91</v>
      </c>
      <c r="N254" s="1" t="s">
        <v>1649</v>
      </c>
      <c r="O254" t="s">
        <v>91</v>
      </c>
      <c r="P254" s="1" t="s">
        <v>125</v>
      </c>
      <c r="Q254" s="1" t="s">
        <v>1650</v>
      </c>
      <c r="R254" s="1" t="s">
        <v>245</v>
      </c>
      <c r="S254">
        <v>1277</v>
      </c>
      <c r="T254">
        <v>89201010</v>
      </c>
      <c r="U254" s="1" t="s">
        <v>108</v>
      </c>
      <c r="V254" s="1" t="s">
        <v>100</v>
      </c>
      <c r="W254" s="1" t="s">
        <v>87</v>
      </c>
      <c r="X254">
        <v>47</v>
      </c>
      <c r="Y254">
        <v>34553455</v>
      </c>
      <c r="Z254" t="s">
        <v>91</v>
      </c>
      <c r="AA254" t="s">
        <v>91</v>
      </c>
      <c r="AB254" t="s">
        <v>91</v>
      </c>
      <c r="AC254" t="s">
        <v>91</v>
      </c>
      <c r="AD254" t="s">
        <v>91</v>
      </c>
      <c r="AE254" t="s">
        <v>91</v>
      </c>
      <c r="AF254" t="s">
        <v>91</v>
      </c>
      <c r="AG254" s="1" t="s">
        <v>91</v>
      </c>
      <c r="AH254" s="1" t="s">
        <v>91</v>
      </c>
      <c r="AI254" t="s">
        <v>91</v>
      </c>
      <c r="AJ254">
        <v>0</v>
      </c>
      <c r="AK254">
        <v>0</v>
      </c>
      <c r="AL254">
        <v>0</v>
      </c>
      <c r="AM254" t="s">
        <v>91</v>
      </c>
      <c r="AN254" t="s">
        <v>91</v>
      </c>
      <c r="AO254" t="s">
        <v>91</v>
      </c>
      <c r="AP254" t="s">
        <v>91</v>
      </c>
      <c r="AQ254" s="1" t="s">
        <v>91</v>
      </c>
      <c r="AR254" s="1" t="s">
        <v>91</v>
      </c>
      <c r="AS254" s="1" t="s">
        <v>91</v>
      </c>
      <c r="AT254" s="1" t="s">
        <v>91</v>
      </c>
      <c r="AU254" s="1" t="s">
        <v>91</v>
      </c>
      <c r="AV254" t="s">
        <v>91</v>
      </c>
      <c r="AW254" t="s">
        <v>91</v>
      </c>
      <c r="AX254" t="s">
        <v>91</v>
      </c>
      <c r="AY254" t="s">
        <v>91</v>
      </c>
      <c r="AZ254" t="s">
        <v>91</v>
      </c>
      <c r="BA254" t="s">
        <v>91</v>
      </c>
      <c r="BB254" s="2">
        <v>43308.392951388887</v>
      </c>
      <c r="BC254" s="2"/>
      <c r="BD254" t="s">
        <v>91</v>
      </c>
      <c r="BE254">
        <v>800</v>
      </c>
      <c r="BF254" s="1" t="s">
        <v>75</v>
      </c>
      <c r="BG254">
        <v>0</v>
      </c>
      <c r="BH254">
        <v>0</v>
      </c>
      <c r="BI254" s="1" t="s">
        <v>88</v>
      </c>
      <c r="BJ254">
        <v>1</v>
      </c>
      <c r="BK254" s="1" t="s">
        <v>89</v>
      </c>
      <c r="BL254" t="s">
        <v>91</v>
      </c>
      <c r="BM254" s="1" t="s">
        <v>109</v>
      </c>
      <c r="BN254" s="1" t="s">
        <v>110</v>
      </c>
      <c r="BO254" s="1" t="s">
        <v>165</v>
      </c>
      <c r="BP254" s="1" t="s">
        <v>91</v>
      </c>
      <c r="BQ254" t="s">
        <v>91</v>
      </c>
      <c r="BR254" s="3">
        <v>43308</v>
      </c>
      <c r="BS254" s="3"/>
      <c r="BT254" t="s">
        <v>91</v>
      </c>
      <c r="BU254" t="s">
        <v>91</v>
      </c>
      <c r="BV254">
        <v>5</v>
      </c>
      <c r="BW254" s="1" t="s">
        <v>90</v>
      </c>
    </row>
    <row r="255" spans="1:75" x14ac:dyDescent="0.35">
      <c r="A255">
        <v>157569</v>
      </c>
      <c r="B255" s="1" t="s">
        <v>75</v>
      </c>
      <c r="C255">
        <v>80</v>
      </c>
      <c r="D255">
        <v>11121001</v>
      </c>
      <c r="E255">
        <v>121001</v>
      </c>
      <c r="F255" s="1" t="s">
        <v>76</v>
      </c>
      <c r="G255" s="1" t="s">
        <v>1651</v>
      </c>
      <c r="H255">
        <v>0</v>
      </c>
      <c r="I255" s="1" t="s">
        <v>78</v>
      </c>
      <c r="J255" s="1" t="s">
        <v>1652</v>
      </c>
      <c r="K255" s="1" t="s">
        <v>1653</v>
      </c>
      <c r="L255" t="s">
        <v>91</v>
      </c>
      <c r="M255" t="s">
        <v>91</v>
      </c>
      <c r="N255" s="1" t="s">
        <v>1654</v>
      </c>
      <c r="O255" t="s">
        <v>91</v>
      </c>
      <c r="P255" s="1" t="s">
        <v>415</v>
      </c>
      <c r="Q255" s="1" t="s">
        <v>1655</v>
      </c>
      <c r="R255" s="1" t="s">
        <v>1656</v>
      </c>
      <c r="T255">
        <v>89204001</v>
      </c>
      <c r="U255" s="1" t="s">
        <v>1657</v>
      </c>
      <c r="V255" s="1" t="s">
        <v>100</v>
      </c>
      <c r="W255" s="1" t="s">
        <v>87</v>
      </c>
      <c r="X255">
        <v>47</v>
      </c>
      <c r="Y255">
        <v>992597484</v>
      </c>
      <c r="Z255" t="s">
        <v>91</v>
      </c>
      <c r="AA255" t="s">
        <v>91</v>
      </c>
      <c r="AB255" t="s">
        <v>91</v>
      </c>
      <c r="AC255" t="s">
        <v>91</v>
      </c>
      <c r="AD255" t="s">
        <v>91</v>
      </c>
      <c r="AE255" t="s">
        <v>91</v>
      </c>
      <c r="AF255" t="s">
        <v>91</v>
      </c>
      <c r="AG255" s="1" t="s">
        <v>91</v>
      </c>
      <c r="AH255" s="1" t="s">
        <v>91</v>
      </c>
      <c r="AI255" t="s">
        <v>91</v>
      </c>
      <c r="AM255" t="s">
        <v>91</v>
      </c>
      <c r="AN255" t="s">
        <v>91</v>
      </c>
      <c r="AO255" t="s">
        <v>91</v>
      </c>
      <c r="AP255" t="s">
        <v>91</v>
      </c>
      <c r="AQ255" s="1" t="s">
        <v>91</v>
      </c>
      <c r="AR255" s="1" t="s">
        <v>91</v>
      </c>
      <c r="AS255" s="1" t="s">
        <v>91</v>
      </c>
      <c r="AT255" s="1" t="s">
        <v>91</v>
      </c>
      <c r="AU255" s="1" t="s">
        <v>91</v>
      </c>
      <c r="AV255" t="s">
        <v>91</v>
      </c>
      <c r="AW255" t="s">
        <v>91</v>
      </c>
      <c r="AX255" t="s">
        <v>91</v>
      </c>
      <c r="AY255" t="s">
        <v>91</v>
      </c>
      <c r="AZ255" t="s">
        <v>91</v>
      </c>
      <c r="BA255" t="s">
        <v>91</v>
      </c>
      <c r="BB255" s="2">
        <v>45118.093391203707</v>
      </c>
      <c r="BC255" s="2"/>
      <c r="BD255" t="s">
        <v>91</v>
      </c>
      <c r="BF255" s="1" t="s">
        <v>75</v>
      </c>
      <c r="BI255" s="1" t="s">
        <v>88</v>
      </c>
      <c r="BJ255">
        <v>1</v>
      </c>
      <c r="BK255" s="1" t="s">
        <v>89</v>
      </c>
      <c r="BL255" t="s">
        <v>91</v>
      </c>
      <c r="BM255" s="1" t="s">
        <v>91</v>
      </c>
      <c r="BN255" s="1" t="s">
        <v>91</v>
      </c>
      <c r="BO255" s="1" t="s">
        <v>91</v>
      </c>
      <c r="BP255" s="1" t="s">
        <v>91</v>
      </c>
      <c r="BQ255" t="s">
        <v>91</v>
      </c>
      <c r="BR255" s="3">
        <v>45118</v>
      </c>
      <c r="BS255" s="3"/>
      <c r="BT255" t="s">
        <v>91</v>
      </c>
      <c r="BU255" t="s">
        <v>91</v>
      </c>
      <c r="BW255" s="1" t="s">
        <v>90</v>
      </c>
    </row>
    <row r="256" spans="1:75" x14ac:dyDescent="0.35">
      <c r="A256">
        <v>144463</v>
      </c>
      <c r="B256" s="1" t="s">
        <v>75</v>
      </c>
      <c r="C256">
        <v>80</v>
      </c>
      <c r="D256">
        <v>11121001</v>
      </c>
      <c r="E256">
        <v>121001</v>
      </c>
      <c r="F256" s="1" t="s">
        <v>76</v>
      </c>
      <c r="G256" s="1" t="s">
        <v>1658</v>
      </c>
      <c r="I256" s="1" t="s">
        <v>78</v>
      </c>
      <c r="J256" s="1" t="s">
        <v>1659</v>
      </c>
      <c r="K256" s="1" t="s">
        <v>1660</v>
      </c>
      <c r="L256" t="s">
        <v>91</v>
      </c>
      <c r="M256" t="s">
        <v>91</v>
      </c>
      <c r="N256" s="1" t="s">
        <v>1425</v>
      </c>
      <c r="O256" t="s">
        <v>91</v>
      </c>
      <c r="P256" s="1" t="s">
        <v>105</v>
      </c>
      <c r="Q256" s="1" t="s">
        <v>1661</v>
      </c>
      <c r="R256" s="1" t="s">
        <v>91</v>
      </c>
      <c r="S256">
        <v>1277</v>
      </c>
      <c r="T256">
        <v>89201000</v>
      </c>
      <c r="U256" s="1" t="s">
        <v>108</v>
      </c>
      <c r="V256" s="1" t="s">
        <v>100</v>
      </c>
      <c r="W256" s="1" t="s">
        <v>87</v>
      </c>
      <c r="X256">
        <v>47</v>
      </c>
      <c r="Y256">
        <v>30286568</v>
      </c>
      <c r="Z256" t="s">
        <v>91</v>
      </c>
      <c r="AA256" t="s">
        <v>91</v>
      </c>
      <c r="AB256" t="s">
        <v>91</v>
      </c>
      <c r="AC256" t="s">
        <v>91</v>
      </c>
      <c r="AD256" t="s">
        <v>91</v>
      </c>
      <c r="AE256" t="s">
        <v>91</v>
      </c>
      <c r="AF256" t="s">
        <v>91</v>
      </c>
      <c r="AG256" s="1" t="s">
        <v>91</v>
      </c>
      <c r="AH256" s="1" t="s">
        <v>91</v>
      </c>
      <c r="AI256" t="s">
        <v>91</v>
      </c>
      <c r="AJ256">
        <v>0</v>
      </c>
      <c r="AK256">
        <v>0</v>
      </c>
      <c r="AL256">
        <v>0</v>
      </c>
      <c r="AM256" t="s">
        <v>91</v>
      </c>
      <c r="AN256" t="s">
        <v>91</v>
      </c>
      <c r="AO256" t="s">
        <v>91</v>
      </c>
      <c r="AP256" t="s">
        <v>91</v>
      </c>
      <c r="AQ256" s="1" t="s">
        <v>91</v>
      </c>
      <c r="AR256" s="1" t="s">
        <v>91</v>
      </c>
      <c r="AS256" s="1" t="s">
        <v>91</v>
      </c>
      <c r="AT256" s="1" t="s">
        <v>91</v>
      </c>
      <c r="AU256" s="1" t="s">
        <v>91</v>
      </c>
      <c r="AV256" t="s">
        <v>91</v>
      </c>
      <c r="AW256" t="s">
        <v>91</v>
      </c>
      <c r="AX256" t="s">
        <v>91</v>
      </c>
      <c r="AY256" t="s">
        <v>91</v>
      </c>
      <c r="AZ256" t="s">
        <v>91</v>
      </c>
      <c r="BA256" t="s">
        <v>91</v>
      </c>
      <c r="BB256" s="2"/>
      <c r="BC256" s="2"/>
      <c r="BD256" t="s">
        <v>91</v>
      </c>
      <c r="BF256" s="1" t="s">
        <v>75</v>
      </c>
      <c r="BG256">
        <v>0</v>
      </c>
      <c r="BH256">
        <v>0</v>
      </c>
      <c r="BI256" s="1" t="s">
        <v>88</v>
      </c>
      <c r="BJ256">
        <v>1</v>
      </c>
      <c r="BK256" s="1" t="s">
        <v>89</v>
      </c>
      <c r="BL256" t="s">
        <v>91</v>
      </c>
      <c r="BM256" s="1" t="s">
        <v>197</v>
      </c>
      <c r="BN256" s="1" t="s">
        <v>110</v>
      </c>
      <c r="BO256" s="1" t="s">
        <v>165</v>
      </c>
      <c r="BP256" s="1" t="s">
        <v>91</v>
      </c>
      <c r="BQ256" t="s">
        <v>91</v>
      </c>
      <c r="BR256" s="3"/>
      <c r="BS256" s="3"/>
      <c r="BT256" t="s">
        <v>91</v>
      </c>
      <c r="BU256" t="s">
        <v>91</v>
      </c>
      <c r="BV256">
        <v>1</v>
      </c>
      <c r="BW256" s="1" t="s">
        <v>90</v>
      </c>
    </row>
    <row r="257" spans="1:75" x14ac:dyDescent="0.35">
      <c r="A257">
        <v>143865</v>
      </c>
      <c r="B257" s="1" t="s">
        <v>75</v>
      </c>
      <c r="C257">
        <v>80</v>
      </c>
      <c r="D257">
        <v>11121001</v>
      </c>
      <c r="E257">
        <v>121001</v>
      </c>
      <c r="F257" s="1" t="s">
        <v>76</v>
      </c>
      <c r="G257" s="1" t="s">
        <v>1662</v>
      </c>
      <c r="H257">
        <v>0</v>
      </c>
      <c r="I257" s="1" t="s">
        <v>78</v>
      </c>
      <c r="J257" s="1" t="s">
        <v>1663</v>
      </c>
      <c r="K257" s="1" t="s">
        <v>1664</v>
      </c>
      <c r="L257" t="s">
        <v>91</v>
      </c>
      <c r="M257" t="s">
        <v>91</v>
      </c>
      <c r="N257" s="1" t="s">
        <v>1665</v>
      </c>
      <c r="O257" t="s">
        <v>91</v>
      </c>
      <c r="P257" s="1" t="s">
        <v>1666</v>
      </c>
      <c r="Q257" s="1" t="s">
        <v>1667</v>
      </c>
      <c r="R257" s="1" t="s">
        <v>370</v>
      </c>
      <c r="S257">
        <v>1286</v>
      </c>
      <c r="T257">
        <v>89770000</v>
      </c>
      <c r="U257" s="1" t="s">
        <v>108</v>
      </c>
      <c r="V257" s="1" t="s">
        <v>906</v>
      </c>
      <c r="W257" s="1" t="s">
        <v>87</v>
      </c>
      <c r="X257">
        <v>49</v>
      </c>
      <c r="Y257">
        <v>35205035</v>
      </c>
      <c r="Z257" t="s">
        <v>91</v>
      </c>
      <c r="AA257" t="s">
        <v>91</v>
      </c>
      <c r="AB257" t="s">
        <v>91</v>
      </c>
      <c r="AC257" t="s">
        <v>91</v>
      </c>
      <c r="AD257" t="s">
        <v>91</v>
      </c>
      <c r="AE257" t="s">
        <v>91</v>
      </c>
      <c r="AF257" t="s">
        <v>91</v>
      </c>
      <c r="AG257" s="1" t="s">
        <v>146</v>
      </c>
      <c r="AH257" s="1" t="s">
        <v>91</v>
      </c>
      <c r="AI257" t="s">
        <v>91</v>
      </c>
      <c r="AM257" t="s">
        <v>91</v>
      </c>
      <c r="AN257" t="s">
        <v>91</v>
      </c>
      <c r="AO257" t="s">
        <v>91</v>
      </c>
      <c r="AP257" t="s">
        <v>91</v>
      </c>
      <c r="AQ257" s="1" t="s">
        <v>147</v>
      </c>
      <c r="AR257" s="1" t="s">
        <v>147</v>
      </c>
      <c r="AS257" s="1" t="s">
        <v>147</v>
      </c>
      <c r="AT257" s="1" t="s">
        <v>147</v>
      </c>
      <c r="AU257" s="1" t="s">
        <v>147</v>
      </c>
      <c r="AV257" t="s">
        <v>91</v>
      </c>
      <c r="AW257" t="s">
        <v>91</v>
      </c>
      <c r="AX257" t="s">
        <v>91</v>
      </c>
      <c r="AY257" t="s">
        <v>91</v>
      </c>
      <c r="AZ257" t="s">
        <v>91</v>
      </c>
      <c r="BA257" t="s">
        <v>91</v>
      </c>
      <c r="BB257" s="2">
        <v>44512.579421296294</v>
      </c>
      <c r="BC257" s="2">
        <v>44657.465104166666</v>
      </c>
      <c r="BD257" t="s">
        <v>91</v>
      </c>
      <c r="BF257" s="1" t="s">
        <v>75</v>
      </c>
      <c r="BH257">
        <v>0</v>
      </c>
      <c r="BI257" s="1" t="s">
        <v>88</v>
      </c>
      <c r="BJ257">
        <v>1</v>
      </c>
      <c r="BK257" s="1" t="s">
        <v>89</v>
      </c>
      <c r="BL257" t="s">
        <v>91</v>
      </c>
      <c r="BM257" s="1" t="s">
        <v>91</v>
      </c>
      <c r="BN257" s="1" t="s">
        <v>91</v>
      </c>
      <c r="BO257" s="1" t="s">
        <v>180</v>
      </c>
      <c r="BP257" s="1" t="s">
        <v>91</v>
      </c>
      <c r="BQ257" t="s">
        <v>91</v>
      </c>
      <c r="BR257" s="3">
        <v>44512</v>
      </c>
      <c r="BS257" s="3">
        <v>44657</v>
      </c>
      <c r="BT257" t="s">
        <v>91</v>
      </c>
      <c r="BU257" t="s">
        <v>91</v>
      </c>
      <c r="BW257" s="1" t="s">
        <v>1452</v>
      </c>
    </row>
    <row r="258" spans="1:75" x14ac:dyDescent="0.35">
      <c r="A258">
        <v>157560</v>
      </c>
      <c r="B258" s="1" t="s">
        <v>75</v>
      </c>
      <c r="C258">
        <v>80</v>
      </c>
      <c r="D258">
        <v>11121001</v>
      </c>
      <c r="E258">
        <v>121001</v>
      </c>
      <c r="F258" s="1" t="s">
        <v>76</v>
      </c>
      <c r="G258" s="1" t="s">
        <v>1668</v>
      </c>
      <c r="H258">
        <v>0</v>
      </c>
      <c r="I258" s="1" t="s">
        <v>78</v>
      </c>
      <c r="J258" s="1" t="s">
        <v>1669</v>
      </c>
      <c r="K258" s="1" t="s">
        <v>1670</v>
      </c>
      <c r="L258" t="s">
        <v>91</v>
      </c>
      <c r="M258" t="s">
        <v>91</v>
      </c>
      <c r="N258" s="1" t="s">
        <v>360</v>
      </c>
      <c r="O258" t="s">
        <v>91</v>
      </c>
      <c r="P258" s="1" t="s">
        <v>1671</v>
      </c>
      <c r="Q258" s="1" t="s">
        <v>1672</v>
      </c>
      <c r="R258" s="1" t="s">
        <v>91</v>
      </c>
      <c r="S258">
        <v>1383</v>
      </c>
      <c r="T258">
        <v>99010023</v>
      </c>
      <c r="U258" s="1" t="s">
        <v>108</v>
      </c>
      <c r="V258" s="1" t="s">
        <v>371</v>
      </c>
      <c r="W258" s="1" t="s">
        <v>157</v>
      </c>
      <c r="X258">
        <v>54</v>
      </c>
      <c r="Y258">
        <v>30455259</v>
      </c>
      <c r="Z258" t="s">
        <v>91</v>
      </c>
      <c r="AA258" t="s">
        <v>91</v>
      </c>
      <c r="AB258" t="s">
        <v>91</v>
      </c>
      <c r="AC258" t="s">
        <v>91</v>
      </c>
      <c r="AD258" t="s">
        <v>91</v>
      </c>
      <c r="AE258" t="s">
        <v>91</v>
      </c>
      <c r="AF258" t="s">
        <v>91</v>
      </c>
      <c r="AG258" s="1" t="s">
        <v>91</v>
      </c>
      <c r="AH258" s="1" t="s">
        <v>91</v>
      </c>
      <c r="AI258" t="s">
        <v>91</v>
      </c>
      <c r="AM258" t="s">
        <v>91</v>
      </c>
      <c r="AN258" t="s">
        <v>91</v>
      </c>
      <c r="AO258" t="s">
        <v>91</v>
      </c>
      <c r="AP258" t="s">
        <v>91</v>
      </c>
      <c r="AQ258" s="1" t="s">
        <v>91</v>
      </c>
      <c r="AR258" s="1" t="s">
        <v>91</v>
      </c>
      <c r="AS258" s="1" t="s">
        <v>91</v>
      </c>
      <c r="AT258" s="1" t="s">
        <v>91</v>
      </c>
      <c r="AU258" s="1" t="s">
        <v>91</v>
      </c>
      <c r="AV258" t="s">
        <v>91</v>
      </c>
      <c r="AW258" t="s">
        <v>91</v>
      </c>
      <c r="AX258" t="s">
        <v>91</v>
      </c>
      <c r="AY258" t="s">
        <v>91</v>
      </c>
      <c r="AZ258" t="s">
        <v>91</v>
      </c>
      <c r="BA258" t="s">
        <v>91</v>
      </c>
      <c r="BB258" s="2">
        <v>45118.093391203707</v>
      </c>
      <c r="BC258" s="2"/>
      <c r="BD258" t="s">
        <v>91</v>
      </c>
      <c r="BF258" s="1" t="s">
        <v>75</v>
      </c>
      <c r="BI258" s="1" t="s">
        <v>88</v>
      </c>
      <c r="BJ258">
        <v>1</v>
      </c>
      <c r="BK258" s="1" t="s">
        <v>89</v>
      </c>
      <c r="BL258" t="s">
        <v>91</v>
      </c>
      <c r="BM258" s="1" t="s">
        <v>91</v>
      </c>
      <c r="BN258" s="1" t="s">
        <v>91</v>
      </c>
      <c r="BO258" s="1" t="s">
        <v>91</v>
      </c>
      <c r="BP258" s="1" t="s">
        <v>91</v>
      </c>
      <c r="BQ258" t="s">
        <v>91</v>
      </c>
      <c r="BR258" s="3">
        <v>45118</v>
      </c>
      <c r="BS258" s="3"/>
      <c r="BT258" t="s">
        <v>91</v>
      </c>
      <c r="BU258" t="s">
        <v>91</v>
      </c>
      <c r="BW258" s="1" t="s">
        <v>90</v>
      </c>
    </row>
    <row r="259" spans="1:75" x14ac:dyDescent="0.35">
      <c r="A259">
        <v>157521</v>
      </c>
      <c r="B259" s="1" t="s">
        <v>75</v>
      </c>
      <c r="C259">
        <v>80</v>
      </c>
      <c r="D259">
        <v>11121001</v>
      </c>
      <c r="E259">
        <v>121001</v>
      </c>
      <c r="F259" s="1" t="s">
        <v>76</v>
      </c>
      <c r="G259" s="1" t="s">
        <v>1673</v>
      </c>
      <c r="H259">
        <v>0</v>
      </c>
      <c r="I259" s="1" t="s">
        <v>78</v>
      </c>
      <c r="J259" s="1" t="s">
        <v>1669</v>
      </c>
      <c r="K259" s="1" t="s">
        <v>1674</v>
      </c>
      <c r="L259" t="s">
        <v>91</v>
      </c>
      <c r="M259" t="s">
        <v>91</v>
      </c>
      <c r="N259" s="1" t="s">
        <v>1675</v>
      </c>
      <c r="O259" t="s">
        <v>91</v>
      </c>
      <c r="P259" s="1" t="s">
        <v>243</v>
      </c>
      <c r="Q259" s="1" t="s">
        <v>862</v>
      </c>
      <c r="R259" s="1" t="s">
        <v>1676</v>
      </c>
      <c r="T259">
        <v>99010001</v>
      </c>
      <c r="U259" s="1" t="s">
        <v>108</v>
      </c>
      <c r="V259" s="1" t="s">
        <v>371</v>
      </c>
      <c r="W259" s="1" t="s">
        <v>157</v>
      </c>
      <c r="X259">
        <v>54</v>
      </c>
      <c r="Y259">
        <v>30455259</v>
      </c>
      <c r="Z259" t="s">
        <v>91</v>
      </c>
      <c r="AA259" t="s">
        <v>91</v>
      </c>
      <c r="AB259" t="s">
        <v>91</v>
      </c>
      <c r="AC259" t="s">
        <v>91</v>
      </c>
      <c r="AD259" t="s">
        <v>91</v>
      </c>
      <c r="AE259" t="s">
        <v>91</v>
      </c>
      <c r="AF259" t="s">
        <v>91</v>
      </c>
      <c r="AG259" s="1" t="s">
        <v>91</v>
      </c>
      <c r="AH259" s="1" t="s">
        <v>91</v>
      </c>
      <c r="AI259" t="s">
        <v>91</v>
      </c>
      <c r="AM259" t="s">
        <v>91</v>
      </c>
      <c r="AN259" t="s">
        <v>91</v>
      </c>
      <c r="AO259" t="s">
        <v>91</v>
      </c>
      <c r="AP259" t="s">
        <v>91</v>
      </c>
      <c r="AQ259" s="1" t="s">
        <v>91</v>
      </c>
      <c r="AR259" s="1" t="s">
        <v>91</v>
      </c>
      <c r="AS259" s="1" t="s">
        <v>91</v>
      </c>
      <c r="AT259" s="1" t="s">
        <v>91</v>
      </c>
      <c r="AU259" s="1" t="s">
        <v>91</v>
      </c>
      <c r="AV259" t="s">
        <v>91</v>
      </c>
      <c r="AW259" t="s">
        <v>91</v>
      </c>
      <c r="AX259" t="s">
        <v>91</v>
      </c>
      <c r="AY259" t="s">
        <v>91</v>
      </c>
      <c r="AZ259" t="s">
        <v>91</v>
      </c>
      <c r="BA259" t="s">
        <v>91</v>
      </c>
      <c r="BB259" s="2">
        <v>45118.093391203707</v>
      </c>
      <c r="BC259" s="2"/>
      <c r="BD259" t="s">
        <v>91</v>
      </c>
      <c r="BF259" s="1" t="s">
        <v>75</v>
      </c>
      <c r="BI259" s="1" t="s">
        <v>88</v>
      </c>
      <c r="BJ259">
        <v>1</v>
      </c>
      <c r="BK259" s="1" t="s">
        <v>89</v>
      </c>
      <c r="BL259" t="s">
        <v>91</v>
      </c>
      <c r="BM259" s="1" t="s">
        <v>91</v>
      </c>
      <c r="BN259" s="1" t="s">
        <v>91</v>
      </c>
      <c r="BO259" s="1" t="s">
        <v>91</v>
      </c>
      <c r="BP259" s="1" t="s">
        <v>91</v>
      </c>
      <c r="BQ259" t="s">
        <v>91</v>
      </c>
      <c r="BR259" s="3">
        <v>45118</v>
      </c>
      <c r="BS259" s="3"/>
      <c r="BT259" t="s">
        <v>91</v>
      </c>
      <c r="BU259" t="s">
        <v>91</v>
      </c>
      <c r="BW259" s="1" t="s">
        <v>90</v>
      </c>
    </row>
    <row r="260" spans="1:75" x14ac:dyDescent="0.35">
      <c r="A260">
        <v>157522</v>
      </c>
      <c r="B260" s="1" t="s">
        <v>75</v>
      </c>
      <c r="C260">
        <v>80</v>
      </c>
      <c r="D260">
        <v>11121001</v>
      </c>
      <c r="E260">
        <v>121001</v>
      </c>
      <c r="F260" s="1" t="s">
        <v>76</v>
      </c>
      <c r="G260" s="1" t="s">
        <v>1677</v>
      </c>
      <c r="H260">
        <v>0</v>
      </c>
      <c r="I260" s="1" t="s">
        <v>78</v>
      </c>
      <c r="J260" s="1" t="s">
        <v>1669</v>
      </c>
      <c r="K260" s="1" t="s">
        <v>1678</v>
      </c>
      <c r="L260" t="s">
        <v>91</v>
      </c>
      <c r="M260" t="s">
        <v>91</v>
      </c>
      <c r="N260" s="1" t="s">
        <v>1679</v>
      </c>
      <c r="O260" t="s">
        <v>91</v>
      </c>
      <c r="P260" s="1" t="s">
        <v>1680</v>
      </c>
      <c r="Q260" s="1" t="s">
        <v>1681</v>
      </c>
      <c r="R260" s="1" t="s">
        <v>1682</v>
      </c>
      <c r="S260">
        <v>1383</v>
      </c>
      <c r="T260">
        <v>99070000</v>
      </c>
      <c r="U260" s="1" t="s">
        <v>499</v>
      </c>
      <c r="V260" s="1" t="s">
        <v>371</v>
      </c>
      <c r="W260" s="1" t="s">
        <v>157</v>
      </c>
      <c r="X260">
        <v>54</v>
      </c>
      <c r="Y260">
        <v>30455777</v>
      </c>
      <c r="Z260" t="s">
        <v>91</v>
      </c>
      <c r="AA260" t="s">
        <v>91</v>
      </c>
      <c r="AB260" t="s">
        <v>91</v>
      </c>
      <c r="AC260" t="s">
        <v>91</v>
      </c>
      <c r="AD260" t="s">
        <v>91</v>
      </c>
      <c r="AE260" t="s">
        <v>91</v>
      </c>
      <c r="AF260" t="s">
        <v>91</v>
      </c>
      <c r="AG260" s="1" t="s">
        <v>91</v>
      </c>
      <c r="AH260" s="1" t="s">
        <v>91</v>
      </c>
      <c r="AI260" t="s">
        <v>91</v>
      </c>
      <c r="AM260" t="s">
        <v>91</v>
      </c>
      <c r="AN260" t="s">
        <v>91</v>
      </c>
      <c r="AO260" t="s">
        <v>91</v>
      </c>
      <c r="AP260" t="s">
        <v>91</v>
      </c>
      <c r="AQ260" s="1" t="s">
        <v>91</v>
      </c>
      <c r="AR260" s="1" t="s">
        <v>91</v>
      </c>
      <c r="AS260" s="1" t="s">
        <v>91</v>
      </c>
      <c r="AT260" s="1" t="s">
        <v>91</v>
      </c>
      <c r="AU260" s="1" t="s">
        <v>91</v>
      </c>
      <c r="AV260" t="s">
        <v>91</v>
      </c>
      <c r="AW260" t="s">
        <v>91</v>
      </c>
      <c r="AX260" t="s">
        <v>91</v>
      </c>
      <c r="AY260" t="s">
        <v>91</v>
      </c>
      <c r="AZ260" t="s">
        <v>91</v>
      </c>
      <c r="BA260" t="s">
        <v>91</v>
      </c>
      <c r="BB260" s="2">
        <v>45118.093391203707</v>
      </c>
      <c r="BC260" s="2"/>
      <c r="BD260" t="s">
        <v>91</v>
      </c>
      <c r="BF260" s="1" t="s">
        <v>75</v>
      </c>
      <c r="BI260" s="1" t="s">
        <v>88</v>
      </c>
      <c r="BJ260">
        <v>1</v>
      </c>
      <c r="BK260" s="1" t="s">
        <v>89</v>
      </c>
      <c r="BL260" t="s">
        <v>91</v>
      </c>
      <c r="BM260" s="1" t="s">
        <v>91</v>
      </c>
      <c r="BN260" s="1" t="s">
        <v>91</v>
      </c>
      <c r="BO260" s="1" t="s">
        <v>91</v>
      </c>
      <c r="BP260" s="1" t="s">
        <v>91</v>
      </c>
      <c r="BQ260" t="s">
        <v>91</v>
      </c>
      <c r="BR260" s="3">
        <v>45118</v>
      </c>
      <c r="BS260" s="3"/>
      <c r="BT260" t="s">
        <v>91</v>
      </c>
      <c r="BU260" t="s">
        <v>91</v>
      </c>
      <c r="BW260" s="1" t="s">
        <v>90</v>
      </c>
    </row>
    <row r="261" spans="1:75" x14ac:dyDescent="0.35">
      <c r="A261">
        <v>157525</v>
      </c>
      <c r="B261" s="1" t="s">
        <v>75</v>
      </c>
      <c r="C261">
        <v>80</v>
      </c>
      <c r="D261">
        <v>11121001</v>
      </c>
      <c r="E261">
        <v>121001</v>
      </c>
      <c r="F261" s="1" t="s">
        <v>76</v>
      </c>
      <c r="G261" s="1" t="s">
        <v>1683</v>
      </c>
      <c r="H261">
        <v>0</v>
      </c>
      <c r="I261" s="1" t="s">
        <v>78</v>
      </c>
      <c r="J261" s="1" t="s">
        <v>1669</v>
      </c>
      <c r="K261" s="1" t="s">
        <v>1684</v>
      </c>
      <c r="L261" t="s">
        <v>91</v>
      </c>
      <c r="M261" t="s">
        <v>91</v>
      </c>
      <c r="N261" s="1" t="s">
        <v>1685</v>
      </c>
      <c r="O261" t="s">
        <v>91</v>
      </c>
      <c r="P261" s="1" t="s">
        <v>1686</v>
      </c>
      <c r="Q261" s="1" t="s">
        <v>1687</v>
      </c>
      <c r="R261" s="1" t="s">
        <v>91</v>
      </c>
      <c r="S261">
        <v>1387</v>
      </c>
      <c r="T261">
        <v>99500000</v>
      </c>
      <c r="U261" s="1" t="s">
        <v>108</v>
      </c>
      <c r="V261" s="1" t="s">
        <v>1688</v>
      </c>
      <c r="W261" s="1" t="s">
        <v>157</v>
      </c>
      <c r="X261">
        <v>54</v>
      </c>
      <c r="Y261">
        <v>30455259</v>
      </c>
      <c r="Z261" t="s">
        <v>91</v>
      </c>
      <c r="AA261" t="s">
        <v>91</v>
      </c>
      <c r="AB261" t="s">
        <v>91</v>
      </c>
      <c r="AC261" t="s">
        <v>91</v>
      </c>
      <c r="AD261" t="s">
        <v>91</v>
      </c>
      <c r="AE261" t="s">
        <v>91</v>
      </c>
      <c r="AF261" t="s">
        <v>91</v>
      </c>
      <c r="AG261" s="1" t="s">
        <v>91</v>
      </c>
      <c r="AH261" s="1" t="s">
        <v>91</v>
      </c>
      <c r="AI261" t="s">
        <v>91</v>
      </c>
      <c r="AM261" t="s">
        <v>91</v>
      </c>
      <c r="AN261" t="s">
        <v>91</v>
      </c>
      <c r="AO261" t="s">
        <v>91</v>
      </c>
      <c r="AP261" t="s">
        <v>91</v>
      </c>
      <c r="AQ261" s="1" t="s">
        <v>91</v>
      </c>
      <c r="AR261" s="1" t="s">
        <v>91</v>
      </c>
      <c r="AS261" s="1" t="s">
        <v>91</v>
      </c>
      <c r="AT261" s="1" t="s">
        <v>91</v>
      </c>
      <c r="AU261" s="1" t="s">
        <v>91</v>
      </c>
      <c r="AV261" t="s">
        <v>91</v>
      </c>
      <c r="AW261" t="s">
        <v>91</v>
      </c>
      <c r="AX261" t="s">
        <v>91</v>
      </c>
      <c r="AY261" t="s">
        <v>91</v>
      </c>
      <c r="AZ261" t="s">
        <v>91</v>
      </c>
      <c r="BA261" t="s">
        <v>91</v>
      </c>
      <c r="BB261" s="2">
        <v>45118.093391203707</v>
      </c>
      <c r="BC261" s="2"/>
      <c r="BD261" t="s">
        <v>91</v>
      </c>
      <c r="BF261" s="1" t="s">
        <v>75</v>
      </c>
      <c r="BI261" s="1" t="s">
        <v>88</v>
      </c>
      <c r="BJ261">
        <v>1</v>
      </c>
      <c r="BK261" s="1" t="s">
        <v>89</v>
      </c>
      <c r="BL261" t="s">
        <v>91</v>
      </c>
      <c r="BM261" s="1" t="s">
        <v>91</v>
      </c>
      <c r="BN261" s="1" t="s">
        <v>91</v>
      </c>
      <c r="BO261" s="1" t="s">
        <v>91</v>
      </c>
      <c r="BP261" s="1" t="s">
        <v>91</v>
      </c>
      <c r="BQ261" t="s">
        <v>91</v>
      </c>
      <c r="BR261" s="3">
        <v>45118</v>
      </c>
      <c r="BS261" s="3"/>
      <c r="BT261" t="s">
        <v>91</v>
      </c>
      <c r="BU261" t="s">
        <v>91</v>
      </c>
      <c r="BW261" s="1" t="s">
        <v>90</v>
      </c>
    </row>
    <row r="262" spans="1:75" x14ac:dyDescent="0.35">
      <c r="A262">
        <v>156787</v>
      </c>
      <c r="B262" s="1" t="s">
        <v>75</v>
      </c>
      <c r="C262">
        <v>80</v>
      </c>
      <c r="D262">
        <v>11121001</v>
      </c>
      <c r="E262">
        <v>121001</v>
      </c>
      <c r="F262" s="1" t="s">
        <v>76</v>
      </c>
      <c r="G262" s="1" t="s">
        <v>1689</v>
      </c>
      <c r="H262">
        <v>0</v>
      </c>
      <c r="I262" s="1" t="s">
        <v>78</v>
      </c>
      <c r="J262" s="1" t="s">
        <v>1690</v>
      </c>
      <c r="K262" s="1" t="s">
        <v>1691</v>
      </c>
      <c r="L262" t="s">
        <v>91</v>
      </c>
      <c r="M262" t="s">
        <v>91</v>
      </c>
      <c r="N262" s="1" t="s">
        <v>1692</v>
      </c>
      <c r="O262" t="s">
        <v>91</v>
      </c>
      <c r="P262" s="1" t="s">
        <v>1693</v>
      </c>
      <c r="Q262" s="1" t="s">
        <v>1694</v>
      </c>
      <c r="R262" s="1" t="s">
        <v>1695</v>
      </c>
      <c r="S262">
        <v>1279</v>
      </c>
      <c r="T262">
        <v>89223100</v>
      </c>
      <c r="U262" s="1" t="s">
        <v>213</v>
      </c>
      <c r="V262" s="1" t="s">
        <v>100</v>
      </c>
      <c r="W262" s="1" t="s">
        <v>87</v>
      </c>
      <c r="X262">
        <v>47</v>
      </c>
      <c r="Y262">
        <v>34730159</v>
      </c>
      <c r="Z262" t="s">
        <v>91</v>
      </c>
      <c r="AA262" t="s">
        <v>91</v>
      </c>
      <c r="AB262" t="s">
        <v>91</v>
      </c>
      <c r="AC262" t="s">
        <v>91</v>
      </c>
      <c r="AD262" t="s">
        <v>91</v>
      </c>
      <c r="AE262" t="s">
        <v>91</v>
      </c>
      <c r="AF262" t="s">
        <v>91</v>
      </c>
      <c r="AG262" s="1" t="s">
        <v>91</v>
      </c>
      <c r="AH262" s="1" t="s">
        <v>91</v>
      </c>
      <c r="AI262" t="s">
        <v>91</v>
      </c>
      <c r="AM262" t="s">
        <v>91</v>
      </c>
      <c r="AN262" t="s">
        <v>91</v>
      </c>
      <c r="AO262" t="s">
        <v>91</v>
      </c>
      <c r="AP262" t="s">
        <v>91</v>
      </c>
      <c r="AQ262" s="1" t="s">
        <v>91</v>
      </c>
      <c r="AR262" s="1" t="s">
        <v>91</v>
      </c>
      <c r="AS262" s="1" t="s">
        <v>91</v>
      </c>
      <c r="AT262" s="1" t="s">
        <v>91</v>
      </c>
      <c r="AU262" s="1" t="s">
        <v>91</v>
      </c>
      <c r="AV262" t="s">
        <v>91</v>
      </c>
      <c r="AW262" t="s">
        <v>91</v>
      </c>
      <c r="AX262" t="s">
        <v>91</v>
      </c>
      <c r="AY262" t="s">
        <v>91</v>
      </c>
      <c r="AZ262" t="s">
        <v>91</v>
      </c>
      <c r="BA262" t="s">
        <v>91</v>
      </c>
      <c r="BB262" s="2">
        <v>45113.505416666667</v>
      </c>
      <c r="BC262" s="2"/>
      <c r="BD262" t="s">
        <v>91</v>
      </c>
      <c r="BF262" s="1" t="s">
        <v>75</v>
      </c>
      <c r="BI262" s="1" t="s">
        <v>88</v>
      </c>
      <c r="BJ262">
        <v>1</v>
      </c>
      <c r="BK262" s="1" t="s">
        <v>89</v>
      </c>
      <c r="BL262" t="s">
        <v>91</v>
      </c>
      <c r="BM262" s="1" t="s">
        <v>91</v>
      </c>
      <c r="BN262" s="1" t="s">
        <v>91</v>
      </c>
      <c r="BO262" s="1" t="s">
        <v>91</v>
      </c>
      <c r="BP262" s="1" t="s">
        <v>91</v>
      </c>
      <c r="BQ262" t="s">
        <v>91</v>
      </c>
      <c r="BR262" s="3">
        <v>45113</v>
      </c>
      <c r="BS262" s="3"/>
      <c r="BT262" t="s">
        <v>91</v>
      </c>
      <c r="BU262" t="s">
        <v>91</v>
      </c>
      <c r="BW262" s="1" t="s">
        <v>90</v>
      </c>
    </row>
    <row r="263" spans="1:75" x14ac:dyDescent="0.35">
      <c r="A263">
        <v>157567</v>
      </c>
      <c r="B263" s="1" t="s">
        <v>75</v>
      </c>
      <c r="C263">
        <v>80</v>
      </c>
      <c r="D263">
        <v>11121001</v>
      </c>
      <c r="E263">
        <v>121001</v>
      </c>
      <c r="F263" s="1" t="s">
        <v>76</v>
      </c>
      <c r="G263" s="1" t="s">
        <v>1696</v>
      </c>
      <c r="H263">
        <v>0</v>
      </c>
      <c r="I263" s="1" t="s">
        <v>78</v>
      </c>
      <c r="J263" s="1" t="s">
        <v>1697</v>
      </c>
      <c r="K263" s="1" t="s">
        <v>1698</v>
      </c>
      <c r="L263" t="s">
        <v>91</v>
      </c>
      <c r="M263" t="s">
        <v>91</v>
      </c>
      <c r="N263" s="1" t="s">
        <v>1699</v>
      </c>
      <c r="O263" t="s">
        <v>91</v>
      </c>
      <c r="P263" s="1" t="s">
        <v>1700</v>
      </c>
      <c r="Q263" s="1" t="s">
        <v>204</v>
      </c>
      <c r="R263" s="1" t="s">
        <v>91</v>
      </c>
      <c r="T263">
        <v>89460004</v>
      </c>
      <c r="U263" s="1" t="s">
        <v>108</v>
      </c>
      <c r="V263" s="1" t="s">
        <v>777</v>
      </c>
      <c r="W263" s="1" t="s">
        <v>87</v>
      </c>
      <c r="X263">
        <v>47</v>
      </c>
      <c r="Y263">
        <v>36227864</v>
      </c>
      <c r="Z263" t="s">
        <v>91</v>
      </c>
      <c r="AA263" t="s">
        <v>91</v>
      </c>
      <c r="AB263" t="s">
        <v>91</v>
      </c>
      <c r="AC263" t="s">
        <v>91</v>
      </c>
      <c r="AD263" t="s">
        <v>91</v>
      </c>
      <c r="AE263" t="s">
        <v>91</v>
      </c>
      <c r="AF263" t="s">
        <v>91</v>
      </c>
      <c r="AG263" s="1" t="s">
        <v>91</v>
      </c>
      <c r="AH263" s="1" t="s">
        <v>91</v>
      </c>
      <c r="AI263" t="s">
        <v>91</v>
      </c>
      <c r="AM263" t="s">
        <v>91</v>
      </c>
      <c r="AN263" t="s">
        <v>91</v>
      </c>
      <c r="AO263" t="s">
        <v>91</v>
      </c>
      <c r="AP263" t="s">
        <v>91</v>
      </c>
      <c r="AQ263" s="1" t="s">
        <v>91</v>
      </c>
      <c r="AR263" s="1" t="s">
        <v>91</v>
      </c>
      <c r="AS263" s="1" t="s">
        <v>91</v>
      </c>
      <c r="AT263" s="1" t="s">
        <v>91</v>
      </c>
      <c r="AU263" s="1" t="s">
        <v>91</v>
      </c>
      <c r="AV263" t="s">
        <v>91</v>
      </c>
      <c r="AW263" t="s">
        <v>91</v>
      </c>
      <c r="AX263" t="s">
        <v>91</v>
      </c>
      <c r="AY263" t="s">
        <v>91</v>
      </c>
      <c r="AZ263" t="s">
        <v>91</v>
      </c>
      <c r="BA263" t="s">
        <v>91</v>
      </c>
      <c r="BB263" s="2">
        <v>45118.093391203707</v>
      </c>
      <c r="BC263" s="2"/>
      <c r="BD263" t="s">
        <v>91</v>
      </c>
      <c r="BF263" s="1" t="s">
        <v>75</v>
      </c>
      <c r="BI263" s="1" t="s">
        <v>88</v>
      </c>
      <c r="BJ263">
        <v>1</v>
      </c>
      <c r="BK263" s="1" t="s">
        <v>89</v>
      </c>
      <c r="BL263" t="s">
        <v>91</v>
      </c>
      <c r="BM263" s="1" t="s">
        <v>91</v>
      </c>
      <c r="BN263" s="1" t="s">
        <v>91</v>
      </c>
      <c r="BO263" s="1" t="s">
        <v>91</v>
      </c>
      <c r="BP263" s="1" t="s">
        <v>91</v>
      </c>
      <c r="BQ263" t="s">
        <v>91</v>
      </c>
      <c r="BR263" s="3">
        <v>45118</v>
      </c>
      <c r="BS263" s="3"/>
      <c r="BT263" t="s">
        <v>91</v>
      </c>
      <c r="BU263" t="s">
        <v>91</v>
      </c>
      <c r="BW263" s="1" t="s">
        <v>90</v>
      </c>
    </row>
    <row r="264" spans="1:75" x14ac:dyDescent="0.35">
      <c r="A264">
        <v>138142</v>
      </c>
      <c r="B264" s="1" t="s">
        <v>75</v>
      </c>
      <c r="C264">
        <v>80</v>
      </c>
      <c r="D264">
        <v>11121001</v>
      </c>
      <c r="E264">
        <v>121001</v>
      </c>
      <c r="F264" s="1" t="s">
        <v>76</v>
      </c>
      <c r="G264" s="1" t="s">
        <v>1701</v>
      </c>
      <c r="H264">
        <v>0</v>
      </c>
      <c r="I264" s="1" t="s">
        <v>78</v>
      </c>
      <c r="J264" s="1" t="s">
        <v>1702</v>
      </c>
      <c r="K264" s="1" t="s">
        <v>1703</v>
      </c>
      <c r="L264" t="s">
        <v>91</v>
      </c>
      <c r="M264" t="s">
        <v>91</v>
      </c>
      <c r="N264" s="1" t="s">
        <v>1704</v>
      </c>
      <c r="O264" t="s">
        <v>91</v>
      </c>
      <c r="P264" s="1" t="s">
        <v>1705</v>
      </c>
      <c r="Q264" s="1" t="s">
        <v>1706</v>
      </c>
      <c r="R264" s="1" t="s">
        <v>855</v>
      </c>
      <c r="S264">
        <v>1288</v>
      </c>
      <c r="T264">
        <v>89870000</v>
      </c>
      <c r="U264" s="1" t="s">
        <v>108</v>
      </c>
      <c r="V264" s="1" t="s">
        <v>634</v>
      </c>
      <c r="W264" s="1" t="s">
        <v>87</v>
      </c>
      <c r="X264">
        <v>49</v>
      </c>
      <c r="Y264">
        <v>33663506</v>
      </c>
      <c r="Z264" t="s">
        <v>91</v>
      </c>
      <c r="AA264" t="s">
        <v>91</v>
      </c>
      <c r="AB264" t="s">
        <v>91</v>
      </c>
      <c r="AC264" t="s">
        <v>91</v>
      </c>
      <c r="AD264" t="s">
        <v>91</v>
      </c>
      <c r="AE264" t="s">
        <v>91</v>
      </c>
      <c r="AF264" t="s">
        <v>91</v>
      </c>
      <c r="AG264" s="1" t="s">
        <v>146</v>
      </c>
      <c r="AH264" s="1" t="s">
        <v>91</v>
      </c>
      <c r="AI264" t="s">
        <v>91</v>
      </c>
      <c r="AM264" t="s">
        <v>91</v>
      </c>
      <c r="AN264" t="s">
        <v>91</v>
      </c>
      <c r="AO264" t="s">
        <v>91</v>
      </c>
      <c r="AP264" t="s">
        <v>91</v>
      </c>
      <c r="AQ264" s="1" t="s">
        <v>147</v>
      </c>
      <c r="AR264" s="1" t="s">
        <v>147</v>
      </c>
      <c r="AS264" s="1" t="s">
        <v>147</v>
      </c>
      <c r="AT264" s="1" t="s">
        <v>147</v>
      </c>
      <c r="AU264" s="1" t="s">
        <v>147</v>
      </c>
      <c r="AV264" t="s">
        <v>91</v>
      </c>
      <c r="AW264" t="s">
        <v>91</v>
      </c>
      <c r="AX264" t="s">
        <v>91</v>
      </c>
      <c r="AY264" t="s">
        <v>91</v>
      </c>
      <c r="AZ264" t="s">
        <v>91</v>
      </c>
      <c r="BA264" t="s">
        <v>91</v>
      </c>
      <c r="BB264" s="2">
        <v>44378.578518518516</v>
      </c>
      <c r="BC264" s="2">
        <v>44657.61478009259</v>
      </c>
      <c r="BD264" t="s">
        <v>91</v>
      </c>
      <c r="BF264" s="1" t="s">
        <v>75</v>
      </c>
      <c r="BH264">
        <v>0</v>
      </c>
      <c r="BI264" s="1" t="s">
        <v>88</v>
      </c>
      <c r="BJ264">
        <v>1</v>
      </c>
      <c r="BK264" s="1" t="s">
        <v>89</v>
      </c>
      <c r="BL264" t="s">
        <v>91</v>
      </c>
      <c r="BM264" s="1" t="s">
        <v>164</v>
      </c>
      <c r="BN264" s="1" t="s">
        <v>110</v>
      </c>
      <c r="BO264" s="1" t="s">
        <v>165</v>
      </c>
      <c r="BP264" s="1" t="s">
        <v>91</v>
      </c>
      <c r="BQ264" t="s">
        <v>91</v>
      </c>
      <c r="BR264" s="3">
        <v>44378</v>
      </c>
      <c r="BS264" s="3">
        <v>44657</v>
      </c>
      <c r="BT264" t="s">
        <v>91</v>
      </c>
      <c r="BU264" t="s">
        <v>91</v>
      </c>
      <c r="BW264" s="1" t="s">
        <v>540</v>
      </c>
    </row>
    <row r="265" spans="1:75" x14ac:dyDescent="0.35">
      <c r="A265">
        <v>120434</v>
      </c>
      <c r="B265" s="1" t="s">
        <v>75</v>
      </c>
      <c r="C265">
        <v>80</v>
      </c>
      <c r="D265">
        <v>11121001</v>
      </c>
      <c r="E265">
        <v>121001</v>
      </c>
      <c r="F265" s="1" t="s">
        <v>76</v>
      </c>
      <c r="G265" s="1" t="s">
        <v>1707</v>
      </c>
      <c r="H265">
        <v>0</v>
      </c>
      <c r="I265" s="1" t="s">
        <v>78</v>
      </c>
      <c r="J265" s="1" t="s">
        <v>1708</v>
      </c>
      <c r="K265" s="1" t="s">
        <v>1709</v>
      </c>
      <c r="L265" t="s">
        <v>91</v>
      </c>
      <c r="M265" t="s">
        <v>91</v>
      </c>
      <c r="N265" s="1" t="s">
        <v>1710</v>
      </c>
      <c r="O265" t="s">
        <v>91</v>
      </c>
      <c r="P265" s="1" t="s">
        <v>1711</v>
      </c>
      <c r="Q265" s="1" t="s">
        <v>134</v>
      </c>
      <c r="R265" s="1" t="s">
        <v>91</v>
      </c>
      <c r="S265">
        <v>1288</v>
      </c>
      <c r="T265">
        <v>89820000</v>
      </c>
      <c r="U265" s="1" t="s">
        <v>108</v>
      </c>
      <c r="V265" s="1" t="s">
        <v>539</v>
      </c>
      <c r="W265" s="1" t="s">
        <v>87</v>
      </c>
      <c r="X265">
        <v>49</v>
      </c>
      <c r="Y265">
        <v>34332836</v>
      </c>
      <c r="Z265" t="s">
        <v>91</v>
      </c>
      <c r="AA265" t="s">
        <v>91</v>
      </c>
      <c r="AB265" t="s">
        <v>91</v>
      </c>
      <c r="AC265" t="s">
        <v>91</v>
      </c>
      <c r="AD265" t="s">
        <v>91</v>
      </c>
      <c r="AE265" t="s">
        <v>91</v>
      </c>
      <c r="AF265" t="s">
        <v>91</v>
      </c>
      <c r="AG265" s="1" t="s">
        <v>91</v>
      </c>
      <c r="AH265" s="1" t="s">
        <v>91</v>
      </c>
      <c r="AI265" t="s">
        <v>91</v>
      </c>
      <c r="AJ265">
        <v>0</v>
      </c>
      <c r="AK265">
        <v>0</v>
      </c>
      <c r="AL265">
        <v>0</v>
      </c>
      <c r="AM265" t="s">
        <v>91</v>
      </c>
      <c r="AN265" t="s">
        <v>91</v>
      </c>
      <c r="AO265" t="s">
        <v>91</v>
      </c>
      <c r="AP265" t="s">
        <v>91</v>
      </c>
      <c r="AQ265" s="1" t="s">
        <v>91</v>
      </c>
      <c r="AR265" s="1" t="s">
        <v>91</v>
      </c>
      <c r="AS265" s="1" t="s">
        <v>91</v>
      </c>
      <c r="AT265" s="1" t="s">
        <v>91</v>
      </c>
      <c r="AU265" s="1" t="s">
        <v>91</v>
      </c>
      <c r="AV265" t="s">
        <v>91</v>
      </c>
      <c r="AW265" t="s">
        <v>91</v>
      </c>
      <c r="AX265" t="s">
        <v>91</v>
      </c>
      <c r="AY265" t="s">
        <v>91</v>
      </c>
      <c r="AZ265" t="s">
        <v>91</v>
      </c>
      <c r="BA265" t="s">
        <v>91</v>
      </c>
      <c r="BB265" s="2">
        <v>44092.925393518519</v>
      </c>
      <c r="BC265" s="2"/>
      <c r="BD265" t="s">
        <v>91</v>
      </c>
      <c r="BF265" s="1" t="s">
        <v>75</v>
      </c>
      <c r="BG265">
        <v>0</v>
      </c>
      <c r="BH265">
        <v>0</v>
      </c>
      <c r="BI265" s="1" t="s">
        <v>88</v>
      </c>
      <c r="BJ265">
        <v>1</v>
      </c>
      <c r="BK265" s="1" t="s">
        <v>89</v>
      </c>
      <c r="BL265" t="s">
        <v>91</v>
      </c>
      <c r="BM265" s="1" t="s">
        <v>109</v>
      </c>
      <c r="BN265" s="1" t="s">
        <v>110</v>
      </c>
      <c r="BO265" s="1" t="s">
        <v>128</v>
      </c>
      <c r="BP265" s="1" t="s">
        <v>91</v>
      </c>
      <c r="BQ265" t="s">
        <v>91</v>
      </c>
      <c r="BR265" s="3">
        <v>44092</v>
      </c>
      <c r="BS265" s="3"/>
      <c r="BT265" t="s">
        <v>91</v>
      </c>
      <c r="BU265" t="s">
        <v>91</v>
      </c>
      <c r="BV265">
        <v>4</v>
      </c>
      <c r="BW265" s="1" t="s">
        <v>166</v>
      </c>
    </row>
    <row r="266" spans="1:75" x14ac:dyDescent="0.35">
      <c r="A266">
        <v>157572</v>
      </c>
      <c r="B266" s="1" t="s">
        <v>75</v>
      </c>
      <c r="C266">
        <v>80</v>
      </c>
      <c r="D266">
        <v>11121001</v>
      </c>
      <c r="E266">
        <v>121001</v>
      </c>
      <c r="F266" s="1" t="s">
        <v>76</v>
      </c>
      <c r="G266" s="1" t="s">
        <v>1712</v>
      </c>
      <c r="H266">
        <v>0</v>
      </c>
      <c r="I266" s="1" t="s">
        <v>78</v>
      </c>
      <c r="J266" s="1" t="s">
        <v>1713</v>
      </c>
      <c r="K266" s="1" t="s">
        <v>1714</v>
      </c>
      <c r="L266" t="s">
        <v>91</v>
      </c>
      <c r="M266" t="s">
        <v>91</v>
      </c>
      <c r="N266" s="1" t="s">
        <v>1715</v>
      </c>
      <c r="O266" t="s">
        <v>91</v>
      </c>
      <c r="P266" s="1" t="s">
        <v>1416</v>
      </c>
      <c r="Q266" s="1" t="s">
        <v>1716</v>
      </c>
      <c r="R266" s="1" t="s">
        <v>245</v>
      </c>
      <c r="S266">
        <v>1281</v>
      </c>
      <c r="T266">
        <v>89370000</v>
      </c>
      <c r="U266" s="1" t="s">
        <v>108</v>
      </c>
      <c r="V266" s="1" t="s">
        <v>1717</v>
      </c>
      <c r="W266" s="1" t="s">
        <v>87</v>
      </c>
      <c r="X266">
        <v>47</v>
      </c>
      <c r="Y266">
        <v>99069696</v>
      </c>
      <c r="Z266" t="s">
        <v>91</v>
      </c>
      <c r="AA266" t="s">
        <v>91</v>
      </c>
      <c r="AB266" t="s">
        <v>91</v>
      </c>
      <c r="AC266" t="s">
        <v>91</v>
      </c>
      <c r="AD266" t="s">
        <v>91</v>
      </c>
      <c r="AE266" t="s">
        <v>91</v>
      </c>
      <c r="AF266" t="s">
        <v>91</v>
      </c>
      <c r="AG266" s="1" t="s">
        <v>91</v>
      </c>
      <c r="AH266" s="1" t="s">
        <v>91</v>
      </c>
      <c r="AI266" t="s">
        <v>91</v>
      </c>
      <c r="AM266" t="s">
        <v>91</v>
      </c>
      <c r="AN266" t="s">
        <v>91</v>
      </c>
      <c r="AO266" t="s">
        <v>91</v>
      </c>
      <c r="AP266" t="s">
        <v>91</v>
      </c>
      <c r="AQ266" s="1" t="s">
        <v>91</v>
      </c>
      <c r="AR266" s="1" t="s">
        <v>91</v>
      </c>
      <c r="AS266" s="1" t="s">
        <v>91</v>
      </c>
      <c r="AT266" s="1" t="s">
        <v>91</v>
      </c>
      <c r="AU266" s="1" t="s">
        <v>91</v>
      </c>
      <c r="AV266" t="s">
        <v>91</v>
      </c>
      <c r="AW266" t="s">
        <v>91</v>
      </c>
      <c r="AX266" t="s">
        <v>91</v>
      </c>
      <c r="AY266" t="s">
        <v>91</v>
      </c>
      <c r="AZ266" t="s">
        <v>91</v>
      </c>
      <c r="BA266" t="s">
        <v>91</v>
      </c>
      <c r="BB266" s="2">
        <v>45118.093391203707</v>
      </c>
      <c r="BC266" s="2"/>
      <c r="BD266" t="s">
        <v>91</v>
      </c>
      <c r="BF266" s="1" t="s">
        <v>75</v>
      </c>
      <c r="BI266" s="1" t="s">
        <v>88</v>
      </c>
      <c r="BJ266">
        <v>1</v>
      </c>
      <c r="BK266" s="1" t="s">
        <v>89</v>
      </c>
      <c r="BL266" t="s">
        <v>91</v>
      </c>
      <c r="BM266" s="1" t="s">
        <v>91</v>
      </c>
      <c r="BN266" s="1" t="s">
        <v>91</v>
      </c>
      <c r="BO266" s="1" t="s">
        <v>91</v>
      </c>
      <c r="BP266" s="1" t="s">
        <v>91</v>
      </c>
      <c r="BQ266" t="s">
        <v>91</v>
      </c>
      <c r="BR266" s="3">
        <v>45118</v>
      </c>
      <c r="BS266" s="3"/>
      <c r="BT266" t="s">
        <v>91</v>
      </c>
      <c r="BU266" t="s">
        <v>91</v>
      </c>
      <c r="BW266" s="1" t="s">
        <v>924</v>
      </c>
    </row>
    <row r="267" spans="1:75" x14ac:dyDescent="0.35">
      <c r="A267">
        <v>144465</v>
      </c>
      <c r="B267" s="1" t="s">
        <v>75</v>
      </c>
      <c r="C267">
        <v>80</v>
      </c>
      <c r="D267">
        <v>11121001</v>
      </c>
      <c r="E267">
        <v>121001</v>
      </c>
      <c r="F267" s="1" t="s">
        <v>76</v>
      </c>
      <c r="G267" s="1" t="s">
        <v>1718</v>
      </c>
      <c r="I267" s="1" t="s">
        <v>78</v>
      </c>
      <c r="J267" s="1" t="s">
        <v>1719</v>
      </c>
      <c r="K267" s="1" t="s">
        <v>1720</v>
      </c>
      <c r="L267" t="s">
        <v>91</v>
      </c>
      <c r="M267" t="s">
        <v>91</v>
      </c>
      <c r="N267" s="1" t="s">
        <v>1721</v>
      </c>
      <c r="O267" t="s">
        <v>91</v>
      </c>
      <c r="P267" s="1" t="s">
        <v>1722</v>
      </c>
      <c r="Q267" s="1" t="s">
        <v>1723</v>
      </c>
      <c r="R267" s="1" t="s">
        <v>91</v>
      </c>
      <c r="S267">
        <v>1279</v>
      </c>
      <c r="T267">
        <v>89239300</v>
      </c>
      <c r="U267" s="1" t="s">
        <v>1724</v>
      </c>
      <c r="V267" s="1" t="s">
        <v>100</v>
      </c>
      <c r="W267" s="1" t="s">
        <v>87</v>
      </c>
      <c r="X267">
        <v>47</v>
      </c>
      <c r="Y267">
        <v>34240084</v>
      </c>
      <c r="Z267" t="s">
        <v>91</v>
      </c>
      <c r="AA267" t="s">
        <v>91</v>
      </c>
      <c r="AB267" t="s">
        <v>91</v>
      </c>
      <c r="AC267" t="s">
        <v>91</v>
      </c>
      <c r="AD267" t="s">
        <v>91</v>
      </c>
      <c r="AE267" t="s">
        <v>91</v>
      </c>
      <c r="AF267" t="s">
        <v>91</v>
      </c>
      <c r="AG267" s="1" t="s">
        <v>91</v>
      </c>
      <c r="AH267" s="1" t="s">
        <v>91</v>
      </c>
      <c r="AI267" t="s">
        <v>91</v>
      </c>
      <c r="AJ267">
        <v>0</v>
      </c>
      <c r="AK267">
        <v>0</v>
      </c>
      <c r="AL267">
        <v>0</v>
      </c>
      <c r="AM267" t="s">
        <v>91</v>
      </c>
      <c r="AN267" t="s">
        <v>91</v>
      </c>
      <c r="AO267" t="s">
        <v>91</v>
      </c>
      <c r="AP267" t="s">
        <v>91</v>
      </c>
      <c r="AQ267" s="1" t="s">
        <v>91</v>
      </c>
      <c r="AR267" s="1" t="s">
        <v>91</v>
      </c>
      <c r="AS267" s="1" t="s">
        <v>91</v>
      </c>
      <c r="AT267" s="1" t="s">
        <v>91</v>
      </c>
      <c r="AU267" s="1" t="s">
        <v>91</v>
      </c>
      <c r="AV267" t="s">
        <v>91</v>
      </c>
      <c r="AW267" t="s">
        <v>91</v>
      </c>
      <c r="AX267" t="s">
        <v>91</v>
      </c>
      <c r="AY267" t="s">
        <v>91</v>
      </c>
      <c r="AZ267" t="s">
        <v>91</v>
      </c>
      <c r="BA267" t="s">
        <v>91</v>
      </c>
      <c r="BB267" s="2"/>
      <c r="BC267" s="2"/>
      <c r="BD267" t="s">
        <v>91</v>
      </c>
      <c r="BF267" s="1" t="s">
        <v>75</v>
      </c>
      <c r="BG267">
        <v>0</v>
      </c>
      <c r="BH267">
        <v>0</v>
      </c>
      <c r="BI267" s="1" t="s">
        <v>88</v>
      </c>
      <c r="BJ267">
        <v>1</v>
      </c>
      <c r="BK267" s="1" t="s">
        <v>89</v>
      </c>
      <c r="BL267" t="s">
        <v>91</v>
      </c>
      <c r="BM267" s="1" t="s">
        <v>329</v>
      </c>
      <c r="BN267" s="1" t="s">
        <v>110</v>
      </c>
      <c r="BO267" s="1" t="s">
        <v>165</v>
      </c>
      <c r="BP267" s="1" t="s">
        <v>91</v>
      </c>
      <c r="BQ267" t="s">
        <v>91</v>
      </c>
      <c r="BR267" s="3"/>
      <c r="BS267" s="3"/>
      <c r="BT267" t="s">
        <v>91</v>
      </c>
      <c r="BU267" t="s">
        <v>91</v>
      </c>
      <c r="BV267">
        <v>5</v>
      </c>
      <c r="BW267" s="1" t="s">
        <v>268</v>
      </c>
    </row>
    <row r="268" spans="1:75" x14ac:dyDescent="0.35">
      <c r="A268">
        <v>156785</v>
      </c>
      <c r="B268" s="1" t="s">
        <v>75</v>
      </c>
      <c r="C268">
        <v>80</v>
      </c>
      <c r="D268">
        <v>11121001</v>
      </c>
      <c r="E268">
        <v>121001</v>
      </c>
      <c r="F268" s="1" t="s">
        <v>76</v>
      </c>
      <c r="G268" s="1" t="s">
        <v>1725</v>
      </c>
      <c r="H268">
        <v>0</v>
      </c>
      <c r="I268" s="1" t="s">
        <v>78</v>
      </c>
      <c r="J268" s="1" t="s">
        <v>1726</v>
      </c>
      <c r="K268" s="1" t="s">
        <v>1727</v>
      </c>
      <c r="L268" t="s">
        <v>91</v>
      </c>
      <c r="M268" t="s">
        <v>91</v>
      </c>
      <c r="N268" s="1" t="s">
        <v>1728</v>
      </c>
      <c r="O268" t="s">
        <v>91</v>
      </c>
      <c r="P268" s="1" t="s">
        <v>234</v>
      </c>
      <c r="Q268" s="1" t="s">
        <v>747</v>
      </c>
      <c r="R268" s="1" t="s">
        <v>236</v>
      </c>
      <c r="S268">
        <v>1279</v>
      </c>
      <c r="T268">
        <v>89219200</v>
      </c>
      <c r="U268" s="1" t="s">
        <v>237</v>
      </c>
      <c r="V268" s="1" t="s">
        <v>100</v>
      </c>
      <c r="W268" s="1" t="s">
        <v>87</v>
      </c>
      <c r="X268">
        <v>47</v>
      </c>
      <c r="Y268">
        <v>30285020</v>
      </c>
      <c r="Z268" t="s">
        <v>91</v>
      </c>
      <c r="AA268" t="s">
        <v>91</v>
      </c>
      <c r="AB268" t="s">
        <v>91</v>
      </c>
      <c r="AC268" t="s">
        <v>91</v>
      </c>
      <c r="AD268" t="s">
        <v>91</v>
      </c>
      <c r="AE268" t="s">
        <v>91</v>
      </c>
      <c r="AF268" t="s">
        <v>91</v>
      </c>
      <c r="AG268" s="1" t="s">
        <v>91</v>
      </c>
      <c r="AH268" s="1" t="s">
        <v>91</v>
      </c>
      <c r="AI268" t="s">
        <v>91</v>
      </c>
      <c r="AM268" t="s">
        <v>91</v>
      </c>
      <c r="AN268" t="s">
        <v>91</v>
      </c>
      <c r="AO268" t="s">
        <v>91</v>
      </c>
      <c r="AP268" t="s">
        <v>91</v>
      </c>
      <c r="AQ268" s="1" t="s">
        <v>91</v>
      </c>
      <c r="AR268" s="1" t="s">
        <v>91</v>
      </c>
      <c r="AS268" s="1" t="s">
        <v>91</v>
      </c>
      <c r="AT268" s="1" t="s">
        <v>91</v>
      </c>
      <c r="AU268" s="1" t="s">
        <v>91</v>
      </c>
      <c r="AV268" t="s">
        <v>91</v>
      </c>
      <c r="AW268" t="s">
        <v>91</v>
      </c>
      <c r="AX268" t="s">
        <v>91</v>
      </c>
      <c r="AY268" t="s">
        <v>91</v>
      </c>
      <c r="AZ268" t="s">
        <v>91</v>
      </c>
      <c r="BA268" t="s">
        <v>91</v>
      </c>
      <c r="BB268" s="2">
        <v>45113.505416666667</v>
      </c>
      <c r="BC268" s="2"/>
      <c r="BD268" t="s">
        <v>91</v>
      </c>
      <c r="BF268" s="1" t="s">
        <v>75</v>
      </c>
      <c r="BI268" s="1" t="s">
        <v>88</v>
      </c>
      <c r="BJ268">
        <v>1</v>
      </c>
      <c r="BK268" s="1" t="s">
        <v>89</v>
      </c>
      <c r="BL268" t="s">
        <v>91</v>
      </c>
      <c r="BM268" s="1" t="s">
        <v>91</v>
      </c>
      <c r="BN268" s="1" t="s">
        <v>91</v>
      </c>
      <c r="BO268" s="1" t="s">
        <v>91</v>
      </c>
      <c r="BP268" s="1" t="s">
        <v>91</v>
      </c>
      <c r="BQ268" t="s">
        <v>91</v>
      </c>
      <c r="BR268" s="3">
        <v>45113</v>
      </c>
      <c r="BS268" s="3"/>
      <c r="BT268" t="s">
        <v>91</v>
      </c>
      <c r="BU268" t="s">
        <v>91</v>
      </c>
      <c r="BW268" s="1" t="s">
        <v>90</v>
      </c>
    </row>
    <row r="269" spans="1:75" x14ac:dyDescent="0.35">
      <c r="A269">
        <v>1273</v>
      </c>
      <c r="B269" s="1" t="s">
        <v>75</v>
      </c>
      <c r="C269">
        <v>80</v>
      </c>
      <c r="D269">
        <v>11121001</v>
      </c>
      <c r="E269">
        <v>121001</v>
      </c>
      <c r="F269" s="1" t="s">
        <v>76</v>
      </c>
      <c r="G269" s="1" t="s">
        <v>1729</v>
      </c>
      <c r="I269" s="1" t="s">
        <v>78</v>
      </c>
      <c r="J269" s="1" t="s">
        <v>1730</v>
      </c>
      <c r="K269" s="1" t="s">
        <v>1731</v>
      </c>
      <c r="L269" t="s">
        <v>91</v>
      </c>
      <c r="M269" t="s">
        <v>91</v>
      </c>
      <c r="N269" s="1" t="s">
        <v>1732</v>
      </c>
      <c r="O269" t="s">
        <v>91</v>
      </c>
      <c r="P269" s="1" t="s">
        <v>1733</v>
      </c>
      <c r="Q269" s="1" t="s">
        <v>427</v>
      </c>
      <c r="R269" s="1" t="s">
        <v>833</v>
      </c>
      <c r="T269">
        <v>89251520</v>
      </c>
      <c r="U269" s="1" t="s">
        <v>108</v>
      </c>
      <c r="V269" s="1" t="s">
        <v>1076</v>
      </c>
      <c r="W269" s="1" t="s">
        <v>87</v>
      </c>
      <c r="X269">
        <v>47</v>
      </c>
      <c r="Y269">
        <v>33706845</v>
      </c>
      <c r="Z269" t="s">
        <v>91</v>
      </c>
      <c r="AA269" t="s">
        <v>91</v>
      </c>
      <c r="AB269" t="s">
        <v>91</v>
      </c>
      <c r="AC269" t="s">
        <v>91</v>
      </c>
      <c r="AD269" t="s">
        <v>91</v>
      </c>
      <c r="AE269" t="s">
        <v>91</v>
      </c>
      <c r="AF269" t="s">
        <v>91</v>
      </c>
      <c r="AG269" s="1" t="s">
        <v>91</v>
      </c>
      <c r="AH269" s="1" t="s">
        <v>91</v>
      </c>
      <c r="AI269" t="s">
        <v>91</v>
      </c>
      <c r="AJ269">
        <v>0</v>
      </c>
      <c r="AK269">
        <v>0</v>
      </c>
      <c r="AL269">
        <v>0</v>
      </c>
      <c r="AM269" t="s">
        <v>91</v>
      </c>
      <c r="AN269" t="s">
        <v>91</v>
      </c>
      <c r="AO269" t="s">
        <v>91</v>
      </c>
      <c r="AP269" t="s">
        <v>91</v>
      </c>
      <c r="AQ269" s="1" t="s">
        <v>91</v>
      </c>
      <c r="AR269" s="1" t="s">
        <v>91</v>
      </c>
      <c r="AS269" s="1" t="s">
        <v>91</v>
      </c>
      <c r="AT269" s="1" t="s">
        <v>91</v>
      </c>
      <c r="AU269" s="1" t="s">
        <v>91</v>
      </c>
      <c r="AV269" t="s">
        <v>91</v>
      </c>
      <c r="AW269" t="s">
        <v>91</v>
      </c>
      <c r="AX269" t="s">
        <v>91</v>
      </c>
      <c r="AY269" t="s">
        <v>91</v>
      </c>
      <c r="AZ269" t="s">
        <v>91</v>
      </c>
      <c r="BA269" t="s">
        <v>91</v>
      </c>
      <c r="BB269" s="2">
        <v>43308.393194444441</v>
      </c>
      <c r="BC269" s="2"/>
      <c r="BD269" t="s">
        <v>91</v>
      </c>
      <c r="BE269">
        <v>1273</v>
      </c>
      <c r="BF269" s="1" t="s">
        <v>75</v>
      </c>
      <c r="BG269">
        <v>0</v>
      </c>
      <c r="BH269">
        <v>0</v>
      </c>
      <c r="BI269" s="1" t="s">
        <v>88</v>
      </c>
      <c r="BJ269">
        <v>1</v>
      </c>
      <c r="BK269" s="1" t="s">
        <v>89</v>
      </c>
      <c r="BL269" t="s">
        <v>91</v>
      </c>
      <c r="BM269" s="1" t="s">
        <v>109</v>
      </c>
      <c r="BN269" s="1" t="s">
        <v>110</v>
      </c>
      <c r="BO269" s="1" t="s">
        <v>165</v>
      </c>
      <c r="BP269" s="1" t="s">
        <v>91</v>
      </c>
      <c r="BQ269" t="s">
        <v>91</v>
      </c>
      <c r="BR269" s="3">
        <v>43308</v>
      </c>
      <c r="BS269" s="3"/>
      <c r="BT269" t="s">
        <v>91</v>
      </c>
      <c r="BU269" t="s">
        <v>91</v>
      </c>
      <c r="BV269">
        <v>3</v>
      </c>
      <c r="BW269" s="1" t="s">
        <v>90</v>
      </c>
    </row>
    <row r="270" spans="1:75" x14ac:dyDescent="0.35">
      <c r="A270">
        <v>120366</v>
      </c>
      <c r="B270" s="1" t="s">
        <v>75</v>
      </c>
      <c r="C270">
        <v>80</v>
      </c>
      <c r="D270">
        <v>11121001</v>
      </c>
      <c r="E270">
        <v>121001</v>
      </c>
      <c r="F270" s="1" t="s">
        <v>76</v>
      </c>
      <c r="G270" s="1" t="s">
        <v>1734</v>
      </c>
      <c r="H270">
        <v>0</v>
      </c>
      <c r="I270" s="1" t="s">
        <v>78</v>
      </c>
      <c r="J270" s="1" t="s">
        <v>1735</v>
      </c>
      <c r="K270" s="1" t="s">
        <v>1736</v>
      </c>
      <c r="L270" t="s">
        <v>91</v>
      </c>
      <c r="M270" t="s">
        <v>91</v>
      </c>
      <c r="N270" s="1" t="s">
        <v>1737</v>
      </c>
      <c r="O270" t="s">
        <v>91</v>
      </c>
      <c r="P270" s="1" t="s">
        <v>1738</v>
      </c>
      <c r="Q270" s="1" t="s">
        <v>1739</v>
      </c>
      <c r="R270" s="1" t="s">
        <v>1740</v>
      </c>
      <c r="S270">
        <v>1383</v>
      </c>
      <c r="T270">
        <v>99020080</v>
      </c>
      <c r="U270" s="1" t="s">
        <v>1064</v>
      </c>
      <c r="V270" s="1" t="s">
        <v>371</v>
      </c>
      <c r="W270" s="1" t="s">
        <v>157</v>
      </c>
      <c r="X270">
        <v>54</v>
      </c>
      <c r="Y270">
        <v>33119761</v>
      </c>
      <c r="Z270" t="s">
        <v>91</v>
      </c>
      <c r="AA270" t="s">
        <v>91</v>
      </c>
      <c r="AB270" t="s">
        <v>91</v>
      </c>
      <c r="AC270" t="s">
        <v>91</v>
      </c>
      <c r="AD270" t="s">
        <v>91</v>
      </c>
      <c r="AE270" t="s">
        <v>91</v>
      </c>
      <c r="AF270" t="s">
        <v>91</v>
      </c>
      <c r="AG270" s="1" t="s">
        <v>91</v>
      </c>
      <c r="AH270" s="1" t="s">
        <v>91</v>
      </c>
      <c r="AI270" t="s">
        <v>91</v>
      </c>
      <c r="AJ270">
        <v>0</v>
      </c>
      <c r="AK270">
        <v>0</v>
      </c>
      <c r="AL270">
        <v>0</v>
      </c>
      <c r="AM270" t="s">
        <v>91</v>
      </c>
      <c r="AN270" t="s">
        <v>91</v>
      </c>
      <c r="AO270" t="s">
        <v>91</v>
      </c>
      <c r="AP270" t="s">
        <v>91</v>
      </c>
      <c r="AQ270" s="1" t="s">
        <v>91</v>
      </c>
      <c r="AR270" s="1" t="s">
        <v>91</v>
      </c>
      <c r="AS270" s="1" t="s">
        <v>91</v>
      </c>
      <c r="AT270" s="1" t="s">
        <v>91</v>
      </c>
      <c r="AU270" s="1" t="s">
        <v>91</v>
      </c>
      <c r="AV270" t="s">
        <v>91</v>
      </c>
      <c r="AW270" t="s">
        <v>91</v>
      </c>
      <c r="AX270" t="s">
        <v>91</v>
      </c>
      <c r="AY270" t="s">
        <v>91</v>
      </c>
      <c r="AZ270" t="s">
        <v>91</v>
      </c>
      <c r="BA270" t="s">
        <v>91</v>
      </c>
      <c r="BB270" s="2">
        <v>44092.925393518519</v>
      </c>
      <c r="BC270" s="2"/>
      <c r="BD270" t="s">
        <v>91</v>
      </c>
      <c r="BF270" s="1" t="s">
        <v>75</v>
      </c>
      <c r="BG270">
        <v>0</v>
      </c>
      <c r="BH270">
        <v>0</v>
      </c>
      <c r="BI270" s="1" t="s">
        <v>88</v>
      </c>
      <c r="BJ270">
        <v>1</v>
      </c>
      <c r="BK270" s="1" t="s">
        <v>89</v>
      </c>
      <c r="BL270" t="s">
        <v>91</v>
      </c>
      <c r="BM270" s="1" t="s">
        <v>164</v>
      </c>
      <c r="BN270" s="1" t="s">
        <v>110</v>
      </c>
      <c r="BO270" s="1" t="s">
        <v>165</v>
      </c>
      <c r="BP270" s="1" t="s">
        <v>91</v>
      </c>
      <c r="BQ270" t="s">
        <v>91</v>
      </c>
      <c r="BR270" s="3">
        <v>44092</v>
      </c>
      <c r="BS270" s="3"/>
      <c r="BT270" t="s">
        <v>91</v>
      </c>
      <c r="BU270" t="s">
        <v>91</v>
      </c>
      <c r="BV270">
        <v>1</v>
      </c>
      <c r="BW270" s="1" t="s">
        <v>255</v>
      </c>
    </row>
    <row r="271" spans="1:75" x14ac:dyDescent="0.35">
      <c r="A271">
        <v>138145</v>
      </c>
      <c r="B271" s="1" t="s">
        <v>75</v>
      </c>
      <c r="C271">
        <v>80</v>
      </c>
      <c r="D271">
        <v>11121001</v>
      </c>
      <c r="E271">
        <v>121001</v>
      </c>
      <c r="F271" s="1" t="s">
        <v>76</v>
      </c>
      <c r="G271" s="1" t="s">
        <v>1741</v>
      </c>
      <c r="H271">
        <v>0</v>
      </c>
      <c r="I271" s="1" t="s">
        <v>78</v>
      </c>
      <c r="J271" s="1" t="s">
        <v>1742</v>
      </c>
      <c r="K271" s="1" t="s">
        <v>1743</v>
      </c>
      <c r="L271" t="s">
        <v>91</v>
      </c>
      <c r="M271" t="s">
        <v>91</v>
      </c>
      <c r="N271" s="1" t="s">
        <v>1744</v>
      </c>
      <c r="O271" t="s">
        <v>91</v>
      </c>
      <c r="P271" s="1" t="s">
        <v>438</v>
      </c>
      <c r="Q271" s="1" t="s">
        <v>1745</v>
      </c>
      <c r="R271" s="1" t="s">
        <v>236</v>
      </c>
      <c r="T271">
        <v>89700003</v>
      </c>
      <c r="U271" s="1" t="s">
        <v>108</v>
      </c>
      <c r="V271" s="1" t="s">
        <v>1088</v>
      </c>
      <c r="W271" s="1" t="s">
        <v>87</v>
      </c>
      <c r="X271">
        <v>49</v>
      </c>
      <c r="Y271">
        <v>30111365</v>
      </c>
      <c r="Z271" t="s">
        <v>91</v>
      </c>
      <c r="AA271" t="s">
        <v>91</v>
      </c>
      <c r="AB271" t="s">
        <v>91</v>
      </c>
      <c r="AC271" t="s">
        <v>91</v>
      </c>
      <c r="AD271" t="s">
        <v>91</v>
      </c>
      <c r="AE271" t="s">
        <v>91</v>
      </c>
      <c r="AF271" t="s">
        <v>91</v>
      </c>
      <c r="AG271" s="1" t="s">
        <v>146</v>
      </c>
      <c r="AH271" s="1" t="s">
        <v>91</v>
      </c>
      <c r="AI271" t="s">
        <v>91</v>
      </c>
      <c r="AM271" t="s">
        <v>91</v>
      </c>
      <c r="AN271" t="s">
        <v>91</v>
      </c>
      <c r="AO271" t="s">
        <v>91</v>
      </c>
      <c r="AP271" t="s">
        <v>91</v>
      </c>
      <c r="AQ271" s="1" t="s">
        <v>147</v>
      </c>
      <c r="AR271" s="1" t="s">
        <v>147</v>
      </c>
      <c r="AS271" s="1" t="s">
        <v>147</v>
      </c>
      <c r="AT271" s="1" t="s">
        <v>147</v>
      </c>
      <c r="AU271" s="1" t="s">
        <v>147</v>
      </c>
      <c r="AV271" t="s">
        <v>91</v>
      </c>
      <c r="AW271" t="s">
        <v>91</v>
      </c>
      <c r="AX271" t="s">
        <v>91</v>
      </c>
      <c r="AY271" t="s">
        <v>91</v>
      </c>
      <c r="AZ271" t="s">
        <v>91</v>
      </c>
      <c r="BA271" t="s">
        <v>91</v>
      </c>
      <c r="BB271" s="2">
        <v>44378.578518518516</v>
      </c>
      <c r="BC271" s="2">
        <v>44749.670416666668</v>
      </c>
      <c r="BD271" t="s">
        <v>91</v>
      </c>
      <c r="BF271" s="1" t="s">
        <v>75</v>
      </c>
      <c r="BH271">
        <v>0</v>
      </c>
      <c r="BI271" s="1" t="s">
        <v>88</v>
      </c>
      <c r="BJ271">
        <v>1</v>
      </c>
      <c r="BK271" s="1" t="s">
        <v>89</v>
      </c>
      <c r="BL271" t="s">
        <v>91</v>
      </c>
      <c r="BM271" s="1" t="s">
        <v>329</v>
      </c>
      <c r="BN271" s="1" t="s">
        <v>110</v>
      </c>
      <c r="BO271" s="1" t="s">
        <v>165</v>
      </c>
      <c r="BP271" s="1" t="s">
        <v>91</v>
      </c>
      <c r="BQ271" t="s">
        <v>91</v>
      </c>
      <c r="BR271" s="3">
        <v>44378</v>
      </c>
      <c r="BS271" s="3">
        <v>44749</v>
      </c>
      <c r="BT271" t="s">
        <v>91</v>
      </c>
      <c r="BU271" t="s">
        <v>91</v>
      </c>
      <c r="BW271" s="1" t="s">
        <v>1089</v>
      </c>
    </row>
    <row r="272" spans="1:75" x14ac:dyDescent="0.35">
      <c r="A272">
        <v>152724</v>
      </c>
      <c r="B272" s="1" t="s">
        <v>75</v>
      </c>
      <c r="C272">
        <v>80</v>
      </c>
      <c r="D272">
        <v>11121001</v>
      </c>
      <c r="E272">
        <v>121001</v>
      </c>
      <c r="F272" s="1" t="s">
        <v>76</v>
      </c>
      <c r="G272" s="1" t="s">
        <v>1746</v>
      </c>
      <c r="H272">
        <v>0</v>
      </c>
      <c r="I272" s="1" t="s">
        <v>78</v>
      </c>
      <c r="J272" s="1" t="s">
        <v>1747</v>
      </c>
      <c r="K272" s="1" t="s">
        <v>1748</v>
      </c>
      <c r="L272" t="s">
        <v>91</v>
      </c>
      <c r="M272" t="s">
        <v>91</v>
      </c>
      <c r="N272" s="1" t="s">
        <v>1749</v>
      </c>
      <c r="O272" t="s">
        <v>91</v>
      </c>
      <c r="P272" s="1" t="s">
        <v>341</v>
      </c>
      <c r="Q272" s="1" t="s">
        <v>1750</v>
      </c>
      <c r="R272" s="1" t="s">
        <v>1751</v>
      </c>
      <c r="T272">
        <v>89700083</v>
      </c>
      <c r="U272" s="1" t="s">
        <v>108</v>
      </c>
      <c r="V272" s="1" t="s">
        <v>435</v>
      </c>
      <c r="W272" s="1" t="s">
        <v>87</v>
      </c>
      <c r="X272">
        <v>49</v>
      </c>
      <c r="Y272">
        <v>991121365</v>
      </c>
      <c r="Z272" t="s">
        <v>91</v>
      </c>
      <c r="AA272" t="s">
        <v>91</v>
      </c>
      <c r="AB272" t="s">
        <v>91</v>
      </c>
      <c r="AC272" t="s">
        <v>91</v>
      </c>
      <c r="AD272" t="s">
        <v>91</v>
      </c>
      <c r="AE272" t="s">
        <v>91</v>
      </c>
      <c r="AF272" t="s">
        <v>91</v>
      </c>
      <c r="AG272" s="1" t="s">
        <v>91</v>
      </c>
      <c r="AH272" s="1" t="s">
        <v>91</v>
      </c>
      <c r="AI272" t="s">
        <v>91</v>
      </c>
      <c r="AM272" t="s">
        <v>91</v>
      </c>
      <c r="AN272" t="s">
        <v>91</v>
      </c>
      <c r="AO272" t="s">
        <v>91</v>
      </c>
      <c r="AP272" t="s">
        <v>91</v>
      </c>
      <c r="AQ272" s="1" t="s">
        <v>91</v>
      </c>
      <c r="AR272" s="1" t="s">
        <v>91</v>
      </c>
      <c r="AS272" s="1" t="s">
        <v>91</v>
      </c>
      <c r="AT272" s="1" t="s">
        <v>91</v>
      </c>
      <c r="AU272" s="1" t="s">
        <v>91</v>
      </c>
      <c r="AV272" t="s">
        <v>91</v>
      </c>
      <c r="AW272" t="s">
        <v>91</v>
      </c>
      <c r="AX272" t="s">
        <v>91</v>
      </c>
      <c r="AY272" t="s">
        <v>91</v>
      </c>
      <c r="AZ272" t="s">
        <v>91</v>
      </c>
      <c r="BA272" t="s">
        <v>91</v>
      </c>
      <c r="BB272" s="2">
        <v>45019.565613425926</v>
      </c>
      <c r="BC272" s="2"/>
      <c r="BD272" t="s">
        <v>91</v>
      </c>
      <c r="BF272" s="1" t="s">
        <v>75</v>
      </c>
      <c r="BI272" s="1" t="s">
        <v>88</v>
      </c>
      <c r="BJ272">
        <v>1</v>
      </c>
      <c r="BK272" s="1" t="s">
        <v>89</v>
      </c>
      <c r="BL272" t="s">
        <v>91</v>
      </c>
      <c r="BM272" s="1" t="s">
        <v>91</v>
      </c>
      <c r="BN272" s="1" t="s">
        <v>91</v>
      </c>
      <c r="BO272" s="1" t="s">
        <v>91</v>
      </c>
      <c r="BP272" s="1" t="s">
        <v>91</v>
      </c>
      <c r="BQ272" t="s">
        <v>91</v>
      </c>
      <c r="BR272" s="3">
        <v>45019</v>
      </c>
      <c r="BS272" s="3"/>
      <c r="BT272" t="s">
        <v>91</v>
      </c>
      <c r="BU272" t="s">
        <v>91</v>
      </c>
      <c r="BW272" s="1" t="s">
        <v>90</v>
      </c>
    </row>
    <row r="273" spans="1:75" x14ac:dyDescent="0.35">
      <c r="A273">
        <v>157561</v>
      </c>
      <c r="B273" s="1" t="s">
        <v>75</v>
      </c>
      <c r="C273">
        <v>80</v>
      </c>
      <c r="D273">
        <v>11121001</v>
      </c>
      <c r="E273">
        <v>121001</v>
      </c>
      <c r="F273" s="1" t="s">
        <v>76</v>
      </c>
      <c r="G273" s="1" t="s">
        <v>1752</v>
      </c>
      <c r="H273">
        <v>0</v>
      </c>
      <c r="I273" s="1" t="s">
        <v>78</v>
      </c>
      <c r="J273" s="1" t="s">
        <v>1753</v>
      </c>
      <c r="K273" s="1" t="s">
        <v>1754</v>
      </c>
      <c r="L273" t="s">
        <v>91</v>
      </c>
      <c r="M273" t="s">
        <v>91</v>
      </c>
      <c r="N273" s="1" t="s">
        <v>1755</v>
      </c>
      <c r="O273" t="s">
        <v>91</v>
      </c>
      <c r="P273" s="1" t="s">
        <v>364</v>
      </c>
      <c r="Q273" s="1" t="s">
        <v>274</v>
      </c>
      <c r="R273" s="1" t="s">
        <v>147</v>
      </c>
      <c r="S273">
        <v>1287</v>
      </c>
      <c r="T273">
        <v>89802000</v>
      </c>
      <c r="U273" s="1" t="s">
        <v>108</v>
      </c>
      <c r="V273" s="1" t="s">
        <v>86</v>
      </c>
      <c r="W273" s="1" t="s">
        <v>87</v>
      </c>
      <c r="X273">
        <v>49</v>
      </c>
      <c r="Y273">
        <v>33237055</v>
      </c>
      <c r="Z273" t="s">
        <v>91</v>
      </c>
      <c r="AA273" t="s">
        <v>91</v>
      </c>
      <c r="AB273" t="s">
        <v>91</v>
      </c>
      <c r="AC273" t="s">
        <v>91</v>
      </c>
      <c r="AD273" t="s">
        <v>91</v>
      </c>
      <c r="AE273" t="s">
        <v>91</v>
      </c>
      <c r="AF273" t="s">
        <v>91</v>
      </c>
      <c r="AG273" s="1" t="s">
        <v>91</v>
      </c>
      <c r="AH273" s="1" t="s">
        <v>91</v>
      </c>
      <c r="AI273" t="s">
        <v>91</v>
      </c>
      <c r="AM273" t="s">
        <v>91</v>
      </c>
      <c r="AN273" t="s">
        <v>91</v>
      </c>
      <c r="AO273" t="s">
        <v>91</v>
      </c>
      <c r="AP273" t="s">
        <v>91</v>
      </c>
      <c r="AQ273" s="1" t="s">
        <v>91</v>
      </c>
      <c r="AR273" s="1" t="s">
        <v>91</v>
      </c>
      <c r="AS273" s="1" t="s">
        <v>91</v>
      </c>
      <c r="AT273" s="1" t="s">
        <v>91</v>
      </c>
      <c r="AU273" s="1" t="s">
        <v>91</v>
      </c>
      <c r="AV273" t="s">
        <v>91</v>
      </c>
      <c r="AW273" t="s">
        <v>91</v>
      </c>
      <c r="AX273" t="s">
        <v>91</v>
      </c>
      <c r="AY273" t="s">
        <v>91</v>
      </c>
      <c r="AZ273" t="s">
        <v>91</v>
      </c>
      <c r="BA273" t="s">
        <v>91</v>
      </c>
      <c r="BB273" s="2">
        <v>45118.093391203707</v>
      </c>
      <c r="BC273" s="2"/>
      <c r="BD273" t="s">
        <v>91</v>
      </c>
      <c r="BF273" s="1" t="s">
        <v>75</v>
      </c>
      <c r="BI273" s="1" t="s">
        <v>88</v>
      </c>
      <c r="BJ273">
        <v>1</v>
      </c>
      <c r="BK273" s="1" t="s">
        <v>89</v>
      </c>
      <c r="BL273" t="s">
        <v>91</v>
      </c>
      <c r="BM273" s="1" t="s">
        <v>91</v>
      </c>
      <c r="BN273" s="1" t="s">
        <v>91</v>
      </c>
      <c r="BO273" s="1" t="s">
        <v>91</v>
      </c>
      <c r="BP273" s="1" t="s">
        <v>91</v>
      </c>
      <c r="BQ273" t="s">
        <v>91</v>
      </c>
      <c r="BR273" s="3">
        <v>45118</v>
      </c>
      <c r="BS273" s="3"/>
      <c r="BT273" t="s">
        <v>91</v>
      </c>
      <c r="BU273" t="s">
        <v>91</v>
      </c>
      <c r="BW273" s="1" t="s">
        <v>90</v>
      </c>
    </row>
    <row r="274" spans="1:75" x14ac:dyDescent="0.35">
      <c r="A274">
        <v>847</v>
      </c>
      <c r="B274" s="1" t="s">
        <v>75</v>
      </c>
      <c r="C274">
        <v>80</v>
      </c>
      <c r="D274">
        <v>11121001</v>
      </c>
      <c r="E274">
        <v>121001</v>
      </c>
      <c r="F274" s="1" t="s">
        <v>76</v>
      </c>
      <c r="G274" s="1" t="s">
        <v>1756</v>
      </c>
      <c r="I274" s="1" t="s">
        <v>78</v>
      </c>
      <c r="J274" s="1" t="s">
        <v>1757</v>
      </c>
      <c r="K274" s="1" t="s">
        <v>1758</v>
      </c>
      <c r="L274" t="s">
        <v>91</v>
      </c>
      <c r="M274" t="s">
        <v>91</v>
      </c>
      <c r="N274" s="1" t="s">
        <v>1759</v>
      </c>
      <c r="O274" t="s">
        <v>91</v>
      </c>
      <c r="P274" s="1" t="s">
        <v>1760</v>
      </c>
      <c r="Q274" s="1" t="s">
        <v>1042</v>
      </c>
      <c r="R274" s="1" t="s">
        <v>91</v>
      </c>
      <c r="S274">
        <v>1281</v>
      </c>
      <c r="T274">
        <v>89340000</v>
      </c>
      <c r="U274" s="1" t="s">
        <v>108</v>
      </c>
      <c r="V274" s="1" t="s">
        <v>205</v>
      </c>
      <c r="W274" s="1" t="s">
        <v>87</v>
      </c>
      <c r="X274">
        <v>47</v>
      </c>
      <c r="Y274">
        <v>36521464</v>
      </c>
      <c r="Z274" t="s">
        <v>91</v>
      </c>
      <c r="AA274" t="s">
        <v>91</v>
      </c>
      <c r="AB274" t="s">
        <v>91</v>
      </c>
      <c r="AC274" t="s">
        <v>91</v>
      </c>
      <c r="AD274" t="s">
        <v>91</v>
      </c>
      <c r="AE274" t="s">
        <v>91</v>
      </c>
      <c r="AF274" t="s">
        <v>91</v>
      </c>
      <c r="AG274" s="1" t="s">
        <v>91</v>
      </c>
      <c r="AH274" s="1" t="s">
        <v>91</v>
      </c>
      <c r="AI274" t="s">
        <v>91</v>
      </c>
      <c r="AJ274">
        <v>0</v>
      </c>
      <c r="AK274">
        <v>0</v>
      </c>
      <c r="AL274">
        <v>0</v>
      </c>
      <c r="AM274" t="s">
        <v>91</v>
      </c>
      <c r="AN274" t="s">
        <v>91</v>
      </c>
      <c r="AO274" t="s">
        <v>91</v>
      </c>
      <c r="AP274" t="s">
        <v>91</v>
      </c>
      <c r="AQ274" s="1" t="s">
        <v>91</v>
      </c>
      <c r="AR274" s="1" t="s">
        <v>91</v>
      </c>
      <c r="AS274" s="1" t="s">
        <v>91</v>
      </c>
      <c r="AT274" s="1" t="s">
        <v>91</v>
      </c>
      <c r="AU274" s="1" t="s">
        <v>91</v>
      </c>
      <c r="AV274" t="s">
        <v>91</v>
      </c>
      <c r="AW274" t="s">
        <v>91</v>
      </c>
      <c r="AX274" t="s">
        <v>91</v>
      </c>
      <c r="AY274" t="s">
        <v>91</v>
      </c>
      <c r="AZ274" t="s">
        <v>91</v>
      </c>
      <c r="BA274" t="s">
        <v>91</v>
      </c>
      <c r="BB274" s="2">
        <v>43308.392962962964</v>
      </c>
      <c r="BC274" s="2"/>
      <c r="BD274" t="s">
        <v>91</v>
      </c>
      <c r="BE274">
        <v>847</v>
      </c>
      <c r="BF274" s="1" t="s">
        <v>75</v>
      </c>
      <c r="BG274">
        <v>0</v>
      </c>
      <c r="BH274">
        <v>0</v>
      </c>
      <c r="BI274" s="1" t="s">
        <v>88</v>
      </c>
      <c r="BJ274">
        <v>1</v>
      </c>
      <c r="BK274" s="1" t="s">
        <v>89</v>
      </c>
      <c r="BL274" t="s">
        <v>91</v>
      </c>
      <c r="BM274" s="1" t="s">
        <v>109</v>
      </c>
      <c r="BN274" s="1" t="s">
        <v>110</v>
      </c>
      <c r="BO274" s="1" t="s">
        <v>111</v>
      </c>
      <c r="BP274" s="1" t="s">
        <v>91</v>
      </c>
      <c r="BQ274" t="s">
        <v>91</v>
      </c>
      <c r="BR274" s="3">
        <v>43308</v>
      </c>
      <c r="BS274" s="3"/>
      <c r="BT274" t="s">
        <v>91</v>
      </c>
      <c r="BU274" t="s">
        <v>91</v>
      </c>
      <c r="BV274">
        <v>9</v>
      </c>
      <c r="BW274" s="1" t="s">
        <v>1211</v>
      </c>
    </row>
    <row r="275" spans="1:75" x14ac:dyDescent="0.35">
      <c r="A275">
        <v>138148</v>
      </c>
      <c r="B275" s="1" t="s">
        <v>75</v>
      </c>
      <c r="C275">
        <v>80</v>
      </c>
      <c r="D275">
        <v>11121001</v>
      </c>
      <c r="E275">
        <v>121001</v>
      </c>
      <c r="F275" s="1" t="s">
        <v>76</v>
      </c>
      <c r="G275" s="1" t="s">
        <v>1761</v>
      </c>
      <c r="H275">
        <v>0</v>
      </c>
      <c r="I275" s="1" t="s">
        <v>78</v>
      </c>
      <c r="J275" s="1" t="s">
        <v>1762</v>
      </c>
      <c r="K275" s="1" t="s">
        <v>1763</v>
      </c>
      <c r="L275" t="s">
        <v>91</v>
      </c>
      <c r="M275" t="s">
        <v>91</v>
      </c>
      <c r="N275" s="1" t="s">
        <v>1764</v>
      </c>
      <c r="O275" t="s">
        <v>91</v>
      </c>
      <c r="P275" s="1" t="s">
        <v>1765</v>
      </c>
      <c r="Q275" s="1" t="s">
        <v>1766</v>
      </c>
      <c r="R275" s="1" t="s">
        <v>236</v>
      </c>
      <c r="T275">
        <v>89500145</v>
      </c>
      <c r="U275" s="1" t="s">
        <v>1767</v>
      </c>
      <c r="V275" s="1" t="s">
        <v>450</v>
      </c>
      <c r="W275" s="1" t="s">
        <v>87</v>
      </c>
      <c r="X275">
        <v>49</v>
      </c>
      <c r="Y275">
        <v>35633004</v>
      </c>
      <c r="Z275" t="s">
        <v>91</v>
      </c>
      <c r="AA275" t="s">
        <v>91</v>
      </c>
      <c r="AB275" t="s">
        <v>91</v>
      </c>
      <c r="AC275" t="s">
        <v>91</v>
      </c>
      <c r="AD275" t="s">
        <v>91</v>
      </c>
      <c r="AE275" t="s">
        <v>91</v>
      </c>
      <c r="AF275" t="s">
        <v>91</v>
      </c>
      <c r="AG275" s="1" t="s">
        <v>146</v>
      </c>
      <c r="AH275" s="1" t="s">
        <v>91</v>
      </c>
      <c r="AI275" t="s">
        <v>91</v>
      </c>
      <c r="AM275" t="s">
        <v>91</v>
      </c>
      <c r="AN275" t="s">
        <v>91</v>
      </c>
      <c r="AO275" t="s">
        <v>91</v>
      </c>
      <c r="AP275" t="s">
        <v>91</v>
      </c>
      <c r="AQ275" s="1" t="s">
        <v>147</v>
      </c>
      <c r="AR275" s="1" t="s">
        <v>147</v>
      </c>
      <c r="AS275" s="1" t="s">
        <v>147</v>
      </c>
      <c r="AT275" s="1" t="s">
        <v>147</v>
      </c>
      <c r="AU275" s="1" t="s">
        <v>147</v>
      </c>
      <c r="AV275" t="s">
        <v>91</v>
      </c>
      <c r="AW275" t="s">
        <v>91</v>
      </c>
      <c r="AX275" t="s">
        <v>91</v>
      </c>
      <c r="AY275" t="s">
        <v>91</v>
      </c>
      <c r="AZ275" t="s">
        <v>91</v>
      </c>
      <c r="BA275" t="s">
        <v>91</v>
      </c>
      <c r="BB275" s="2">
        <v>44378.578518518516</v>
      </c>
      <c r="BC275" s="2">
        <v>44725.714236111111</v>
      </c>
      <c r="BD275" t="s">
        <v>91</v>
      </c>
      <c r="BF275" s="1" t="s">
        <v>75</v>
      </c>
      <c r="BH275">
        <v>0</v>
      </c>
      <c r="BI275" s="1" t="s">
        <v>88</v>
      </c>
      <c r="BJ275">
        <v>1</v>
      </c>
      <c r="BK275" s="1" t="s">
        <v>89</v>
      </c>
      <c r="BL275" t="s">
        <v>91</v>
      </c>
      <c r="BM275" s="1" t="s">
        <v>639</v>
      </c>
      <c r="BN275" s="1" t="s">
        <v>110</v>
      </c>
      <c r="BO275" s="1" t="s">
        <v>165</v>
      </c>
      <c r="BP275" s="1" t="s">
        <v>91</v>
      </c>
      <c r="BQ275" t="s">
        <v>91</v>
      </c>
      <c r="BR275" s="3">
        <v>44378</v>
      </c>
      <c r="BS275" s="3">
        <v>44725</v>
      </c>
      <c r="BT275" t="s">
        <v>91</v>
      </c>
      <c r="BU275" t="s">
        <v>91</v>
      </c>
      <c r="BW275" s="1" t="s">
        <v>735</v>
      </c>
    </row>
    <row r="276" spans="1:75" x14ac:dyDescent="0.35">
      <c r="A276">
        <v>157506</v>
      </c>
      <c r="B276" s="1" t="s">
        <v>75</v>
      </c>
      <c r="C276">
        <v>80</v>
      </c>
      <c r="D276">
        <v>11121001</v>
      </c>
      <c r="E276">
        <v>121001</v>
      </c>
      <c r="F276" s="1" t="s">
        <v>76</v>
      </c>
      <c r="G276" s="1" t="s">
        <v>1768</v>
      </c>
      <c r="H276">
        <v>0</v>
      </c>
      <c r="I276" s="1" t="s">
        <v>78</v>
      </c>
      <c r="J276" s="1" t="s">
        <v>1769</v>
      </c>
      <c r="K276" s="1" t="s">
        <v>1770</v>
      </c>
      <c r="L276" t="s">
        <v>91</v>
      </c>
      <c r="M276" t="s">
        <v>91</v>
      </c>
      <c r="N276" s="1" t="s">
        <v>91</v>
      </c>
      <c r="O276" t="s">
        <v>91</v>
      </c>
      <c r="P276" s="1" t="s">
        <v>1416</v>
      </c>
      <c r="Q276" s="1" t="s">
        <v>1771</v>
      </c>
      <c r="R276" s="1" t="s">
        <v>91</v>
      </c>
      <c r="S276">
        <v>1281</v>
      </c>
      <c r="T276">
        <v>89370000</v>
      </c>
      <c r="U276" s="1" t="s">
        <v>108</v>
      </c>
      <c r="V276" s="1" t="s">
        <v>1717</v>
      </c>
      <c r="W276" s="1" t="s">
        <v>87</v>
      </c>
      <c r="X276">
        <v>47</v>
      </c>
      <c r="Y276">
        <v>36532270</v>
      </c>
      <c r="Z276" t="s">
        <v>91</v>
      </c>
      <c r="AA276" t="s">
        <v>91</v>
      </c>
      <c r="AB276" t="s">
        <v>91</v>
      </c>
      <c r="AC276" t="s">
        <v>91</v>
      </c>
      <c r="AD276" t="s">
        <v>91</v>
      </c>
      <c r="AE276" t="s">
        <v>91</v>
      </c>
      <c r="AF276" t="s">
        <v>91</v>
      </c>
      <c r="AG276" s="1" t="s">
        <v>91</v>
      </c>
      <c r="AH276" s="1" t="s">
        <v>91</v>
      </c>
      <c r="AI276" t="s">
        <v>91</v>
      </c>
      <c r="AM276" t="s">
        <v>91</v>
      </c>
      <c r="AN276" t="s">
        <v>91</v>
      </c>
      <c r="AO276" t="s">
        <v>91</v>
      </c>
      <c r="AP276" t="s">
        <v>91</v>
      </c>
      <c r="AQ276" s="1" t="s">
        <v>91</v>
      </c>
      <c r="AR276" s="1" t="s">
        <v>91</v>
      </c>
      <c r="AS276" s="1" t="s">
        <v>91</v>
      </c>
      <c r="AT276" s="1" t="s">
        <v>91</v>
      </c>
      <c r="AU276" s="1" t="s">
        <v>91</v>
      </c>
      <c r="AV276" t="s">
        <v>91</v>
      </c>
      <c r="AW276" t="s">
        <v>91</v>
      </c>
      <c r="AX276" t="s">
        <v>91</v>
      </c>
      <c r="AY276" t="s">
        <v>91</v>
      </c>
      <c r="AZ276" t="s">
        <v>91</v>
      </c>
      <c r="BA276" t="s">
        <v>91</v>
      </c>
      <c r="BB276" s="2">
        <v>45118.093391203707</v>
      </c>
      <c r="BC276" s="2"/>
      <c r="BD276" t="s">
        <v>91</v>
      </c>
      <c r="BF276" s="1" t="s">
        <v>75</v>
      </c>
      <c r="BI276" s="1" t="s">
        <v>88</v>
      </c>
      <c r="BJ276">
        <v>1</v>
      </c>
      <c r="BK276" s="1" t="s">
        <v>89</v>
      </c>
      <c r="BL276" t="s">
        <v>91</v>
      </c>
      <c r="BM276" s="1" t="s">
        <v>91</v>
      </c>
      <c r="BN276" s="1" t="s">
        <v>91</v>
      </c>
      <c r="BO276" s="1" t="s">
        <v>91</v>
      </c>
      <c r="BP276" s="1" t="s">
        <v>91</v>
      </c>
      <c r="BQ276" t="s">
        <v>91</v>
      </c>
      <c r="BR276" s="3">
        <v>45118</v>
      </c>
      <c r="BS276" s="3"/>
      <c r="BT276" t="s">
        <v>91</v>
      </c>
      <c r="BU276" t="s">
        <v>91</v>
      </c>
      <c r="BW276" s="1" t="s">
        <v>924</v>
      </c>
    </row>
    <row r="277" spans="1:75" x14ac:dyDescent="0.35">
      <c r="A277">
        <v>144446</v>
      </c>
      <c r="B277" s="1" t="s">
        <v>75</v>
      </c>
      <c r="C277">
        <v>80</v>
      </c>
      <c r="D277">
        <v>11121001</v>
      </c>
      <c r="E277">
        <v>121001</v>
      </c>
      <c r="F277" s="1" t="s">
        <v>76</v>
      </c>
      <c r="G277" s="1" t="s">
        <v>1772</v>
      </c>
      <c r="I277" s="1" t="s">
        <v>78</v>
      </c>
      <c r="J277" s="1" t="s">
        <v>1773</v>
      </c>
      <c r="K277" s="1" t="s">
        <v>1774</v>
      </c>
      <c r="L277" t="s">
        <v>91</v>
      </c>
      <c r="M277" t="s">
        <v>91</v>
      </c>
      <c r="N277" s="1" t="s">
        <v>1775</v>
      </c>
      <c r="O277" t="s">
        <v>91</v>
      </c>
      <c r="P277" s="1" t="s">
        <v>1776</v>
      </c>
      <c r="Q277" s="1" t="s">
        <v>1777</v>
      </c>
      <c r="R277" s="1" t="s">
        <v>236</v>
      </c>
      <c r="S277">
        <v>1283</v>
      </c>
      <c r="T277">
        <v>89460000</v>
      </c>
      <c r="U277" s="1" t="s">
        <v>108</v>
      </c>
      <c r="V277" s="1" t="s">
        <v>205</v>
      </c>
      <c r="W277" s="1" t="s">
        <v>87</v>
      </c>
      <c r="X277">
        <v>47</v>
      </c>
      <c r="Y277">
        <v>36223791</v>
      </c>
      <c r="Z277" t="s">
        <v>91</v>
      </c>
      <c r="AA277" t="s">
        <v>91</v>
      </c>
      <c r="AB277" t="s">
        <v>91</v>
      </c>
      <c r="AC277" t="s">
        <v>91</v>
      </c>
      <c r="AD277" t="s">
        <v>91</v>
      </c>
      <c r="AE277" t="s">
        <v>91</v>
      </c>
      <c r="AF277" t="s">
        <v>91</v>
      </c>
      <c r="AG277" s="1" t="s">
        <v>91</v>
      </c>
      <c r="AH277" s="1" t="s">
        <v>91</v>
      </c>
      <c r="AI277" t="s">
        <v>91</v>
      </c>
      <c r="AJ277">
        <v>0</v>
      </c>
      <c r="AK277">
        <v>0</v>
      </c>
      <c r="AL277">
        <v>0</v>
      </c>
      <c r="AM277" t="s">
        <v>91</v>
      </c>
      <c r="AN277" t="s">
        <v>91</v>
      </c>
      <c r="AO277" t="s">
        <v>91</v>
      </c>
      <c r="AP277" t="s">
        <v>91</v>
      </c>
      <c r="AQ277" s="1" t="s">
        <v>91</v>
      </c>
      <c r="AR277" s="1" t="s">
        <v>91</v>
      </c>
      <c r="AS277" s="1" t="s">
        <v>91</v>
      </c>
      <c r="AT277" s="1" t="s">
        <v>91</v>
      </c>
      <c r="AU277" s="1" t="s">
        <v>91</v>
      </c>
      <c r="AV277" t="s">
        <v>91</v>
      </c>
      <c r="AW277" t="s">
        <v>91</v>
      </c>
      <c r="AX277" t="s">
        <v>91</v>
      </c>
      <c r="AY277" t="s">
        <v>91</v>
      </c>
      <c r="AZ277" t="s">
        <v>91</v>
      </c>
      <c r="BA277" t="s">
        <v>91</v>
      </c>
      <c r="BB277" s="2"/>
      <c r="BC277" s="2"/>
      <c r="BD277" t="s">
        <v>91</v>
      </c>
      <c r="BF277" s="1" t="s">
        <v>75</v>
      </c>
      <c r="BG277">
        <v>0</v>
      </c>
      <c r="BH277">
        <v>0</v>
      </c>
      <c r="BI277" s="1" t="s">
        <v>88</v>
      </c>
      <c r="BJ277">
        <v>1</v>
      </c>
      <c r="BK277" s="1" t="s">
        <v>89</v>
      </c>
      <c r="BL277" t="s">
        <v>91</v>
      </c>
      <c r="BM277" s="1" t="s">
        <v>109</v>
      </c>
      <c r="BN277" s="1" t="s">
        <v>110</v>
      </c>
      <c r="BO277" s="1" t="s">
        <v>111</v>
      </c>
      <c r="BP277" s="1" t="s">
        <v>91</v>
      </c>
      <c r="BQ277" t="s">
        <v>91</v>
      </c>
      <c r="BR277" s="3"/>
      <c r="BS277" s="3"/>
      <c r="BT277" t="s">
        <v>91</v>
      </c>
      <c r="BU277" t="s">
        <v>91</v>
      </c>
      <c r="BV277">
        <v>9</v>
      </c>
      <c r="BW277" s="1" t="s">
        <v>1778</v>
      </c>
    </row>
    <row r="278" spans="1:75" x14ac:dyDescent="0.35">
      <c r="A278">
        <v>156727</v>
      </c>
      <c r="B278" s="1" t="s">
        <v>75</v>
      </c>
      <c r="C278">
        <v>80</v>
      </c>
      <c r="D278">
        <v>11121001</v>
      </c>
      <c r="E278">
        <v>121001</v>
      </c>
      <c r="F278" s="1" t="s">
        <v>76</v>
      </c>
      <c r="G278" s="1" t="s">
        <v>1779</v>
      </c>
      <c r="H278">
        <v>0</v>
      </c>
      <c r="I278" s="1" t="s">
        <v>78</v>
      </c>
      <c r="J278" s="1" t="s">
        <v>1780</v>
      </c>
      <c r="K278" s="1" t="s">
        <v>1781</v>
      </c>
      <c r="L278" t="s">
        <v>91</v>
      </c>
      <c r="M278" t="s">
        <v>91</v>
      </c>
      <c r="N278" s="1" t="s">
        <v>1782</v>
      </c>
      <c r="O278" t="s">
        <v>91</v>
      </c>
      <c r="P278" s="1" t="s">
        <v>1203</v>
      </c>
      <c r="Q278" s="1" t="s">
        <v>1783</v>
      </c>
      <c r="R278" s="1" t="s">
        <v>236</v>
      </c>
      <c r="T278">
        <v>99010032</v>
      </c>
      <c r="U278" s="1" t="s">
        <v>108</v>
      </c>
      <c r="V278" s="1" t="s">
        <v>371</v>
      </c>
      <c r="W278" s="1" t="s">
        <v>157</v>
      </c>
      <c r="X278">
        <v>54</v>
      </c>
      <c r="Y278">
        <v>30461222</v>
      </c>
      <c r="Z278" t="s">
        <v>91</v>
      </c>
      <c r="AA278" t="s">
        <v>91</v>
      </c>
      <c r="AB278" t="s">
        <v>91</v>
      </c>
      <c r="AC278" t="s">
        <v>91</v>
      </c>
      <c r="AD278" t="s">
        <v>91</v>
      </c>
      <c r="AE278" t="s">
        <v>91</v>
      </c>
      <c r="AF278" t="s">
        <v>91</v>
      </c>
      <c r="AG278" s="1" t="s">
        <v>91</v>
      </c>
      <c r="AH278" s="1" t="s">
        <v>91</v>
      </c>
      <c r="AI278" t="s">
        <v>91</v>
      </c>
      <c r="AM278" t="s">
        <v>91</v>
      </c>
      <c r="AN278" t="s">
        <v>91</v>
      </c>
      <c r="AO278" t="s">
        <v>91</v>
      </c>
      <c r="AP278" t="s">
        <v>91</v>
      </c>
      <c r="AQ278" s="1" t="s">
        <v>91</v>
      </c>
      <c r="AR278" s="1" t="s">
        <v>91</v>
      </c>
      <c r="AS278" s="1" t="s">
        <v>91</v>
      </c>
      <c r="AT278" s="1" t="s">
        <v>91</v>
      </c>
      <c r="AU278" s="1" t="s">
        <v>91</v>
      </c>
      <c r="AV278" t="s">
        <v>91</v>
      </c>
      <c r="AW278" t="s">
        <v>91</v>
      </c>
      <c r="AX278" t="s">
        <v>91</v>
      </c>
      <c r="AY278" t="s">
        <v>91</v>
      </c>
      <c r="AZ278" t="s">
        <v>91</v>
      </c>
      <c r="BA278" t="s">
        <v>91</v>
      </c>
      <c r="BB278" s="2">
        <v>45113.505416666667</v>
      </c>
      <c r="BC278" s="2"/>
      <c r="BD278" t="s">
        <v>91</v>
      </c>
      <c r="BF278" s="1" t="s">
        <v>75</v>
      </c>
      <c r="BI278" s="1" t="s">
        <v>88</v>
      </c>
      <c r="BJ278">
        <v>1</v>
      </c>
      <c r="BK278" s="1" t="s">
        <v>89</v>
      </c>
      <c r="BL278" t="s">
        <v>91</v>
      </c>
      <c r="BM278" s="1" t="s">
        <v>91</v>
      </c>
      <c r="BN278" s="1" t="s">
        <v>91</v>
      </c>
      <c r="BO278" s="1" t="s">
        <v>91</v>
      </c>
      <c r="BP278" s="1" t="s">
        <v>91</v>
      </c>
      <c r="BQ278" t="s">
        <v>91</v>
      </c>
      <c r="BR278" s="3">
        <v>45113</v>
      </c>
      <c r="BS278" s="3"/>
      <c r="BT278" t="s">
        <v>91</v>
      </c>
      <c r="BU278" t="s">
        <v>91</v>
      </c>
      <c r="BW278" s="1" t="s">
        <v>90</v>
      </c>
    </row>
    <row r="279" spans="1:75" x14ac:dyDescent="0.35">
      <c r="A279">
        <v>152731</v>
      </c>
      <c r="B279" s="1" t="s">
        <v>75</v>
      </c>
      <c r="C279">
        <v>80</v>
      </c>
      <c r="D279">
        <v>11121001</v>
      </c>
      <c r="E279">
        <v>121001</v>
      </c>
      <c r="F279" s="1" t="s">
        <v>76</v>
      </c>
      <c r="G279" s="1" t="s">
        <v>1784</v>
      </c>
      <c r="H279">
        <v>0</v>
      </c>
      <c r="I279" s="1" t="s">
        <v>78</v>
      </c>
      <c r="J279" s="1" t="s">
        <v>1785</v>
      </c>
      <c r="K279" s="1" t="s">
        <v>1786</v>
      </c>
      <c r="L279" t="s">
        <v>91</v>
      </c>
      <c r="M279" t="s">
        <v>91</v>
      </c>
      <c r="N279" s="1" t="s">
        <v>1787</v>
      </c>
      <c r="O279" t="s">
        <v>91</v>
      </c>
      <c r="P279" s="1" t="s">
        <v>1788</v>
      </c>
      <c r="Q279" s="1" t="s">
        <v>625</v>
      </c>
      <c r="R279" s="1" t="s">
        <v>1789</v>
      </c>
      <c r="S279">
        <v>1287</v>
      </c>
      <c r="T279">
        <v>89805203</v>
      </c>
      <c r="U279" s="1" t="s">
        <v>627</v>
      </c>
      <c r="V279" s="1" t="s">
        <v>86</v>
      </c>
      <c r="W279" s="1" t="s">
        <v>87</v>
      </c>
      <c r="X279">
        <v>49</v>
      </c>
      <c r="Y279">
        <v>988852890</v>
      </c>
      <c r="Z279" t="s">
        <v>91</v>
      </c>
      <c r="AA279" t="s">
        <v>91</v>
      </c>
      <c r="AB279" t="s">
        <v>91</v>
      </c>
      <c r="AC279" t="s">
        <v>91</v>
      </c>
      <c r="AD279" t="s">
        <v>91</v>
      </c>
      <c r="AE279" t="s">
        <v>91</v>
      </c>
      <c r="AF279" t="s">
        <v>91</v>
      </c>
      <c r="AG279" s="1" t="s">
        <v>91</v>
      </c>
      <c r="AH279" s="1" t="s">
        <v>91</v>
      </c>
      <c r="AI279" t="s">
        <v>91</v>
      </c>
      <c r="AM279" t="s">
        <v>91</v>
      </c>
      <c r="AN279" t="s">
        <v>91</v>
      </c>
      <c r="AO279" t="s">
        <v>91</v>
      </c>
      <c r="AP279" t="s">
        <v>91</v>
      </c>
      <c r="AQ279" s="1" t="s">
        <v>91</v>
      </c>
      <c r="AR279" s="1" t="s">
        <v>91</v>
      </c>
      <c r="AS279" s="1" t="s">
        <v>91</v>
      </c>
      <c r="AT279" s="1" t="s">
        <v>91</v>
      </c>
      <c r="AU279" s="1" t="s">
        <v>91</v>
      </c>
      <c r="AV279" t="s">
        <v>91</v>
      </c>
      <c r="AW279" t="s">
        <v>91</v>
      </c>
      <c r="AX279" t="s">
        <v>91</v>
      </c>
      <c r="AY279" t="s">
        <v>91</v>
      </c>
      <c r="AZ279" t="s">
        <v>91</v>
      </c>
      <c r="BA279" t="s">
        <v>91</v>
      </c>
      <c r="BB279" s="2">
        <v>45019.565613425926</v>
      </c>
      <c r="BC279" s="2"/>
      <c r="BD279" t="s">
        <v>91</v>
      </c>
      <c r="BF279" s="1" t="s">
        <v>75</v>
      </c>
      <c r="BI279" s="1" t="s">
        <v>88</v>
      </c>
      <c r="BJ279">
        <v>1</v>
      </c>
      <c r="BK279" s="1" t="s">
        <v>89</v>
      </c>
      <c r="BL279" t="s">
        <v>91</v>
      </c>
      <c r="BM279" s="1" t="s">
        <v>91</v>
      </c>
      <c r="BN279" s="1" t="s">
        <v>91</v>
      </c>
      <c r="BO279" s="1" t="s">
        <v>91</v>
      </c>
      <c r="BP279" s="1" t="s">
        <v>91</v>
      </c>
      <c r="BQ279" t="s">
        <v>91</v>
      </c>
      <c r="BR279" s="3">
        <v>45019</v>
      </c>
      <c r="BS279" s="3"/>
      <c r="BT279" t="s">
        <v>91</v>
      </c>
      <c r="BU279" t="s">
        <v>91</v>
      </c>
      <c r="BW279" s="1" t="s">
        <v>90</v>
      </c>
    </row>
    <row r="280" spans="1:75" x14ac:dyDescent="0.35">
      <c r="A280">
        <v>152736</v>
      </c>
      <c r="B280" s="1" t="s">
        <v>75</v>
      </c>
      <c r="C280">
        <v>80</v>
      </c>
      <c r="D280">
        <v>11121001</v>
      </c>
      <c r="E280">
        <v>121001</v>
      </c>
      <c r="F280" s="1" t="s">
        <v>76</v>
      </c>
      <c r="G280" s="1" t="s">
        <v>1790</v>
      </c>
      <c r="H280">
        <v>0</v>
      </c>
      <c r="I280" s="1" t="s">
        <v>78</v>
      </c>
      <c r="J280" s="1" t="s">
        <v>1791</v>
      </c>
      <c r="K280" s="1" t="s">
        <v>1792</v>
      </c>
      <c r="L280" t="s">
        <v>91</v>
      </c>
      <c r="M280" t="s">
        <v>91</v>
      </c>
      <c r="N280" s="1" t="s">
        <v>1793</v>
      </c>
      <c r="O280" t="s">
        <v>91</v>
      </c>
      <c r="P280" s="1" t="s">
        <v>1794</v>
      </c>
      <c r="Q280" s="1" t="s">
        <v>632</v>
      </c>
      <c r="R280" s="1" t="s">
        <v>1795</v>
      </c>
      <c r="S280">
        <v>1288</v>
      </c>
      <c r="T280">
        <v>89870000</v>
      </c>
      <c r="U280" s="1" t="s">
        <v>108</v>
      </c>
      <c r="V280" s="1" t="s">
        <v>634</v>
      </c>
      <c r="W280" s="1" t="s">
        <v>87</v>
      </c>
      <c r="X280">
        <v>49</v>
      </c>
      <c r="Y280">
        <v>984379692</v>
      </c>
      <c r="Z280" t="s">
        <v>91</v>
      </c>
      <c r="AA280" t="s">
        <v>91</v>
      </c>
      <c r="AB280" t="s">
        <v>91</v>
      </c>
      <c r="AC280" t="s">
        <v>91</v>
      </c>
      <c r="AD280" t="s">
        <v>91</v>
      </c>
      <c r="AE280" t="s">
        <v>91</v>
      </c>
      <c r="AF280" t="s">
        <v>91</v>
      </c>
      <c r="AG280" s="1" t="s">
        <v>91</v>
      </c>
      <c r="AH280" s="1" t="s">
        <v>91</v>
      </c>
      <c r="AI280" t="s">
        <v>91</v>
      </c>
      <c r="AM280" t="s">
        <v>91</v>
      </c>
      <c r="AN280" t="s">
        <v>91</v>
      </c>
      <c r="AO280" t="s">
        <v>91</v>
      </c>
      <c r="AP280" t="s">
        <v>91</v>
      </c>
      <c r="AQ280" s="1" t="s">
        <v>91</v>
      </c>
      <c r="AR280" s="1" t="s">
        <v>91</v>
      </c>
      <c r="AS280" s="1" t="s">
        <v>91</v>
      </c>
      <c r="AT280" s="1" t="s">
        <v>91</v>
      </c>
      <c r="AU280" s="1" t="s">
        <v>91</v>
      </c>
      <c r="AV280" t="s">
        <v>91</v>
      </c>
      <c r="AW280" t="s">
        <v>91</v>
      </c>
      <c r="AX280" t="s">
        <v>91</v>
      </c>
      <c r="AY280" t="s">
        <v>91</v>
      </c>
      <c r="AZ280" t="s">
        <v>91</v>
      </c>
      <c r="BA280" t="s">
        <v>91</v>
      </c>
      <c r="BB280" s="2">
        <v>45019.565613425926</v>
      </c>
      <c r="BC280" s="2"/>
      <c r="BD280" t="s">
        <v>91</v>
      </c>
      <c r="BF280" s="1" t="s">
        <v>75</v>
      </c>
      <c r="BI280" s="1" t="s">
        <v>88</v>
      </c>
      <c r="BJ280">
        <v>1</v>
      </c>
      <c r="BK280" s="1" t="s">
        <v>89</v>
      </c>
      <c r="BL280" t="s">
        <v>91</v>
      </c>
      <c r="BM280" s="1" t="s">
        <v>91</v>
      </c>
      <c r="BN280" s="1" t="s">
        <v>91</v>
      </c>
      <c r="BO280" s="1" t="s">
        <v>91</v>
      </c>
      <c r="BP280" s="1" t="s">
        <v>91</v>
      </c>
      <c r="BQ280" t="s">
        <v>91</v>
      </c>
      <c r="BR280" s="3">
        <v>45019</v>
      </c>
      <c r="BS280" s="3"/>
      <c r="BT280" t="s">
        <v>91</v>
      </c>
      <c r="BU280" t="s">
        <v>91</v>
      </c>
      <c r="BW280" s="1" t="s">
        <v>90</v>
      </c>
    </row>
    <row r="281" spans="1:75" x14ac:dyDescent="0.35">
      <c r="A281">
        <v>157516</v>
      </c>
      <c r="B281" s="1" t="s">
        <v>75</v>
      </c>
      <c r="C281">
        <v>80</v>
      </c>
      <c r="D281">
        <v>11121001</v>
      </c>
      <c r="E281">
        <v>121001</v>
      </c>
      <c r="F281" s="1" t="s">
        <v>76</v>
      </c>
      <c r="G281" s="1" t="s">
        <v>1796</v>
      </c>
      <c r="H281">
        <v>0</v>
      </c>
      <c r="I281" s="1" t="s">
        <v>78</v>
      </c>
      <c r="J281" s="1" t="s">
        <v>1791</v>
      </c>
      <c r="K281" s="1" t="s">
        <v>1797</v>
      </c>
      <c r="L281" t="s">
        <v>91</v>
      </c>
      <c r="M281" t="s">
        <v>91</v>
      </c>
      <c r="N281" s="1" t="s">
        <v>1798</v>
      </c>
      <c r="O281" t="s">
        <v>91</v>
      </c>
      <c r="P281" s="1" t="s">
        <v>839</v>
      </c>
      <c r="Q281" s="1" t="s">
        <v>618</v>
      </c>
      <c r="R281" s="1" t="s">
        <v>107</v>
      </c>
      <c r="S281">
        <v>1289</v>
      </c>
      <c r="T281">
        <v>89900000</v>
      </c>
      <c r="U281" s="1" t="s">
        <v>108</v>
      </c>
      <c r="V281" s="1" t="s">
        <v>619</v>
      </c>
      <c r="W281" s="1" t="s">
        <v>87</v>
      </c>
      <c r="X281">
        <v>49</v>
      </c>
      <c r="Y281">
        <v>31970300</v>
      </c>
      <c r="Z281" t="s">
        <v>91</v>
      </c>
      <c r="AA281" t="s">
        <v>91</v>
      </c>
      <c r="AB281" t="s">
        <v>91</v>
      </c>
      <c r="AC281" t="s">
        <v>91</v>
      </c>
      <c r="AD281" t="s">
        <v>91</v>
      </c>
      <c r="AE281" t="s">
        <v>91</v>
      </c>
      <c r="AF281" t="s">
        <v>91</v>
      </c>
      <c r="AG281" s="1" t="s">
        <v>91</v>
      </c>
      <c r="AH281" s="1" t="s">
        <v>91</v>
      </c>
      <c r="AI281" t="s">
        <v>91</v>
      </c>
      <c r="AM281" t="s">
        <v>91</v>
      </c>
      <c r="AN281" t="s">
        <v>91</v>
      </c>
      <c r="AO281" t="s">
        <v>91</v>
      </c>
      <c r="AP281" t="s">
        <v>91</v>
      </c>
      <c r="AQ281" s="1" t="s">
        <v>91</v>
      </c>
      <c r="AR281" s="1" t="s">
        <v>91</v>
      </c>
      <c r="AS281" s="1" t="s">
        <v>91</v>
      </c>
      <c r="AT281" s="1" t="s">
        <v>91</v>
      </c>
      <c r="AU281" s="1" t="s">
        <v>91</v>
      </c>
      <c r="AV281" t="s">
        <v>91</v>
      </c>
      <c r="AW281" t="s">
        <v>91</v>
      </c>
      <c r="AX281" t="s">
        <v>91</v>
      </c>
      <c r="AY281" t="s">
        <v>91</v>
      </c>
      <c r="AZ281" t="s">
        <v>91</v>
      </c>
      <c r="BA281" t="s">
        <v>91</v>
      </c>
      <c r="BB281" s="2">
        <v>45118.093391203707</v>
      </c>
      <c r="BC281" s="2"/>
      <c r="BD281" t="s">
        <v>91</v>
      </c>
      <c r="BF281" s="1" t="s">
        <v>75</v>
      </c>
      <c r="BI281" s="1" t="s">
        <v>88</v>
      </c>
      <c r="BJ281">
        <v>1</v>
      </c>
      <c r="BK281" s="1" t="s">
        <v>89</v>
      </c>
      <c r="BL281" t="s">
        <v>91</v>
      </c>
      <c r="BM281" s="1" t="s">
        <v>91</v>
      </c>
      <c r="BN281" s="1" t="s">
        <v>91</v>
      </c>
      <c r="BO281" s="1" t="s">
        <v>91</v>
      </c>
      <c r="BP281" s="1" t="s">
        <v>91</v>
      </c>
      <c r="BQ281" t="s">
        <v>91</v>
      </c>
      <c r="BR281" s="3">
        <v>45118</v>
      </c>
      <c r="BS281" s="3"/>
      <c r="BT281" t="s">
        <v>91</v>
      </c>
      <c r="BU281" t="s">
        <v>91</v>
      </c>
      <c r="BW281" s="1" t="s">
        <v>620</v>
      </c>
    </row>
    <row r="282" spans="1:75" x14ac:dyDescent="0.35">
      <c r="A282">
        <v>144807</v>
      </c>
      <c r="B282" s="1" t="s">
        <v>75</v>
      </c>
      <c r="C282">
        <v>80</v>
      </c>
      <c r="D282">
        <v>11121001</v>
      </c>
      <c r="E282">
        <v>121001</v>
      </c>
      <c r="F282" s="1" t="s">
        <v>76</v>
      </c>
      <c r="G282" s="1" t="s">
        <v>1799</v>
      </c>
      <c r="I282" s="1" t="s">
        <v>78</v>
      </c>
      <c r="J282" s="1" t="s">
        <v>1800</v>
      </c>
      <c r="K282" s="1" t="s">
        <v>1801</v>
      </c>
      <c r="L282" t="s">
        <v>91</v>
      </c>
      <c r="M282" t="s">
        <v>91</v>
      </c>
      <c r="N282" s="1" t="s">
        <v>1802</v>
      </c>
      <c r="O282" t="s">
        <v>91</v>
      </c>
      <c r="P282" s="1" t="s">
        <v>1803</v>
      </c>
      <c r="Q282" s="1" t="s">
        <v>1337</v>
      </c>
      <c r="R282" s="1" t="s">
        <v>91</v>
      </c>
      <c r="T282">
        <v>89460090</v>
      </c>
      <c r="U282" s="1" t="s">
        <v>108</v>
      </c>
      <c r="V282" s="1" t="s">
        <v>777</v>
      </c>
      <c r="W282" s="1" t="s">
        <v>87</v>
      </c>
      <c r="X282">
        <v>47</v>
      </c>
      <c r="Y282">
        <v>36226135</v>
      </c>
      <c r="Z282" t="s">
        <v>91</v>
      </c>
      <c r="AA282" t="s">
        <v>91</v>
      </c>
      <c r="AB282" t="s">
        <v>91</v>
      </c>
      <c r="AC282" t="s">
        <v>91</v>
      </c>
      <c r="AD282" t="s">
        <v>91</v>
      </c>
      <c r="AE282" t="s">
        <v>91</v>
      </c>
      <c r="AF282" t="s">
        <v>91</v>
      </c>
      <c r="AG282" s="1" t="s">
        <v>91</v>
      </c>
      <c r="AH282" s="1" t="s">
        <v>91</v>
      </c>
      <c r="AI282" t="s">
        <v>91</v>
      </c>
      <c r="AJ282">
        <v>0</v>
      </c>
      <c r="AK282">
        <v>0</v>
      </c>
      <c r="AL282">
        <v>0</v>
      </c>
      <c r="AM282" t="s">
        <v>91</v>
      </c>
      <c r="AN282" t="s">
        <v>91</v>
      </c>
      <c r="AO282" t="s">
        <v>91</v>
      </c>
      <c r="AP282" t="s">
        <v>91</v>
      </c>
      <c r="AQ282" s="1" t="s">
        <v>91</v>
      </c>
      <c r="AR282" s="1" t="s">
        <v>91</v>
      </c>
      <c r="AS282" s="1" t="s">
        <v>91</v>
      </c>
      <c r="AT282" s="1" t="s">
        <v>91</v>
      </c>
      <c r="AU282" s="1" t="s">
        <v>91</v>
      </c>
      <c r="AV282" t="s">
        <v>91</v>
      </c>
      <c r="AW282" t="s">
        <v>91</v>
      </c>
      <c r="AX282" t="s">
        <v>91</v>
      </c>
      <c r="AY282" t="s">
        <v>91</v>
      </c>
      <c r="AZ282" t="s">
        <v>91</v>
      </c>
      <c r="BA282" t="s">
        <v>91</v>
      </c>
      <c r="BB282" s="2"/>
      <c r="BC282" s="2"/>
      <c r="BD282" t="s">
        <v>91</v>
      </c>
      <c r="BF282" s="1" t="s">
        <v>75</v>
      </c>
      <c r="BG282">
        <v>0</v>
      </c>
      <c r="BH282">
        <v>0</v>
      </c>
      <c r="BI282" s="1" t="s">
        <v>88</v>
      </c>
      <c r="BJ282">
        <v>1</v>
      </c>
      <c r="BK282" s="1" t="s">
        <v>89</v>
      </c>
      <c r="BL282" t="s">
        <v>91</v>
      </c>
      <c r="BM282" s="1" t="s">
        <v>109</v>
      </c>
      <c r="BN282" s="1" t="s">
        <v>110</v>
      </c>
      <c r="BO282" s="1" t="s">
        <v>180</v>
      </c>
      <c r="BP282" s="1" t="s">
        <v>91</v>
      </c>
      <c r="BQ282" t="s">
        <v>91</v>
      </c>
      <c r="BR282" s="3"/>
      <c r="BS282" s="3"/>
      <c r="BT282" t="s">
        <v>91</v>
      </c>
      <c r="BU282" t="s">
        <v>91</v>
      </c>
      <c r="BW282" s="1" t="s">
        <v>1211</v>
      </c>
    </row>
    <row r="283" spans="1:75" x14ac:dyDescent="0.35">
      <c r="A283">
        <v>156786</v>
      </c>
      <c r="B283" s="1" t="s">
        <v>75</v>
      </c>
      <c r="C283">
        <v>80</v>
      </c>
      <c r="D283">
        <v>11121001</v>
      </c>
      <c r="E283">
        <v>121001</v>
      </c>
      <c r="F283" s="1" t="s">
        <v>76</v>
      </c>
      <c r="G283" s="1" t="s">
        <v>1804</v>
      </c>
      <c r="H283">
        <v>0</v>
      </c>
      <c r="I283" s="1" t="s">
        <v>78</v>
      </c>
      <c r="J283" s="1" t="s">
        <v>1805</v>
      </c>
      <c r="K283" s="1" t="s">
        <v>1806</v>
      </c>
      <c r="L283" t="s">
        <v>91</v>
      </c>
      <c r="M283" t="s">
        <v>91</v>
      </c>
      <c r="N283" s="1" t="s">
        <v>1807</v>
      </c>
      <c r="O283" t="s">
        <v>91</v>
      </c>
      <c r="P283" s="1" t="s">
        <v>105</v>
      </c>
      <c r="Q283" s="1" t="s">
        <v>1808</v>
      </c>
      <c r="R283" s="1" t="s">
        <v>320</v>
      </c>
      <c r="S283">
        <v>1277</v>
      </c>
      <c r="T283">
        <v>89201001</v>
      </c>
      <c r="U283" s="1" t="s">
        <v>108</v>
      </c>
      <c r="V283" s="1" t="s">
        <v>100</v>
      </c>
      <c r="W283" s="1" t="s">
        <v>87</v>
      </c>
      <c r="X283">
        <v>47</v>
      </c>
      <c r="Y283">
        <v>34230054</v>
      </c>
      <c r="Z283" t="s">
        <v>91</v>
      </c>
      <c r="AA283" t="s">
        <v>91</v>
      </c>
      <c r="AB283" t="s">
        <v>91</v>
      </c>
      <c r="AC283" t="s">
        <v>91</v>
      </c>
      <c r="AD283" t="s">
        <v>91</v>
      </c>
      <c r="AE283" t="s">
        <v>91</v>
      </c>
      <c r="AF283" t="s">
        <v>91</v>
      </c>
      <c r="AG283" s="1" t="s">
        <v>91</v>
      </c>
      <c r="AH283" s="1" t="s">
        <v>91</v>
      </c>
      <c r="AI283" t="s">
        <v>91</v>
      </c>
      <c r="AM283" t="s">
        <v>91</v>
      </c>
      <c r="AN283" t="s">
        <v>91</v>
      </c>
      <c r="AO283" t="s">
        <v>91</v>
      </c>
      <c r="AP283" t="s">
        <v>91</v>
      </c>
      <c r="AQ283" s="1" t="s">
        <v>91</v>
      </c>
      <c r="AR283" s="1" t="s">
        <v>91</v>
      </c>
      <c r="AS283" s="1" t="s">
        <v>91</v>
      </c>
      <c r="AT283" s="1" t="s">
        <v>91</v>
      </c>
      <c r="AU283" s="1" t="s">
        <v>91</v>
      </c>
      <c r="AV283" t="s">
        <v>91</v>
      </c>
      <c r="AW283" t="s">
        <v>91</v>
      </c>
      <c r="AX283" t="s">
        <v>91</v>
      </c>
      <c r="AY283" t="s">
        <v>91</v>
      </c>
      <c r="AZ283" t="s">
        <v>91</v>
      </c>
      <c r="BA283" t="s">
        <v>91</v>
      </c>
      <c r="BB283" s="2">
        <v>45113.505416666667</v>
      </c>
      <c r="BC283" s="2"/>
      <c r="BD283" t="s">
        <v>91</v>
      </c>
      <c r="BF283" s="1" t="s">
        <v>75</v>
      </c>
      <c r="BI283" s="1" t="s">
        <v>88</v>
      </c>
      <c r="BJ283">
        <v>1</v>
      </c>
      <c r="BK283" s="1" t="s">
        <v>89</v>
      </c>
      <c r="BL283" t="s">
        <v>91</v>
      </c>
      <c r="BM283" s="1" t="s">
        <v>91</v>
      </c>
      <c r="BN283" s="1" t="s">
        <v>91</v>
      </c>
      <c r="BO283" s="1" t="s">
        <v>91</v>
      </c>
      <c r="BP283" s="1" t="s">
        <v>91</v>
      </c>
      <c r="BQ283" t="s">
        <v>91</v>
      </c>
      <c r="BR283" s="3">
        <v>45113</v>
      </c>
      <c r="BS283" s="3"/>
      <c r="BT283" t="s">
        <v>91</v>
      </c>
      <c r="BU283" t="s">
        <v>91</v>
      </c>
      <c r="BW283" s="1" t="s">
        <v>90</v>
      </c>
    </row>
    <row r="284" spans="1:75" x14ac:dyDescent="0.35">
      <c r="A284">
        <v>138151</v>
      </c>
      <c r="B284" s="1" t="s">
        <v>75</v>
      </c>
      <c r="C284">
        <v>80</v>
      </c>
      <c r="D284">
        <v>11121001</v>
      </c>
      <c r="E284">
        <v>121001</v>
      </c>
      <c r="F284" s="1" t="s">
        <v>76</v>
      </c>
      <c r="G284" s="1" t="s">
        <v>1809</v>
      </c>
      <c r="H284">
        <v>0</v>
      </c>
      <c r="I284" s="1" t="s">
        <v>78</v>
      </c>
      <c r="J284" s="1" t="s">
        <v>1810</v>
      </c>
      <c r="K284" s="1" t="s">
        <v>1811</v>
      </c>
      <c r="L284" t="s">
        <v>91</v>
      </c>
      <c r="M284" t="s">
        <v>91</v>
      </c>
      <c r="N284" s="1" t="s">
        <v>1812</v>
      </c>
      <c r="O284" t="s">
        <v>91</v>
      </c>
      <c r="P284" s="1" t="s">
        <v>403</v>
      </c>
      <c r="Q284" s="1" t="s">
        <v>1813</v>
      </c>
      <c r="R284" s="1" t="s">
        <v>147</v>
      </c>
      <c r="S284">
        <v>1287</v>
      </c>
      <c r="T284">
        <v>89801000</v>
      </c>
      <c r="U284" s="1" t="s">
        <v>108</v>
      </c>
      <c r="V284" s="1" t="s">
        <v>337</v>
      </c>
      <c r="W284" s="1" t="s">
        <v>87</v>
      </c>
      <c r="X284">
        <v>49</v>
      </c>
      <c r="Y284">
        <v>33160352</v>
      </c>
      <c r="Z284" t="s">
        <v>91</v>
      </c>
      <c r="AA284" t="s">
        <v>91</v>
      </c>
      <c r="AB284" t="s">
        <v>91</v>
      </c>
      <c r="AC284" t="s">
        <v>91</v>
      </c>
      <c r="AD284" t="s">
        <v>91</v>
      </c>
      <c r="AE284" t="s">
        <v>91</v>
      </c>
      <c r="AF284" t="s">
        <v>91</v>
      </c>
      <c r="AG284" s="1" t="s">
        <v>146</v>
      </c>
      <c r="AH284" s="1" t="s">
        <v>91</v>
      </c>
      <c r="AI284" t="s">
        <v>91</v>
      </c>
      <c r="AM284" t="s">
        <v>91</v>
      </c>
      <c r="AN284" t="s">
        <v>91</v>
      </c>
      <c r="AO284" t="s">
        <v>91</v>
      </c>
      <c r="AP284" t="s">
        <v>91</v>
      </c>
      <c r="AQ284" s="1" t="s">
        <v>147</v>
      </c>
      <c r="AR284" s="1" t="s">
        <v>147</v>
      </c>
      <c r="AS284" s="1" t="s">
        <v>147</v>
      </c>
      <c r="AT284" s="1" t="s">
        <v>147</v>
      </c>
      <c r="AU284" s="1" t="s">
        <v>147</v>
      </c>
      <c r="AV284" t="s">
        <v>91</v>
      </c>
      <c r="AW284" t="s">
        <v>91</v>
      </c>
      <c r="AX284" t="s">
        <v>91</v>
      </c>
      <c r="AY284" t="s">
        <v>91</v>
      </c>
      <c r="AZ284" t="s">
        <v>91</v>
      </c>
      <c r="BA284" t="s">
        <v>91</v>
      </c>
      <c r="BB284" s="2">
        <v>44378.578518518516</v>
      </c>
      <c r="BC284" s="2">
        <v>44627.736990740741</v>
      </c>
      <c r="BD284" t="s">
        <v>91</v>
      </c>
      <c r="BF284" s="1" t="s">
        <v>75</v>
      </c>
      <c r="BH284">
        <v>0</v>
      </c>
      <c r="BI284" s="1" t="s">
        <v>88</v>
      </c>
      <c r="BJ284">
        <v>1</v>
      </c>
      <c r="BK284" s="1" t="s">
        <v>89</v>
      </c>
      <c r="BL284" t="s">
        <v>91</v>
      </c>
      <c r="BM284" s="1" t="s">
        <v>109</v>
      </c>
      <c r="BN284" s="1" t="s">
        <v>110</v>
      </c>
      <c r="BO284" s="1" t="s">
        <v>165</v>
      </c>
      <c r="BP284" s="1" t="s">
        <v>91</v>
      </c>
      <c r="BQ284" t="s">
        <v>91</v>
      </c>
      <c r="BR284" s="3">
        <v>44378</v>
      </c>
      <c r="BS284" s="3">
        <v>44627</v>
      </c>
      <c r="BT284" t="s">
        <v>91</v>
      </c>
      <c r="BU284" t="s">
        <v>91</v>
      </c>
      <c r="BW284" s="1" t="s">
        <v>1814</v>
      </c>
    </row>
    <row r="285" spans="1:75" x14ac:dyDescent="0.35">
      <c r="A285">
        <v>137755</v>
      </c>
      <c r="B285" s="1" t="s">
        <v>75</v>
      </c>
      <c r="C285">
        <v>80</v>
      </c>
      <c r="D285">
        <v>11121001</v>
      </c>
      <c r="E285">
        <v>121001</v>
      </c>
      <c r="F285" s="1" t="s">
        <v>76</v>
      </c>
      <c r="G285" s="1" t="s">
        <v>1815</v>
      </c>
      <c r="H285">
        <v>0</v>
      </c>
      <c r="I285" s="1" t="s">
        <v>78</v>
      </c>
      <c r="J285" s="1" t="s">
        <v>1816</v>
      </c>
      <c r="K285" s="1" t="s">
        <v>1817</v>
      </c>
      <c r="L285" t="s">
        <v>91</v>
      </c>
      <c r="M285" t="s">
        <v>91</v>
      </c>
      <c r="N285" s="1" t="s">
        <v>1818</v>
      </c>
      <c r="O285" t="s">
        <v>91</v>
      </c>
      <c r="P285" s="1" t="s">
        <v>1819</v>
      </c>
      <c r="Q285" s="1" t="s">
        <v>1820</v>
      </c>
      <c r="R285" s="1" t="s">
        <v>91</v>
      </c>
      <c r="S285">
        <v>1274</v>
      </c>
      <c r="T285">
        <v>89108000</v>
      </c>
      <c r="U285" s="1" t="s">
        <v>108</v>
      </c>
      <c r="V285" s="1" t="s">
        <v>1821</v>
      </c>
      <c r="W285" s="1" t="s">
        <v>87</v>
      </c>
      <c r="X285">
        <v>47</v>
      </c>
      <c r="Y285">
        <v>33790805</v>
      </c>
      <c r="Z285" t="s">
        <v>91</v>
      </c>
      <c r="AA285" t="s">
        <v>91</v>
      </c>
      <c r="AB285" t="s">
        <v>91</v>
      </c>
      <c r="AC285" t="s">
        <v>91</v>
      </c>
      <c r="AD285" t="s">
        <v>91</v>
      </c>
      <c r="AE285" t="s">
        <v>91</v>
      </c>
      <c r="AF285" t="s">
        <v>91</v>
      </c>
      <c r="AG285" s="1" t="s">
        <v>146</v>
      </c>
      <c r="AH285" s="1" t="s">
        <v>91</v>
      </c>
      <c r="AI285" t="s">
        <v>91</v>
      </c>
      <c r="AM285" t="s">
        <v>91</v>
      </c>
      <c r="AN285" t="s">
        <v>91</v>
      </c>
      <c r="AO285" t="s">
        <v>91</v>
      </c>
      <c r="AP285" t="s">
        <v>91</v>
      </c>
      <c r="AQ285" s="1" t="s">
        <v>147</v>
      </c>
      <c r="AR285" s="1" t="s">
        <v>147</v>
      </c>
      <c r="AS285" s="1" t="s">
        <v>147</v>
      </c>
      <c r="AT285" s="1" t="s">
        <v>147</v>
      </c>
      <c r="AU285" s="1" t="s">
        <v>147</v>
      </c>
      <c r="AV285" t="s">
        <v>91</v>
      </c>
      <c r="AW285" t="s">
        <v>91</v>
      </c>
      <c r="AX285" t="s">
        <v>91</v>
      </c>
      <c r="AY285" t="s">
        <v>91</v>
      </c>
      <c r="AZ285" t="s">
        <v>91</v>
      </c>
      <c r="BA285" t="s">
        <v>91</v>
      </c>
      <c r="BB285" s="2">
        <v>44378.578518518516</v>
      </c>
      <c r="BC285" s="2">
        <v>44651.436053240737</v>
      </c>
      <c r="BD285" t="s">
        <v>91</v>
      </c>
      <c r="BF285" s="1" t="s">
        <v>75</v>
      </c>
      <c r="BH285">
        <v>0</v>
      </c>
      <c r="BI285" s="1" t="s">
        <v>88</v>
      </c>
      <c r="BJ285">
        <v>1</v>
      </c>
      <c r="BK285" s="1" t="s">
        <v>89</v>
      </c>
      <c r="BL285" t="s">
        <v>91</v>
      </c>
      <c r="BM285" s="1" t="s">
        <v>109</v>
      </c>
      <c r="BN285" s="1" t="s">
        <v>110</v>
      </c>
      <c r="BO285" s="1" t="s">
        <v>128</v>
      </c>
      <c r="BP285" s="1" t="s">
        <v>91</v>
      </c>
      <c r="BQ285" t="s">
        <v>91</v>
      </c>
      <c r="BR285" s="3">
        <v>44378</v>
      </c>
      <c r="BS285" s="3">
        <v>44651</v>
      </c>
      <c r="BT285" t="s">
        <v>91</v>
      </c>
      <c r="BU285" t="s">
        <v>91</v>
      </c>
      <c r="BW285" s="1" t="s">
        <v>90</v>
      </c>
    </row>
    <row r="286" spans="1:75" x14ac:dyDescent="0.35">
      <c r="A286">
        <v>120352</v>
      </c>
      <c r="B286" s="1" t="s">
        <v>75</v>
      </c>
      <c r="C286">
        <v>80</v>
      </c>
      <c r="D286">
        <v>11121001</v>
      </c>
      <c r="E286">
        <v>121001</v>
      </c>
      <c r="F286" s="1" t="s">
        <v>76</v>
      </c>
      <c r="G286" s="1" t="s">
        <v>1822</v>
      </c>
      <c r="H286">
        <v>0</v>
      </c>
      <c r="I286" s="1" t="s">
        <v>78</v>
      </c>
      <c r="J286" s="1" t="s">
        <v>1823</v>
      </c>
      <c r="K286" s="1" t="s">
        <v>1824</v>
      </c>
      <c r="L286" t="s">
        <v>91</v>
      </c>
      <c r="M286" t="s">
        <v>91</v>
      </c>
      <c r="N286" s="1" t="s">
        <v>1825</v>
      </c>
      <c r="O286" t="s">
        <v>91</v>
      </c>
      <c r="P286" s="1" t="s">
        <v>1826</v>
      </c>
      <c r="Q286" s="1" t="s">
        <v>657</v>
      </c>
      <c r="R286" s="1" t="s">
        <v>236</v>
      </c>
      <c r="S286">
        <v>1284</v>
      </c>
      <c r="T286">
        <v>89560000</v>
      </c>
      <c r="U286" s="1" t="s">
        <v>108</v>
      </c>
      <c r="V286" s="1" t="s">
        <v>1827</v>
      </c>
      <c r="W286" s="1" t="s">
        <v>87</v>
      </c>
      <c r="X286">
        <v>49</v>
      </c>
      <c r="Y286">
        <v>35665783</v>
      </c>
      <c r="Z286" t="s">
        <v>91</v>
      </c>
      <c r="AA286" t="s">
        <v>91</v>
      </c>
      <c r="AB286" t="s">
        <v>91</v>
      </c>
      <c r="AC286" t="s">
        <v>91</v>
      </c>
      <c r="AD286" t="s">
        <v>91</v>
      </c>
      <c r="AE286" t="s">
        <v>91</v>
      </c>
      <c r="AF286" t="s">
        <v>91</v>
      </c>
      <c r="AG286" s="1" t="s">
        <v>91</v>
      </c>
      <c r="AH286" s="1" t="s">
        <v>91</v>
      </c>
      <c r="AI286" t="s">
        <v>91</v>
      </c>
      <c r="AJ286">
        <v>0</v>
      </c>
      <c r="AK286">
        <v>0</v>
      </c>
      <c r="AL286">
        <v>0</v>
      </c>
      <c r="AM286" t="s">
        <v>91</v>
      </c>
      <c r="AN286" t="s">
        <v>91</v>
      </c>
      <c r="AO286" t="s">
        <v>91</v>
      </c>
      <c r="AP286" t="s">
        <v>91</v>
      </c>
      <c r="AQ286" s="1" t="s">
        <v>91</v>
      </c>
      <c r="AR286" s="1" t="s">
        <v>91</v>
      </c>
      <c r="AS286" s="1" t="s">
        <v>91</v>
      </c>
      <c r="AT286" s="1" t="s">
        <v>91</v>
      </c>
      <c r="AU286" s="1" t="s">
        <v>91</v>
      </c>
      <c r="AV286" t="s">
        <v>91</v>
      </c>
      <c r="AW286" t="s">
        <v>91</v>
      </c>
      <c r="AX286" t="s">
        <v>91</v>
      </c>
      <c r="AY286" t="s">
        <v>91</v>
      </c>
      <c r="AZ286" t="s">
        <v>91</v>
      </c>
      <c r="BA286" t="s">
        <v>91</v>
      </c>
      <c r="BB286" s="2">
        <v>44092.925393518519</v>
      </c>
      <c r="BC286" s="2"/>
      <c r="BD286" t="s">
        <v>91</v>
      </c>
      <c r="BF286" s="1" t="s">
        <v>75</v>
      </c>
      <c r="BG286">
        <v>0</v>
      </c>
      <c r="BH286">
        <v>0</v>
      </c>
      <c r="BI286" s="1" t="s">
        <v>88</v>
      </c>
      <c r="BJ286">
        <v>1</v>
      </c>
      <c r="BK286" s="1" t="s">
        <v>89</v>
      </c>
      <c r="BL286" t="s">
        <v>91</v>
      </c>
      <c r="BM286" s="1" t="s">
        <v>109</v>
      </c>
      <c r="BN286" s="1" t="s">
        <v>110</v>
      </c>
      <c r="BO286" s="1" t="s">
        <v>111</v>
      </c>
      <c r="BP286" s="1" t="s">
        <v>91</v>
      </c>
      <c r="BQ286" t="s">
        <v>91</v>
      </c>
      <c r="BR286" s="3">
        <v>44092</v>
      </c>
      <c r="BS286" s="3"/>
      <c r="BT286" t="s">
        <v>91</v>
      </c>
      <c r="BU286" t="s">
        <v>91</v>
      </c>
      <c r="BV286">
        <v>6</v>
      </c>
      <c r="BW286" s="1" t="s">
        <v>540</v>
      </c>
    </row>
    <row r="287" spans="1:75" x14ac:dyDescent="0.35">
      <c r="A287">
        <v>156774</v>
      </c>
      <c r="B287" s="1" t="s">
        <v>75</v>
      </c>
      <c r="C287">
        <v>80</v>
      </c>
      <c r="D287">
        <v>11121001</v>
      </c>
      <c r="E287">
        <v>121001</v>
      </c>
      <c r="F287" s="1" t="s">
        <v>76</v>
      </c>
      <c r="G287" s="1" t="s">
        <v>1828</v>
      </c>
      <c r="H287">
        <v>0</v>
      </c>
      <c r="I287" s="1" t="s">
        <v>78</v>
      </c>
      <c r="J287" s="1" t="s">
        <v>1829</v>
      </c>
      <c r="K287" s="1" t="s">
        <v>1830</v>
      </c>
      <c r="L287" t="s">
        <v>91</v>
      </c>
      <c r="M287" t="s">
        <v>91</v>
      </c>
      <c r="N287" s="1" t="s">
        <v>91</v>
      </c>
      <c r="O287" t="s">
        <v>91</v>
      </c>
      <c r="P287" s="1" t="s">
        <v>611</v>
      </c>
      <c r="Q287" s="1" t="s">
        <v>1831</v>
      </c>
      <c r="R287" s="1" t="s">
        <v>236</v>
      </c>
      <c r="S287">
        <v>1279</v>
      </c>
      <c r="T287">
        <v>89237000</v>
      </c>
      <c r="U287" s="1" t="s">
        <v>688</v>
      </c>
      <c r="V287" s="1" t="s">
        <v>100</v>
      </c>
      <c r="W287" s="1" t="s">
        <v>87</v>
      </c>
      <c r="X287">
        <v>47</v>
      </c>
      <c r="Y287">
        <v>34667176</v>
      </c>
      <c r="Z287" t="s">
        <v>91</v>
      </c>
      <c r="AA287" t="s">
        <v>91</v>
      </c>
      <c r="AB287" t="s">
        <v>91</v>
      </c>
      <c r="AC287" t="s">
        <v>91</v>
      </c>
      <c r="AD287" t="s">
        <v>91</v>
      </c>
      <c r="AE287" t="s">
        <v>91</v>
      </c>
      <c r="AF287" t="s">
        <v>91</v>
      </c>
      <c r="AG287" s="1" t="s">
        <v>91</v>
      </c>
      <c r="AH287" s="1" t="s">
        <v>91</v>
      </c>
      <c r="AI287" t="s">
        <v>91</v>
      </c>
      <c r="AM287" t="s">
        <v>91</v>
      </c>
      <c r="AN287" t="s">
        <v>91</v>
      </c>
      <c r="AO287" t="s">
        <v>91</v>
      </c>
      <c r="AP287" t="s">
        <v>91</v>
      </c>
      <c r="AQ287" s="1" t="s">
        <v>91</v>
      </c>
      <c r="AR287" s="1" t="s">
        <v>91</v>
      </c>
      <c r="AS287" s="1" t="s">
        <v>91</v>
      </c>
      <c r="AT287" s="1" t="s">
        <v>91</v>
      </c>
      <c r="AU287" s="1" t="s">
        <v>91</v>
      </c>
      <c r="AV287" t="s">
        <v>91</v>
      </c>
      <c r="AW287" t="s">
        <v>91</v>
      </c>
      <c r="AX287" t="s">
        <v>91</v>
      </c>
      <c r="AY287" t="s">
        <v>91</v>
      </c>
      <c r="AZ287" t="s">
        <v>91</v>
      </c>
      <c r="BA287" t="s">
        <v>91</v>
      </c>
      <c r="BB287" s="2">
        <v>45113.505416666667</v>
      </c>
      <c r="BC287" s="2"/>
      <c r="BD287" t="s">
        <v>91</v>
      </c>
      <c r="BF287" s="1" t="s">
        <v>75</v>
      </c>
      <c r="BI287" s="1" t="s">
        <v>88</v>
      </c>
      <c r="BJ287">
        <v>1</v>
      </c>
      <c r="BK287" s="1" t="s">
        <v>89</v>
      </c>
      <c r="BL287" t="s">
        <v>91</v>
      </c>
      <c r="BM287" s="1" t="s">
        <v>91</v>
      </c>
      <c r="BN287" s="1" t="s">
        <v>91</v>
      </c>
      <c r="BO287" s="1" t="s">
        <v>91</v>
      </c>
      <c r="BP287" s="1" t="s">
        <v>91</v>
      </c>
      <c r="BQ287" t="s">
        <v>91</v>
      </c>
      <c r="BR287" s="3">
        <v>45113</v>
      </c>
      <c r="BS287" s="3"/>
      <c r="BT287" t="s">
        <v>91</v>
      </c>
      <c r="BU287" t="s">
        <v>91</v>
      </c>
      <c r="BW287" s="1" t="s">
        <v>90</v>
      </c>
    </row>
    <row r="288" spans="1:75" x14ac:dyDescent="0.35">
      <c r="A288">
        <v>144802</v>
      </c>
      <c r="B288" s="1" t="s">
        <v>75</v>
      </c>
      <c r="C288">
        <v>80</v>
      </c>
      <c r="D288">
        <v>11121001</v>
      </c>
      <c r="E288">
        <v>121001</v>
      </c>
      <c r="F288" s="1" t="s">
        <v>76</v>
      </c>
      <c r="G288" s="1" t="s">
        <v>1832</v>
      </c>
      <c r="I288" s="1" t="s">
        <v>78</v>
      </c>
      <c r="J288" s="1" t="s">
        <v>1833</v>
      </c>
      <c r="K288" s="1" t="s">
        <v>1834</v>
      </c>
      <c r="L288" t="s">
        <v>91</v>
      </c>
      <c r="M288" t="s">
        <v>91</v>
      </c>
      <c r="N288" s="1" t="s">
        <v>1715</v>
      </c>
      <c r="O288" t="s">
        <v>91</v>
      </c>
      <c r="P288" s="1" t="s">
        <v>1835</v>
      </c>
      <c r="Q288" s="1" t="s">
        <v>1410</v>
      </c>
      <c r="R288" s="1" t="s">
        <v>245</v>
      </c>
      <c r="S288">
        <v>1281</v>
      </c>
      <c r="T288">
        <v>89340000</v>
      </c>
      <c r="U288" s="1" t="s">
        <v>108</v>
      </c>
      <c r="V288" s="1" t="s">
        <v>205</v>
      </c>
      <c r="W288" s="1" t="s">
        <v>87</v>
      </c>
      <c r="X288">
        <v>47</v>
      </c>
      <c r="Y288">
        <v>36522934</v>
      </c>
      <c r="Z288" t="s">
        <v>91</v>
      </c>
      <c r="AA288" t="s">
        <v>91</v>
      </c>
      <c r="AB288" t="s">
        <v>91</v>
      </c>
      <c r="AC288" t="s">
        <v>91</v>
      </c>
      <c r="AD288" t="s">
        <v>91</v>
      </c>
      <c r="AE288" t="s">
        <v>91</v>
      </c>
      <c r="AF288" t="s">
        <v>91</v>
      </c>
      <c r="AG288" s="1" t="s">
        <v>91</v>
      </c>
      <c r="AH288" s="1" t="s">
        <v>91</v>
      </c>
      <c r="AI288" t="s">
        <v>91</v>
      </c>
      <c r="AM288" t="s">
        <v>91</v>
      </c>
      <c r="AN288" t="s">
        <v>91</v>
      </c>
      <c r="AO288" t="s">
        <v>91</v>
      </c>
      <c r="AP288" t="s">
        <v>91</v>
      </c>
      <c r="AQ288" s="1" t="s">
        <v>91</v>
      </c>
      <c r="AR288" s="1" t="s">
        <v>91</v>
      </c>
      <c r="AS288" s="1" t="s">
        <v>91</v>
      </c>
      <c r="AT288" s="1" t="s">
        <v>91</v>
      </c>
      <c r="AU288" s="1" t="s">
        <v>91</v>
      </c>
      <c r="AV288" t="s">
        <v>91</v>
      </c>
      <c r="AW288" t="s">
        <v>91</v>
      </c>
      <c r="AX288" t="s">
        <v>91</v>
      </c>
      <c r="AY288" t="s">
        <v>91</v>
      </c>
      <c r="AZ288" t="s">
        <v>91</v>
      </c>
      <c r="BA288" t="s">
        <v>91</v>
      </c>
      <c r="BB288" s="2"/>
      <c r="BC288" s="2"/>
      <c r="BD288" t="s">
        <v>91</v>
      </c>
      <c r="BF288" s="1" t="s">
        <v>75</v>
      </c>
      <c r="BI288" s="1" t="s">
        <v>88</v>
      </c>
      <c r="BJ288">
        <v>1</v>
      </c>
      <c r="BK288" s="1" t="s">
        <v>89</v>
      </c>
      <c r="BL288" t="s">
        <v>91</v>
      </c>
      <c r="BM288" s="1" t="s">
        <v>109</v>
      </c>
      <c r="BN288" s="1" t="s">
        <v>110</v>
      </c>
      <c r="BO288" s="1" t="s">
        <v>180</v>
      </c>
      <c r="BP288" s="1" t="s">
        <v>91</v>
      </c>
      <c r="BQ288" t="s">
        <v>91</v>
      </c>
      <c r="BR288" s="3"/>
      <c r="BS288" s="3"/>
      <c r="BT288" t="s">
        <v>91</v>
      </c>
      <c r="BU288" t="s">
        <v>91</v>
      </c>
      <c r="BV288">
        <v>9</v>
      </c>
      <c r="BW288" s="1" t="s">
        <v>924</v>
      </c>
    </row>
    <row r="289" spans="1:75" x14ac:dyDescent="0.35">
      <c r="A289">
        <v>138853</v>
      </c>
      <c r="B289" s="1" t="s">
        <v>75</v>
      </c>
      <c r="C289">
        <v>80</v>
      </c>
      <c r="D289">
        <v>11121001</v>
      </c>
      <c r="E289">
        <v>121001</v>
      </c>
      <c r="F289" s="1" t="s">
        <v>76</v>
      </c>
      <c r="G289" s="1" t="s">
        <v>1836</v>
      </c>
      <c r="H289">
        <v>0</v>
      </c>
      <c r="I289" s="1" t="s">
        <v>78</v>
      </c>
      <c r="J289" s="1" t="s">
        <v>1837</v>
      </c>
      <c r="K289" s="1" t="s">
        <v>1838</v>
      </c>
      <c r="L289" t="s">
        <v>91</v>
      </c>
      <c r="M289" t="s">
        <v>91</v>
      </c>
      <c r="N289" s="1" t="s">
        <v>1839</v>
      </c>
      <c r="O289" t="s">
        <v>91</v>
      </c>
      <c r="P289" s="1" t="s">
        <v>1840</v>
      </c>
      <c r="Q289" s="1" t="s">
        <v>1841</v>
      </c>
      <c r="R289" s="1" t="s">
        <v>833</v>
      </c>
      <c r="S289">
        <v>1383</v>
      </c>
      <c r="T289">
        <v>99025001</v>
      </c>
      <c r="U289" s="1" t="s">
        <v>477</v>
      </c>
      <c r="V289" s="1" t="s">
        <v>371</v>
      </c>
      <c r="W289" s="1" t="s">
        <v>157</v>
      </c>
      <c r="X289">
        <v>54</v>
      </c>
      <c r="Y289">
        <v>30453342</v>
      </c>
      <c r="Z289" t="s">
        <v>91</v>
      </c>
      <c r="AA289" t="s">
        <v>91</v>
      </c>
      <c r="AB289" t="s">
        <v>91</v>
      </c>
      <c r="AC289" t="s">
        <v>91</v>
      </c>
      <c r="AD289" t="s">
        <v>91</v>
      </c>
      <c r="AE289" t="s">
        <v>91</v>
      </c>
      <c r="AF289" t="s">
        <v>91</v>
      </c>
      <c r="AG289" s="1" t="s">
        <v>91</v>
      </c>
      <c r="AH289" s="1" t="s">
        <v>91</v>
      </c>
      <c r="AI289" t="s">
        <v>91</v>
      </c>
      <c r="AJ289">
        <v>0</v>
      </c>
      <c r="AK289">
        <v>0</v>
      </c>
      <c r="AL289">
        <v>0</v>
      </c>
      <c r="AM289" t="s">
        <v>91</v>
      </c>
      <c r="AN289" t="s">
        <v>91</v>
      </c>
      <c r="AO289" t="s">
        <v>91</v>
      </c>
      <c r="AP289" t="s">
        <v>91</v>
      </c>
      <c r="AQ289" s="1" t="s">
        <v>91</v>
      </c>
      <c r="AR289" s="1" t="s">
        <v>91</v>
      </c>
      <c r="AS289" s="1" t="s">
        <v>91</v>
      </c>
      <c r="AT289" s="1" t="s">
        <v>91</v>
      </c>
      <c r="AU289" s="1" t="s">
        <v>91</v>
      </c>
      <c r="AV289" t="s">
        <v>91</v>
      </c>
      <c r="AW289" t="s">
        <v>91</v>
      </c>
      <c r="AX289" t="s">
        <v>91</v>
      </c>
      <c r="AY289" t="s">
        <v>91</v>
      </c>
      <c r="AZ289" t="s">
        <v>91</v>
      </c>
      <c r="BA289" t="s">
        <v>91</v>
      </c>
      <c r="BB289" s="2">
        <v>44392.456759259258</v>
      </c>
      <c r="BC289" s="2"/>
      <c r="BD289" t="s">
        <v>91</v>
      </c>
      <c r="BF289" s="1" t="s">
        <v>75</v>
      </c>
      <c r="BG289">
        <v>0</v>
      </c>
      <c r="BH289">
        <v>0</v>
      </c>
      <c r="BI289" s="1" t="s">
        <v>88</v>
      </c>
      <c r="BJ289">
        <v>1</v>
      </c>
      <c r="BK289" s="1" t="s">
        <v>89</v>
      </c>
      <c r="BL289" t="s">
        <v>91</v>
      </c>
      <c r="BM289" s="1" t="s">
        <v>109</v>
      </c>
      <c r="BN289" s="1" t="s">
        <v>110</v>
      </c>
      <c r="BO289" s="1" t="s">
        <v>165</v>
      </c>
      <c r="BP289" s="1" t="s">
        <v>91</v>
      </c>
      <c r="BQ289" t="s">
        <v>91</v>
      </c>
      <c r="BR289" s="3">
        <v>44392</v>
      </c>
      <c r="BS289" s="3"/>
      <c r="BT289" t="s">
        <v>91</v>
      </c>
      <c r="BU289" t="s">
        <v>91</v>
      </c>
      <c r="BW289" s="1" t="s">
        <v>1089</v>
      </c>
    </row>
    <row r="290" spans="1:75" x14ac:dyDescent="0.35">
      <c r="A290">
        <v>120427</v>
      </c>
      <c r="B290" s="1" t="s">
        <v>75</v>
      </c>
      <c r="C290">
        <v>80</v>
      </c>
      <c r="D290">
        <v>11121001</v>
      </c>
      <c r="E290">
        <v>121001</v>
      </c>
      <c r="F290" s="1" t="s">
        <v>76</v>
      </c>
      <c r="G290" s="1" t="s">
        <v>1842</v>
      </c>
      <c r="H290">
        <v>0</v>
      </c>
      <c r="I290" s="1" t="s">
        <v>78</v>
      </c>
      <c r="J290" s="1" t="s">
        <v>1843</v>
      </c>
      <c r="K290" s="1" t="s">
        <v>1844</v>
      </c>
      <c r="L290" t="s">
        <v>91</v>
      </c>
      <c r="M290" t="s">
        <v>91</v>
      </c>
      <c r="N290" s="1" t="s">
        <v>1845</v>
      </c>
      <c r="O290" t="s">
        <v>91</v>
      </c>
      <c r="P290" s="1" t="s">
        <v>475</v>
      </c>
      <c r="Q290" s="1" t="s">
        <v>1846</v>
      </c>
      <c r="R290" s="1" t="s">
        <v>91</v>
      </c>
      <c r="S290">
        <v>1383</v>
      </c>
      <c r="T290">
        <v>99023001</v>
      </c>
      <c r="U290" s="1" t="s">
        <v>108</v>
      </c>
      <c r="V290" s="1" t="s">
        <v>371</v>
      </c>
      <c r="W290" s="1" t="s">
        <v>157</v>
      </c>
      <c r="X290">
        <v>54</v>
      </c>
      <c r="Y290">
        <v>33119905</v>
      </c>
      <c r="Z290" t="s">
        <v>91</v>
      </c>
      <c r="AA290" t="s">
        <v>91</v>
      </c>
      <c r="AB290" t="s">
        <v>91</v>
      </c>
      <c r="AC290" t="s">
        <v>91</v>
      </c>
      <c r="AD290" t="s">
        <v>91</v>
      </c>
      <c r="AE290" t="s">
        <v>91</v>
      </c>
      <c r="AF290" t="s">
        <v>91</v>
      </c>
      <c r="AG290" s="1" t="s">
        <v>91</v>
      </c>
      <c r="AH290" s="1" t="s">
        <v>91</v>
      </c>
      <c r="AI290" t="s">
        <v>91</v>
      </c>
      <c r="AJ290">
        <v>0</v>
      </c>
      <c r="AK290">
        <v>0</v>
      </c>
      <c r="AL290">
        <v>0</v>
      </c>
      <c r="AM290" t="s">
        <v>91</v>
      </c>
      <c r="AN290" t="s">
        <v>91</v>
      </c>
      <c r="AO290" t="s">
        <v>91</v>
      </c>
      <c r="AP290" t="s">
        <v>91</v>
      </c>
      <c r="AQ290" s="1" t="s">
        <v>91</v>
      </c>
      <c r="AR290" s="1" t="s">
        <v>91</v>
      </c>
      <c r="AS290" s="1" t="s">
        <v>91</v>
      </c>
      <c r="AT290" s="1" t="s">
        <v>91</v>
      </c>
      <c r="AU290" s="1" t="s">
        <v>91</v>
      </c>
      <c r="AV290" t="s">
        <v>91</v>
      </c>
      <c r="AW290" t="s">
        <v>91</v>
      </c>
      <c r="AX290" t="s">
        <v>91</v>
      </c>
      <c r="AY290" t="s">
        <v>91</v>
      </c>
      <c r="AZ290" t="s">
        <v>91</v>
      </c>
      <c r="BA290" t="s">
        <v>91</v>
      </c>
      <c r="BB290" s="2">
        <v>44092.925393518519</v>
      </c>
      <c r="BC290" s="2"/>
      <c r="BD290" t="s">
        <v>91</v>
      </c>
      <c r="BF290" s="1" t="s">
        <v>75</v>
      </c>
      <c r="BG290">
        <v>0</v>
      </c>
      <c r="BH290">
        <v>0</v>
      </c>
      <c r="BI290" s="1" t="s">
        <v>88</v>
      </c>
      <c r="BJ290">
        <v>1</v>
      </c>
      <c r="BK290" s="1" t="s">
        <v>89</v>
      </c>
      <c r="BL290" t="s">
        <v>91</v>
      </c>
      <c r="BM290" s="1" t="s">
        <v>109</v>
      </c>
      <c r="BN290" s="1" t="s">
        <v>110</v>
      </c>
      <c r="BO290" s="1" t="s">
        <v>165</v>
      </c>
      <c r="BP290" s="1" t="s">
        <v>91</v>
      </c>
      <c r="BQ290" t="s">
        <v>91</v>
      </c>
      <c r="BR290" s="3">
        <v>44092</v>
      </c>
      <c r="BS290" s="3"/>
      <c r="BT290" t="s">
        <v>91</v>
      </c>
      <c r="BU290" t="s">
        <v>91</v>
      </c>
      <c r="BV290">
        <v>1</v>
      </c>
      <c r="BW290" s="1" t="s">
        <v>90</v>
      </c>
    </row>
    <row r="291" spans="1:75" x14ac:dyDescent="0.35">
      <c r="A291">
        <v>761</v>
      </c>
      <c r="B291" s="1" t="s">
        <v>75</v>
      </c>
      <c r="C291">
        <v>80</v>
      </c>
      <c r="D291">
        <v>11121001</v>
      </c>
      <c r="E291">
        <v>121001</v>
      </c>
      <c r="F291" s="1" t="s">
        <v>76</v>
      </c>
      <c r="G291" s="1" t="s">
        <v>1847</v>
      </c>
      <c r="I291" s="1" t="s">
        <v>78</v>
      </c>
      <c r="J291" s="1" t="s">
        <v>1848</v>
      </c>
      <c r="K291" s="1" t="s">
        <v>1849</v>
      </c>
      <c r="L291" t="s">
        <v>91</v>
      </c>
      <c r="M291" t="s">
        <v>91</v>
      </c>
      <c r="N291" s="1" t="s">
        <v>1850</v>
      </c>
      <c r="O291" t="s">
        <v>91</v>
      </c>
      <c r="P291" s="1" t="s">
        <v>1851</v>
      </c>
      <c r="Q291" s="1" t="s">
        <v>1852</v>
      </c>
      <c r="R291" s="1" t="s">
        <v>107</v>
      </c>
      <c r="T291">
        <v>89460090</v>
      </c>
      <c r="U291" s="1" t="s">
        <v>108</v>
      </c>
      <c r="V291" s="1" t="s">
        <v>777</v>
      </c>
      <c r="W291" s="1" t="s">
        <v>87</v>
      </c>
      <c r="X291">
        <v>47</v>
      </c>
      <c r="Y291">
        <v>36224392</v>
      </c>
      <c r="Z291" t="s">
        <v>91</v>
      </c>
      <c r="AA291" t="s">
        <v>91</v>
      </c>
      <c r="AB291" t="s">
        <v>91</v>
      </c>
      <c r="AC291" t="s">
        <v>91</v>
      </c>
      <c r="AD291" t="s">
        <v>91</v>
      </c>
      <c r="AE291" t="s">
        <v>91</v>
      </c>
      <c r="AF291" t="s">
        <v>91</v>
      </c>
      <c r="AG291" s="1" t="s">
        <v>91</v>
      </c>
      <c r="AH291" s="1" t="s">
        <v>91</v>
      </c>
      <c r="AI291" t="s">
        <v>91</v>
      </c>
      <c r="AJ291">
        <v>0</v>
      </c>
      <c r="AK291">
        <v>0</v>
      </c>
      <c r="AL291">
        <v>0</v>
      </c>
      <c r="AM291" t="s">
        <v>91</v>
      </c>
      <c r="AN291" t="s">
        <v>91</v>
      </c>
      <c r="AO291" t="s">
        <v>91</v>
      </c>
      <c r="AP291" t="s">
        <v>91</v>
      </c>
      <c r="AQ291" s="1" t="s">
        <v>91</v>
      </c>
      <c r="AR291" s="1" t="s">
        <v>91</v>
      </c>
      <c r="AS291" s="1" t="s">
        <v>91</v>
      </c>
      <c r="AT291" s="1" t="s">
        <v>91</v>
      </c>
      <c r="AU291" s="1" t="s">
        <v>91</v>
      </c>
      <c r="AV291" t="s">
        <v>91</v>
      </c>
      <c r="AW291" t="s">
        <v>91</v>
      </c>
      <c r="AX291" t="s">
        <v>91</v>
      </c>
      <c r="AY291" t="s">
        <v>91</v>
      </c>
      <c r="AZ291" t="s">
        <v>91</v>
      </c>
      <c r="BA291" t="s">
        <v>91</v>
      </c>
      <c r="BB291" s="2">
        <v>43308.392939814818</v>
      </c>
      <c r="BC291" s="2"/>
      <c r="BD291" t="s">
        <v>91</v>
      </c>
      <c r="BE291">
        <v>761</v>
      </c>
      <c r="BF291" s="1" t="s">
        <v>75</v>
      </c>
      <c r="BG291">
        <v>0</v>
      </c>
      <c r="BH291">
        <v>0</v>
      </c>
      <c r="BI291" s="1" t="s">
        <v>88</v>
      </c>
      <c r="BJ291">
        <v>1</v>
      </c>
      <c r="BK291" s="1" t="s">
        <v>89</v>
      </c>
      <c r="BL291" t="s">
        <v>91</v>
      </c>
      <c r="BM291" s="1" t="s">
        <v>639</v>
      </c>
      <c r="BN291" s="1" t="s">
        <v>110</v>
      </c>
      <c r="BO291" s="1" t="s">
        <v>165</v>
      </c>
      <c r="BP291" s="1" t="s">
        <v>91</v>
      </c>
      <c r="BQ291" t="s">
        <v>91</v>
      </c>
      <c r="BR291" s="3">
        <v>43308</v>
      </c>
      <c r="BS291" s="3"/>
      <c r="BT291" t="s">
        <v>91</v>
      </c>
      <c r="BU291" t="s">
        <v>91</v>
      </c>
      <c r="BV291">
        <v>1</v>
      </c>
      <c r="BW291" s="1" t="s">
        <v>540</v>
      </c>
    </row>
    <row r="292" spans="1:75" x14ac:dyDescent="0.35">
      <c r="A292">
        <v>156814</v>
      </c>
      <c r="B292" s="1" t="s">
        <v>75</v>
      </c>
      <c r="C292">
        <v>80</v>
      </c>
      <c r="D292">
        <v>11121001</v>
      </c>
      <c r="E292">
        <v>121001</v>
      </c>
      <c r="F292" s="1" t="s">
        <v>76</v>
      </c>
      <c r="G292" s="1" t="s">
        <v>1853</v>
      </c>
      <c r="H292">
        <v>0</v>
      </c>
      <c r="I292" s="1" t="s">
        <v>78</v>
      </c>
      <c r="J292" s="1" t="s">
        <v>1854</v>
      </c>
      <c r="K292" s="1" t="s">
        <v>1855</v>
      </c>
      <c r="L292" t="s">
        <v>91</v>
      </c>
      <c r="M292" t="s">
        <v>91</v>
      </c>
      <c r="N292" s="1" t="s">
        <v>1425</v>
      </c>
      <c r="O292" t="s">
        <v>91</v>
      </c>
      <c r="P292" s="1" t="s">
        <v>1856</v>
      </c>
      <c r="Q292" s="1" t="s">
        <v>1766</v>
      </c>
      <c r="R292" s="1" t="s">
        <v>91</v>
      </c>
      <c r="S292">
        <v>1279</v>
      </c>
      <c r="T292">
        <v>89237600</v>
      </c>
      <c r="U292" s="1" t="s">
        <v>688</v>
      </c>
      <c r="V292" s="1" t="s">
        <v>100</v>
      </c>
      <c r="W292" s="1" t="s">
        <v>87</v>
      </c>
      <c r="X292">
        <v>47</v>
      </c>
      <c r="Y292">
        <v>30283509</v>
      </c>
      <c r="Z292" t="s">
        <v>91</v>
      </c>
      <c r="AA292" t="s">
        <v>91</v>
      </c>
      <c r="AB292" t="s">
        <v>91</v>
      </c>
      <c r="AC292" t="s">
        <v>91</v>
      </c>
      <c r="AD292" t="s">
        <v>91</v>
      </c>
      <c r="AE292" t="s">
        <v>91</v>
      </c>
      <c r="AF292" t="s">
        <v>91</v>
      </c>
      <c r="AG292" s="1" t="s">
        <v>91</v>
      </c>
      <c r="AH292" s="1" t="s">
        <v>91</v>
      </c>
      <c r="AI292" t="s">
        <v>91</v>
      </c>
      <c r="AM292" t="s">
        <v>91</v>
      </c>
      <c r="AN292" t="s">
        <v>91</v>
      </c>
      <c r="AO292" t="s">
        <v>91</v>
      </c>
      <c r="AP292" t="s">
        <v>91</v>
      </c>
      <c r="AQ292" s="1" t="s">
        <v>91</v>
      </c>
      <c r="AR292" s="1" t="s">
        <v>91</v>
      </c>
      <c r="AS292" s="1" t="s">
        <v>91</v>
      </c>
      <c r="AT292" s="1" t="s">
        <v>91</v>
      </c>
      <c r="AU292" s="1" t="s">
        <v>91</v>
      </c>
      <c r="AV292" t="s">
        <v>91</v>
      </c>
      <c r="AW292" t="s">
        <v>91</v>
      </c>
      <c r="AX292" t="s">
        <v>91</v>
      </c>
      <c r="AY292" t="s">
        <v>91</v>
      </c>
      <c r="AZ292" t="s">
        <v>91</v>
      </c>
      <c r="BA292" t="s">
        <v>91</v>
      </c>
      <c r="BB292" s="2">
        <v>45113.505416666667</v>
      </c>
      <c r="BC292" s="2"/>
      <c r="BD292" t="s">
        <v>91</v>
      </c>
      <c r="BF292" s="1" t="s">
        <v>75</v>
      </c>
      <c r="BI292" s="1" t="s">
        <v>88</v>
      </c>
      <c r="BJ292">
        <v>1</v>
      </c>
      <c r="BK292" s="1" t="s">
        <v>89</v>
      </c>
      <c r="BL292" t="s">
        <v>91</v>
      </c>
      <c r="BM292" s="1" t="s">
        <v>91</v>
      </c>
      <c r="BN292" s="1" t="s">
        <v>91</v>
      </c>
      <c r="BO292" s="1" t="s">
        <v>91</v>
      </c>
      <c r="BP292" s="1" t="s">
        <v>91</v>
      </c>
      <c r="BQ292" t="s">
        <v>91</v>
      </c>
      <c r="BR292" s="3">
        <v>45113</v>
      </c>
      <c r="BS292" s="3"/>
      <c r="BT292" t="s">
        <v>91</v>
      </c>
      <c r="BU292" t="s">
        <v>91</v>
      </c>
      <c r="BW292" s="1" t="s">
        <v>90</v>
      </c>
    </row>
    <row r="293" spans="1:75" x14ac:dyDescent="0.35">
      <c r="A293">
        <v>144457</v>
      </c>
      <c r="B293" s="1" t="s">
        <v>75</v>
      </c>
      <c r="C293">
        <v>80</v>
      </c>
      <c r="D293">
        <v>11121001</v>
      </c>
      <c r="E293">
        <v>121001</v>
      </c>
      <c r="F293" s="1" t="s">
        <v>76</v>
      </c>
      <c r="G293" s="1" t="s">
        <v>1857</v>
      </c>
      <c r="I293" s="1" t="s">
        <v>78</v>
      </c>
      <c r="J293" s="1" t="s">
        <v>1858</v>
      </c>
      <c r="K293" s="1" t="s">
        <v>1859</v>
      </c>
      <c r="L293" t="s">
        <v>91</v>
      </c>
      <c r="M293" t="s">
        <v>91</v>
      </c>
      <c r="N293" s="1" t="s">
        <v>1860</v>
      </c>
      <c r="O293" t="s">
        <v>91</v>
      </c>
      <c r="P293" s="1" t="s">
        <v>252</v>
      </c>
      <c r="Q293" s="1" t="s">
        <v>295</v>
      </c>
      <c r="R293" s="1" t="s">
        <v>91</v>
      </c>
      <c r="S293">
        <v>1277</v>
      </c>
      <c r="T293">
        <v>89201330</v>
      </c>
      <c r="U293" s="1" t="s">
        <v>108</v>
      </c>
      <c r="V293" s="1" t="s">
        <v>100</v>
      </c>
      <c r="W293" s="1" t="s">
        <v>87</v>
      </c>
      <c r="X293">
        <v>47</v>
      </c>
      <c r="Y293">
        <v>34230506</v>
      </c>
      <c r="Z293" t="s">
        <v>91</v>
      </c>
      <c r="AA293" t="s">
        <v>91</v>
      </c>
      <c r="AB293" t="s">
        <v>91</v>
      </c>
      <c r="AC293" t="s">
        <v>91</v>
      </c>
      <c r="AD293" t="s">
        <v>91</v>
      </c>
      <c r="AE293" t="s">
        <v>91</v>
      </c>
      <c r="AF293" t="s">
        <v>91</v>
      </c>
      <c r="AG293" s="1" t="s">
        <v>91</v>
      </c>
      <c r="AH293" s="1" t="s">
        <v>91</v>
      </c>
      <c r="AI293" t="s">
        <v>91</v>
      </c>
      <c r="AJ293">
        <v>0</v>
      </c>
      <c r="AK293">
        <v>0</v>
      </c>
      <c r="AL293">
        <v>0</v>
      </c>
      <c r="AM293" t="s">
        <v>91</v>
      </c>
      <c r="AN293" t="s">
        <v>91</v>
      </c>
      <c r="AO293" t="s">
        <v>91</v>
      </c>
      <c r="AP293" t="s">
        <v>91</v>
      </c>
      <c r="AQ293" s="1" t="s">
        <v>91</v>
      </c>
      <c r="AR293" s="1" t="s">
        <v>91</v>
      </c>
      <c r="AS293" s="1" t="s">
        <v>91</v>
      </c>
      <c r="AT293" s="1" t="s">
        <v>91</v>
      </c>
      <c r="AU293" s="1" t="s">
        <v>91</v>
      </c>
      <c r="AV293" t="s">
        <v>91</v>
      </c>
      <c r="AW293" t="s">
        <v>91</v>
      </c>
      <c r="AX293" t="s">
        <v>91</v>
      </c>
      <c r="AY293" t="s">
        <v>91</v>
      </c>
      <c r="AZ293" t="s">
        <v>91</v>
      </c>
      <c r="BA293" t="s">
        <v>91</v>
      </c>
      <c r="BB293" s="2"/>
      <c r="BC293" s="2"/>
      <c r="BD293" t="s">
        <v>91</v>
      </c>
      <c r="BF293" s="1" t="s">
        <v>75</v>
      </c>
      <c r="BG293">
        <v>0</v>
      </c>
      <c r="BH293">
        <v>0</v>
      </c>
      <c r="BI293" s="1" t="s">
        <v>88</v>
      </c>
      <c r="BJ293">
        <v>1</v>
      </c>
      <c r="BK293" s="1" t="s">
        <v>89</v>
      </c>
      <c r="BL293" t="s">
        <v>91</v>
      </c>
      <c r="BM293" s="1" t="s">
        <v>164</v>
      </c>
      <c r="BN293" s="1" t="s">
        <v>110</v>
      </c>
      <c r="BO293" s="1" t="s">
        <v>165</v>
      </c>
      <c r="BP293" s="1" t="s">
        <v>91</v>
      </c>
      <c r="BQ293" t="s">
        <v>91</v>
      </c>
      <c r="BR293" s="3"/>
      <c r="BS293" s="3"/>
      <c r="BT293" t="s">
        <v>91</v>
      </c>
      <c r="BU293" t="s">
        <v>91</v>
      </c>
      <c r="BV293">
        <v>1</v>
      </c>
      <c r="BW293" s="1" t="s">
        <v>1211</v>
      </c>
    </row>
    <row r="294" spans="1:75" x14ac:dyDescent="0.35">
      <c r="A294">
        <v>141893</v>
      </c>
      <c r="B294" s="1" t="s">
        <v>75</v>
      </c>
      <c r="C294">
        <v>80</v>
      </c>
      <c r="D294">
        <v>11121001</v>
      </c>
      <c r="E294">
        <v>121001</v>
      </c>
      <c r="F294" s="1" t="s">
        <v>76</v>
      </c>
      <c r="G294" s="1" t="s">
        <v>1861</v>
      </c>
      <c r="H294">
        <v>0</v>
      </c>
      <c r="I294" s="1" t="s">
        <v>78</v>
      </c>
      <c r="J294" s="1" t="s">
        <v>1862</v>
      </c>
      <c r="K294" s="1" t="s">
        <v>1863</v>
      </c>
      <c r="L294" t="s">
        <v>91</v>
      </c>
      <c r="M294" t="s">
        <v>91</v>
      </c>
      <c r="N294" s="1" t="s">
        <v>1864</v>
      </c>
      <c r="O294" t="s">
        <v>91</v>
      </c>
      <c r="P294" s="1" t="s">
        <v>335</v>
      </c>
      <c r="Q294" s="1" t="s">
        <v>1865</v>
      </c>
      <c r="R294" s="1" t="s">
        <v>1866</v>
      </c>
      <c r="S294">
        <v>1287</v>
      </c>
      <c r="T294">
        <v>89802140</v>
      </c>
      <c r="U294" s="1" t="s">
        <v>108</v>
      </c>
      <c r="V294" s="1" t="s">
        <v>337</v>
      </c>
      <c r="W294" s="1" t="s">
        <v>87</v>
      </c>
      <c r="X294">
        <v>49</v>
      </c>
      <c r="Y294">
        <v>33232717</v>
      </c>
      <c r="Z294" t="s">
        <v>91</v>
      </c>
      <c r="AA294" t="s">
        <v>91</v>
      </c>
      <c r="AB294" t="s">
        <v>91</v>
      </c>
      <c r="AC294" t="s">
        <v>91</v>
      </c>
      <c r="AD294" t="s">
        <v>91</v>
      </c>
      <c r="AE294" t="s">
        <v>91</v>
      </c>
      <c r="AF294" t="s">
        <v>91</v>
      </c>
      <c r="AG294" s="1" t="s">
        <v>146</v>
      </c>
      <c r="AH294" s="1" t="s">
        <v>91</v>
      </c>
      <c r="AI294" t="s">
        <v>91</v>
      </c>
      <c r="AM294" t="s">
        <v>91</v>
      </c>
      <c r="AN294" t="s">
        <v>91</v>
      </c>
      <c r="AO294" t="s">
        <v>91</v>
      </c>
      <c r="AP294" t="s">
        <v>91</v>
      </c>
      <c r="AQ294" s="1" t="s">
        <v>147</v>
      </c>
      <c r="AR294" s="1" t="s">
        <v>147</v>
      </c>
      <c r="AS294" s="1" t="s">
        <v>147</v>
      </c>
      <c r="AT294" s="1" t="s">
        <v>147</v>
      </c>
      <c r="AU294" s="1" t="s">
        <v>147</v>
      </c>
      <c r="AV294" t="s">
        <v>91</v>
      </c>
      <c r="AW294" t="s">
        <v>91</v>
      </c>
      <c r="AX294" t="s">
        <v>91</v>
      </c>
      <c r="AY294" t="s">
        <v>91</v>
      </c>
      <c r="AZ294" t="s">
        <v>91</v>
      </c>
      <c r="BA294" t="s">
        <v>91</v>
      </c>
      <c r="BB294" s="2">
        <v>44497.815659722219</v>
      </c>
      <c r="BC294" s="2">
        <v>44613.564502314817</v>
      </c>
      <c r="BD294" t="s">
        <v>91</v>
      </c>
      <c r="BF294" s="1" t="s">
        <v>75</v>
      </c>
      <c r="BH294">
        <v>0</v>
      </c>
      <c r="BI294" s="1" t="s">
        <v>88</v>
      </c>
      <c r="BJ294">
        <v>1</v>
      </c>
      <c r="BK294" s="1" t="s">
        <v>89</v>
      </c>
      <c r="BL294" t="s">
        <v>91</v>
      </c>
      <c r="BM294" s="1" t="s">
        <v>91</v>
      </c>
      <c r="BN294" s="1" t="s">
        <v>91</v>
      </c>
      <c r="BO294" s="1" t="s">
        <v>128</v>
      </c>
      <c r="BP294" s="1" t="s">
        <v>91</v>
      </c>
      <c r="BQ294" t="s">
        <v>91</v>
      </c>
      <c r="BR294" s="3">
        <v>44497</v>
      </c>
      <c r="BS294" s="3">
        <v>44613</v>
      </c>
      <c r="BT294" t="s">
        <v>91</v>
      </c>
      <c r="BU294" t="s">
        <v>91</v>
      </c>
      <c r="BW294" s="1" t="s">
        <v>144</v>
      </c>
    </row>
    <row r="295" spans="1:75" x14ac:dyDescent="0.35">
      <c r="A295">
        <v>157510</v>
      </c>
      <c r="B295" s="1" t="s">
        <v>75</v>
      </c>
      <c r="C295">
        <v>80</v>
      </c>
      <c r="D295">
        <v>11121001</v>
      </c>
      <c r="E295">
        <v>121001</v>
      </c>
      <c r="F295" s="1" t="s">
        <v>76</v>
      </c>
      <c r="G295" s="1" t="s">
        <v>1867</v>
      </c>
      <c r="H295">
        <v>0</v>
      </c>
      <c r="I295" s="1" t="s">
        <v>78</v>
      </c>
      <c r="J295" s="1" t="s">
        <v>1868</v>
      </c>
      <c r="K295" s="1" t="s">
        <v>1869</v>
      </c>
      <c r="L295" t="s">
        <v>91</v>
      </c>
      <c r="M295" t="s">
        <v>91</v>
      </c>
      <c r="N295" s="1" t="s">
        <v>1644</v>
      </c>
      <c r="O295" t="s">
        <v>91</v>
      </c>
      <c r="P295" s="1" t="s">
        <v>789</v>
      </c>
      <c r="Q295" s="1" t="s">
        <v>1870</v>
      </c>
      <c r="R295" s="1" t="s">
        <v>236</v>
      </c>
      <c r="S295">
        <v>1279</v>
      </c>
      <c r="T295">
        <v>89227045</v>
      </c>
      <c r="U295" s="1" t="s">
        <v>426</v>
      </c>
      <c r="V295" s="1" t="s">
        <v>100</v>
      </c>
      <c r="W295" s="1" t="s">
        <v>87</v>
      </c>
      <c r="X295">
        <v>47</v>
      </c>
      <c r="Y295">
        <v>30267900</v>
      </c>
      <c r="Z295" t="s">
        <v>91</v>
      </c>
      <c r="AA295" t="s">
        <v>91</v>
      </c>
      <c r="AB295" t="s">
        <v>91</v>
      </c>
      <c r="AC295" t="s">
        <v>91</v>
      </c>
      <c r="AD295" t="s">
        <v>91</v>
      </c>
      <c r="AE295" t="s">
        <v>91</v>
      </c>
      <c r="AF295" t="s">
        <v>91</v>
      </c>
      <c r="AG295" s="1" t="s">
        <v>91</v>
      </c>
      <c r="AH295" s="1" t="s">
        <v>91</v>
      </c>
      <c r="AI295" t="s">
        <v>91</v>
      </c>
      <c r="AM295" t="s">
        <v>91</v>
      </c>
      <c r="AN295" t="s">
        <v>91</v>
      </c>
      <c r="AO295" t="s">
        <v>91</v>
      </c>
      <c r="AP295" t="s">
        <v>91</v>
      </c>
      <c r="AQ295" s="1" t="s">
        <v>91</v>
      </c>
      <c r="AR295" s="1" t="s">
        <v>91</v>
      </c>
      <c r="AS295" s="1" t="s">
        <v>91</v>
      </c>
      <c r="AT295" s="1" t="s">
        <v>91</v>
      </c>
      <c r="AU295" s="1" t="s">
        <v>91</v>
      </c>
      <c r="AV295" t="s">
        <v>91</v>
      </c>
      <c r="AW295" t="s">
        <v>91</v>
      </c>
      <c r="AX295" t="s">
        <v>91</v>
      </c>
      <c r="AY295" t="s">
        <v>91</v>
      </c>
      <c r="AZ295" t="s">
        <v>91</v>
      </c>
      <c r="BA295" t="s">
        <v>91</v>
      </c>
      <c r="BB295" s="2">
        <v>45118.093391203707</v>
      </c>
      <c r="BC295" s="2"/>
      <c r="BD295" t="s">
        <v>91</v>
      </c>
      <c r="BF295" s="1" t="s">
        <v>75</v>
      </c>
      <c r="BI295" s="1" t="s">
        <v>88</v>
      </c>
      <c r="BJ295">
        <v>1</v>
      </c>
      <c r="BK295" s="1" t="s">
        <v>89</v>
      </c>
      <c r="BL295" t="s">
        <v>91</v>
      </c>
      <c r="BM295" s="1" t="s">
        <v>91</v>
      </c>
      <c r="BN295" s="1" t="s">
        <v>91</v>
      </c>
      <c r="BO295" s="1" t="s">
        <v>91</v>
      </c>
      <c r="BP295" s="1" t="s">
        <v>91</v>
      </c>
      <c r="BQ295" t="s">
        <v>91</v>
      </c>
      <c r="BR295" s="3">
        <v>45118</v>
      </c>
      <c r="BS295" s="3"/>
      <c r="BT295" t="s">
        <v>91</v>
      </c>
      <c r="BU295" t="s">
        <v>91</v>
      </c>
      <c r="BW295" s="1" t="s">
        <v>862</v>
      </c>
    </row>
    <row r="296" spans="1:75" x14ac:dyDescent="0.35">
      <c r="A296">
        <v>138154</v>
      </c>
      <c r="B296" s="1" t="s">
        <v>75</v>
      </c>
      <c r="C296">
        <v>80</v>
      </c>
      <c r="D296">
        <v>11121001</v>
      </c>
      <c r="E296">
        <v>121001</v>
      </c>
      <c r="F296" s="1" t="s">
        <v>76</v>
      </c>
      <c r="G296" s="1" t="s">
        <v>1871</v>
      </c>
      <c r="H296">
        <v>0</v>
      </c>
      <c r="I296" s="1" t="s">
        <v>78</v>
      </c>
      <c r="J296" s="1" t="s">
        <v>1872</v>
      </c>
      <c r="K296" s="1" t="s">
        <v>1873</v>
      </c>
      <c r="L296" t="s">
        <v>91</v>
      </c>
      <c r="M296" t="s">
        <v>91</v>
      </c>
      <c r="N296" s="1" t="s">
        <v>1874</v>
      </c>
      <c r="O296" t="s">
        <v>91</v>
      </c>
      <c r="P296" s="1" t="s">
        <v>1875</v>
      </c>
      <c r="Q296" s="1" t="s">
        <v>1876</v>
      </c>
      <c r="R296" s="1" t="s">
        <v>91</v>
      </c>
      <c r="T296">
        <v>99010060</v>
      </c>
      <c r="U296" s="1" t="s">
        <v>108</v>
      </c>
      <c r="V296" s="1" t="s">
        <v>371</v>
      </c>
      <c r="W296" s="1" t="s">
        <v>157</v>
      </c>
      <c r="X296">
        <v>54</v>
      </c>
      <c r="Y296">
        <v>33111559</v>
      </c>
      <c r="Z296" t="s">
        <v>91</v>
      </c>
      <c r="AA296" t="s">
        <v>91</v>
      </c>
      <c r="AB296" t="s">
        <v>91</v>
      </c>
      <c r="AC296" t="s">
        <v>91</v>
      </c>
      <c r="AD296" t="s">
        <v>91</v>
      </c>
      <c r="AE296" t="s">
        <v>91</v>
      </c>
      <c r="AF296" t="s">
        <v>91</v>
      </c>
      <c r="AG296" s="1" t="s">
        <v>146</v>
      </c>
      <c r="AH296" s="1" t="s">
        <v>91</v>
      </c>
      <c r="AI296" t="s">
        <v>91</v>
      </c>
      <c r="AM296" t="s">
        <v>91</v>
      </c>
      <c r="AN296" t="s">
        <v>91</v>
      </c>
      <c r="AO296" t="s">
        <v>91</v>
      </c>
      <c r="AP296" t="s">
        <v>91</v>
      </c>
      <c r="AQ296" s="1" t="s">
        <v>147</v>
      </c>
      <c r="AR296" s="1" t="s">
        <v>147</v>
      </c>
      <c r="AS296" s="1" t="s">
        <v>147</v>
      </c>
      <c r="AT296" s="1" t="s">
        <v>147</v>
      </c>
      <c r="AU296" s="1" t="s">
        <v>147</v>
      </c>
      <c r="AV296" t="s">
        <v>91</v>
      </c>
      <c r="AW296" t="s">
        <v>91</v>
      </c>
      <c r="AX296" t="s">
        <v>91</v>
      </c>
      <c r="AY296" t="s">
        <v>91</v>
      </c>
      <c r="AZ296" t="s">
        <v>91</v>
      </c>
      <c r="BA296" t="s">
        <v>91</v>
      </c>
      <c r="BB296" s="2">
        <v>44378.578518518516</v>
      </c>
      <c r="BC296" s="2">
        <v>44748.713680555556</v>
      </c>
      <c r="BD296" t="s">
        <v>91</v>
      </c>
      <c r="BF296" s="1" t="s">
        <v>75</v>
      </c>
      <c r="BH296">
        <v>0</v>
      </c>
      <c r="BI296" s="1" t="s">
        <v>88</v>
      </c>
      <c r="BJ296">
        <v>1</v>
      </c>
      <c r="BK296" s="1" t="s">
        <v>89</v>
      </c>
      <c r="BL296" t="s">
        <v>91</v>
      </c>
      <c r="BM296" s="1" t="s">
        <v>109</v>
      </c>
      <c r="BN296" s="1" t="s">
        <v>110</v>
      </c>
      <c r="BO296" s="1" t="s">
        <v>111</v>
      </c>
      <c r="BP296" s="1" t="s">
        <v>91</v>
      </c>
      <c r="BQ296" t="s">
        <v>91</v>
      </c>
      <c r="BR296" s="3">
        <v>44378</v>
      </c>
      <c r="BS296" s="3">
        <v>44748</v>
      </c>
      <c r="BT296" t="s">
        <v>91</v>
      </c>
      <c r="BU296" t="s">
        <v>91</v>
      </c>
      <c r="BW296" s="1" t="s">
        <v>390</v>
      </c>
    </row>
    <row r="297" spans="1:75" x14ac:dyDescent="0.35">
      <c r="A297">
        <v>821</v>
      </c>
      <c r="B297" s="1" t="s">
        <v>75</v>
      </c>
      <c r="C297">
        <v>80</v>
      </c>
      <c r="D297">
        <v>11121001</v>
      </c>
      <c r="E297">
        <v>121001</v>
      </c>
      <c r="F297" s="1" t="s">
        <v>76</v>
      </c>
      <c r="G297" s="1" t="s">
        <v>1877</v>
      </c>
      <c r="I297" s="1" t="s">
        <v>78</v>
      </c>
      <c r="J297" s="1" t="s">
        <v>1878</v>
      </c>
      <c r="K297" s="1" t="s">
        <v>1879</v>
      </c>
      <c r="L297" t="s">
        <v>91</v>
      </c>
      <c r="M297" t="s">
        <v>91</v>
      </c>
      <c r="N297" s="1" t="s">
        <v>1880</v>
      </c>
      <c r="O297" t="s">
        <v>91</v>
      </c>
      <c r="P297" s="1" t="s">
        <v>105</v>
      </c>
      <c r="Q297" s="1" t="s">
        <v>1881</v>
      </c>
      <c r="R297" s="1" t="s">
        <v>370</v>
      </c>
      <c r="S297">
        <v>1277</v>
      </c>
      <c r="T297">
        <v>89201001</v>
      </c>
      <c r="U297" s="1" t="s">
        <v>108</v>
      </c>
      <c r="V297" s="1" t="s">
        <v>100</v>
      </c>
      <c r="W297" s="1" t="s">
        <v>87</v>
      </c>
      <c r="X297">
        <v>47</v>
      </c>
      <c r="Y297">
        <v>30283358</v>
      </c>
      <c r="Z297" t="s">
        <v>91</v>
      </c>
      <c r="AA297" t="s">
        <v>91</v>
      </c>
      <c r="AB297" t="s">
        <v>91</v>
      </c>
      <c r="AC297" t="s">
        <v>91</v>
      </c>
      <c r="AD297" t="s">
        <v>91</v>
      </c>
      <c r="AE297" t="s">
        <v>91</v>
      </c>
      <c r="AF297" t="s">
        <v>91</v>
      </c>
      <c r="AG297" s="1" t="s">
        <v>91</v>
      </c>
      <c r="AH297" s="1" t="s">
        <v>91</v>
      </c>
      <c r="AI297" t="s">
        <v>91</v>
      </c>
      <c r="AJ297">
        <v>0</v>
      </c>
      <c r="AK297">
        <v>0</v>
      </c>
      <c r="AL297">
        <v>0</v>
      </c>
      <c r="AM297" t="s">
        <v>91</v>
      </c>
      <c r="AN297" t="s">
        <v>91</v>
      </c>
      <c r="AO297" t="s">
        <v>91</v>
      </c>
      <c r="AP297" t="s">
        <v>91</v>
      </c>
      <c r="AQ297" s="1" t="s">
        <v>91</v>
      </c>
      <c r="AR297" s="1" t="s">
        <v>91</v>
      </c>
      <c r="AS297" s="1" t="s">
        <v>91</v>
      </c>
      <c r="AT297" s="1" t="s">
        <v>91</v>
      </c>
      <c r="AU297" s="1" t="s">
        <v>91</v>
      </c>
      <c r="AV297" t="s">
        <v>91</v>
      </c>
      <c r="AW297" t="s">
        <v>91</v>
      </c>
      <c r="AX297" t="s">
        <v>91</v>
      </c>
      <c r="AY297" t="s">
        <v>91</v>
      </c>
      <c r="AZ297" t="s">
        <v>91</v>
      </c>
      <c r="BA297" t="s">
        <v>91</v>
      </c>
      <c r="BB297" s="2">
        <v>43308.392951388887</v>
      </c>
      <c r="BC297" s="2"/>
      <c r="BD297" t="s">
        <v>91</v>
      </c>
      <c r="BE297">
        <v>821</v>
      </c>
      <c r="BF297" s="1" t="s">
        <v>75</v>
      </c>
      <c r="BG297">
        <v>0</v>
      </c>
      <c r="BH297">
        <v>0</v>
      </c>
      <c r="BI297" s="1" t="s">
        <v>88</v>
      </c>
      <c r="BJ297">
        <v>1</v>
      </c>
      <c r="BK297" s="1" t="s">
        <v>89</v>
      </c>
      <c r="BL297" t="s">
        <v>91</v>
      </c>
      <c r="BM297" s="1" t="s">
        <v>329</v>
      </c>
      <c r="BN297" s="1" t="s">
        <v>110</v>
      </c>
      <c r="BO297" s="1" t="s">
        <v>128</v>
      </c>
      <c r="BP297" s="1" t="s">
        <v>91</v>
      </c>
      <c r="BQ297" t="s">
        <v>91</v>
      </c>
      <c r="BR297" s="3">
        <v>43308</v>
      </c>
      <c r="BS297" s="3"/>
      <c r="BT297" t="s">
        <v>91</v>
      </c>
      <c r="BU297" t="s">
        <v>91</v>
      </c>
      <c r="BV297">
        <v>3</v>
      </c>
      <c r="BW297" s="1" t="s">
        <v>90</v>
      </c>
    </row>
    <row r="298" spans="1:75" x14ac:dyDescent="0.35">
      <c r="A298">
        <v>138155</v>
      </c>
      <c r="B298" s="1" t="s">
        <v>75</v>
      </c>
      <c r="C298">
        <v>80</v>
      </c>
      <c r="D298">
        <v>11121001</v>
      </c>
      <c r="E298">
        <v>121001</v>
      </c>
      <c r="F298" s="1" t="s">
        <v>76</v>
      </c>
      <c r="G298" s="1" t="s">
        <v>1882</v>
      </c>
      <c r="H298">
        <v>0</v>
      </c>
      <c r="I298" s="1" t="s">
        <v>78</v>
      </c>
      <c r="J298" s="1" t="s">
        <v>1883</v>
      </c>
      <c r="K298" s="1" t="s">
        <v>1884</v>
      </c>
      <c r="L298" t="s">
        <v>91</v>
      </c>
      <c r="M298" t="s">
        <v>91</v>
      </c>
      <c r="N298" s="1" t="s">
        <v>1885</v>
      </c>
      <c r="O298" t="s">
        <v>91</v>
      </c>
      <c r="P298" s="1" t="s">
        <v>1886</v>
      </c>
      <c r="Q298" s="1" t="s">
        <v>1469</v>
      </c>
      <c r="R298" s="1" t="s">
        <v>1887</v>
      </c>
      <c r="S298">
        <v>1287</v>
      </c>
      <c r="T298">
        <v>89802120</v>
      </c>
      <c r="U298" s="1" t="s">
        <v>108</v>
      </c>
      <c r="V298" s="1" t="s">
        <v>337</v>
      </c>
      <c r="W298" s="1" t="s">
        <v>87</v>
      </c>
      <c r="X298">
        <v>49</v>
      </c>
      <c r="Y298">
        <v>33295830</v>
      </c>
      <c r="Z298" t="s">
        <v>91</v>
      </c>
      <c r="AA298" t="s">
        <v>91</v>
      </c>
      <c r="AB298" t="s">
        <v>91</v>
      </c>
      <c r="AC298" t="s">
        <v>91</v>
      </c>
      <c r="AD298" t="s">
        <v>91</v>
      </c>
      <c r="AE298" t="s">
        <v>91</v>
      </c>
      <c r="AF298" t="s">
        <v>91</v>
      </c>
      <c r="AG298" s="1" t="s">
        <v>146</v>
      </c>
      <c r="AH298" s="1" t="s">
        <v>91</v>
      </c>
      <c r="AI298" t="s">
        <v>91</v>
      </c>
      <c r="AM298" t="s">
        <v>91</v>
      </c>
      <c r="AN298" t="s">
        <v>91</v>
      </c>
      <c r="AO298" t="s">
        <v>91</v>
      </c>
      <c r="AP298" t="s">
        <v>91</v>
      </c>
      <c r="AQ298" s="1" t="s">
        <v>147</v>
      </c>
      <c r="AR298" s="1" t="s">
        <v>147</v>
      </c>
      <c r="AS298" s="1" t="s">
        <v>147</v>
      </c>
      <c r="AT298" s="1" t="s">
        <v>147</v>
      </c>
      <c r="AU298" s="1" t="s">
        <v>147</v>
      </c>
      <c r="AV298" t="s">
        <v>91</v>
      </c>
      <c r="AW298" t="s">
        <v>91</v>
      </c>
      <c r="AX298" t="s">
        <v>91</v>
      </c>
      <c r="AY298" t="s">
        <v>91</v>
      </c>
      <c r="AZ298" t="s">
        <v>91</v>
      </c>
      <c r="BA298" t="s">
        <v>91</v>
      </c>
      <c r="BB298" s="2">
        <v>44378.578518518516</v>
      </c>
      <c r="BC298" s="2">
        <v>44558.614664351851</v>
      </c>
      <c r="BD298" t="s">
        <v>91</v>
      </c>
      <c r="BF298" s="1" t="s">
        <v>75</v>
      </c>
      <c r="BH298">
        <v>0</v>
      </c>
      <c r="BI298" s="1" t="s">
        <v>88</v>
      </c>
      <c r="BJ298">
        <v>1</v>
      </c>
      <c r="BK298" s="1" t="s">
        <v>89</v>
      </c>
      <c r="BL298" t="s">
        <v>91</v>
      </c>
      <c r="BM298" s="1" t="s">
        <v>109</v>
      </c>
      <c r="BN298" s="1" t="s">
        <v>110</v>
      </c>
      <c r="BO298" s="1" t="s">
        <v>128</v>
      </c>
      <c r="BP298" s="1" t="s">
        <v>91</v>
      </c>
      <c r="BQ298" t="s">
        <v>91</v>
      </c>
      <c r="BR298" s="3">
        <v>44378</v>
      </c>
      <c r="BS298" s="3">
        <v>44558</v>
      </c>
      <c r="BT298" t="s">
        <v>91</v>
      </c>
      <c r="BU298" t="s">
        <v>91</v>
      </c>
      <c r="BW298" s="1" t="s">
        <v>90</v>
      </c>
    </row>
    <row r="299" spans="1:75" x14ac:dyDescent="0.35">
      <c r="A299">
        <v>156780</v>
      </c>
      <c r="B299" s="1" t="s">
        <v>75</v>
      </c>
      <c r="C299">
        <v>80</v>
      </c>
      <c r="D299">
        <v>11121001</v>
      </c>
      <c r="E299">
        <v>121001</v>
      </c>
      <c r="F299" s="1" t="s">
        <v>76</v>
      </c>
      <c r="G299" s="1" t="s">
        <v>1888</v>
      </c>
      <c r="H299">
        <v>0</v>
      </c>
      <c r="I299" s="1" t="s">
        <v>78</v>
      </c>
      <c r="J299" s="1" t="s">
        <v>1889</v>
      </c>
      <c r="K299" s="1" t="s">
        <v>1890</v>
      </c>
      <c r="L299" t="s">
        <v>91</v>
      </c>
      <c r="M299" t="s">
        <v>91</v>
      </c>
      <c r="N299" s="1" t="s">
        <v>1891</v>
      </c>
      <c r="O299" t="s">
        <v>91</v>
      </c>
      <c r="P299" s="1" t="s">
        <v>946</v>
      </c>
      <c r="Q299" s="1" t="s">
        <v>1892</v>
      </c>
      <c r="R299" s="1" t="s">
        <v>1893</v>
      </c>
      <c r="S299">
        <v>1280</v>
      </c>
      <c r="T299">
        <v>89240000</v>
      </c>
      <c r="U299" s="1" t="s">
        <v>108</v>
      </c>
      <c r="V299" s="1" t="s">
        <v>222</v>
      </c>
      <c r="W299" s="1" t="s">
        <v>87</v>
      </c>
      <c r="X299">
        <v>47</v>
      </c>
      <c r="Y299">
        <v>34491616</v>
      </c>
      <c r="Z299" t="s">
        <v>91</v>
      </c>
      <c r="AA299" t="s">
        <v>91</v>
      </c>
      <c r="AB299" t="s">
        <v>91</v>
      </c>
      <c r="AC299" t="s">
        <v>91</v>
      </c>
      <c r="AD299" t="s">
        <v>91</v>
      </c>
      <c r="AE299" t="s">
        <v>91</v>
      </c>
      <c r="AF299" t="s">
        <v>91</v>
      </c>
      <c r="AG299" s="1" t="s">
        <v>91</v>
      </c>
      <c r="AH299" s="1" t="s">
        <v>91</v>
      </c>
      <c r="AI299" t="s">
        <v>91</v>
      </c>
      <c r="AM299" t="s">
        <v>91</v>
      </c>
      <c r="AN299" t="s">
        <v>91</v>
      </c>
      <c r="AO299" t="s">
        <v>91</v>
      </c>
      <c r="AP299" t="s">
        <v>91</v>
      </c>
      <c r="AQ299" s="1" t="s">
        <v>91</v>
      </c>
      <c r="AR299" s="1" t="s">
        <v>91</v>
      </c>
      <c r="AS299" s="1" t="s">
        <v>91</v>
      </c>
      <c r="AT299" s="1" t="s">
        <v>91</v>
      </c>
      <c r="AU299" s="1" t="s">
        <v>91</v>
      </c>
      <c r="AV299" t="s">
        <v>91</v>
      </c>
      <c r="AW299" t="s">
        <v>91</v>
      </c>
      <c r="AX299" t="s">
        <v>91</v>
      </c>
      <c r="AY299" t="s">
        <v>91</v>
      </c>
      <c r="AZ299" t="s">
        <v>91</v>
      </c>
      <c r="BA299" t="s">
        <v>91</v>
      </c>
      <c r="BB299" s="2">
        <v>45113.505416666667</v>
      </c>
      <c r="BC299" s="2"/>
      <c r="BD299" t="s">
        <v>91</v>
      </c>
      <c r="BF299" s="1" t="s">
        <v>75</v>
      </c>
      <c r="BI299" s="1" t="s">
        <v>88</v>
      </c>
      <c r="BJ299">
        <v>1</v>
      </c>
      <c r="BK299" s="1" t="s">
        <v>89</v>
      </c>
      <c r="BL299" t="s">
        <v>91</v>
      </c>
      <c r="BM299" s="1" t="s">
        <v>91</v>
      </c>
      <c r="BN299" s="1" t="s">
        <v>91</v>
      </c>
      <c r="BO299" s="1" t="s">
        <v>91</v>
      </c>
      <c r="BP299" s="1" t="s">
        <v>91</v>
      </c>
      <c r="BQ299" t="s">
        <v>91</v>
      </c>
      <c r="BR299" s="3">
        <v>45113</v>
      </c>
      <c r="BS299" s="3"/>
      <c r="BT299" t="s">
        <v>91</v>
      </c>
      <c r="BU299" t="s">
        <v>91</v>
      </c>
      <c r="BW299" s="1" t="s">
        <v>90</v>
      </c>
    </row>
    <row r="300" spans="1:75" x14ac:dyDescent="0.35">
      <c r="A300">
        <v>156716</v>
      </c>
      <c r="B300" s="1" t="s">
        <v>75</v>
      </c>
      <c r="C300">
        <v>80</v>
      </c>
      <c r="D300">
        <v>11121001</v>
      </c>
      <c r="E300">
        <v>121001</v>
      </c>
      <c r="F300" s="1" t="s">
        <v>76</v>
      </c>
      <c r="G300" s="1" t="s">
        <v>1894</v>
      </c>
      <c r="H300">
        <v>0</v>
      </c>
      <c r="I300" s="1" t="s">
        <v>78</v>
      </c>
      <c r="J300" s="1" t="s">
        <v>1895</v>
      </c>
      <c r="K300" s="1" t="s">
        <v>1896</v>
      </c>
      <c r="L300" t="s">
        <v>91</v>
      </c>
      <c r="M300" t="s">
        <v>91</v>
      </c>
      <c r="N300" s="1" t="s">
        <v>1897</v>
      </c>
      <c r="O300" t="s">
        <v>91</v>
      </c>
      <c r="P300" s="1" t="s">
        <v>1898</v>
      </c>
      <c r="Q300" s="1" t="s">
        <v>1899</v>
      </c>
      <c r="R300" s="1" t="s">
        <v>1900</v>
      </c>
      <c r="T300">
        <v>89560210</v>
      </c>
      <c r="U300" s="1" t="s">
        <v>108</v>
      </c>
      <c r="V300" s="1" t="s">
        <v>1827</v>
      </c>
      <c r="W300" s="1" t="s">
        <v>87</v>
      </c>
      <c r="X300">
        <v>47</v>
      </c>
      <c r="Y300">
        <v>999254598</v>
      </c>
      <c r="Z300" t="s">
        <v>91</v>
      </c>
      <c r="AA300" t="s">
        <v>91</v>
      </c>
      <c r="AB300" t="s">
        <v>91</v>
      </c>
      <c r="AC300" t="s">
        <v>91</v>
      </c>
      <c r="AD300" t="s">
        <v>91</v>
      </c>
      <c r="AE300" t="s">
        <v>91</v>
      </c>
      <c r="AF300" t="s">
        <v>91</v>
      </c>
      <c r="AG300" s="1" t="s">
        <v>91</v>
      </c>
      <c r="AH300" s="1" t="s">
        <v>91</v>
      </c>
      <c r="AI300" t="s">
        <v>91</v>
      </c>
      <c r="AM300" t="s">
        <v>91</v>
      </c>
      <c r="AN300" t="s">
        <v>91</v>
      </c>
      <c r="AO300" t="s">
        <v>91</v>
      </c>
      <c r="AP300" t="s">
        <v>91</v>
      </c>
      <c r="AQ300" s="1" t="s">
        <v>91</v>
      </c>
      <c r="AR300" s="1" t="s">
        <v>91</v>
      </c>
      <c r="AS300" s="1" t="s">
        <v>91</v>
      </c>
      <c r="AT300" s="1" t="s">
        <v>91</v>
      </c>
      <c r="AU300" s="1" t="s">
        <v>91</v>
      </c>
      <c r="AV300" t="s">
        <v>91</v>
      </c>
      <c r="AW300" t="s">
        <v>91</v>
      </c>
      <c r="AX300" t="s">
        <v>91</v>
      </c>
      <c r="AY300" t="s">
        <v>91</v>
      </c>
      <c r="AZ300" t="s">
        <v>91</v>
      </c>
      <c r="BA300" t="s">
        <v>91</v>
      </c>
      <c r="BB300" s="2">
        <v>45113.505416666667</v>
      </c>
      <c r="BC300" s="2"/>
      <c r="BD300" t="s">
        <v>91</v>
      </c>
      <c r="BF300" s="1" t="s">
        <v>75</v>
      </c>
      <c r="BI300" s="1" t="s">
        <v>88</v>
      </c>
      <c r="BJ300">
        <v>1</v>
      </c>
      <c r="BK300" s="1" t="s">
        <v>89</v>
      </c>
      <c r="BL300" t="s">
        <v>91</v>
      </c>
      <c r="BM300" s="1" t="s">
        <v>91</v>
      </c>
      <c r="BN300" s="1" t="s">
        <v>91</v>
      </c>
      <c r="BO300" s="1" t="s">
        <v>91</v>
      </c>
      <c r="BP300" s="1" t="s">
        <v>91</v>
      </c>
      <c r="BQ300" t="s">
        <v>91</v>
      </c>
      <c r="BR300" s="3">
        <v>45113</v>
      </c>
      <c r="BS300" s="3"/>
      <c r="BT300" t="s">
        <v>91</v>
      </c>
      <c r="BU300" t="s">
        <v>91</v>
      </c>
      <c r="BW300" s="1" t="s">
        <v>1452</v>
      </c>
    </row>
    <row r="301" spans="1:75" x14ac:dyDescent="0.35">
      <c r="A301">
        <v>138156</v>
      </c>
      <c r="B301" s="1" t="s">
        <v>75</v>
      </c>
      <c r="C301">
        <v>80</v>
      </c>
      <c r="D301">
        <v>11121001</v>
      </c>
      <c r="E301">
        <v>121001</v>
      </c>
      <c r="F301" s="1" t="s">
        <v>76</v>
      </c>
      <c r="G301" s="1" t="s">
        <v>1901</v>
      </c>
      <c r="H301">
        <v>0</v>
      </c>
      <c r="I301" s="1" t="s">
        <v>78</v>
      </c>
      <c r="J301" s="1" t="s">
        <v>1895</v>
      </c>
      <c r="K301" s="1" t="s">
        <v>1902</v>
      </c>
      <c r="L301" t="s">
        <v>91</v>
      </c>
      <c r="M301" t="s">
        <v>91</v>
      </c>
      <c r="N301" s="1" t="s">
        <v>1903</v>
      </c>
      <c r="O301" t="s">
        <v>91</v>
      </c>
      <c r="P301" s="1" t="s">
        <v>1904</v>
      </c>
      <c r="Q301" s="1" t="s">
        <v>1905</v>
      </c>
      <c r="R301" s="1" t="s">
        <v>91</v>
      </c>
      <c r="T301">
        <v>89560238</v>
      </c>
      <c r="U301" s="1" t="s">
        <v>1906</v>
      </c>
      <c r="V301" s="1" t="s">
        <v>1827</v>
      </c>
      <c r="W301" s="1" t="s">
        <v>87</v>
      </c>
      <c r="X301">
        <v>49</v>
      </c>
      <c r="Y301">
        <v>999945310</v>
      </c>
      <c r="Z301" t="s">
        <v>91</v>
      </c>
      <c r="AA301" t="s">
        <v>91</v>
      </c>
      <c r="AB301" t="s">
        <v>91</v>
      </c>
      <c r="AC301" t="s">
        <v>91</v>
      </c>
      <c r="AD301" t="s">
        <v>91</v>
      </c>
      <c r="AE301" t="s">
        <v>91</v>
      </c>
      <c r="AF301" t="s">
        <v>91</v>
      </c>
      <c r="AG301" s="1" t="s">
        <v>146</v>
      </c>
      <c r="AH301" s="1" t="s">
        <v>91</v>
      </c>
      <c r="AI301" t="s">
        <v>91</v>
      </c>
      <c r="AM301" t="s">
        <v>91</v>
      </c>
      <c r="AN301" t="s">
        <v>91</v>
      </c>
      <c r="AO301" t="s">
        <v>91</v>
      </c>
      <c r="AP301" t="s">
        <v>91</v>
      </c>
      <c r="AQ301" s="1" t="s">
        <v>147</v>
      </c>
      <c r="AR301" s="1" t="s">
        <v>147</v>
      </c>
      <c r="AS301" s="1" t="s">
        <v>147</v>
      </c>
      <c r="AT301" s="1" t="s">
        <v>147</v>
      </c>
      <c r="AU301" s="1" t="s">
        <v>147</v>
      </c>
      <c r="AV301" t="s">
        <v>91</v>
      </c>
      <c r="AW301" t="s">
        <v>91</v>
      </c>
      <c r="AX301" t="s">
        <v>91</v>
      </c>
      <c r="AY301" t="s">
        <v>91</v>
      </c>
      <c r="AZ301" t="s">
        <v>91</v>
      </c>
      <c r="BA301" t="s">
        <v>91</v>
      </c>
      <c r="BB301" s="2">
        <v>44378.578518518516</v>
      </c>
      <c r="BC301" s="2">
        <v>44648.371365740742</v>
      </c>
      <c r="BD301" t="s">
        <v>91</v>
      </c>
      <c r="BF301" s="1" t="s">
        <v>75</v>
      </c>
      <c r="BH301">
        <v>0</v>
      </c>
      <c r="BI301" s="1" t="s">
        <v>88</v>
      </c>
      <c r="BJ301">
        <v>1</v>
      </c>
      <c r="BK301" s="1" t="s">
        <v>89</v>
      </c>
      <c r="BL301" t="s">
        <v>91</v>
      </c>
      <c r="BM301" s="1" t="s">
        <v>164</v>
      </c>
      <c r="BN301" s="1" t="s">
        <v>110</v>
      </c>
      <c r="BO301" s="1" t="s">
        <v>165</v>
      </c>
      <c r="BP301" s="1" t="s">
        <v>91</v>
      </c>
      <c r="BQ301" t="s">
        <v>91</v>
      </c>
      <c r="BR301" s="3">
        <v>44378</v>
      </c>
      <c r="BS301" s="3">
        <v>44648</v>
      </c>
      <c r="BT301" t="s">
        <v>91</v>
      </c>
      <c r="BU301" t="s">
        <v>91</v>
      </c>
      <c r="BW301" s="1" t="s">
        <v>1089</v>
      </c>
    </row>
    <row r="302" spans="1:75" x14ac:dyDescent="0.35">
      <c r="A302">
        <v>156740</v>
      </c>
      <c r="B302" s="1" t="s">
        <v>75</v>
      </c>
      <c r="C302">
        <v>80</v>
      </c>
      <c r="D302">
        <v>11121001</v>
      </c>
      <c r="E302">
        <v>121001</v>
      </c>
      <c r="F302" s="1" t="s">
        <v>76</v>
      </c>
      <c r="G302" s="1" t="s">
        <v>1907</v>
      </c>
      <c r="H302">
        <v>0</v>
      </c>
      <c r="I302" s="1" t="s">
        <v>78</v>
      </c>
      <c r="J302" s="1" t="s">
        <v>1908</v>
      </c>
      <c r="K302" s="1" t="s">
        <v>1909</v>
      </c>
      <c r="L302" t="s">
        <v>91</v>
      </c>
      <c r="M302" t="s">
        <v>91</v>
      </c>
      <c r="N302" s="1" t="s">
        <v>1910</v>
      </c>
      <c r="O302" t="s">
        <v>91</v>
      </c>
      <c r="P302" s="1" t="s">
        <v>1911</v>
      </c>
      <c r="Q302" s="1" t="s">
        <v>1912</v>
      </c>
      <c r="R302" s="1" t="s">
        <v>236</v>
      </c>
      <c r="S302">
        <v>1279</v>
      </c>
      <c r="T302">
        <v>89226260</v>
      </c>
      <c r="U302" s="1" t="s">
        <v>294</v>
      </c>
      <c r="V302" s="1" t="s">
        <v>100</v>
      </c>
      <c r="W302" s="1" t="s">
        <v>87</v>
      </c>
      <c r="X302">
        <v>47</v>
      </c>
      <c r="Y302">
        <v>30318681</v>
      </c>
      <c r="Z302" t="s">
        <v>91</v>
      </c>
      <c r="AA302" t="s">
        <v>91</v>
      </c>
      <c r="AB302" t="s">
        <v>91</v>
      </c>
      <c r="AC302" t="s">
        <v>91</v>
      </c>
      <c r="AD302" t="s">
        <v>91</v>
      </c>
      <c r="AE302" t="s">
        <v>91</v>
      </c>
      <c r="AF302" t="s">
        <v>91</v>
      </c>
      <c r="AG302" s="1" t="s">
        <v>91</v>
      </c>
      <c r="AH302" s="1" t="s">
        <v>91</v>
      </c>
      <c r="AI302" t="s">
        <v>91</v>
      </c>
      <c r="AM302" t="s">
        <v>91</v>
      </c>
      <c r="AN302" t="s">
        <v>91</v>
      </c>
      <c r="AO302" t="s">
        <v>91</v>
      </c>
      <c r="AP302" t="s">
        <v>91</v>
      </c>
      <c r="AQ302" s="1" t="s">
        <v>91</v>
      </c>
      <c r="AR302" s="1" t="s">
        <v>91</v>
      </c>
      <c r="AS302" s="1" t="s">
        <v>91</v>
      </c>
      <c r="AT302" s="1" t="s">
        <v>91</v>
      </c>
      <c r="AU302" s="1" t="s">
        <v>91</v>
      </c>
      <c r="AV302" t="s">
        <v>91</v>
      </c>
      <c r="AW302" t="s">
        <v>91</v>
      </c>
      <c r="AX302" t="s">
        <v>91</v>
      </c>
      <c r="AY302" t="s">
        <v>91</v>
      </c>
      <c r="AZ302" t="s">
        <v>91</v>
      </c>
      <c r="BA302" t="s">
        <v>91</v>
      </c>
      <c r="BB302" s="2">
        <v>45113.505416666667</v>
      </c>
      <c r="BC302" s="2"/>
      <c r="BD302" t="s">
        <v>91</v>
      </c>
      <c r="BF302" s="1" t="s">
        <v>75</v>
      </c>
      <c r="BI302" s="1" t="s">
        <v>88</v>
      </c>
      <c r="BJ302">
        <v>1</v>
      </c>
      <c r="BK302" s="1" t="s">
        <v>89</v>
      </c>
      <c r="BL302" t="s">
        <v>91</v>
      </c>
      <c r="BM302" s="1" t="s">
        <v>91</v>
      </c>
      <c r="BN302" s="1" t="s">
        <v>91</v>
      </c>
      <c r="BO302" s="1" t="s">
        <v>91</v>
      </c>
      <c r="BP302" s="1" t="s">
        <v>91</v>
      </c>
      <c r="BQ302" t="s">
        <v>91</v>
      </c>
      <c r="BR302" s="3">
        <v>45113</v>
      </c>
      <c r="BS302" s="3"/>
      <c r="BT302" t="s">
        <v>91</v>
      </c>
      <c r="BU302" t="s">
        <v>91</v>
      </c>
      <c r="BW302" s="1" t="s">
        <v>1089</v>
      </c>
    </row>
    <row r="303" spans="1:75" x14ac:dyDescent="0.35">
      <c r="A303">
        <v>158724</v>
      </c>
      <c r="B303" s="1" t="s">
        <v>75</v>
      </c>
      <c r="C303">
        <v>80</v>
      </c>
      <c r="D303">
        <v>11121001</v>
      </c>
      <c r="E303">
        <v>121001</v>
      </c>
      <c r="F303" s="1" t="s">
        <v>76</v>
      </c>
      <c r="G303" s="1" t="s">
        <v>1913</v>
      </c>
      <c r="I303" s="1" t="s">
        <v>78</v>
      </c>
      <c r="J303" s="1" t="s">
        <v>1914</v>
      </c>
      <c r="K303" s="1" t="s">
        <v>1915</v>
      </c>
      <c r="L303" t="s">
        <v>91</v>
      </c>
      <c r="M303" t="s">
        <v>91</v>
      </c>
      <c r="N303" s="1" t="s">
        <v>1916</v>
      </c>
      <c r="O303" t="s">
        <v>91</v>
      </c>
      <c r="P303" s="1" t="s">
        <v>593</v>
      </c>
      <c r="Q303" s="1" t="s">
        <v>1917</v>
      </c>
      <c r="R303" s="1" t="s">
        <v>370</v>
      </c>
      <c r="S303">
        <v>1279</v>
      </c>
      <c r="T303">
        <v>89211307</v>
      </c>
      <c r="U303" s="1" t="s">
        <v>595</v>
      </c>
      <c r="V303" s="1" t="s">
        <v>100</v>
      </c>
      <c r="W303" s="1" t="s">
        <v>87</v>
      </c>
      <c r="X303">
        <v>47</v>
      </c>
      <c r="Y303">
        <v>992195537</v>
      </c>
      <c r="Z303" t="s">
        <v>91</v>
      </c>
      <c r="AA303" t="s">
        <v>91</v>
      </c>
      <c r="AB303" t="s">
        <v>91</v>
      </c>
      <c r="AC303" t="s">
        <v>91</v>
      </c>
      <c r="AD303" t="s">
        <v>91</v>
      </c>
      <c r="AE303" t="s">
        <v>91</v>
      </c>
      <c r="AF303" t="s">
        <v>91</v>
      </c>
      <c r="AG303" s="1" t="s">
        <v>91</v>
      </c>
      <c r="AH303" s="1" t="s">
        <v>91</v>
      </c>
      <c r="AI303" t="s">
        <v>91</v>
      </c>
      <c r="AM303" t="s">
        <v>91</v>
      </c>
      <c r="AN303" t="s">
        <v>91</v>
      </c>
      <c r="AO303" t="s">
        <v>91</v>
      </c>
      <c r="AP303" t="s">
        <v>91</v>
      </c>
      <c r="AQ303" s="1" t="s">
        <v>91</v>
      </c>
      <c r="AR303" s="1" t="s">
        <v>91</v>
      </c>
      <c r="AS303" s="1" t="s">
        <v>91</v>
      </c>
      <c r="AT303" s="1" t="s">
        <v>91</v>
      </c>
      <c r="AU303" s="1" t="s">
        <v>91</v>
      </c>
      <c r="AV303" t="s">
        <v>91</v>
      </c>
      <c r="AW303" t="s">
        <v>91</v>
      </c>
      <c r="AX303" t="s">
        <v>91</v>
      </c>
      <c r="AY303" t="s">
        <v>91</v>
      </c>
      <c r="AZ303" t="s">
        <v>91</v>
      </c>
      <c r="BA303" t="s">
        <v>91</v>
      </c>
      <c r="BB303" s="2">
        <v>45155.700069444443</v>
      </c>
      <c r="BC303" s="2"/>
      <c r="BD303" t="s">
        <v>91</v>
      </c>
      <c r="BF303" s="1" t="s">
        <v>75</v>
      </c>
      <c r="BI303" s="1" t="s">
        <v>88</v>
      </c>
      <c r="BJ303">
        <v>1</v>
      </c>
      <c r="BK303" s="1" t="s">
        <v>89</v>
      </c>
      <c r="BL303" t="s">
        <v>91</v>
      </c>
      <c r="BM303" s="1" t="s">
        <v>91</v>
      </c>
      <c r="BN303" s="1" t="s">
        <v>91</v>
      </c>
      <c r="BO303" s="1" t="s">
        <v>91</v>
      </c>
      <c r="BP303" s="1" t="s">
        <v>91</v>
      </c>
      <c r="BQ303" t="s">
        <v>91</v>
      </c>
      <c r="BR303" s="3">
        <v>45155</v>
      </c>
      <c r="BS303" s="3"/>
      <c r="BT303" t="s">
        <v>91</v>
      </c>
      <c r="BU303" t="s">
        <v>91</v>
      </c>
      <c r="BW303" s="1" t="s">
        <v>589</v>
      </c>
    </row>
    <row r="304" spans="1:75" x14ac:dyDescent="0.35">
      <c r="A304">
        <v>138157</v>
      </c>
      <c r="B304" s="1" t="s">
        <v>75</v>
      </c>
      <c r="C304">
        <v>80</v>
      </c>
      <c r="D304">
        <v>11121001</v>
      </c>
      <c r="E304">
        <v>121001</v>
      </c>
      <c r="F304" s="1" t="s">
        <v>76</v>
      </c>
      <c r="G304" s="1" t="s">
        <v>1918</v>
      </c>
      <c r="H304">
        <v>0</v>
      </c>
      <c r="I304" s="1" t="s">
        <v>78</v>
      </c>
      <c r="J304" s="1" t="s">
        <v>1919</v>
      </c>
      <c r="K304" s="1" t="s">
        <v>1920</v>
      </c>
      <c r="L304" t="s">
        <v>91</v>
      </c>
      <c r="M304" t="s">
        <v>91</v>
      </c>
      <c r="N304" s="1" t="s">
        <v>1921</v>
      </c>
      <c r="O304" t="s">
        <v>91</v>
      </c>
      <c r="P304" s="1" t="s">
        <v>1922</v>
      </c>
      <c r="Q304" s="1" t="s">
        <v>1661</v>
      </c>
      <c r="R304" s="1" t="s">
        <v>91</v>
      </c>
      <c r="S304">
        <v>1285</v>
      </c>
      <c r="T304">
        <v>89600000</v>
      </c>
      <c r="U304" s="1" t="s">
        <v>108</v>
      </c>
      <c r="V304" s="1" t="s">
        <v>683</v>
      </c>
      <c r="W304" s="1" t="s">
        <v>87</v>
      </c>
      <c r="X304">
        <v>49</v>
      </c>
      <c r="Y304">
        <v>35223812</v>
      </c>
      <c r="Z304" t="s">
        <v>91</v>
      </c>
      <c r="AA304" t="s">
        <v>91</v>
      </c>
      <c r="AB304" t="s">
        <v>91</v>
      </c>
      <c r="AC304" t="s">
        <v>91</v>
      </c>
      <c r="AD304" t="s">
        <v>91</v>
      </c>
      <c r="AE304" t="s">
        <v>91</v>
      </c>
      <c r="AF304" t="s">
        <v>91</v>
      </c>
      <c r="AG304" s="1" t="s">
        <v>146</v>
      </c>
      <c r="AH304" s="1" t="s">
        <v>91</v>
      </c>
      <c r="AI304" t="s">
        <v>91</v>
      </c>
      <c r="AM304" t="s">
        <v>91</v>
      </c>
      <c r="AN304" t="s">
        <v>91</v>
      </c>
      <c r="AO304" t="s">
        <v>91</v>
      </c>
      <c r="AP304" t="s">
        <v>91</v>
      </c>
      <c r="AQ304" s="1" t="s">
        <v>147</v>
      </c>
      <c r="AR304" s="1" t="s">
        <v>147</v>
      </c>
      <c r="AS304" s="1" t="s">
        <v>147</v>
      </c>
      <c r="AT304" s="1" t="s">
        <v>147</v>
      </c>
      <c r="AU304" s="1" t="s">
        <v>147</v>
      </c>
      <c r="AV304" t="s">
        <v>91</v>
      </c>
      <c r="AW304" t="s">
        <v>91</v>
      </c>
      <c r="AX304" t="s">
        <v>91</v>
      </c>
      <c r="AY304" t="s">
        <v>91</v>
      </c>
      <c r="AZ304" t="s">
        <v>91</v>
      </c>
      <c r="BA304" t="s">
        <v>91</v>
      </c>
      <c r="BB304" s="2">
        <v>44378.578518518516</v>
      </c>
      <c r="BC304" s="2">
        <v>44684.49628472222</v>
      </c>
      <c r="BD304" t="s">
        <v>91</v>
      </c>
      <c r="BF304" s="1" t="s">
        <v>75</v>
      </c>
      <c r="BH304">
        <v>0</v>
      </c>
      <c r="BI304" s="1" t="s">
        <v>88</v>
      </c>
      <c r="BJ304">
        <v>1</v>
      </c>
      <c r="BK304" s="1" t="s">
        <v>89</v>
      </c>
      <c r="BL304" t="s">
        <v>91</v>
      </c>
      <c r="BM304" s="1" t="s">
        <v>329</v>
      </c>
      <c r="BN304" s="1" t="s">
        <v>110</v>
      </c>
      <c r="BO304" s="1" t="s">
        <v>165</v>
      </c>
      <c r="BP304" s="1" t="s">
        <v>91</v>
      </c>
      <c r="BQ304" t="s">
        <v>91</v>
      </c>
      <c r="BR304" s="3">
        <v>44378</v>
      </c>
      <c r="BS304" s="3">
        <v>44684</v>
      </c>
      <c r="BT304" t="s">
        <v>91</v>
      </c>
      <c r="BU304" t="s">
        <v>91</v>
      </c>
      <c r="BW304" s="1" t="s">
        <v>255</v>
      </c>
    </row>
    <row r="305" spans="1:75" x14ac:dyDescent="0.35">
      <c r="A305">
        <v>138158</v>
      </c>
      <c r="B305" s="1" t="s">
        <v>75</v>
      </c>
      <c r="C305">
        <v>80</v>
      </c>
      <c r="D305">
        <v>11121001</v>
      </c>
      <c r="E305">
        <v>121001</v>
      </c>
      <c r="F305" s="1" t="s">
        <v>76</v>
      </c>
      <c r="G305" s="1" t="s">
        <v>1923</v>
      </c>
      <c r="H305">
        <v>0</v>
      </c>
      <c r="I305" s="1" t="s">
        <v>78</v>
      </c>
      <c r="J305" s="1" t="s">
        <v>1924</v>
      </c>
      <c r="K305" s="1" t="s">
        <v>1925</v>
      </c>
      <c r="L305" t="s">
        <v>91</v>
      </c>
      <c r="M305" t="s">
        <v>91</v>
      </c>
      <c r="N305" s="1" t="s">
        <v>1926</v>
      </c>
      <c r="O305" t="s">
        <v>91</v>
      </c>
      <c r="P305" s="1" t="s">
        <v>1927</v>
      </c>
      <c r="Q305" s="1" t="s">
        <v>1928</v>
      </c>
      <c r="R305" s="1" t="s">
        <v>370</v>
      </c>
      <c r="S305">
        <v>1285</v>
      </c>
      <c r="T305">
        <v>89665000</v>
      </c>
      <c r="U305" s="1" t="s">
        <v>108</v>
      </c>
      <c r="V305" s="1" t="s">
        <v>389</v>
      </c>
      <c r="W305" s="1" t="s">
        <v>87</v>
      </c>
      <c r="X305">
        <v>49</v>
      </c>
      <c r="Y305">
        <v>35554666</v>
      </c>
      <c r="Z305" t="s">
        <v>91</v>
      </c>
      <c r="AA305" t="s">
        <v>91</v>
      </c>
      <c r="AB305" t="s">
        <v>91</v>
      </c>
      <c r="AC305" t="s">
        <v>91</v>
      </c>
      <c r="AD305" t="s">
        <v>91</v>
      </c>
      <c r="AE305" t="s">
        <v>91</v>
      </c>
      <c r="AF305" t="s">
        <v>91</v>
      </c>
      <c r="AG305" s="1" t="s">
        <v>146</v>
      </c>
      <c r="AH305" s="1" t="s">
        <v>91</v>
      </c>
      <c r="AI305" t="s">
        <v>91</v>
      </c>
      <c r="AM305" t="s">
        <v>91</v>
      </c>
      <c r="AN305" t="s">
        <v>91</v>
      </c>
      <c r="AO305" t="s">
        <v>91</v>
      </c>
      <c r="AP305" t="s">
        <v>91</v>
      </c>
      <c r="AQ305" s="1" t="s">
        <v>147</v>
      </c>
      <c r="AR305" s="1" t="s">
        <v>147</v>
      </c>
      <c r="AS305" s="1" t="s">
        <v>147</v>
      </c>
      <c r="AT305" s="1" t="s">
        <v>147</v>
      </c>
      <c r="AU305" s="1" t="s">
        <v>147</v>
      </c>
      <c r="AV305" t="s">
        <v>91</v>
      </c>
      <c r="AW305" t="s">
        <v>91</v>
      </c>
      <c r="AX305" t="s">
        <v>91</v>
      </c>
      <c r="AY305" t="s">
        <v>91</v>
      </c>
      <c r="AZ305" t="s">
        <v>91</v>
      </c>
      <c r="BA305" t="s">
        <v>91</v>
      </c>
      <c r="BB305" s="2">
        <v>44378.578518518516</v>
      </c>
      <c r="BC305" s="2">
        <v>44496.662766203706</v>
      </c>
      <c r="BD305" t="s">
        <v>91</v>
      </c>
      <c r="BF305" s="1" t="s">
        <v>75</v>
      </c>
      <c r="BH305">
        <v>0</v>
      </c>
      <c r="BI305" s="1" t="s">
        <v>88</v>
      </c>
      <c r="BJ305">
        <v>1</v>
      </c>
      <c r="BK305" s="1" t="s">
        <v>89</v>
      </c>
      <c r="BL305" t="s">
        <v>91</v>
      </c>
      <c r="BM305" s="1" t="s">
        <v>109</v>
      </c>
      <c r="BN305" s="1" t="s">
        <v>148</v>
      </c>
      <c r="BO305" s="1" t="s">
        <v>165</v>
      </c>
      <c r="BP305" s="1" t="s">
        <v>91</v>
      </c>
      <c r="BQ305" t="s">
        <v>91</v>
      </c>
      <c r="BR305" s="3">
        <v>44378</v>
      </c>
      <c r="BS305" s="3">
        <v>44496</v>
      </c>
      <c r="BT305" t="s">
        <v>91</v>
      </c>
      <c r="BU305" t="s">
        <v>91</v>
      </c>
      <c r="BW305" s="1" t="s">
        <v>862</v>
      </c>
    </row>
    <row r="306" spans="1:75" x14ac:dyDescent="0.35">
      <c r="A306">
        <v>120422</v>
      </c>
      <c r="B306" s="1" t="s">
        <v>75</v>
      </c>
      <c r="C306">
        <v>80</v>
      </c>
      <c r="D306">
        <v>11121001</v>
      </c>
      <c r="E306">
        <v>121001</v>
      </c>
      <c r="F306" s="1" t="s">
        <v>76</v>
      </c>
      <c r="G306" s="1" t="s">
        <v>1929</v>
      </c>
      <c r="H306">
        <v>0</v>
      </c>
      <c r="I306" s="1" t="s">
        <v>78</v>
      </c>
      <c r="J306" s="1" t="s">
        <v>1930</v>
      </c>
      <c r="K306" s="1" t="s">
        <v>1931</v>
      </c>
      <c r="L306" t="s">
        <v>91</v>
      </c>
      <c r="M306" t="s">
        <v>91</v>
      </c>
      <c r="N306" s="1" t="s">
        <v>1932</v>
      </c>
      <c r="O306" t="s">
        <v>91</v>
      </c>
      <c r="P306" s="1" t="s">
        <v>438</v>
      </c>
      <c r="Q306" s="1" t="s">
        <v>1933</v>
      </c>
      <c r="R306" s="1" t="s">
        <v>370</v>
      </c>
      <c r="S306">
        <v>1286</v>
      </c>
      <c r="T306">
        <v>89700000</v>
      </c>
      <c r="U306" s="1" t="s">
        <v>108</v>
      </c>
      <c r="V306" s="1" t="s">
        <v>435</v>
      </c>
      <c r="W306" s="1" t="s">
        <v>87</v>
      </c>
      <c r="X306">
        <v>49</v>
      </c>
      <c r="Y306">
        <v>34440811</v>
      </c>
      <c r="Z306" t="s">
        <v>91</v>
      </c>
      <c r="AA306" t="s">
        <v>91</v>
      </c>
      <c r="AB306" t="s">
        <v>91</v>
      </c>
      <c r="AC306" t="s">
        <v>91</v>
      </c>
      <c r="AD306" t="s">
        <v>91</v>
      </c>
      <c r="AE306" t="s">
        <v>91</v>
      </c>
      <c r="AF306" t="s">
        <v>91</v>
      </c>
      <c r="AG306" s="1" t="s">
        <v>91</v>
      </c>
      <c r="AH306" s="1" t="s">
        <v>91</v>
      </c>
      <c r="AI306" t="s">
        <v>91</v>
      </c>
      <c r="AJ306">
        <v>0</v>
      </c>
      <c r="AK306">
        <v>0</v>
      </c>
      <c r="AL306">
        <v>0</v>
      </c>
      <c r="AM306" t="s">
        <v>91</v>
      </c>
      <c r="AN306" t="s">
        <v>91</v>
      </c>
      <c r="AO306" t="s">
        <v>91</v>
      </c>
      <c r="AP306" t="s">
        <v>91</v>
      </c>
      <c r="AQ306" s="1" t="s">
        <v>91</v>
      </c>
      <c r="AR306" s="1" t="s">
        <v>91</v>
      </c>
      <c r="AS306" s="1" t="s">
        <v>91</v>
      </c>
      <c r="AT306" s="1" t="s">
        <v>91</v>
      </c>
      <c r="AU306" s="1" t="s">
        <v>91</v>
      </c>
      <c r="AV306" t="s">
        <v>91</v>
      </c>
      <c r="AW306" t="s">
        <v>91</v>
      </c>
      <c r="AX306" t="s">
        <v>91</v>
      </c>
      <c r="AY306" t="s">
        <v>91</v>
      </c>
      <c r="AZ306" t="s">
        <v>91</v>
      </c>
      <c r="BA306" t="s">
        <v>91</v>
      </c>
      <c r="BB306" s="2">
        <v>44092.925393518519</v>
      </c>
      <c r="BC306" s="2"/>
      <c r="BD306" t="s">
        <v>91</v>
      </c>
      <c r="BF306" s="1" t="s">
        <v>75</v>
      </c>
      <c r="BG306">
        <v>0</v>
      </c>
      <c r="BH306">
        <v>0</v>
      </c>
      <c r="BI306" s="1" t="s">
        <v>88</v>
      </c>
      <c r="BJ306">
        <v>1</v>
      </c>
      <c r="BK306" s="1" t="s">
        <v>89</v>
      </c>
      <c r="BL306" t="s">
        <v>91</v>
      </c>
      <c r="BM306" s="1" t="s">
        <v>197</v>
      </c>
      <c r="BN306" s="1" t="s">
        <v>110</v>
      </c>
      <c r="BO306" s="1" t="s">
        <v>165</v>
      </c>
      <c r="BP306" s="1" t="s">
        <v>91</v>
      </c>
      <c r="BQ306" t="s">
        <v>91</v>
      </c>
      <c r="BR306" s="3">
        <v>44092</v>
      </c>
      <c r="BS306" s="3"/>
      <c r="BT306" t="s">
        <v>91</v>
      </c>
      <c r="BU306" t="s">
        <v>91</v>
      </c>
      <c r="BV306">
        <v>1</v>
      </c>
      <c r="BW306" s="1" t="s">
        <v>90</v>
      </c>
    </row>
    <row r="307" spans="1:75" x14ac:dyDescent="0.35">
      <c r="A307">
        <v>157503</v>
      </c>
      <c r="B307" s="1" t="s">
        <v>75</v>
      </c>
      <c r="C307">
        <v>80</v>
      </c>
      <c r="D307">
        <v>11121001</v>
      </c>
      <c r="E307">
        <v>121001</v>
      </c>
      <c r="F307" s="1" t="s">
        <v>76</v>
      </c>
      <c r="G307" s="1" t="s">
        <v>1934</v>
      </c>
      <c r="H307">
        <v>0</v>
      </c>
      <c r="I307" s="1" t="s">
        <v>78</v>
      </c>
      <c r="J307" s="1" t="s">
        <v>1935</v>
      </c>
      <c r="K307" s="1" t="s">
        <v>1936</v>
      </c>
      <c r="L307" t="s">
        <v>91</v>
      </c>
      <c r="M307" t="s">
        <v>91</v>
      </c>
      <c r="N307" s="1" t="s">
        <v>91</v>
      </c>
      <c r="O307" t="s">
        <v>91</v>
      </c>
      <c r="P307" s="1" t="s">
        <v>873</v>
      </c>
      <c r="Q307" s="1" t="s">
        <v>172</v>
      </c>
      <c r="R307" s="1" t="s">
        <v>320</v>
      </c>
      <c r="S307">
        <v>1286</v>
      </c>
      <c r="T307">
        <v>89700000</v>
      </c>
      <c r="U307" s="1" t="s">
        <v>108</v>
      </c>
      <c r="V307" s="1" t="s">
        <v>435</v>
      </c>
      <c r="W307" s="1" t="s">
        <v>87</v>
      </c>
      <c r="X307">
        <v>49</v>
      </c>
      <c r="Y307">
        <v>34449576</v>
      </c>
      <c r="Z307" t="s">
        <v>91</v>
      </c>
      <c r="AA307" t="s">
        <v>91</v>
      </c>
      <c r="AB307" t="s">
        <v>91</v>
      </c>
      <c r="AC307" t="s">
        <v>91</v>
      </c>
      <c r="AD307" t="s">
        <v>91</v>
      </c>
      <c r="AE307" t="s">
        <v>91</v>
      </c>
      <c r="AF307" t="s">
        <v>91</v>
      </c>
      <c r="AG307" s="1" t="s">
        <v>91</v>
      </c>
      <c r="AH307" s="1" t="s">
        <v>91</v>
      </c>
      <c r="AI307" t="s">
        <v>91</v>
      </c>
      <c r="AM307" t="s">
        <v>91</v>
      </c>
      <c r="AN307" t="s">
        <v>91</v>
      </c>
      <c r="AO307" t="s">
        <v>91</v>
      </c>
      <c r="AP307" t="s">
        <v>91</v>
      </c>
      <c r="AQ307" s="1" t="s">
        <v>91</v>
      </c>
      <c r="AR307" s="1" t="s">
        <v>91</v>
      </c>
      <c r="AS307" s="1" t="s">
        <v>91</v>
      </c>
      <c r="AT307" s="1" t="s">
        <v>91</v>
      </c>
      <c r="AU307" s="1" t="s">
        <v>91</v>
      </c>
      <c r="AV307" t="s">
        <v>91</v>
      </c>
      <c r="AW307" t="s">
        <v>91</v>
      </c>
      <c r="AX307" t="s">
        <v>91</v>
      </c>
      <c r="AY307" t="s">
        <v>91</v>
      </c>
      <c r="AZ307" t="s">
        <v>91</v>
      </c>
      <c r="BA307" t="s">
        <v>91</v>
      </c>
      <c r="BB307" s="2">
        <v>45118.093391203707</v>
      </c>
      <c r="BC307" s="2"/>
      <c r="BD307" t="s">
        <v>91</v>
      </c>
      <c r="BF307" s="1" t="s">
        <v>75</v>
      </c>
      <c r="BI307" s="1" t="s">
        <v>88</v>
      </c>
      <c r="BJ307">
        <v>1</v>
      </c>
      <c r="BK307" s="1" t="s">
        <v>89</v>
      </c>
      <c r="BL307" t="s">
        <v>91</v>
      </c>
      <c r="BM307" s="1" t="s">
        <v>91</v>
      </c>
      <c r="BN307" s="1" t="s">
        <v>91</v>
      </c>
      <c r="BO307" s="1" t="s">
        <v>91</v>
      </c>
      <c r="BP307" s="1" t="s">
        <v>91</v>
      </c>
      <c r="BQ307" t="s">
        <v>91</v>
      </c>
      <c r="BR307" s="3">
        <v>45118</v>
      </c>
      <c r="BS307" s="3"/>
      <c r="BT307" t="s">
        <v>91</v>
      </c>
      <c r="BU307" t="s">
        <v>91</v>
      </c>
      <c r="BW307" s="1" t="s">
        <v>90</v>
      </c>
    </row>
    <row r="308" spans="1:75" x14ac:dyDescent="0.35">
      <c r="A308">
        <v>144792</v>
      </c>
      <c r="B308" s="1" t="s">
        <v>75</v>
      </c>
      <c r="C308">
        <v>80</v>
      </c>
      <c r="D308">
        <v>11121001</v>
      </c>
      <c r="E308">
        <v>121001</v>
      </c>
      <c r="F308" s="1" t="s">
        <v>76</v>
      </c>
      <c r="G308" s="1" t="s">
        <v>1937</v>
      </c>
      <c r="I308" s="1" t="s">
        <v>78</v>
      </c>
      <c r="J308" s="1" t="s">
        <v>1938</v>
      </c>
      <c r="K308" s="1" t="s">
        <v>1939</v>
      </c>
      <c r="L308" t="s">
        <v>91</v>
      </c>
      <c r="M308" t="s">
        <v>91</v>
      </c>
      <c r="N308" s="1" t="s">
        <v>1880</v>
      </c>
      <c r="O308" t="s">
        <v>91</v>
      </c>
      <c r="P308" s="1" t="s">
        <v>1940</v>
      </c>
      <c r="Q308" s="1" t="s">
        <v>1941</v>
      </c>
      <c r="R308" s="1" t="s">
        <v>1942</v>
      </c>
      <c r="T308">
        <v>89219600</v>
      </c>
      <c r="U308" s="1" t="s">
        <v>1943</v>
      </c>
      <c r="V308" s="1" t="s">
        <v>100</v>
      </c>
      <c r="W308" s="1" t="s">
        <v>87</v>
      </c>
      <c r="X308">
        <v>47</v>
      </c>
      <c r="Y308">
        <v>34223358</v>
      </c>
      <c r="Z308" t="s">
        <v>91</v>
      </c>
      <c r="AA308" t="s">
        <v>91</v>
      </c>
      <c r="AB308" t="s">
        <v>91</v>
      </c>
      <c r="AC308" t="s">
        <v>91</v>
      </c>
      <c r="AD308" t="s">
        <v>91</v>
      </c>
      <c r="AE308" t="s">
        <v>91</v>
      </c>
      <c r="AF308" t="s">
        <v>91</v>
      </c>
      <c r="AG308" s="1" t="s">
        <v>91</v>
      </c>
      <c r="AH308" s="1" t="s">
        <v>91</v>
      </c>
      <c r="AI308" t="s">
        <v>91</v>
      </c>
      <c r="AJ308">
        <v>0</v>
      </c>
      <c r="AK308">
        <v>0</v>
      </c>
      <c r="AL308">
        <v>0</v>
      </c>
      <c r="AM308" t="s">
        <v>91</v>
      </c>
      <c r="AN308" t="s">
        <v>91</v>
      </c>
      <c r="AO308" t="s">
        <v>91</v>
      </c>
      <c r="AP308" t="s">
        <v>91</v>
      </c>
      <c r="AQ308" s="1" t="s">
        <v>91</v>
      </c>
      <c r="AR308" s="1" t="s">
        <v>91</v>
      </c>
      <c r="AS308" s="1" t="s">
        <v>91</v>
      </c>
      <c r="AT308" s="1" t="s">
        <v>91</v>
      </c>
      <c r="AU308" s="1" t="s">
        <v>91</v>
      </c>
      <c r="AV308" t="s">
        <v>91</v>
      </c>
      <c r="AW308" t="s">
        <v>91</v>
      </c>
      <c r="AX308" t="s">
        <v>91</v>
      </c>
      <c r="AY308" t="s">
        <v>91</v>
      </c>
      <c r="AZ308" t="s">
        <v>91</v>
      </c>
      <c r="BA308" t="s">
        <v>91</v>
      </c>
      <c r="BB308" s="2"/>
      <c r="BC308" s="2"/>
      <c r="BD308" t="s">
        <v>91</v>
      </c>
      <c r="BF308" s="1" t="s">
        <v>75</v>
      </c>
      <c r="BG308">
        <v>0</v>
      </c>
      <c r="BH308">
        <v>0</v>
      </c>
      <c r="BI308" s="1" t="s">
        <v>88</v>
      </c>
      <c r="BJ308">
        <v>1</v>
      </c>
      <c r="BK308" s="1" t="s">
        <v>89</v>
      </c>
      <c r="BL308" t="s">
        <v>91</v>
      </c>
      <c r="BM308" s="1" t="s">
        <v>109</v>
      </c>
      <c r="BN308" s="1" t="s">
        <v>110</v>
      </c>
      <c r="BO308" s="1" t="s">
        <v>180</v>
      </c>
      <c r="BP308" s="1" t="s">
        <v>91</v>
      </c>
      <c r="BQ308" t="s">
        <v>91</v>
      </c>
      <c r="BR308" s="3"/>
      <c r="BS308" s="3"/>
      <c r="BT308" t="s">
        <v>91</v>
      </c>
      <c r="BU308" t="s">
        <v>91</v>
      </c>
      <c r="BV308">
        <v>9</v>
      </c>
      <c r="BW308" s="1" t="s">
        <v>198</v>
      </c>
    </row>
    <row r="309" spans="1:75" x14ac:dyDescent="0.35">
      <c r="A309">
        <v>157523</v>
      </c>
      <c r="B309" s="1" t="s">
        <v>75</v>
      </c>
      <c r="C309">
        <v>80</v>
      </c>
      <c r="D309">
        <v>11121001</v>
      </c>
      <c r="E309">
        <v>121001</v>
      </c>
      <c r="F309" s="1" t="s">
        <v>76</v>
      </c>
      <c r="G309" s="1" t="s">
        <v>1944</v>
      </c>
      <c r="H309">
        <v>0</v>
      </c>
      <c r="I309" s="1" t="s">
        <v>78</v>
      </c>
      <c r="J309" s="1" t="s">
        <v>1945</v>
      </c>
      <c r="K309" s="1" t="s">
        <v>1946</v>
      </c>
      <c r="L309" t="s">
        <v>91</v>
      </c>
      <c r="M309" t="s">
        <v>91</v>
      </c>
      <c r="N309" s="1" t="s">
        <v>1947</v>
      </c>
      <c r="O309" t="s">
        <v>91</v>
      </c>
      <c r="P309" s="1" t="s">
        <v>1948</v>
      </c>
      <c r="Q309" s="1" t="s">
        <v>1949</v>
      </c>
      <c r="R309" s="1" t="s">
        <v>1950</v>
      </c>
      <c r="T309">
        <v>89560142</v>
      </c>
      <c r="U309" s="1" t="s">
        <v>108</v>
      </c>
      <c r="V309" s="1" t="s">
        <v>1827</v>
      </c>
      <c r="W309" s="1" t="s">
        <v>87</v>
      </c>
      <c r="X309">
        <v>49</v>
      </c>
      <c r="Y309">
        <v>39600321</v>
      </c>
      <c r="Z309" t="s">
        <v>91</v>
      </c>
      <c r="AA309" t="s">
        <v>91</v>
      </c>
      <c r="AB309" t="s">
        <v>91</v>
      </c>
      <c r="AC309" t="s">
        <v>91</v>
      </c>
      <c r="AD309" t="s">
        <v>91</v>
      </c>
      <c r="AE309" t="s">
        <v>91</v>
      </c>
      <c r="AF309" t="s">
        <v>91</v>
      </c>
      <c r="AG309" s="1" t="s">
        <v>91</v>
      </c>
      <c r="AH309" s="1" t="s">
        <v>91</v>
      </c>
      <c r="AI309" t="s">
        <v>91</v>
      </c>
      <c r="AM309" t="s">
        <v>91</v>
      </c>
      <c r="AN309" t="s">
        <v>91</v>
      </c>
      <c r="AO309" t="s">
        <v>91</v>
      </c>
      <c r="AP309" t="s">
        <v>91</v>
      </c>
      <c r="AQ309" s="1" t="s">
        <v>91</v>
      </c>
      <c r="AR309" s="1" t="s">
        <v>91</v>
      </c>
      <c r="AS309" s="1" t="s">
        <v>91</v>
      </c>
      <c r="AT309" s="1" t="s">
        <v>91</v>
      </c>
      <c r="AU309" s="1" t="s">
        <v>91</v>
      </c>
      <c r="AV309" t="s">
        <v>91</v>
      </c>
      <c r="AW309" t="s">
        <v>91</v>
      </c>
      <c r="AX309" t="s">
        <v>91</v>
      </c>
      <c r="AY309" t="s">
        <v>91</v>
      </c>
      <c r="AZ309" t="s">
        <v>91</v>
      </c>
      <c r="BA309" t="s">
        <v>91</v>
      </c>
      <c r="BB309" s="2">
        <v>45118.093391203707</v>
      </c>
      <c r="BC309" s="2"/>
      <c r="BD309" t="s">
        <v>91</v>
      </c>
      <c r="BF309" s="1" t="s">
        <v>75</v>
      </c>
      <c r="BI309" s="1" t="s">
        <v>88</v>
      </c>
      <c r="BJ309">
        <v>1</v>
      </c>
      <c r="BK309" s="1" t="s">
        <v>89</v>
      </c>
      <c r="BL309" t="s">
        <v>91</v>
      </c>
      <c r="BM309" s="1" t="s">
        <v>91</v>
      </c>
      <c r="BN309" s="1" t="s">
        <v>91</v>
      </c>
      <c r="BO309" s="1" t="s">
        <v>91</v>
      </c>
      <c r="BP309" s="1" t="s">
        <v>91</v>
      </c>
      <c r="BQ309" t="s">
        <v>91</v>
      </c>
      <c r="BR309" s="3">
        <v>45118</v>
      </c>
      <c r="BS309" s="3"/>
      <c r="BT309" t="s">
        <v>91</v>
      </c>
      <c r="BU309" t="s">
        <v>91</v>
      </c>
      <c r="BW309" s="1" t="s">
        <v>1452</v>
      </c>
    </row>
    <row r="310" spans="1:75" x14ac:dyDescent="0.35">
      <c r="A310">
        <v>157546</v>
      </c>
      <c r="B310" s="1" t="s">
        <v>75</v>
      </c>
      <c r="C310">
        <v>80</v>
      </c>
      <c r="D310">
        <v>11121001</v>
      </c>
      <c r="E310">
        <v>121001</v>
      </c>
      <c r="F310" s="1" t="s">
        <v>76</v>
      </c>
      <c r="G310" s="1" t="s">
        <v>1951</v>
      </c>
      <c r="H310">
        <v>0</v>
      </c>
      <c r="I310" s="1" t="s">
        <v>78</v>
      </c>
      <c r="J310" s="1" t="s">
        <v>1952</v>
      </c>
      <c r="K310" s="1" t="s">
        <v>1953</v>
      </c>
      <c r="L310" t="s">
        <v>91</v>
      </c>
      <c r="M310" t="s">
        <v>91</v>
      </c>
      <c r="N310" s="1" t="s">
        <v>1954</v>
      </c>
      <c r="O310" t="s">
        <v>91</v>
      </c>
      <c r="P310" s="1" t="s">
        <v>1955</v>
      </c>
      <c r="Q310" s="1" t="s">
        <v>968</v>
      </c>
      <c r="R310" s="1" t="s">
        <v>833</v>
      </c>
      <c r="S310">
        <v>1284</v>
      </c>
      <c r="T310">
        <v>89500040</v>
      </c>
      <c r="U310" s="1" t="s">
        <v>108</v>
      </c>
      <c r="V310" s="1" t="s">
        <v>527</v>
      </c>
      <c r="W310" s="1" t="s">
        <v>87</v>
      </c>
      <c r="X310">
        <v>49</v>
      </c>
      <c r="Y310">
        <v>35630757</v>
      </c>
      <c r="Z310" t="s">
        <v>91</v>
      </c>
      <c r="AA310" t="s">
        <v>91</v>
      </c>
      <c r="AB310" t="s">
        <v>91</v>
      </c>
      <c r="AC310" t="s">
        <v>91</v>
      </c>
      <c r="AD310" t="s">
        <v>91</v>
      </c>
      <c r="AE310" t="s">
        <v>91</v>
      </c>
      <c r="AF310" t="s">
        <v>91</v>
      </c>
      <c r="AG310" s="1" t="s">
        <v>91</v>
      </c>
      <c r="AH310" s="1" t="s">
        <v>91</v>
      </c>
      <c r="AI310" t="s">
        <v>91</v>
      </c>
      <c r="AM310" t="s">
        <v>91</v>
      </c>
      <c r="AN310" t="s">
        <v>91</v>
      </c>
      <c r="AO310" t="s">
        <v>91</v>
      </c>
      <c r="AP310" t="s">
        <v>91</v>
      </c>
      <c r="AQ310" s="1" t="s">
        <v>91</v>
      </c>
      <c r="AR310" s="1" t="s">
        <v>91</v>
      </c>
      <c r="AS310" s="1" t="s">
        <v>91</v>
      </c>
      <c r="AT310" s="1" t="s">
        <v>91</v>
      </c>
      <c r="AU310" s="1" t="s">
        <v>91</v>
      </c>
      <c r="AV310" t="s">
        <v>91</v>
      </c>
      <c r="AW310" t="s">
        <v>91</v>
      </c>
      <c r="AX310" t="s">
        <v>91</v>
      </c>
      <c r="AY310" t="s">
        <v>91</v>
      </c>
      <c r="AZ310" t="s">
        <v>91</v>
      </c>
      <c r="BA310" t="s">
        <v>91</v>
      </c>
      <c r="BB310" s="2">
        <v>45118.093391203707</v>
      </c>
      <c r="BC310" s="2"/>
      <c r="BD310" t="s">
        <v>91</v>
      </c>
      <c r="BF310" s="1" t="s">
        <v>75</v>
      </c>
      <c r="BI310" s="1" t="s">
        <v>88</v>
      </c>
      <c r="BJ310">
        <v>1</v>
      </c>
      <c r="BK310" s="1" t="s">
        <v>89</v>
      </c>
      <c r="BL310" t="s">
        <v>91</v>
      </c>
      <c r="BM310" s="1" t="s">
        <v>91</v>
      </c>
      <c r="BN310" s="1" t="s">
        <v>91</v>
      </c>
      <c r="BO310" s="1" t="s">
        <v>91</v>
      </c>
      <c r="BP310" s="1" t="s">
        <v>91</v>
      </c>
      <c r="BQ310" t="s">
        <v>91</v>
      </c>
      <c r="BR310" s="3">
        <v>45118</v>
      </c>
      <c r="BS310" s="3"/>
      <c r="BT310" t="s">
        <v>91</v>
      </c>
      <c r="BU310" t="s">
        <v>91</v>
      </c>
      <c r="BW310" s="1" t="s">
        <v>90</v>
      </c>
    </row>
    <row r="311" spans="1:75" x14ac:dyDescent="0.35">
      <c r="A311">
        <v>156779</v>
      </c>
      <c r="B311" s="1" t="s">
        <v>75</v>
      </c>
      <c r="C311">
        <v>80</v>
      </c>
      <c r="D311">
        <v>11121001</v>
      </c>
      <c r="E311">
        <v>121001</v>
      </c>
      <c r="F311" s="1" t="s">
        <v>76</v>
      </c>
      <c r="G311" s="1" t="s">
        <v>1956</v>
      </c>
      <c r="H311">
        <v>0</v>
      </c>
      <c r="I311" s="1" t="s">
        <v>78</v>
      </c>
      <c r="J311" s="1" t="s">
        <v>1957</v>
      </c>
      <c r="K311" s="1" t="s">
        <v>1958</v>
      </c>
      <c r="L311" t="s">
        <v>91</v>
      </c>
      <c r="M311" t="s">
        <v>91</v>
      </c>
      <c r="N311" s="1" t="s">
        <v>1959</v>
      </c>
      <c r="O311" t="s">
        <v>91</v>
      </c>
      <c r="P311" s="1" t="s">
        <v>125</v>
      </c>
      <c r="Q311" s="1" t="s">
        <v>268</v>
      </c>
      <c r="R311" s="1" t="s">
        <v>91</v>
      </c>
      <c r="S311">
        <v>1277</v>
      </c>
      <c r="T311">
        <v>89201010</v>
      </c>
      <c r="U311" s="1" t="s">
        <v>108</v>
      </c>
      <c r="V311" s="1" t="s">
        <v>100</v>
      </c>
      <c r="W311" s="1" t="s">
        <v>87</v>
      </c>
      <c r="X311">
        <v>47</v>
      </c>
      <c r="Y311">
        <v>30272889</v>
      </c>
      <c r="Z311" t="s">
        <v>91</v>
      </c>
      <c r="AA311" t="s">
        <v>91</v>
      </c>
      <c r="AB311" t="s">
        <v>91</v>
      </c>
      <c r="AC311" t="s">
        <v>91</v>
      </c>
      <c r="AD311" t="s">
        <v>91</v>
      </c>
      <c r="AE311" t="s">
        <v>91</v>
      </c>
      <c r="AF311" t="s">
        <v>91</v>
      </c>
      <c r="AG311" s="1" t="s">
        <v>91</v>
      </c>
      <c r="AH311" s="1" t="s">
        <v>91</v>
      </c>
      <c r="AI311" t="s">
        <v>91</v>
      </c>
      <c r="AM311" t="s">
        <v>91</v>
      </c>
      <c r="AN311" t="s">
        <v>91</v>
      </c>
      <c r="AO311" t="s">
        <v>91</v>
      </c>
      <c r="AP311" t="s">
        <v>91</v>
      </c>
      <c r="AQ311" s="1" t="s">
        <v>91</v>
      </c>
      <c r="AR311" s="1" t="s">
        <v>91</v>
      </c>
      <c r="AS311" s="1" t="s">
        <v>91</v>
      </c>
      <c r="AT311" s="1" t="s">
        <v>91</v>
      </c>
      <c r="AU311" s="1" t="s">
        <v>91</v>
      </c>
      <c r="AV311" t="s">
        <v>91</v>
      </c>
      <c r="AW311" t="s">
        <v>91</v>
      </c>
      <c r="AX311" t="s">
        <v>91</v>
      </c>
      <c r="AY311" t="s">
        <v>91</v>
      </c>
      <c r="AZ311" t="s">
        <v>91</v>
      </c>
      <c r="BA311" t="s">
        <v>91</v>
      </c>
      <c r="BB311" s="2">
        <v>45113.505416666667</v>
      </c>
      <c r="BC311" s="2"/>
      <c r="BD311" t="s">
        <v>91</v>
      </c>
      <c r="BF311" s="1" t="s">
        <v>75</v>
      </c>
      <c r="BI311" s="1" t="s">
        <v>88</v>
      </c>
      <c r="BJ311">
        <v>1</v>
      </c>
      <c r="BK311" s="1" t="s">
        <v>89</v>
      </c>
      <c r="BL311" t="s">
        <v>91</v>
      </c>
      <c r="BM311" s="1" t="s">
        <v>91</v>
      </c>
      <c r="BN311" s="1" t="s">
        <v>91</v>
      </c>
      <c r="BO311" s="1" t="s">
        <v>91</v>
      </c>
      <c r="BP311" s="1" t="s">
        <v>91</v>
      </c>
      <c r="BQ311" t="s">
        <v>91</v>
      </c>
      <c r="BR311" s="3">
        <v>45113</v>
      </c>
      <c r="BS311" s="3"/>
      <c r="BT311" t="s">
        <v>91</v>
      </c>
      <c r="BU311" t="s">
        <v>91</v>
      </c>
      <c r="BW311" s="1" t="s">
        <v>90</v>
      </c>
    </row>
    <row r="312" spans="1:75" x14ac:dyDescent="0.35">
      <c r="A312">
        <v>156717</v>
      </c>
      <c r="B312" s="1" t="s">
        <v>75</v>
      </c>
      <c r="C312">
        <v>80</v>
      </c>
      <c r="D312">
        <v>11121001</v>
      </c>
      <c r="E312">
        <v>121001</v>
      </c>
      <c r="F312" s="1" t="s">
        <v>76</v>
      </c>
      <c r="G312" s="1" t="s">
        <v>1960</v>
      </c>
      <c r="H312">
        <v>0</v>
      </c>
      <c r="I312" s="1" t="s">
        <v>78</v>
      </c>
      <c r="J312" s="1" t="s">
        <v>1961</v>
      </c>
      <c r="K312" s="1" t="s">
        <v>1962</v>
      </c>
      <c r="L312" t="s">
        <v>91</v>
      </c>
      <c r="M312" t="s">
        <v>91</v>
      </c>
      <c r="N312" s="1" t="s">
        <v>1963</v>
      </c>
      <c r="O312" t="s">
        <v>91</v>
      </c>
      <c r="P312" s="1" t="s">
        <v>1215</v>
      </c>
      <c r="Q312" s="1" t="s">
        <v>1964</v>
      </c>
      <c r="R312" s="1" t="s">
        <v>236</v>
      </c>
      <c r="T312">
        <v>89801570</v>
      </c>
      <c r="U312" s="1" t="s">
        <v>108</v>
      </c>
      <c r="V312" s="1" t="s">
        <v>86</v>
      </c>
      <c r="W312" s="1" t="s">
        <v>87</v>
      </c>
      <c r="X312">
        <v>49</v>
      </c>
      <c r="Y312">
        <v>33200191</v>
      </c>
      <c r="Z312" t="s">
        <v>91</v>
      </c>
      <c r="AA312" t="s">
        <v>91</v>
      </c>
      <c r="AB312" t="s">
        <v>91</v>
      </c>
      <c r="AC312" t="s">
        <v>91</v>
      </c>
      <c r="AD312" t="s">
        <v>91</v>
      </c>
      <c r="AE312" t="s">
        <v>91</v>
      </c>
      <c r="AF312" t="s">
        <v>91</v>
      </c>
      <c r="AG312" s="1" t="s">
        <v>91</v>
      </c>
      <c r="AH312" s="1" t="s">
        <v>91</v>
      </c>
      <c r="AI312" t="s">
        <v>91</v>
      </c>
      <c r="AM312" t="s">
        <v>91</v>
      </c>
      <c r="AN312" t="s">
        <v>91</v>
      </c>
      <c r="AO312" t="s">
        <v>91</v>
      </c>
      <c r="AP312" t="s">
        <v>91</v>
      </c>
      <c r="AQ312" s="1" t="s">
        <v>91</v>
      </c>
      <c r="AR312" s="1" t="s">
        <v>91</v>
      </c>
      <c r="AS312" s="1" t="s">
        <v>91</v>
      </c>
      <c r="AT312" s="1" t="s">
        <v>91</v>
      </c>
      <c r="AU312" s="1" t="s">
        <v>91</v>
      </c>
      <c r="AV312" t="s">
        <v>91</v>
      </c>
      <c r="AW312" t="s">
        <v>91</v>
      </c>
      <c r="AX312" t="s">
        <v>91</v>
      </c>
      <c r="AY312" t="s">
        <v>91</v>
      </c>
      <c r="AZ312" t="s">
        <v>91</v>
      </c>
      <c r="BA312" t="s">
        <v>91</v>
      </c>
      <c r="BB312" s="2">
        <v>45113.505416666667</v>
      </c>
      <c r="BC312" s="2"/>
      <c r="BD312" t="s">
        <v>91</v>
      </c>
      <c r="BF312" s="1" t="s">
        <v>75</v>
      </c>
      <c r="BI312" s="1" t="s">
        <v>88</v>
      </c>
      <c r="BJ312">
        <v>1</v>
      </c>
      <c r="BK312" s="1" t="s">
        <v>89</v>
      </c>
      <c r="BL312" t="s">
        <v>91</v>
      </c>
      <c r="BM312" s="1" t="s">
        <v>91</v>
      </c>
      <c r="BN312" s="1" t="s">
        <v>91</v>
      </c>
      <c r="BO312" s="1" t="s">
        <v>91</v>
      </c>
      <c r="BP312" s="1" t="s">
        <v>91</v>
      </c>
      <c r="BQ312" t="s">
        <v>91</v>
      </c>
      <c r="BR312" s="3">
        <v>45113</v>
      </c>
      <c r="BS312" s="3"/>
      <c r="BT312" t="s">
        <v>91</v>
      </c>
      <c r="BU312" t="s">
        <v>91</v>
      </c>
      <c r="BW312" s="1" t="s">
        <v>90</v>
      </c>
    </row>
    <row r="313" spans="1:75" x14ac:dyDescent="0.35">
      <c r="A313">
        <v>138163</v>
      </c>
      <c r="B313" s="1" t="s">
        <v>75</v>
      </c>
      <c r="C313">
        <v>80</v>
      </c>
      <c r="D313">
        <v>11121001</v>
      </c>
      <c r="E313">
        <v>121001</v>
      </c>
      <c r="F313" s="1" t="s">
        <v>76</v>
      </c>
      <c r="G313" s="1" t="s">
        <v>1965</v>
      </c>
      <c r="H313">
        <v>0</v>
      </c>
      <c r="I313" s="1" t="s">
        <v>78</v>
      </c>
      <c r="J313" s="1" t="s">
        <v>1961</v>
      </c>
      <c r="K313" s="1" t="s">
        <v>1966</v>
      </c>
      <c r="L313" t="s">
        <v>91</v>
      </c>
      <c r="M313" t="s">
        <v>91</v>
      </c>
      <c r="N313" s="1" t="s">
        <v>1967</v>
      </c>
      <c r="O313" t="s">
        <v>91</v>
      </c>
      <c r="P313" s="1" t="s">
        <v>1968</v>
      </c>
      <c r="Q313" s="1" t="s">
        <v>1969</v>
      </c>
      <c r="R313" s="1" t="s">
        <v>236</v>
      </c>
      <c r="S313">
        <v>1287</v>
      </c>
      <c r="T313">
        <v>89802110</v>
      </c>
      <c r="U313" s="1" t="s">
        <v>108</v>
      </c>
      <c r="V313" s="1" t="s">
        <v>337</v>
      </c>
      <c r="W313" s="1" t="s">
        <v>87</v>
      </c>
      <c r="X313">
        <v>49</v>
      </c>
      <c r="Y313">
        <v>33200191</v>
      </c>
      <c r="Z313" t="s">
        <v>91</v>
      </c>
      <c r="AA313" t="s">
        <v>91</v>
      </c>
      <c r="AB313" t="s">
        <v>91</v>
      </c>
      <c r="AC313" t="s">
        <v>91</v>
      </c>
      <c r="AD313" t="s">
        <v>91</v>
      </c>
      <c r="AE313" t="s">
        <v>91</v>
      </c>
      <c r="AF313" t="s">
        <v>91</v>
      </c>
      <c r="AG313" s="1" t="s">
        <v>146</v>
      </c>
      <c r="AH313" s="1" t="s">
        <v>91</v>
      </c>
      <c r="AI313" t="s">
        <v>91</v>
      </c>
      <c r="AM313" t="s">
        <v>91</v>
      </c>
      <c r="AN313" t="s">
        <v>91</v>
      </c>
      <c r="AO313" t="s">
        <v>91</v>
      </c>
      <c r="AP313" t="s">
        <v>91</v>
      </c>
      <c r="AQ313" s="1" t="s">
        <v>147</v>
      </c>
      <c r="AR313" s="1" t="s">
        <v>147</v>
      </c>
      <c r="AS313" s="1" t="s">
        <v>147</v>
      </c>
      <c r="AT313" s="1" t="s">
        <v>147</v>
      </c>
      <c r="AU313" s="1" t="s">
        <v>147</v>
      </c>
      <c r="AV313" t="s">
        <v>91</v>
      </c>
      <c r="AW313" t="s">
        <v>91</v>
      </c>
      <c r="AX313" t="s">
        <v>91</v>
      </c>
      <c r="AY313" t="s">
        <v>91</v>
      </c>
      <c r="AZ313" t="s">
        <v>91</v>
      </c>
      <c r="BA313" t="s">
        <v>91</v>
      </c>
      <c r="BB313" s="2">
        <v>44378.578518518516</v>
      </c>
      <c r="BC313" s="2">
        <v>44743.454097222224</v>
      </c>
      <c r="BD313" t="s">
        <v>91</v>
      </c>
      <c r="BF313" s="1" t="s">
        <v>75</v>
      </c>
      <c r="BH313">
        <v>0</v>
      </c>
      <c r="BI313" s="1" t="s">
        <v>88</v>
      </c>
      <c r="BJ313">
        <v>1</v>
      </c>
      <c r="BK313" s="1" t="s">
        <v>89</v>
      </c>
      <c r="BL313" t="s">
        <v>91</v>
      </c>
      <c r="BM313" s="1" t="s">
        <v>109</v>
      </c>
      <c r="BN313" s="1" t="s">
        <v>148</v>
      </c>
      <c r="BO313" s="1" t="s">
        <v>165</v>
      </c>
      <c r="BP313" s="1" t="s">
        <v>91</v>
      </c>
      <c r="BQ313" t="s">
        <v>91</v>
      </c>
      <c r="BR313" s="3">
        <v>44378</v>
      </c>
      <c r="BS313" s="3">
        <v>44743</v>
      </c>
      <c r="BT313" t="s">
        <v>91</v>
      </c>
      <c r="BU313" t="s">
        <v>91</v>
      </c>
      <c r="BW313" s="1" t="s">
        <v>526</v>
      </c>
    </row>
    <row r="314" spans="1:75" x14ac:dyDescent="0.35">
      <c r="A314">
        <v>144797</v>
      </c>
      <c r="B314" s="1" t="s">
        <v>75</v>
      </c>
      <c r="C314">
        <v>80</v>
      </c>
      <c r="D314">
        <v>11121001</v>
      </c>
      <c r="E314">
        <v>121001</v>
      </c>
      <c r="F314" s="1" t="s">
        <v>76</v>
      </c>
      <c r="G314" s="1" t="s">
        <v>1970</v>
      </c>
      <c r="I314" s="1" t="s">
        <v>78</v>
      </c>
      <c r="J314" s="1" t="s">
        <v>1971</v>
      </c>
      <c r="K314" s="1" t="s">
        <v>1972</v>
      </c>
      <c r="L314" t="s">
        <v>91</v>
      </c>
      <c r="M314" t="s">
        <v>91</v>
      </c>
      <c r="N314" s="1" t="s">
        <v>1973</v>
      </c>
      <c r="O314" t="s">
        <v>91</v>
      </c>
      <c r="P314" s="1" t="s">
        <v>1693</v>
      </c>
      <c r="Q314" s="1" t="s">
        <v>1974</v>
      </c>
      <c r="R314" s="1" t="s">
        <v>245</v>
      </c>
      <c r="S314">
        <v>1279</v>
      </c>
      <c r="T314">
        <v>89223100</v>
      </c>
      <c r="U314" s="1" t="s">
        <v>213</v>
      </c>
      <c r="V314" s="1" t="s">
        <v>100</v>
      </c>
      <c r="W314" s="1" t="s">
        <v>87</v>
      </c>
      <c r="X314">
        <v>47</v>
      </c>
      <c r="Y314">
        <v>32029009</v>
      </c>
      <c r="Z314" t="s">
        <v>91</v>
      </c>
      <c r="AA314" t="s">
        <v>91</v>
      </c>
      <c r="AB314" t="s">
        <v>91</v>
      </c>
      <c r="AC314" t="s">
        <v>91</v>
      </c>
      <c r="AD314" t="s">
        <v>91</v>
      </c>
      <c r="AE314" t="s">
        <v>91</v>
      </c>
      <c r="AF314" t="s">
        <v>91</v>
      </c>
      <c r="AG314" s="1" t="s">
        <v>91</v>
      </c>
      <c r="AH314" s="1" t="s">
        <v>91</v>
      </c>
      <c r="AI314" t="s">
        <v>91</v>
      </c>
      <c r="AJ314">
        <v>0</v>
      </c>
      <c r="AK314">
        <v>0</v>
      </c>
      <c r="AL314">
        <v>0</v>
      </c>
      <c r="AM314" t="s">
        <v>91</v>
      </c>
      <c r="AN314" t="s">
        <v>91</v>
      </c>
      <c r="AO314" t="s">
        <v>91</v>
      </c>
      <c r="AP314" t="s">
        <v>91</v>
      </c>
      <c r="AQ314" s="1" t="s">
        <v>91</v>
      </c>
      <c r="AR314" s="1" t="s">
        <v>91</v>
      </c>
      <c r="AS314" s="1" t="s">
        <v>91</v>
      </c>
      <c r="AT314" s="1" t="s">
        <v>91</v>
      </c>
      <c r="AU314" s="1" t="s">
        <v>91</v>
      </c>
      <c r="AV314" t="s">
        <v>91</v>
      </c>
      <c r="AW314" t="s">
        <v>91</v>
      </c>
      <c r="AX314" t="s">
        <v>91</v>
      </c>
      <c r="AY314" t="s">
        <v>91</v>
      </c>
      <c r="AZ314" t="s">
        <v>91</v>
      </c>
      <c r="BA314" t="s">
        <v>91</v>
      </c>
      <c r="BB314" s="2"/>
      <c r="BC314" s="2"/>
      <c r="BD314" t="s">
        <v>91</v>
      </c>
      <c r="BF314" s="1" t="s">
        <v>75</v>
      </c>
      <c r="BG314">
        <v>0</v>
      </c>
      <c r="BH314">
        <v>0</v>
      </c>
      <c r="BI314" s="1" t="s">
        <v>88</v>
      </c>
      <c r="BJ314">
        <v>1</v>
      </c>
      <c r="BK314" s="1" t="s">
        <v>89</v>
      </c>
      <c r="BL314" t="s">
        <v>91</v>
      </c>
      <c r="BM314" s="1" t="s">
        <v>109</v>
      </c>
      <c r="BN314" s="1" t="s">
        <v>110</v>
      </c>
      <c r="BO314" s="1" t="s">
        <v>91</v>
      </c>
      <c r="BP314" s="1" t="s">
        <v>91</v>
      </c>
      <c r="BQ314" t="s">
        <v>91</v>
      </c>
      <c r="BR314" s="3"/>
      <c r="BS314" s="3"/>
      <c r="BT314" t="s">
        <v>91</v>
      </c>
      <c r="BU314" t="s">
        <v>91</v>
      </c>
      <c r="BV314">
        <v>9</v>
      </c>
      <c r="BW314" s="1" t="s">
        <v>1042</v>
      </c>
    </row>
    <row r="315" spans="1:75" x14ac:dyDescent="0.35">
      <c r="A315">
        <v>138165</v>
      </c>
      <c r="B315" s="1" t="s">
        <v>75</v>
      </c>
      <c r="C315">
        <v>80</v>
      </c>
      <c r="D315">
        <v>11121001</v>
      </c>
      <c r="E315">
        <v>121001</v>
      </c>
      <c r="F315" s="1" t="s">
        <v>76</v>
      </c>
      <c r="G315" s="1" t="s">
        <v>1975</v>
      </c>
      <c r="H315">
        <v>0</v>
      </c>
      <c r="I315" s="1" t="s">
        <v>78</v>
      </c>
      <c r="J315" s="1" t="s">
        <v>1976</v>
      </c>
      <c r="K315" s="1" t="s">
        <v>1977</v>
      </c>
      <c r="L315" t="s">
        <v>91</v>
      </c>
      <c r="M315" t="s">
        <v>91</v>
      </c>
      <c r="N315" s="1" t="s">
        <v>1978</v>
      </c>
      <c r="O315" t="s">
        <v>91</v>
      </c>
      <c r="P315" s="1" t="s">
        <v>1276</v>
      </c>
      <c r="Q315" s="1" t="s">
        <v>1979</v>
      </c>
      <c r="R315" s="1" t="s">
        <v>91</v>
      </c>
      <c r="S315">
        <v>1389</v>
      </c>
      <c r="T315">
        <v>99700426</v>
      </c>
      <c r="U315" s="1" t="s">
        <v>108</v>
      </c>
      <c r="V315" s="1" t="s">
        <v>156</v>
      </c>
      <c r="W315" s="1" t="s">
        <v>157</v>
      </c>
      <c r="X315">
        <v>54</v>
      </c>
      <c r="Y315">
        <v>37120455</v>
      </c>
      <c r="Z315" t="s">
        <v>91</v>
      </c>
      <c r="AA315" t="s">
        <v>91</v>
      </c>
      <c r="AB315" t="s">
        <v>91</v>
      </c>
      <c r="AC315" t="s">
        <v>91</v>
      </c>
      <c r="AD315" t="s">
        <v>91</v>
      </c>
      <c r="AE315" t="s">
        <v>91</v>
      </c>
      <c r="AF315" t="s">
        <v>91</v>
      </c>
      <c r="AG315" s="1" t="s">
        <v>146</v>
      </c>
      <c r="AH315" s="1" t="s">
        <v>91</v>
      </c>
      <c r="AI315" t="s">
        <v>91</v>
      </c>
      <c r="AM315" t="s">
        <v>91</v>
      </c>
      <c r="AN315" t="s">
        <v>91</v>
      </c>
      <c r="AO315" t="s">
        <v>91</v>
      </c>
      <c r="AP315" t="s">
        <v>91</v>
      </c>
      <c r="AQ315" s="1" t="s">
        <v>147</v>
      </c>
      <c r="AR315" s="1" t="s">
        <v>147</v>
      </c>
      <c r="AS315" s="1" t="s">
        <v>147</v>
      </c>
      <c r="AT315" s="1" t="s">
        <v>147</v>
      </c>
      <c r="AU315" s="1" t="s">
        <v>147</v>
      </c>
      <c r="AV315" t="s">
        <v>91</v>
      </c>
      <c r="AW315" t="s">
        <v>91</v>
      </c>
      <c r="AX315" t="s">
        <v>91</v>
      </c>
      <c r="AY315" t="s">
        <v>91</v>
      </c>
      <c r="AZ315" t="s">
        <v>91</v>
      </c>
      <c r="BA315" t="s">
        <v>91</v>
      </c>
      <c r="BB315" s="2">
        <v>44378.578518518516</v>
      </c>
      <c r="BC315" s="2">
        <v>44634.664826388886</v>
      </c>
      <c r="BD315" t="s">
        <v>91</v>
      </c>
      <c r="BF315" s="1" t="s">
        <v>75</v>
      </c>
      <c r="BH315">
        <v>0</v>
      </c>
      <c r="BI315" s="1" t="s">
        <v>88</v>
      </c>
      <c r="BJ315">
        <v>1</v>
      </c>
      <c r="BK315" s="1" t="s">
        <v>89</v>
      </c>
      <c r="BL315" t="s">
        <v>91</v>
      </c>
      <c r="BM315" s="1" t="s">
        <v>109</v>
      </c>
      <c r="BN315" s="1" t="s">
        <v>110</v>
      </c>
      <c r="BO315" s="1" t="s">
        <v>165</v>
      </c>
      <c r="BP315" s="1" t="s">
        <v>91</v>
      </c>
      <c r="BQ315" t="s">
        <v>91</v>
      </c>
      <c r="BR315" s="3">
        <v>44378</v>
      </c>
      <c r="BS315" s="3">
        <v>44634</v>
      </c>
      <c r="BT315" t="s">
        <v>91</v>
      </c>
      <c r="BU315" t="s">
        <v>91</v>
      </c>
      <c r="BW315" s="1" t="s">
        <v>589</v>
      </c>
    </row>
    <row r="316" spans="1:75" x14ac:dyDescent="0.35">
      <c r="A316">
        <v>156722</v>
      </c>
      <c r="B316" s="1" t="s">
        <v>75</v>
      </c>
      <c r="C316">
        <v>80</v>
      </c>
      <c r="D316">
        <v>11121001</v>
      </c>
      <c r="E316">
        <v>121001</v>
      </c>
      <c r="F316" s="1" t="s">
        <v>76</v>
      </c>
      <c r="G316" s="1" t="s">
        <v>1980</v>
      </c>
      <c r="H316">
        <v>0</v>
      </c>
      <c r="I316" s="1" t="s">
        <v>78</v>
      </c>
      <c r="J316" s="1" t="s">
        <v>1981</v>
      </c>
      <c r="K316" s="1" t="s">
        <v>1982</v>
      </c>
      <c r="L316" t="s">
        <v>91</v>
      </c>
      <c r="M316" t="s">
        <v>91</v>
      </c>
      <c r="N316" s="1" t="s">
        <v>1983</v>
      </c>
      <c r="O316" t="s">
        <v>91</v>
      </c>
      <c r="P316" s="1" t="s">
        <v>1984</v>
      </c>
      <c r="Q316" s="1" t="s">
        <v>268</v>
      </c>
      <c r="R316" s="1" t="s">
        <v>173</v>
      </c>
      <c r="T316">
        <v>99700398</v>
      </c>
      <c r="U316" s="1" t="s">
        <v>108</v>
      </c>
      <c r="V316" s="1" t="s">
        <v>156</v>
      </c>
      <c r="W316" s="1" t="s">
        <v>157</v>
      </c>
      <c r="X316">
        <v>54</v>
      </c>
      <c r="Y316">
        <v>999242446</v>
      </c>
      <c r="Z316" t="s">
        <v>91</v>
      </c>
      <c r="AA316" t="s">
        <v>91</v>
      </c>
      <c r="AB316" t="s">
        <v>91</v>
      </c>
      <c r="AC316" t="s">
        <v>91</v>
      </c>
      <c r="AD316" t="s">
        <v>91</v>
      </c>
      <c r="AE316" t="s">
        <v>91</v>
      </c>
      <c r="AF316" t="s">
        <v>91</v>
      </c>
      <c r="AG316" s="1" t="s">
        <v>91</v>
      </c>
      <c r="AH316" s="1" t="s">
        <v>91</v>
      </c>
      <c r="AI316" t="s">
        <v>91</v>
      </c>
      <c r="AM316" t="s">
        <v>91</v>
      </c>
      <c r="AN316" t="s">
        <v>91</v>
      </c>
      <c r="AO316" t="s">
        <v>91</v>
      </c>
      <c r="AP316" t="s">
        <v>91</v>
      </c>
      <c r="AQ316" s="1" t="s">
        <v>91</v>
      </c>
      <c r="AR316" s="1" t="s">
        <v>91</v>
      </c>
      <c r="AS316" s="1" t="s">
        <v>91</v>
      </c>
      <c r="AT316" s="1" t="s">
        <v>91</v>
      </c>
      <c r="AU316" s="1" t="s">
        <v>91</v>
      </c>
      <c r="AV316" t="s">
        <v>91</v>
      </c>
      <c r="AW316" t="s">
        <v>91</v>
      </c>
      <c r="AX316" t="s">
        <v>91</v>
      </c>
      <c r="AY316" t="s">
        <v>91</v>
      </c>
      <c r="AZ316" t="s">
        <v>91</v>
      </c>
      <c r="BA316" t="s">
        <v>91</v>
      </c>
      <c r="BB316" s="2">
        <v>45113.505416666667</v>
      </c>
      <c r="BC316" s="2"/>
      <c r="BD316" t="s">
        <v>91</v>
      </c>
      <c r="BF316" s="1" t="s">
        <v>75</v>
      </c>
      <c r="BI316" s="1" t="s">
        <v>88</v>
      </c>
      <c r="BJ316">
        <v>1</v>
      </c>
      <c r="BK316" s="1" t="s">
        <v>89</v>
      </c>
      <c r="BL316" t="s">
        <v>91</v>
      </c>
      <c r="BM316" s="1" t="s">
        <v>91</v>
      </c>
      <c r="BN316" s="1" t="s">
        <v>91</v>
      </c>
      <c r="BO316" s="1" t="s">
        <v>91</v>
      </c>
      <c r="BP316" s="1" t="s">
        <v>91</v>
      </c>
      <c r="BQ316" t="s">
        <v>91</v>
      </c>
      <c r="BR316" s="3">
        <v>45113</v>
      </c>
      <c r="BS316" s="3"/>
      <c r="BT316" t="s">
        <v>91</v>
      </c>
      <c r="BU316" t="s">
        <v>91</v>
      </c>
      <c r="BW316" s="1" t="s">
        <v>90</v>
      </c>
    </row>
    <row r="317" spans="1:75" x14ac:dyDescent="0.35">
      <c r="A317">
        <v>138166</v>
      </c>
      <c r="B317" s="1" t="s">
        <v>75</v>
      </c>
      <c r="C317">
        <v>80</v>
      </c>
      <c r="D317">
        <v>11121001</v>
      </c>
      <c r="E317">
        <v>121001</v>
      </c>
      <c r="F317" s="1" t="s">
        <v>76</v>
      </c>
      <c r="G317" s="1" t="s">
        <v>1985</v>
      </c>
      <c r="H317">
        <v>0</v>
      </c>
      <c r="I317" s="1" t="s">
        <v>78</v>
      </c>
      <c r="J317" s="1" t="s">
        <v>1986</v>
      </c>
      <c r="K317" s="1" t="s">
        <v>1987</v>
      </c>
      <c r="L317" t="s">
        <v>91</v>
      </c>
      <c r="M317" t="s">
        <v>91</v>
      </c>
      <c r="N317" s="1" t="s">
        <v>1988</v>
      </c>
      <c r="O317" t="s">
        <v>91</v>
      </c>
      <c r="P317" s="1" t="s">
        <v>656</v>
      </c>
      <c r="Q317" s="1" t="s">
        <v>1143</v>
      </c>
      <c r="R317" s="1" t="s">
        <v>1989</v>
      </c>
      <c r="S317">
        <v>1287</v>
      </c>
      <c r="T317">
        <v>89802132</v>
      </c>
      <c r="U317" s="1" t="s">
        <v>108</v>
      </c>
      <c r="V317" s="1" t="s">
        <v>337</v>
      </c>
      <c r="W317" s="1" t="s">
        <v>87</v>
      </c>
      <c r="X317">
        <v>49</v>
      </c>
      <c r="Y317">
        <v>33230598</v>
      </c>
      <c r="Z317" t="s">
        <v>91</v>
      </c>
      <c r="AA317" t="s">
        <v>91</v>
      </c>
      <c r="AB317" t="s">
        <v>91</v>
      </c>
      <c r="AC317" t="s">
        <v>91</v>
      </c>
      <c r="AD317" t="s">
        <v>91</v>
      </c>
      <c r="AE317" t="s">
        <v>91</v>
      </c>
      <c r="AF317" t="s">
        <v>91</v>
      </c>
      <c r="AG317" s="1" t="s">
        <v>146</v>
      </c>
      <c r="AH317" s="1" t="s">
        <v>91</v>
      </c>
      <c r="AI317" t="s">
        <v>91</v>
      </c>
      <c r="AM317" t="s">
        <v>91</v>
      </c>
      <c r="AN317" t="s">
        <v>91</v>
      </c>
      <c r="AO317" t="s">
        <v>91</v>
      </c>
      <c r="AP317" t="s">
        <v>91</v>
      </c>
      <c r="AQ317" s="1" t="s">
        <v>147</v>
      </c>
      <c r="AR317" s="1" t="s">
        <v>147</v>
      </c>
      <c r="AS317" s="1" t="s">
        <v>147</v>
      </c>
      <c r="AT317" s="1" t="s">
        <v>147</v>
      </c>
      <c r="AU317" s="1" t="s">
        <v>147</v>
      </c>
      <c r="AV317" t="s">
        <v>91</v>
      </c>
      <c r="AW317" t="s">
        <v>91</v>
      </c>
      <c r="AX317" t="s">
        <v>91</v>
      </c>
      <c r="AY317" t="s">
        <v>91</v>
      </c>
      <c r="AZ317" t="s">
        <v>91</v>
      </c>
      <c r="BA317" t="s">
        <v>91</v>
      </c>
      <c r="BB317" s="2">
        <v>44378.578518518516</v>
      </c>
      <c r="BC317" s="2">
        <v>44497.383032407408</v>
      </c>
      <c r="BD317" t="s">
        <v>91</v>
      </c>
      <c r="BF317" s="1" t="s">
        <v>75</v>
      </c>
      <c r="BH317">
        <v>0</v>
      </c>
      <c r="BI317" s="1" t="s">
        <v>88</v>
      </c>
      <c r="BJ317">
        <v>1</v>
      </c>
      <c r="BK317" s="1" t="s">
        <v>89</v>
      </c>
      <c r="BL317" t="s">
        <v>91</v>
      </c>
      <c r="BM317" s="1" t="s">
        <v>109</v>
      </c>
      <c r="BN317" s="1" t="s">
        <v>110</v>
      </c>
      <c r="BO317" s="1" t="s">
        <v>180</v>
      </c>
      <c r="BP317" s="1" t="s">
        <v>91</v>
      </c>
      <c r="BQ317" t="s">
        <v>91</v>
      </c>
      <c r="BR317" s="3">
        <v>44378</v>
      </c>
      <c r="BS317" s="3">
        <v>44497</v>
      </c>
      <c r="BT317" t="s">
        <v>91</v>
      </c>
      <c r="BU317" t="s">
        <v>91</v>
      </c>
      <c r="BW317" s="1" t="s">
        <v>601</v>
      </c>
    </row>
    <row r="318" spans="1:75" x14ac:dyDescent="0.35">
      <c r="A318">
        <v>887</v>
      </c>
      <c r="B318" s="1" t="s">
        <v>75</v>
      </c>
      <c r="C318">
        <v>80</v>
      </c>
      <c r="D318">
        <v>11121001</v>
      </c>
      <c r="E318">
        <v>121001</v>
      </c>
      <c r="F318" s="1" t="s">
        <v>76</v>
      </c>
      <c r="G318" s="1" t="s">
        <v>1990</v>
      </c>
      <c r="I318" s="1" t="s">
        <v>78</v>
      </c>
      <c r="J318" s="1" t="s">
        <v>1991</v>
      </c>
      <c r="K318" s="1" t="s">
        <v>1992</v>
      </c>
      <c r="L318" t="s">
        <v>91</v>
      </c>
      <c r="M318" t="s">
        <v>91</v>
      </c>
      <c r="N318" s="1" t="s">
        <v>1637</v>
      </c>
      <c r="O318" t="s">
        <v>91</v>
      </c>
      <c r="P318" s="1" t="s">
        <v>593</v>
      </c>
      <c r="Q318" s="1" t="s">
        <v>1993</v>
      </c>
      <c r="R318" s="1" t="s">
        <v>107</v>
      </c>
      <c r="S318">
        <v>1279</v>
      </c>
      <c r="T318">
        <v>89211307</v>
      </c>
      <c r="U318" s="1" t="s">
        <v>595</v>
      </c>
      <c r="V318" s="1" t="s">
        <v>100</v>
      </c>
      <c r="W318" s="1" t="s">
        <v>87</v>
      </c>
      <c r="X318">
        <v>47</v>
      </c>
      <c r="Y318">
        <v>30266100</v>
      </c>
      <c r="Z318" t="s">
        <v>91</v>
      </c>
      <c r="AA318" t="s">
        <v>91</v>
      </c>
      <c r="AB318" t="s">
        <v>91</v>
      </c>
      <c r="AC318" t="s">
        <v>91</v>
      </c>
      <c r="AD318" t="s">
        <v>91</v>
      </c>
      <c r="AE318" t="s">
        <v>91</v>
      </c>
      <c r="AF318" t="s">
        <v>91</v>
      </c>
      <c r="AG318" s="1" t="s">
        <v>91</v>
      </c>
      <c r="AH318" s="1" t="s">
        <v>91</v>
      </c>
      <c r="AI318" t="s">
        <v>91</v>
      </c>
      <c r="AJ318">
        <v>0</v>
      </c>
      <c r="AK318">
        <v>0</v>
      </c>
      <c r="AL318">
        <v>0</v>
      </c>
      <c r="AM318" t="s">
        <v>91</v>
      </c>
      <c r="AN318" t="s">
        <v>91</v>
      </c>
      <c r="AO318" t="s">
        <v>91</v>
      </c>
      <c r="AP318" t="s">
        <v>91</v>
      </c>
      <c r="AQ318" s="1" t="s">
        <v>91</v>
      </c>
      <c r="AR318" s="1" t="s">
        <v>91</v>
      </c>
      <c r="AS318" s="1" t="s">
        <v>91</v>
      </c>
      <c r="AT318" s="1" t="s">
        <v>91</v>
      </c>
      <c r="AU318" s="1" t="s">
        <v>91</v>
      </c>
      <c r="AV318" t="s">
        <v>91</v>
      </c>
      <c r="AW318" t="s">
        <v>91</v>
      </c>
      <c r="AX318" t="s">
        <v>91</v>
      </c>
      <c r="AY318" t="s">
        <v>91</v>
      </c>
      <c r="AZ318" t="s">
        <v>91</v>
      </c>
      <c r="BA318" t="s">
        <v>91</v>
      </c>
      <c r="BB318" s="2">
        <v>43308.392974537041</v>
      </c>
      <c r="BC318" s="2"/>
      <c r="BD318" t="s">
        <v>91</v>
      </c>
      <c r="BE318">
        <v>887</v>
      </c>
      <c r="BF318" s="1" t="s">
        <v>75</v>
      </c>
      <c r="BG318">
        <v>0</v>
      </c>
      <c r="BH318">
        <v>0</v>
      </c>
      <c r="BI318" s="1" t="s">
        <v>88</v>
      </c>
      <c r="BJ318">
        <v>1</v>
      </c>
      <c r="BK318" s="1" t="s">
        <v>89</v>
      </c>
      <c r="BL318" t="s">
        <v>91</v>
      </c>
      <c r="BM318" s="1" t="s">
        <v>109</v>
      </c>
      <c r="BN318" s="1" t="s">
        <v>110</v>
      </c>
      <c r="BO318" s="1" t="s">
        <v>165</v>
      </c>
      <c r="BP318" s="1" t="s">
        <v>91</v>
      </c>
      <c r="BQ318" t="s">
        <v>91</v>
      </c>
      <c r="BR318" s="3">
        <v>43308</v>
      </c>
      <c r="BS318" s="3"/>
      <c r="BT318" t="s">
        <v>91</v>
      </c>
      <c r="BU318" t="s">
        <v>91</v>
      </c>
      <c r="BV318">
        <v>1</v>
      </c>
      <c r="BW318" s="1" t="s">
        <v>862</v>
      </c>
    </row>
    <row r="319" spans="1:75" x14ac:dyDescent="0.35">
      <c r="A319">
        <v>4272</v>
      </c>
      <c r="B319" s="1" t="s">
        <v>75</v>
      </c>
      <c r="C319">
        <v>80</v>
      </c>
      <c r="D319">
        <v>11121001</v>
      </c>
      <c r="E319">
        <v>121001</v>
      </c>
      <c r="F319" s="1" t="s">
        <v>76</v>
      </c>
      <c r="G319" s="1" t="s">
        <v>1994</v>
      </c>
      <c r="I319" s="1" t="s">
        <v>78</v>
      </c>
      <c r="J319" s="1" t="s">
        <v>1995</v>
      </c>
      <c r="K319" s="1" t="s">
        <v>1996</v>
      </c>
      <c r="L319" t="s">
        <v>91</v>
      </c>
      <c r="M319" t="s">
        <v>91</v>
      </c>
      <c r="N319" s="1" t="s">
        <v>1997</v>
      </c>
      <c r="O319" t="s">
        <v>91</v>
      </c>
      <c r="P319" s="1" t="s">
        <v>1998</v>
      </c>
      <c r="Q319" s="1" t="s">
        <v>706</v>
      </c>
      <c r="R319" s="1" t="s">
        <v>370</v>
      </c>
      <c r="S319">
        <v>1280</v>
      </c>
      <c r="T319">
        <v>89240000</v>
      </c>
      <c r="U319" s="1" t="s">
        <v>1999</v>
      </c>
      <c r="V319" s="1" t="s">
        <v>222</v>
      </c>
      <c r="W319" s="1" t="s">
        <v>87</v>
      </c>
      <c r="X319">
        <v>47</v>
      </c>
      <c r="Y319">
        <v>34490364</v>
      </c>
      <c r="Z319" t="s">
        <v>91</v>
      </c>
      <c r="AA319" t="s">
        <v>91</v>
      </c>
      <c r="AB319" t="s">
        <v>91</v>
      </c>
      <c r="AC319" t="s">
        <v>91</v>
      </c>
      <c r="AD319" t="s">
        <v>91</v>
      </c>
      <c r="AE319" t="s">
        <v>91</v>
      </c>
      <c r="AF319" t="s">
        <v>91</v>
      </c>
      <c r="AG319" s="1" t="s">
        <v>91</v>
      </c>
      <c r="AH319" s="1" t="s">
        <v>91</v>
      </c>
      <c r="AI319" t="s">
        <v>91</v>
      </c>
      <c r="AJ319">
        <v>0</v>
      </c>
      <c r="AK319">
        <v>0</v>
      </c>
      <c r="AL319">
        <v>0</v>
      </c>
      <c r="AM319" t="s">
        <v>91</v>
      </c>
      <c r="AN319" t="s">
        <v>91</v>
      </c>
      <c r="AO319" t="s">
        <v>91</v>
      </c>
      <c r="AP319" t="s">
        <v>91</v>
      </c>
      <c r="AQ319" s="1" t="s">
        <v>91</v>
      </c>
      <c r="AR319" s="1" t="s">
        <v>91</v>
      </c>
      <c r="AS319" s="1" t="s">
        <v>91</v>
      </c>
      <c r="AT319" s="1" t="s">
        <v>91</v>
      </c>
      <c r="AU319" s="1" t="s">
        <v>91</v>
      </c>
      <c r="AV319" t="s">
        <v>91</v>
      </c>
      <c r="AW319" t="s">
        <v>91</v>
      </c>
      <c r="AX319" t="s">
        <v>91</v>
      </c>
      <c r="AY319" t="s">
        <v>91</v>
      </c>
      <c r="AZ319" t="s">
        <v>91</v>
      </c>
      <c r="BA319" t="s">
        <v>91</v>
      </c>
      <c r="BB319" s="2">
        <v>43342.723379629628</v>
      </c>
      <c r="BC319" s="2"/>
      <c r="BD319" t="s">
        <v>91</v>
      </c>
      <c r="BF319" s="1" t="s">
        <v>75</v>
      </c>
      <c r="BG319">
        <v>0</v>
      </c>
      <c r="BH319">
        <v>0</v>
      </c>
      <c r="BI319" s="1" t="s">
        <v>88</v>
      </c>
      <c r="BJ319">
        <v>1</v>
      </c>
      <c r="BK319" s="1" t="s">
        <v>89</v>
      </c>
      <c r="BL319" t="s">
        <v>91</v>
      </c>
      <c r="BM319" s="1" t="s">
        <v>109</v>
      </c>
      <c r="BN319" s="1" t="s">
        <v>110</v>
      </c>
      <c r="BO319" s="1" t="s">
        <v>180</v>
      </c>
      <c r="BP319" s="1" t="s">
        <v>91</v>
      </c>
      <c r="BQ319" t="s">
        <v>91</v>
      </c>
      <c r="BR319" s="3">
        <v>43342</v>
      </c>
      <c r="BS319" s="3"/>
      <c r="BT319" t="s">
        <v>91</v>
      </c>
      <c r="BU319" t="s">
        <v>91</v>
      </c>
      <c r="BV319">
        <v>9</v>
      </c>
      <c r="BW319" s="1" t="s">
        <v>470</v>
      </c>
    </row>
    <row r="320" spans="1:75" x14ac:dyDescent="0.35">
      <c r="A320">
        <v>139956</v>
      </c>
      <c r="B320" s="1" t="s">
        <v>75</v>
      </c>
      <c r="C320">
        <v>80</v>
      </c>
      <c r="D320">
        <v>11121001</v>
      </c>
      <c r="E320">
        <v>121001</v>
      </c>
      <c r="F320" s="1" t="s">
        <v>76</v>
      </c>
      <c r="G320" s="1" t="s">
        <v>2000</v>
      </c>
      <c r="H320">
        <v>0</v>
      </c>
      <c r="I320" s="1" t="s">
        <v>78</v>
      </c>
      <c r="J320" s="1" t="s">
        <v>2001</v>
      </c>
      <c r="K320" s="1" t="s">
        <v>2002</v>
      </c>
      <c r="L320" t="s">
        <v>91</v>
      </c>
      <c r="M320" t="s">
        <v>91</v>
      </c>
      <c r="N320" s="1" t="s">
        <v>2003</v>
      </c>
      <c r="O320" t="s">
        <v>91</v>
      </c>
      <c r="P320" s="1" t="s">
        <v>1276</v>
      </c>
      <c r="Q320" s="1" t="s">
        <v>2004</v>
      </c>
      <c r="R320" s="1" t="s">
        <v>75</v>
      </c>
      <c r="S320">
        <v>1389</v>
      </c>
      <c r="T320">
        <v>99700426</v>
      </c>
      <c r="U320" s="1" t="s">
        <v>108</v>
      </c>
      <c r="V320" s="1" t="s">
        <v>156</v>
      </c>
      <c r="W320" s="1" t="s">
        <v>157</v>
      </c>
      <c r="X320">
        <v>54</v>
      </c>
      <c r="Y320">
        <v>35221256</v>
      </c>
      <c r="Z320" t="s">
        <v>91</v>
      </c>
      <c r="AA320" t="s">
        <v>91</v>
      </c>
      <c r="AB320" t="s">
        <v>91</v>
      </c>
      <c r="AC320" t="s">
        <v>91</v>
      </c>
      <c r="AD320" t="s">
        <v>91</v>
      </c>
      <c r="AE320" t="s">
        <v>91</v>
      </c>
      <c r="AF320" t="s">
        <v>91</v>
      </c>
      <c r="AG320" s="1" t="s">
        <v>91</v>
      </c>
      <c r="AH320" s="1" t="s">
        <v>91</v>
      </c>
      <c r="AI320" t="s">
        <v>91</v>
      </c>
      <c r="AJ320">
        <v>0</v>
      </c>
      <c r="AK320">
        <v>0</v>
      </c>
      <c r="AL320">
        <v>0</v>
      </c>
      <c r="AM320" t="s">
        <v>91</v>
      </c>
      <c r="AN320" t="s">
        <v>91</v>
      </c>
      <c r="AO320" t="s">
        <v>91</v>
      </c>
      <c r="AP320" t="s">
        <v>91</v>
      </c>
      <c r="AQ320" s="1" t="s">
        <v>91</v>
      </c>
      <c r="AR320" s="1" t="s">
        <v>91</v>
      </c>
      <c r="AS320" s="1" t="s">
        <v>91</v>
      </c>
      <c r="AT320" s="1" t="s">
        <v>91</v>
      </c>
      <c r="AU320" s="1" t="s">
        <v>91</v>
      </c>
      <c r="AV320" t="s">
        <v>91</v>
      </c>
      <c r="AW320" t="s">
        <v>91</v>
      </c>
      <c r="AX320" t="s">
        <v>91</v>
      </c>
      <c r="AY320" t="s">
        <v>91</v>
      </c>
      <c r="AZ320" t="s">
        <v>91</v>
      </c>
      <c r="BA320" t="s">
        <v>91</v>
      </c>
      <c r="BB320" s="2">
        <v>44426.365486111114</v>
      </c>
      <c r="BC320" s="2"/>
      <c r="BD320" t="s">
        <v>91</v>
      </c>
      <c r="BF320" s="1" t="s">
        <v>75</v>
      </c>
      <c r="BG320">
        <v>0</v>
      </c>
      <c r="BH320">
        <v>0</v>
      </c>
      <c r="BI320" s="1" t="s">
        <v>88</v>
      </c>
      <c r="BJ320">
        <v>1</v>
      </c>
      <c r="BK320" s="1" t="s">
        <v>89</v>
      </c>
      <c r="BL320" t="s">
        <v>91</v>
      </c>
      <c r="BM320" s="1" t="s">
        <v>329</v>
      </c>
      <c r="BN320" s="1" t="s">
        <v>110</v>
      </c>
      <c r="BO320" s="1" t="s">
        <v>165</v>
      </c>
      <c r="BP320" s="1" t="s">
        <v>91</v>
      </c>
      <c r="BQ320" t="s">
        <v>91</v>
      </c>
      <c r="BR320" s="3">
        <v>44426</v>
      </c>
      <c r="BS320" s="3"/>
      <c r="BT320" t="s">
        <v>91</v>
      </c>
      <c r="BU320" t="s">
        <v>91</v>
      </c>
      <c r="BW320" s="1" t="s">
        <v>390</v>
      </c>
    </row>
    <row r="321" spans="1:75" x14ac:dyDescent="0.35">
      <c r="A321">
        <v>157511</v>
      </c>
      <c r="B321" s="1" t="s">
        <v>75</v>
      </c>
      <c r="C321">
        <v>80</v>
      </c>
      <c r="D321">
        <v>11121001</v>
      </c>
      <c r="E321">
        <v>121001</v>
      </c>
      <c r="F321" s="1" t="s">
        <v>76</v>
      </c>
      <c r="G321" s="1" t="s">
        <v>2005</v>
      </c>
      <c r="H321">
        <v>0</v>
      </c>
      <c r="I321" s="1" t="s">
        <v>78</v>
      </c>
      <c r="J321" s="1" t="s">
        <v>2006</v>
      </c>
      <c r="K321" s="1" t="s">
        <v>2007</v>
      </c>
      <c r="L321" t="s">
        <v>91</v>
      </c>
      <c r="M321" t="s">
        <v>91</v>
      </c>
      <c r="N321" s="1" t="s">
        <v>2008</v>
      </c>
      <c r="O321" t="s">
        <v>91</v>
      </c>
      <c r="P321" s="1" t="s">
        <v>2009</v>
      </c>
      <c r="Q321" s="1" t="s">
        <v>2010</v>
      </c>
      <c r="R321" s="1" t="s">
        <v>370</v>
      </c>
      <c r="S321">
        <v>1280</v>
      </c>
      <c r="T321">
        <v>89248000</v>
      </c>
      <c r="U321" s="1" t="s">
        <v>108</v>
      </c>
      <c r="V321" s="1" t="s">
        <v>382</v>
      </c>
      <c r="W321" s="1" t="s">
        <v>87</v>
      </c>
      <c r="X321">
        <v>47</v>
      </c>
      <c r="Y321">
        <v>34452484</v>
      </c>
      <c r="Z321" t="s">
        <v>91</v>
      </c>
      <c r="AA321" t="s">
        <v>91</v>
      </c>
      <c r="AB321" t="s">
        <v>91</v>
      </c>
      <c r="AC321" t="s">
        <v>91</v>
      </c>
      <c r="AD321" t="s">
        <v>91</v>
      </c>
      <c r="AE321" t="s">
        <v>91</v>
      </c>
      <c r="AF321" t="s">
        <v>91</v>
      </c>
      <c r="AG321" s="1" t="s">
        <v>91</v>
      </c>
      <c r="AH321" s="1" t="s">
        <v>91</v>
      </c>
      <c r="AI321" t="s">
        <v>91</v>
      </c>
      <c r="AM321" t="s">
        <v>91</v>
      </c>
      <c r="AN321" t="s">
        <v>91</v>
      </c>
      <c r="AO321" t="s">
        <v>91</v>
      </c>
      <c r="AP321" t="s">
        <v>91</v>
      </c>
      <c r="AQ321" s="1" t="s">
        <v>91</v>
      </c>
      <c r="AR321" s="1" t="s">
        <v>91</v>
      </c>
      <c r="AS321" s="1" t="s">
        <v>91</v>
      </c>
      <c r="AT321" s="1" t="s">
        <v>91</v>
      </c>
      <c r="AU321" s="1" t="s">
        <v>91</v>
      </c>
      <c r="AV321" t="s">
        <v>91</v>
      </c>
      <c r="AW321" t="s">
        <v>91</v>
      </c>
      <c r="AX321" t="s">
        <v>91</v>
      </c>
      <c r="AY321" t="s">
        <v>91</v>
      </c>
      <c r="AZ321" t="s">
        <v>91</v>
      </c>
      <c r="BA321" t="s">
        <v>91</v>
      </c>
      <c r="BB321" s="2">
        <v>45118.093391203707</v>
      </c>
      <c r="BC321" s="2"/>
      <c r="BD321" t="s">
        <v>91</v>
      </c>
      <c r="BF321" s="1" t="s">
        <v>75</v>
      </c>
      <c r="BI321" s="1" t="s">
        <v>88</v>
      </c>
      <c r="BJ321">
        <v>1</v>
      </c>
      <c r="BK321" s="1" t="s">
        <v>89</v>
      </c>
      <c r="BL321" t="s">
        <v>91</v>
      </c>
      <c r="BM321" s="1" t="s">
        <v>91</v>
      </c>
      <c r="BN321" s="1" t="s">
        <v>91</v>
      </c>
      <c r="BO321" s="1" t="s">
        <v>91</v>
      </c>
      <c r="BP321" s="1" t="s">
        <v>91</v>
      </c>
      <c r="BQ321" t="s">
        <v>91</v>
      </c>
      <c r="BR321" s="3">
        <v>45118</v>
      </c>
      <c r="BS321" s="3"/>
      <c r="BT321" t="s">
        <v>91</v>
      </c>
      <c r="BU321" t="s">
        <v>91</v>
      </c>
      <c r="BW321" s="1" t="s">
        <v>540</v>
      </c>
    </row>
    <row r="322" spans="1:75" x14ac:dyDescent="0.35">
      <c r="A322">
        <v>152735</v>
      </c>
      <c r="B322" s="1" t="s">
        <v>75</v>
      </c>
      <c r="C322">
        <v>80</v>
      </c>
      <c r="D322">
        <v>11121001</v>
      </c>
      <c r="E322">
        <v>121001</v>
      </c>
      <c r="F322" s="1" t="s">
        <v>76</v>
      </c>
      <c r="G322" s="1" t="s">
        <v>2011</v>
      </c>
      <c r="H322">
        <v>0</v>
      </c>
      <c r="I322" s="1" t="s">
        <v>78</v>
      </c>
      <c r="J322" s="1" t="s">
        <v>2012</v>
      </c>
      <c r="K322" s="1" t="s">
        <v>2013</v>
      </c>
      <c r="L322" t="s">
        <v>91</v>
      </c>
      <c r="M322" t="s">
        <v>91</v>
      </c>
      <c r="N322" s="1" t="s">
        <v>2014</v>
      </c>
      <c r="O322" t="s">
        <v>91</v>
      </c>
      <c r="P322" s="1" t="s">
        <v>1562</v>
      </c>
      <c r="Q322" s="1" t="s">
        <v>2015</v>
      </c>
      <c r="R322" s="1" t="s">
        <v>2016</v>
      </c>
      <c r="S322">
        <v>1287</v>
      </c>
      <c r="T322">
        <v>89802100</v>
      </c>
      <c r="U322" s="1" t="s">
        <v>108</v>
      </c>
      <c r="V322" s="1" t="s">
        <v>86</v>
      </c>
      <c r="W322" s="1" t="s">
        <v>87</v>
      </c>
      <c r="X322">
        <v>49</v>
      </c>
      <c r="Y322">
        <v>999916261</v>
      </c>
      <c r="Z322" t="s">
        <v>91</v>
      </c>
      <c r="AA322" t="s">
        <v>91</v>
      </c>
      <c r="AB322" t="s">
        <v>91</v>
      </c>
      <c r="AC322" t="s">
        <v>91</v>
      </c>
      <c r="AD322" t="s">
        <v>91</v>
      </c>
      <c r="AE322" t="s">
        <v>91</v>
      </c>
      <c r="AF322" t="s">
        <v>91</v>
      </c>
      <c r="AG322" s="1" t="s">
        <v>91</v>
      </c>
      <c r="AH322" s="1" t="s">
        <v>91</v>
      </c>
      <c r="AI322" t="s">
        <v>91</v>
      </c>
      <c r="AM322" t="s">
        <v>91</v>
      </c>
      <c r="AN322" t="s">
        <v>91</v>
      </c>
      <c r="AO322" t="s">
        <v>91</v>
      </c>
      <c r="AP322" t="s">
        <v>91</v>
      </c>
      <c r="AQ322" s="1" t="s">
        <v>91</v>
      </c>
      <c r="AR322" s="1" t="s">
        <v>91</v>
      </c>
      <c r="AS322" s="1" t="s">
        <v>91</v>
      </c>
      <c r="AT322" s="1" t="s">
        <v>91</v>
      </c>
      <c r="AU322" s="1" t="s">
        <v>91</v>
      </c>
      <c r="AV322" t="s">
        <v>91</v>
      </c>
      <c r="AW322" t="s">
        <v>91</v>
      </c>
      <c r="AX322" t="s">
        <v>91</v>
      </c>
      <c r="AY322" t="s">
        <v>91</v>
      </c>
      <c r="AZ322" t="s">
        <v>91</v>
      </c>
      <c r="BA322" t="s">
        <v>91</v>
      </c>
      <c r="BB322" s="2">
        <v>45019.565613425926</v>
      </c>
      <c r="BC322" s="2"/>
      <c r="BD322" t="s">
        <v>91</v>
      </c>
      <c r="BF322" s="1" t="s">
        <v>75</v>
      </c>
      <c r="BI322" s="1" t="s">
        <v>88</v>
      </c>
      <c r="BJ322">
        <v>1</v>
      </c>
      <c r="BK322" s="1" t="s">
        <v>89</v>
      </c>
      <c r="BL322" t="s">
        <v>91</v>
      </c>
      <c r="BM322" s="1" t="s">
        <v>91</v>
      </c>
      <c r="BN322" s="1" t="s">
        <v>91</v>
      </c>
      <c r="BO322" s="1" t="s">
        <v>91</v>
      </c>
      <c r="BP322" s="1" t="s">
        <v>91</v>
      </c>
      <c r="BQ322" t="s">
        <v>91</v>
      </c>
      <c r="BR322" s="3">
        <v>45019</v>
      </c>
      <c r="BS322" s="3"/>
      <c r="BT322" t="s">
        <v>91</v>
      </c>
      <c r="BU322" t="s">
        <v>91</v>
      </c>
      <c r="BW322" s="1" t="s">
        <v>90</v>
      </c>
    </row>
    <row r="323" spans="1:75" x14ac:dyDescent="0.35">
      <c r="A323">
        <v>144580</v>
      </c>
      <c r="B323" s="1" t="s">
        <v>75</v>
      </c>
      <c r="C323">
        <v>80</v>
      </c>
      <c r="D323">
        <v>11121001</v>
      </c>
      <c r="E323">
        <v>121001</v>
      </c>
      <c r="F323" s="1" t="s">
        <v>76</v>
      </c>
      <c r="G323" s="1" t="s">
        <v>2017</v>
      </c>
      <c r="I323" s="1" t="s">
        <v>78</v>
      </c>
      <c r="J323" s="1" t="s">
        <v>2018</v>
      </c>
      <c r="K323" s="1" t="s">
        <v>2019</v>
      </c>
      <c r="L323" t="s">
        <v>91</v>
      </c>
      <c r="M323" t="s">
        <v>91</v>
      </c>
      <c r="N323" s="1" t="s">
        <v>2020</v>
      </c>
      <c r="O323" t="s">
        <v>91</v>
      </c>
      <c r="P323" s="1" t="s">
        <v>2021</v>
      </c>
      <c r="Q323" s="1" t="s">
        <v>2022</v>
      </c>
      <c r="R323" s="1" t="s">
        <v>2023</v>
      </c>
      <c r="S323">
        <v>1280</v>
      </c>
      <c r="T323">
        <v>89270000</v>
      </c>
      <c r="U323" s="1" t="s">
        <v>108</v>
      </c>
      <c r="V323" s="1" t="s">
        <v>1103</v>
      </c>
      <c r="W323" s="1" t="s">
        <v>87</v>
      </c>
      <c r="X323">
        <v>47</v>
      </c>
      <c r="Y323">
        <v>33733133</v>
      </c>
      <c r="Z323" t="s">
        <v>91</v>
      </c>
      <c r="AA323" t="s">
        <v>91</v>
      </c>
      <c r="AB323" t="s">
        <v>91</v>
      </c>
      <c r="AC323" t="s">
        <v>91</v>
      </c>
      <c r="AD323" t="s">
        <v>91</v>
      </c>
      <c r="AE323" t="s">
        <v>91</v>
      </c>
      <c r="AF323" t="s">
        <v>91</v>
      </c>
      <c r="AG323" s="1" t="s">
        <v>91</v>
      </c>
      <c r="AH323" s="1" t="s">
        <v>91</v>
      </c>
      <c r="AI323" t="s">
        <v>91</v>
      </c>
      <c r="AM323" t="s">
        <v>91</v>
      </c>
      <c r="AN323" t="s">
        <v>91</v>
      </c>
      <c r="AO323" t="s">
        <v>91</v>
      </c>
      <c r="AP323" t="s">
        <v>91</v>
      </c>
      <c r="AQ323" s="1" t="s">
        <v>91</v>
      </c>
      <c r="AR323" s="1" t="s">
        <v>91</v>
      </c>
      <c r="AS323" s="1" t="s">
        <v>91</v>
      </c>
      <c r="AT323" s="1" t="s">
        <v>91</v>
      </c>
      <c r="AU323" s="1" t="s">
        <v>91</v>
      </c>
      <c r="AV323" t="s">
        <v>91</v>
      </c>
      <c r="AW323" t="s">
        <v>91</v>
      </c>
      <c r="AX323" t="s">
        <v>91</v>
      </c>
      <c r="AY323" t="s">
        <v>91</v>
      </c>
      <c r="AZ323" t="s">
        <v>91</v>
      </c>
      <c r="BA323" t="s">
        <v>91</v>
      </c>
      <c r="BB323" s="2"/>
      <c r="BC323" s="2"/>
      <c r="BD323" t="s">
        <v>91</v>
      </c>
      <c r="BF323" s="1" t="s">
        <v>75</v>
      </c>
      <c r="BI323" s="1" t="s">
        <v>88</v>
      </c>
      <c r="BJ323">
        <v>1</v>
      </c>
      <c r="BK323" s="1" t="s">
        <v>89</v>
      </c>
      <c r="BL323" t="s">
        <v>91</v>
      </c>
      <c r="BM323" s="1" t="s">
        <v>109</v>
      </c>
      <c r="BN323" s="1" t="s">
        <v>110</v>
      </c>
      <c r="BO323" s="1" t="s">
        <v>180</v>
      </c>
      <c r="BP323" s="1" t="s">
        <v>91</v>
      </c>
      <c r="BQ323" t="s">
        <v>91</v>
      </c>
      <c r="BR323" s="3"/>
      <c r="BS323" s="3"/>
      <c r="BT323" t="s">
        <v>91</v>
      </c>
      <c r="BU323" t="s">
        <v>91</v>
      </c>
      <c r="BV323">
        <v>8</v>
      </c>
      <c r="BW323" s="1" t="s">
        <v>282</v>
      </c>
    </row>
    <row r="324" spans="1:75" x14ac:dyDescent="0.35">
      <c r="A324">
        <v>156812</v>
      </c>
      <c r="B324" s="1" t="s">
        <v>75</v>
      </c>
      <c r="C324">
        <v>80</v>
      </c>
      <c r="D324">
        <v>11121001</v>
      </c>
      <c r="E324">
        <v>121001</v>
      </c>
      <c r="F324" s="1" t="s">
        <v>76</v>
      </c>
      <c r="G324" s="1" t="s">
        <v>2024</v>
      </c>
      <c r="H324">
        <v>0</v>
      </c>
      <c r="I324" s="1" t="s">
        <v>78</v>
      </c>
      <c r="J324" s="1" t="s">
        <v>2025</v>
      </c>
      <c r="K324" s="1" t="s">
        <v>2026</v>
      </c>
      <c r="L324" t="s">
        <v>91</v>
      </c>
      <c r="M324" t="s">
        <v>91</v>
      </c>
      <c r="N324" s="1" t="s">
        <v>2027</v>
      </c>
      <c r="O324" t="s">
        <v>91</v>
      </c>
      <c r="P324" s="1" t="s">
        <v>946</v>
      </c>
      <c r="Q324" s="1" t="s">
        <v>2028</v>
      </c>
      <c r="R324" s="1" t="s">
        <v>236</v>
      </c>
      <c r="S324">
        <v>1280</v>
      </c>
      <c r="T324">
        <v>89240000</v>
      </c>
      <c r="U324" s="1" t="s">
        <v>108</v>
      </c>
      <c r="V324" s="1" t="s">
        <v>222</v>
      </c>
      <c r="W324" s="1" t="s">
        <v>87</v>
      </c>
      <c r="X324">
        <v>47</v>
      </c>
      <c r="Y324">
        <v>34441699</v>
      </c>
      <c r="Z324" t="s">
        <v>91</v>
      </c>
      <c r="AA324" t="s">
        <v>91</v>
      </c>
      <c r="AB324" t="s">
        <v>91</v>
      </c>
      <c r="AC324" t="s">
        <v>91</v>
      </c>
      <c r="AD324" t="s">
        <v>91</v>
      </c>
      <c r="AE324" t="s">
        <v>91</v>
      </c>
      <c r="AF324" t="s">
        <v>91</v>
      </c>
      <c r="AG324" s="1" t="s">
        <v>91</v>
      </c>
      <c r="AH324" s="1" t="s">
        <v>91</v>
      </c>
      <c r="AI324" t="s">
        <v>91</v>
      </c>
      <c r="AM324" t="s">
        <v>91</v>
      </c>
      <c r="AN324" t="s">
        <v>91</v>
      </c>
      <c r="AO324" t="s">
        <v>91</v>
      </c>
      <c r="AP324" t="s">
        <v>91</v>
      </c>
      <c r="AQ324" s="1" t="s">
        <v>91</v>
      </c>
      <c r="AR324" s="1" t="s">
        <v>91</v>
      </c>
      <c r="AS324" s="1" t="s">
        <v>91</v>
      </c>
      <c r="AT324" s="1" t="s">
        <v>91</v>
      </c>
      <c r="AU324" s="1" t="s">
        <v>91</v>
      </c>
      <c r="AV324" t="s">
        <v>91</v>
      </c>
      <c r="AW324" t="s">
        <v>91</v>
      </c>
      <c r="AX324" t="s">
        <v>91</v>
      </c>
      <c r="AY324" t="s">
        <v>91</v>
      </c>
      <c r="AZ324" t="s">
        <v>91</v>
      </c>
      <c r="BA324" t="s">
        <v>91</v>
      </c>
      <c r="BB324" s="2">
        <v>45113.505416666667</v>
      </c>
      <c r="BC324" s="2"/>
      <c r="BD324" t="s">
        <v>91</v>
      </c>
      <c r="BF324" s="1" t="s">
        <v>75</v>
      </c>
      <c r="BI324" s="1" t="s">
        <v>88</v>
      </c>
      <c r="BJ324">
        <v>1</v>
      </c>
      <c r="BK324" s="1" t="s">
        <v>89</v>
      </c>
      <c r="BL324" t="s">
        <v>91</v>
      </c>
      <c r="BM324" s="1" t="s">
        <v>91</v>
      </c>
      <c r="BN324" s="1" t="s">
        <v>91</v>
      </c>
      <c r="BO324" s="1" t="s">
        <v>91</v>
      </c>
      <c r="BP324" s="1" t="s">
        <v>91</v>
      </c>
      <c r="BQ324" t="s">
        <v>91</v>
      </c>
      <c r="BR324" s="3">
        <v>45113</v>
      </c>
      <c r="BS324" s="3"/>
      <c r="BT324" t="s">
        <v>91</v>
      </c>
      <c r="BU324" t="s">
        <v>91</v>
      </c>
      <c r="BW324" s="1" t="s">
        <v>90</v>
      </c>
    </row>
    <row r="325" spans="1:75" x14ac:dyDescent="0.35">
      <c r="A325">
        <v>144746</v>
      </c>
      <c r="B325" s="1" t="s">
        <v>75</v>
      </c>
      <c r="C325">
        <v>80</v>
      </c>
      <c r="D325">
        <v>11121001</v>
      </c>
      <c r="E325">
        <v>121001</v>
      </c>
      <c r="F325" s="1" t="s">
        <v>76</v>
      </c>
      <c r="G325" s="1" t="s">
        <v>2029</v>
      </c>
      <c r="I325" s="1" t="s">
        <v>78</v>
      </c>
      <c r="J325" s="1" t="s">
        <v>2030</v>
      </c>
      <c r="K325" s="1" t="s">
        <v>2031</v>
      </c>
      <c r="L325" t="s">
        <v>91</v>
      </c>
      <c r="M325" t="s">
        <v>91</v>
      </c>
      <c r="N325" s="1" t="s">
        <v>2032</v>
      </c>
      <c r="O325" t="s">
        <v>91</v>
      </c>
      <c r="P325" s="1" t="s">
        <v>335</v>
      </c>
      <c r="Q325" s="1" t="s">
        <v>2033</v>
      </c>
      <c r="R325" s="1" t="s">
        <v>1075</v>
      </c>
      <c r="S325">
        <v>1280</v>
      </c>
      <c r="T325">
        <v>89251701</v>
      </c>
      <c r="U325" s="1" t="s">
        <v>108</v>
      </c>
      <c r="V325" s="1" t="s">
        <v>302</v>
      </c>
      <c r="W325" s="1" t="s">
        <v>87</v>
      </c>
      <c r="X325">
        <v>47</v>
      </c>
      <c r="Y325">
        <v>32751889</v>
      </c>
      <c r="Z325" t="s">
        <v>91</v>
      </c>
      <c r="AA325" t="s">
        <v>91</v>
      </c>
      <c r="AB325" t="s">
        <v>91</v>
      </c>
      <c r="AC325" t="s">
        <v>91</v>
      </c>
      <c r="AD325" t="s">
        <v>91</v>
      </c>
      <c r="AE325" t="s">
        <v>91</v>
      </c>
      <c r="AF325" t="s">
        <v>91</v>
      </c>
      <c r="AG325" s="1" t="s">
        <v>91</v>
      </c>
      <c r="AH325" s="1" t="s">
        <v>91</v>
      </c>
      <c r="AI325" t="s">
        <v>91</v>
      </c>
      <c r="AM325" t="s">
        <v>91</v>
      </c>
      <c r="AN325" t="s">
        <v>91</v>
      </c>
      <c r="AO325" t="s">
        <v>91</v>
      </c>
      <c r="AP325" t="s">
        <v>91</v>
      </c>
      <c r="AQ325" s="1" t="s">
        <v>91</v>
      </c>
      <c r="AR325" s="1" t="s">
        <v>91</v>
      </c>
      <c r="AS325" s="1" t="s">
        <v>91</v>
      </c>
      <c r="AT325" s="1" t="s">
        <v>91</v>
      </c>
      <c r="AU325" s="1" t="s">
        <v>91</v>
      </c>
      <c r="AV325" t="s">
        <v>91</v>
      </c>
      <c r="AW325" t="s">
        <v>91</v>
      </c>
      <c r="AX325" t="s">
        <v>91</v>
      </c>
      <c r="AY325" t="s">
        <v>91</v>
      </c>
      <c r="AZ325" t="s">
        <v>91</v>
      </c>
      <c r="BA325" t="s">
        <v>91</v>
      </c>
      <c r="BB325" s="2"/>
      <c r="BC325" s="2"/>
      <c r="BD325" t="s">
        <v>91</v>
      </c>
      <c r="BF325" s="1" t="s">
        <v>75</v>
      </c>
      <c r="BI325" s="1" t="s">
        <v>88</v>
      </c>
      <c r="BJ325">
        <v>1</v>
      </c>
      <c r="BK325" s="1" t="s">
        <v>89</v>
      </c>
      <c r="BL325" t="s">
        <v>91</v>
      </c>
      <c r="BM325" s="1" t="s">
        <v>109</v>
      </c>
      <c r="BN325" s="1" t="s">
        <v>110</v>
      </c>
      <c r="BO325" s="1" t="s">
        <v>165</v>
      </c>
      <c r="BP325" s="1" t="s">
        <v>91</v>
      </c>
      <c r="BQ325" t="s">
        <v>91</v>
      </c>
      <c r="BR325" s="3"/>
      <c r="BS325" s="3"/>
      <c r="BT325" t="s">
        <v>91</v>
      </c>
      <c r="BU325" t="s">
        <v>91</v>
      </c>
      <c r="BV325">
        <v>5</v>
      </c>
      <c r="BW325" s="1" t="s">
        <v>390</v>
      </c>
    </row>
    <row r="326" spans="1:75" x14ac:dyDescent="0.35">
      <c r="A326">
        <v>144493</v>
      </c>
      <c r="B326" s="1" t="s">
        <v>75</v>
      </c>
      <c r="C326">
        <v>80</v>
      </c>
      <c r="D326">
        <v>11121001</v>
      </c>
      <c r="E326">
        <v>121001</v>
      </c>
      <c r="F326" s="1" t="s">
        <v>76</v>
      </c>
      <c r="G326" s="1" t="s">
        <v>2034</v>
      </c>
      <c r="I326" s="1" t="s">
        <v>78</v>
      </c>
      <c r="J326" s="1" t="s">
        <v>2030</v>
      </c>
      <c r="K326" s="1" t="s">
        <v>2035</v>
      </c>
      <c r="L326" t="s">
        <v>91</v>
      </c>
      <c r="M326" t="s">
        <v>91</v>
      </c>
      <c r="N326" s="1" t="s">
        <v>2036</v>
      </c>
      <c r="O326" t="s">
        <v>91</v>
      </c>
      <c r="P326" s="1" t="s">
        <v>873</v>
      </c>
      <c r="Q326" s="1" t="s">
        <v>728</v>
      </c>
      <c r="R326" s="1" t="s">
        <v>91</v>
      </c>
      <c r="S326">
        <v>1280</v>
      </c>
      <c r="T326">
        <v>89251000</v>
      </c>
      <c r="U326" s="1" t="s">
        <v>108</v>
      </c>
      <c r="V326" s="1" t="s">
        <v>302</v>
      </c>
      <c r="W326" s="1" t="s">
        <v>87</v>
      </c>
      <c r="X326">
        <v>47</v>
      </c>
      <c r="Y326">
        <v>32751889</v>
      </c>
      <c r="Z326" t="s">
        <v>91</v>
      </c>
      <c r="AA326" t="s">
        <v>91</v>
      </c>
      <c r="AB326" t="s">
        <v>91</v>
      </c>
      <c r="AC326" t="s">
        <v>91</v>
      </c>
      <c r="AD326" t="s">
        <v>91</v>
      </c>
      <c r="AE326" t="s">
        <v>91</v>
      </c>
      <c r="AF326" t="s">
        <v>91</v>
      </c>
      <c r="AG326" s="1" t="s">
        <v>91</v>
      </c>
      <c r="AH326" s="1" t="s">
        <v>91</v>
      </c>
      <c r="AI326" t="s">
        <v>91</v>
      </c>
      <c r="AM326" t="s">
        <v>91</v>
      </c>
      <c r="AN326" t="s">
        <v>91</v>
      </c>
      <c r="AO326" t="s">
        <v>91</v>
      </c>
      <c r="AP326" t="s">
        <v>91</v>
      </c>
      <c r="AQ326" s="1" t="s">
        <v>91</v>
      </c>
      <c r="AR326" s="1" t="s">
        <v>91</v>
      </c>
      <c r="AS326" s="1" t="s">
        <v>91</v>
      </c>
      <c r="AT326" s="1" t="s">
        <v>91</v>
      </c>
      <c r="AU326" s="1" t="s">
        <v>91</v>
      </c>
      <c r="AV326" t="s">
        <v>91</v>
      </c>
      <c r="AW326" t="s">
        <v>91</v>
      </c>
      <c r="AX326" t="s">
        <v>91</v>
      </c>
      <c r="AY326" t="s">
        <v>91</v>
      </c>
      <c r="AZ326" t="s">
        <v>91</v>
      </c>
      <c r="BA326" t="s">
        <v>91</v>
      </c>
      <c r="BB326" s="2"/>
      <c r="BC326" s="2"/>
      <c r="BD326" t="s">
        <v>91</v>
      </c>
      <c r="BF326" s="1" t="s">
        <v>75</v>
      </c>
      <c r="BI326" s="1" t="s">
        <v>88</v>
      </c>
      <c r="BJ326">
        <v>1</v>
      </c>
      <c r="BK326" s="1" t="s">
        <v>89</v>
      </c>
      <c r="BL326" t="s">
        <v>91</v>
      </c>
      <c r="BM326" s="1" t="s">
        <v>329</v>
      </c>
      <c r="BN326" s="1" t="s">
        <v>110</v>
      </c>
      <c r="BO326" s="1" t="s">
        <v>165</v>
      </c>
      <c r="BP326" s="1" t="s">
        <v>91</v>
      </c>
      <c r="BQ326" t="s">
        <v>91</v>
      </c>
      <c r="BR326" s="3"/>
      <c r="BS326" s="3"/>
      <c r="BT326" t="s">
        <v>91</v>
      </c>
      <c r="BU326" t="s">
        <v>91</v>
      </c>
      <c r="BV326">
        <v>3</v>
      </c>
      <c r="BW326" s="1" t="s">
        <v>390</v>
      </c>
    </row>
    <row r="327" spans="1:75" x14ac:dyDescent="0.35">
      <c r="A327">
        <v>156811</v>
      </c>
      <c r="B327" s="1" t="s">
        <v>75</v>
      </c>
      <c r="C327">
        <v>80</v>
      </c>
      <c r="D327">
        <v>11121001</v>
      </c>
      <c r="E327">
        <v>121001</v>
      </c>
      <c r="F327" s="1" t="s">
        <v>76</v>
      </c>
      <c r="G327" s="1" t="s">
        <v>2037</v>
      </c>
      <c r="H327">
        <v>0</v>
      </c>
      <c r="I327" s="1" t="s">
        <v>78</v>
      </c>
      <c r="J327" s="1" t="s">
        <v>2038</v>
      </c>
      <c r="K327" s="1" t="s">
        <v>2039</v>
      </c>
      <c r="L327" t="s">
        <v>91</v>
      </c>
      <c r="M327" t="s">
        <v>91</v>
      </c>
      <c r="N327" s="1" t="s">
        <v>2040</v>
      </c>
      <c r="O327" t="s">
        <v>91</v>
      </c>
      <c r="P327" s="1" t="s">
        <v>2041</v>
      </c>
      <c r="Q327" s="1" t="s">
        <v>149</v>
      </c>
      <c r="R327" s="1" t="s">
        <v>91</v>
      </c>
      <c r="S327">
        <v>1282</v>
      </c>
      <c r="T327">
        <v>89400000</v>
      </c>
      <c r="U327" s="1" t="s">
        <v>108</v>
      </c>
      <c r="V327" s="1" t="s">
        <v>2042</v>
      </c>
      <c r="W327" s="1" t="s">
        <v>87</v>
      </c>
      <c r="X327">
        <v>42</v>
      </c>
      <c r="Y327">
        <v>35221996</v>
      </c>
      <c r="Z327" t="s">
        <v>91</v>
      </c>
      <c r="AA327" t="s">
        <v>91</v>
      </c>
      <c r="AB327" t="s">
        <v>91</v>
      </c>
      <c r="AC327" t="s">
        <v>91</v>
      </c>
      <c r="AD327" t="s">
        <v>91</v>
      </c>
      <c r="AE327" t="s">
        <v>91</v>
      </c>
      <c r="AF327" t="s">
        <v>91</v>
      </c>
      <c r="AG327" s="1" t="s">
        <v>91</v>
      </c>
      <c r="AH327" s="1" t="s">
        <v>91</v>
      </c>
      <c r="AI327" t="s">
        <v>91</v>
      </c>
      <c r="AM327" t="s">
        <v>91</v>
      </c>
      <c r="AN327" t="s">
        <v>91</v>
      </c>
      <c r="AO327" t="s">
        <v>91</v>
      </c>
      <c r="AP327" t="s">
        <v>91</v>
      </c>
      <c r="AQ327" s="1" t="s">
        <v>91</v>
      </c>
      <c r="AR327" s="1" t="s">
        <v>91</v>
      </c>
      <c r="AS327" s="1" t="s">
        <v>91</v>
      </c>
      <c r="AT327" s="1" t="s">
        <v>91</v>
      </c>
      <c r="AU327" s="1" t="s">
        <v>91</v>
      </c>
      <c r="AV327" t="s">
        <v>91</v>
      </c>
      <c r="AW327" t="s">
        <v>91</v>
      </c>
      <c r="AX327" t="s">
        <v>91</v>
      </c>
      <c r="AY327" t="s">
        <v>91</v>
      </c>
      <c r="AZ327" t="s">
        <v>91</v>
      </c>
      <c r="BA327" t="s">
        <v>91</v>
      </c>
      <c r="BB327" s="2">
        <v>45113.505416666667</v>
      </c>
      <c r="BC327" s="2"/>
      <c r="BD327" t="s">
        <v>91</v>
      </c>
      <c r="BF327" s="1" t="s">
        <v>75</v>
      </c>
      <c r="BI327" s="1" t="s">
        <v>88</v>
      </c>
      <c r="BJ327">
        <v>1</v>
      </c>
      <c r="BK327" s="1" t="s">
        <v>89</v>
      </c>
      <c r="BL327" t="s">
        <v>91</v>
      </c>
      <c r="BM327" s="1" t="s">
        <v>91</v>
      </c>
      <c r="BN327" s="1" t="s">
        <v>91</v>
      </c>
      <c r="BO327" s="1" t="s">
        <v>91</v>
      </c>
      <c r="BP327" s="1" t="s">
        <v>91</v>
      </c>
      <c r="BQ327" t="s">
        <v>91</v>
      </c>
      <c r="BR327" s="3">
        <v>45113</v>
      </c>
      <c r="BS327" s="3"/>
      <c r="BT327" t="s">
        <v>91</v>
      </c>
      <c r="BU327" t="s">
        <v>91</v>
      </c>
      <c r="BW327" s="1" t="s">
        <v>166</v>
      </c>
    </row>
    <row r="328" spans="1:75" x14ac:dyDescent="0.35">
      <c r="A328">
        <v>144624</v>
      </c>
      <c r="B328" s="1" t="s">
        <v>75</v>
      </c>
      <c r="C328">
        <v>80</v>
      </c>
      <c r="D328">
        <v>11121001</v>
      </c>
      <c r="E328">
        <v>121001</v>
      </c>
      <c r="F328" s="1" t="s">
        <v>76</v>
      </c>
      <c r="G328" s="1" t="s">
        <v>2043</v>
      </c>
      <c r="I328" s="1" t="s">
        <v>78</v>
      </c>
      <c r="J328" s="1" t="s">
        <v>2044</v>
      </c>
      <c r="K328" s="1" t="s">
        <v>2045</v>
      </c>
      <c r="L328" t="s">
        <v>91</v>
      </c>
      <c r="M328" t="s">
        <v>91</v>
      </c>
      <c r="N328" s="1" t="s">
        <v>2046</v>
      </c>
      <c r="O328" t="s">
        <v>91</v>
      </c>
      <c r="P328" s="1" t="s">
        <v>2047</v>
      </c>
      <c r="Q328" s="1" t="s">
        <v>2048</v>
      </c>
      <c r="R328" s="1" t="s">
        <v>91</v>
      </c>
      <c r="T328">
        <v>89210605</v>
      </c>
      <c r="U328" s="1" t="s">
        <v>2049</v>
      </c>
      <c r="V328" s="1" t="s">
        <v>100</v>
      </c>
      <c r="W328" s="1" t="s">
        <v>87</v>
      </c>
      <c r="X328">
        <v>47</v>
      </c>
      <c r="Y328">
        <v>999866637</v>
      </c>
      <c r="Z328" t="s">
        <v>91</v>
      </c>
      <c r="AA328" t="s">
        <v>91</v>
      </c>
      <c r="AB328" t="s">
        <v>91</v>
      </c>
      <c r="AC328" t="s">
        <v>91</v>
      </c>
      <c r="AD328" t="s">
        <v>91</v>
      </c>
      <c r="AE328" t="s">
        <v>91</v>
      </c>
      <c r="AF328" t="s">
        <v>91</v>
      </c>
      <c r="AG328" s="1" t="s">
        <v>91</v>
      </c>
      <c r="AH328" s="1" t="s">
        <v>91</v>
      </c>
      <c r="AI328" t="s">
        <v>91</v>
      </c>
      <c r="AM328" t="s">
        <v>91</v>
      </c>
      <c r="AN328" t="s">
        <v>91</v>
      </c>
      <c r="AO328" t="s">
        <v>91</v>
      </c>
      <c r="AP328" t="s">
        <v>91</v>
      </c>
      <c r="AQ328" s="1" t="s">
        <v>91</v>
      </c>
      <c r="AR328" s="1" t="s">
        <v>91</v>
      </c>
      <c r="AS328" s="1" t="s">
        <v>91</v>
      </c>
      <c r="AT328" s="1" t="s">
        <v>91</v>
      </c>
      <c r="AU328" s="1" t="s">
        <v>91</v>
      </c>
      <c r="AV328" t="s">
        <v>91</v>
      </c>
      <c r="AW328" t="s">
        <v>91</v>
      </c>
      <c r="AX328" t="s">
        <v>91</v>
      </c>
      <c r="AY328" t="s">
        <v>91</v>
      </c>
      <c r="AZ328" t="s">
        <v>91</v>
      </c>
      <c r="BA328" t="s">
        <v>91</v>
      </c>
      <c r="BB328" s="2"/>
      <c r="BC328" s="2"/>
      <c r="BD328" t="s">
        <v>91</v>
      </c>
      <c r="BF328" s="1" t="s">
        <v>75</v>
      </c>
      <c r="BI328" s="1" t="s">
        <v>88</v>
      </c>
      <c r="BJ328">
        <v>1</v>
      </c>
      <c r="BK328" s="1" t="s">
        <v>89</v>
      </c>
      <c r="BL328" t="s">
        <v>91</v>
      </c>
      <c r="BM328" s="1" t="s">
        <v>109</v>
      </c>
      <c r="BN328" s="1" t="s">
        <v>110</v>
      </c>
      <c r="BO328" s="1" t="s">
        <v>180</v>
      </c>
      <c r="BP328" s="1" t="s">
        <v>91</v>
      </c>
      <c r="BQ328" t="s">
        <v>91</v>
      </c>
      <c r="BR328" s="3"/>
      <c r="BS328" s="3"/>
      <c r="BT328" t="s">
        <v>91</v>
      </c>
      <c r="BU328" t="s">
        <v>91</v>
      </c>
      <c r="BV328">
        <v>9</v>
      </c>
      <c r="BW328" s="1" t="s">
        <v>90</v>
      </c>
    </row>
    <row r="329" spans="1:75" x14ac:dyDescent="0.35">
      <c r="A329">
        <v>144456</v>
      </c>
      <c r="B329" s="1" t="s">
        <v>75</v>
      </c>
      <c r="C329">
        <v>80</v>
      </c>
      <c r="D329">
        <v>11121001</v>
      </c>
      <c r="E329">
        <v>121001</v>
      </c>
      <c r="F329" s="1" t="s">
        <v>76</v>
      </c>
      <c r="G329" s="1" t="s">
        <v>2050</v>
      </c>
      <c r="I329" s="1" t="s">
        <v>78</v>
      </c>
      <c r="J329" s="1" t="s">
        <v>2051</v>
      </c>
      <c r="K329" s="1" t="s">
        <v>2052</v>
      </c>
      <c r="L329" t="s">
        <v>91</v>
      </c>
      <c r="M329" t="s">
        <v>91</v>
      </c>
      <c r="N329" s="1" t="s">
        <v>2053</v>
      </c>
      <c r="O329" t="s">
        <v>91</v>
      </c>
      <c r="P329" s="1" t="s">
        <v>105</v>
      </c>
      <c r="Q329" s="1" t="s">
        <v>2054</v>
      </c>
      <c r="R329" s="1" t="s">
        <v>2055</v>
      </c>
      <c r="S329">
        <v>1277</v>
      </c>
      <c r="T329">
        <v>89201001</v>
      </c>
      <c r="U329" s="1" t="s">
        <v>108</v>
      </c>
      <c r="V329" s="1" t="s">
        <v>100</v>
      </c>
      <c r="W329" s="1" t="s">
        <v>87</v>
      </c>
      <c r="X329">
        <v>47</v>
      </c>
      <c r="Y329">
        <v>30290520</v>
      </c>
      <c r="Z329" t="s">
        <v>91</v>
      </c>
      <c r="AA329" t="s">
        <v>91</v>
      </c>
      <c r="AB329" t="s">
        <v>91</v>
      </c>
      <c r="AC329" t="s">
        <v>91</v>
      </c>
      <c r="AD329" t="s">
        <v>91</v>
      </c>
      <c r="AE329" t="s">
        <v>91</v>
      </c>
      <c r="AF329" t="s">
        <v>91</v>
      </c>
      <c r="AG329" s="1" t="s">
        <v>91</v>
      </c>
      <c r="AH329" s="1" t="s">
        <v>91</v>
      </c>
      <c r="AI329" t="s">
        <v>91</v>
      </c>
      <c r="AJ329">
        <v>0</v>
      </c>
      <c r="AK329">
        <v>0</v>
      </c>
      <c r="AL329">
        <v>0</v>
      </c>
      <c r="AM329" t="s">
        <v>91</v>
      </c>
      <c r="AN329" t="s">
        <v>91</v>
      </c>
      <c r="AO329" t="s">
        <v>91</v>
      </c>
      <c r="AP329" t="s">
        <v>91</v>
      </c>
      <c r="AQ329" s="1" t="s">
        <v>91</v>
      </c>
      <c r="AR329" s="1" t="s">
        <v>91</v>
      </c>
      <c r="AS329" s="1" t="s">
        <v>91</v>
      </c>
      <c r="AT329" s="1" t="s">
        <v>91</v>
      </c>
      <c r="AU329" s="1" t="s">
        <v>91</v>
      </c>
      <c r="AV329" t="s">
        <v>91</v>
      </c>
      <c r="AW329" t="s">
        <v>91</v>
      </c>
      <c r="AX329" t="s">
        <v>91</v>
      </c>
      <c r="AY329" t="s">
        <v>91</v>
      </c>
      <c r="AZ329" t="s">
        <v>91</v>
      </c>
      <c r="BA329" t="s">
        <v>91</v>
      </c>
      <c r="BB329" s="2"/>
      <c r="BC329" s="2"/>
      <c r="BD329" t="s">
        <v>91</v>
      </c>
      <c r="BF329" s="1" t="s">
        <v>75</v>
      </c>
      <c r="BG329">
        <v>0</v>
      </c>
      <c r="BH329">
        <v>0</v>
      </c>
      <c r="BI329" s="1" t="s">
        <v>88</v>
      </c>
      <c r="BJ329">
        <v>1</v>
      </c>
      <c r="BK329" s="1" t="s">
        <v>89</v>
      </c>
      <c r="BL329" t="s">
        <v>91</v>
      </c>
      <c r="BM329" s="1" t="s">
        <v>109</v>
      </c>
      <c r="BN329" s="1" t="s">
        <v>110</v>
      </c>
      <c r="BO329" s="1" t="s">
        <v>111</v>
      </c>
      <c r="BP329" s="1" t="s">
        <v>91</v>
      </c>
      <c r="BQ329" t="s">
        <v>91</v>
      </c>
      <c r="BR329" s="3"/>
      <c r="BS329" s="3"/>
      <c r="BT329" t="s">
        <v>91</v>
      </c>
      <c r="BU329" t="s">
        <v>91</v>
      </c>
      <c r="BV329">
        <v>6</v>
      </c>
      <c r="BW329" s="1" t="s">
        <v>1592</v>
      </c>
    </row>
    <row r="330" spans="1:75" x14ac:dyDescent="0.35">
      <c r="A330">
        <v>144742</v>
      </c>
      <c r="B330" s="1" t="s">
        <v>75</v>
      </c>
      <c r="C330">
        <v>80</v>
      </c>
      <c r="D330">
        <v>11121001</v>
      </c>
      <c r="E330">
        <v>121001</v>
      </c>
      <c r="F330" s="1" t="s">
        <v>76</v>
      </c>
      <c r="G330" s="1" t="s">
        <v>2056</v>
      </c>
      <c r="I330" s="1" t="s">
        <v>78</v>
      </c>
      <c r="J330" s="1" t="s">
        <v>2057</v>
      </c>
      <c r="K330" s="1" t="s">
        <v>2058</v>
      </c>
      <c r="L330" t="s">
        <v>91</v>
      </c>
      <c r="M330" t="s">
        <v>91</v>
      </c>
      <c r="N330" s="1" t="s">
        <v>2059</v>
      </c>
      <c r="O330" t="s">
        <v>91</v>
      </c>
      <c r="P330" s="1" t="s">
        <v>1142</v>
      </c>
      <c r="Q330" s="1" t="s">
        <v>2060</v>
      </c>
      <c r="R330" s="1" t="s">
        <v>370</v>
      </c>
      <c r="S330">
        <v>1280</v>
      </c>
      <c r="T330">
        <v>89251702</v>
      </c>
      <c r="U330" s="1" t="s">
        <v>108</v>
      </c>
      <c r="V330" s="1" t="s">
        <v>1076</v>
      </c>
      <c r="W330" s="1" t="s">
        <v>87</v>
      </c>
      <c r="X330">
        <v>47</v>
      </c>
      <c r="Y330">
        <v>30275567</v>
      </c>
      <c r="Z330" t="s">
        <v>91</v>
      </c>
      <c r="AA330" t="s">
        <v>91</v>
      </c>
      <c r="AB330" t="s">
        <v>91</v>
      </c>
      <c r="AC330" t="s">
        <v>91</v>
      </c>
      <c r="AD330" t="s">
        <v>91</v>
      </c>
      <c r="AE330" t="s">
        <v>91</v>
      </c>
      <c r="AF330" t="s">
        <v>91</v>
      </c>
      <c r="AG330" s="1" t="s">
        <v>91</v>
      </c>
      <c r="AH330" s="1" t="s">
        <v>91</v>
      </c>
      <c r="AI330" t="s">
        <v>91</v>
      </c>
      <c r="AJ330">
        <v>0</v>
      </c>
      <c r="AK330">
        <v>0</v>
      </c>
      <c r="AL330">
        <v>0</v>
      </c>
      <c r="AM330" t="s">
        <v>91</v>
      </c>
      <c r="AN330" t="s">
        <v>91</v>
      </c>
      <c r="AO330" t="s">
        <v>91</v>
      </c>
      <c r="AP330" t="s">
        <v>91</v>
      </c>
      <c r="AQ330" s="1" t="s">
        <v>91</v>
      </c>
      <c r="AR330" s="1" t="s">
        <v>91</v>
      </c>
      <c r="AS330" s="1" t="s">
        <v>91</v>
      </c>
      <c r="AT330" s="1" t="s">
        <v>91</v>
      </c>
      <c r="AU330" s="1" t="s">
        <v>91</v>
      </c>
      <c r="AV330" t="s">
        <v>91</v>
      </c>
      <c r="AW330" t="s">
        <v>91</v>
      </c>
      <c r="AX330" t="s">
        <v>91</v>
      </c>
      <c r="AY330" t="s">
        <v>91</v>
      </c>
      <c r="AZ330" t="s">
        <v>91</v>
      </c>
      <c r="BA330" t="s">
        <v>91</v>
      </c>
      <c r="BB330" s="2"/>
      <c r="BC330" s="2"/>
      <c r="BD330" t="s">
        <v>91</v>
      </c>
      <c r="BF330" s="1" t="s">
        <v>75</v>
      </c>
      <c r="BG330">
        <v>0</v>
      </c>
      <c r="BH330">
        <v>0</v>
      </c>
      <c r="BI330" s="1" t="s">
        <v>88</v>
      </c>
      <c r="BJ330">
        <v>1</v>
      </c>
      <c r="BK330" s="1" t="s">
        <v>89</v>
      </c>
      <c r="BL330" t="s">
        <v>91</v>
      </c>
      <c r="BM330" s="1" t="s">
        <v>109</v>
      </c>
      <c r="BN330" s="1" t="s">
        <v>110</v>
      </c>
      <c r="BO330" s="1" t="s">
        <v>180</v>
      </c>
      <c r="BP330" s="1" t="s">
        <v>91</v>
      </c>
      <c r="BQ330" t="s">
        <v>91</v>
      </c>
      <c r="BR330" s="3"/>
      <c r="BS330" s="3"/>
      <c r="BT330" t="s">
        <v>91</v>
      </c>
      <c r="BU330" t="s">
        <v>91</v>
      </c>
      <c r="BV330">
        <v>8</v>
      </c>
      <c r="BW330" s="1" t="s">
        <v>1284</v>
      </c>
    </row>
    <row r="331" spans="1:75" x14ac:dyDescent="0.35">
      <c r="A331">
        <v>156809</v>
      </c>
      <c r="B331" s="1" t="s">
        <v>75</v>
      </c>
      <c r="C331">
        <v>80</v>
      </c>
      <c r="D331">
        <v>11121001</v>
      </c>
      <c r="E331">
        <v>121001</v>
      </c>
      <c r="F331" s="1" t="s">
        <v>76</v>
      </c>
      <c r="G331" s="1" t="s">
        <v>2061</v>
      </c>
      <c r="H331">
        <v>0</v>
      </c>
      <c r="I331" s="1" t="s">
        <v>78</v>
      </c>
      <c r="J331" s="1" t="s">
        <v>2062</v>
      </c>
      <c r="K331" s="1" t="s">
        <v>2063</v>
      </c>
      <c r="L331" t="s">
        <v>91</v>
      </c>
      <c r="M331" t="s">
        <v>91</v>
      </c>
      <c r="N331" s="1" t="s">
        <v>91</v>
      </c>
      <c r="O331" t="s">
        <v>91</v>
      </c>
      <c r="P331" s="1" t="s">
        <v>1586</v>
      </c>
      <c r="Q331" s="1" t="s">
        <v>657</v>
      </c>
      <c r="R331" s="1" t="s">
        <v>91</v>
      </c>
      <c r="S331">
        <v>1282</v>
      </c>
      <c r="T331">
        <v>89400000</v>
      </c>
      <c r="U331" s="1" t="s">
        <v>108</v>
      </c>
      <c r="V331" s="1" t="s">
        <v>2042</v>
      </c>
      <c r="W331" s="1" t="s">
        <v>87</v>
      </c>
      <c r="X331">
        <v>42</v>
      </c>
      <c r="Y331">
        <v>35221345</v>
      </c>
      <c r="Z331" t="s">
        <v>91</v>
      </c>
      <c r="AA331" t="s">
        <v>91</v>
      </c>
      <c r="AB331" t="s">
        <v>91</v>
      </c>
      <c r="AC331" t="s">
        <v>91</v>
      </c>
      <c r="AD331" t="s">
        <v>91</v>
      </c>
      <c r="AE331" t="s">
        <v>91</v>
      </c>
      <c r="AF331" t="s">
        <v>91</v>
      </c>
      <c r="AG331" s="1" t="s">
        <v>91</v>
      </c>
      <c r="AH331" s="1" t="s">
        <v>91</v>
      </c>
      <c r="AI331" t="s">
        <v>91</v>
      </c>
      <c r="AM331" t="s">
        <v>91</v>
      </c>
      <c r="AN331" t="s">
        <v>91</v>
      </c>
      <c r="AO331" t="s">
        <v>91</v>
      </c>
      <c r="AP331" t="s">
        <v>91</v>
      </c>
      <c r="AQ331" s="1" t="s">
        <v>91</v>
      </c>
      <c r="AR331" s="1" t="s">
        <v>91</v>
      </c>
      <c r="AS331" s="1" t="s">
        <v>91</v>
      </c>
      <c r="AT331" s="1" t="s">
        <v>91</v>
      </c>
      <c r="AU331" s="1" t="s">
        <v>91</v>
      </c>
      <c r="AV331" t="s">
        <v>91</v>
      </c>
      <c r="AW331" t="s">
        <v>91</v>
      </c>
      <c r="AX331" t="s">
        <v>91</v>
      </c>
      <c r="AY331" t="s">
        <v>91</v>
      </c>
      <c r="AZ331" t="s">
        <v>91</v>
      </c>
      <c r="BA331" t="s">
        <v>91</v>
      </c>
      <c r="BB331" s="2">
        <v>45113.505416666667</v>
      </c>
      <c r="BC331" s="2"/>
      <c r="BD331" t="s">
        <v>91</v>
      </c>
      <c r="BF331" s="1" t="s">
        <v>75</v>
      </c>
      <c r="BI331" s="1" t="s">
        <v>88</v>
      </c>
      <c r="BJ331">
        <v>1</v>
      </c>
      <c r="BK331" s="1" t="s">
        <v>89</v>
      </c>
      <c r="BL331" t="s">
        <v>91</v>
      </c>
      <c r="BM331" s="1" t="s">
        <v>91</v>
      </c>
      <c r="BN331" s="1" t="s">
        <v>91</v>
      </c>
      <c r="BO331" s="1" t="s">
        <v>91</v>
      </c>
      <c r="BP331" s="1" t="s">
        <v>91</v>
      </c>
      <c r="BQ331" t="s">
        <v>91</v>
      </c>
      <c r="BR331" s="3">
        <v>45113</v>
      </c>
      <c r="BS331" s="3"/>
      <c r="BT331" t="s">
        <v>91</v>
      </c>
      <c r="BU331" t="s">
        <v>91</v>
      </c>
      <c r="BW331" s="1" t="s">
        <v>166</v>
      </c>
    </row>
    <row r="332" spans="1:75" x14ac:dyDescent="0.35">
      <c r="A332">
        <v>127752</v>
      </c>
      <c r="B332" s="1" t="s">
        <v>75</v>
      </c>
      <c r="C332">
        <v>80</v>
      </c>
      <c r="D332">
        <v>11121001</v>
      </c>
      <c r="E332">
        <v>121001</v>
      </c>
      <c r="F332" s="1" t="s">
        <v>76</v>
      </c>
      <c r="G332" s="1" t="s">
        <v>2064</v>
      </c>
      <c r="H332">
        <v>0</v>
      </c>
      <c r="I332" s="1" t="s">
        <v>78</v>
      </c>
      <c r="J332" s="1" t="s">
        <v>2065</v>
      </c>
      <c r="K332" s="1" t="s">
        <v>2066</v>
      </c>
      <c r="L332" t="s">
        <v>91</v>
      </c>
      <c r="M332" t="s">
        <v>91</v>
      </c>
      <c r="N332" s="1" t="s">
        <v>91</v>
      </c>
      <c r="O332" t="s">
        <v>91</v>
      </c>
      <c r="P332" s="1" t="s">
        <v>438</v>
      </c>
      <c r="Q332" s="1" t="s">
        <v>2067</v>
      </c>
      <c r="R332" s="1" t="s">
        <v>91</v>
      </c>
      <c r="S332">
        <v>1280</v>
      </c>
      <c r="T332">
        <v>89290000</v>
      </c>
      <c r="U332" s="1" t="s">
        <v>343</v>
      </c>
      <c r="V332" s="1" t="s">
        <v>520</v>
      </c>
      <c r="W332" s="1" t="s">
        <v>87</v>
      </c>
      <c r="X332">
        <v>47</v>
      </c>
      <c r="Y332">
        <v>36335406</v>
      </c>
      <c r="Z332" t="s">
        <v>91</v>
      </c>
      <c r="AA332" t="s">
        <v>91</v>
      </c>
      <c r="AB332" t="s">
        <v>91</v>
      </c>
      <c r="AC332" t="s">
        <v>91</v>
      </c>
      <c r="AD332" t="s">
        <v>91</v>
      </c>
      <c r="AE332" t="s">
        <v>91</v>
      </c>
      <c r="AF332" t="s">
        <v>91</v>
      </c>
      <c r="AG332" s="1" t="s">
        <v>91</v>
      </c>
      <c r="AH332" s="1" t="s">
        <v>91</v>
      </c>
      <c r="AI332" t="s">
        <v>91</v>
      </c>
      <c r="AJ332">
        <v>0</v>
      </c>
      <c r="AK332">
        <v>0</v>
      </c>
      <c r="AL332">
        <v>0</v>
      </c>
      <c r="AM332" t="s">
        <v>91</v>
      </c>
      <c r="AN332" t="s">
        <v>91</v>
      </c>
      <c r="AO332" t="s">
        <v>91</v>
      </c>
      <c r="AP332" t="s">
        <v>91</v>
      </c>
      <c r="AQ332" s="1" t="s">
        <v>91</v>
      </c>
      <c r="AR332" s="1" t="s">
        <v>91</v>
      </c>
      <c r="AS332" s="1" t="s">
        <v>91</v>
      </c>
      <c r="AT332" s="1" t="s">
        <v>91</v>
      </c>
      <c r="AU332" s="1" t="s">
        <v>91</v>
      </c>
      <c r="AV332" t="s">
        <v>91</v>
      </c>
      <c r="AW332" t="s">
        <v>91</v>
      </c>
      <c r="AX332" t="s">
        <v>91</v>
      </c>
      <c r="AY332" t="s">
        <v>91</v>
      </c>
      <c r="AZ332" t="s">
        <v>91</v>
      </c>
      <c r="BA332" t="s">
        <v>91</v>
      </c>
      <c r="BB332" s="2">
        <v>44111.380995370368</v>
      </c>
      <c r="BC332" s="2"/>
      <c r="BD332" t="s">
        <v>91</v>
      </c>
      <c r="BF332" s="1" t="s">
        <v>75</v>
      </c>
      <c r="BG332">
        <v>0</v>
      </c>
      <c r="BH332">
        <v>0</v>
      </c>
      <c r="BI332" s="1" t="s">
        <v>88</v>
      </c>
      <c r="BJ332">
        <v>1</v>
      </c>
      <c r="BK332" s="1" t="s">
        <v>89</v>
      </c>
      <c r="BL332" t="s">
        <v>91</v>
      </c>
      <c r="BM332" s="1" t="s">
        <v>109</v>
      </c>
      <c r="BN332" s="1" t="s">
        <v>110</v>
      </c>
      <c r="BO332" s="1" t="s">
        <v>180</v>
      </c>
      <c r="BP332" s="1" t="s">
        <v>91</v>
      </c>
      <c r="BQ332" t="s">
        <v>91</v>
      </c>
      <c r="BR332" s="3">
        <v>44111</v>
      </c>
      <c r="BS332" s="3"/>
      <c r="BT332" t="s">
        <v>91</v>
      </c>
      <c r="BU332" t="s">
        <v>91</v>
      </c>
      <c r="BV332">
        <v>6</v>
      </c>
      <c r="BW332" s="1" t="s">
        <v>90</v>
      </c>
    </row>
    <row r="333" spans="1:75" x14ac:dyDescent="0.35">
      <c r="A333">
        <v>156752</v>
      </c>
      <c r="B333" s="1" t="s">
        <v>75</v>
      </c>
      <c r="C333">
        <v>80</v>
      </c>
      <c r="D333">
        <v>11121001</v>
      </c>
      <c r="E333">
        <v>121001</v>
      </c>
      <c r="F333" s="1" t="s">
        <v>76</v>
      </c>
      <c r="G333" s="1" t="s">
        <v>2068</v>
      </c>
      <c r="H333">
        <v>0</v>
      </c>
      <c r="I333" s="1" t="s">
        <v>78</v>
      </c>
      <c r="J333" s="1" t="s">
        <v>2069</v>
      </c>
      <c r="K333" s="1" t="s">
        <v>2070</v>
      </c>
      <c r="L333" t="s">
        <v>91</v>
      </c>
      <c r="M333" t="s">
        <v>91</v>
      </c>
      <c r="N333" s="1" t="s">
        <v>2071</v>
      </c>
      <c r="O333" t="s">
        <v>91</v>
      </c>
      <c r="P333" s="1" t="s">
        <v>125</v>
      </c>
      <c r="Q333" s="1" t="s">
        <v>2072</v>
      </c>
      <c r="R333" s="1" t="s">
        <v>2073</v>
      </c>
      <c r="S333">
        <v>1277</v>
      </c>
      <c r="T333">
        <v>89201010</v>
      </c>
      <c r="U333" s="1" t="s">
        <v>108</v>
      </c>
      <c r="V333" s="1" t="s">
        <v>100</v>
      </c>
      <c r="W333" s="1" t="s">
        <v>87</v>
      </c>
      <c r="X333">
        <v>47</v>
      </c>
      <c r="Y333">
        <v>991411098</v>
      </c>
      <c r="Z333" t="s">
        <v>91</v>
      </c>
      <c r="AA333" t="s">
        <v>91</v>
      </c>
      <c r="AB333" t="s">
        <v>91</v>
      </c>
      <c r="AC333" t="s">
        <v>91</v>
      </c>
      <c r="AD333" t="s">
        <v>91</v>
      </c>
      <c r="AE333" t="s">
        <v>91</v>
      </c>
      <c r="AF333" t="s">
        <v>91</v>
      </c>
      <c r="AG333" s="1" t="s">
        <v>91</v>
      </c>
      <c r="AH333" s="1" t="s">
        <v>91</v>
      </c>
      <c r="AI333" t="s">
        <v>91</v>
      </c>
      <c r="AM333" t="s">
        <v>91</v>
      </c>
      <c r="AN333" t="s">
        <v>91</v>
      </c>
      <c r="AO333" t="s">
        <v>91</v>
      </c>
      <c r="AP333" t="s">
        <v>91</v>
      </c>
      <c r="AQ333" s="1" t="s">
        <v>91</v>
      </c>
      <c r="AR333" s="1" t="s">
        <v>91</v>
      </c>
      <c r="AS333" s="1" t="s">
        <v>91</v>
      </c>
      <c r="AT333" s="1" t="s">
        <v>91</v>
      </c>
      <c r="AU333" s="1" t="s">
        <v>91</v>
      </c>
      <c r="AV333" t="s">
        <v>91</v>
      </c>
      <c r="AW333" t="s">
        <v>91</v>
      </c>
      <c r="AX333" t="s">
        <v>91</v>
      </c>
      <c r="AY333" t="s">
        <v>91</v>
      </c>
      <c r="AZ333" t="s">
        <v>91</v>
      </c>
      <c r="BA333" t="s">
        <v>91</v>
      </c>
      <c r="BB333" s="2">
        <v>45113.505416666667</v>
      </c>
      <c r="BC333" s="2"/>
      <c r="BD333" t="s">
        <v>91</v>
      </c>
      <c r="BF333" s="1" t="s">
        <v>75</v>
      </c>
      <c r="BI333" s="1" t="s">
        <v>88</v>
      </c>
      <c r="BJ333">
        <v>1</v>
      </c>
      <c r="BK333" s="1" t="s">
        <v>89</v>
      </c>
      <c r="BL333" t="s">
        <v>91</v>
      </c>
      <c r="BM333" s="1" t="s">
        <v>91</v>
      </c>
      <c r="BN333" s="1" t="s">
        <v>91</v>
      </c>
      <c r="BO333" s="1" t="s">
        <v>91</v>
      </c>
      <c r="BP333" s="1" t="s">
        <v>91</v>
      </c>
      <c r="BQ333" t="s">
        <v>91</v>
      </c>
      <c r="BR333" s="3">
        <v>45113</v>
      </c>
      <c r="BS333" s="3"/>
      <c r="BT333" t="s">
        <v>91</v>
      </c>
      <c r="BU333" t="s">
        <v>91</v>
      </c>
      <c r="BW333" s="1" t="s">
        <v>90</v>
      </c>
    </row>
    <row r="334" spans="1:75" x14ac:dyDescent="0.35">
      <c r="A334">
        <v>831</v>
      </c>
      <c r="B334" s="1" t="s">
        <v>75</v>
      </c>
      <c r="C334">
        <v>80</v>
      </c>
      <c r="D334">
        <v>11121001</v>
      </c>
      <c r="E334">
        <v>121001</v>
      </c>
      <c r="F334" s="1" t="s">
        <v>76</v>
      </c>
      <c r="G334" s="1" t="s">
        <v>2074</v>
      </c>
      <c r="I334" s="1" t="s">
        <v>78</v>
      </c>
      <c r="J334" s="1" t="s">
        <v>2075</v>
      </c>
      <c r="K334" s="1" t="s">
        <v>2076</v>
      </c>
      <c r="L334" t="s">
        <v>91</v>
      </c>
      <c r="M334" t="s">
        <v>91</v>
      </c>
      <c r="N334" s="1" t="s">
        <v>2077</v>
      </c>
      <c r="O334" t="s">
        <v>91</v>
      </c>
      <c r="P334" s="1" t="s">
        <v>125</v>
      </c>
      <c r="Q334" s="1" t="s">
        <v>2072</v>
      </c>
      <c r="R334" s="1" t="s">
        <v>91</v>
      </c>
      <c r="S334">
        <v>1277</v>
      </c>
      <c r="T334">
        <v>89201010</v>
      </c>
      <c r="U334" s="1" t="s">
        <v>108</v>
      </c>
      <c r="V334" s="1" t="s">
        <v>100</v>
      </c>
      <c r="W334" s="1" t="s">
        <v>87</v>
      </c>
      <c r="X334">
        <v>47</v>
      </c>
      <c r="Y334">
        <v>34230924</v>
      </c>
      <c r="Z334" t="s">
        <v>91</v>
      </c>
      <c r="AA334" t="s">
        <v>91</v>
      </c>
      <c r="AB334" t="s">
        <v>91</v>
      </c>
      <c r="AC334" t="s">
        <v>91</v>
      </c>
      <c r="AD334" t="s">
        <v>91</v>
      </c>
      <c r="AE334" t="s">
        <v>91</v>
      </c>
      <c r="AF334" t="s">
        <v>91</v>
      </c>
      <c r="AG334" s="1" t="s">
        <v>91</v>
      </c>
      <c r="AH334" s="1" t="s">
        <v>91</v>
      </c>
      <c r="AI334" t="s">
        <v>91</v>
      </c>
      <c r="AJ334">
        <v>0</v>
      </c>
      <c r="AK334">
        <v>0</v>
      </c>
      <c r="AL334">
        <v>0</v>
      </c>
      <c r="AM334" t="s">
        <v>91</v>
      </c>
      <c r="AN334" t="s">
        <v>91</v>
      </c>
      <c r="AO334" t="s">
        <v>91</v>
      </c>
      <c r="AP334" t="s">
        <v>91</v>
      </c>
      <c r="AQ334" s="1" t="s">
        <v>91</v>
      </c>
      <c r="AR334" s="1" t="s">
        <v>91</v>
      </c>
      <c r="AS334" s="1" t="s">
        <v>91</v>
      </c>
      <c r="AT334" s="1" t="s">
        <v>91</v>
      </c>
      <c r="AU334" s="1" t="s">
        <v>91</v>
      </c>
      <c r="AV334" t="s">
        <v>91</v>
      </c>
      <c r="AW334" t="s">
        <v>91</v>
      </c>
      <c r="AX334" t="s">
        <v>91</v>
      </c>
      <c r="AY334" t="s">
        <v>91</v>
      </c>
      <c r="AZ334" t="s">
        <v>91</v>
      </c>
      <c r="BA334" t="s">
        <v>91</v>
      </c>
      <c r="BB334" s="2">
        <v>43308.392962962964</v>
      </c>
      <c r="BC334" s="2"/>
      <c r="BD334" t="s">
        <v>91</v>
      </c>
      <c r="BE334">
        <v>831</v>
      </c>
      <c r="BF334" s="1" t="s">
        <v>75</v>
      </c>
      <c r="BG334">
        <v>0</v>
      </c>
      <c r="BH334">
        <v>0</v>
      </c>
      <c r="BI334" s="1" t="s">
        <v>88</v>
      </c>
      <c r="BJ334">
        <v>1</v>
      </c>
      <c r="BK334" s="1" t="s">
        <v>89</v>
      </c>
      <c r="BL334" t="s">
        <v>91</v>
      </c>
      <c r="BM334" s="1" t="s">
        <v>109</v>
      </c>
      <c r="BN334" s="1" t="s">
        <v>110</v>
      </c>
      <c r="BO334" s="1" t="s">
        <v>180</v>
      </c>
      <c r="BP334" s="1" t="s">
        <v>91</v>
      </c>
      <c r="BQ334" t="s">
        <v>91</v>
      </c>
      <c r="BR334" s="3">
        <v>43308</v>
      </c>
      <c r="BS334" s="3"/>
      <c r="BT334" t="s">
        <v>91</v>
      </c>
      <c r="BU334" t="s">
        <v>91</v>
      </c>
      <c r="BV334">
        <v>4</v>
      </c>
      <c r="BW334" s="1" t="s">
        <v>90</v>
      </c>
    </row>
    <row r="335" spans="1:75" x14ac:dyDescent="0.35">
      <c r="A335">
        <v>144586</v>
      </c>
      <c r="B335" s="1" t="s">
        <v>75</v>
      </c>
      <c r="C335">
        <v>80</v>
      </c>
      <c r="D335">
        <v>11121001</v>
      </c>
      <c r="E335">
        <v>121001</v>
      </c>
      <c r="F335" s="1" t="s">
        <v>76</v>
      </c>
      <c r="G335" s="1" t="s">
        <v>2078</v>
      </c>
      <c r="I335" s="1" t="s">
        <v>78</v>
      </c>
      <c r="J335" s="1" t="s">
        <v>2079</v>
      </c>
      <c r="K335" s="1" t="s">
        <v>2080</v>
      </c>
      <c r="L335" t="s">
        <v>91</v>
      </c>
      <c r="M335" t="s">
        <v>91</v>
      </c>
      <c r="N335" s="1" t="s">
        <v>2081</v>
      </c>
      <c r="O335" t="s">
        <v>91</v>
      </c>
      <c r="P335" s="1" t="s">
        <v>1142</v>
      </c>
      <c r="Q335" s="1" t="s">
        <v>2060</v>
      </c>
      <c r="R335" s="1" t="s">
        <v>370</v>
      </c>
      <c r="S335">
        <v>1280</v>
      </c>
      <c r="T335">
        <v>89251700</v>
      </c>
      <c r="U335" s="1" t="s">
        <v>108</v>
      </c>
      <c r="V335" s="1" t="s">
        <v>1076</v>
      </c>
      <c r="W335" s="1" t="s">
        <v>87</v>
      </c>
      <c r="X335">
        <v>47</v>
      </c>
      <c r="Y335">
        <v>30179428</v>
      </c>
      <c r="Z335" t="s">
        <v>91</v>
      </c>
      <c r="AA335" t="s">
        <v>91</v>
      </c>
      <c r="AB335" t="s">
        <v>91</v>
      </c>
      <c r="AC335" t="s">
        <v>91</v>
      </c>
      <c r="AD335" t="s">
        <v>91</v>
      </c>
      <c r="AE335" t="s">
        <v>91</v>
      </c>
      <c r="AF335" t="s">
        <v>91</v>
      </c>
      <c r="AG335" s="1" t="s">
        <v>91</v>
      </c>
      <c r="AH335" s="1" t="s">
        <v>91</v>
      </c>
      <c r="AI335" t="s">
        <v>91</v>
      </c>
      <c r="AJ335">
        <v>0</v>
      </c>
      <c r="AK335">
        <v>0</v>
      </c>
      <c r="AL335">
        <v>0</v>
      </c>
      <c r="AM335" t="s">
        <v>91</v>
      </c>
      <c r="AN335" t="s">
        <v>91</v>
      </c>
      <c r="AO335" t="s">
        <v>91</v>
      </c>
      <c r="AP335" t="s">
        <v>91</v>
      </c>
      <c r="AQ335" s="1" t="s">
        <v>91</v>
      </c>
      <c r="AR335" s="1" t="s">
        <v>91</v>
      </c>
      <c r="AS335" s="1" t="s">
        <v>91</v>
      </c>
      <c r="AT335" s="1" t="s">
        <v>91</v>
      </c>
      <c r="AU335" s="1" t="s">
        <v>91</v>
      </c>
      <c r="AV335" t="s">
        <v>91</v>
      </c>
      <c r="AW335" t="s">
        <v>91</v>
      </c>
      <c r="AX335" t="s">
        <v>91</v>
      </c>
      <c r="AY335" t="s">
        <v>91</v>
      </c>
      <c r="AZ335" t="s">
        <v>91</v>
      </c>
      <c r="BA335" t="s">
        <v>91</v>
      </c>
      <c r="BB335" s="2"/>
      <c r="BC335" s="2"/>
      <c r="BD335" t="s">
        <v>91</v>
      </c>
      <c r="BF335" s="1" t="s">
        <v>75</v>
      </c>
      <c r="BG335">
        <v>0</v>
      </c>
      <c r="BH335">
        <v>0</v>
      </c>
      <c r="BI335" s="1" t="s">
        <v>88</v>
      </c>
      <c r="BJ335">
        <v>1</v>
      </c>
      <c r="BK335" s="1" t="s">
        <v>89</v>
      </c>
      <c r="BL335" t="s">
        <v>91</v>
      </c>
      <c r="BM335" s="1" t="s">
        <v>109</v>
      </c>
      <c r="BN335" s="1" t="s">
        <v>110</v>
      </c>
      <c r="BO335" s="1" t="s">
        <v>180</v>
      </c>
      <c r="BP335" s="1" t="s">
        <v>91</v>
      </c>
      <c r="BQ335" t="s">
        <v>91</v>
      </c>
      <c r="BR335" s="3"/>
      <c r="BS335" s="3"/>
      <c r="BT335" t="s">
        <v>91</v>
      </c>
      <c r="BU335" t="s">
        <v>91</v>
      </c>
      <c r="BV335">
        <v>9</v>
      </c>
      <c r="BW335" s="1" t="s">
        <v>396</v>
      </c>
    </row>
    <row r="336" spans="1:75" x14ac:dyDescent="0.35">
      <c r="A336">
        <v>138173</v>
      </c>
      <c r="B336" s="1" t="s">
        <v>75</v>
      </c>
      <c r="C336">
        <v>80</v>
      </c>
      <c r="D336">
        <v>11121001</v>
      </c>
      <c r="E336">
        <v>121001</v>
      </c>
      <c r="F336" s="1" t="s">
        <v>76</v>
      </c>
      <c r="G336" s="1" t="s">
        <v>2082</v>
      </c>
      <c r="H336">
        <v>0</v>
      </c>
      <c r="I336" s="1" t="s">
        <v>78</v>
      </c>
      <c r="J336" s="1" t="s">
        <v>2083</v>
      </c>
      <c r="K336" s="1" t="s">
        <v>2084</v>
      </c>
      <c r="L336" t="s">
        <v>91</v>
      </c>
      <c r="M336" t="s">
        <v>91</v>
      </c>
      <c r="N336" s="1" t="s">
        <v>2085</v>
      </c>
      <c r="O336" t="s">
        <v>91</v>
      </c>
      <c r="P336" s="1" t="s">
        <v>1856</v>
      </c>
      <c r="Q336" s="1" t="s">
        <v>2086</v>
      </c>
      <c r="R336" s="1" t="s">
        <v>173</v>
      </c>
      <c r="T336">
        <v>89560128</v>
      </c>
      <c r="U336" s="1" t="s">
        <v>108</v>
      </c>
      <c r="V336" s="1" t="s">
        <v>1827</v>
      </c>
      <c r="W336" s="1" t="s">
        <v>87</v>
      </c>
      <c r="X336">
        <v>49</v>
      </c>
      <c r="Y336">
        <v>998129293</v>
      </c>
      <c r="Z336" t="s">
        <v>91</v>
      </c>
      <c r="AA336" t="s">
        <v>91</v>
      </c>
      <c r="AB336" t="s">
        <v>91</v>
      </c>
      <c r="AC336" t="s">
        <v>91</v>
      </c>
      <c r="AD336" t="s">
        <v>91</v>
      </c>
      <c r="AE336" t="s">
        <v>91</v>
      </c>
      <c r="AF336" t="s">
        <v>91</v>
      </c>
      <c r="AG336" s="1" t="s">
        <v>146</v>
      </c>
      <c r="AH336" s="1" t="s">
        <v>91</v>
      </c>
      <c r="AI336" t="s">
        <v>91</v>
      </c>
      <c r="AM336" t="s">
        <v>91</v>
      </c>
      <c r="AN336" t="s">
        <v>91</v>
      </c>
      <c r="AO336" t="s">
        <v>91</v>
      </c>
      <c r="AP336" t="s">
        <v>91</v>
      </c>
      <c r="AQ336" s="1" t="s">
        <v>147</v>
      </c>
      <c r="AR336" s="1" t="s">
        <v>147</v>
      </c>
      <c r="AS336" s="1" t="s">
        <v>147</v>
      </c>
      <c r="AT336" s="1" t="s">
        <v>147</v>
      </c>
      <c r="AU336" s="1" t="s">
        <v>147</v>
      </c>
      <c r="AV336" t="s">
        <v>91</v>
      </c>
      <c r="AW336" t="s">
        <v>91</v>
      </c>
      <c r="AX336" t="s">
        <v>91</v>
      </c>
      <c r="AY336" t="s">
        <v>91</v>
      </c>
      <c r="AZ336" t="s">
        <v>91</v>
      </c>
      <c r="BA336" t="s">
        <v>91</v>
      </c>
      <c r="BB336" s="2">
        <v>44378.578518518516</v>
      </c>
      <c r="BC336" s="2">
        <v>44740.660162037035</v>
      </c>
      <c r="BD336" t="s">
        <v>91</v>
      </c>
      <c r="BF336" s="1" t="s">
        <v>75</v>
      </c>
      <c r="BH336">
        <v>0</v>
      </c>
      <c r="BI336" s="1" t="s">
        <v>88</v>
      </c>
      <c r="BJ336">
        <v>1</v>
      </c>
      <c r="BK336" s="1" t="s">
        <v>89</v>
      </c>
      <c r="BL336" t="s">
        <v>91</v>
      </c>
      <c r="BM336" s="1" t="s">
        <v>109</v>
      </c>
      <c r="BN336" s="1" t="s">
        <v>110</v>
      </c>
      <c r="BO336" s="1" t="s">
        <v>165</v>
      </c>
      <c r="BP336" s="1" t="s">
        <v>91</v>
      </c>
      <c r="BQ336" t="s">
        <v>91</v>
      </c>
      <c r="BR336" s="3">
        <v>44378</v>
      </c>
      <c r="BS336" s="3">
        <v>44740</v>
      </c>
      <c r="BT336" t="s">
        <v>91</v>
      </c>
      <c r="BU336" t="s">
        <v>91</v>
      </c>
      <c r="BW336" s="1" t="s">
        <v>912</v>
      </c>
    </row>
    <row r="337" spans="1:75" x14ac:dyDescent="0.35">
      <c r="A337">
        <v>138174</v>
      </c>
      <c r="B337" s="1" t="s">
        <v>75</v>
      </c>
      <c r="C337">
        <v>80</v>
      </c>
      <c r="D337">
        <v>11121001</v>
      </c>
      <c r="E337">
        <v>121001</v>
      </c>
      <c r="F337" s="1" t="s">
        <v>76</v>
      </c>
      <c r="G337" s="1" t="s">
        <v>2087</v>
      </c>
      <c r="H337">
        <v>0</v>
      </c>
      <c r="I337" s="1" t="s">
        <v>78</v>
      </c>
      <c r="J337" s="1" t="s">
        <v>2088</v>
      </c>
      <c r="K337" s="1" t="s">
        <v>2089</v>
      </c>
      <c r="L337" t="s">
        <v>91</v>
      </c>
      <c r="M337" t="s">
        <v>91</v>
      </c>
      <c r="N337" s="1" t="s">
        <v>2090</v>
      </c>
      <c r="O337" t="s">
        <v>91</v>
      </c>
      <c r="P337" s="1" t="s">
        <v>448</v>
      </c>
      <c r="Q337" s="1" t="s">
        <v>2091</v>
      </c>
      <c r="R337" s="1" t="s">
        <v>91</v>
      </c>
      <c r="T337">
        <v>89500091</v>
      </c>
      <c r="U337" s="1" t="s">
        <v>108</v>
      </c>
      <c r="V337" s="1" t="s">
        <v>450</v>
      </c>
      <c r="W337" s="1" t="s">
        <v>87</v>
      </c>
      <c r="X337">
        <v>49</v>
      </c>
      <c r="Y337">
        <v>991444505</v>
      </c>
      <c r="Z337" t="s">
        <v>91</v>
      </c>
      <c r="AA337" t="s">
        <v>91</v>
      </c>
      <c r="AB337" t="s">
        <v>91</v>
      </c>
      <c r="AC337" t="s">
        <v>91</v>
      </c>
      <c r="AD337" t="s">
        <v>91</v>
      </c>
      <c r="AE337" t="s">
        <v>91</v>
      </c>
      <c r="AF337" t="s">
        <v>91</v>
      </c>
      <c r="AG337" s="1" t="s">
        <v>146</v>
      </c>
      <c r="AH337" s="1" t="s">
        <v>91</v>
      </c>
      <c r="AI337" t="s">
        <v>91</v>
      </c>
      <c r="AM337" t="s">
        <v>91</v>
      </c>
      <c r="AN337" t="s">
        <v>91</v>
      </c>
      <c r="AO337" t="s">
        <v>91</v>
      </c>
      <c r="AP337" t="s">
        <v>91</v>
      </c>
      <c r="AQ337" s="1" t="s">
        <v>147</v>
      </c>
      <c r="AR337" s="1" t="s">
        <v>147</v>
      </c>
      <c r="AS337" s="1" t="s">
        <v>147</v>
      </c>
      <c r="AT337" s="1" t="s">
        <v>147</v>
      </c>
      <c r="AU337" s="1" t="s">
        <v>147</v>
      </c>
      <c r="AV337" t="s">
        <v>91</v>
      </c>
      <c r="AW337" t="s">
        <v>91</v>
      </c>
      <c r="AX337" t="s">
        <v>91</v>
      </c>
      <c r="AY337" t="s">
        <v>91</v>
      </c>
      <c r="AZ337" t="s">
        <v>91</v>
      </c>
      <c r="BA337" t="s">
        <v>91</v>
      </c>
      <c r="BB337" s="2">
        <v>44378.578518518516</v>
      </c>
      <c r="BC337" s="2">
        <v>44740.660833333335</v>
      </c>
      <c r="BD337" t="s">
        <v>91</v>
      </c>
      <c r="BF337" s="1" t="s">
        <v>75</v>
      </c>
      <c r="BH337">
        <v>0</v>
      </c>
      <c r="BI337" s="1" t="s">
        <v>88</v>
      </c>
      <c r="BJ337">
        <v>1</v>
      </c>
      <c r="BK337" s="1" t="s">
        <v>89</v>
      </c>
      <c r="BL337" t="s">
        <v>91</v>
      </c>
      <c r="BM337" s="1" t="s">
        <v>164</v>
      </c>
      <c r="BN337" s="1" t="s">
        <v>110</v>
      </c>
      <c r="BO337" s="1" t="s">
        <v>165</v>
      </c>
      <c r="BP337" s="1" t="s">
        <v>91</v>
      </c>
      <c r="BQ337" t="s">
        <v>91</v>
      </c>
      <c r="BR337" s="3">
        <v>44378</v>
      </c>
      <c r="BS337" s="3">
        <v>44740</v>
      </c>
      <c r="BT337" t="s">
        <v>91</v>
      </c>
      <c r="BU337" t="s">
        <v>91</v>
      </c>
      <c r="BW337" s="1" t="s">
        <v>912</v>
      </c>
    </row>
    <row r="338" spans="1:75" x14ac:dyDescent="0.35">
      <c r="A338">
        <v>933</v>
      </c>
      <c r="B338" s="1" t="s">
        <v>75</v>
      </c>
      <c r="C338">
        <v>80</v>
      </c>
      <c r="D338">
        <v>11121001</v>
      </c>
      <c r="E338">
        <v>121001</v>
      </c>
      <c r="F338" s="1" t="s">
        <v>76</v>
      </c>
      <c r="G338" s="1" t="s">
        <v>2092</v>
      </c>
      <c r="I338" s="1" t="s">
        <v>78</v>
      </c>
      <c r="J338" s="1" t="s">
        <v>2093</v>
      </c>
      <c r="K338" s="1" t="s">
        <v>2094</v>
      </c>
      <c r="L338" t="s">
        <v>91</v>
      </c>
      <c r="M338" t="s">
        <v>91</v>
      </c>
      <c r="N338" s="1" t="s">
        <v>2095</v>
      </c>
      <c r="O338" t="s">
        <v>91</v>
      </c>
      <c r="P338" s="1" t="s">
        <v>2096</v>
      </c>
      <c r="Q338" s="1" t="s">
        <v>2097</v>
      </c>
      <c r="R338" s="1" t="s">
        <v>236</v>
      </c>
      <c r="S338">
        <v>1279</v>
      </c>
      <c r="T338">
        <v>89232485</v>
      </c>
      <c r="U338" s="1" t="s">
        <v>2098</v>
      </c>
      <c r="V338" s="1" t="s">
        <v>100</v>
      </c>
      <c r="W338" s="1" t="s">
        <v>87</v>
      </c>
      <c r="X338">
        <v>47</v>
      </c>
      <c r="Y338">
        <v>34656859</v>
      </c>
      <c r="Z338" t="s">
        <v>91</v>
      </c>
      <c r="AA338" t="s">
        <v>91</v>
      </c>
      <c r="AB338" t="s">
        <v>91</v>
      </c>
      <c r="AC338" t="s">
        <v>91</v>
      </c>
      <c r="AD338" t="s">
        <v>91</v>
      </c>
      <c r="AE338" t="s">
        <v>91</v>
      </c>
      <c r="AF338" t="s">
        <v>91</v>
      </c>
      <c r="AG338" s="1" t="s">
        <v>91</v>
      </c>
      <c r="AH338" s="1" t="s">
        <v>91</v>
      </c>
      <c r="AI338" t="s">
        <v>91</v>
      </c>
      <c r="AJ338">
        <v>0</v>
      </c>
      <c r="AK338">
        <v>0</v>
      </c>
      <c r="AL338">
        <v>0</v>
      </c>
      <c r="AM338" t="s">
        <v>91</v>
      </c>
      <c r="AN338" t="s">
        <v>91</v>
      </c>
      <c r="AO338" t="s">
        <v>91</v>
      </c>
      <c r="AP338" t="s">
        <v>91</v>
      </c>
      <c r="AQ338" s="1" t="s">
        <v>91</v>
      </c>
      <c r="AR338" s="1" t="s">
        <v>91</v>
      </c>
      <c r="AS338" s="1" t="s">
        <v>91</v>
      </c>
      <c r="AT338" s="1" t="s">
        <v>91</v>
      </c>
      <c r="AU338" s="1" t="s">
        <v>91</v>
      </c>
      <c r="AV338" t="s">
        <v>91</v>
      </c>
      <c r="AW338" t="s">
        <v>91</v>
      </c>
      <c r="AX338" t="s">
        <v>91</v>
      </c>
      <c r="AY338" t="s">
        <v>91</v>
      </c>
      <c r="AZ338" t="s">
        <v>91</v>
      </c>
      <c r="BA338" t="s">
        <v>91</v>
      </c>
      <c r="BB338" s="2">
        <v>43308.39298611111</v>
      </c>
      <c r="BC338" s="2"/>
      <c r="BD338" t="s">
        <v>91</v>
      </c>
      <c r="BE338">
        <v>933</v>
      </c>
      <c r="BF338" s="1" t="s">
        <v>75</v>
      </c>
      <c r="BG338">
        <v>0</v>
      </c>
      <c r="BH338">
        <v>0</v>
      </c>
      <c r="BI338" s="1" t="s">
        <v>88</v>
      </c>
      <c r="BJ338">
        <v>1</v>
      </c>
      <c r="BK338" s="1" t="s">
        <v>89</v>
      </c>
      <c r="BL338" t="s">
        <v>91</v>
      </c>
      <c r="BM338" s="1" t="s">
        <v>109</v>
      </c>
      <c r="BN338" s="1" t="s">
        <v>110</v>
      </c>
      <c r="BO338" s="1" t="s">
        <v>165</v>
      </c>
      <c r="BP338" s="1" t="s">
        <v>91</v>
      </c>
      <c r="BQ338" t="s">
        <v>91</v>
      </c>
      <c r="BR338" s="3">
        <v>43308</v>
      </c>
      <c r="BS338" s="3"/>
      <c r="BT338" t="s">
        <v>91</v>
      </c>
      <c r="BU338" t="s">
        <v>91</v>
      </c>
      <c r="BV338">
        <v>5</v>
      </c>
      <c r="BW338" s="1" t="s">
        <v>90</v>
      </c>
    </row>
    <row r="339" spans="1:75" x14ac:dyDescent="0.35">
      <c r="A339">
        <v>118722</v>
      </c>
      <c r="B339" s="1" t="s">
        <v>75</v>
      </c>
      <c r="C339">
        <v>80</v>
      </c>
      <c r="D339">
        <v>11121001</v>
      </c>
      <c r="E339">
        <v>121001</v>
      </c>
      <c r="F339" s="1" t="s">
        <v>76</v>
      </c>
      <c r="G339" s="1" t="s">
        <v>2099</v>
      </c>
      <c r="I339" s="1" t="s">
        <v>78</v>
      </c>
      <c r="J339" s="1" t="s">
        <v>2093</v>
      </c>
      <c r="K339" s="1" t="s">
        <v>2100</v>
      </c>
      <c r="L339" t="s">
        <v>91</v>
      </c>
      <c r="M339" t="s">
        <v>91</v>
      </c>
      <c r="N339" s="1" t="s">
        <v>2095</v>
      </c>
      <c r="O339" t="s">
        <v>91</v>
      </c>
      <c r="P339" s="1" t="s">
        <v>415</v>
      </c>
      <c r="Q339" s="1" t="s">
        <v>2101</v>
      </c>
      <c r="R339" s="1" t="s">
        <v>91</v>
      </c>
      <c r="S339">
        <v>1277</v>
      </c>
      <c r="T339">
        <v>89201300</v>
      </c>
      <c r="U339" s="1" t="s">
        <v>108</v>
      </c>
      <c r="V339" s="1" t="s">
        <v>100</v>
      </c>
      <c r="W339" s="1" t="s">
        <v>87</v>
      </c>
      <c r="X339">
        <v>47</v>
      </c>
      <c r="Y339">
        <v>34232666</v>
      </c>
      <c r="Z339" t="s">
        <v>91</v>
      </c>
      <c r="AA339" t="s">
        <v>91</v>
      </c>
      <c r="AB339" t="s">
        <v>91</v>
      </c>
      <c r="AC339" t="s">
        <v>91</v>
      </c>
      <c r="AD339" t="s">
        <v>91</v>
      </c>
      <c r="AE339" t="s">
        <v>91</v>
      </c>
      <c r="AF339" t="s">
        <v>91</v>
      </c>
      <c r="AG339" s="1" t="s">
        <v>91</v>
      </c>
      <c r="AH339" s="1" t="s">
        <v>91</v>
      </c>
      <c r="AI339" t="s">
        <v>91</v>
      </c>
      <c r="AJ339">
        <v>0</v>
      </c>
      <c r="AK339">
        <v>0</v>
      </c>
      <c r="AL339">
        <v>0</v>
      </c>
      <c r="AM339" t="s">
        <v>91</v>
      </c>
      <c r="AN339" t="s">
        <v>91</v>
      </c>
      <c r="AO339" t="s">
        <v>91</v>
      </c>
      <c r="AP339" t="s">
        <v>91</v>
      </c>
      <c r="AQ339" s="1" t="s">
        <v>91</v>
      </c>
      <c r="AR339" s="1" t="s">
        <v>91</v>
      </c>
      <c r="AS339" s="1" t="s">
        <v>91</v>
      </c>
      <c r="AT339" s="1" t="s">
        <v>91</v>
      </c>
      <c r="AU339" s="1" t="s">
        <v>91</v>
      </c>
      <c r="AV339" t="s">
        <v>91</v>
      </c>
      <c r="AW339" t="s">
        <v>91</v>
      </c>
      <c r="AX339" t="s">
        <v>91</v>
      </c>
      <c r="AY339" t="s">
        <v>91</v>
      </c>
      <c r="AZ339" t="s">
        <v>91</v>
      </c>
      <c r="BA339" t="s">
        <v>91</v>
      </c>
      <c r="BB339" s="2"/>
      <c r="BC339" s="2"/>
      <c r="BD339" t="s">
        <v>91</v>
      </c>
      <c r="BF339" s="1" t="s">
        <v>75</v>
      </c>
      <c r="BG339">
        <v>0</v>
      </c>
      <c r="BH339">
        <v>0</v>
      </c>
      <c r="BI339" s="1" t="s">
        <v>88</v>
      </c>
      <c r="BJ339">
        <v>1</v>
      </c>
      <c r="BK339" s="1" t="s">
        <v>89</v>
      </c>
      <c r="BL339" t="s">
        <v>91</v>
      </c>
      <c r="BM339" s="1" t="s">
        <v>109</v>
      </c>
      <c r="BN339" s="1" t="s">
        <v>110</v>
      </c>
      <c r="BO339" s="1" t="s">
        <v>165</v>
      </c>
      <c r="BP339" s="1" t="s">
        <v>91</v>
      </c>
      <c r="BQ339" t="s">
        <v>91</v>
      </c>
      <c r="BR339" s="3"/>
      <c r="BS339" s="3"/>
      <c r="BT339" t="s">
        <v>91</v>
      </c>
      <c r="BU339" t="s">
        <v>91</v>
      </c>
      <c r="BV339">
        <v>7</v>
      </c>
      <c r="BW339" s="1" t="s">
        <v>90</v>
      </c>
    </row>
    <row r="340" spans="1:75" x14ac:dyDescent="0.35">
      <c r="A340">
        <v>138175</v>
      </c>
      <c r="B340" s="1" t="s">
        <v>75</v>
      </c>
      <c r="C340">
        <v>80</v>
      </c>
      <c r="D340">
        <v>11121001</v>
      </c>
      <c r="E340">
        <v>121001</v>
      </c>
      <c r="F340" s="1" t="s">
        <v>76</v>
      </c>
      <c r="G340" s="1" t="s">
        <v>2102</v>
      </c>
      <c r="H340">
        <v>0</v>
      </c>
      <c r="I340" s="1" t="s">
        <v>78</v>
      </c>
      <c r="J340" s="1" t="s">
        <v>2103</v>
      </c>
      <c r="K340" s="1" t="s">
        <v>2104</v>
      </c>
      <c r="L340" t="s">
        <v>91</v>
      </c>
      <c r="M340" t="s">
        <v>91</v>
      </c>
      <c r="N340" s="1" t="s">
        <v>2105</v>
      </c>
      <c r="O340" t="s">
        <v>91</v>
      </c>
      <c r="P340" s="1" t="s">
        <v>1886</v>
      </c>
      <c r="Q340" s="1" t="s">
        <v>2106</v>
      </c>
      <c r="R340" s="1" t="s">
        <v>833</v>
      </c>
      <c r="S340">
        <v>1287</v>
      </c>
      <c r="T340">
        <v>89802120</v>
      </c>
      <c r="U340" s="1" t="s">
        <v>108</v>
      </c>
      <c r="V340" s="1" t="s">
        <v>337</v>
      </c>
      <c r="W340" s="1" t="s">
        <v>87</v>
      </c>
      <c r="X340">
        <v>49</v>
      </c>
      <c r="Y340">
        <v>988220808</v>
      </c>
      <c r="Z340" t="s">
        <v>91</v>
      </c>
      <c r="AA340" t="s">
        <v>91</v>
      </c>
      <c r="AB340" t="s">
        <v>91</v>
      </c>
      <c r="AC340" t="s">
        <v>91</v>
      </c>
      <c r="AD340" t="s">
        <v>91</v>
      </c>
      <c r="AE340" t="s">
        <v>91</v>
      </c>
      <c r="AF340" t="s">
        <v>91</v>
      </c>
      <c r="AG340" s="1" t="s">
        <v>146</v>
      </c>
      <c r="AH340" s="1" t="s">
        <v>91</v>
      </c>
      <c r="AI340" t="s">
        <v>91</v>
      </c>
      <c r="AM340" t="s">
        <v>91</v>
      </c>
      <c r="AN340" t="s">
        <v>91</v>
      </c>
      <c r="AO340" t="s">
        <v>91</v>
      </c>
      <c r="AP340" t="s">
        <v>91</v>
      </c>
      <c r="AQ340" s="1" t="s">
        <v>147</v>
      </c>
      <c r="AR340" s="1" t="s">
        <v>147</v>
      </c>
      <c r="AS340" s="1" t="s">
        <v>147</v>
      </c>
      <c r="AT340" s="1" t="s">
        <v>147</v>
      </c>
      <c r="AU340" s="1" t="s">
        <v>147</v>
      </c>
      <c r="AV340" t="s">
        <v>91</v>
      </c>
      <c r="AW340" t="s">
        <v>91</v>
      </c>
      <c r="AX340" t="s">
        <v>91</v>
      </c>
      <c r="AY340" t="s">
        <v>91</v>
      </c>
      <c r="AZ340" t="s">
        <v>91</v>
      </c>
      <c r="BA340" t="s">
        <v>91</v>
      </c>
      <c r="BB340" s="2">
        <v>44378.578518518516</v>
      </c>
      <c r="BC340" s="2">
        <v>44519.406493055554</v>
      </c>
      <c r="BD340" t="s">
        <v>91</v>
      </c>
      <c r="BF340" s="1" t="s">
        <v>75</v>
      </c>
      <c r="BH340">
        <v>0</v>
      </c>
      <c r="BI340" s="1" t="s">
        <v>88</v>
      </c>
      <c r="BJ340">
        <v>1</v>
      </c>
      <c r="BK340" s="1" t="s">
        <v>89</v>
      </c>
      <c r="BL340" t="s">
        <v>91</v>
      </c>
      <c r="BM340" s="1" t="s">
        <v>109</v>
      </c>
      <c r="BN340" s="1" t="s">
        <v>110</v>
      </c>
      <c r="BO340" s="1" t="s">
        <v>128</v>
      </c>
      <c r="BP340" s="1" t="s">
        <v>91</v>
      </c>
      <c r="BQ340" t="s">
        <v>91</v>
      </c>
      <c r="BR340" s="3">
        <v>44378</v>
      </c>
      <c r="BS340" s="3">
        <v>44519</v>
      </c>
      <c r="BT340" t="s">
        <v>91</v>
      </c>
      <c r="BU340" t="s">
        <v>91</v>
      </c>
      <c r="BW340" s="1" t="s">
        <v>166</v>
      </c>
    </row>
    <row r="341" spans="1:75" x14ac:dyDescent="0.35">
      <c r="A341">
        <v>144737</v>
      </c>
      <c r="B341" s="1" t="s">
        <v>75</v>
      </c>
      <c r="C341">
        <v>80</v>
      </c>
      <c r="D341">
        <v>11121001</v>
      </c>
      <c r="E341">
        <v>121001</v>
      </c>
      <c r="F341" s="1" t="s">
        <v>76</v>
      </c>
      <c r="G341" s="1" t="s">
        <v>2107</v>
      </c>
      <c r="I341" s="1" t="s">
        <v>78</v>
      </c>
      <c r="J341" s="1" t="s">
        <v>2108</v>
      </c>
      <c r="K341" s="1" t="s">
        <v>2109</v>
      </c>
      <c r="L341" t="s">
        <v>91</v>
      </c>
      <c r="M341" t="s">
        <v>91</v>
      </c>
      <c r="N341" s="1" t="s">
        <v>2110</v>
      </c>
      <c r="O341" t="s">
        <v>91</v>
      </c>
      <c r="P341" s="1" t="s">
        <v>2111</v>
      </c>
      <c r="Q341" s="1" t="s">
        <v>463</v>
      </c>
      <c r="R341" s="1" t="s">
        <v>91</v>
      </c>
      <c r="S341">
        <v>1280</v>
      </c>
      <c r="T341">
        <v>89294000</v>
      </c>
      <c r="U341" s="1" t="s">
        <v>108</v>
      </c>
      <c r="V341" s="1" t="s">
        <v>2112</v>
      </c>
      <c r="W341" s="1" t="s">
        <v>87</v>
      </c>
      <c r="X341">
        <v>47</v>
      </c>
      <c r="Y341">
        <v>36334660</v>
      </c>
      <c r="Z341" t="s">
        <v>91</v>
      </c>
      <c r="AA341" t="s">
        <v>91</v>
      </c>
      <c r="AB341" t="s">
        <v>91</v>
      </c>
      <c r="AC341" t="s">
        <v>91</v>
      </c>
      <c r="AD341" t="s">
        <v>91</v>
      </c>
      <c r="AE341" t="s">
        <v>91</v>
      </c>
      <c r="AF341" t="s">
        <v>91</v>
      </c>
      <c r="AG341" s="1" t="s">
        <v>91</v>
      </c>
      <c r="AH341" s="1" t="s">
        <v>91</v>
      </c>
      <c r="AI341" t="s">
        <v>91</v>
      </c>
      <c r="AJ341">
        <v>0</v>
      </c>
      <c r="AK341">
        <v>0</v>
      </c>
      <c r="AL341">
        <v>0</v>
      </c>
      <c r="AM341" t="s">
        <v>91</v>
      </c>
      <c r="AN341" t="s">
        <v>91</v>
      </c>
      <c r="AO341" t="s">
        <v>91</v>
      </c>
      <c r="AP341" t="s">
        <v>91</v>
      </c>
      <c r="AQ341" s="1" t="s">
        <v>91</v>
      </c>
      <c r="AR341" s="1" t="s">
        <v>91</v>
      </c>
      <c r="AS341" s="1" t="s">
        <v>91</v>
      </c>
      <c r="AT341" s="1" t="s">
        <v>91</v>
      </c>
      <c r="AU341" s="1" t="s">
        <v>91</v>
      </c>
      <c r="AV341" t="s">
        <v>91</v>
      </c>
      <c r="AW341" t="s">
        <v>91</v>
      </c>
      <c r="AX341" t="s">
        <v>91</v>
      </c>
      <c r="AY341" t="s">
        <v>91</v>
      </c>
      <c r="AZ341" t="s">
        <v>91</v>
      </c>
      <c r="BA341" t="s">
        <v>91</v>
      </c>
      <c r="BB341" s="2"/>
      <c r="BC341" s="2"/>
      <c r="BD341" t="s">
        <v>91</v>
      </c>
      <c r="BF341" s="1" t="s">
        <v>75</v>
      </c>
      <c r="BG341">
        <v>0</v>
      </c>
      <c r="BH341">
        <v>0</v>
      </c>
      <c r="BI341" s="1" t="s">
        <v>88</v>
      </c>
      <c r="BJ341">
        <v>1</v>
      </c>
      <c r="BK341" s="1" t="s">
        <v>89</v>
      </c>
      <c r="BL341" t="s">
        <v>91</v>
      </c>
      <c r="BM341" s="1" t="s">
        <v>109</v>
      </c>
      <c r="BN341" s="1" t="s">
        <v>110</v>
      </c>
      <c r="BO341" s="1" t="s">
        <v>128</v>
      </c>
      <c r="BP341" s="1" t="s">
        <v>91</v>
      </c>
      <c r="BQ341" t="s">
        <v>91</v>
      </c>
      <c r="BR341" s="3"/>
      <c r="BS341" s="3"/>
      <c r="BT341" t="s">
        <v>91</v>
      </c>
      <c r="BU341" t="s">
        <v>91</v>
      </c>
      <c r="BV341">
        <v>5</v>
      </c>
      <c r="BW341" s="1" t="s">
        <v>90</v>
      </c>
    </row>
    <row r="342" spans="1:75" x14ac:dyDescent="0.35">
      <c r="A342">
        <v>138176</v>
      </c>
      <c r="B342" s="1" t="s">
        <v>75</v>
      </c>
      <c r="C342">
        <v>80</v>
      </c>
      <c r="D342">
        <v>11121001</v>
      </c>
      <c r="E342">
        <v>121001</v>
      </c>
      <c r="F342" s="1" t="s">
        <v>76</v>
      </c>
      <c r="G342" s="1" t="s">
        <v>2113</v>
      </c>
      <c r="H342">
        <v>0</v>
      </c>
      <c r="I342" s="1" t="s">
        <v>78</v>
      </c>
      <c r="J342" s="1" t="s">
        <v>2114</v>
      </c>
      <c r="K342" s="1" t="s">
        <v>2115</v>
      </c>
      <c r="L342" t="s">
        <v>91</v>
      </c>
      <c r="M342" t="s">
        <v>91</v>
      </c>
      <c r="N342" s="1" t="s">
        <v>2116</v>
      </c>
      <c r="O342" t="s">
        <v>91</v>
      </c>
      <c r="P342" s="1" t="s">
        <v>1856</v>
      </c>
      <c r="Q342" s="1" t="s">
        <v>2117</v>
      </c>
      <c r="R342" s="1" t="s">
        <v>1411</v>
      </c>
      <c r="T342">
        <v>89560130</v>
      </c>
      <c r="U342" s="1" t="s">
        <v>108</v>
      </c>
      <c r="V342" s="1" t="s">
        <v>1827</v>
      </c>
      <c r="W342" s="1" t="s">
        <v>87</v>
      </c>
      <c r="X342">
        <v>49</v>
      </c>
      <c r="Y342">
        <v>35660373</v>
      </c>
      <c r="Z342" t="s">
        <v>91</v>
      </c>
      <c r="AA342" t="s">
        <v>91</v>
      </c>
      <c r="AB342" t="s">
        <v>91</v>
      </c>
      <c r="AC342" t="s">
        <v>91</v>
      </c>
      <c r="AD342" t="s">
        <v>91</v>
      </c>
      <c r="AE342" t="s">
        <v>91</v>
      </c>
      <c r="AF342" t="s">
        <v>91</v>
      </c>
      <c r="AG342" s="1" t="s">
        <v>146</v>
      </c>
      <c r="AH342" s="1" t="s">
        <v>91</v>
      </c>
      <c r="AI342" t="s">
        <v>91</v>
      </c>
      <c r="AM342" t="s">
        <v>91</v>
      </c>
      <c r="AN342" t="s">
        <v>91</v>
      </c>
      <c r="AO342" t="s">
        <v>91</v>
      </c>
      <c r="AP342" t="s">
        <v>91</v>
      </c>
      <c r="AQ342" s="1" t="s">
        <v>147</v>
      </c>
      <c r="AR342" s="1" t="s">
        <v>147</v>
      </c>
      <c r="AS342" s="1" t="s">
        <v>147</v>
      </c>
      <c r="AT342" s="1" t="s">
        <v>147</v>
      </c>
      <c r="AU342" s="1" t="s">
        <v>147</v>
      </c>
      <c r="AV342" t="s">
        <v>91</v>
      </c>
      <c r="AW342" t="s">
        <v>91</v>
      </c>
      <c r="AX342" t="s">
        <v>91</v>
      </c>
      <c r="AY342" t="s">
        <v>91</v>
      </c>
      <c r="AZ342" t="s">
        <v>91</v>
      </c>
      <c r="BA342" t="s">
        <v>91</v>
      </c>
      <c r="BB342" s="2">
        <v>44378.578518518516</v>
      </c>
      <c r="BC342" s="2">
        <v>44489.626180555555</v>
      </c>
      <c r="BD342" t="s">
        <v>91</v>
      </c>
      <c r="BF342" s="1" t="s">
        <v>75</v>
      </c>
      <c r="BH342">
        <v>0</v>
      </c>
      <c r="BI342" s="1" t="s">
        <v>88</v>
      </c>
      <c r="BJ342">
        <v>1</v>
      </c>
      <c r="BK342" s="1" t="s">
        <v>89</v>
      </c>
      <c r="BL342" t="s">
        <v>91</v>
      </c>
      <c r="BM342" s="1" t="s">
        <v>109</v>
      </c>
      <c r="BN342" s="1" t="s">
        <v>148</v>
      </c>
      <c r="BO342" s="1" t="s">
        <v>128</v>
      </c>
      <c r="BP342" s="1" t="s">
        <v>91</v>
      </c>
      <c r="BQ342" t="s">
        <v>91</v>
      </c>
      <c r="BR342" s="3">
        <v>44378</v>
      </c>
      <c r="BS342" s="3">
        <v>44489</v>
      </c>
      <c r="BT342" t="s">
        <v>91</v>
      </c>
      <c r="BU342" t="s">
        <v>91</v>
      </c>
      <c r="BW342" s="1" t="s">
        <v>90</v>
      </c>
    </row>
    <row r="343" spans="1:75" x14ac:dyDescent="0.35">
      <c r="A343">
        <v>156767</v>
      </c>
      <c r="B343" s="1" t="s">
        <v>75</v>
      </c>
      <c r="C343">
        <v>80</v>
      </c>
      <c r="D343">
        <v>11121001</v>
      </c>
      <c r="E343">
        <v>121001</v>
      </c>
      <c r="F343" s="1" t="s">
        <v>76</v>
      </c>
      <c r="G343" s="1" t="s">
        <v>2118</v>
      </c>
      <c r="H343">
        <v>0</v>
      </c>
      <c r="I343" s="1" t="s">
        <v>78</v>
      </c>
      <c r="J343" s="1" t="s">
        <v>2119</v>
      </c>
      <c r="K343" s="1" t="s">
        <v>2120</v>
      </c>
      <c r="L343" t="s">
        <v>91</v>
      </c>
      <c r="M343" t="s">
        <v>91</v>
      </c>
      <c r="N343" s="1" t="s">
        <v>2121</v>
      </c>
      <c r="O343" t="s">
        <v>91</v>
      </c>
      <c r="P343" s="1" t="s">
        <v>125</v>
      </c>
      <c r="Q343" s="1" t="s">
        <v>126</v>
      </c>
      <c r="R343" s="1" t="s">
        <v>91</v>
      </c>
      <c r="S343">
        <v>1277</v>
      </c>
      <c r="T343">
        <v>89201010</v>
      </c>
      <c r="U343" s="1" t="s">
        <v>108</v>
      </c>
      <c r="V343" s="1" t="s">
        <v>100</v>
      </c>
      <c r="W343" s="1" t="s">
        <v>87</v>
      </c>
      <c r="X343">
        <v>47</v>
      </c>
      <c r="Y343">
        <v>38011031</v>
      </c>
      <c r="Z343" t="s">
        <v>91</v>
      </c>
      <c r="AA343" t="s">
        <v>91</v>
      </c>
      <c r="AB343" t="s">
        <v>91</v>
      </c>
      <c r="AC343" t="s">
        <v>91</v>
      </c>
      <c r="AD343" t="s">
        <v>91</v>
      </c>
      <c r="AE343" t="s">
        <v>91</v>
      </c>
      <c r="AF343" t="s">
        <v>91</v>
      </c>
      <c r="AG343" s="1" t="s">
        <v>91</v>
      </c>
      <c r="AH343" s="1" t="s">
        <v>91</v>
      </c>
      <c r="AI343" t="s">
        <v>91</v>
      </c>
      <c r="AM343" t="s">
        <v>91</v>
      </c>
      <c r="AN343" t="s">
        <v>91</v>
      </c>
      <c r="AO343" t="s">
        <v>91</v>
      </c>
      <c r="AP343" t="s">
        <v>91</v>
      </c>
      <c r="AQ343" s="1" t="s">
        <v>91</v>
      </c>
      <c r="AR343" s="1" t="s">
        <v>91</v>
      </c>
      <c r="AS343" s="1" t="s">
        <v>91</v>
      </c>
      <c r="AT343" s="1" t="s">
        <v>91</v>
      </c>
      <c r="AU343" s="1" t="s">
        <v>91</v>
      </c>
      <c r="AV343" t="s">
        <v>91</v>
      </c>
      <c r="AW343" t="s">
        <v>91</v>
      </c>
      <c r="AX343" t="s">
        <v>91</v>
      </c>
      <c r="AY343" t="s">
        <v>91</v>
      </c>
      <c r="AZ343" t="s">
        <v>91</v>
      </c>
      <c r="BA343" t="s">
        <v>91</v>
      </c>
      <c r="BB343" s="2">
        <v>45113.505416666667</v>
      </c>
      <c r="BC343" s="2"/>
      <c r="BD343" t="s">
        <v>91</v>
      </c>
      <c r="BF343" s="1" t="s">
        <v>75</v>
      </c>
      <c r="BI343" s="1" t="s">
        <v>88</v>
      </c>
      <c r="BJ343">
        <v>1</v>
      </c>
      <c r="BK343" s="1" t="s">
        <v>89</v>
      </c>
      <c r="BL343" t="s">
        <v>91</v>
      </c>
      <c r="BM343" s="1" t="s">
        <v>91</v>
      </c>
      <c r="BN343" s="1" t="s">
        <v>91</v>
      </c>
      <c r="BO343" s="1" t="s">
        <v>91</v>
      </c>
      <c r="BP343" s="1" t="s">
        <v>91</v>
      </c>
      <c r="BQ343" t="s">
        <v>91</v>
      </c>
      <c r="BR343" s="3">
        <v>45113</v>
      </c>
      <c r="BS343" s="3"/>
      <c r="BT343" t="s">
        <v>91</v>
      </c>
      <c r="BU343" t="s">
        <v>91</v>
      </c>
      <c r="BW343" s="1" t="s">
        <v>90</v>
      </c>
    </row>
    <row r="344" spans="1:75" x14ac:dyDescent="0.35">
      <c r="A344">
        <v>152728</v>
      </c>
      <c r="B344" s="1" t="s">
        <v>75</v>
      </c>
      <c r="C344">
        <v>80</v>
      </c>
      <c r="D344">
        <v>11121001</v>
      </c>
      <c r="E344">
        <v>121001</v>
      </c>
      <c r="F344" s="1" t="s">
        <v>76</v>
      </c>
      <c r="G344" s="1" t="s">
        <v>2122</v>
      </c>
      <c r="H344">
        <v>0</v>
      </c>
      <c r="I344" s="1" t="s">
        <v>78</v>
      </c>
      <c r="J344" s="1" t="s">
        <v>2123</v>
      </c>
      <c r="K344" s="1" t="s">
        <v>2124</v>
      </c>
      <c r="L344" t="s">
        <v>91</v>
      </c>
      <c r="M344" t="s">
        <v>91</v>
      </c>
      <c r="N344" s="1" t="s">
        <v>2125</v>
      </c>
      <c r="O344" t="s">
        <v>91</v>
      </c>
      <c r="P344" s="1" t="s">
        <v>2126</v>
      </c>
      <c r="Q344" s="1" t="s">
        <v>733</v>
      </c>
      <c r="R344" s="1" t="s">
        <v>2127</v>
      </c>
      <c r="S344">
        <v>1287</v>
      </c>
      <c r="T344">
        <v>89802130</v>
      </c>
      <c r="U344" s="1" t="s">
        <v>108</v>
      </c>
      <c r="V344" s="1" t="s">
        <v>86</v>
      </c>
      <c r="W344" s="1" t="s">
        <v>87</v>
      </c>
      <c r="X344">
        <v>49</v>
      </c>
      <c r="Y344">
        <v>999902604</v>
      </c>
      <c r="Z344" t="s">
        <v>91</v>
      </c>
      <c r="AA344" t="s">
        <v>91</v>
      </c>
      <c r="AB344" t="s">
        <v>91</v>
      </c>
      <c r="AC344" t="s">
        <v>91</v>
      </c>
      <c r="AD344" t="s">
        <v>91</v>
      </c>
      <c r="AE344" t="s">
        <v>91</v>
      </c>
      <c r="AF344" t="s">
        <v>91</v>
      </c>
      <c r="AG344" s="1" t="s">
        <v>91</v>
      </c>
      <c r="AH344" s="1" t="s">
        <v>91</v>
      </c>
      <c r="AI344" t="s">
        <v>91</v>
      </c>
      <c r="AM344" t="s">
        <v>91</v>
      </c>
      <c r="AN344" t="s">
        <v>91</v>
      </c>
      <c r="AO344" t="s">
        <v>91</v>
      </c>
      <c r="AP344" t="s">
        <v>91</v>
      </c>
      <c r="AQ344" s="1" t="s">
        <v>91</v>
      </c>
      <c r="AR344" s="1" t="s">
        <v>91</v>
      </c>
      <c r="AS344" s="1" t="s">
        <v>91</v>
      </c>
      <c r="AT344" s="1" t="s">
        <v>91</v>
      </c>
      <c r="AU344" s="1" t="s">
        <v>91</v>
      </c>
      <c r="AV344" t="s">
        <v>91</v>
      </c>
      <c r="AW344" t="s">
        <v>91</v>
      </c>
      <c r="AX344" t="s">
        <v>91</v>
      </c>
      <c r="AY344" t="s">
        <v>91</v>
      </c>
      <c r="AZ344" t="s">
        <v>91</v>
      </c>
      <c r="BA344" t="s">
        <v>91</v>
      </c>
      <c r="BB344" s="2">
        <v>45019.565613425926</v>
      </c>
      <c r="BC344" s="2"/>
      <c r="BD344" t="s">
        <v>91</v>
      </c>
      <c r="BF344" s="1" t="s">
        <v>75</v>
      </c>
      <c r="BI344" s="1" t="s">
        <v>88</v>
      </c>
      <c r="BJ344">
        <v>1</v>
      </c>
      <c r="BK344" s="1" t="s">
        <v>89</v>
      </c>
      <c r="BL344" t="s">
        <v>91</v>
      </c>
      <c r="BM344" s="1" t="s">
        <v>91</v>
      </c>
      <c r="BN344" s="1" t="s">
        <v>91</v>
      </c>
      <c r="BO344" s="1" t="s">
        <v>91</v>
      </c>
      <c r="BP344" s="1" t="s">
        <v>91</v>
      </c>
      <c r="BQ344" t="s">
        <v>91</v>
      </c>
      <c r="BR344" s="3">
        <v>45019</v>
      </c>
      <c r="BS344" s="3"/>
      <c r="BT344" t="s">
        <v>91</v>
      </c>
      <c r="BU344" t="s">
        <v>91</v>
      </c>
      <c r="BW344" s="1" t="s">
        <v>255</v>
      </c>
    </row>
    <row r="345" spans="1:75" x14ac:dyDescent="0.35">
      <c r="A345">
        <v>144790</v>
      </c>
      <c r="B345" s="1" t="s">
        <v>75</v>
      </c>
      <c r="C345">
        <v>80</v>
      </c>
      <c r="D345">
        <v>11121001</v>
      </c>
      <c r="E345">
        <v>121001</v>
      </c>
      <c r="F345" s="1" t="s">
        <v>76</v>
      </c>
      <c r="G345" s="1" t="s">
        <v>2128</v>
      </c>
      <c r="I345" s="1" t="s">
        <v>78</v>
      </c>
      <c r="J345" s="1" t="s">
        <v>2129</v>
      </c>
      <c r="K345" s="1" t="s">
        <v>2130</v>
      </c>
      <c r="L345" t="s">
        <v>91</v>
      </c>
      <c r="M345" t="s">
        <v>91</v>
      </c>
      <c r="N345" s="1" t="s">
        <v>2131</v>
      </c>
      <c r="O345" t="s">
        <v>91</v>
      </c>
      <c r="P345" s="1" t="s">
        <v>2132</v>
      </c>
      <c r="Q345" s="1" t="s">
        <v>2133</v>
      </c>
      <c r="R345" s="1" t="s">
        <v>91</v>
      </c>
      <c r="T345">
        <v>89210145</v>
      </c>
      <c r="U345" s="1" t="s">
        <v>2049</v>
      </c>
      <c r="V345" s="1" t="s">
        <v>100</v>
      </c>
      <c r="W345" s="1" t="s">
        <v>87</v>
      </c>
      <c r="X345">
        <v>47</v>
      </c>
      <c r="Y345">
        <v>32274163</v>
      </c>
      <c r="Z345" t="s">
        <v>91</v>
      </c>
      <c r="AA345" t="s">
        <v>91</v>
      </c>
      <c r="AB345" t="s">
        <v>91</v>
      </c>
      <c r="AC345" t="s">
        <v>91</v>
      </c>
      <c r="AD345" t="s">
        <v>91</v>
      </c>
      <c r="AE345" t="s">
        <v>91</v>
      </c>
      <c r="AF345" t="s">
        <v>91</v>
      </c>
      <c r="AG345" s="1" t="s">
        <v>91</v>
      </c>
      <c r="AH345" s="1" t="s">
        <v>91</v>
      </c>
      <c r="AI345" t="s">
        <v>91</v>
      </c>
      <c r="AM345" t="s">
        <v>91</v>
      </c>
      <c r="AN345" t="s">
        <v>91</v>
      </c>
      <c r="AO345" t="s">
        <v>91</v>
      </c>
      <c r="AP345" t="s">
        <v>91</v>
      </c>
      <c r="AQ345" s="1" t="s">
        <v>91</v>
      </c>
      <c r="AR345" s="1" t="s">
        <v>91</v>
      </c>
      <c r="AS345" s="1" t="s">
        <v>91</v>
      </c>
      <c r="AT345" s="1" t="s">
        <v>91</v>
      </c>
      <c r="AU345" s="1" t="s">
        <v>91</v>
      </c>
      <c r="AV345" t="s">
        <v>91</v>
      </c>
      <c r="AW345" t="s">
        <v>91</v>
      </c>
      <c r="AX345" t="s">
        <v>91</v>
      </c>
      <c r="AY345" t="s">
        <v>91</v>
      </c>
      <c r="AZ345" t="s">
        <v>91</v>
      </c>
      <c r="BA345" t="s">
        <v>91</v>
      </c>
      <c r="BB345" s="2"/>
      <c r="BC345" s="2"/>
      <c r="BD345" t="s">
        <v>91</v>
      </c>
      <c r="BF345" s="1" t="s">
        <v>75</v>
      </c>
      <c r="BI345" s="1" t="s">
        <v>88</v>
      </c>
      <c r="BJ345">
        <v>1</v>
      </c>
      <c r="BK345" s="1" t="s">
        <v>89</v>
      </c>
      <c r="BL345" t="s">
        <v>91</v>
      </c>
      <c r="BM345" s="1" t="s">
        <v>109</v>
      </c>
      <c r="BN345" s="1" t="s">
        <v>110</v>
      </c>
      <c r="BO345" s="1" t="s">
        <v>91</v>
      </c>
      <c r="BP345" s="1" t="s">
        <v>91</v>
      </c>
      <c r="BQ345" t="s">
        <v>91</v>
      </c>
      <c r="BR345" s="3"/>
      <c r="BS345" s="3"/>
      <c r="BT345" t="s">
        <v>91</v>
      </c>
      <c r="BU345" t="s">
        <v>91</v>
      </c>
      <c r="BV345">
        <v>9</v>
      </c>
      <c r="BW345" s="1" t="s">
        <v>90</v>
      </c>
    </row>
    <row r="346" spans="1:75" x14ac:dyDescent="0.35">
      <c r="A346">
        <v>156736</v>
      </c>
      <c r="B346" s="1" t="s">
        <v>75</v>
      </c>
      <c r="C346">
        <v>80</v>
      </c>
      <c r="D346">
        <v>11121001</v>
      </c>
      <c r="E346">
        <v>121001</v>
      </c>
      <c r="F346" s="1" t="s">
        <v>76</v>
      </c>
      <c r="G346" s="1" t="s">
        <v>2134</v>
      </c>
      <c r="H346">
        <v>0</v>
      </c>
      <c r="I346" s="1" t="s">
        <v>78</v>
      </c>
      <c r="J346" s="1" t="s">
        <v>2135</v>
      </c>
      <c r="K346" s="1" t="s">
        <v>2136</v>
      </c>
      <c r="L346" t="s">
        <v>91</v>
      </c>
      <c r="M346" t="s">
        <v>91</v>
      </c>
      <c r="N346" s="1" t="s">
        <v>2137</v>
      </c>
      <c r="O346" t="s">
        <v>91</v>
      </c>
      <c r="P346" s="1" t="s">
        <v>2096</v>
      </c>
      <c r="Q346" s="1" t="s">
        <v>2138</v>
      </c>
      <c r="R346" s="1" t="s">
        <v>91</v>
      </c>
      <c r="T346">
        <v>89232486</v>
      </c>
      <c r="U346" s="1" t="s">
        <v>2098</v>
      </c>
      <c r="V346" s="1" t="s">
        <v>100</v>
      </c>
      <c r="W346" s="1" t="s">
        <v>87</v>
      </c>
      <c r="X346">
        <v>47</v>
      </c>
      <c r="Y346">
        <v>997119279</v>
      </c>
      <c r="Z346" t="s">
        <v>91</v>
      </c>
      <c r="AA346" t="s">
        <v>91</v>
      </c>
      <c r="AB346" t="s">
        <v>91</v>
      </c>
      <c r="AC346" t="s">
        <v>91</v>
      </c>
      <c r="AD346" t="s">
        <v>91</v>
      </c>
      <c r="AE346" t="s">
        <v>91</v>
      </c>
      <c r="AF346" t="s">
        <v>91</v>
      </c>
      <c r="AG346" s="1" t="s">
        <v>91</v>
      </c>
      <c r="AH346" s="1" t="s">
        <v>91</v>
      </c>
      <c r="AI346" t="s">
        <v>91</v>
      </c>
      <c r="AM346" t="s">
        <v>91</v>
      </c>
      <c r="AN346" t="s">
        <v>91</v>
      </c>
      <c r="AO346" t="s">
        <v>91</v>
      </c>
      <c r="AP346" t="s">
        <v>91</v>
      </c>
      <c r="AQ346" s="1" t="s">
        <v>91</v>
      </c>
      <c r="AR346" s="1" t="s">
        <v>91</v>
      </c>
      <c r="AS346" s="1" t="s">
        <v>91</v>
      </c>
      <c r="AT346" s="1" t="s">
        <v>91</v>
      </c>
      <c r="AU346" s="1" t="s">
        <v>91</v>
      </c>
      <c r="AV346" t="s">
        <v>91</v>
      </c>
      <c r="AW346" t="s">
        <v>91</v>
      </c>
      <c r="AX346" t="s">
        <v>91</v>
      </c>
      <c r="AY346" t="s">
        <v>91</v>
      </c>
      <c r="AZ346" t="s">
        <v>91</v>
      </c>
      <c r="BA346" t="s">
        <v>91</v>
      </c>
      <c r="BB346" s="2">
        <v>45113.505416666667</v>
      </c>
      <c r="BC346" s="2"/>
      <c r="BD346" t="s">
        <v>91</v>
      </c>
      <c r="BF346" s="1" t="s">
        <v>75</v>
      </c>
      <c r="BI346" s="1" t="s">
        <v>88</v>
      </c>
      <c r="BJ346">
        <v>1</v>
      </c>
      <c r="BK346" s="1" t="s">
        <v>89</v>
      </c>
      <c r="BL346" t="s">
        <v>91</v>
      </c>
      <c r="BM346" s="1" t="s">
        <v>91</v>
      </c>
      <c r="BN346" s="1" t="s">
        <v>91</v>
      </c>
      <c r="BO346" s="1" t="s">
        <v>91</v>
      </c>
      <c r="BP346" s="1" t="s">
        <v>91</v>
      </c>
      <c r="BQ346" t="s">
        <v>91</v>
      </c>
      <c r="BR346" s="3">
        <v>45113</v>
      </c>
      <c r="BS346" s="3"/>
      <c r="BT346" t="s">
        <v>91</v>
      </c>
      <c r="BU346" t="s">
        <v>91</v>
      </c>
      <c r="BW346" s="1" t="s">
        <v>862</v>
      </c>
    </row>
    <row r="347" spans="1:75" x14ac:dyDescent="0.35">
      <c r="A347">
        <v>144886</v>
      </c>
      <c r="B347" s="1" t="s">
        <v>75</v>
      </c>
      <c r="C347">
        <v>80</v>
      </c>
      <c r="D347">
        <v>11121001</v>
      </c>
      <c r="E347">
        <v>121001</v>
      </c>
      <c r="F347" s="1" t="s">
        <v>76</v>
      </c>
      <c r="G347" s="1" t="s">
        <v>2139</v>
      </c>
      <c r="H347">
        <v>0</v>
      </c>
      <c r="I347" s="1" t="s">
        <v>78</v>
      </c>
      <c r="J347" s="1" t="s">
        <v>2140</v>
      </c>
      <c r="K347" s="1" t="s">
        <v>2141</v>
      </c>
      <c r="L347" t="s">
        <v>91</v>
      </c>
      <c r="M347" t="s">
        <v>91</v>
      </c>
      <c r="N347" s="1" t="s">
        <v>2142</v>
      </c>
      <c r="O347" t="s">
        <v>91</v>
      </c>
      <c r="P347" s="1" t="s">
        <v>2143</v>
      </c>
      <c r="Q347" s="1" t="s">
        <v>2144</v>
      </c>
      <c r="R347" s="1" t="s">
        <v>91</v>
      </c>
      <c r="S347">
        <v>1288</v>
      </c>
      <c r="T347">
        <v>89825000</v>
      </c>
      <c r="U347" s="1" t="s">
        <v>108</v>
      </c>
      <c r="V347" s="1" t="s">
        <v>707</v>
      </c>
      <c r="W347" s="1" t="s">
        <v>87</v>
      </c>
      <c r="X347">
        <v>48</v>
      </c>
      <c r="Y347">
        <v>989032545</v>
      </c>
      <c r="Z347" t="s">
        <v>91</v>
      </c>
      <c r="AA347" t="s">
        <v>91</v>
      </c>
      <c r="AB347" t="s">
        <v>91</v>
      </c>
      <c r="AC347" t="s">
        <v>91</v>
      </c>
      <c r="AD347" t="s">
        <v>91</v>
      </c>
      <c r="AE347" t="s">
        <v>91</v>
      </c>
      <c r="AF347" t="s">
        <v>91</v>
      </c>
      <c r="AG347" s="1" t="s">
        <v>146</v>
      </c>
      <c r="AH347" s="1" t="s">
        <v>91</v>
      </c>
      <c r="AI347" t="s">
        <v>91</v>
      </c>
      <c r="AM347" t="s">
        <v>91</v>
      </c>
      <c r="AN347" t="s">
        <v>91</v>
      </c>
      <c r="AO347" t="s">
        <v>91</v>
      </c>
      <c r="AP347" t="s">
        <v>91</v>
      </c>
      <c r="AQ347" s="1" t="s">
        <v>147</v>
      </c>
      <c r="AR347" s="1" t="s">
        <v>147</v>
      </c>
      <c r="AS347" s="1" t="s">
        <v>147</v>
      </c>
      <c r="AT347" s="1" t="s">
        <v>147</v>
      </c>
      <c r="AU347" s="1" t="s">
        <v>147</v>
      </c>
      <c r="AV347" t="s">
        <v>91</v>
      </c>
      <c r="AW347" t="s">
        <v>91</v>
      </c>
      <c r="AX347" t="s">
        <v>91</v>
      </c>
      <c r="AY347" t="s">
        <v>91</v>
      </c>
      <c r="AZ347" t="s">
        <v>91</v>
      </c>
      <c r="BA347" t="s">
        <v>91</v>
      </c>
      <c r="BB347" s="2">
        <v>44558.718495370369</v>
      </c>
      <c r="BC347" s="2">
        <v>44638.660740740743</v>
      </c>
      <c r="BD347" t="s">
        <v>91</v>
      </c>
      <c r="BF347" s="1" t="s">
        <v>75</v>
      </c>
      <c r="BH347">
        <v>0</v>
      </c>
      <c r="BI347" s="1" t="s">
        <v>88</v>
      </c>
      <c r="BJ347">
        <v>1</v>
      </c>
      <c r="BK347" s="1" t="s">
        <v>89</v>
      </c>
      <c r="BL347" t="s">
        <v>91</v>
      </c>
      <c r="BM347" s="1" t="s">
        <v>91</v>
      </c>
      <c r="BN347" s="1" t="s">
        <v>91</v>
      </c>
      <c r="BO347" s="1" t="s">
        <v>180</v>
      </c>
      <c r="BP347" s="1" t="s">
        <v>91</v>
      </c>
      <c r="BQ347" t="s">
        <v>91</v>
      </c>
      <c r="BR347" s="3">
        <v>44558</v>
      </c>
      <c r="BS347" s="3">
        <v>44638</v>
      </c>
      <c r="BT347" t="s">
        <v>91</v>
      </c>
      <c r="BU347" t="s">
        <v>91</v>
      </c>
      <c r="BW347" s="1" t="s">
        <v>540</v>
      </c>
    </row>
    <row r="348" spans="1:75" x14ac:dyDescent="0.35">
      <c r="A348">
        <v>157532</v>
      </c>
      <c r="B348" s="1" t="s">
        <v>75</v>
      </c>
      <c r="C348">
        <v>80</v>
      </c>
      <c r="D348">
        <v>11121001</v>
      </c>
      <c r="E348">
        <v>121001</v>
      </c>
      <c r="F348" s="1" t="s">
        <v>76</v>
      </c>
      <c r="G348" s="1" t="s">
        <v>2145</v>
      </c>
      <c r="H348">
        <v>0</v>
      </c>
      <c r="I348" s="1" t="s">
        <v>78</v>
      </c>
      <c r="J348" s="1" t="s">
        <v>2146</v>
      </c>
      <c r="K348" s="1" t="s">
        <v>2147</v>
      </c>
      <c r="L348" t="s">
        <v>91</v>
      </c>
      <c r="M348" t="s">
        <v>91</v>
      </c>
      <c r="N348" s="1" t="s">
        <v>2148</v>
      </c>
      <c r="O348" t="s">
        <v>91</v>
      </c>
      <c r="P348" s="1" t="s">
        <v>918</v>
      </c>
      <c r="Q348" s="1" t="s">
        <v>759</v>
      </c>
      <c r="R348" s="1" t="s">
        <v>147</v>
      </c>
      <c r="S348">
        <v>1287</v>
      </c>
      <c r="T348">
        <v>89802000</v>
      </c>
      <c r="U348" s="1" t="s">
        <v>108</v>
      </c>
      <c r="V348" s="1" t="s">
        <v>86</v>
      </c>
      <c r="W348" s="1" t="s">
        <v>87</v>
      </c>
      <c r="X348">
        <v>49</v>
      </c>
      <c r="Y348">
        <v>33297179</v>
      </c>
      <c r="Z348" t="s">
        <v>91</v>
      </c>
      <c r="AA348" t="s">
        <v>91</v>
      </c>
      <c r="AB348" t="s">
        <v>91</v>
      </c>
      <c r="AC348" t="s">
        <v>91</v>
      </c>
      <c r="AD348" t="s">
        <v>91</v>
      </c>
      <c r="AE348" t="s">
        <v>91</v>
      </c>
      <c r="AF348" t="s">
        <v>91</v>
      </c>
      <c r="AG348" s="1" t="s">
        <v>91</v>
      </c>
      <c r="AH348" s="1" t="s">
        <v>91</v>
      </c>
      <c r="AI348" t="s">
        <v>91</v>
      </c>
      <c r="AM348" t="s">
        <v>91</v>
      </c>
      <c r="AN348" t="s">
        <v>91</v>
      </c>
      <c r="AO348" t="s">
        <v>91</v>
      </c>
      <c r="AP348" t="s">
        <v>91</v>
      </c>
      <c r="AQ348" s="1" t="s">
        <v>91</v>
      </c>
      <c r="AR348" s="1" t="s">
        <v>91</v>
      </c>
      <c r="AS348" s="1" t="s">
        <v>91</v>
      </c>
      <c r="AT348" s="1" t="s">
        <v>91</v>
      </c>
      <c r="AU348" s="1" t="s">
        <v>91</v>
      </c>
      <c r="AV348" t="s">
        <v>91</v>
      </c>
      <c r="AW348" t="s">
        <v>91</v>
      </c>
      <c r="AX348" t="s">
        <v>91</v>
      </c>
      <c r="AY348" t="s">
        <v>91</v>
      </c>
      <c r="AZ348" t="s">
        <v>91</v>
      </c>
      <c r="BA348" t="s">
        <v>91</v>
      </c>
      <c r="BB348" s="2">
        <v>45118.093391203707</v>
      </c>
      <c r="BC348" s="2"/>
      <c r="BD348" t="s">
        <v>91</v>
      </c>
      <c r="BF348" s="1" t="s">
        <v>75</v>
      </c>
      <c r="BI348" s="1" t="s">
        <v>88</v>
      </c>
      <c r="BJ348">
        <v>1</v>
      </c>
      <c r="BK348" s="1" t="s">
        <v>89</v>
      </c>
      <c r="BL348" t="s">
        <v>91</v>
      </c>
      <c r="BM348" s="1" t="s">
        <v>91</v>
      </c>
      <c r="BN348" s="1" t="s">
        <v>91</v>
      </c>
      <c r="BO348" s="1" t="s">
        <v>91</v>
      </c>
      <c r="BP348" s="1" t="s">
        <v>91</v>
      </c>
      <c r="BQ348" t="s">
        <v>91</v>
      </c>
      <c r="BR348" s="3">
        <v>45118</v>
      </c>
      <c r="BS348" s="3"/>
      <c r="BT348" t="s">
        <v>91</v>
      </c>
      <c r="BU348" t="s">
        <v>91</v>
      </c>
      <c r="BW348" s="1" t="s">
        <v>90</v>
      </c>
    </row>
    <row r="349" spans="1:75" x14ac:dyDescent="0.35">
      <c r="A349">
        <v>144466</v>
      </c>
      <c r="B349" s="1" t="s">
        <v>75</v>
      </c>
      <c r="C349">
        <v>80</v>
      </c>
      <c r="D349">
        <v>11121001</v>
      </c>
      <c r="E349">
        <v>121001</v>
      </c>
      <c r="F349" s="1" t="s">
        <v>76</v>
      </c>
      <c r="G349" s="1" t="s">
        <v>2149</v>
      </c>
      <c r="I349" s="1" t="s">
        <v>78</v>
      </c>
      <c r="J349" s="1" t="s">
        <v>2150</v>
      </c>
      <c r="K349" s="1" t="s">
        <v>2151</v>
      </c>
      <c r="L349" t="s">
        <v>91</v>
      </c>
      <c r="M349" t="s">
        <v>91</v>
      </c>
      <c r="N349" s="1" t="s">
        <v>2152</v>
      </c>
      <c r="O349" t="s">
        <v>91</v>
      </c>
      <c r="P349" s="1" t="s">
        <v>105</v>
      </c>
      <c r="Q349" s="1" t="s">
        <v>2153</v>
      </c>
      <c r="R349" s="1" t="s">
        <v>91</v>
      </c>
      <c r="S349">
        <v>1277</v>
      </c>
      <c r="T349">
        <v>89201001</v>
      </c>
      <c r="U349" s="1" t="s">
        <v>108</v>
      </c>
      <c r="V349" s="1" t="s">
        <v>100</v>
      </c>
      <c r="W349" s="1" t="s">
        <v>87</v>
      </c>
      <c r="X349">
        <v>47</v>
      </c>
      <c r="Y349">
        <v>34331982</v>
      </c>
      <c r="Z349" t="s">
        <v>91</v>
      </c>
      <c r="AA349" t="s">
        <v>91</v>
      </c>
      <c r="AB349" t="s">
        <v>91</v>
      </c>
      <c r="AC349" t="s">
        <v>91</v>
      </c>
      <c r="AD349" t="s">
        <v>91</v>
      </c>
      <c r="AE349" t="s">
        <v>91</v>
      </c>
      <c r="AF349" t="s">
        <v>91</v>
      </c>
      <c r="AG349" s="1" t="s">
        <v>91</v>
      </c>
      <c r="AH349" s="1" t="s">
        <v>91</v>
      </c>
      <c r="AI349" t="s">
        <v>91</v>
      </c>
      <c r="AJ349">
        <v>0</v>
      </c>
      <c r="AK349">
        <v>0</v>
      </c>
      <c r="AL349">
        <v>0</v>
      </c>
      <c r="AM349" t="s">
        <v>91</v>
      </c>
      <c r="AN349" t="s">
        <v>91</v>
      </c>
      <c r="AO349" t="s">
        <v>91</v>
      </c>
      <c r="AP349" t="s">
        <v>91</v>
      </c>
      <c r="AQ349" s="1" t="s">
        <v>91</v>
      </c>
      <c r="AR349" s="1" t="s">
        <v>91</v>
      </c>
      <c r="AS349" s="1" t="s">
        <v>91</v>
      </c>
      <c r="AT349" s="1" t="s">
        <v>91</v>
      </c>
      <c r="AU349" s="1" t="s">
        <v>91</v>
      </c>
      <c r="AV349" t="s">
        <v>91</v>
      </c>
      <c r="AW349" t="s">
        <v>91</v>
      </c>
      <c r="AX349" t="s">
        <v>91</v>
      </c>
      <c r="AY349" t="s">
        <v>91</v>
      </c>
      <c r="AZ349" t="s">
        <v>91</v>
      </c>
      <c r="BA349" t="s">
        <v>91</v>
      </c>
      <c r="BB349" s="2"/>
      <c r="BC349" s="2"/>
      <c r="BD349" t="s">
        <v>91</v>
      </c>
      <c r="BF349" s="1" t="s">
        <v>75</v>
      </c>
      <c r="BG349">
        <v>0</v>
      </c>
      <c r="BH349">
        <v>0</v>
      </c>
      <c r="BI349" s="1" t="s">
        <v>88</v>
      </c>
      <c r="BJ349">
        <v>1</v>
      </c>
      <c r="BK349" s="1" t="s">
        <v>89</v>
      </c>
      <c r="BL349" t="s">
        <v>91</v>
      </c>
      <c r="BM349" s="1" t="s">
        <v>329</v>
      </c>
      <c r="BN349" s="1" t="s">
        <v>110</v>
      </c>
      <c r="BO349" s="1" t="s">
        <v>165</v>
      </c>
      <c r="BP349" s="1" t="s">
        <v>91</v>
      </c>
      <c r="BQ349" t="s">
        <v>91</v>
      </c>
      <c r="BR349" s="3"/>
      <c r="BS349" s="3"/>
      <c r="BT349" t="s">
        <v>91</v>
      </c>
      <c r="BU349" t="s">
        <v>91</v>
      </c>
      <c r="BV349">
        <v>5</v>
      </c>
      <c r="BW349" s="1" t="s">
        <v>2154</v>
      </c>
    </row>
    <row r="350" spans="1:75" x14ac:dyDescent="0.35">
      <c r="A350">
        <v>144472</v>
      </c>
      <c r="B350" s="1" t="s">
        <v>75</v>
      </c>
      <c r="C350">
        <v>80</v>
      </c>
      <c r="D350">
        <v>11121001</v>
      </c>
      <c r="E350">
        <v>121001</v>
      </c>
      <c r="F350" s="1" t="s">
        <v>76</v>
      </c>
      <c r="G350" s="1" t="s">
        <v>2155</v>
      </c>
      <c r="I350" s="1" t="s">
        <v>78</v>
      </c>
      <c r="J350" s="1" t="s">
        <v>2156</v>
      </c>
      <c r="K350" s="1" t="s">
        <v>2157</v>
      </c>
      <c r="L350" t="s">
        <v>91</v>
      </c>
      <c r="M350" t="s">
        <v>91</v>
      </c>
      <c r="N350" s="1" t="s">
        <v>808</v>
      </c>
      <c r="O350" t="s">
        <v>91</v>
      </c>
      <c r="P350" s="1" t="s">
        <v>125</v>
      </c>
      <c r="Q350" s="1" t="s">
        <v>1452</v>
      </c>
      <c r="R350" s="1" t="s">
        <v>91</v>
      </c>
      <c r="S350">
        <v>1277</v>
      </c>
      <c r="T350">
        <v>89201010</v>
      </c>
      <c r="U350" s="1" t="s">
        <v>108</v>
      </c>
      <c r="V350" s="1" t="s">
        <v>100</v>
      </c>
      <c r="W350" s="1" t="s">
        <v>87</v>
      </c>
      <c r="X350">
        <v>47</v>
      </c>
      <c r="Y350">
        <v>34223223</v>
      </c>
      <c r="Z350" t="s">
        <v>91</v>
      </c>
      <c r="AA350" t="s">
        <v>91</v>
      </c>
      <c r="AB350" t="s">
        <v>91</v>
      </c>
      <c r="AC350" t="s">
        <v>91</v>
      </c>
      <c r="AD350" t="s">
        <v>91</v>
      </c>
      <c r="AE350" t="s">
        <v>91</v>
      </c>
      <c r="AF350" t="s">
        <v>91</v>
      </c>
      <c r="AG350" s="1" t="s">
        <v>91</v>
      </c>
      <c r="AH350" s="1" t="s">
        <v>91</v>
      </c>
      <c r="AI350" t="s">
        <v>91</v>
      </c>
      <c r="AJ350">
        <v>0</v>
      </c>
      <c r="AK350">
        <v>0</v>
      </c>
      <c r="AL350">
        <v>0</v>
      </c>
      <c r="AM350" t="s">
        <v>91</v>
      </c>
      <c r="AN350" t="s">
        <v>91</v>
      </c>
      <c r="AO350" t="s">
        <v>91</v>
      </c>
      <c r="AP350" t="s">
        <v>91</v>
      </c>
      <c r="AQ350" s="1" t="s">
        <v>91</v>
      </c>
      <c r="AR350" s="1" t="s">
        <v>91</v>
      </c>
      <c r="AS350" s="1" t="s">
        <v>91</v>
      </c>
      <c r="AT350" s="1" t="s">
        <v>91</v>
      </c>
      <c r="AU350" s="1" t="s">
        <v>91</v>
      </c>
      <c r="AV350" t="s">
        <v>91</v>
      </c>
      <c r="AW350" t="s">
        <v>91</v>
      </c>
      <c r="AX350" t="s">
        <v>91</v>
      </c>
      <c r="AY350" t="s">
        <v>91</v>
      </c>
      <c r="AZ350" t="s">
        <v>91</v>
      </c>
      <c r="BA350" t="s">
        <v>91</v>
      </c>
      <c r="BB350" s="2"/>
      <c r="BC350" s="2"/>
      <c r="BD350" t="s">
        <v>91</v>
      </c>
      <c r="BF350" s="1" t="s">
        <v>75</v>
      </c>
      <c r="BG350">
        <v>0</v>
      </c>
      <c r="BH350">
        <v>0</v>
      </c>
      <c r="BI350" s="1" t="s">
        <v>88</v>
      </c>
      <c r="BJ350">
        <v>1</v>
      </c>
      <c r="BK350" s="1" t="s">
        <v>89</v>
      </c>
      <c r="BL350" t="s">
        <v>91</v>
      </c>
      <c r="BM350" s="1" t="s">
        <v>109</v>
      </c>
      <c r="BN350" s="1" t="s">
        <v>148</v>
      </c>
      <c r="BO350" s="1" t="s">
        <v>128</v>
      </c>
      <c r="BP350" s="1" t="s">
        <v>91</v>
      </c>
      <c r="BQ350" t="s">
        <v>91</v>
      </c>
      <c r="BR350" s="3"/>
      <c r="BS350" s="3"/>
      <c r="BT350" t="s">
        <v>91</v>
      </c>
      <c r="BU350" t="s">
        <v>91</v>
      </c>
      <c r="BV350">
        <v>5</v>
      </c>
      <c r="BW350" s="1" t="s">
        <v>149</v>
      </c>
    </row>
    <row r="351" spans="1:75" x14ac:dyDescent="0.35">
      <c r="A351">
        <v>156734</v>
      </c>
      <c r="B351" s="1" t="s">
        <v>75</v>
      </c>
      <c r="C351">
        <v>80</v>
      </c>
      <c r="D351">
        <v>11121001</v>
      </c>
      <c r="E351">
        <v>121001</v>
      </c>
      <c r="F351" s="1" t="s">
        <v>76</v>
      </c>
      <c r="G351" s="1" t="s">
        <v>2158</v>
      </c>
      <c r="H351">
        <v>0</v>
      </c>
      <c r="I351" s="1" t="s">
        <v>78</v>
      </c>
      <c r="J351" s="1" t="s">
        <v>2159</v>
      </c>
      <c r="K351" s="1" t="s">
        <v>2160</v>
      </c>
      <c r="L351" t="s">
        <v>91</v>
      </c>
      <c r="M351" t="s">
        <v>91</v>
      </c>
      <c r="N351" s="1" t="s">
        <v>2161</v>
      </c>
      <c r="O351" t="s">
        <v>91</v>
      </c>
      <c r="P351" s="1" t="s">
        <v>154</v>
      </c>
      <c r="Q351" s="1" t="s">
        <v>2162</v>
      </c>
      <c r="R351" s="1" t="s">
        <v>320</v>
      </c>
      <c r="S351">
        <v>1389</v>
      </c>
      <c r="T351">
        <v>99700000</v>
      </c>
      <c r="U351" s="1" t="s">
        <v>108</v>
      </c>
      <c r="V351" s="1" t="s">
        <v>156</v>
      </c>
      <c r="W351" s="1" t="s">
        <v>157</v>
      </c>
      <c r="X351">
        <v>54</v>
      </c>
      <c r="Y351">
        <v>35229093</v>
      </c>
      <c r="Z351" t="s">
        <v>91</v>
      </c>
      <c r="AA351" t="s">
        <v>91</v>
      </c>
      <c r="AB351" t="s">
        <v>91</v>
      </c>
      <c r="AC351" t="s">
        <v>91</v>
      </c>
      <c r="AD351" t="s">
        <v>91</v>
      </c>
      <c r="AE351" t="s">
        <v>91</v>
      </c>
      <c r="AF351" t="s">
        <v>91</v>
      </c>
      <c r="AG351" s="1" t="s">
        <v>91</v>
      </c>
      <c r="AH351" s="1" t="s">
        <v>91</v>
      </c>
      <c r="AI351" t="s">
        <v>91</v>
      </c>
      <c r="AM351" t="s">
        <v>91</v>
      </c>
      <c r="AN351" t="s">
        <v>91</v>
      </c>
      <c r="AO351" t="s">
        <v>91</v>
      </c>
      <c r="AP351" t="s">
        <v>91</v>
      </c>
      <c r="AQ351" s="1" t="s">
        <v>91</v>
      </c>
      <c r="AR351" s="1" t="s">
        <v>91</v>
      </c>
      <c r="AS351" s="1" t="s">
        <v>91</v>
      </c>
      <c r="AT351" s="1" t="s">
        <v>91</v>
      </c>
      <c r="AU351" s="1" t="s">
        <v>91</v>
      </c>
      <c r="AV351" t="s">
        <v>91</v>
      </c>
      <c r="AW351" t="s">
        <v>91</v>
      </c>
      <c r="AX351" t="s">
        <v>91</v>
      </c>
      <c r="AY351" t="s">
        <v>91</v>
      </c>
      <c r="AZ351" t="s">
        <v>91</v>
      </c>
      <c r="BA351" t="s">
        <v>91</v>
      </c>
      <c r="BB351" s="2">
        <v>45113.505416666667</v>
      </c>
      <c r="BC351" s="2"/>
      <c r="BD351" t="s">
        <v>91</v>
      </c>
      <c r="BF351" s="1" t="s">
        <v>75</v>
      </c>
      <c r="BI351" s="1" t="s">
        <v>88</v>
      </c>
      <c r="BJ351">
        <v>1</v>
      </c>
      <c r="BK351" s="1" t="s">
        <v>89</v>
      </c>
      <c r="BL351" t="s">
        <v>91</v>
      </c>
      <c r="BM351" s="1" t="s">
        <v>91</v>
      </c>
      <c r="BN351" s="1" t="s">
        <v>91</v>
      </c>
      <c r="BO351" s="1" t="s">
        <v>91</v>
      </c>
      <c r="BP351" s="1" t="s">
        <v>91</v>
      </c>
      <c r="BQ351" t="s">
        <v>91</v>
      </c>
      <c r="BR351" s="3">
        <v>45113</v>
      </c>
      <c r="BS351" s="3"/>
      <c r="BT351" t="s">
        <v>91</v>
      </c>
      <c r="BU351" t="s">
        <v>91</v>
      </c>
      <c r="BW351" s="1" t="s">
        <v>295</v>
      </c>
    </row>
    <row r="352" spans="1:75" x14ac:dyDescent="0.35">
      <c r="A352">
        <v>156761</v>
      </c>
      <c r="B352" s="1" t="s">
        <v>75</v>
      </c>
      <c r="C352">
        <v>80</v>
      </c>
      <c r="D352">
        <v>11121001</v>
      </c>
      <c r="E352">
        <v>121001</v>
      </c>
      <c r="F352" s="1" t="s">
        <v>76</v>
      </c>
      <c r="G352" s="1" t="s">
        <v>2163</v>
      </c>
      <c r="H352">
        <v>0</v>
      </c>
      <c r="I352" s="1" t="s">
        <v>78</v>
      </c>
      <c r="J352" s="1" t="s">
        <v>2164</v>
      </c>
      <c r="K352" s="1" t="s">
        <v>2165</v>
      </c>
      <c r="L352" t="s">
        <v>91</v>
      </c>
      <c r="M352" t="s">
        <v>91</v>
      </c>
      <c r="N352" s="1" t="s">
        <v>2166</v>
      </c>
      <c r="O352" t="s">
        <v>91</v>
      </c>
      <c r="P352" s="1" t="s">
        <v>789</v>
      </c>
      <c r="Q352" s="1" t="s">
        <v>2167</v>
      </c>
      <c r="R352" s="1" t="s">
        <v>91</v>
      </c>
      <c r="S352">
        <v>1279</v>
      </c>
      <c r="T352">
        <v>89227045</v>
      </c>
      <c r="U352" s="1" t="s">
        <v>426</v>
      </c>
      <c r="V352" s="1" t="s">
        <v>100</v>
      </c>
      <c r="W352" s="1" t="s">
        <v>87</v>
      </c>
      <c r="X352">
        <v>47</v>
      </c>
      <c r="Y352">
        <v>32783822</v>
      </c>
      <c r="Z352" t="s">
        <v>91</v>
      </c>
      <c r="AA352" t="s">
        <v>91</v>
      </c>
      <c r="AB352" t="s">
        <v>91</v>
      </c>
      <c r="AC352" t="s">
        <v>91</v>
      </c>
      <c r="AD352" t="s">
        <v>91</v>
      </c>
      <c r="AE352" t="s">
        <v>91</v>
      </c>
      <c r="AF352" t="s">
        <v>91</v>
      </c>
      <c r="AG352" s="1" t="s">
        <v>91</v>
      </c>
      <c r="AH352" s="1" t="s">
        <v>91</v>
      </c>
      <c r="AI352" t="s">
        <v>91</v>
      </c>
      <c r="AM352" t="s">
        <v>91</v>
      </c>
      <c r="AN352" t="s">
        <v>91</v>
      </c>
      <c r="AO352" t="s">
        <v>91</v>
      </c>
      <c r="AP352" t="s">
        <v>91</v>
      </c>
      <c r="AQ352" s="1" t="s">
        <v>91</v>
      </c>
      <c r="AR352" s="1" t="s">
        <v>91</v>
      </c>
      <c r="AS352" s="1" t="s">
        <v>91</v>
      </c>
      <c r="AT352" s="1" t="s">
        <v>91</v>
      </c>
      <c r="AU352" s="1" t="s">
        <v>91</v>
      </c>
      <c r="AV352" t="s">
        <v>91</v>
      </c>
      <c r="AW352" t="s">
        <v>91</v>
      </c>
      <c r="AX352" t="s">
        <v>91</v>
      </c>
      <c r="AY352" t="s">
        <v>91</v>
      </c>
      <c r="AZ352" t="s">
        <v>91</v>
      </c>
      <c r="BA352" t="s">
        <v>91</v>
      </c>
      <c r="BB352" s="2">
        <v>45113.505416666667</v>
      </c>
      <c r="BC352" s="2"/>
      <c r="BD352" t="s">
        <v>91</v>
      </c>
      <c r="BF352" s="1" t="s">
        <v>75</v>
      </c>
      <c r="BI352" s="1" t="s">
        <v>88</v>
      </c>
      <c r="BJ352">
        <v>1</v>
      </c>
      <c r="BK352" s="1" t="s">
        <v>89</v>
      </c>
      <c r="BL352" t="s">
        <v>91</v>
      </c>
      <c r="BM352" s="1" t="s">
        <v>91</v>
      </c>
      <c r="BN352" s="1" t="s">
        <v>91</v>
      </c>
      <c r="BO352" s="1" t="s">
        <v>91</v>
      </c>
      <c r="BP352" s="1" t="s">
        <v>91</v>
      </c>
      <c r="BQ352" t="s">
        <v>91</v>
      </c>
      <c r="BR352" s="3">
        <v>45113</v>
      </c>
      <c r="BS352" s="3"/>
      <c r="BT352" t="s">
        <v>91</v>
      </c>
      <c r="BU352" t="s">
        <v>91</v>
      </c>
      <c r="BW352" s="1" t="s">
        <v>90</v>
      </c>
    </row>
    <row r="353" spans="1:75" x14ac:dyDescent="0.35">
      <c r="A353">
        <v>156806</v>
      </c>
      <c r="B353" s="1" t="s">
        <v>75</v>
      </c>
      <c r="C353">
        <v>80</v>
      </c>
      <c r="D353">
        <v>11121001</v>
      </c>
      <c r="E353">
        <v>121001</v>
      </c>
      <c r="F353" s="1" t="s">
        <v>76</v>
      </c>
      <c r="G353" s="1" t="s">
        <v>2168</v>
      </c>
      <c r="H353">
        <v>0</v>
      </c>
      <c r="I353" s="1" t="s">
        <v>78</v>
      </c>
      <c r="J353" s="1" t="s">
        <v>2169</v>
      </c>
      <c r="K353" s="1" t="s">
        <v>2170</v>
      </c>
      <c r="L353" t="s">
        <v>91</v>
      </c>
      <c r="M353" t="s">
        <v>91</v>
      </c>
      <c r="N353" s="1" t="s">
        <v>2171</v>
      </c>
      <c r="O353" t="s">
        <v>91</v>
      </c>
      <c r="P353" s="1" t="s">
        <v>125</v>
      </c>
      <c r="Q353" s="1" t="s">
        <v>2172</v>
      </c>
      <c r="R353" s="1" t="s">
        <v>91</v>
      </c>
      <c r="S353">
        <v>1277</v>
      </c>
      <c r="T353">
        <v>89201010</v>
      </c>
      <c r="U353" s="1" t="s">
        <v>108</v>
      </c>
      <c r="V353" s="1" t="s">
        <v>100</v>
      </c>
      <c r="W353" s="1" t="s">
        <v>87</v>
      </c>
      <c r="X353">
        <v>47</v>
      </c>
      <c r="Y353">
        <v>34335494</v>
      </c>
      <c r="Z353" t="s">
        <v>91</v>
      </c>
      <c r="AA353" t="s">
        <v>91</v>
      </c>
      <c r="AB353" t="s">
        <v>91</v>
      </c>
      <c r="AC353" t="s">
        <v>91</v>
      </c>
      <c r="AD353" t="s">
        <v>91</v>
      </c>
      <c r="AE353" t="s">
        <v>91</v>
      </c>
      <c r="AF353" t="s">
        <v>91</v>
      </c>
      <c r="AG353" s="1" t="s">
        <v>91</v>
      </c>
      <c r="AH353" s="1" t="s">
        <v>91</v>
      </c>
      <c r="AI353" t="s">
        <v>91</v>
      </c>
      <c r="AM353" t="s">
        <v>91</v>
      </c>
      <c r="AN353" t="s">
        <v>91</v>
      </c>
      <c r="AO353" t="s">
        <v>91</v>
      </c>
      <c r="AP353" t="s">
        <v>91</v>
      </c>
      <c r="AQ353" s="1" t="s">
        <v>91</v>
      </c>
      <c r="AR353" s="1" t="s">
        <v>91</v>
      </c>
      <c r="AS353" s="1" t="s">
        <v>91</v>
      </c>
      <c r="AT353" s="1" t="s">
        <v>91</v>
      </c>
      <c r="AU353" s="1" t="s">
        <v>91</v>
      </c>
      <c r="AV353" t="s">
        <v>91</v>
      </c>
      <c r="AW353" t="s">
        <v>91</v>
      </c>
      <c r="AX353" t="s">
        <v>91</v>
      </c>
      <c r="AY353" t="s">
        <v>91</v>
      </c>
      <c r="AZ353" t="s">
        <v>91</v>
      </c>
      <c r="BA353" t="s">
        <v>91</v>
      </c>
      <c r="BB353" s="2">
        <v>45113.505416666667</v>
      </c>
      <c r="BC353" s="2"/>
      <c r="BD353" t="s">
        <v>91</v>
      </c>
      <c r="BF353" s="1" t="s">
        <v>75</v>
      </c>
      <c r="BI353" s="1" t="s">
        <v>88</v>
      </c>
      <c r="BJ353">
        <v>1</v>
      </c>
      <c r="BK353" s="1" t="s">
        <v>89</v>
      </c>
      <c r="BL353" t="s">
        <v>91</v>
      </c>
      <c r="BM353" s="1" t="s">
        <v>91</v>
      </c>
      <c r="BN353" s="1" t="s">
        <v>91</v>
      </c>
      <c r="BO353" s="1" t="s">
        <v>91</v>
      </c>
      <c r="BP353" s="1" t="s">
        <v>91</v>
      </c>
      <c r="BQ353" t="s">
        <v>91</v>
      </c>
      <c r="BR353" s="3">
        <v>45113</v>
      </c>
      <c r="BS353" s="3"/>
      <c r="BT353" t="s">
        <v>91</v>
      </c>
      <c r="BU353" t="s">
        <v>91</v>
      </c>
      <c r="BW353" s="1" t="s">
        <v>90</v>
      </c>
    </row>
    <row r="354" spans="1:75" x14ac:dyDescent="0.35">
      <c r="A354">
        <v>156818</v>
      </c>
      <c r="B354" s="1" t="s">
        <v>75</v>
      </c>
      <c r="C354">
        <v>80</v>
      </c>
      <c r="D354">
        <v>11121001</v>
      </c>
      <c r="E354">
        <v>121001</v>
      </c>
      <c r="F354" s="1" t="s">
        <v>76</v>
      </c>
      <c r="G354" s="1" t="s">
        <v>2173</v>
      </c>
      <c r="H354">
        <v>0</v>
      </c>
      <c r="I354" s="1" t="s">
        <v>78</v>
      </c>
      <c r="J354" s="1" t="s">
        <v>2174</v>
      </c>
      <c r="K354" s="1" t="s">
        <v>2175</v>
      </c>
      <c r="L354" t="s">
        <v>91</v>
      </c>
      <c r="M354" t="s">
        <v>91</v>
      </c>
      <c r="N354" s="1" t="s">
        <v>2176</v>
      </c>
      <c r="O354" t="s">
        <v>91</v>
      </c>
      <c r="P354" s="1" t="s">
        <v>1856</v>
      </c>
      <c r="Q354" s="1" t="s">
        <v>2177</v>
      </c>
      <c r="R354" s="1" t="s">
        <v>91</v>
      </c>
      <c r="S354">
        <v>1191</v>
      </c>
      <c r="T354">
        <v>83880000</v>
      </c>
      <c r="U354" s="1" t="s">
        <v>343</v>
      </c>
      <c r="V354" s="1" t="s">
        <v>2178</v>
      </c>
      <c r="W354" s="1" t="s">
        <v>137</v>
      </c>
      <c r="X354">
        <v>47</v>
      </c>
      <c r="Y354">
        <v>36420870</v>
      </c>
      <c r="Z354" t="s">
        <v>91</v>
      </c>
      <c r="AA354" t="s">
        <v>91</v>
      </c>
      <c r="AB354" t="s">
        <v>91</v>
      </c>
      <c r="AC354" t="s">
        <v>91</v>
      </c>
      <c r="AD354" t="s">
        <v>91</v>
      </c>
      <c r="AE354" t="s">
        <v>91</v>
      </c>
      <c r="AF354" t="s">
        <v>91</v>
      </c>
      <c r="AG354" s="1" t="s">
        <v>91</v>
      </c>
      <c r="AH354" s="1" t="s">
        <v>91</v>
      </c>
      <c r="AI354" t="s">
        <v>91</v>
      </c>
      <c r="AM354" t="s">
        <v>91</v>
      </c>
      <c r="AN354" t="s">
        <v>91</v>
      </c>
      <c r="AO354" t="s">
        <v>91</v>
      </c>
      <c r="AP354" t="s">
        <v>91</v>
      </c>
      <c r="AQ354" s="1" t="s">
        <v>91</v>
      </c>
      <c r="AR354" s="1" t="s">
        <v>91</v>
      </c>
      <c r="AS354" s="1" t="s">
        <v>91</v>
      </c>
      <c r="AT354" s="1" t="s">
        <v>91</v>
      </c>
      <c r="AU354" s="1" t="s">
        <v>91</v>
      </c>
      <c r="AV354" t="s">
        <v>91</v>
      </c>
      <c r="AW354" t="s">
        <v>91</v>
      </c>
      <c r="AX354" t="s">
        <v>91</v>
      </c>
      <c r="AY354" t="s">
        <v>91</v>
      </c>
      <c r="AZ354" t="s">
        <v>91</v>
      </c>
      <c r="BA354" t="s">
        <v>91</v>
      </c>
      <c r="BB354" s="2">
        <v>45113.505416666667</v>
      </c>
      <c r="BC354" s="2"/>
      <c r="BD354" t="s">
        <v>91</v>
      </c>
      <c r="BF354" s="1" t="s">
        <v>75</v>
      </c>
      <c r="BI354" s="1" t="s">
        <v>88</v>
      </c>
      <c r="BJ354">
        <v>1</v>
      </c>
      <c r="BK354" s="1" t="s">
        <v>89</v>
      </c>
      <c r="BL354" t="s">
        <v>91</v>
      </c>
      <c r="BM354" s="1" t="s">
        <v>91</v>
      </c>
      <c r="BN354" s="1" t="s">
        <v>91</v>
      </c>
      <c r="BO354" s="1" t="s">
        <v>91</v>
      </c>
      <c r="BP354" s="1" t="s">
        <v>91</v>
      </c>
      <c r="BQ354" t="s">
        <v>91</v>
      </c>
      <c r="BR354" s="3">
        <v>45113</v>
      </c>
      <c r="BS354" s="3"/>
      <c r="BT354" t="s">
        <v>91</v>
      </c>
      <c r="BU354" t="s">
        <v>91</v>
      </c>
      <c r="BW354" s="1" t="s">
        <v>90</v>
      </c>
    </row>
    <row r="355" spans="1:75" x14ac:dyDescent="0.35">
      <c r="A355">
        <v>156731</v>
      </c>
      <c r="B355" s="1" t="s">
        <v>75</v>
      </c>
      <c r="C355">
        <v>80</v>
      </c>
      <c r="D355">
        <v>11121001</v>
      </c>
      <c r="E355">
        <v>121001</v>
      </c>
      <c r="F355" s="1" t="s">
        <v>76</v>
      </c>
      <c r="G355" s="1" t="s">
        <v>2179</v>
      </c>
      <c r="H355">
        <v>0</v>
      </c>
      <c r="I355" s="1" t="s">
        <v>78</v>
      </c>
      <c r="J355" s="1" t="s">
        <v>2180</v>
      </c>
      <c r="K355" s="1" t="s">
        <v>2181</v>
      </c>
      <c r="L355" t="s">
        <v>91</v>
      </c>
      <c r="M355" t="s">
        <v>91</v>
      </c>
      <c r="N355" s="1" t="s">
        <v>2182</v>
      </c>
      <c r="O355" t="s">
        <v>91</v>
      </c>
      <c r="P355" s="1" t="s">
        <v>1840</v>
      </c>
      <c r="Q355" s="1" t="s">
        <v>374</v>
      </c>
      <c r="R355" s="1" t="s">
        <v>2183</v>
      </c>
      <c r="S355">
        <v>1383</v>
      </c>
      <c r="T355">
        <v>99025001</v>
      </c>
      <c r="U355" s="1" t="s">
        <v>477</v>
      </c>
      <c r="V355" s="1" t="s">
        <v>371</v>
      </c>
      <c r="W355" s="1" t="s">
        <v>157</v>
      </c>
      <c r="X355">
        <v>54</v>
      </c>
      <c r="Y355">
        <v>33133603</v>
      </c>
      <c r="Z355" t="s">
        <v>91</v>
      </c>
      <c r="AA355" t="s">
        <v>91</v>
      </c>
      <c r="AB355" t="s">
        <v>91</v>
      </c>
      <c r="AC355" t="s">
        <v>91</v>
      </c>
      <c r="AD355" t="s">
        <v>91</v>
      </c>
      <c r="AE355" t="s">
        <v>91</v>
      </c>
      <c r="AF355" t="s">
        <v>91</v>
      </c>
      <c r="AG355" s="1" t="s">
        <v>91</v>
      </c>
      <c r="AH355" s="1" t="s">
        <v>91</v>
      </c>
      <c r="AI355" t="s">
        <v>91</v>
      </c>
      <c r="AM355" t="s">
        <v>91</v>
      </c>
      <c r="AN355" t="s">
        <v>91</v>
      </c>
      <c r="AO355" t="s">
        <v>91</v>
      </c>
      <c r="AP355" t="s">
        <v>91</v>
      </c>
      <c r="AQ355" s="1" t="s">
        <v>91</v>
      </c>
      <c r="AR355" s="1" t="s">
        <v>91</v>
      </c>
      <c r="AS355" s="1" t="s">
        <v>91</v>
      </c>
      <c r="AT355" s="1" t="s">
        <v>91</v>
      </c>
      <c r="AU355" s="1" t="s">
        <v>91</v>
      </c>
      <c r="AV355" t="s">
        <v>91</v>
      </c>
      <c r="AW355" t="s">
        <v>91</v>
      </c>
      <c r="AX355" t="s">
        <v>91</v>
      </c>
      <c r="AY355" t="s">
        <v>91</v>
      </c>
      <c r="AZ355" t="s">
        <v>91</v>
      </c>
      <c r="BA355" t="s">
        <v>91</v>
      </c>
      <c r="BB355" s="2">
        <v>45113.505416666667</v>
      </c>
      <c r="BC355" s="2"/>
      <c r="BD355" t="s">
        <v>91</v>
      </c>
      <c r="BF355" s="1" t="s">
        <v>75</v>
      </c>
      <c r="BI355" s="1" t="s">
        <v>88</v>
      </c>
      <c r="BJ355">
        <v>1</v>
      </c>
      <c r="BK355" s="1" t="s">
        <v>89</v>
      </c>
      <c r="BL355" t="s">
        <v>91</v>
      </c>
      <c r="BM355" s="1" t="s">
        <v>91</v>
      </c>
      <c r="BN355" s="1" t="s">
        <v>91</v>
      </c>
      <c r="BO355" s="1" t="s">
        <v>91</v>
      </c>
      <c r="BP355" s="1" t="s">
        <v>91</v>
      </c>
      <c r="BQ355" t="s">
        <v>91</v>
      </c>
      <c r="BR355" s="3">
        <v>45113</v>
      </c>
      <c r="BS355" s="3"/>
      <c r="BT355" t="s">
        <v>91</v>
      </c>
      <c r="BU355" t="s">
        <v>91</v>
      </c>
      <c r="BW355" s="1" t="s">
        <v>1575</v>
      </c>
    </row>
    <row r="356" spans="1:75" x14ac:dyDescent="0.35">
      <c r="A356">
        <v>144475</v>
      </c>
      <c r="B356" s="1" t="s">
        <v>75</v>
      </c>
      <c r="C356">
        <v>80</v>
      </c>
      <c r="D356">
        <v>11121001</v>
      </c>
      <c r="E356">
        <v>121001</v>
      </c>
      <c r="F356" s="1" t="s">
        <v>76</v>
      </c>
      <c r="G356" s="1" t="s">
        <v>2184</v>
      </c>
      <c r="I356" s="1" t="s">
        <v>78</v>
      </c>
      <c r="J356" s="1" t="s">
        <v>2185</v>
      </c>
      <c r="K356" s="1" t="s">
        <v>2186</v>
      </c>
      <c r="L356" t="s">
        <v>91</v>
      </c>
      <c r="M356" t="s">
        <v>91</v>
      </c>
      <c r="N356" s="1" t="s">
        <v>2187</v>
      </c>
      <c r="O356" t="s">
        <v>91</v>
      </c>
      <c r="P356" s="1" t="s">
        <v>2188</v>
      </c>
      <c r="Q356" s="1" t="s">
        <v>1042</v>
      </c>
      <c r="R356" s="1" t="s">
        <v>91</v>
      </c>
      <c r="S356">
        <v>1279</v>
      </c>
      <c r="T356">
        <v>89239220</v>
      </c>
      <c r="U356" s="1" t="s">
        <v>809</v>
      </c>
      <c r="V356" s="1" t="s">
        <v>100</v>
      </c>
      <c r="W356" s="1" t="s">
        <v>87</v>
      </c>
      <c r="X356">
        <v>47</v>
      </c>
      <c r="Y356">
        <v>34240846</v>
      </c>
      <c r="Z356" t="s">
        <v>91</v>
      </c>
      <c r="AA356" t="s">
        <v>91</v>
      </c>
      <c r="AB356" t="s">
        <v>91</v>
      </c>
      <c r="AC356" t="s">
        <v>91</v>
      </c>
      <c r="AD356" t="s">
        <v>91</v>
      </c>
      <c r="AE356" t="s">
        <v>91</v>
      </c>
      <c r="AF356" t="s">
        <v>91</v>
      </c>
      <c r="AG356" s="1" t="s">
        <v>91</v>
      </c>
      <c r="AH356" s="1" t="s">
        <v>91</v>
      </c>
      <c r="AI356" t="s">
        <v>91</v>
      </c>
      <c r="AJ356">
        <v>0</v>
      </c>
      <c r="AK356">
        <v>0</v>
      </c>
      <c r="AL356">
        <v>0</v>
      </c>
      <c r="AM356" t="s">
        <v>91</v>
      </c>
      <c r="AN356" t="s">
        <v>91</v>
      </c>
      <c r="AO356" t="s">
        <v>91</v>
      </c>
      <c r="AP356" t="s">
        <v>91</v>
      </c>
      <c r="AQ356" s="1" t="s">
        <v>91</v>
      </c>
      <c r="AR356" s="1" t="s">
        <v>91</v>
      </c>
      <c r="AS356" s="1" t="s">
        <v>91</v>
      </c>
      <c r="AT356" s="1" t="s">
        <v>91</v>
      </c>
      <c r="AU356" s="1" t="s">
        <v>91</v>
      </c>
      <c r="AV356" t="s">
        <v>91</v>
      </c>
      <c r="AW356" t="s">
        <v>91</v>
      </c>
      <c r="AX356" t="s">
        <v>91</v>
      </c>
      <c r="AY356" t="s">
        <v>91</v>
      </c>
      <c r="AZ356" t="s">
        <v>91</v>
      </c>
      <c r="BA356" t="s">
        <v>91</v>
      </c>
      <c r="BB356" s="2"/>
      <c r="BC356" s="2"/>
      <c r="BD356" t="s">
        <v>91</v>
      </c>
      <c r="BF356" s="1" t="s">
        <v>75</v>
      </c>
      <c r="BG356">
        <v>0</v>
      </c>
      <c r="BH356">
        <v>0</v>
      </c>
      <c r="BI356" s="1" t="s">
        <v>88</v>
      </c>
      <c r="BJ356">
        <v>1</v>
      </c>
      <c r="BK356" s="1" t="s">
        <v>89</v>
      </c>
      <c r="BL356" t="s">
        <v>91</v>
      </c>
      <c r="BM356" s="1" t="s">
        <v>109</v>
      </c>
      <c r="BN356" s="1" t="s">
        <v>110</v>
      </c>
      <c r="BO356" s="1" t="s">
        <v>180</v>
      </c>
      <c r="BP356" s="1" t="s">
        <v>91</v>
      </c>
      <c r="BQ356" t="s">
        <v>91</v>
      </c>
      <c r="BR356" s="3"/>
      <c r="BS356" s="3"/>
      <c r="BT356" t="s">
        <v>91</v>
      </c>
      <c r="BU356" t="s">
        <v>91</v>
      </c>
      <c r="BV356">
        <v>9</v>
      </c>
      <c r="BW356" s="1" t="s">
        <v>390</v>
      </c>
    </row>
    <row r="357" spans="1:75" x14ac:dyDescent="0.35">
      <c r="A357">
        <v>144570</v>
      </c>
      <c r="B357" s="1" t="s">
        <v>75</v>
      </c>
      <c r="C357">
        <v>80</v>
      </c>
      <c r="D357">
        <v>11121001</v>
      </c>
      <c r="E357">
        <v>121001</v>
      </c>
      <c r="F357" s="1" t="s">
        <v>76</v>
      </c>
      <c r="G357" s="1" t="s">
        <v>2189</v>
      </c>
      <c r="I357" s="1" t="s">
        <v>78</v>
      </c>
      <c r="J357" s="1" t="s">
        <v>2190</v>
      </c>
      <c r="K357" s="1" t="s">
        <v>2191</v>
      </c>
      <c r="L357" t="s">
        <v>91</v>
      </c>
      <c r="M357" t="s">
        <v>91</v>
      </c>
      <c r="N357" s="1" t="s">
        <v>1880</v>
      </c>
      <c r="O357" t="s">
        <v>91</v>
      </c>
      <c r="P357" s="1" t="s">
        <v>105</v>
      </c>
      <c r="Q357" s="1" t="s">
        <v>1808</v>
      </c>
      <c r="R357" s="1" t="s">
        <v>236</v>
      </c>
      <c r="S357">
        <v>1277</v>
      </c>
      <c r="T357">
        <v>89201001</v>
      </c>
      <c r="U357" s="1" t="s">
        <v>108</v>
      </c>
      <c r="V357" s="1" t="s">
        <v>100</v>
      </c>
      <c r="W357" s="1" t="s">
        <v>87</v>
      </c>
      <c r="X357">
        <v>47</v>
      </c>
      <c r="Y357">
        <v>34223358</v>
      </c>
      <c r="Z357" t="s">
        <v>91</v>
      </c>
      <c r="AA357" t="s">
        <v>91</v>
      </c>
      <c r="AB357" t="s">
        <v>91</v>
      </c>
      <c r="AC357" t="s">
        <v>91</v>
      </c>
      <c r="AD357" t="s">
        <v>91</v>
      </c>
      <c r="AE357" t="s">
        <v>91</v>
      </c>
      <c r="AF357" t="s">
        <v>91</v>
      </c>
      <c r="AG357" s="1" t="s">
        <v>91</v>
      </c>
      <c r="AH357" s="1" t="s">
        <v>91</v>
      </c>
      <c r="AI357" t="s">
        <v>91</v>
      </c>
      <c r="AJ357">
        <v>0</v>
      </c>
      <c r="AK357">
        <v>0</v>
      </c>
      <c r="AL357">
        <v>0</v>
      </c>
      <c r="AM357" t="s">
        <v>91</v>
      </c>
      <c r="AN357" t="s">
        <v>91</v>
      </c>
      <c r="AO357" t="s">
        <v>91</v>
      </c>
      <c r="AP357" t="s">
        <v>91</v>
      </c>
      <c r="AQ357" s="1" t="s">
        <v>91</v>
      </c>
      <c r="AR357" s="1" t="s">
        <v>91</v>
      </c>
      <c r="AS357" s="1" t="s">
        <v>91</v>
      </c>
      <c r="AT357" s="1" t="s">
        <v>91</v>
      </c>
      <c r="AU357" s="1" t="s">
        <v>91</v>
      </c>
      <c r="AV357" t="s">
        <v>91</v>
      </c>
      <c r="AW357" t="s">
        <v>91</v>
      </c>
      <c r="AX357" t="s">
        <v>91</v>
      </c>
      <c r="AY357" t="s">
        <v>91</v>
      </c>
      <c r="AZ357" t="s">
        <v>91</v>
      </c>
      <c r="BA357" t="s">
        <v>91</v>
      </c>
      <c r="BB357" s="2"/>
      <c r="BC357" s="2"/>
      <c r="BD357" t="s">
        <v>91</v>
      </c>
      <c r="BF357" s="1" t="s">
        <v>75</v>
      </c>
      <c r="BG357">
        <v>0</v>
      </c>
      <c r="BH357">
        <v>0</v>
      </c>
      <c r="BI357" s="1" t="s">
        <v>88</v>
      </c>
      <c r="BJ357">
        <v>1</v>
      </c>
      <c r="BK357" s="1" t="s">
        <v>89</v>
      </c>
      <c r="BL357" t="s">
        <v>91</v>
      </c>
      <c r="BM357" s="1" t="s">
        <v>109</v>
      </c>
      <c r="BN357" s="1" t="s">
        <v>148</v>
      </c>
      <c r="BO357" s="1" t="s">
        <v>111</v>
      </c>
      <c r="BP357" s="1" t="s">
        <v>91</v>
      </c>
      <c r="BQ357" t="s">
        <v>91</v>
      </c>
      <c r="BR357" s="3"/>
      <c r="BS357" s="3"/>
      <c r="BT357" t="s">
        <v>91</v>
      </c>
      <c r="BU357" t="s">
        <v>91</v>
      </c>
      <c r="BV357">
        <v>8</v>
      </c>
      <c r="BW357" s="1" t="s">
        <v>90</v>
      </c>
    </row>
    <row r="358" spans="1:75" x14ac:dyDescent="0.35">
      <c r="A358">
        <v>144571</v>
      </c>
      <c r="B358" s="1" t="s">
        <v>75</v>
      </c>
      <c r="C358">
        <v>80</v>
      </c>
      <c r="D358">
        <v>11121001</v>
      </c>
      <c r="E358">
        <v>121001</v>
      </c>
      <c r="F358" s="1" t="s">
        <v>76</v>
      </c>
      <c r="G358" s="1" t="s">
        <v>2192</v>
      </c>
      <c r="I358" s="1" t="s">
        <v>78</v>
      </c>
      <c r="J358" s="1" t="s">
        <v>2193</v>
      </c>
      <c r="K358" s="1" t="s">
        <v>2194</v>
      </c>
      <c r="L358" t="s">
        <v>91</v>
      </c>
      <c r="M358" t="s">
        <v>91</v>
      </c>
      <c r="N358" s="1" t="s">
        <v>1880</v>
      </c>
      <c r="O358" t="s">
        <v>91</v>
      </c>
      <c r="P358" s="1" t="s">
        <v>105</v>
      </c>
      <c r="Q358" s="1" t="s">
        <v>1808</v>
      </c>
      <c r="R358" s="1" t="s">
        <v>370</v>
      </c>
      <c r="S358">
        <v>1277</v>
      </c>
      <c r="T358">
        <v>89201001</v>
      </c>
      <c r="U358" s="1" t="s">
        <v>108</v>
      </c>
      <c r="V358" s="1" t="s">
        <v>100</v>
      </c>
      <c r="W358" s="1" t="s">
        <v>87</v>
      </c>
      <c r="X358">
        <v>47</v>
      </c>
      <c r="Y358">
        <v>30283358</v>
      </c>
      <c r="Z358" t="s">
        <v>91</v>
      </c>
      <c r="AA358" t="s">
        <v>91</v>
      </c>
      <c r="AB358" t="s">
        <v>91</v>
      </c>
      <c r="AC358" t="s">
        <v>91</v>
      </c>
      <c r="AD358" t="s">
        <v>91</v>
      </c>
      <c r="AE358" t="s">
        <v>91</v>
      </c>
      <c r="AF358" t="s">
        <v>91</v>
      </c>
      <c r="AG358" s="1" t="s">
        <v>91</v>
      </c>
      <c r="AH358" s="1" t="s">
        <v>91</v>
      </c>
      <c r="AI358" t="s">
        <v>91</v>
      </c>
      <c r="AJ358">
        <v>0</v>
      </c>
      <c r="AK358">
        <v>0</v>
      </c>
      <c r="AL358">
        <v>0</v>
      </c>
      <c r="AM358" t="s">
        <v>91</v>
      </c>
      <c r="AN358" t="s">
        <v>91</v>
      </c>
      <c r="AO358" t="s">
        <v>91</v>
      </c>
      <c r="AP358" t="s">
        <v>91</v>
      </c>
      <c r="AQ358" s="1" t="s">
        <v>91</v>
      </c>
      <c r="AR358" s="1" t="s">
        <v>91</v>
      </c>
      <c r="AS358" s="1" t="s">
        <v>91</v>
      </c>
      <c r="AT358" s="1" t="s">
        <v>91</v>
      </c>
      <c r="AU358" s="1" t="s">
        <v>91</v>
      </c>
      <c r="AV358" t="s">
        <v>91</v>
      </c>
      <c r="AW358" t="s">
        <v>91</v>
      </c>
      <c r="AX358" t="s">
        <v>91</v>
      </c>
      <c r="AY358" t="s">
        <v>91</v>
      </c>
      <c r="AZ358" t="s">
        <v>91</v>
      </c>
      <c r="BA358" t="s">
        <v>91</v>
      </c>
      <c r="BB358" s="2"/>
      <c r="BC358" s="2"/>
      <c r="BD358" t="s">
        <v>91</v>
      </c>
      <c r="BF358" s="1" t="s">
        <v>75</v>
      </c>
      <c r="BG358">
        <v>0</v>
      </c>
      <c r="BH358">
        <v>0</v>
      </c>
      <c r="BI358" s="1" t="s">
        <v>88</v>
      </c>
      <c r="BJ358">
        <v>1</v>
      </c>
      <c r="BK358" s="1" t="s">
        <v>89</v>
      </c>
      <c r="BL358" t="s">
        <v>91</v>
      </c>
      <c r="BM358" s="1" t="s">
        <v>109</v>
      </c>
      <c r="BN358" s="1" t="s">
        <v>148</v>
      </c>
      <c r="BO358" s="1" t="s">
        <v>180</v>
      </c>
      <c r="BP358" s="1" t="s">
        <v>91</v>
      </c>
      <c r="BQ358" t="s">
        <v>91</v>
      </c>
      <c r="BR358" s="3"/>
      <c r="BS358" s="3"/>
      <c r="BT358" t="s">
        <v>91</v>
      </c>
      <c r="BU358" t="s">
        <v>91</v>
      </c>
      <c r="BV358">
        <v>8</v>
      </c>
      <c r="BW358" s="1" t="s">
        <v>198</v>
      </c>
    </row>
    <row r="359" spans="1:75" x14ac:dyDescent="0.35">
      <c r="A359">
        <v>869</v>
      </c>
      <c r="B359" s="1" t="s">
        <v>75</v>
      </c>
      <c r="C359">
        <v>80</v>
      </c>
      <c r="D359">
        <v>11121001</v>
      </c>
      <c r="E359">
        <v>121001</v>
      </c>
      <c r="F359" s="1" t="s">
        <v>76</v>
      </c>
      <c r="G359" s="1" t="s">
        <v>2195</v>
      </c>
      <c r="I359" s="1" t="s">
        <v>78</v>
      </c>
      <c r="J359" s="1" t="s">
        <v>2196</v>
      </c>
      <c r="K359" s="1" t="s">
        <v>2197</v>
      </c>
      <c r="L359" t="s">
        <v>91</v>
      </c>
      <c r="M359" t="s">
        <v>91</v>
      </c>
      <c r="N359" s="1" t="s">
        <v>91</v>
      </c>
      <c r="O359" t="s">
        <v>91</v>
      </c>
      <c r="P359" s="1" t="s">
        <v>2198</v>
      </c>
      <c r="Q359" s="1" t="s">
        <v>2199</v>
      </c>
      <c r="R359" s="1" t="s">
        <v>2200</v>
      </c>
      <c r="S359">
        <v>1277</v>
      </c>
      <c r="T359">
        <v>89201270</v>
      </c>
      <c r="U359" s="1" t="s">
        <v>108</v>
      </c>
      <c r="V359" s="1" t="s">
        <v>100</v>
      </c>
      <c r="W359" s="1" t="s">
        <v>87</v>
      </c>
      <c r="X359">
        <v>47</v>
      </c>
      <c r="Y359">
        <v>34339602</v>
      </c>
      <c r="Z359" t="s">
        <v>91</v>
      </c>
      <c r="AA359" t="s">
        <v>91</v>
      </c>
      <c r="AB359" t="s">
        <v>91</v>
      </c>
      <c r="AC359" t="s">
        <v>91</v>
      </c>
      <c r="AD359" t="s">
        <v>91</v>
      </c>
      <c r="AE359" t="s">
        <v>91</v>
      </c>
      <c r="AF359" t="s">
        <v>91</v>
      </c>
      <c r="AG359" s="1" t="s">
        <v>91</v>
      </c>
      <c r="AH359" s="1" t="s">
        <v>91</v>
      </c>
      <c r="AI359" t="s">
        <v>91</v>
      </c>
      <c r="AJ359">
        <v>0</v>
      </c>
      <c r="AK359">
        <v>0</v>
      </c>
      <c r="AL359">
        <v>0</v>
      </c>
      <c r="AM359" t="s">
        <v>91</v>
      </c>
      <c r="AN359" t="s">
        <v>91</v>
      </c>
      <c r="AO359" t="s">
        <v>91</v>
      </c>
      <c r="AP359" t="s">
        <v>91</v>
      </c>
      <c r="AQ359" s="1" t="s">
        <v>91</v>
      </c>
      <c r="AR359" s="1" t="s">
        <v>91</v>
      </c>
      <c r="AS359" s="1" t="s">
        <v>91</v>
      </c>
      <c r="AT359" s="1" t="s">
        <v>91</v>
      </c>
      <c r="AU359" s="1" t="s">
        <v>91</v>
      </c>
      <c r="AV359" t="s">
        <v>91</v>
      </c>
      <c r="AW359" t="s">
        <v>91</v>
      </c>
      <c r="AX359" t="s">
        <v>91</v>
      </c>
      <c r="AY359" t="s">
        <v>91</v>
      </c>
      <c r="AZ359" t="s">
        <v>91</v>
      </c>
      <c r="BA359" t="s">
        <v>91</v>
      </c>
      <c r="BB359" s="2">
        <v>43308.392974537041</v>
      </c>
      <c r="BC359" s="2"/>
      <c r="BD359" t="s">
        <v>91</v>
      </c>
      <c r="BE359">
        <v>869</v>
      </c>
      <c r="BF359" s="1" t="s">
        <v>75</v>
      </c>
      <c r="BG359">
        <v>0</v>
      </c>
      <c r="BH359">
        <v>0</v>
      </c>
      <c r="BI359" s="1" t="s">
        <v>88</v>
      </c>
      <c r="BJ359">
        <v>1</v>
      </c>
      <c r="BK359" s="1" t="s">
        <v>89</v>
      </c>
      <c r="BL359" t="s">
        <v>91</v>
      </c>
      <c r="BM359" s="1" t="s">
        <v>109</v>
      </c>
      <c r="BN359" s="1" t="s">
        <v>110</v>
      </c>
      <c r="BO359" s="1" t="s">
        <v>111</v>
      </c>
      <c r="BP359" s="1" t="s">
        <v>91</v>
      </c>
      <c r="BQ359" t="s">
        <v>91</v>
      </c>
      <c r="BR359" s="3">
        <v>43308</v>
      </c>
      <c r="BS359" s="3"/>
      <c r="BT359" t="s">
        <v>91</v>
      </c>
      <c r="BU359" t="s">
        <v>91</v>
      </c>
      <c r="BV359">
        <v>9</v>
      </c>
      <c r="BW359" s="1" t="s">
        <v>90</v>
      </c>
    </row>
    <row r="360" spans="1:75" x14ac:dyDescent="0.35">
      <c r="A360">
        <v>156708</v>
      </c>
      <c r="B360" s="1" t="s">
        <v>75</v>
      </c>
      <c r="C360">
        <v>80</v>
      </c>
      <c r="D360">
        <v>11121001</v>
      </c>
      <c r="E360">
        <v>121001</v>
      </c>
      <c r="F360" s="1" t="s">
        <v>76</v>
      </c>
      <c r="G360" s="1" t="s">
        <v>2201</v>
      </c>
      <c r="H360">
        <v>0</v>
      </c>
      <c r="I360" s="1" t="s">
        <v>78</v>
      </c>
      <c r="J360" s="1" t="s">
        <v>2202</v>
      </c>
      <c r="K360" s="1" t="s">
        <v>2203</v>
      </c>
      <c r="L360" t="s">
        <v>91</v>
      </c>
      <c r="M360" t="s">
        <v>91</v>
      </c>
      <c r="N360" s="1" t="s">
        <v>1425</v>
      </c>
      <c r="O360" t="s">
        <v>91</v>
      </c>
      <c r="P360" s="1" t="s">
        <v>2204</v>
      </c>
      <c r="Q360" s="1" t="s">
        <v>665</v>
      </c>
      <c r="R360" s="1" t="s">
        <v>91</v>
      </c>
      <c r="S360">
        <v>1280</v>
      </c>
      <c r="T360">
        <v>89240000</v>
      </c>
      <c r="U360" s="1" t="s">
        <v>343</v>
      </c>
      <c r="V360" s="1" t="s">
        <v>222</v>
      </c>
      <c r="W360" s="1" t="s">
        <v>87</v>
      </c>
      <c r="X360">
        <v>47</v>
      </c>
      <c r="Y360">
        <v>34442198</v>
      </c>
      <c r="Z360" t="s">
        <v>91</v>
      </c>
      <c r="AA360" t="s">
        <v>91</v>
      </c>
      <c r="AB360" t="s">
        <v>91</v>
      </c>
      <c r="AC360" t="s">
        <v>91</v>
      </c>
      <c r="AD360" t="s">
        <v>91</v>
      </c>
      <c r="AE360" t="s">
        <v>91</v>
      </c>
      <c r="AF360" t="s">
        <v>91</v>
      </c>
      <c r="AG360" s="1" t="s">
        <v>91</v>
      </c>
      <c r="AH360" s="1" t="s">
        <v>91</v>
      </c>
      <c r="AI360" t="s">
        <v>91</v>
      </c>
      <c r="AM360" t="s">
        <v>91</v>
      </c>
      <c r="AN360" t="s">
        <v>91</v>
      </c>
      <c r="AO360" t="s">
        <v>91</v>
      </c>
      <c r="AP360" t="s">
        <v>91</v>
      </c>
      <c r="AQ360" s="1" t="s">
        <v>91</v>
      </c>
      <c r="AR360" s="1" t="s">
        <v>91</v>
      </c>
      <c r="AS360" s="1" t="s">
        <v>91</v>
      </c>
      <c r="AT360" s="1" t="s">
        <v>91</v>
      </c>
      <c r="AU360" s="1" t="s">
        <v>91</v>
      </c>
      <c r="AV360" t="s">
        <v>91</v>
      </c>
      <c r="AW360" t="s">
        <v>91</v>
      </c>
      <c r="AX360" t="s">
        <v>91</v>
      </c>
      <c r="AY360" t="s">
        <v>91</v>
      </c>
      <c r="AZ360" t="s">
        <v>91</v>
      </c>
      <c r="BA360" t="s">
        <v>91</v>
      </c>
      <c r="BB360" s="2">
        <v>45113.462708333333</v>
      </c>
      <c r="BC360" s="2"/>
      <c r="BD360" t="s">
        <v>91</v>
      </c>
      <c r="BF360" s="1" t="s">
        <v>75</v>
      </c>
      <c r="BI360" s="1" t="s">
        <v>88</v>
      </c>
      <c r="BJ360">
        <v>1</v>
      </c>
      <c r="BK360" s="1" t="s">
        <v>89</v>
      </c>
      <c r="BL360" t="s">
        <v>91</v>
      </c>
      <c r="BM360" s="1" t="s">
        <v>91</v>
      </c>
      <c r="BN360" s="1" t="s">
        <v>91</v>
      </c>
      <c r="BO360" s="1" t="s">
        <v>91</v>
      </c>
      <c r="BP360" s="1" t="s">
        <v>91</v>
      </c>
      <c r="BQ360" t="s">
        <v>91</v>
      </c>
      <c r="BR360" s="3">
        <v>45113</v>
      </c>
      <c r="BS360" s="3"/>
      <c r="BT360" t="s">
        <v>91</v>
      </c>
      <c r="BU360" t="s">
        <v>91</v>
      </c>
      <c r="BW360" s="1" t="s">
        <v>90</v>
      </c>
    </row>
    <row r="361" spans="1:75" x14ac:dyDescent="0.35">
      <c r="A361">
        <v>138183</v>
      </c>
      <c r="B361" s="1" t="s">
        <v>75</v>
      </c>
      <c r="C361">
        <v>80</v>
      </c>
      <c r="D361">
        <v>11121001</v>
      </c>
      <c r="E361">
        <v>121001</v>
      </c>
      <c r="F361" s="1" t="s">
        <v>76</v>
      </c>
      <c r="G361" s="1" t="s">
        <v>2205</v>
      </c>
      <c r="H361">
        <v>0</v>
      </c>
      <c r="I361" s="1" t="s">
        <v>78</v>
      </c>
      <c r="J361" s="1" t="s">
        <v>2206</v>
      </c>
      <c r="K361" s="1" t="s">
        <v>2207</v>
      </c>
      <c r="L361" t="s">
        <v>91</v>
      </c>
      <c r="M361" t="s">
        <v>91</v>
      </c>
      <c r="N361" s="1" t="s">
        <v>2208</v>
      </c>
      <c r="O361" t="s">
        <v>91</v>
      </c>
      <c r="P361" s="1" t="s">
        <v>2209</v>
      </c>
      <c r="Q361" s="1" t="s">
        <v>2210</v>
      </c>
      <c r="R361" s="1" t="s">
        <v>91</v>
      </c>
      <c r="S361">
        <v>1286</v>
      </c>
      <c r="T361">
        <v>89770000</v>
      </c>
      <c r="U361" s="1" t="s">
        <v>2211</v>
      </c>
      <c r="V361" s="1" t="s">
        <v>906</v>
      </c>
      <c r="W361" s="1" t="s">
        <v>87</v>
      </c>
      <c r="X361">
        <v>49</v>
      </c>
      <c r="Y361">
        <v>34525922</v>
      </c>
      <c r="Z361" t="s">
        <v>91</v>
      </c>
      <c r="AA361" t="s">
        <v>91</v>
      </c>
      <c r="AB361" t="s">
        <v>91</v>
      </c>
      <c r="AC361" t="s">
        <v>91</v>
      </c>
      <c r="AD361" t="s">
        <v>91</v>
      </c>
      <c r="AE361" t="s">
        <v>91</v>
      </c>
      <c r="AF361" t="s">
        <v>91</v>
      </c>
      <c r="AG361" s="1" t="s">
        <v>146</v>
      </c>
      <c r="AH361" s="1" t="s">
        <v>91</v>
      </c>
      <c r="AI361" t="s">
        <v>91</v>
      </c>
      <c r="AM361" t="s">
        <v>91</v>
      </c>
      <c r="AN361" t="s">
        <v>91</v>
      </c>
      <c r="AO361" t="s">
        <v>91</v>
      </c>
      <c r="AP361" t="s">
        <v>91</v>
      </c>
      <c r="AQ361" s="1" t="s">
        <v>147</v>
      </c>
      <c r="AR361" s="1" t="s">
        <v>147</v>
      </c>
      <c r="AS361" s="1" t="s">
        <v>147</v>
      </c>
      <c r="AT361" s="1" t="s">
        <v>147</v>
      </c>
      <c r="AU361" s="1" t="s">
        <v>147</v>
      </c>
      <c r="AV361" t="s">
        <v>91</v>
      </c>
      <c r="AW361" t="s">
        <v>91</v>
      </c>
      <c r="AX361" t="s">
        <v>91</v>
      </c>
      <c r="AY361" t="s">
        <v>91</v>
      </c>
      <c r="AZ361" t="s">
        <v>91</v>
      </c>
      <c r="BA361" t="s">
        <v>91</v>
      </c>
      <c r="BB361" s="2">
        <v>44378.578518518516</v>
      </c>
      <c r="BC361" s="2">
        <v>44624.496122685188</v>
      </c>
      <c r="BD361" t="s">
        <v>91</v>
      </c>
      <c r="BF361" s="1" t="s">
        <v>75</v>
      </c>
      <c r="BH361">
        <v>0</v>
      </c>
      <c r="BI361" s="1" t="s">
        <v>88</v>
      </c>
      <c r="BJ361">
        <v>1</v>
      </c>
      <c r="BK361" s="1" t="s">
        <v>89</v>
      </c>
      <c r="BL361" t="s">
        <v>91</v>
      </c>
      <c r="BM361" s="1" t="s">
        <v>109</v>
      </c>
      <c r="BN361" s="1" t="s">
        <v>110</v>
      </c>
      <c r="BO361" s="1" t="s">
        <v>128</v>
      </c>
      <c r="BP361" s="1" t="s">
        <v>91</v>
      </c>
      <c r="BQ361" t="s">
        <v>91</v>
      </c>
      <c r="BR361" s="3">
        <v>44378</v>
      </c>
      <c r="BS361" s="3">
        <v>44624</v>
      </c>
      <c r="BT361" t="s">
        <v>91</v>
      </c>
      <c r="BU361" t="s">
        <v>91</v>
      </c>
      <c r="BW361" s="1" t="s">
        <v>1650</v>
      </c>
    </row>
    <row r="362" spans="1:75" x14ac:dyDescent="0.35">
      <c r="A362">
        <v>144441</v>
      </c>
      <c r="B362" s="1" t="s">
        <v>75</v>
      </c>
      <c r="C362">
        <v>80</v>
      </c>
      <c r="D362">
        <v>11121001</v>
      </c>
      <c r="E362">
        <v>121001</v>
      </c>
      <c r="F362" s="1" t="s">
        <v>76</v>
      </c>
      <c r="G362" s="1" t="s">
        <v>2212</v>
      </c>
      <c r="I362" s="1" t="s">
        <v>78</v>
      </c>
      <c r="J362" s="1" t="s">
        <v>2213</v>
      </c>
      <c r="K362" s="1" t="s">
        <v>2214</v>
      </c>
      <c r="L362" t="s">
        <v>91</v>
      </c>
      <c r="M362" t="s">
        <v>91</v>
      </c>
      <c r="N362" s="1" t="s">
        <v>1281</v>
      </c>
      <c r="O362" t="s">
        <v>91</v>
      </c>
      <c r="P362" s="1" t="s">
        <v>2215</v>
      </c>
      <c r="Q362" s="1" t="s">
        <v>2216</v>
      </c>
      <c r="R362" s="1" t="s">
        <v>370</v>
      </c>
      <c r="S362">
        <v>1277</v>
      </c>
      <c r="T362">
        <v>89201000</v>
      </c>
      <c r="U362" s="1" t="s">
        <v>108</v>
      </c>
      <c r="V362" s="1" t="s">
        <v>100</v>
      </c>
      <c r="W362" s="1" t="s">
        <v>87</v>
      </c>
      <c r="X362">
        <v>47</v>
      </c>
      <c r="Y362">
        <v>30275567</v>
      </c>
      <c r="Z362" t="s">
        <v>91</v>
      </c>
      <c r="AA362" t="s">
        <v>91</v>
      </c>
      <c r="AB362" t="s">
        <v>91</v>
      </c>
      <c r="AC362" t="s">
        <v>91</v>
      </c>
      <c r="AD362" t="s">
        <v>91</v>
      </c>
      <c r="AE362" t="s">
        <v>91</v>
      </c>
      <c r="AF362" t="s">
        <v>91</v>
      </c>
      <c r="AG362" s="1" t="s">
        <v>91</v>
      </c>
      <c r="AH362" s="1" t="s">
        <v>91</v>
      </c>
      <c r="AI362" t="s">
        <v>91</v>
      </c>
      <c r="AJ362">
        <v>0</v>
      </c>
      <c r="AK362">
        <v>0</v>
      </c>
      <c r="AL362">
        <v>0</v>
      </c>
      <c r="AM362" t="s">
        <v>91</v>
      </c>
      <c r="AN362" t="s">
        <v>91</v>
      </c>
      <c r="AO362" t="s">
        <v>91</v>
      </c>
      <c r="AP362" t="s">
        <v>91</v>
      </c>
      <c r="AQ362" s="1" t="s">
        <v>91</v>
      </c>
      <c r="AR362" s="1" t="s">
        <v>91</v>
      </c>
      <c r="AS362" s="1" t="s">
        <v>91</v>
      </c>
      <c r="AT362" s="1" t="s">
        <v>91</v>
      </c>
      <c r="AU362" s="1" t="s">
        <v>91</v>
      </c>
      <c r="AV362" t="s">
        <v>91</v>
      </c>
      <c r="AW362" t="s">
        <v>91</v>
      </c>
      <c r="AX362" t="s">
        <v>91</v>
      </c>
      <c r="AY362" t="s">
        <v>91</v>
      </c>
      <c r="AZ362" t="s">
        <v>91</v>
      </c>
      <c r="BA362" t="s">
        <v>91</v>
      </c>
      <c r="BB362" s="2"/>
      <c r="BC362" s="2"/>
      <c r="BD362" t="s">
        <v>91</v>
      </c>
      <c r="BF362" s="1" t="s">
        <v>75</v>
      </c>
      <c r="BG362">
        <v>0</v>
      </c>
      <c r="BH362">
        <v>0</v>
      </c>
      <c r="BI362" s="1" t="s">
        <v>88</v>
      </c>
      <c r="BJ362">
        <v>1</v>
      </c>
      <c r="BK362" s="1" t="s">
        <v>89</v>
      </c>
      <c r="BL362" t="s">
        <v>91</v>
      </c>
      <c r="BM362" s="1" t="s">
        <v>109</v>
      </c>
      <c r="BN362" s="1" t="s">
        <v>110</v>
      </c>
      <c r="BO362" s="1" t="s">
        <v>128</v>
      </c>
      <c r="BP362" s="1" t="s">
        <v>91</v>
      </c>
      <c r="BQ362" t="s">
        <v>91</v>
      </c>
      <c r="BR362" s="3"/>
      <c r="BS362" s="3"/>
      <c r="BT362" t="s">
        <v>91</v>
      </c>
      <c r="BU362" t="s">
        <v>91</v>
      </c>
      <c r="BV362">
        <v>3</v>
      </c>
      <c r="BW362" s="1" t="s">
        <v>1284</v>
      </c>
    </row>
    <row r="363" spans="1:75" x14ac:dyDescent="0.35">
      <c r="A363">
        <v>144727</v>
      </c>
      <c r="B363" s="1" t="s">
        <v>75</v>
      </c>
      <c r="C363">
        <v>80</v>
      </c>
      <c r="D363">
        <v>11121001</v>
      </c>
      <c r="E363">
        <v>121001</v>
      </c>
      <c r="F363" s="1" t="s">
        <v>76</v>
      </c>
      <c r="G363" s="1" t="s">
        <v>2217</v>
      </c>
      <c r="I363" s="1" t="s">
        <v>78</v>
      </c>
      <c r="J363" s="1" t="s">
        <v>2218</v>
      </c>
      <c r="K363" s="1" t="s">
        <v>2219</v>
      </c>
      <c r="L363" t="s">
        <v>91</v>
      </c>
      <c r="M363" t="s">
        <v>91</v>
      </c>
      <c r="N363" s="1" t="s">
        <v>2220</v>
      </c>
      <c r="O363" t="s">
        <v>91</v>
      </c>
      <c r="P363" s="1" t="s">
        <v>2221</v>
      </c>
      <c r="Q363" s="1" t="s">
        <v>714</v>
      </c>
      <c r="R363" s="1" t="s">
        <v>2222</v>
      </c>
      <c r="S363">
        <v>1277</v>
      </c>
      <c r="T363">
        <v>89201908</v>
      </c>
      <c r="U363" s="1" t="s">
        <v>108</v>
      </c>
      <c r="V363" s="1" t="s">
        <v>100</v>
      </c>
      <c r="W363" s="1" t="s">
        <v>87</v>
      </c>
      <c r="X363">
        <v>47</v>
      </c>
      <c r="Y363">
        <v>30293472</v>
      </c>
      <c r="Z363" t="s">
        <v>91</v>
      </c>
      <c r="AA363" t="s">
        <v>91</v>
      </c>
      <c r="AB363" t="s">
        <v>91</v>
      </c>
      <c r="AC363" t="s">
        <v>91</v>
      </c>
      <c r="AD363" t="s">
        <v>91</v>
      </c>
      <c r="AE363" t="s">
        <v>91</v>
      </c>
      <c r="AF363" t="s">
        <v>91</v>
      </c>
      <c r="AG363" s="1" t="s">
        <v>91</v>
      </c>
      <c r="AH363" s="1" t="s">
        <v>91</v>
      </c>
      <c r="AI363" t="s">
        <v>91</v>
      </c>
      <c r="AJ363">
        <v>0</v>
      </c>
      <c r="AK363">
        <v>0</v>
      </c>
      <c r="AL363">
        <v>0</v>
      </c>
      <c r="AM363" t="s">
        <v>91</v>
      </c>
      <c r="AN363" t="s">
        <v>91</v>
      </c>
      <c r="AO363" t="s">
        <v>91</v>
      </c>
      <c r="AP363" t="s">
        <v>91</v>
      </c>
      <c r="AQ363" s="1" t="s">
        <v>91</v>
      </c>
      <c r="AR363" s="1" t="s">
        <v>91</v>
      </c>
      <c r="AS363" s="1" t="s">
        <v>91</v>
      </c>
      <c r="AT363" s="1" t="s">
        <v>91</v>
      </c>
      <c r="AU363" s="1" t="s">
        <v>91</v>
      </c>
      <c r="AV363" t="s">
        <v>91</v>
      </c>
      <c r="AW363" t="s">
        <v>91</v>
      </c>
      <c r="AX363" t="s">
        <v>91</v>
      </c>
      <c r="AY363" t="s">
        <v>91</v>
      </c>
      <c r="AZ363" t="s">
        <v>91</v>
      </c>
      <c r="BA363" t="s">
        <v>91</v>
      </c>
      <c r="BB363" s="2"/>
      <c r="BC363" s="2"/>
      <c r="BD363" t="s">
        <v>91</v>
      </c>
      <c r="BF363" s="1" t="s">
        <v>75</v>
      </c>
      <c r="BG363">
        <v>0</v>
      </c>
      <c r="BH363">
        <v>0</v>
      </c>
      <c r="BI363" s="1" t="s">
        <v>88</v>
      </c>
      <c r="BJ363">
        <v>1</v>
      </c>
      <c r="BK363" s="1" t="s">
        <v>89</v>
      </c>
      <c r="BL363" t="s">
        <v>91</v>
      </c>
      <c r="BM363" s="1" t="s">
        <v>109</v>
      </c>
      <c r="BN363" s="1" t="s">
        <v>110</v>
      </c>
      <c r="BO363" s="1" t="s">
        <v>165</v>
      </c>
      <c r="BP363" s="1" t="s">
        <v>91</v>
      </c>
      <c r="BQ363" t="s">
        <v>91</v>
      </c>
      <c r="BR363" s="3"/>
      <c r="BS363" s="3"/>
      <c r="BT363" t="s">
        <v>91</v>
      </c>
      <c r="BU363" t="s">
        <v>91</v>
      </c>
      <c r="BV363">
        <v>3</v>
      </c>
      <c r="BW363" s="1" t="s">
        <v>1284</v>
      </c>
    </row>
    <row r="364" spans="1:75" x14ac:dyDescent="0.35">
      <c r="A364">
        <v>120433</v>
      </c>
      <c r="B364" s="1" t="s">
        <v>75</v>
      </c>
      <c r="C364">
        <v>80</v>
      </c>
      <c r="D364">
        <v>11121001</v>
      </c>
      <c r="E364">
        <v>121001</v>
      </c>
      <c r="F364" s="1" t="s">
        <v>76</v>
      </c>
      <c r="G364" s="1" t="s">
        <v>2223</v>
      </c>
      <c r="H364">
        <v>0</v>
      </c>
      <c r="I364" s="1" t="s">
        <v>78</v>
      </c>
      <c r="J364" s="1" t="s">
        <v>2224</v>
      </c>
      <c r="K364" s="1" t="s">
        <v>2225</v>
      </c>
      <c r="L364" t="s">
        <v>91</v>
      </c>
      <c r="M364" t="s">
        <v>91</v>
      </c>
      <c r="N364" s="1" t="s">
        <v>2226</v>
      </c>
      <c r="O364" t="s">
        <v>91</v>
      </c>
      <c r="P364" s="1" t="s">
        <v>990</v>
      </c>
      <c r="Q364" s="1" t="s">
        <v>1254</v>
      </c>
      <c r="R364" s="1" t="s">
        <v>2227</v>
      </c>
      <c r="S364">
        <v>1288</v>
      </c>
      <c r="T364">
        <v>89820000</v>
      </c>
      <c r="U364" s="1" t="s">
        <v>108</v>
      </c>
      <c r="V364" s="1" t="s">
        <v>539</v>
      </c>
      <c r="W364" s="1" t="s">
        <v>87</v>
      </c>
      <c r="X364">
        <v>49</v>
      </c>
      <c r="Y364">
        <v>34332956</v>
      </c>
      <c r="Z364" t="s">
        <v>91</v>
      </c>
      <c r="AA364" t="s">
        <v>91</v>
      </c>
      <c r="AB364" t="s">
        <v>91</v>
      </c>
      <c r="AC364" t="s">
        <v>91</v>
      </c>
      <c r="AD364" t="s">
        <v>91</v>
      </c>
      <c r="AE364" t="s">
        <v>91</v>
      </c>
      <c r="AF364" t="s">
        <v>91</v>
      </c>
      <c r="AG364" s="1" t="s">
        <v>91</v>
      </c>
      <c r="AH364" s="1" t="s">
        <v>91</v>
      </c>
      <c r="AI364" t="s">
        <v>91</v>
      </c>
      <c r="AJ364">
        <v>0</v>
      </c>
      <c r="AK364">
        <v>0</v>
      </c>
      <c r="AL364">
        <v>0</v>
      </c>
      <c r="AM364" t="s">
        <v>91</v>
      </c>
      <c r="AN364" t="s">
        <v>91</v>
      </c>
      <c r="AO364" t="s">
        <v>91</v>
      </c>
      <c r="AP364" t="s">
        <v>91</v>
      </c>
      <c r="AQ364" s="1" t="s">
        <v>91</v>
      </c>
      <c r="AR364" s="1" t="s">
        <v>91</v>
      </c>
      <c r="AS364" s="1" t="s">
        <v>91</v>
      </c>
      <c r="AT364" s="1" t="s">
        <v>91</v>
      </c>
      <c r="AU364" s="1" t="s">
        <v>91</v>
      </c>
      <c r="AV364" t="s">
        <v>91</v>
      </c>
      <c r="AW364" t="s">
        <v>91</v>
      </c>
      <c r="AX364" t="s">
        <v>91</v>
      </c>
      <c r="AY364" t="s">
        <v>91</v>
      </c>
      <c r="AZ364" t="s">
        <v>91</v>
      </c>
      <c r="BA364" t="s">
        <v>91</v>
      </c>
      <c r="BB364" s="2">
        <v>44092.925393518519</v>
      </c>
      <c r="BC364" s="2"/>
      <c r="BD364" t="s">
        <v>91</v>
      </c>
      <c r="BF364" s="1" t="s">
        <v>75</v>
      </c>
      <c r="BG364">
        <v>0</v>
      </c>
      <c r="BH364">
        <v>0</v>
      </c>
      <c r="BI364" s="1" t="s">
        <v>88</v>
      </c>
      <c r="BJ364">
        <v>1</v>
      </c>
      <c r="BK364" s="1" t="s">
        <v>89</v>
      </c>
      <c r="BL364" t="s">
        <v>91</v>
      </c>
      <c r="BM364" s="1" t="s">
        <v>109</v>
      </c>
      <c r="BN364" s="1" t="s">
        <v>110</v>
      </c>
      <c r="BO364" s="1" t="s">
        <v>111</v>
      </c>
      <c r="BP364" s="1" t="s">
        <v>91</v>
      </c>
      <c r="BQ364" t="s">
        <v>91</v>
      </c>
      <c r="BR364" s="3">
        <v>44092</v>
      </c>
      <c r="BS364" s="3"/>
      <c r="BT364" t="s">
        <v>91</v>
      </c>
      <c r="BU364" t="s">
        <v>91</v>
      </c>
      <c r="BV364">
        <v>4</v>
      </c>
      <c r="BW364" s="1" t="s">
        <v>90</v>
      </c>
    </row>
    <row r="365" spans="1:75" x14ac:dyDescent="0.35">
      <c r="A365">
        <v>156765</v>
      </c>
      <c r="B365" s="1" t="s">
        <v>75</v>
      </c>
      <c r="C365">
        <v>80</v>
      </c>
      <c r="D365">
        <v>11121001</v>
      </c>
      <c r="E365">
        <v>121001</v>
      </c>
      <c r="F365" s="1" t="s">
        <v>76</v>
      </c>
      <c r="G365" s="1" t="s">
        <v>2228</v>
      </c>
      <c r="H365">
        <v>0</v>
      </c>
      <c r="I365" s="1" t="s">
        <v>78</v>
      </c>
      <c r="J365" s="1" t="s">
        <v>2229</v>
      </c>
      <c r="K365" s="1" t="s">
        <v>2230</v>
      </c>
      <c r="L365" t="s">
        <v>91</v>
      </c>
      <c r="M365" t="s">
        <v>91</v>
      </c>
      <c r="N365" s="1" t="s">
        <v>2231</v>
      </c>
      <c r="O365" t="s">
        <v>91</v>
      </c>
      <c r="P365" s="1" t="s">
        <v>2232</v>
      </c>
      <c r="Q365" s="1" t="s">
        <v>2233</v>
      </c>
      <c r="R365" s="1" t="s">
        <v>820</v>
      </c>
      <c r="S365">
        <v>1280</v>
      </c>
      <c r="T365">
        <v>89295000</v>
      </c>
      <c r="U365" s="1" t="s">
        <v>108</v>
      </c>
      <c r="V365" s="1" t="s">
        <v>276</v>
      </c>
      <c r="W365" s="1" t="s">
        <v>87</v>
      </c>
      <c r="X365">
        <v>48</v>
      </c>
      <c r="Y365">
        <v>30293542</v>
      </c>
      <c r="Z365" t="s">
        <v>91</v>
      </c>
      <c r="AA365" t="s">
        <v>91</v>
      </c>
      <c r="AB365" t="s">
        <v>91</v>
      </c>
      <c r="AC365" t="s">
        <v>91</v>
      </c>
      <c r="AD365" t="s">
        <v>91</v>
      </c>
      <c r="AE365" t="s">
        <v>91</v>
      </c>
      <c r="AF365" t="s">
        <v>91</v>
      </c>
      <c r="AG365" s="1" t="s">
        <v>91</v>
      </c>
      <c r="AH365" s="1" t="s">
        <v>91</v>
      </c>
      <c r="AI365" t="s">
        <v>91</v>
      </c>
      <c r="AM365" t="s">
        <v>91</v>
      </c>
      <c r="AN365" t="s">
        <v>91</v>
      </c>
      <c r="AO365" t="s">
        <v>91</v>
      </c>
      <c r="AP365" t="s">
        <v>91</v>
      </c>
      <c r="AQ365" s="1" t="s">
        <v>91</v>
      </c>
      <c r="AR365" s="1" t="s">
        <v>91</v>
      </c>
      <c r="AS365" s="1" t="s">
        <v>91</v>
      </c>
      <c r="AT365" s="1" t="s">
        <v>91</v>
      </c>
      <c r="AU365" s="1" t="s">
        <v>91</v>
      </c>
      <c r="AV365" t="s">
        <v>91</v>
      </c>
      <c r="AW365" t="s">
        <v>91</v>
      </c>
      <c r="AX365" t="s">
        <v>91</v>
      </c>
      <c r="AY365" t="s">
        <v>91</v>
      </c>
      <c r="AZ365" t="s">
        <v>91</v>
      </c>
      <c r="BA365" t="s">
        <v>91</v>
      </c>
      <c r="BB365" s="2">
        <v>45113.505416666667</v>
      </c>
      <c r="BC365" s="2"/>
      <c r="BD365" t="s">
        <v>91</v>
      </c>
      <c r="BF365" s="1" t="s">
        <v>75</v>
      </c>
      <c r="BI365" s="1" t="s">
        <v>88</v>
      </c>
      <c r="BJ365">
        <v>1</v>
      </c>
      <c r="BK365" s="1" t="s">
        <v>89</v>
      </c>
      <c r="BL365" t="s">
        <v>91</v>
      </c>
      <c r="BM365" s="1" t="s">
        <v>91</v>
      </c>
      <c r="BN365" s="1" t="s">
        <v>91</v>
      </c>
      <c r="BO365" s="1" t="s">
        <v>91</v>
      </c>
      <c r="BP365" s="1" t="s">
        <v>91</v>
      </c>
      <c r="BQ365" t="s">
        <v>91</v>
      </c>
      <c r="BR365" s="3">
        <v>45113</v>
      </c>
      <c r="BS365" s="3"/>
      <c r="BT365" t="s">
        <v>91</v>
      </c>
      <c r="BU365" t="s">
        <v>91</v>
      </c>
      <c r="BW365" s="1" t="s">
        <v>90</v>
      </c>
    </row>
    <row r="366" spans="1:75" x14ac:dyDescent="0.35">
      <c r="A366">
        <v>144471</v>
      </c>
      <c r="B366" s="1" t="s">
        <v>75</v>
      </c>
      <c r="C366">
        <v>80</v>
      </c>
      <c r="D366">
        <v>11121001</v>
      </c>
      <c r="E366">
        <v>121001</v>
      </c>
      <c r="F366" s="1" t="s">
        <v>76</v>
      </c>
      <c r="G366" s="1" t="s">
        <v>2234</v>
      </c>
      <c r="I366" s="1" t="s">
        <v>78</v>
      </c>
      <c r="J366" s="1" t="s">
        <v>2235</v>
      </c>
      <c r="K366" s="1" t="s">
        <v>2236</v>
      </c>
      <c r="L366" t="s">
        <v>91</v>
      </c>
      <c r="M366" t="s">
        <v>91</v>
      </c>
      <c r="N366" s="1" t="s">
        <v>712</v>
      </c>
      <c r="O366" t="s">
        <v>91</v>
      </c>
      <c r="P366" s="1" t="s">
        <v>125</v>
      </c>
      <c r="Q366" s="1" t="s">
        <v>1089</v>
      </c>
      <c r="R366" s="1" t="s">
        <v>1411</v>
      </c>
      <c r="S366">
        <v>1277</v>
      </c>
      <c r="T366">
        <v>89201010</v>
      </c>
      <c r="U366" s="1" t="s">
        <v>108</v>
      </c>
      <c r="V366" s="1" t="s">
        <v>100</v>
      </c>
      <c r="W366" s="1" t="s">
        <v>87</v>
      </c>
      <c r="X366">
        <v>47</v>
      </c>
      <c r="Y366">
        <v>34228191</v>
      </c>
      <c r="Z366" t="s">
        <v>91</v>
      </c>
      <c r="AA366" t="s">
        <v>91</v>
      </c>
      <c r="AB366" t="s">
        <v>91</v>
      </c>
      <c r="AC366" t="s">
        <v>91</v>
      </c>
      <c r="AD366" t="s">
        <v>91</v>
      </c>
      <c r="AE366" t="s">
        <v>91</v>
      </c>
      <c r="AF366" t="s">
        <v>91</v>
      </c>
      <c r="AG366" s="1" t="s">
        <v>91</v>
      </c>
      <c r="AH366" s="1" t="s">
        <v>91</v>
      </c>
      <c r="AI366" t="s">
        <v>91</v>
      </c>
      <c r="AJ366">
        <v>0</v>
      </c>
      <c r="AK366">
        <v>0</v>
      </c>
      <c r="AL366">
        <v>0</v>
      </c>
      <c r="AM366" t="s">
        <v>91</v>
      </c>
      <c r="AN366" t="s">
        <v>91</v>
      </c>
      <c r="AO366" t="s">
        <v>91</v>
      </c>
      <c r="AP366" t="s">
        <v>91</v>
      </c>
      <c r="AQ366" s="1" t="s">
        <v>91</v>
      </c>
      <c r="AR366" s="1" t="s">
        <v>91</v>
      </c>
      <c r="AS366" s="1" t="s">
        <v>91</v>
      </c>
      <c r="AT366" s="1" t="s">
        <v>91</v>
      </c>
      <c r="AU366" s="1" t="s">
        <v>91</v>
      </c>
      <c r="AV366" t="s">
        <v>91</v>
      </c>
      <c r="AW366" t="s">
        <v>91</v>
      </c>
      <c r="AX366" t="s">
        <v>91</v>
      </c>
      <c r="AY366" t="s">
        <v>91</v>
      </c>
      <c r="AZ366" t="s">
        <v>91</v>
      </c>
      <c r="BA366" t="s">
        <v>91</v>
      </c>
      <c r="BB366" s="2"/>
      <c r="BC366" s="2"/>
      <c r="BD366" t="s">
        <v>91</v>
      </c>
      <c r="BF366" s="1" t="s">
        <v>75</v>
      </c>
      <c r="BG366">
        <v>0</v>
      </c>
      <c r="BH366">
        <v>0</v>
      </c>
      <c r="BI366" s="1" t="s">
        <v>88</v>
      </c>
      <c r="BJ366">
        <v>1</v>
      </c>
      <c r="BK366" s="1" t="s">
        <v>89</v>
      </c>
      <c r="BL366" t="s">
        <v>91</v>
      </c>
      <c r="BM366" s="1" t="s">
        <v>164</v>
      </c>
      <c r="BN366" s="1" t="s">
        <v>110</v>
      </c>
      <c r="BO366" s="1" t="s">
        <v>165</v>
      </c>
      <c r="BP366" s="1" t="s">
        <v>91</v>
      </c>
      <c r="BQ366" t="s">
        <v>91</v>
      </c>
      <c r="BR366" s="3"/>
      <c r="BS366" s="3"/>
      <c r="BT366" t="s">
        <v>91</v>
      </c>
      <c r="BU366" t="s">
        <v>91</v>
      </c>
      <c r="BV366">
        <v>1</v>
      </c>
      <c r="BW366" s="1" t="s">
        <v>166</v>
      </c>
    </row>
    <row r="367" spans="1:75" x14ac:dyDescent="0.35">
      <c r="A367">
        <v>144805</v>
      </c>
      <c r="B367" s="1" t="s">
        <v>75</v>
      </c>
      <c r="C367">
        <v>80</v>
      </c>
      <c r="D367">
        <v>11121001</v>
      </c>
      <c r="E367">
        <v>121001</v>
      </c>
      <c r="F367" s="1" t="s">
        <v>76</v>
      </c>
      <c r="G367" s="1" t="s">
        <v>2237</v>
      </c>
      <c r="I367" s="1" t="s">
        <v>78</v>
      </c>
      <c r="J367" s="1" t="s">
        <v>2238</v>
      </c>
      <c r="K367" s="1" t="s">
        <v>2239</v>
      </c>
      <c r="L367" t="s">
        <v>91</v>
      </c>
      <c r="M367" t="s">
        <v>91</v>
      </c>
      <c r="N367" s="1" t="s">
        <v>2240</v>
      </c>
      <c r="O367" t="s">
        <v>91</v>
      </c>
      <c r="P367" s="1" t="s">
        <v>2241</v>
      </c>
      <c r="Q367" s="1" t="s">
        <v>2242</v>
      </c>
      <c r="R367" s="1" t="s">
        <v>2243</v>
      </c>
      <c r="S367">
        <v>1277</v>
      </c>
      <c r="T367">
        <v>89201100</v>
      </c>
      <c r="U367" s="1" t="s">
        <v>108</v>
      </c>
      <c r="V367" s="1" t="s">
        <v>100</v>
      </c>
      <c r="W367" s="1" t="s">
        <v>87</v>
      </c>
      <c r="X367">
        <v>47</v>
      </c>
      <c r="Y367">
        <v>30252529</v>
      </c>
      <c r="Z367" t="s">
        <v>91</v>
      </c>
      <c r="AA367" t="s">
        <v>91</v>
      </c>
      <c r="AB367" t="s">
        <v>91</v>
      </c>
      <c r="AC367" t="s">
        <v>91</v>
      </c>
      <c r="AD367" t="s">
        <v>91</v>
      </c>
      <c r="AE367" t="s">
        <v>91</v>
      </c>
      <c r="AF367" t="s">
        <v>91</v>
      </c>
      <c r="AG367" s="1" t="s">
        <v>91</v>
      </c>
      <c r="AH367" s="1" t="s">
        <v>91</v>
      </c>
      <c r="AI367" t="s">
        <v>91</v>
      </c>
      <c r="AJ367">
        <v>0</v>
      </c>
      <c r="AK367">
        <v>0</v>
      </c>
      <c r="AL367">
        <v>0</v>
      </c>
      <c r="AM367" t="s">
        <v>91</v>
      </c>
      <c r="AN367" t="s">
        <v>91</v>
      </c>
      <c r="AO367" t="s">
        <v>91</v>
      </c>
      <c r="AP367" t="s">
        <v>91</v>
      </c>
      <c r="AQ367" s="1" t="s">
        <v>91</v>
      </c>
      <c r="AR367" s="1" t="s">
        <v>91</v>
      </c>
      <c r="AS367" s="1" t="s">
        <v>91</v>
      </c>
      <c r="AT367" s="1" t="s">
        <v>91</v>
      </c>
      <c r="AU367" s="1" t="s">
        <v>91</v>
      </c>
      <c r="AV367" t="s">
        <v>91</v>
      </c>
      <c r="AW367" t="s">
        <v>91</v>
      </c>
      <c r="AX367" t="s">
        <v>91</v>
      </c>
      <c r="AY367" t="s">
        <v>91</v>
      </c>
      <c r="AZ367" t="s">
        <v>91</v>
      </c>
      <c r="BA367" t="s">
        <v>91</v>
      </c>
      <c r="BB367" s="2"/>
      <c r="BC367" s="2"/>
      <c r="BD367" t="s">
        <v>91</v>
      </c>
      <c r="BF367" s="1" t="s">
        <v>75</v>
      </c>
      <c r="BG367">
        <v>0</v>
      </c>
      <c r="BH367">
        <v>0</v>
      </c>
      <c r="BI367" s="1" t="s">
        <v>88</v>
      </c>
      <c r="BJ367">
        <v>1</v>
      </c>
      <c r="BK367" s="1" t="s">
        <v>89</v>
      </c>
      <c r="BL367" t="s">
        <v>91</v>
      </c>
      <c r="BM367" s="1" t="s">
        <v>109</v>
      </c>
      <c r="BN367" s="1" t="s">
        <v>110</v>
      </c>
      <c r="BO367" s="1" t="s">
        <v>180</v>
      </c>
      <c r="BP367" s="1" t="s">
        <v>91</v>
      </c>
      <c r="BQ367" t="s">
        <v>91</v>
      </c>
      <c r="BR367" s="3"/>
      <c r="BS367" s="3"/>
      <c r="BT367" t="s">
        <v>91</v>
      </c>
      <c r="BU367" t="s">
        <v>91</v>
      </c>
      <c r="BW367" s="1" t="s">
        <v>2244</v>
      </c>
    </row>
    <row r="368" spans="1:75" x14ac:dyDescent="0.35">
      <c r="A368">
        <v>127559</v>
      </c>
      <c r="B368" s="1" t="s">
        <v>75</v>
      </c>
      <c r="C368">
        <v>80</v>
      </c>
      <c r="D368">
        <v>11121001</v>
      </c>
      <c r="E368">
        <v>121001</v>
      </c>
      <c r="F368" s="1" t="s">
        <v>76</v>
      </c>
      <c r="G368" s="1" t="s">
        <v>2245</v>
      </c>
      <c r="H368">
        <v>0</v>
      </c>
      <c r="I368" s="1" t="s">
        <v>78</v>
      </c>
      <c r="J368" s="1" t="s">
        <v>2246</v>
      </c>
      <c r="K368" s="1" t="s">
        <v>2247</v>
      </c>
      <c r="L368" t="s">
        <v>91</v>
      </c>
      <c r="M368" t="s">
        <v>91</v>
      </c>
      <c r="N368" s="1" t="s">
        <v>818</v>
      </c>
      <c r="O368" t="s">
        <v>91</v>
      </c>
      <c r="P368" s="1" t="s">
        <v>2248</v>
      </c>
      <c r="Q368" s="1" t="s">
        <v>2249</v>
      </c>
      <c r="R368" s="1" t="s">
        <v>2250</v>
      </c>
      <c r="S368">
        <v>1279</v>
      </c>
      <c r="T368">
        <v>89216222</v>
      </c>
      <c r="U368" s="1" t="s">
        <v>2251</v>
      </c>
      <c r="V368" s="1" t="s">
        <v>100</v>
      </c>
      <c r="W368" s="1" t="s">
        <v>87</v>
      </c>
      <c r="X368">
        <v>47</v>
      </c>
      <c r="Y368">
        <v>34452533</v>
      </c>
      <c r="Z368" t="s">
        <v>91</v>
      </c>
      <c r="AA368" t="s">
        <v>91</v>
      </c>
      <c r="AB368" t="s">
        <v>91</v>
      </c>
      <c r="AC368" t="s">
        <v>91</v>
      </c>
      <c r="AD368" t="s">
        <v>91</v>
      </c>
      <c r="AE368" t="s">
        <v>91</v>
      </c>
      <c r="AF368" t="s">
        <v>91</v>
      </c>
      <c r="AG368" s="1" t="s">
        <v>91</v>
      </c>
      <c r="AH368" s="1" t="s">
        <v>91</v>
      </c>
      <c r="AI368" t="s">
        <v>91</v>
      </c>
      <c r="AM368" t="s">
        <v>91</v>
      </c>
      <c r="AN368" t="s">
        <v>91</v>
      </c>
      <c r="AO368" t="s">
        <v>91</v>
      </c>
      <c r="AP368" t="s">
        <v>91</v>
      </c>
      <c r="AQ368" s="1" t="s">
        <v>91</v>
      </c>
      <c r="AR368" s="1" t="s">
        <v>91</v>
      </c>
      <c r="AS368" s="1" t="s">
        <v>91</v>
      </c>
      <c r="AT368" s="1" t="s">
        <v>91</v>
      </c>
      <c r="AU368" s="1" t="s">
        <v>91</v>
      </c>
      <c r="AV368" t="s">
        <v>91</v>
      </c>
      <c r="AW368" t="s">
        <v>91</v>
      </c>
      <c r="AX368" t="s">
        <v>91</v>
      </c>
      <c r="AY368" t="s">
        <v>91</v>
      </c>
      <c r="AZ368" t="s">
        <v>91</v>
      </c>
      <c r="BA368" t="s">
        <v>91</v>
      </c>
      <c r="BB368" s="2">
        <v>44111.380995370368</v>
      </c>
      <c r="BC368" s="2"/>
      <c r="BD368" t="s">
        <v>91</v>
      </c>
      <c r="BF368" s="1" t="s">
        <v>75</v>
      </c>
      <c r="BI368" s="1" t="s">
        <v>88</v>
      </c>
      <c r="BJ368">
        <v>1</v>
      </c>
      <c r="BK368" s="1" t="s">
        <v>89</v>
      </c>
      <c r="BL368" t="s">
        <v>91</v>
      </c>
      <c r="BM368" s="1" t="s">
        <v>164</v>
      </c>
      <c r="BN368" s="1" t="s">
        <v>148</v>
      </c>
      <c r="BO368" s="1" t="s">
        <v>165</v>
      </c>
      <c r="BP368" s="1" t="s">
        <v>91</v>
      </c>
      <c r="BQ368" t="s">
        <v>91</v>
      </c>
      <c r="BR368" s="3">
        <v>44111</v>
      </c>
      <c r="BS368" s="3"/>
      <c r="BT368" t="s">
        <v>91</v>
      </c>
      <c r="BU368" t="s">
        <v>91</v>
      </c>
      <c r="BV368">
        <v>1</v>
      </c>
      <c r="BW368" s="1" t="s">
        <v>166</v>
      </c>
    </row>
    <row r="369" spans="1:75" x14ac:dyDescent="0.35">
      <c r="A369">
        <v>157512</v>
      </c>
      <c r="B369" s="1" t="s">
        <v>75</v>
      </c>
      <c r="C369">
        <v>80</v>
      </c>
      <c r="D369">
        <v>11121001</v>
      </c>
      <c r="E369">
        <v>121001</v>
      </c>
      <c r="F369" s="1" t="s">
        <v>76</v>
      </c>
      <c r="G369" s="1" t="s">
        <v>2252</v>
      </c>
      <c r="H369">
        <v>0</v>
      </c>
      <c r="I369" s="1" t="s">
        <v>78</v>
      </c>
      <c r="J369" s="1" t="s">
        <v>2253</v>
      </c>
      <c r="K369" s="1" t="s">
        <v>2254</v>
      </c>
      <c r="L369" t="s">
        <v>91</v>
      </c>
      <c r="M369" t="s">
        <v>91</v>
      </c>
      <c r="N369" s="1" t="s">
        <v>2255</v>
      </c>
      <c r="O369" t="s">
        <v>91</v>
      </c>
      <c r="P369" s="1" t="s">
        <v>252</v>
      </c>
      <c r="Q369" s="1" t="s">
        <v>2256</v>
      </c>
      <c r="R369" s="1" t="s">
        <v>1522</v>
      </c>
      <c r="S369">
        <v>1277</v>
      </c>
      <c r="T369">
        <v>89201330</v>
      </c>
      <c r="U369" s="1" t="s">
        <v>108</v>
      </c>
      <c r="V369" s="1" t="s">
        <v>100</v>
      </c>
      <c r="W369" s="1" t="s">
        <v>87</v>
      </c>
      <c r="X369">
        <v>47</v>
      </c>
      <c r="Y369">
        <v>34331544</v>
      </c>
      <c r="Z369" t="s">
        <v>91</v>
      </c>
      <c r="AA369" t="s">
        <v>91</v>
      </c>
      <c r="AB369" t="s">
        <v>91</v>
      </c>
      <c r="AC369" t="s">
        <v>91</v>
      </c>
      <c r="AD369" t="s">
        <v>91</v>
      </c>
      <c r="AE369" t="s">
        <v>91</v>
      </c>
      <c r="AF369" t="s">
        <v>91</v>
      </c>
      <c r="AG369" s="1" t="s">
        <v>91</v>
      </c>
      <c r="AH369" s="1" t="s">
        <v>91</v>
      </c>
      <c r="AI369" t="s">
        <v>91</v>
      </c>
      <c r="AM369" t="s">
        <v>91</v>
      </c>
      <c r="AN369" t="s">
        <v>91</v>
      </c>
      <c r="AO369" t="s">
        <v>91</v>
      </c>
      <c r="AP369" t="s">
        <v>91</v>
      </c>
      <c r="AQ369" s="1" t="s">
        <v>91</v>
      </c>
      <c r="AR369" s="1" t="s">
        <v>91</v>
      </c>
      <c r="AS369" s="1" t="s">
        <v>91</v>
      </c>
      <c r="AT369" s="1" t="s">
        <v>91</v>
      </c>
      <c r="AU369" s="1" t="s">
        <v>91</v>
      </c>
      <c r="AV369" t="s">
        <v>91</v>
      </c>
      <c r="AW369" t="s">
        <v>91</v>
      </c>
      <c r="AX369" t="s">
        <v>91</v>
      </c>
      <c r="AY369" t="s">
        <v>91</v>
      </c>
      <c r="AZ369" t="s">
        <v>91</v>
      </c>
      <c r="BA369" t="s">
        <v>91</v>
      </c>
      <c r="BB369" s="2">
        <v>45118.093391203707</v>
      </c>
      <c r="BC369" s="2"/>
      <c r="BD369" t="s">
        <v>91</v>
      </c>
      <c r="BF369" s="1" t="s">
        <v>75</v>
      </c>
      <c r="BI369" s="1" t="s">
        <v>88</v>
      </c>
      <c r="BJ369">
        <v>1</v>
      </c>
      <c r="BK369" s="1" t="s">
        <v>89</v>
      </c>
      <c r="BL369" t="s">
        <v>91</v>
      </c>
      <c r="BM369" s="1" t="s">
        <v>91</v>
      </c>
      <c r="BN369" s="1" t="s">
        <v>91</v>
      </c>
      <c r="BO369" s="1" t="s">
        <v>91</v>
      </c>
      <c r="BP369" s="1" t="s">
        <v>91</v>
      </c>
      <c r="BQ369" t="s">
        <v>91</v>
      </c>
      <c r="BR369" s="3">
        <v>45118</v>
      </c>
      <c r="BS369" s="3"/>
      <c r="BT369" t="s">
        <v>91</v>
      </c>
      <c r="BU369" t="s">
        <v>91</v>
      </c>
      <c r="BW369" s="1" t="s">
        <v>1469</v>
      </c>
    </row>
    <row r="370" spans="1:75" x14ac:dyDescent="0.35">
      <c r="A370">
        <v>862</v>
      </c>
      <c r="B370" s="1" t="s">
        <v>75</v>
      </c>
      <c r="C370">
        <v>80</v>
      </c>
      <c r="D370">
        <v>11121001</v>
      </c>
      <c r="E370">
        <v>121001</v>
      </c>
      <c r="F370" s="1" t="s">
        <v>76</v>
      </c>
      <c r="G370" s="1" t="s">
        <v>2257</v>
      </c>
      <c r="I370" s="1" t="s">
        <v>78</v>
      </c>
      <c r="J370" s="1" t="s">
        <v>2258</v>
      </c>
      <c r="K370" s="1" t="s">
        <v>2259</v>
      </c>
      <c r="L370" t="s">
        <v>91</v>
      </c>
      <c r="M370" t="s">
        <v>91</v>
      </c>
      <c r="N370" s="1" t="s">
        <v>818</v>
      </c>
      <c r="O370" t="s">
        <v>91</v>
      </c>
      <c r="P370" s="1" t="s">
        <v>789</v>
      </c>
      <c r="Q370" s="1" t="s">
        <v>2260</v>
      </c>
      <c r="R370" s="1" t="s">
        <v>91</v>
      </c>
      <c r="S370">
        <v>1279</v>
      </c>
      <c r="T370">
        <v>89227045</v>
      </c>
      <c r="U370" s="1" t="s">
        <v>426</v>
      </c>
      <c r="V370" s="1" t="s">
        <v>100</v>
      </c>
      <c r="W370" s="1" t="s">
        <v>87</v>
      </c>
      <c r="X370">
        <v>47</v>
      </c>
      <c r="Y370">
        <v>30253898</v>
      </c>
      <c r="Z370" t="s">
        <v>91</v>
      </c>
      <c r="AA370" t="s">
        <v>91</v>
      </c>
      <c r="AB370" t="s">
        <v>91</v>
      </c>
      <c r="AC370" t="s">
        <v>91</v>
      </c>
      <c r="AD370" t="s">
        <v>91</v>
      </c>
      <c r="AE370" t="s">
        <v>91</v>
      </c>
      <c r="AF370" t="s">
        <v>91</v>
      </c>
      <c r="AG370" s="1" t="s">
        <v>91</v>
      </c>
      <c r="AH370" s="1" t="s">
        <v>91</v>
      </c>
      <c r="AI370" t="s">
        <v>91</v>
      </c>
      <c r="AJ370">
        <v>0</v>
      </c>
      <c r="AK370">
        <v>0</v>
      </c>
      <c r="AL370">
        <v>0</v>
      </c>
      <c r="AM370" t="s">
        <v>91</v>
      </c>
      <c r="AN370" t="s">
        <v>91</v>
      </c>
      <c r="AO370" t="s">
        <v>91</v>
      </c>
      <c r="AP370" t="s">
        <v>91</v>
      </c>
      <c r="AQ370" s="1" t="s">
        <v>91</v>
      </c>
      <c r="AR370" s="1" t="s">
        <v>91</v>
      </c>
      <c r="AS370" s="1" t="s">
        <v>91</v>
      </c>
      <c r="AT370" s="1" t="s">
        <v>91</v>
      </c>
      <c r="AU370" s="1" t="s">
        <v>91</v>
      </c>
      <c r="AV370" t="s">
        <v>91</v>
      </c>
      <c r="AW370" t="s">
        <v>91</v>
      </c>
      <c r="AX370" t="s">
        <v>91</v>
      </c>
      <c r="AY370" t="s">
        <v>91</v>
      </c>
      <c r="AZ370" t="s">
        <v>91</v>
      </c>
      <c r="BA370" t="s">
        <v>91</v>
      </c>
      <c r="BB370" s="2">
        <v>43308.392974537041</v>
      </c>
      <c r="BC370" s="2"/>
      <c r="BD370" t="s">
        <v>91</v>
      </c>
      <c r="BE370">
        <v>862</v>
      </c>
      <c r="BF370" s="1" t="s">
        <v>75</v>
      </c>
      <c r="BG370">
        <v>0</v>
      </c>
      <c r="BH370">
        <v>0</v>
      </c>
      <c r="BI370" s="1" t="s">
        <v>88</v>
      </c>
      <c r="BJ370">
        <v>1</v>
      </c>
      <c r="BK370" s="1" t="s">
        <v>89</v>
      </c>
      <c r="BL370" t="s">
        <v>91</v>
      </c>
      <c r="BM370" s="1" t="s">
        <v>329</v>
      </c>
      <c r="BN370" s="1" t="s">
        <v>148</v>
      </c>
      <c r="BO370" s="1" t="s">
        <v>165</v>
      </c>
      <c r="BP370" s="1" t="s">
        <v>91</v>
      </c>
      <c r="BQ370" t="s">
        <v>91</v>
      </c>
      <c r="BR370" s="3">
        <v>43308</v>
      </c>
      <c r="BS370" s="3"/>
      <c r="BT370" t="s">
        <v>91</v>
      </c>
      <c r="BU370" t="s">
        <v>91</v>
      </c>
      <c r="BV370">
        <v>1</v>
      </c>
      <c r="BW370" s="1" t="s">
        <v>166</v>
      </c>
    </row>
    <row r="371" spans="1:75" x14ac:dyDescent="0.35">
      <c r="A371">
        <v>156762</v>
      </c>
      <c r="B371" s="1" t="s">
        <v>75</v>
      </c>
      <c r="C371">
        <v>80</v>
      </c>
      <c r="D371">
        <v>11121001</v>
      </c>
      <c r="E371">
        <v>121001</v>
      </c>
      <c r="F371" s="1" t="s">
        <v>76</v>
      </c>
      <c r="G371" s="1" t="s">
        <v>2261</v>
      </c>
      <c r="H371">
        <v>0</v>
      </c>
      <c r="I371" s="1" t="s">
        <v>78</v>
      </c>
      <c r="J371" s="1" t="s">
        <v>2262</v>
      </c>
      <c r="K371" s="1" t="s">
        <v>2263</v>
      </c>
      <c r="L371" t="s">
        <v>91</v>
      </c>
      <c r="M371" t="s">
        <v>91</v>
      </c>
      <c r="N371" s="1" t="s">
        <v>2264</v>
      </c>
      <c r="O371" t="s">
        <v>91</v>
      </c>
      <c r="P371" s="1" t="s">
        <v>364</v>
      </c>
      <c r="Q371" s="1" t="s">
        <v>2265</v>
      </c>
      <c r="R371" s="1" t="s">
        <v>2266</v>
      </c>
      <c r="S371">
        <v>1282</v>
      </c>
      <c r="T371">
        <v>89400000</v>
      </c>
      <c r="U371" s="1" t="s">
        <v>108</v>
      </c>
      <c r="V371" s="1" t="s">
        <v>2042</v>
      </c>
      <c r="W371" s="1" t="s">
        <v>87</v>
      </c>
      <c r="X371">
        <v>42</v>
      </c>
      <c r="Y371">
        <v>988630351</v>
      </c>
      <c r="Z371" t="s">
        <v>91</v>
      </c>
      <c r="AA371" t="s">
        <v>91</v>
      </c>
      <c r="AB371" t="s">
        <v>91</v>
      </c>
      <c r="AC371" t="s">
        <v>91</v>
      </c>
      <c r="AD371" t="s">
        <v>91</v>
      </c>
      <c r="AE371" t="s">
        <v>91</v>
      </c>
      <c r="AF371" t="s">
        <v>91</v>
      </c>
      <c r="AG371" s="1" t="s">
        <v>91</v>
      </c>
      <c r="AH371" s="1" t="s">
        <v>91</v>
      </c>
      <c r="AI371" t="s">
        <v>91</v>
      </c>
      <c r="AM371" t="s">
        <v>91</v>
      </c>
      <c r="AN371" t="s">
        <v>91</v>
      </c>
      <c r="AO371" t="s">
        <v>91</v>
      </c>
      <c r="AP371" t="s">
        <v>91</v>
      </c>
      <c r="AQ371" s="1" t="s">
        <v>91</v>
      </c>
      <c r="AR371" s="1" t="s">
        <v>91</v>
      </c>
      <c r="AS371" s="1" t="s">
        <v>91</v>
      </c>
      <c r="AT371" s="1" t="s">
        <v>91</v>
      </c>
      <c r="AU371" s="1" t="s">
        <v>91</v>
      </c>
      <c r="AV371" t="s">
        <v>91</v>
      </c>
      <c r="AW371" t="s">
        <v>91</v>
      </c>
      <c r="AX371" t="s">
        <v>91</v>
      </c>
      <c r="AY371" t="s">
        <v>91</v>
      </c>
      <c r="AZ371" t="s">
        <v>91</v>
      </c>
      <c r="BA371" t="s">
        <v>91</v>
      </c>
      <c r="BB371" s="2">
        <v>45113.505416666667</v>
      </c>
      <c r="BC371" s="2"/>
      <c r="BD371" t="s">
        <v>91</v>
      </c>
      <c r="BF371" s="1" t="s">
        <v>75</v>
      </c>
      <c r="BI371" s="1" t="s">
        <v>88</v>
      </c>
      <c r="BJ371">
        <v>1</v>
      </c>
      <c r="BK371" s="1" t="s">
        <v>89</v>
      </c>
      <c r="BL371" t="s">
        <v>91</v>
      </c>
      <c r="BM371" s="1" t="s">
        <v>91</v>
      </c>
      <c r="BN371" s="1" t="s">
        <v>91</v>
      </c>
      <c r="BO371" s="1" t="s">
        <v>91</v>
      </c>
      <c r="BP371" s="1" t="s">
        <v>91</v>
      </c>
      <c r="BQ371" t="s">
        <v>91</v>
      </c>
      <c r="BR371" s="3">
        <v>45113</v>
      </c>
      <c r="BS371" s="3"/>
      <c r="BT371" t="s">
        <v>91</v>
      </c>
      <c r="BU371" t="s">
        <v>91</v>
      </c>
      <c r="BW371" s="1" t="s">
        <v>90</v>
      </c>
    </row>
    <row r="372" spans="1:75" x14ac:dyDescent="0.35">
      <c r="A372">
        <v>144729</v>
      </c>
      <c r="B372" s="1" t="s">
        <v>75</v>
      </c>
      <c r="C372">
        <v>80</v>
      </c>
      <c r="D372">
        <v>11121001</v>
      </c>
      <c r="E372">
        <v>121001</v>
      </c>
      <c r="F372" s="1" t="s">
        <v>76</v>
      </c>
      <c r="G372" s="1" t="s">
        <v>2267</v>
      </c>
      <c r="I372" s="1" t="s">
        <v>78</v>
      </c>
      <c r="J372" s="1" t="s">
        <v>2268</v>
      </c>
      <c r="K372" s="1" t="s">
        <v>2269</v>
      </c>
      <c r="L372" t="s">
        <v>91</v>
      </c>
      <c r="M372" t="s">
        <v>91</v>
      </c>
      <c r="N372" s="1" t="s">
        <v>2270</v>
      </c>
      <c r="O372" t="s">
        <v>91</v>
      </c>
      <c r="P372" s="1" t="s">
        <v>789</v>
      </c>
      <c r="Q372" s="1" t="s">
        <v>2271</v>
      </c>
      <c r="R372" s="1" t="s">
        <v>91</v>
      </c>
      <c r="S372">
        <v>1279</v>
      </c>
      <c r="T372">
        <v>89227017</v>
      </c>
      <c r="U372" s="1" t="s">
        <v>426</v>
      </c>
      <c r="V372" s="1" t="s">
        <v>100</v>
      </c>
      <c r="W372" s="1" t="s">
        <v>87</v>
      </c>
      <c r="X372">
        <v>47</v>
      </c>
      <c r="Y372">
        <v>4358076</v>
      </c>
      <c r="Z372" t="s">
        <v>91</v>
      </c>
      <c r="AA372" t="s">
        <v>91</v>
      </c>
      <c r="AB372" t="s">
        <v>91</v>
      </c>
      <c r="AC372" t="s">
        <v>91</v>
      </c>
      <c r="AD372" t="s">
        <v>91</v>
      </c>
      <c r="AE372" t="s">
        <v>91</v>
      </c>
      <c r="AF372" t="s">
        <v>91</v>
      </c>
      <c r="AG372" s="1" t="s">
        <v>91</v>
      </c>
      <c r="AH372" s="1" t="s">
        <v>91</v>
      </c>
      <c r="AI372" t="s">
        <v>91</v>
      </c>
      <c r="AJ372">
        <v>0</v>
      </c>
      <c r="AK372">
        <v>0</v>
      </c>
      <c r="AL372">
        <v>0</v>
      </c>
      <c r="AM372" t="s">
        <v>91</v>
      </c>
      <c r="AN372" t="s">
        <v>91</v>
      </c>
      <c r="AO372" t="s">
        <v>91</v>
      </c>
      <c r="AP372" t="s">
        <v>91</v>
      </c>
      <c r="AQ372" s="1" t="s">
        <v>91</v>
      </c>
      <c r="AR372" s="1" t="s">
        <v>91</v>
      </c>
      <c r="AS372" s="1" t="s">
        <v>91</v>
      </c>
      <c r="AT372" s="1" t="s">
        <v>91</v>
      </c>
      <c r="AU372" s="1" t="s">
        <v>91</v>
      </c>
      <c r="AV372" t="s">
        <v>91</v>
      </c>
      <c r="AW372" t="s">
        <v>91</v>
      </c>
      <c r="AX372" t="s">
        <v>91</v>
      </c>
      <c r="AY372" t="s">
        <v>91</v>
      </c>
      <c r="AZ372" t="s">
        <v>91</v>
      </c>
      <c r="BA372" t="s">
        <v>91</v>
      </c>
      <c r="BB372" s="2"/>
      <c r="BC372" s="2"/>
      <c r="BD372" t="s">
        <v>91</v>
      </c>
      <c r="BF372" s="1" t="s">
        <v>75</v>
      </c>
      <c r="BG372">
        <v>0</v>
      </c>
      <c r="BH372">
        <v>0</v>
      </c>
      <c r="BI372" s="1" t="s">
        <v>88</v>
      </c>
      <c r="BJ372">
        <v>1</v>
      </c>
      <c r="BK372" s="1" t="s">
        <v>89</v>
      </c>
      <c r="BL372" t="s">
        <v>91</v>
      </c>
      <c r="BM372" s="1" t="s">
        <v>109</v>
      </c>
      <c r="BN372" s="1" t="s">
        <v>110</v>
      </c>
      <c r="BO372" s="1" t="s">
        <v>111</v>
      </c>
      <c r="BP372" s="1" t="s">
        <v>91</v>
      </c>
      <c r="BQ372" t="s">
        <v>91</v>
      </c>
      <c r="BR372" s="3"/>
      <c r="BS372" s="3"/>
      <c r="BT372" t="s">
        <v>91</v>
      </c>
      <c r="BU372" t="s">
        <v>91</v>
      </c>
      <c r="BV372">
        <v>4</v>
      </c>
      <c r="BW372" s="1" t="s">
        <v>1284</v>
      </c>
    </row>
    <row r="373" spans="1:75" x14ac:dyDescent="0.35">
      <c r="A373">
        <v>138188</v>
      </c>
      <c r="B373" s="1" t="s">
        <v>75</v>
      </c>
      <c r="C373">
        <v>80</v>
      </c>
      <c r="D373">
        <v>11121001</v>
      </c>
      <c r="E373">
        <v>121001</v>
      </c>
      <c r="F373" s="1" t="s">
        <v>76</v>
      </c>
      <c r="G373" s="1" t="s">
        <v>2272</v>
      </c>
      <c r="H373">
        <v>0</v>
      </c>
      <c r="I373" s="1" t="s">
        <v>78</v>
      </c>
      <c r="J373" s="1" t="s">
        <v>2273</v>
      </c>
      <c r="K373" s="1" t="s">
        <v>2274</v>
      </c>
      <c r="L373" t="s">
        <v>91</v>
      </c>
      <c r="M373" t="s">
        <v>91</v>
      </c>
      <c r="N373" s="1" t="s">
        <v>2275</v>
      </c>
      <c r="O373" t="s">
        <v>91</v>
      </c>
      <c r="P373" s="1" t="s">
        <v>2276</v>
      </c>
      <c r="Q373" s="1" t="s">
        <v>2277</v>
      </c>
      <c r="R373" s="1" t="s">
        <v>91</v>
      </c>
      <c r="S373">
        <v>1389</v>
      </c>
      <c r="T373">
        <v>99700422</v>
      </c>
      <c r="U373" s="1" t="s">
        <v>108</v>
      </c>
      <c r="V373" s="1" t="s">
        <v>156</v>
      </c>
      <c r="W373" s="1" t="s">
        <v>157</v>
      </c>
      <c r="X373">
        <v>54</v>
      </c>
      <c r="Y373">
        <v>991912771</v>
      </c>
      <c r="Z373" t="s">
        <v>91</v>
      </c>
      <c r="AA373" t="s">
        <v>91</v>
      </c>
      <c r="AB373" t="s">
        <v>91</v>
      </c>
      <c r="AC373" t="s">
        <v>91</v>
      </c>
      <c r="AD373" t="s">
        <v>91</v>
      </c>
      <c r="AE373" t="s">
        <v>91</v>
      </c>
      <c r="AF373" t="s">
        <v>91</v>
      </c>
      <c r="AG373" s="1" t="s">
        <v>146</v>
      </c>
      <c r="AH373" s="1" t="s">
        <v>91</v>
      </c>
      <c r="AI373" t="s">
        <v>91</v>
      </c>
      <c r="AM373" t="s">
        <v>91</v>
      </c>
      <c r="AN373" t="s">
        <v>91</v>
      </c>
      <c r="AO373" t="s">
        <v>91</v>
      </c>
      <c r="AP373" t="s">
        <v>91</v>
      </c>
      <c r="AQ373" s="1" t="s">
        <v>147</v>
      </c>
      <c r="AR373" s="1" t="s">
        <v>147</v>
      </c>
      <c r="AS373" s="1" t="s">
        <v>147</v>
      </c>
      <c r="AT373" s="1" t="s">
        <v>147</v>
      </c>
      <c r="AU373" s="1" t="s">
        <v>147</v>
      </c>
      <c r="AV373" t="s">
        <v>91</v>
      </c>
      <c r="AW373" t="s">
        <v>91</v>
      </c>
      <c r="AX373" t="s">
        <v>91</v>
      </c>
      <c r="AY373" t="s">
        <v>91</v>
      </c>
      <c r="AZ373" t="s">
        <v>91</v>
      </c>
      <c r="BA373" t="s">
        <v>91</v>
      </c>
      <c r="BB373" s="2">
        <v>44378.578518518516</v>
      </c>
      <c r="BC373" s="2">
        <v>44524.695115740738</v>
      </c>
      <c r="BD373" t="s">
        <v>91</v>
      </c>
      <c r="BF373" s="1" t="s">
        <v>75</v>
      </c>
      <c r="BH373">
        <v>0</v>
      </c>
      <c r="BI373" s="1" t="s">
        <v>88</v>
      </c>
      <c r="BJ373">
        <v>1</v>
      </c>
      <c r="BK373" s="1" t="s">
        <v>89</v>
      </c>
      <c r="BL373" t="s">
        <v>91</v>
      </c>
      <c r="BM373" s="1" t="s">
        <v>109</v>
      </c>
      <c r="BN373" s="1" t="s">
        <v>110</v>
      </c>
      <c r="BO373" s="1" t="s">
        <v>128</v>
      </c>
      <c r="BP373" s="1" t="s">
        <v>91</v>
      </c>
      <c r="BQ373" t="s">
        <v>91</v>
      </c>
      <c r="BR373" s="3">
        <v>44378</v>
      </c>
      <c r="BS373" s="3">
        <v>44524</v>
      </c>
      <c r="BT373" t="s">
        <v>91</v>
      </c>
      <c r="BU373" t="s">
        <v>91</v>
      </c>
      <c r="BW373" s="1" t="s">
        <v>1095</v>
      </c>
    </row>
    <row r="374" spans="1:75" x14ac:dyDescent="0.35">
      <c r="A374">
        <v>144633</v>
      </c>
      <c r="B374" s="1" t="s">
        <v>75</v>
      </c>
      <c r="C374">
        <v>80</v>
      </c>
      <c r="D374">
        <v>11121001</v>
      </c>
      <c r="E374">
        <v>121001</v>
      </c>
      <c r="F374" s="1" t="s">
        <v>76</v>
      </c>
      <c r="G374" s="1" t="s">
        <v>2278</v>
      </c>
      <c r="I374" s="1" t="s">
        <v>78</v>
      </c>
      <c r="J374" s="1" t="s">
        <v>2279</v>
      </c>
      <c r="K374" s="1" t="s">
        <v>2280</v>
      </c>
      <c r="L374" t="s">
        <v>91</v>
      </c>
      <c r="M374" t="s">
        <v>91</v>
      </c>
      <c r="N374" s="1" t="s">
        <v>423</v>
      </c>
      <c r="O374" t="s">
        <v>91</v>
      </c>
      <c r="P374" s="1" t="s">
        <v>587</v>
      </c>
      <c r="Q374" s="1" t="s">
        <v>2281</v>
      </c>
      <c r="R374" s="1" t="s">
        <v>1458</v>
      </c>
      <c r="S374">
        <v>1278</v>
      </c>
      <c r="T374">
        <v>89204248</v>
      </c>
      <c r="U374" s="1" t="s">
        <v>418</v>
      </c>
      <c r="V374" s="1" t="s">
        <v>100</v>
      </c>
      <c r="W374" s="1" t="s">
        <v>87</v>
      </c>
      <c r="X374">
        <v>47</v>
      </c>
      <c r="Y374">
        <v>30132539</v>
      </c>
      <c r="Z374" t="s">
        <v>91</v>
      </c>
      <c r="AA374" t="s">
        <v>91</v>
      </c>
      <c r="AB374" t="s">
        <v>91</v>
      </c>
      <c r="AC374" t="s">
        <v>91</v>
      </c>
      <c r="AD374" t="s">
        <v>91</v>
      </c>
      <c r="AE374" t="s">
        <v>91</v>
      </c>
      <c r="AF374" t="s">
        <v>91</v>
      </c>
      <c r="AG374" s="1" t="s">
        <v>91</v>
      </c>
      <c r="AH374" s="1" t="s">
        <v>91</v>
      </c>
      <c r="AI374" t="s">
        <v>91</v>
      </c>
      <c r="AJ374">
        <v>0</v>
      </c>
      <c r="AK374">
        <v>0</v>
      </c>
      <c r="AL374">
        <v>0</v>
      </c>
      <c r="AM374" t="s">
        <v>91</v>
      </c>
      <c r="AN374" t="s">
        <v>91</v>
      </c>
      <c r="AO374" t="s">
        <v>91</v>
      </c>
      <c r="AP374" t="s">
        <v>91</v>
      </c>
      <c r="AQ374" s="1" t="s">
        <v>91</v>
      </c>
      <c r="AR374" s="1" t="s">
        <v>91</v>
      </c>
      <c r="AS374" s="1" t="s">
        <v>91</v>
      </c>
      <c r="AT374" s="1" t="s">
        <v>91</v>
      </c>
      <c r="AU374" s="1" t="s">
        <v>91</v>
      </c>
      <c r="AV374" t="s">
        <v>91</v>
      </c>
      <c r="AW374" t="s">
        <v>91</v>
      </c>
      <c r="AX374" t="s">
        <v>91</v>
      </c>
      <c r="AY374" t="s">
        <v>91</v>
      </c>
      <c r="AZ374" t="s">
        <v>91</v>
      </c>
      <c r="BA374" t="s">
        <v>91</v>
      </c>
      <c r="BB374" s="2"/>
      <c r="BC374" s="2"/>
      <c r="BD374" t="s">
        <v>91</v>
      </c>
      <c r="BF374" s="1" t="s">
        <v>75</v>
      </c>
      <c r="BG374">
        <v>0</v>
      </c>
      <c r="BH374">
        <v>0</v>
      </c>
      <c r="BI374" s="1" t="s">
        <v>88</v>
      </c>
      <c r="BJ374">
        <v>1</v>
      </c>
      <c r="BK374" s="1" t="s">
        <v>89</v>
      </c>
      <c r="BL374" t="s">
        <v>91</v>
      </c>
      <c r="BM374" s="1" t="s">
        <v>109</v>
      </c>
      <c r="BN374" s="1" t="s">
        <v>110</v>
      </c>
      <c r="BO374" s="1" t="s">
        <v>128</v>
      </c>
      <c r="BP374" s="1" t="s">
        <v>91</v>
      </c>
      <c r="BQ374" t="s">
        <v>91</v>
      </c>
      <c r="BR374" s="3"/>
      <c r="BS374" s="3"/>
      <c r="BT374" t="s">
        <v>91</v>
      </c>
      <c r="BU374" t="s">
        <v>91</v>
      </c>
      <c r="BV374">
        <v>9</v>
      </c>
      <c r="BW374" s="1" t="s">
        <v>419</v>
      </c>
    </row>
    <row r="375" spans="1:75" x14ac:dyDescent="0.35">
      <c r="A375">
        <v>138189</v>
      </c>
      <c r="B375" s="1" t="s">
        <v>75</v>
      </c>
      <c r="C375">
        <v>80</v>
      </c>
      <c r="D375">
        <v>11121001</v>
      </c>
      <c r="E375">
        <v>121001</v>
      </c>
      <c r="F375" s="1" t="s">
        <v>76</v>
      </c>
      <c r="G375" s="1" t="s">
        <v>2282</v>
      </c>
      <c r="H375">
        <v>0</v>
      </c>
      <c r="I375" s="1" t="s">
        <v>78</v>
      </c>
      <c r="J375" s="1" t="s">
        <v>2283</v>
      </c>
      <c r="K375" s="1" t="s">
        <v>2284</v>
      </c>
      <c r="L375" t="s">
        <v>91</v>
      </c>
      <c r="M375" t="s">
        <v>91</v>
      </c>
      <c r="N375" s="1" t="s">
        <v>983</v>
      </c>
      <c r="O375" t="s">
        <v>91</v>
      </c>
      <c r="P375" s="1" t="s">
        <v>1562</v>
      </c>
      <c r="Q375" s="1" t="s">
        <v>930</v>
      </c>
      <c r="R375" s="1" t="s">
        <v>984</v>
      </c>
      <c r="S375">
        <v>1287</v>
      </c>
      <c r="T375">
        <v>89802100</v>
      </c>
      <c r="U375" s="1" t="s">
        <v>108</v>
      </c>
      <c r="V375" s="1" t="s">
        <v>337</v>
      </c>
      <c r="W375" s="1" t="s">
        <v>87</v>
      </c>
      <c r="X375">
        <v>49</v>
      </c>
      <c r="Y375">
        <v>33233826</v>
      </c>
      <c r="Z375" t="s">
        <v>91</v>
      </c>
      <c r="AA375" t="s">
        <v>91</v>
      </c>
      <c r="AB375" t="s">
        <v>91</v>
      </c>
      <c r="AC375" t="s">
        <v>91</v>
      </c>
      <c r="AD375" t="s">
        <v>91</v>
      </c>
      <c r="AE375" t="s">
        <v>91</v>
      </c>
      <c r="AF375" t="s">
        <v>91</v>
      </c>
      <c r="AG375" s="1" t="s">
        <v>146</v>
      </c>
      <c r="AH375" s="1" t="s">
        <v>91</v>
      </c>
      <c r="AI375" t="s">
        <v>91</v>
      </c>
      <c r="AM375" t="s">
        <v>91</v>
      </c>
      <c r="AN375" t="s">
        <v>91</v>
      </c>
      <c r="AO375" t="s">
        <v>91</v>
      </c>
      <c r="AP375" t="s">
        <v>91</v>
      </c>
      <c r="AQ375" s="1" t="s">
        <v>147</v>
      </c>
      <c r="AR375" s="1" t="s">
        <v>147</v>
      </c>
      <c r="AS375" s="1" t="s">
        <v>147</v>
      </c>
      <c r="AT375" s="1" t="s">
        <v>147</v>
      </c>
      <c r="AU375" s="1" t="s">
        <v>147</v>
      </c>
      <c r="AV375" t="s">
        <v>91</v>
      </c>
      <c r="AW375" t="s">
        <v>91</v>
      </c>
      <c r="AX375" t="s">
        <v>91</v>
      </c>
      <c r="AY375" t="s">
        <v>91</v>
      </c>
      <c r="AZ375" t="s">
        <v>91</v>
      </c>
      <c r="BA375" t="s">
        <v>91</v>
      </c>
      <c r="BB375" s="2">
        <v>44378.578518518516</v>
      </c>
      <c r="BC375" s="2">
        <v>44467.426944444444</v>
      </c>
      <c r="BD375" t="s">
        <v>91</v>
      </c>
      <c r="BF375" s="1" t="s">
        <v>75</v>
      </c>
      <c r="BH375">
        <v>0</v>
      </c>
      <c r="BI375" s="1" t="s">
        <v>88</v>
      </c>
      <c r="BJ375">
        <v>1</v>
      </c>
      <c r="BK375" s="1" t="s">
        <v>89</v>
      </c>
      <c r="BL375" t="s">
        <v>91</v>
      </c>
      <c r="BM375" s="1" t="s">
        <v>109</v>
      </c>
      <c r="BN375" s="1" t="s">
        <v>110</v>
      </c>
      <c r="BO375" s="1" t="s">
        <v>180</v>
      </c>
      <c r="BP375" s="1" t="s">
        <v>91</v>
      </c>
      <c r="BQ375" t="s">
        <v>91</v>
      </c>
      <c r="BR375" s="3">
        <v>44378</v>
      </c>
      <c r="BS375" s="3">
        <v>44467</v>
      </c>
      <c r="BT375" t="s">
        <v>91</v>
      </c>
      <c r="BU375" t="s">
        <v>91</v>
      </c>
      <c r="BW375" s="1" t="s">
        <v>2285</v>
      </c>
    </row>
    <row r="376" spans="1:75" x14ac:dyDescent="0.35">
      <c r="A376">
        <v>157566</v>
      </c>
      <c r="B376" s="1" t="s">
        <v>75</v>
      </c>
      <c r="C376">
        <v>80</v>
      </c>
      <c r="D376">
        <v>11121001</v>
      </c>
      <c r="E376">
        <v>121001</v>
      </c>
      <c r="F376" s="1" t="s">
        <v>76</v>
      </c>
      <c r="G376" s="1" t="s">
        <v>2286</v>
      </c>
      <c r="H376">
        <v>0</v>
      </c>
      <c r="I376" s="1" t="s">
        <v>78</v>
      </c>
      <c r="J376" s="1" t="s">
        <v>2287</v>
      </c>
      <c r="K376" s="1" t="s">
        <v>2288</v>
      </c>
      <c r="L376" t="s">
        <v>91</v>
      </c>
      <c r="M376" t="s">
        <v>91</v>
      </c>
      <c r="N376" s="1" t="s">
        <v>2289</v>
      </c>
      <c r="O376" t="s">
        <v>91</v>
      </c>
      <c r="P376" s="1" t="s">
        <v>611</v>
      </c>
      <c r="Q376" s="1" t="s">
        <v>2290</v>
      </c>
      <c r="R376" s="1" t="s">
        <v>91</v>
      </c>
      <c r="S376">
        <v>1277</v>
      </c>
      <c r="T376">
        <v>89201601</v>
      </c>
      <c r="U376" s="1" t="s">
        <v>108</v>
      </c>
      <c r="V376" s="1" t="s">
        <v>100</v>
      </c>
      <c r="W376" s="1" t="s">
        <v>87</v>
      </c>
      <c r="X376">
        <v>47</v>
      </c>
      <c r="Y376">
        <v>99184061</v>
      </c>
      <c r="Z376" t="s">
        <v>91</v>
      </c>
      <c r="AA376" t="s">
        <v>91</v>
      </c>
      <c r="AB376" t="s">
        <v>91</v>
      </c>
      <c r="AC376" t="s">
        <v>91</v>
      </c>
      <c r="AD376" t="s">
        <v>91</v>
      </c>
      <c r="AE376" t="s">
        <v>91</v>
      </c>
      <c r="AF376" t="s">
        <v>91</v>
      </c>
      <c r="AG376" s="1" t="s">
        <v>91</v>
      </c>
      <c r="AH376" s="1" t="s">
        <v>91</v>
      </c>
      <c r="AI376" t="s">
        <v>91</v>
      </c>
      <c r="AM376" t="s">
        <v>91</v>
      </c>
      <c r="AN376" t="s">
        <v>91</v>
      </c>
      <c r="AO376" t="s">
        <v>91</v>
      </c>
      <c r="AP376" t="s">
        <v>91</v>
      </c>
      <c r="AQ376" s="1" t="s">
        <v>91</v>
      </c>
      <c r="AR376" s="1" t="s">
        <v>91</v>
      </c>
      <c r="AS376" s="1" t="s">
        <v>91</v>
      </c>
      <c r="AT376" s="1" t="s">
        <v>91</v>
      </c>
      <c r="AU376" s="1" t="s">
        <v>91</v>
      </c>
      <c r="AV376" t="s">
        <v>91</v>
      </c>
      <c r="AW376" t="s">
        <v>91</v>
      </c>
      <c r="AX376" t="s">
        <v>91</v>
      </c>
      <c r="AY376" t="s">
        <v>91</v>
      </c>
      <c r="AZ376" t="s">
        <v>91</v>
      </c>
      <c r="BA376" t="s">
        <v>91</v>
      </c>
      <c r="BB376" s="2">
        <v>45118.093391203707</v>
      </c>
      <c r="BC376" s="2"/>
      <c r="BD376" t="s">
        <v>91</v>
      </c>
      <c r="BF376" s="1" t="s">
        <v>75</v>
      </c>
      <c r="BI376" s="1" t="s">
        <v>88</v>
      </c>
      <c r="BJ376">
        <v>1</v>
      </c>
      <c r="BK376" s="1" t="s">
        <v>89</v>
      </c>
      <c r="BL376" t="s">
        <v>91</v>
      </c>
      <c r="BM376" s="1" t="s">
        <v>91</v>
      </c>
      <c r="BN376" s="1" t="s">
        <v>91</v>
      </c>
      <c r="BO376" s="1" t="s">
        <v>91</v>
      </c>
      <c r="BP376" s="1" t="s">
        <v>91</v>
      </c>
      <c r="BQ376" t="s">
        <v>91</v>
      </c>
      <c r="BR376" s="3">
        <v>45118</v>
      </c>
      <c r="BS376" s="3"/>
      <c r="BT376" t="s">
        <v>91</v>
      </c>
      <c r="BU376" t="s">
        <v>91</v>
      </c>
      <c r="BW376" s="1" t="s">
        <v>90</v>
      </c>
    </row>
    <row r="377" spans="1:75" x14ac:dyDescent="0.35">
      <c r="A377">
        <v>156720</v>
      </c>
      <c r="B377" s="1" t="s">
        <v>75</v>
      </c>
      <c r="C377">
        <v>80</v>
      </c>
      <c r="D377">
        <v>11121001</v>
      </c>
      <c r="E377">
        <v>121001</v>
      </c>
      <c r="F377" s="1" t="s">
        <v>76</v>
      </c>
      <c r="G377" s="1" t="s">
        <v>2291</v>
      </c>
      <c r="H377">
        <v>0</v>
      </c>
      <c r="I377" s="1" t="s">
        <v>78</v>
      </c>
      <c r="J377" s="1" t="s">
        <v>2292</v>
      </c>
      <c r="K377" s="1" t="s">
        <v>2293</v>
      </c>
      <c r="L377" t="s">
        <v>91</v>
      </c>
      <c r="M377" t="s">
        <v>91</v>
      </c>
      <c r="N377" s="1" t="s">
        <v>2294</v>
      </c>
      <c r="O377" t="s">
        <v>91</v>
      </c>
      <c r="P377" s="1" t="s">
        <v>438</v>
      </c>
      <c r="Q377" s="1" t="s">
        <v>439</v>
      </c>
      <c r="R377" s="1" t="s">
        <v>370</v>
      </c>
      <c r="T377">
        <v>89700905</v>
      </c>
      <c r="U377" s="1" t="s">
        <v>108</v>
      </c>
      <c r="V377" s="1" t="s">
        <v>435</v>
      </c>
      <c r="W377" s="1" t="s">
        <v>87</v>
      </c>
      <c r="X377">
        <v>49</v>
      </c>
      <c r="Y377">
        <v>35500167</v>
      </c>
      <c r="Z377" t="s">
        <v>91</v>
      </c>
      <c r="AA377" t="s">
        <v>91</v>
      </c>
      <c r="AB377" t="s">
        <v>91</v>
      </c>
      <c r="AC377" t="s">
        <v>91</v>
      </c>
      <c r="AD377" t="s">
        <v>91</v>
      </c>
      <c r="AE377" t="s">
        <v>91</v>
      </c>
      <c r="AF377" t="s">
        <v>91</v>
      </c>
      <c r="AG377" s="1" t="s">
        <v>91</v>
      </c>
      <c r="AH377" s="1" t="s">
        <v>91</v>
      </c>
      <c r="AI377" t="s">
        <v>91</v>
      </c>
      <c r="AM377" t="s">
        <v>91</v>
      </c>
      <c r="AN377" t="s">
        <v>91</v>
      </c>
      <c r="AO377" t="s">
        <v>91</v>
      </c>
      <c r="AP377" t="s">
        <v>91</v>
      </c>
      <c r="AQ377" s="1" t="s">
        <v>91</v>
      </c>
      <c r="AR377" s="1" t="s">
        <v>91</v>
      </c>
      <c r="AS377" s="1" t="s">
        <v>91</v>
      </c>
      <c r="AT377" s="1" t="s">
        <v>91</v>
      </c>
      <c r="AU377" s="1" t="s">
        <v>91</v>
      </c>
      <c r="AV377" t="s">
        <v>91</v>
      </c>
      <c r="AW377" t="s">
        <v>91</v>
      </c>
      <c r="AX377" t="s">
        <v>91</v>
      </c>
      <c r="AY377" t="s">
        <v>91</v>
      </c>
      <c r="AZ377" t="s">
        <v>91</v>
      </c>
      <c r="BA377" t="s">
        <v>91</v>
      </c>
      <c r="BB377" s="2">
        <v>45113.505416666667</v>
      </c>
      <c r="BC377" s="2"/>
      <c r="BD377" t="s">
        <v>91</v>
      </c>
      <c r="BF377" s="1" t="s">
        <v>75</v>
      </c>
      <c r="BI377" s="1" t="s">
        <v>88</v>
      </c>
      <c r="BJ377">
        <v>1</v>
      </c>
      <c r="BK377" s="1" t="s">
        <v>89</v>
      </c>
      <c r="BL377" t="s">
        <v>91</v>
      </c>
      <c r="BM377" s="1" t="s">
        <v>91</v>
      </c>
      <c r="BN377" s="1" t="s">
        <v>91</v>
      </c>
      <c r="BO377" s="1" t="s">
        <v>91</v>
      </c>
      <c r="BP377" s="1" t="s">
        <v>91</v>
      </c>
      <c r="BQ377" t="s">
        <v>91</v>
      </c>
      <c r="BR377" s="3">
        <v>45113</v>
      </c>
      <c r="BS377" s="3"/>
      <c r="BT377" t="s">
        <v>91</v>
      </c>
      <c r="BU377" t="s">
        <v>91</v>
      </c>
      <c r="BW377" s="1" t="s">
        <v>90</v>
      </c>
    </row>
    <row r="378" spans="1:75" x14ac:dyDescent="0.35">
      <c r="A378">
        <v>144578</v>
      </c>
      <c r="B378" s="1" t="s">
        <v>75</v>
      </c>
      <c r="C378">
        <v>80</v>
      </c>
      <c r="D378">
        <v>11121001</v>
      </c>
      <c r="E378">
        <v>121001</v>
      </c>
      <c r="F378" s="1" t="s">
        <v>76</v>
      </c>
      <c r="G378" s="1" t="s">
        <v>2295</v>
      </c>
      <c r="I378" s="1" t="s">
        <v>78</v>
      </c>
      <c r="J378" s="1" t="s">
        <v>2296</v>
      </c>
      <c r="K378" s="1" t="s">
        <v>2297</v>
      </c>
      <c r="L378" t="s">
        <v>91</v>
      </c>
      <c r="M378" t="s">
        <v>91</v>
      </c>
      <c r="N378" s="1" t="s">
        <v>2298</v>
      </c>
      <c r="O378" t="s">
        <v>91</v>
      </c>
      <c r="P378" s="1" t="s">
        <v>2299</v>
      </c>
      <c r="Q378" s="1" t="s">
        <v>2300</v>
      </c>
      <c r="R378" s="1" t="s">
        <v>245</v>
      </c>
      <c r="T378">
        <v>89219370</v>
      </c>
      <c r="U378" s="1" t="s">
        <v>237</v>
      </c>
      <c r="V378" s="1" t="s">
        <v>100</v>
      </c>
      <c r="W378" s="1" t="s">
        <v>87</v>
      </c>
      <c r="X378">
        <v>47</v>
      </c>
      <c r="Y378">
        <v>992638526</v>
      </c>
      <c r="Z378" t="s">
        <v>91</v>
      </c>
      <c r="AA378" t="s">
        <v>91</v>
      </c>
      <c r="AB378" t="s">
        <v>91</v>
      </c>
      <c r="AC378" t="s">
        <v>91</v>
      </c>
      <c r="AD378" t="s">
        <v>91</v>
      </c>
      <c r="AE378" t="s">
        <v>91</v>
      </c>
      <c r="AF378" t="s">
        <v>91</v>
      </c>
      <c r="AG378" s="1" t="s">
        <v>91</v>
      </c>
      <c r="AH378" s="1" t="s">
        <v>91</v>
      </c>
      <c r="AI378" t="s">
        <v>91</v>
      </c>
      <c r="AJ378">
        <v>0</v>
      </c>
      <c r="AK378">
        <v>0</v>
      </c>
      <c r="AL378">
        <v>0</v>
      </c>
      <c r="AM378" t="s">
        <v>91</v>
      </c>
      <c r="AN378" t="s">
        <v>91</v>
      </c>
      <c r="AO378" t="s">
        <v>91</v>
      </c>
      <c r="AP378" t="s">
        <v>91</v>
      </c>
      <c r="AQ378" s="1" t="s">
        <v>91</v>
      </c>
      <c r="AR378" s="1" t="s">
        <v>91</v>
      </c>
      <c r="AS378" s="1" t="s">
        <v>91</v>
      </c>
      <c r="AT378" s="1" t="s">
        <v>91</v>
      </c>
      <c r="AU378" s="1" t="s">
        <v>91</v>
      </c>
      <c r="AV378" t="s">
        <v>91</v>
      </c>
      <c r="AW378" t="s">
        <v>91</v>
      </c>
      <c r="AX378" t="s">
        <v>91</v>
      </c>
      <c r="AY378" t="s">
        <v>91</v>
      </c>
      <c r="AZ378" t="s">
        <v>91</v>
      </c>
      <c r="BA378" t="s">
        <v>91</v>
      </c>
      <c r="BB378" s="2"/>
      <c r="BC378" s="2"/>
      <c r="BD378" t="s">
        <v>91</v>
      </c>
      <c r="BF378" s="1" t="s">
        <v>75</v>
      </c>
      <c r="BG378">
        <v>0</v>
      </c>
      <c r="BH378">
        <v>0</v>
      </c>
      <c r="BI378" s="1" t="s">
        <v>88</v>
      </c>
      <c r="BJ378">
        <v>1</v>
      </c>
      <c r="BK378" s="1" t="s">
        <v>89</v>
      </c>
      <c r="BL378" t="s">
        <v>91</v>
      </c>
      <c r="BM378" s="1" t="s">
        <v>109</v>
      </c>
      <c r="BN378" s="1" t="s">
        <v>110</v>
      </c>
      <c r="BO378" s="1" t="s">
        <v>128</v>
      </c>
      <c r="BP378" s="1" t="s">
        <v>91</v>
      </c>
      <c r="BQ378" t="s">
        <v>91</v>
      </c>
      <c r="BR378" s="3"/>
      <c r="BS378" s="3"/>
      <c r="BT378" t="s">
        <v>91</v>
      </c>
      <c r="BU378" t="s">
        <v>91</v>
      </c>
      <c r="BV378">
        <v>9</v>
      </c>
      <c r="BW378" s="1" t="s">
        <v>90</v>
      </c>
    </row>
    <row r="379" spans="1:75" x14ac:dyDescent="0.35">
      <c r="A379">
        <v>144529</v>
      </c>
      <c r="B379" s="1" t="s">
        <v>75</v>
      </c>
      <c r="C379">
        <v>80</v>
      </c>
      <c r="D379">
        <v>11121001</v>
      </c>
      <c r="E379">
        <v>121001</v>
      </c>
      <c r="F379" s="1" t="s">
        <v>76</v>
      </c>
      <c r="G379" s="1" t="s">
        <v>2301</v>
      </c>
      <c r="I379" s="1" t="s">
        <v>78</v>
      </c>
      <c r="J379" s="1" t="s">
        <v>2296</v>
      </c>
      <c r="K379" s="1" t="s">
        <v>2302</v>
      </c>
      <c r="L379" t="s">
        <v>91</v>
      </c>
      <c r="M379" t="s">
        <v>91</v>
      </c>
      <c r="N379" s="1" t="s">
        <v>2303</v>
      </c>
      <c r="O379" t="s">
        <v>91</v>
      </c>
      <c r="P379" s="1" t="s">
        <v>2304</v>
      </c>
      <c r="Q379" s="1" t="s">
        <v>1038</v>
      </c>
      <c r="R379" s="1" t="s">
        <v>2305</v>
      </c>
      <c r="T379">
        <v>89201310</v>
      </c>
      <c r="U379" s="1" t="s">
        <v>108</v>
      </c>
      <c r="V379" s="1" t="s">
        <v>100</v>
      </c>
      <c r="W379" s="1" t="s">
        <v>87</v>
      </c>
      <c r="X379">
        <v>47</v>
      </c>
      <c r="Y379">
        <v>35112784</v>
      </c>
      <c r="Z379" t="s">
        <v>91</v>
      </c>
      <c r="AA379" t="s">
        <v>91</v>
      </c>
      <c r="AB379" t="s">
        <v>91</v>
      </c>
      <c r="AC379" t="s">
        <v>91</v>
      </c>
      <c r="AD379" t="s">
        <v>91</v>
      </c>
      <c r="AE379" t="s">
        <v>91</v>
      </c>
      <c r="AF379" t="s">
        <v>91</v>
      </c>
      <c r="AG379" s="1" t="s">
        <v>91</v>
      </c>
      <c r="AH379" s="1" t="s">
        <v>91</v>
      </c>
      <c r="AI379" t="s">
        <v>91</v>
      </c>
      <c r="AM379" t="s">
        <v>91</v>
      </c>
      <c r="AN379" t="s">
        <v>91</v>
      </c>
      <c r="AO379" t="s">
        <v>91</v>
      </c>
      <c r="AP379" t="s">
        <v>91</v>
      </c>
      <c r="AQ379" s="1" t="s">
        <v>91</v>
      </c>
      <c r="AR379" s="1" t="s">
        <v>91</v>
      </c>
      <c r="AS379" s="1" t="s">
        <v>91</v>
      </c>
      <c r="AT379" s="1" t="s">
        <v>91</v>
      </c>
      <c r="AU379" s="1" t="s">
        <v>91</v>
      </c>
      <c r="AV379" t="s">
        <v>91</v>
      </c>
      <c r="AW379" t="s">
        <v>91</v>
      </c>
      <c r="AX379" t="s">
        <v>91</v>
      </c>
      <c r="AY379" t="s">
        <v>91</v>
      </c>
      <c r="AZ379" t="s">
        <v>91</v>
      </c>
      <c r="BA379" t="s">
        <v>91</v>
      </c>
      <c r="BB379" s="2"/>
      <c r="BC379" s="2"/>
      <c r="BD379" t="s">
        <v>91</v>
      </c>
      <c r="BF379" s="1" t="s">
        <v>75</v>
      </c>
      <c r="BI379" s="1" t="s">
        <v>88</v>
      </c>
      <c r="BJ379">
        <v>1</v>
      </c>
      <c r="BK379" s="1" t="s">
        <v>89</v>
      </c>
      <c r="BL379" t="s">
        <v>91</v>
      </c>
      <c r="BM379" s="1" t="s">
        <v>109</v>
      </c>
      <c r="BN379" s="1" t="s">
        <v>110</v>
      </c>
      <c r="BO379" s="1" t="s">
        <v>128</v>
      </c>
      <c r="BP379" s="1" t="s">
        <v>91</v>
      </c>
      <c r="BQ379" t="s">
        <v>91</v>
      </c>
      <c r="BR379" s="3"/>
      <c r="BS379" s="3"/>
      <c r="BT379" t="s">
        <v>91</v>
      </c>
      <c r="BU379" t="s">
        <v>91</v>
      </c>
      <c r="BV379">
        <v>9</v>
      </c>
      <c r="BW379" s="1" t="s">
        <v>90</v>
      </c>
    </row>
    <row r="380" spans="1:75" x14ac:dyDescent="0.35">
      <c r="A380">
        <v>144530</v>
      </c>
      <c r="B380" s="1" t="s">
        <v>75</v>
      </c>
      <c r="C380">
        <v>80</v>
      </c>
      <c r="D380">
        <v>11121001</v>
      </c>
      <c r="E380">
        <v>121001</v>
      </c>
      <c r="F380" s="1" t="s">
        <v>76</v>
      </c>
      <c r="G380" s="1" t="s">
        <v>2306</v>
      </c>
      <c r="I380" s="1" t="s">
        <v>78</v>
      </c>
      <c r="J380" s="1" t="s">
        <v>2307</v>
      </c>
      <c r="K380" s="1" t="s">
        <v>2308</v>
      </c>
      <c r="L380" t="s">
        <v>91</v>
      </c>
      <c r="M380" t="s">
        <v>91</v>
      </c>
      <c r="N380" s="1" t="s">
        <v>2303</v>
      </c>
      <c r="O380" t="s">
        <v>91</v>
      </c>
      <c r="P380" s="1" t="s">
        <v>185</v>
      </c>
      <c r="Q380" s="1" t="s">
        <v>2309</v>
      </c>
      <c r="R380" s="1" t="s">
        <v>2310</v>
      </c>
      <c r="T380">
        <v>89203570</v>
      </c>
      <c r="U380" s="1" t="s">
        <v>188</v>
      </c>
      <c r="V380" s="1" t="s">
        <v>100</v>
      </c>
      <c r="W380" s="1" t="s">
        <v>87</v>
      </c>
      <c r="X380">
        <v>47</v>
      </c>
      <c r="Y380">
        <v>32276372</v>
      </c>
      <c r="Z380" t="s">
        <v>91</v>
      </c>
      <c r="AA380" t="s">
        <v>91</v>
      </c>
      <c r="AB380" t="s">
        <v>91</v>
      </c>
      <c r="AC380" t="s">
        <v>91</v>
      </c>
      <c r="AD380" t="s">
        <v>91</v>
      </c>
      <c r="AE380" t="s">
        <v>91</v>
      </c>
      <c r="AF380" t="s">
        <v>91</v>
      </c>
      <c r="AG380" s="1" t="s">
        <v>91</v>
      </c>
      <c r="AH380" s="1" t="s">
        <v>91</v>
      </c>
      <c r="AI380" t="s">
        <v>91</v>
      </c>
      <c r="AJ380">
        <v>0</v>
      </c>
      <c r="AK380">
        <v>0</v>
      </c>
      <c r="AL380">
        <v>0</v>
      </c>
      <c r="AM380" t="s">
        <v>91</v>
      </c>
      <c r="AN380" t="s">
        <v>91</v>
      </c>
      <c r="AO380" t="s">
        <v>91</v>
      </c>
      <c r="AP380" t="s">
        <v>91</v>
      </c>
      <c r="AQ380" s="1" t="s">
        <v>91</v>
      </c>
      <c r="AR380" s="1" t="s">
        <v>91</v>
      </c>
      <c r="AS380" s="1" t="s">
        <v>91</v>
      </c>
      <c r="AT380" s="1" t="s">
        <v>91</v>
      </c>
      <c r="AU380" s="1" t="s">
        <v>91</v>
      </c>
      <c r="AV380" t="s">
        <v>91</v>
      </c>
      <c r="AW380" t="s">
        <v>91</v>
      </c>
      <c r="AX380" t="s">
        <v>91</v>
      </c>
      <c r="AY380" t="s">
        <v>91</v>
      </c>
      <c r="AZ380" t="s">
        <v>91</v>
      </c>
      <c r="BA380" t="s">
        <v>91</v>
      </c>
      <c r="BB380" s="2"/>
      <c r="BC380" s="2"/>
      <c r="BD380" t="s">
        <v>91</v>
      </c>
      <c r="BF380" s="1" t="s">
        <v>75</v>
      </c>
      <c r="BG380">
        <v>0</v>
      </c>
      <c r="BH380">
        <v>0</v>
      </c>
      <c r="BI380" s="1" t="s">
        <v>88</v>
      </c>
      <c r="BJ380">
        <v>1</v>
      </c>
      <c r="BK380" s="1" t="s">
        <v>89</v>
      </c>
      <c r="BL380" t="s">
        <v>91</v>
      </c>
      <c r="BM380" s="1" t="s">
        <v>109</v>
      </c>
      <c r="BN380" s="1" t="s">
        <v>110</v>
      </c>
      <c r="BO380" s="1" t="s">
        <v>128</v>
      </c>
      <c r="BP380" s="1" t="s">
        <v>91</v>
      </c>
      <c r="BQ380" t="s">
        <v>91</v>
      </c>
      <c r="BR380" s="3"/>
      <c r="BS380" s="3"/>
      <c r="BT380" t="s">
        <v>91</v>
      </c>
      <c r="BU380" t="s">
        <v>91</v>
      </c>
      <c r="BV380">
        <v>9</v>
      </c>
      <c r="BW380" s="1" t="s">
        <v>90</v>
      </c>
    </row>
    <row r="381" spans="1:75" x14ac:dyDescent="0.35">
      <c r="A381">
        <v>144521</v>
      </c>
      <c r="B381" s="1" t="s">
        <v>75</v>
      </c>
      <c r="C381">
        <v>80</v>
      </c>
      <c r="D381">
        <v>11121001</v>
      </c>
      <c r="E381">
        <v>121001</v>
      </c>
      <c r="F381" s="1" t="s">
        <v>76</v>
      </c>
      <c r="G381" s="1" t="s">
        <v>2311</v>
      </c>
      <c r="I381" s="1" t="s">
        <v>78</v>
      </c>
      <c r="J381" s="1" t="s">
        <v>2307</v>
      </c>
      <c r="K381" s="1" t="s">
        <v>2312</v>
      </c>
      <c r="L381" t="s">
        <v>91</v>
      </c>
      <c r="M381" t="s">
        <v>91</v>
      </c>
      <c r="N381" s="1" t="s">
        <v>91</v>
      </c>
      <c r="O381" t="s">
        <v>91</v>
      </c>
      <c r="P381" s="1" t="s">
        <v>946</v>
      </c>
      <c r="Q381" s="1" t="s">
        <v>1892</v>
      </c>
      <c r="R381" s="1" t="s">
        <v>2313</v>
      </c>
      <c r="S381">
        <v>1280</v>
      </c>
      <c r="T381">
        <v>89240000</v>
      </c>
      <c r="U381" s="1" t="s">
        <v>2314</v>
      </c>
      <c r="V381" s="1" t="s">
        <v>1114</v>
      </c>
      <c r="W381" s="1" t="s">
        <v>87</v>
      </c>
      <c r="X381">
        <v>47</v>
      </c>
      <c r="Y381">
        <v>92638526</v>
      </c>
      <c r="Z381" t="s">
        <v>91</v>
      </c>
      <c r="AA381" t="s">
        <v>91</v>
      </c>
      <c r="AB381" t="s">
        <v>91</v>
      </c>
      <c r="AC381" t="s">
        <v>91</v>
      </c>
      <c r="AD381" t="s">
        <v>91</v>
      </c>
      <c r="AE381" t="s">
        <v>91</v>
      </c>
      <c r="AF381" t="s">
        <v>91</v>
      </c>
      <c r="AG381" s="1" t="s">
        <v>91</v>
      </c>
      <c r="AH381" s="1" t="s">
        <v>91</v>
      </c>
      <c r="AI381" t="s">
        <v>91</v>
      </c>
      <c r="AJ381">
        <v>0</v>
      </c>
      <c r="AK381">
        <v>0</v>
      </c>
      <c r="AL381">
        <v>0</v>
      </c>
      <c r="AM381" t="s">
        <v>91</v>
      </c>
      <c r="AN381" t="s">
        <v>91</v>
      </c>
      <c r="AO381" t="s">
        <v>91</v>
      </c>
      <c r="AP381" t="s">
        <v>91</v>
      </c>
      <c r="AQ381" s="1" t="s">
        <v>91</v>
      </c>
      <c r="AR381" s="1" t="s">
        <v>91</v>
      </c>
      <c r="AS381" s="1" t="s">
        <v>91</v>
      </c>
      <c r="AT381" s="1" t="s">
        <v>91</v>
      </c>
      <c r="AU381" s="1" t="s">
        <v>91</v>
      </c>
      <c r="AV381" t="s">
        <v>91</v>
      </c>
      <c r="AW381" t="s">
        <v>91</v>
      </c>
      <c r="AX381" t="s">
        <v>91</v>
      </c>
      <c r="AY381" t="s">
        <v>91</v>
      </c>
      <c r="AZ381" t="s">
        <v>91</v>
      </c>
      <c r="BA381" t="s">
        <v>91</v>
      </c>
      <c r="BB381" s="2"/>
      <c r="BC381" s="2"/>
      <c r="BD381" t="s">
        <v>91</v>
      </c>
      <c r="BF381" s="1" t="s">
        <v>75</v>
      </c>
      <c r="BG381">
        <v>0</v>
      </c>
      <c r="BH381">
        <v>0</v>
      </c>
      <c r="BI381" s="1" t="s">
        <v>88</v>
      </c>
      <c r="BJ381">
        <v>1</v>
      </c>
      <c r="BK381" s="1" t="s">
        <v>89</v>
      </c>
      <c r="BL381" t="s">
        <v>91</v>
      </c>
      <c r="BM381" s="1" t="s">
        <v>109</v>
      </c>
      <c r="BN381" s="1" t="s">
        <v>110</v>
      </c>
      <c r="BO381" s="1" t="s">
        <v>128</v>
      </c>
      <c r="BP381" s="1" t="s">
        <v>91</v>
      </c>
      <c r="BQ381" t="s">
        <v>91</v>
      </c>
      <c r="BR381" s="3"/>
      <c r="BS381" s="3"/>
      <c r="BT381" t="s">
        <v>91</v>
      </c>
      <c r="BU381" t="s">
        <v>91</v>
      </c>
      <c r="BV381">
        <v>9</v>
      </c>
      <c r="BW381" s="1" t="s">
        <v>90</v>
      </c>
    </row>
    <row r="382" spans="1:75" x14ac:dyDescent="0.35">
      <c r="A382">
        <v>156742</v>
      </c>
      <c r="B382" s="1" t="s">
        <v>75</v>
      </c>
      <c r="C382">
        <v>80</v>
      </c>
      <c r="D382">
        <v>11121001</v>
      </c>
      <c r="E382">
        <v>121001</v>
      </c>
      <c r="F382" s="1" t="s">
        <v>76</v>
      </c>
      <c r="G382" s="1" t="s">
        <v>2315</v>
      </c>
      <c r="H382">
        <v>0</v>
      </c>
      <c r="I382" s="1" t="s">
        <v>78</v>
      </c>
      <c r="J382" s="1" t="s">
        <v>2307</v>
      </c>
      <c r="K382" s="1" t="s">
        <v>2316</v>
      </c>
      <c r="L382" t="s">
        <v>91</v>
      </c>
      <c r="M382" t="s">
        <v>91</v>
      </c>
      <c r="N382" s="1" t="s">
        <v>2317</v>
      </c>
      <c r="O382" t="s">
        <v>91</v>
      </c>
      <c r="P382" s="1" t="s">
        <v>234</v>
      </c>
      <c r="Q382" s="1" t="s">
        <v>295</v>
      </c>
      <c r="R382" s="1" t="s">
        <v>370</v>
      </c>
      <c r="S382">
        <v>1279</v>
      </c>
      <c r="T382">
        <v>89219200</v>
      </c>
      <c r="U382" s="1" t="s">
        <v>237</v>
      </c>
      <c r="V382" s="1" t="s">
        <v>100</v>
      </c>
      <c r="W382" s="1" t="s">
        <v>87</v>
      </c>
      <c r="X382">
        <v>47</v>
      </c>
      <c r="Y382">
        <v>996739554</v>
      </c>
      <c r="Z382" t="s">
        <v>91</v>
      </c>
      <c r="AA382" t="s">
        <v>91</v>
      </c>
      <c r="AB382" t="s">
        <v>91</v>
      </c>
      <c r="AC382" t="s">
        <v>91</v>
      </c>
      <c r="AD382" t="s">
        <v>91</v>
      </c>
      <c r="AE382" t="s">
        <v>91</v>
      </c>
      <c r="AF382" t="s">
        <v>91</v>
      </c>
      <c r="AG382" s="1" t="s">
        <v>91</v>
      </c>
      <c r="AH382" s="1" t="s">
        <v>91</v>
      </c>
      <c r="AI382" t="s">
        <v>91</v>
      </c>
      <c r="AM382" t="s">
        <v>91</v>
      </c>
      <c r="AN382" t="s">
        <v>91</v>
      </c>
      <c r="AO382" t="s">
        <v>91</v>
      </c>
      <c r="AP382" t="s">
        <v>91</v>
      </c>
      <c r="AQ382" s="1" t="s">
        <v>91</v>
      </c>
      <c r="AR382" s="1" t="s">
        <v>91</v>
      </c>
      <c r="AS382" s="1" t="s">
        <v>91</v>
      </c>
      <c r="AT382" s="1" t="s">
        <v>91</v>
      </c>
      <c r="AU382" s="1" t="s">
        <v>91</v>
      </c>
      <c r="AV382" t="s">
        <v>91</v>
      </c>
      <c r="AW382" t="s">
        <v>91</v>
      </c>
      <c r="AX382" t="s">
        <v>91</v>
      </c>
      <c r="AY382" t="s">
        <v>91</v>
      </c>
      <c r="AZ382" t="s">
        <v>91</v>
      </c>
      <c r="BA382" t="s">
        <v>91</v>
      </c>
      <c r="BB382" s="2">
        <v>45113.505416666667</v>
      </c>
      <c r="BC382" s="2"/>
      <c r="BD382" t="s">
        <v>91</v>
      </c>
      <c r="BF382" s="1" t="s">
        <v>75</v>
      </c>
      <c r="BI382" s="1" t="s">
        <v>88</v>
      </c>
      <c r="BJ382">
        <v>1</v>
      </c>
      <c r="BK382" s="1" t="s">
        <v>89</v>
      </c>
      <c r="BL382" t="s">
        <v>91</v>
      </c>
      <c r="BM382" s="1" t="s">
        <v>91</v>
      </c>
      <c r="BN382" s="1" t="s">
        <v>91</v>
      </c>
      <c r="BO382" s="1" t="s">
        <v>91</v>
      </c>
      <c r="BP382" s="1" t="s">
        <v>91</v>
      </c>
      <c r="BQ382" t="s">
        <v>91</v>
      </c>
      <c r="BR382" s="3">
        <v>45113</v>
      </c>
      <c r="BS382" s="3"/>
      <c r="BT382" t="s">
        <v>91</v>
      </c>
      <c r="BU382" t="s">
        <v>91</v>
      </c>
      <c r="BW382" s="1" t="s">
        <v>90</v>
      </c>
    </row>
    <row r="383" spans="1:75" x14ac:dyDescent="0.35">
      <c r="A383">
        <v>156741</v>
      </c>
      <c r="B383" s="1" t="s">
        <v>75</v>
      </c>
      <c r="C383">
        <v>80</v>
      </c>
      <c r="D383">
        <v>11121001</v>
      </c>
      <c r="E383">
        <v>121001</v>
      </c>
      <c r="F383" s="1" t="s">
        <v>76</v>
      </c>
      <c r="G383" s="1" t="s">
        <v>2318</v>
      </c>
      <c r="H383">
        <v>0</v>
      </c>
      <c r="I383" s="1" t="s">
        <v>78</v>
      </c>
      <c r="J383" s="1" t="s">
        <v>2307</v>
      </c>
      <c r="K383" s="1" t="s">
        <v>2319</v>
      </c>
      <c r="L383" t="s">
        <v>91</v>
      </c>
      <c r="M383" t="s">
        <v>91</v>
      </c>
      <c r="N383" s="1" t="s">
        <v>2320</v>
      </c>
      <c r="O383" t="s">
        <v>91</v>
      </c>
      <c r="P383" s="1" t="s">
        <v>2321</v>
      </c>
      <c r="Q383" s="1" t="s">
        <v>1610</v>
      </c>
      <c r="R383" s="1" t="s">
        <v>236</v>
      </c>
      <c r="S383">
        <v>1277</v>
      </c>
      <c r="T383">
        <v>89201110</v>
      </c>
      <c r="U383" s="1" t="s">
        <v>108</v>
      </c>
      <c r="V383" s="1" t="s">
        <v>100</v>
      </c>
      <c r="W383" s="1" t="s">
        <v>87</v>
      </c>
      <c r="X383">
        <v>47</v>
      </c>
      <c r="Y383">
        <v>996739554</v>
      </c>
      <c r="Z383" t="s">
        <v>91</v>
      </c>
      <c r="AA383" t="s">
        <v>91</v>
      </c>
      <c r="AB383" t="s">
        <v>91</v>
      </c>
      <c r="AC383" t="s">
        <v>91</v>
      </c>
      <c r="AD383" t="s">
        <v>91</v>
      </c>
      <c r="AE383" t="s">
        <v>91</v>
      </c>
      <c r="AF383" t="s">
        <v>91</v>
      </c>
      <c r="AG383" s="1" t="s">
        <v>91</v>
      </c>
      <c r="AH383" s="1" t="s">
        <v>91</v>
      </c>
      <c r="AI383" t="s">
        <v>91</v>
      </c>
      <c r="AM383" t="s">
        <v>91</v>
      </c>
      <c r="AN383" t="s">
        <v>91</v>
      </c>
      <c r="AO383" t="s">
        <v>91</v>
      </c>
      <c r="AP383" t="s">
        <v>91</v>
      </c>
      <c r="AQ383" s="1" t="s">
        <v>91</v>
      </c>
      <c r="AR383" s="1" t="s">
        <v>91</v>
      </c>
      <c r="AS383" s="1" t="s">
        <v>91</v>
      </c>
      <c r="AT383" s="1" t="s">
        <v>91</v>
      </c>
      <c r="AU383" s="1" t="s">
        <v>91</v>
      </c>
      <c r="AV383" t="s">
        <v>91</v>
      </c>
      <c r="AW383" t="s">
        <v>91</v>
      </c>
      <c r="AX383" t="s">
        <v>91</v>
      </c>
      <c r="AY383" t="s">
        <v>91</v>
      </c>
      <c r="AZ383" t="s">
        <v>91</v>
      </c>
      <c r="BA383" t="s">
        <v>91</v>
      </c>
      <c r="BB383" s="2">
        <v>45113.505416666667</v>
      </c>
      <c r="BC383" s="2"/>
      <c r="BD383" t="s">
        <v>91</v>
      </c>
      <c r="BF383" s="1" t="s">
        <v>75</v>
      </c>
      <c r="BI383" s="1" t="s">
        <v>88</v>
      </c>
      <c r="BJ383">
        <v>1</v>
      </c>
      <c r="BK383" s="1" t="s">
        <v>89</v>
      </c>
      <c r="BL383" t="s">
        <v>91</v>
      </c>
      <c r="BM383" s="1" t="s">
        <v>91</v>
      </c>
      <c r="BN383" s="1" t="s">
        <v>91</v>
      </c>
      <c r="BO383" s="1" t="s">
        <v>91</v>
      </c>
      <c r="BP383" s="1" t="s">
        <v>91</v>
      </c>
      <c r="BQ383" t="s">
        <v>91</v>
      </c>
      <c r="BR383" s="3">
        <v>45113</v>
      </c>
      <c r="BS383" s="3"/>
      <c r="BT383" t="s">
        <v>91</v>
      </c>
      <c r="BU383" t="s">
        <v>91</v>
      </c>
      <c r="BW383" s="1" t="s">
        <v>90</v>
      </c>
    </row>
    <row r="384" spans="1:75" x14ac:dyDescent="0.35">
      <c r="A384">
        <v>144594</v>
      </c>
      <c r="B384" s="1" t="s">
        <v>75</v>
      </c>
      <c r="C384">
        <v>80</v>
      </c>
      <c r="D384">
        <v>11121001</v>
      </c>
      <c r="E384">
        <v>121001</v>
      </c>
      <c r="F384" s="1" t="s">
        <v>76</v>
      </c>
      <c r="G384" s="1" t="s">
        <v>2322</v>
      </c>
      <c r="I384" s="1" t="s">
        <v>78</v>
      </c>
      <c r="J384" s="1" t="s">
        <v>2323</v>
      </c>
      <c r="K384" s="1" t="s">
        <v>2324</v>
      </c>
      <c r="L384" t="s">
        <v>91</v>
      </c>
      <c r="M384" t="s">
        <v>91</v>
      </c>
      <c r="N384" s="1" t="s">
        <v>2325</v>
      </c>
      <c r="O384" t="s">
        <v>91</v>
      </c>
      <c r="P384" s="1" t="s">
        <v>2326</v>
      </c>
      <c r="Q384" s="1" t="s">
        <v>2327</v>
      </c>
      <c r="R384" s="1" t="s">
        <v>1075</v>
      </c>
      <c r="S384">
        <v>1277</v>
      </c>
      <c r="T384">
        <v>89201050</v>
      </c>
      <c r="U384" s="1" t="s">
        <v>108</v>
      </c>
      <c r="V384" s="1" t="s">
        <v>100</v>
      </c>
      <c r="W384" s="1" t="s">
        <v>87</v>
      </c>
      <c r="X384">
        <v>47</v>
      </c>
      <c r="Y384">
        <v>30313088</v>
      </c>
      <c r="Z384" t="s">
        <v>91</v>
      </c>
      <c r="AA384" t="s">
        <v>91</v>
      </c>
      <c r="AB384" t="s">
        <v>91</v>
      </c>
      <c r="AC384" t="s">
        <v>91</v>
      </c>
      <c r="AD384" t="s">
        <v>91</v>
      </c>
      <c r="AE384" t="s">
        <v>91</v>
      </c>
      <c r="AF384" t="s">
        <v>91</v>
      </c>
      <c r="AG384" s="1" t="s">
        <v>91</v>
      </c>
      <c r="AH384" s="1" t="s">
        <v>91</v>
      </c>
      <c r="AI384" t="s">
        <v>91</v>
      </c>
      <c r="AJ384">
        <v>0</v>
      </c>
      <c r="AK384">
        <v>0</v>
      </c>
      <c r="AL384">
        <v>0</v>
      </c>
      <c r="AM384" t="s">
        <v>91</v>
      </c>
      <c r="AN384" t="s">
        <v>91</v>
      </c>
      <c r="AO384" t="s">
        <v>91</v>
      </c>
      <c r="AP384" t="s">
        <v>91</v>
      </c>
      <c r="AQ384" s="1" t="s">
        <v>91</v>
      </c>
      <c r="AR384" s="1" t="s">
        <v>91</v>
      </c>
      <c r="AS384" s="1" t="s">
        <v>91</v>
      </c>
      <c r="AT384" s="1" t="s">
        <v>91</v>
      </c>
      <c r="AU384" s="1" t="s">
        <v>91</v>
      </c>
      <c r="AV384" t="s">
        <v>91</v>
      </c>
      <c r="AW384" t="s">
        <v>91</v>
      </c>
      <c r="AX384" t="s">
        <v>91</v>
      </c>
      <c r="AY384" t="s">
        <v>91</v>
      </c>
      <c r="AZ384" t="s">
        <v>91</v>
      </c>
      <c r="BA384" t="s">
        <v>91</v>
      </c>
      <c r="BB384" s="2"/>
      <c r="BC384" s="2"/>
      <c r="BD384" t="s">
        <v>91</v>
      </c>
      <c r="BF384" s="1" t="s">
        <v>75</v>
      </c>
      <c r="BG384">
        <v>0</v>
      </c>
      <c r="BH384">
        <v>0</v>
      </c>
      <c r="BI384" s="1" t="s">
        <v>88</v>
      </c>
      <c r="BJ384">
        <v>1</v>
      </c>
      <c r="BK384" s="1" t="s">
        <v>89</v>
      </c>
      <c r="BL384" t="s">
        <v>91</v>
      </c>
      <c r="BM384" s="1" t="s">
        <v>109</v>
      </c>
      <c r="BN384" s="1" t="s">
        <v>110</v>
      </c>
      <c r="BO384" s="1" t="s">
        <v>180</v>
      </c>
      <c r="BP384" s="1" t="s">
        <v>91</v>
      </c>
      <c r="BQ384" t="s">
        <v>91</v>
      </c>
      <c r="BR384" s="3"/>
      <c r="BS384" s="3"/>
      <c r="BT384" t="s">
        <v>91</v>
      </c>
      <c r="BU384" t="s">
        <v>91</v>
      </c>
      <c r="BV384">
        <v>6</v>
      </c>
      <c r="BW384" s="1" t="s">
        <v>90</v>
      </c>
    </row>
    <row r="385" spans="1:75" x14ac:dyDescent="0.35">
      <c r="A385">
        <v>144455</v>
      </c>
      <c r="B385" s="1" t="s">
        <v>75</v>
      </c>
      <c r="C385">
        <v>80</v>
      </c>
      <c r="D385">
        <v>11121001</v>
      </c>
      <c r="E385">
        <v>121001</v>
      </c>
      <c r="F385" s="1" t="s">
        <v>76</v>
      </c>
      <c r="G385" s="1" t="s">
        <v>2328</v>
      </c>
      <c r="I385" s="1" t="s">
        <v>78</v>
      </c>
      <c r="J385" s="1" t="s">
        <v>2329</v>
      </c>
      <c r="K385" s="1" t="s">
        <v>2330</v>
      </c>
      <c r="L385" t="s">
        <v>91</v>
      </c>
      <c r="M385" t="s">
        <v>91</v>
      </c>
      <c r="N385" s="1" t="s">
        <v>1649</v>
      </c>
      <c r="O385" t="s">
        <v>91</v>
      </c>
      <c r="P385" s="1" t="s">
        <v>105</v>
      </c>
      <c r="Q385" s="1" t="s">
        <v>2331</v>
      </c>
      <c r="R385" s="1" t="s">
        <v>91</v>
      </c>
      <c r="S385">
        <v>1277</v>
      </c>
      <c r="T385">
        <v>89201003</v>
      </c>
      <c r="U385" s="1" t="s">
        <v>108</v>
      </c>
      <c r="V385" s="1" t="s">
        <v>100</v>
      </c>
      <c r="W385" s="1" t="s">
        <v>87</v>
      </c>
      <c r="X385">
        <v>47</v>
      </c>
      <c r="Y385">
        <v>34226046</v>
      </c>
      <c r="Z385" t="s">
        <v>91</v>
      </c>
      <c r="AA385" t="s">
        <v>91</v>
      </c>
      <c r="AB385" t="s">
        <v>91</v>
      </c>
      <c r="AC385" t="s">
        <v>91</v>
      </c>
      <c r="AD385" t="s">
        <v>91</v>
      </c>
      <c r="AE385" t="s">
        <v>91</v>
      </c>
      <c r="AF385" t="s">
        <v>91</v>
      </c>
      <c r="AG385" s="1" t="s">
        <v>91</v>
      </c>
      <c r="AH385" s="1" t="s">
        <v>91</v>
      </c>
      <c r="AI385" t="s">
        <v>91</v>
      </c>
      <c r="AJ385">
        <v>0</v>
      </c>
      <c r="AK385">
        <v>0</v>
      </c>
      <c r="AL385">
        <v>0</v>
      </c>
      <c r="AM385" t="s">
        <v>91</v>
      </c>
      <c r="AN385" t="s">
        <v>91</v>
      </c>
      <c r="AO385" t="s">
        <v>91</v>
      </c>
      <c r="AP385" t="s">
        <v>91</v>
      </c>
      <c r="AQ385" s="1" t="s">
        <v>91</v>
      </c>
      <c r="AR385" s="1" t="s">
        <v>91</v>
      </c>
      <c r="AS385" s="1" t="s">
        <v>91</v>
      </c>
      <c r="AT385" s="1" t="s">
        <v>91</v>
      </c>
      <c r="AU385" s="1" t="s">
        <v>91</v>
      </c>
      <c r="AV385" t="s">
        <v>91</v>
      </c>
      <c r="AW385" t="s">
        <v>91</v>
      </c>
      <c r="AX385" t="s">
        <v>91</v>
      </c>
      <c r="AY385" t="s">
        <v>91</v>
      </c>
      <c r="AZ385" t="s">
        <v>91</v>
      </c>
      <c r="BA385" t="s">
        <v>91</v>
      </c>
      <c r="BB385" s="2"/>
      <c r="BC385" s="2"/>
      <c r="BD385" t="s">
        <v>91</v>
      </c>
      <c r="BF385" s="1" t="s">
        <v>75</v>
      </c>
      <c r="BG385">
        <v>0</v>
      </c>
      <c r="BH385">
        <v>0</v>
      </c>
      <c r="BI385" s="1" t="s">
        <v>88</v>
      </c>
      <c r="BJ385">
        <v>1</v>
      </c>
      <c r="BK385" s="1" t="s">
        <v>89</v>
      </c>
      <c r="BL385" t="s">
        <v>91</v>
      </c>
      <c r="BM385" s="1" t="s">
        <v>164</v>
      </c>
      <c r="BN385" s="1" t="s">
        <v>110</v>
      </c>
      <c r="BO385" s="1" t="s">
        <v>165</v>
      </c>
      <c r="BP385" s="1" t="s">
        <v>91</v>
      </c>
      <c r="BQ385" t="s">
        <v>91</v>
      </c>
      <c r="BR385" s="3"/>
      <c r="BS385" s="3"/>
      <c r="BT385" t="s">
        <v>91</v>
      </c>
      <c r="BU385" t="s">
        <v>91</v>
      </c>
      <c r="BV385">
        <v>1</v>
      </c>
      <c r="BW385" s="1" t="s">
        <v>1592</v>
      </c>
    </row>
    <row r="386" spans="1:75" x14ac:dyDescent="0.35">
      <c r="A386">
        <v>156726</v>
      </c>
      <c r="B386" s="1" t="s">
        <v>75</v>
      </c>
      <c r="C386">
        <v>80</v>
      </c>
      <c r="D386">
        <v>11121001</v>
      </c>
      <c r="E386">
        <v>121001</v>
      </c>
      <c r="F386" s="1" t="s">
        <v>76</v>
      </c>
      <c r="G386" s="1" t="s">
        <v>2332</v>
      </c>
      <c r="H386">
        <v>0</v>
      </c>
      <c r="I386" s="1" t="s">
        <v>78</v>
      </c>
      <c r="J386" s="1" t="s">
        <v>2333</v>
      </c>
      <c r="K386" s="1" t="s">
        <v>2334</v>
      </c>
      <c r="L386" t="s">
        <v>91</v>
      </c>
      <c r="M386" t="s">
        <v>91</v>
      </c>
      <c r="N386" s="1" t="s">
        <v>2335</v>
      </c>
      <c r="O386" t="s">
        <v>91</v>
      </c>
      <c r="P386" s="1" t="s">
        <v>2336</v>
      </c>
      <c r="Q386" s="1" t="s">
        <v>708</v>
      </c>
      <c r="R386" s="1" t="s">
        <v>954</v>
      </c>
      <c r="S386">
        <v>1284</v>
      </c>
      <c r="T386">
        <v>89520000</v>
      </c>
      <c r="U386" s="1" t="s">
        <v>108</v>
      </c>
      <c r="V386" s="1" t="s">
        <v>145</v>
      </c>
      <c r="W386" s="1" t="s">
        <v>87</v>
      </c>
      <c r="X386">
        <v>49</v>
      </c>
      <c r="Y386">
        <v>999377992</v>
      </c>
      <c r="Z386" t="s">
        <v>91</v>
      </c>
      <c r="AA386" t="s">
        <v>91</v>
      </c>
      <c r="AB386" t="s">
        <v>91</v>
      </c>
      <c r="AC386" t="s">
        <v>91</v>
      </c>
      <c r="AD386" t="s">
        <v>91</v>
      </c>
      <c r="AE386" t="s">
        <v>91</v>
      </c>
      <c r="AF386" t="s">
        <v>91</v>
      </c>
      <c r="AG386" s="1" t="s">
        <v>91</v>
      </c>
      <c r="AH386" s="1" t="s">
        <v>91</v>
      </c>
      <c r="AI386" t="s">
        <v>91</v>
      </c>
      <c r="AM386" t="s">
        <v>91</v>
      </c>
      <c r="AN386" t="s">
        <v>91</v>
      </c>
      <c r="AO386" t="s">
        <v>91</v>
      </c>
      <c r="AP386" t="s">
        <v>91</v>
      </c>
      <c r="AQ386" s="1" t="s">
        <v>91</v>
      </c>
      <c r="AR386" s="1" t="s">
        <v>91</v>
      </c>
      <c r="AS386" s="1" t="s">
        <v>91</v>
      </c>
      <c r="AT386" s="1" t="s">
        <v>91</v>
      </c>
      <c r="AU386" s="1" t="s">
        <v>91</v>
      </c>
      <c r="AV386" t="s">
        <v>91</v>
      </c>
      <c r="AW386" t="s">
        <v>91</v>
      </c>
      <c r="AX386" t="s">
        <v>91</v>
      </c>
      <c r="AY386" t="s">
        <v>91</v>
      </c>
      <c r="AZ386" t="s">
        <v>91</v>
      </c>
      <c r="BA386" t="s">
        <v>91</v>
      </c>
      <c r="BB386" s="2">
        <v>45113.505416666667</v>
      </c>
      <c r="BC386" s="2"/>
      <c r="BD386" t="s">
        <v>91</v>
      </c>
      <c r="BF386" s="1" t="s">
        <v>75</v>
      </c>
      <c r="BI386" s="1" t="s">
        <v>88</v>
      </c>
      <c r="BJ386">
        <v>1</v>
      </c>
      <c r="BK386" s="1" t="s">
        <v>89</v>
      </c>
      <c r="BL386" t="s">
        <v>91</v>
      </c>
      <c r="BM386" s="1" t="s">
        <v>91</v>
      </c>
      <c r="BN386" s="1" t="s">
        <v>91</v>
      </c>
      <c r="BO386" s="1" t="s">
        <v>91</v>
      </c>
      <c r="BP386" s="1" t="s">
        <v>91</v>
      </c>
      <c r="BQ386" t="s">
        <v>91</v>
      </c>
      <c r="BR386" s="3">
        <v>45113</v>
      </c>
      <c r="BS386" s="3"/>
      <c r="BT386" t="s">
        <v>91</v>
      </c>
      <c r="BU386" t="s">
        <v>91</v>
      </c>
      <c r="BW386" s="1" t="s">
        <v>728</v>
      </c>
    </row>
    <row r="387" spans="1:75" x14ac:dyDescent="0.35">
      <c r="A387">
        <v>156757</v>
      </c>
      <c r="B387" s="1" t="s">
        <v>75</v>
      </c>
      <c r="C387">
        <v>80</v>
      </c>
      <c r="D387">
        <v>11121001</v>
      </c>
      <c r="E387">
        <v>121001</v>
      </c>
      <c r="F387" s="1" t="s">
        <v>76</v>
      </c>
      <c r="G387" s="1" t="s">
        <v>2337</v>
      </c>
      <c r="H387">
        <v>0</v>
      </c>
      <c r="I387" s="1" t="s">
        <v>78</v>
      </c>
      <c r="J387" s="1" t="s">
        <v>2338</v>
      </c>
      <c r="K387" s="1" t="s">
        <v>2339</v>
      </c>
      <c r="L387" t="s">
        <v>91</v>
      </c>
      <c r="M387" t="s">
        <v>91</v>
      </c>
      <c r="N387" s="1" t="s">
        <v>408</v>
      </c>
      <c r="O387" t="s">
        <v>91</v>
      </c>
      <c r="P387" s="1" t="s">
        <v>210</v>
      </c>
      <c r="Q387" s="1" t="s">
        <v>211</v>
      </c>
      <c r="R387" s="1" t="s">
        <v>2340</v>
      </c>
      <c r="S387">
        <v>1279</v>
      </c>
      <c r="T387">
        <v>89223005</v>
      </c>
      <c r="U387" s="1" t="s">
        <v>213</v>
      </c>
      <c r="V387" s="1" t="s">
        <v>100</v>
      </c>
      <c r="W387" s="1" t="s">
        <v>87</v>
      </c>
      <c r="X387">
        <v>42</v>
      </c>
      <c r="Y387">
        <v>998585101</v>
      </c>
      <c r="Z387" t="s">
        <v>91</v>
      </c>
      <c r="AA387" t="s">
        <v>91</v>
      </c>
      <c r="AB387" t="s">
        <v>91</v>
      </c>
      <c r="AC387" t="s">
        <v>91</v>
      </c>
      <c r="AD387" t="s">
        <v>91</v>
      </c>
      <c r="AE387" t="s">
        <v>91</v>
      </c>
      <c r="AF387" t="s">
        <v>91</v>
      </c>
      <c r="AG387" s="1" t="s">
        <v>91</v>
      </c>
      <c r="AH387" s="1" t="s">
        <v>91</v>
      </c>
      <c r="AI387" t="s">
        <v>91</v>
      </c>
      <c r="AM387" t="s">
        <v>91</v>
      </c>
      <c r="AN387" t="s">
        <v>91</v>
      </c>
      <c r="AO387" t="s">
        <v>91</v>
      </c>
      <c r="AP387" t="s">
        <v>91</v>
      </c>
      <c r="AQ387" s="1" t="s">
        <v>91</v>
      </c>
      <c r="AR387" s="1" t="s">
        <v>91</v>
      </c>
      <c r="AS387" s="1" t="s">
        <v>91</v>
      </c>
      <c r="AT387" s="1" t="s">
        <v>91</v>
      </c>
      <c r="AU387" s="1" t="s">
        <v>91</v>
      </c>
      <c r="AV387" t="s">
        <v>91</v>
      </c>
      <c r="AW387" t="s">
        <v>91</v>
      </c>
      <c r="AX387" t="s">
        <v>91</v>
      </c>
      <c r="AY387" t="s">
        <v>91</v>
      </c>
      <c r="AZ387" t="s">
        <v>91</v>
      </c>
      <c r="BA387" t="s">
        <v>91</v>
      </c>
      <c r="BB387" s="2">
        <v>45113.505416666667</v>
      </c>
      <c r="BC387" s="2"/>
      <c r="BD387" t="s">
        <v>91</v>
      </c>
      <c r="BF387" s="1" t="s">
        <v>75</v>
      </c>
      <c r="BI387" s="1" t="s">
        <v>88</v>
      </c>
      <c r="BJ387">
        <v>1</v>
      </c>
      <c r="BK387" s="1" t="s">
        <v>89</v>
      </c>
      <c r="BL387" t="s">
        <v>91</v>
      </c>
      <c r="BM387" s="1" t="s">
        <v>91</v>
      </c>
      <c r="BN387" s="1" t="s">
        <v>91</v>
      </c>
      <c r="BO387" s="1" t="s">
        <v>91</v>
      </c>
      <c r="BP387" s="1" t="s">
        <v>91</v>
      </c>
      <c r="BQ387" t="s">
        <v>91</v>
      </c>
      <c r="BR387" s="3">
        <v>45113</v>
      </c>
      <c r="BS387" s="3"/>
      <c r="BT387" t="s">
        <v>91</v>
      </c>
      <c r="BU387" t="s">
        <v>91</v>
      </c>
      <c r="BW387" s="1" t="s">
        <v>90</v>
      </c>
    </row>
    <row r="388" spans="1:75" x14ac:dyDescent="0.35">
      <c r="A388">
        <v>156758</v>
      </c>
      <c r="B388" s="1" t="s">
        <v>75</v>
      </c>
      <c r="C388">
        <v>80</v>
      </c>
      <c r="D388">
        <v>11121001</v>
      </c>
      <c r="E388">
        <v>121001</v>
      </c>
      <c r="F388" s="1" t="s">
        <v>76</v>
      </c>
      <c r="G388" s="1" t="s">
        <v>2341</v>
      </c>
      <c r="H388">
        <v>0</v>
      </c>
      <c r="I388" s="1" t="s">
        <v>78</v>
      </c>
      <c r="J388" s="1" t="s">
        <v>2338</v>
      </c>
      <c r="K388" s="1" t="s">
        <v>2342</v>
      </c>
      <c r="L388" t="s">
        <v>91</v>
      </c>
      <c r="M388" t="s">
        <v>91</v>
      </c>
      <c r="N388" s="1" t="s">
        <v>408</v>
      </c>
      <c r="O388" t="s">
        <v>91</v>
      </c>
      <c r="P388" s="1" t="s">
        <v>2221</v>
      </c>
      <c r="Q388" s="1" t="s">
        <v>714</v>
      </c>
      <c r="R388" s="1" t="s">
        <v>2343</v>
      </c>
      <c r="S388">
        <v>1277</v>
      </c>
      <c r="T388">
        <v>89201908</v>
      </c>
      <c r="U388" s="1" t="s">
        <v>108</v>
      </c>
      <c r="V388" s="1" t="s">
        <v>100</v>
      </c>
      <c r="W388" s="1" t="s">
        <v>87</v>
      </c>
      <c r="X388">
        <v>42</v>
      </c>
      <c r="Y388">
        <v>998585101</v>
      </c>
      <c r="Z388" t="s">
        <v>91</v>
      </c>
      <c r="AA388" t="s">
        <v>91</v>
      </c>
      <c r="AB388" t="s">
        <v>91</v>
      </c>
      <c r="AC388" t="s">
        <v>91</v>
      </c>
      <c r="AD388" t="s">
        <v>91</v>
      </c>
      <c r="AE388" t="s">
        <v>91</v>
      </c>
      <c r="AF388" t="s">
        <v>91</v>
      </c>
      <c r="AG388" s="1" t="s">
        <v>91</v>
      </c>
      <c r="AH388" s="1" t="s">
        <v>91</v>
      </c>
      <c r="AI388" t="s">
        <v>91</v>
      </c>
      <c r="AM388" t="s">
        <v>91</v>
      </c>
      <c r="AN388" t="s">
        <v>91</v>
      </c>
      <c r="AO388" t="s">
        <v>91</v>
      </c>
      <c r="AP388" t="s">
        <v>91</v>
      </c>
      <c r="AQ388" s="1" t="s">
        <v>91</v>
      </c>
      <c r="AR388" s="1" t="s">
        <v>91</v>
      </c>
      <c r="AS388" s="1" t="s">
        <v>91</v>
      </c>
      <c r="AT388" s="1" t="s">
        <v>91</v>
      </c>
      <c r="AU388" s="1" t="s">
        <v>91</v>
      </c>
      <c r="AV388" t="s">
        <v>91</v>
      </c>
      <c r="AW388" t="s">
        <v>91</v>
      </c>
      <c r="AX388" t="s">
        <v>91</v>
      </c>
      <c r="AY388" t="s">
        <v>91</v>
      </c>
      <c r="AZ388" t="s">
        <v>91</v>
      </c>
      <c r="BA388" t="s">
        <v>91</v>
      </c>
      <c r="BB388" s="2">
        <v>45113.505416666667</v>
      </c>
      <c r="BC388" s="2"/>
      <c r="BD388" t="s">
        <v>91</v>
      </c>
      <c r="BF388" s="1" t="s">
        <v>75</v>
      </c>
      <c r="BI388" s="1" t="s">
        <v>88</v>
      </c>
      <c r="BJ388">
        <v>1</v>
      </c>
      <c r="BK388" s="1" t="s">
        <v>89</v>
      </c>
      <c r="BL388" t="s">
        <v>91</v>
      </c>
      <c r="BM388" s="1" t="s">
        <v>91</v>
      </c>
      <c r="BN388" s="1" t="s">
        <v>91</v>
      </c>
      <c r="BO388" s="1" t="s">
        <v>91</v>
      </c>
      <c r="BP388" s="1" t="s">
        <v>91</v>
      </c>
      <c r="BQ388" t="s">
        <v>91</v>
      </c>
      <c r="BR388" s="3">
        <v>45113</v>
      </c>
      <c r="BS388" s="3"/>
      <c r="BT388" t="s">
        <v>91</v>
      </c>
      <c r="BU388" t="s">
        <v>91</v>
      </c>
      <c r="BW388" s="1" t="s">
        <v>90</v>
      </c>
    </row>
    <row r="389" spans="1:75" x14ac:dyDescent="0.35">
      <c r="A389">
        <v>138194</v>
      </c>
      <c r="B389" s="1" t="s">
        <v>75</v>
      </c>
      <c r="C389">
        <v>80</v>
      </c>
      <c r="D389">
        <v>11121001</v>
      </c>
      <c r="E389">
        <v>121001</v>
      </c>
      <c r="F389" s="1" t="s">
        <v>76</v>
      </c>
      <c r="G389" s="1" t="s">
        <v>2344</v>
      </c>
      <c r="H389">
        <v>0</v>
      </c>
      <c r="I389" s="1" t="s">
        <v>78</v>
      </c>
      <c r="J389" s="1" t="s">
        <v>2345</v>
      </c>
      <c r="K389" s="1" t="s">
        <v>2346</v>
      </c>
      <c r="L389" t="s">
        <v>91</v>
      </c>
      <c r="M389" t="s">
        <v>91</v>
      </c>
      <c r="N389" s="1" t="s">
        <v>2347</v>
      </c>
      <c r="O389" t="s">
        <v>91</v>
      </c>
      <c r="P389" s="1" t="s">
        <v>475</v>
      </c>
      <c r="Q389" s="1" t="s">
        <v>261</v>
      </c>
      <c r="R389" s="1" t="s">
        <v>370</v>
      </c>
      <c r="S389">
        <v>1288</v>
      </c>
      <c r="T389">
        <v>89887000</v>
      </c>
      <c r="U389" s="1" t="s">
        <v>108</v>
      </c>
      <c r="V389" s="1" t="s">
        <v>246</v>
      </c>
      <c r="W389" s="1" t="s">
        <v>87</v>
      </c>
      <c r="X389">
        <v>49</v>
      </c>
      <c r="Y389">
        <v>36470522</v>
      </c>
      <c r="Z389" t="s">
        <v>91</v>
      </c>
      <c r="AA389" t="s">
        <v>91</v>
      </c>
      <c r="AB389" t="s">
        <v>91</v>
      </c>
      <c r="AC389" t="s">
        <v>91</v>
      </c>
      <c r="AD389" t="s">
        <v>91</v>
      </c>
      <c r="AE389" t="s">
        <v>91</v>
      </c>
      <c r="AF389" t="s">
        <v>91</v>
      </c>
      <c r="AG389" s="1" t="s">
        <v>146</v>
      </c>
      <c r="AH389" s="1" t="s">
        <v>91</v>
      </c>
      <c r="AI389" t="s">
        <v>91</v>
      </c>
      <c r="AM389" t="s">
        <v>91</v>
      </c>
      <c r="AN389" t="s">
        <v>91</v>
      </c>
      <c r="AO389" t="s">
        <v>91</v>
      </c>
      <c r="AP389" t="s">
        <v>91</v>
      </c>
      <c r="AQ389" s="1" t="s">
        <v>147</v>
      </c>
      <c r="AR389" s="1" t="s">
        <v>147</v>
      </c>
      <c r="AS389" s="1" t="s">
        <v>147</v>
      </c>
      <c r="AT389" s="1" t="s">
        <v>147</v>
      </c>
      <c r="AU389" s="1" t="s">
        <v>147</v>
      </c>
      <c r="AV389" t="s">
        <v>91</v>
      </c>
      <c r="AW389" t="s">
        <v>91</v>
      </c>
      <c r="AX389" t="s">
        <v>91</v>
      </c>
      <c r="AY389" t="s">
        <v>91</v>
      </c>
      <c r="AZ389" t="s">
        <v>91</v>
      </c>
      <c r="BA389" t="s">
        <v>91</v>
      </c>
      <c r="BB389" s="2">
        <v>44378.578518518516</v>
      </c>
      <c r="BC389" s="2">
        <v>44629.601539351854</v>
      </c>
      <c r="BD389" t="s">
        <v>91</v>
      </c>
      <c r="BF389" s="1" t="s">
        <v>75</v>
      </c>
      <c r="BH389">
        <v>0</v>
      </c>
      <c r="BI389" s="1" t="s">
        <v>88</v>
      </c>
      <c r="BJ389">
        <v>1</v>
      </c>
      <c r="BK389" s="1" t="s">
        <v>89</v>
      </c>
      <c r="BL389" t="s">
        <v>91</v>
      </c>
      <c r="BM389" s="1" t="s">
        <v>109</v>
      </c>
      <c r="BN389" s="1" t="s">
        <v>110</v>
      </c>
      <c r="BO389" s="1" t="s">
        <v>128</v>
      </c>
      <c r="BP389" s="1" t="s">
        <v>91</v>
      </c>
      <c r="BQ389" t="s">
        <v>91</v>
      </c>
      <c r="BR389" s="3">
        <v>44378</v>
      </c>
      <c r="BS389" s="3">
        <v>44629</v>
      </c>
      <c r="BT389" t="s">
        <v>91</v>
      </c>
      <c r="BU389" t="s">
        <v>91</v>
      </c>
      <c r="BW389" s="1" t="s">
        <v>540</v>
      </c>
    </row>
    <row r="390" spans="1:75" x14ac:dyDescent="0.35">
      <c r="A390">
        <v>120389</v>
      </c>
      <c r="B390" s="1" t="s">
        <v>75</v>
      </c>
      <c r="C390">
        <v>80</v>
      </c>
      <c r="D390">
        <v>11121001</v>
      </c>
      <c r="E390">
        <v>121001</v>
      </c>
      <c r="F390" s="1" t="s">
        <v>76</v>
      </c>
      <c r="G390" s="1" t="s">
        <v>2348</v>
      </c>
      <c r="H390">
        <v>0</v>
      </c>
      <c r="I390" s="1" t="s">
        <v>78</v>
      </c>
      <c r="J390" s="1" t="s">
        <v>2349</v>
      </c>
      <c r="K390" s="1" t="s">
        <v>2350</v>
      </c>
      <c r="L390" t="s">
        <v>91</v>
      </c>
      <c r="M390" t="s">
        <v>91</v>
      </c>
      <c r="N390" s="1" t="s">
        <v>2351</v>
      </c>
      <c r="O390" t="s">
        <v>91</v>
      </c>
      <c r="P390" s="1" t="s">
        <v>403</v>
      </c>
      <c r="Q390" s="1" t="s">
        <v>2352</v>
      </c>
      <c r="R390" s="1" t="s">
        <v>91</v>
      </c>
      <c r="S390">
        <v>1287</v>
      </c>
      <c r="T390">
        <v>89802001</v>
      </c>
      <c r="U390" s="1" t="s">
        <v>108</v>
      </c>
      <c r="V390" s="1" t="s">
        <v>337</v>
      </c>
      <c r="W390" s="1" t="s">
        <v>87</v>
      </c>
      <c r="X390">
        <v>49</v>
      </c>
      <c r="Y390">
        <v>33242345</v>
      </c>
      <c r="Z390" t="s">
        <v>91</v>
      </c>
      <c r="AA390" t="s">
        <v>91</v>
      </c>
      <c r="AB390" t="s">
        <v>91</v>
      </c>
      <c r="AC390" t="s">
        <v>91</v>
      </c>
      <c r="AD390" t="s">
        <v>91</v>
      </c>
      <c r="AE390" t="s">
        <v>91</v>
      </c>
      <c r="AF390" t="s">
        <v>91</v>
      </c>
      <c r="AG390" s="1" t="s">
        <v>91</v>
      </c>
      <c r="AH390" s="1" t="s">
        <v>91</v>
      </c>
      <c r="AI390" t="s">
        <v>91</v>
      </c>
      <c r="AJ390">
        <v>0</v>
      </c>
      <c r="AK390">
        <v>0</v>
      </c>
      <c r="AL390">
        <v>0</v>
      </c>
      <c r="AM390" t="s">
        <v>91</v>
      </c>
      <c r="AN390" t="s">
        <v>91</v>
      </c>
      <c r="AO390" t="s">
        <v>91</v>
      </c>
      <c r="AP390" t="s">
        <v>91</v>
      </c>
      <c r="AQ390" s="1" t="s">
        <v>91</v>
      </c>
      <c r="AR390" s="1" t="s">
        <v>91</v>
      </c>
      <c r="AS390" s="1" t="s">
        <v>91</v>
      </c>
      <c r="AT390" s="1" t="s">
        <v>91</v>
      </c>
      <c r="AU390" s="1" t="s">
        <v>91</v>
      </c>
      <c r="AV390" t="s">
        <v>91</v>
      </c>
      <c r="AW390" t="s">
        <v>91</v>
      </c>
      <c r="AX390" t="s">
        <v>91</v>
      </c>
      <c r="AY390" t="s">
        <v>91</v>
      </c>
      <c r="AZ390" t="s">
        <v>91</v>
      </c>
      <c r="BA390" t="s">
        <v>91</v>
      </c>
      <c r="BB390" s="2">
        <v>44092.925393518519</v>
      </c>
      <c r="BC390" s="2"/>
      <c r="BD390" t="s">
        <v>91</v>
      </c>
      <c r="BF390" s="1" t="s">
        <v>75</v>
      </c>
      <c r="BG390">
        <v>0</v>
      </c>
      <c r="BH390">
        <v>0</v>
      </c>
      <c r="BI390" s="1" t="s">
        <v>88</v>
      </c>
      <c r="BJ390">
        <v>1</v>
      </c>
      <c r="BK390" s="1" t="s">
        <v>89</v>
      </c>
      <c r="BL390" t="s">
        <v>91</v>
      </c>
      <c r="BM390" s="1" t="s">
        <v>109</v>
      </c>
      <c r="BN390" s="1" t="s">
        <v>91</v>
      </c>
      <c r="BO390" s="1" t="s">
        <v>165</v>
      </c>
      <c r="BP390" s="1" t="s">
        <v>91</v>
      </c>
      <c r="BQ390" t="s">
        <v>91</v>
      </c>
      <c r="BR390" s="3">
        <v>44092</v>
      </c>
      <c r="BS390" s="3"/>
      <c r="BT390" t="s">
        <v>91</v>
      </c>
      <c r="BU390" t="s">
        <v>91</v>
      </c>
      <c r="BV390">
        <v>9</v>
      </c>
      <c r="BW390" s="1" t="s">
        <v>540</v>
      </c>
    </row>
    <row r="391" spans="1:75" x14ac:dyDescent="0.35">
      <c r="A391">
        <v>156763</v>
      </c>
      <c r="B391" s="1" t="s">
        <v>75</v>
      </c>
      <c r="C391">
        <v>80</v>
      </c>
      <c r="D391">
        <v>11121001</v>
      </c>
      <c r="E391">
        <v>121001</v>
      </c>
      <c r="F391" s="1" t="s">
        <v>76</v>
      </c>
      <c r="G391" s="1" t="s">
        <v>2353</v>
      </c>
      <c r="H391">
        <v>0</v>
      </c>
      <c r="I391" s="1" t="s">
        <v>78</v>
      </c>
      <c r="J391" s="1" t="s">
        <v>2354</v>
      </c>
      <c r="K391" s="1" t="s">
        <v>2355</v>
      </c>
      <c r="L391" t="s">
        <v>91</v>
      </c>
      <c r="M391" t="s">
        <v>91</v>
      </c>
      <c r="N391" s="1" t="s">
        <v>408</v>
      </c>
      <c r="O391" t="s">
        <v>91</v>
      </c>
      <c r="P391" s="1" t="s">
        <v>409</v>
      </c>
      <c r="Q391" s="1" t="s">
        <v>211</v>
      </c>
      <c r="R391" s="1" t="s">
        <v>2340</v>
      </c>
      <c r="S391">
        <v>1279</v>
      </c>
      <c r="T391">
        <v>89223005</v>
      </c>
      <c r="U391" s="1" t="s">
        <v>213</v>
      </c>
      <c r="V391" s="1" t="s">
        <v>100</v>
      </c>
      <c r="W391" s="1" t="s">
        <v>87</v>
      </c>
      <c r="X391">
        <v>42</v>
      </c>
      <c r="Y391">
        <v>999551414</v>
      </c>
      <c r="Z391" t="s">
        <v>91</v>
      </c>
      <c r="AA391" t="s">
        <v>91</v>
      </c>
      <c r="AB391" t="s">
        <v>91</v>
      </c>
      <c r="AC391" t="s">
        <v>91</v>
      </c>
      <c r="AD391" t="s">
        <v>91</v>
      </c>
      <c r="AE391" t="s">
        <v>91</v>
      </c>
      <c r="AF391" t="s">
        <v>91</v>
      </c>
      <c r="AG391" s="1" t="s">
        <v>91</v>
      </c>
      <c r="AH391" s="1" t="s">
        <v>91</v>
      </c>
      <c r="AI391" t="s">
        <v>91</v>
      </c>
      <c r="AM391" t="s">
        <v>91</v>
      </c>
      <c r="AN391" t="s">
        <v>91</v>
      </c>
      <c r="AO391" t="s">
        <v>91</v>
      </c>
      <c r="AP391" t="s">
        <v>91</v>
      </c>
      <c r="AQ391" s="1" t="s">
        <v>91</v>
      </c>
      <c r="AR391" s="1" t="s">
        <v>91</v>
      </c>
      <c r="AS391" s="1" t="s">
        <v>91</v>
      </c>
      <c r="AT391" s="1" t="s">
        <v>91</v>
      </c>
      <c r="AU391" s="1" t="s">
        <v>91</v>
      </c>
      <c r="AV391" t="s">
        <v>91</v>
      </c>
      <c r="AW391" t="s">
        <v>91</v>
      </c>
      <c r="AX391" t="s">
        <v>91</v>
      </c>
      <c r="AY391" t="s">
        <v>91</v>
      </c>
      <c r="AZ391" t="s">
        <v>91</v>
      </c>
      <c r="BA391" t="s">
        <v>91</v>
      </c>
      <c r="BB391" s="2">
        <v>45113.505416666667</v>
      </c>
      <c r="BC391" s="2"/>
      <c r="BD391" t="s">
        <v>91</v>
      </c>
      <c r="BF391" s="1" t="s">
        <v>75</v>
      </c>
      <c r="BI391" s="1" t="s">
        <v>88</v>
      </c>
      <c r="BJ391">
        <v>1</v>
      </c>
      <c r="BK391" s="1" t="s">
        <v>89</v>
      </c>
      <c r="BL391" t="s">
        <v>91</v>
      </c>
      <c r="BM391" s="1" t="s">
        <v>91</v>
      </c>
      <c r="BN391" s="1" t="s">
        <v>91</v>
      </c>
      <c r="BO391" s="1" t="s">
        <v>91</v>
      </c>
      <c r="BP391" s="1" t="s">
        <v>91</v>
      </c>
      <c r="BQ391" t="s">
        <v>91</v>
      </c>
      <c r="BR391" s="3">
        <v>45113</v>
      </c>
      <c r="BS391" s="3"/>
      <c r="BT391" t="s">
        <v>91</v>
      </c>
      <c r="BU391" t="s">
        <v>91</v>
      </c>
      <c r="BW391" s="1" t="s">
        <v>90</v>
      </c>
    </row>
    <row r="392" spans="1:75" x14ac:dyDescent="0.35">
      <c r="A392">
        <v>157565</v>
      </c>
      <c r="B392" s="1" t="s">
        <v>75</v>
      </c>
      <c r="C392">
        <v>80</v>
      </c>
      <c r="D392">
        <v>11121001</v>
      </c>
      <c r="E392">
        <v>121001</v>
      </c>
      <c r="F392" s="1" t="s">
        <v>76</v>
      </c>
      <c r="G392" s="1" t="s">
        <v>2356</v>
      </c>
      <c r="H392">
        <v>0</v>
      </c>
      <c r="I392" s="1" t="s">
        <v>78</v>
      </c>
      <c r="J392" s="1" t="s">
        <v>2354</v>
      </c>
      <c r="K392" s="1" t="s">
        <v>2357</v>
      </c>
      <c r="L392" t="s">
        <v>91</v>
      </c>
      <c r="M392" t="s">
        <v>91</v>
      </c>
      <c r="N392" s="1" t="s">
        <v>408</v>
      </c>
      <c r="O392" t="s">
        <v>91</v>
      </c>
      <c r="P392" s="1" t="s">
        <v>2221</v>
      </c>
      <c r="Q392" s="1" t="s">
        <v>714</v>
      </c>
      <c r="R392" s="1" t="s">
        <v>2358</v>
      </c>
      <c r="S392">
        <v>1277</v>
      </c>
      <c r="T392">
        <v>89201908</v>
      </c>
      <c r="U392" s="1" t="s">
        <v>108</v>
      </c>
      <c r="V392" s="1" t="s">
        <v>100</v>
      </c>
      <c r="W392" s="1" t="s">
        <v>87</v>
      </c>
      <c r="X392">
        <v>42</v>
      </c>
      <c r="Y392">
        <v>999551414</v>
      </c>
      <c r="Z392" t="s">
        <v>91</v>
      </c>
      <c r="AA392" t="s">
        <v>91</v>
      </c>
      <c r="AB392" t="s">
        <v>91</v>
      </c>
      <c r="AC392" t="s">
        <v>91</v>
      </c>
      <c r="AD392" t="s">
        <v>91</v>
      </c>
      <c r="AE392" t="s">
        <v>91</v>
      </c>
      <c r="AF392" t="s">
        <v>91</v>
      </c>
      <c r="AG392" s="1" t="s">
        <v>91</v>
      </c>
      <c r="AH392" s="1" t="s">
        <v>91</v>
      </c>
      <c r="AI392" t="s">
        <v>91</v>
      </c>
      <c r="AM392" t="s">
        <v>91</v>
      </c>
      <c r="AN392" t="s">
        <v>91</v>
      </c>
      <c r="AO392" t="s">
        <v>91</v>
      </c>
      <c r="AP392" t="s">
        <v>91</v>
      </c>
      <c r="AQ392" s="1" t="s">
        <v>91</v>
      </c>
      <c r="AR392" s="1" t="s">
        <v>91</v>
      </c>
      <c r="AS392" s="1" t="s">
        <v>91</v>
      </c>
      <c r="AT392" s="1" t="s">
        <v>91</v>
      </c>
      <c r="AU392" s="1" t="s">
        <v>91</v>
      </c>
      <c r="AV392" t="s">
        <v>91</v>
      </c>
      <c r="AW392" t="s">
        <v>91</v>
      </c>
      <c r="AX392" t="s">
        <v>91</v>
      </c>
      <c r="AY392" t="s">
        <v>91</v>
      </c>
      <c r="AZ392" t="s">
        <v>91</v>
      </c>
      <c r="BA392" t="s">
        <v>91</v>
      </c>
      <c r="BB392" s="2">
        <v>45118.093391203707</v>
      </c>
      <c r="BC392" s="2"/>
      <c r="BD392" t="s">
        <v>91</v>
      </c>
      <c r="BF392" s="1" t="s">
        <v>75</v>
      </c>
      <c r="BI392" s="1" t="s">
        <v>88</v>
      </c>
      <c r="BJ392">
        <v>1</v>
      </c>
      <c r="BK392" s="1" t="s">
        <v>89</v>
      </c>
      <c r="BL392" t="s">
        <v>91</v>
      </c>
      <c r="BM392" s="1" t="s">
        <v>91</v>
      </c>
      <c r="BN392" s="1" t="s">
        <v>91</v>
      </c>
      <c r="BO392" s="1" t="s">
        <v>91</v>
      </c>
      <c r="BP392" s="1" t="s">
        <v>91</v>
      </c>
      <c r="BQ392" t="s">
        <v>91</v>
      </c>
      <c r="BR392" s="3">
        <v>45118</v>
      </c>
      <c r="BS392" s="3"/>
      <c r="BT392" t="s">
        <v>91</v>
      </c>
      <c r="BU392" t="s">
        <v>91</v>
      </c>
      <c r="BW392" s="1" t="s">
        <v>90</v>
      </c>
    </row>
    <row r="393" spans="1:75" x14ac:dyDescent="0.35">
      <c r="A393">
        <v>152739</v>
      </c>
      <c r="B393" s="1" t="s">
        <v>75</v>
      </c>
      <c r="C393">
        <v>80</v>
      </c>
      <c r="D393">
        <v>11121001</v>
      </c>
      <c r="E393">
        <v>121001</v>
      </c>
      <c r="F393" s="1" t="s">
        <v>76</v>
      </c>
      <c r="G393" s="1" t="s">
        <v>2359</v>
      </c>
      <c r="H393">
        <v>0</v>
      </c>
      <c r="I393" s="1" t="s">
        <v>78</v>
      </c>
      <c r="J393" s="1" t="s">
        <v>2360</v>
      </c>
      <c r="K393" s="1" t="s">
        <v>2361</v>
      </c>
      <c r="L393" t="s">
        <v>91</v>
      </c>
      <c r="M393" t="s">
        <v>91</v>
      </c>
      <c r="N393" s="1" t="s">
        <v>2362</v>
      </c>
      <c r="O393" t="s">
        <v>91</v>
      </c>
      <c r="P393" s="1" t="s">
        <v>438</v>
      </c>
      <c r="Q393" s="1" t="s">
        <v>2363</v>
      </c>
      <c r="R393" s="1" t="s">
        <v>796</v>
      </c>
      <c r="T393">
        <v>89700055</v>
      </c>
      <c r="U393" s="1" t="s">
        <v>108</v>
      </c>
      <c r="V393" s="1" t="s">
        <v>435</v>
      </c>
      <c r="W393" s="1" t="s">
        <v>87</v>
      </c>
      <c r="X393">
        <v>49</v>
      </c>
      <c r="Y393">
        <v>999181453</v>
      </c>
      <c r="Z393" t="s">
        <v>91</v>
      </c>
      <c r="AA393" t="s">
        <v>91</v>
      </c>
      <c r="AB393" t="s">
        <v>91</v>
      </c>
      <c r="AC393" t="s">
        <v>91</v>
      </c>
      <c r="AD393" t="s">
        <v>91</v>
      </c>
      <c r="AE393" t="s">
        <v>91</v>
      </c>
      <c r="AF393" t="s">
        <v>91</v>
      </c>
      <c r="AG393" s="1" t="s">
        <v>91</v>
      </c>
      <c r="AH393" s="1" t="s">
        <v>91</v>
      </c>
      <c r="AI393" t="s">
        <v>91</v>
      </c>
      <c r="AM393" t="s">
        <v>91</v>
      </c>
      <c r="AN393" t="s">
        <v>91</v>
      </c>
      <c r="AO393" t="s">
        <v>91</v>
      </c>
      <c r="AP393" t="s">
        <v>91</v>
      </c>
      <c r="AQ393" s="1" t="s">
        <v>91</v>
      </c>
      <c r="AR393" s="1" t="s">
        <v>91</v>
      </c>
      <c r="AS393" s="1" t="s">
        <v>91</v>
      </c>
      <c r="AT393" s="1" t="s">
        <v>91</v>
      </c>
      <c r="AU393" s="1" t="s">
        <v>91</v>
      </c>
      <c r="AV393" t="s">
        <v>91</v>
      </c>
      <c r="AW393" t="s">
        <v>91</v>
      </c>
      <c r="AX393" t="s">
        <v>91</v>
      </c>
      <c r="AY393" t="s">
        <v>91</v>
      </c>
      <c r="AZ393" t="s">
        <v>91</v>
      </c>
      <c r="BA393" t="s">
        <v>91</v>
      </c>
      <c r="BB393" s="2">
        <v>45019.565613425926</v>
      </c>
      <c r="BC393" s="2"/>
      <c r="BD393" t="s">
        <v>91</v>
      </c>
      <c r="BF393" s="1" t="s">
        <v>75</v>
      </c>
      <c r="BI393" s="1" t="s">
        <v>88</v>
      </c>
      <c r="BJ393">
        <v>1</v>
      </c>
      <c r="BK393" s="1" t="s">
        <v>89</v>
      </c>
      <c r="BL393" t="s">
        <v>91</v>
      </c>
      <c r="BM393" s="1" t="s">
        <v>91</v>
      </c>
      <c r="BN393" s="1" t="s">
        <v>91</v>
      </c>
      <c r="BO393" s="1" t="s">
        <v>91</v>
      </c>
      <c r="BP393" s="1" t="s">
        <v>91</v>
      </c>
      <c r="BQ393" t="s">
        <v>91</v>
      </c>
      <c r="BR393" s="3">
        <v>45019</v>
      </c>
      <c r="BS393" s="3"/>
      <c r="BT393" t="s">
        <v>91</v>
      </c>
      <c r="BU393" t="s">
        <v>91</v>
      </c>
      <c r="BW393" s="1" t="s">
        <v>90</v>
      </c>
    </row>
    <row r="394" spans="1:75" x14ac:dyDescent="0.35">
      <c r="A394">
        <v>138198</v>
      </c>
      <c r="B394" s="1" t="s">
        <v>75</v>
      </c>
      <c r="C394">
        <v>80</v>
      </c>
      <c r="D394">
        <v>11121001</v>
      </c>
      <c r="E394">
        <v>121001</v>
      </c>
      <c r="F394" s="1" t="s">
        <v>76</v>
      </c>
      <c r="G394" s="1" t="s">
        <v>2364</v>
      </c>
      <c r="H394">
        <v>0</v>
      </c>
      <c r="I394" s="1" t="s">
        <v>78</v>
      </c>
      <c r="J394" s="1" t="s">
        <v>2365</v>
      </c>
      <c r="K394" s="1" t="s">
        <v>2366</v>
      </c>
      <c r="L394" t="s">
        <v>91</v>
      </c>
      <c r="M394" t="s">
        <v>91</v>
      </c>
      <c r="N394" s="1" t="s">
        <v>2367</v>
      </c>
      <c r="O394" t="s">
        <v>91</v>
      </c>
      <c r="P394" s="1" t="s">
        <v>2368</v>
      </c>
      <c r="Q394" s="1" t="s">
        <v>2369</v>
      </c>
      <c r="R394" s="1" t="s">
        <v>370</v>
      </c>
      <c r="S394">
        <v>1377</v>
      </c>
      <c r="T394">
        <v>98400000</v>
      </c>
      <c r="U394" s="1" t="s">
        <v>108</v>
      </c>
      <c r="V394" s="1" t="s">
        <v>344</v>
      </c>
      <c r="W394" s="1" t="s">
        <v>157</v>
      </c>
      <c r="X394">
        <v>55</v>
      </c>
      <c r="Y394">
        <v>37444468</v>
      </c>
      <c r="Z394" t="s">
        <v>91</v>
      </c>
      <c r="AA394" t="s">
        <v>91</v>
      </c>
      <c r="AB394" t="s">
        <v>91</v>
      </c>
      <c r="AC394" t="s">
        <v>91</v>
      </c>
      <c r="AD394" t="s">
        <v>91</v>
      </c>
      <c r="AE394" t="s">
        <v>91</v>
      </c>
      <c r="AF394" t="s">
        <v>91</v>
      </c>
      <c r="AG394" s="1" t="s">
        <v>146</v>
      </c>
      <c r="AH394" s="1" t="s">
        <v>91</v>
      </c>
      <c r="AI394" t="s">
        <v>91</v>
      </c>
      <c r="AM394" t="s">
        <v>91</v>
      </c>
      <c r="AN394" t="s">
        <v>91</v>
      </c>
      <c r="AO394" t="s">
        <v>91</v>
      </c>
      <c r="AP394" t="s">
        <v>91</v>
      </c>
      <c r="AQ394" s="1" t="s">
        <v>147</v>
      </c>
      <c r="AR394" s="1" t="s">
        <v>147</v>
      </c>
      <c r="AS394" s="1" t="s">
        <v>147</v>
      </c>
      <c r="AT394" s="1" t="s">
        <v>147</v>
      </c>
      <c r="AU394" s="1" t="s">
        <v>147</v>
      </c>
      <c r="AV394" t="s">
        <v>91</v>
      </c>
      <c r="AW394" t="s">
        <v>91</v>
      </c>
      <c r="AX394" t="s">
        <v>91</v>
      </c>
      <c r="AY394" t="s">
        <v>91</v>
      </c>
      <c r="AZ394" t="s">
        <v>91</v>
      </c>
      <c r="BA394" t="s">
        <v>91</v>
      </c>
      <c r="BB394" s="2">
        <v>44378.578518518516</v>
      </c>
      <c r="BC394" s="2">
        <v>44634.668912037036</v>
      </c>
      <c r="BD394" t="s">
        <v>91</v>
      </c>
      <c r="BF394" s="1" t="s">
        <v>75</v>
      </c>
      <c r="BH394">
        <v>0</v>
      </c>
      <c r="BI394" s="1" t="s">
        <v>88</v>
      </c>
      <c r="BJ394">
        <v>1</v>
      </c>
      <c r="BK394" s="1" t="s">
        <v>89</v>
      </c>
      <c r="BL394" t="s">
        <v>91</v>
      </c>
      <c r="BM394" s="1" t="s">
        <v>109</v>
      </c>
      <c r="BN394" s="1" t="s">
        <v>110</v>
      </c>
      <c r="BO394" s="1" t="s">
        <v>180</v>
      </c>
      <c r="BP394" s="1" t="s">
        <v>91</v>
      </c>
      <c r="BQ394" t="s">
        <v>91</v>
      </c>
      <c r="BR394" s="3">
        <v>44378</v>
      </c>
      <c r="BS394" s="3">
        <v>44634</v>
      </c>
      <c r="BT394" t="s">
        <v>91</v>
      </c>
      <c r="BU394" t="s">
        <v>91</v>
      </c>
      <c r="BW394" s="1" t="s">
        <v>255</v>
      </c>
    </row>
    <row r="395" spans="1:75" x14ac:dyDescent="0.35">
      <c r="A395">
        <v>144440</v>
      </c>
      <c r="B395" s="1" t="s">
        <v>75</v>
      </c>
      <c r="C395">
        <v>80</v>
      </c>
      <c r="D395">
        <v>11121001</v>
      </c>
      <c r="E395">
        <v>121001</v>
      </c>
      <c r="F395" s="1" t="s">
        <v>76</v>
      </c>
      <c r="G395" s="1" t="s">
        <v>2370</v>
      </c>
      <c r="I395" s="1" t="s">
        <v>78</v>
      </c>
      <c r="J395" s="1" t="s">
        <v>2371</v>
      </c>
      <c r="K395" s="1" t="s">
        <v>2372</v>
      </c>
      <c r="L395" t="s">
        <v>91</v>
      </c>
      <c r="M395" t="s">
        <v>91</v>
      </c>
      <c r="N395" s="1" t="s">
        <v>1637</v>
      </c>
      <c r="O395" t="s">
        <v>91</v>
      </c>
      <c r="P395" s="1" t="s">
        <v>2132</v>
      </c>
      <c r="Q395" s="1" t="s">
        <v>2373</v>
      </c>
      <c r="R395" s="1" t="s">
        <v>2374</v>
      </c>
      <c r="S395">
        <v>1279</v>
      </c>
      <c r="T395">
        <v>89230290</v>
      </c>
      <c r="U395" s="1" t="s">
        <v>2374</v>
      </c>
      <c r="V395" s="1" t="s">
        <v>100</v>
      </c>
      <c r="W395" s="1" t="s">
        <v>87</v>
      </c>
      <c r="X395">
        <v>47</v>
      </c>
      <c r="Y395">
        <v>30266100</v>
      </c>
      <c r="Z395" t="s">
        <v>91</v>
      </c>
      <c r="AA395" t="s">
        <v>91</v>
      </c>
      <c r="AB395" t="s">
        <v>91</v>
      </c>
      <c r="AC395" t="s">
        <v>91</v>
      </c>
      <c r="AD395" t="s">
        <v>91</v>
      </c>
      <c r="AE395" t="s">
        <v>91</v>
      </c>
      <c r="AF395" t="s">
        <v>91</v>
      </c>
      <c r="AG395" s="1" t="s">
        <v>91</v>
      </c>
      <c r="AH395" s="1" t="s">
        <v>91</v>
      </c>
      <c r="AI395" t="s">
        <v>91</v>
      </c>
      <c r="AJ395">
        <v>0</v>
      </c>
      <c r="AK395">
        <v>0</v>
      </c>
      <c r="AL395">
        <v>0</v>
      </c>
      <c r="AM395" t="s">
        <v>91</v>
      </c>
      <c r="AN395" t="s">
        <v>91</v>
      </c>
      <c r="AO395" t="s">
        <v>91</v>
      </c>
      <c r="AP395" t="s">
        <v>91</v>
      </c>
      <c r="AQ395" s="1" t="s">
        <v>91</v>
      </c>
      <c r="AR395" s="1" t="s">
        <v>91</v>
      </c>
      <c r="AS395" s="1" t="s">
        <v>91</v>
      </c>
      <c r="AT395" s="1" t="s">
        <v>91</v>
      </c>
      <c r="AU395" s="1" t="s">
        <v>91</v>
      </c>
      <c r="AV395" t="s">
        <v>91</v>
      </c>
      <c r="AW395" t="s">
        <v>91</v>
      </c>
      <c r="AX395" t="s">
        <v>91</v>
      </c>
      <c r="AY395" t="s">
        <v>91</v>
      </c>
      <c r="AZ395" t="s">
        <v>91</v>
      </c>
      <c r="BA395" t="s">
        <v>91</v>
      </c>
      <c r="BB395" s="2"/>
      <c r="BC395" s="2"/>
      <c r="BD395" t="s">
        <v>91</v>
      </c>
      <c r="BF395" s="1" t="s">
        <v>75</v>
      </c>
      <c r="BG395">
        <v>0</v>
      </c>
      <c r="BH395">
        <v>0</v>
      </c>
      <c r="BI395" s="1" t="s">
        <v>88</v>
      </c>
      <c r="BJ395">
        <v>1</v>
      </c>
      <c r="BK395" s="1" t="s">
        <v>89</v>
      </c>
      <c r="BL395" t="s">
        <v>91</v>
      </c>
      <c r="BM395" s="1" t="s">
        <v>109</v>
      </c>
      <c r="BN395" s="1" t="s">
        <v>148</v>
      </c>
      <c r="BO395" s="1" t="s">
        <v>1040</v>
      </c>
      <c r="BP395" s="1" t="s">
        <v>91</v>
      </c>
      <c r="BQ395" t="s">
        <v>91</v>
      </c>
      <c r="BR395" s="3"/>
      <c r="BS395" s="3"/>
      <c r="BT395" t="s">
        <v>91</v>
      </c>
      <c r="BU395" t="s">
        <v>91</v>
      </c>
      <c r="BV395">
        <v>6</v>
      </c>
      <c r="BW395" s="1" t="s">
        <v>862</v>
      </c>
    </row>
    <row r="396" spans="1:75" x14ac:dyDescent="0.35">
      <c r="A396">
        <v>120413</v>
      </c>
      <c r="B396" s="1" t="s">
        <v>75</v>
      </c>
      <c r="C396">
        <v>80</v>
      </c>
      <c r="D396">
        <v>11121001</v>
      </c>
      <c r="E396">
        <v>121001</v>
      </c>
      <c r="F396" s="1" t="s">
        <v>76</v>
      </c>
      <c r="G396" s="1" t="s">
        <v>2375</v>
      </c>
      <c r="H396">
        <v>0</v>
      </c>
      <c r="I396" s="1" t="s">
        <v>78</v>
      </c>
      <c r="J396" s="1" t="s">
        <v>2376</v>
      </c>
      <c r="K396" s="1" t="s">
        <v>2377</v>
      </c>
      <c r="L396" t="s">
        <v>91</v>
      </c>
      <c r="M396" t="s">
        <v>91</v>
      </c>
      <c r="N396" s="1" t="s">
        <v>2378</v>
      </c>
      <c r="O396" t="s">
        <v>91</v>
      </c>
      <c r="P396" s="1" t="s">
        <v>656</v>
      </c>
      <c r="Q396" s="1" t="s">
        <v>1234</v>
      </c>
      <c r="R396" s="1" t="s">
        <v>2379</v>
      </c>
      <c r="S396">
        <v>1287</v>
      </c>
      <c r="T396">
        <v>89802130</v>
      </c>
      <c r="U396" s="1" t="s">
        <v>108</v>
      </c>
      <c r="V396" s="1" t="s">
        <v>337</v>
      </c>
      <c r="W396" s="1" t="s">
        <v>87</v>
      </c>
      <c r="X396">
        <v>49</v>
      </c>
      <c r="Y396">
        <v>33220649</v>
      </c>
      <c r="Z396" t="s">
        <v>91</v>
      </c>
      <c r="AA396" t="s">
        <v>91</v>
      </c>
      <c r="AB396" t="s">
        <v>91</v>
      </c>
      <c r="AC396" t="s">
        <v>91</v>
      </c>
      <c r="AD396" t="s">
        <v>91</v>
      </c>
      <c r="AE396" t="s">
        <v>91</v>
      </c>
      <c r="AF396" t="s">
        <v>91</v>
      </c>
      <c r="AG396" s="1" t="s">
        <v>91</v>
      </c>
      <c r="AH396" s="1" t="s">
        <v>91</v>
      </c>
      <c r="AI396" t="s">
        <v>91</v>
      </c>
      <c r="AJ396">
        <v>0</v>
      </c>
      <c r="AK396">
        <v>0</v>
      </c>
      <c r="AL396">
        <v>0</v>
      </c>
      <c r="AM396" t="s">
        <v>91</v>
      </c>
      <c r="AN396" t="s">
        <v>91</v>
      </c>
      <c r="AO396" t="s">
        <v>91</v>
      </c>
      <c r="AP396" t="s">
        <v>91</v>
      </c>
      <c r="AQ396" s="1" t="s">
        <v>91</v>
      </c>
      <c r="AR396" s="1" t="s">
        <v>91</v>
      </c>
      <c r="AS396" s="1" t="s">
        <v>91</v>
      </c>
      <c r="AT396" s="1" t="s">
        <v>91</v>
      </c>
      <c r="AU396" s="1" t="s">
        <v>91</v>
      </c>
      <c r="AV396" t="s">
        <v>91</v>
      </c>
      <c r="AW396" t="s">
        <v>91</v>
      </c>
      <c r="AX396" t="s">
        <v>91</v>
      </c>
      <c r="AY396" t="s">
        <v>91</v>
      </c>
      <c r="AZ396" t="s">
        <v>91</v>
      </c>
      <c r="BA396" t="s">
        <v>91</v>
      </c>
      <c r="BB396" s="2">
        <v>44092.925393518519</v>
      </c>
      <c r="BC396" s="2"/>
      <c r="BD396" t="s">
        <v>91</v>
      </c>
      <c r="BF396" s="1" t="s">
        <v>75</v>
      </c>
      <c r="BG396">
        <v>0</v>
      </c>
      <c r="BH396">
        <v>0</v>
      </c>
      <c r="BI396" s="1" t="s">
        <v>88</v>
      </c>
      <c r="BJ396">
        <v>1</v>
      </c>
      <c r="BK396" s="1" t="s">
        <v>89</v>
      </c>
      <c r="BL396" t="s">
        <v>91</v>
      </c>
      <c r="BM396" s="1" t="s">
        <v>109</v>
      </c>
      <c r="BN396" s="1" t="s">
        <v>110</v>
      </c>
      <c r="BO396" s="1" t="s">
        <v>180</v>
      </c>
      <c r="BP396" s="1" t="s">
        <v>91</v>
      </c>
      <c r="BQ396" t="s">
        <v>91</v>
      </c>
      <c r="BR396" s="3">
        <v>44092</v>
      </c>
      <c r="BS396" s="3"/>
      <c r="BT396" t="s">
        <v>91</v>
      </c>
      <c r="BU396" t="s">
        <v>91</v>
      </c>
      <c r="BV396">
        <v>9</v>
      </c>
      <c r="BW396" s="1" t="s">
        <v>90</v>
      </c>
    </row>
    <row r="397" spans="1:75" x14ac:dyDescent="0.35">
      <c r="A397">
        <v>156735</v>
      </c>
      <c r="B397" s="1" t="s">
        <v>75</v>
      </c>
      <c r="C397">
        <v>80</v>
      </c>
      <c r="D397">
        <v>11121001</v>
      </c>
      <c r="E397">
        <v>121001</v>
      </c>
      <c r="F397" s="1" t="s">
        <v>76</v>
      </c>
      <c r="G397" s="1" t="s">
        <v>2380</v>
      </c>
      <c r="H397">
        <v>0</v>
      </c>
      <c r="I397" s="1" t="s">
        <v>78</v>
      </c>
      <c r="J397" s="1" t="s">
        <v>2381</v>
      </c>
      <c r="K397" s="1" t="s">
        <v>2382</v>
      </c>
      <c r="L397" t="s">
        <v>91</v>
      </c>
      <c r="M397" t="s">
        <v>91</v>
      </c>
      <c r="N397" s="1" t="s">
        <v>2383</v>
      </c>
      <c r="O397" t="s">
        <v>91</v>
      </c>
      <c r="P397" s="1" t="s">
        <v>789</v>
      </c>
      <c r="Q397" s="1" t="s">
        <v>2384</v>
      </c>
      <c r="R397" s="1" t="s">
        <v>370</v>
      </c>
      <c r="S397">
        <v>1279</v>
      </c>
      <c r="T397">
        <v>89227045</v>
      </c>
      <c r="U397" s="1" t="s">
        <v>426</v>
      </c>
      <c r="V397" s="1" t="s">
        <v>100</v>
      </c>
      <c r="W397" s="1" t="s">
        <v>87</v>
      </c>
      <c r="X397">
        <v>47</v>
      </c>
      <c r="Y397">
        <v>996375452</v>
      </c>
      <c r="Z397" t="s">
        <v>91</v>
      </c>
      <c r="AA397" t="s">
        <v>91</v>
      </c>
      <c r="AB397" t="s">
        <v>91</v>
      </c>
      <c r="AC397" t="s">
        <v>91</v>
      </c>
      <c r="AD397" t="s">
        <v>91</v>
      </c>
      <c r="AE397" t="s">
        <v>91</v>
      </c>
      <c r="AF397" t="s">
        <v>91</v>
      </c>
      <c r="AG397" s="1" t="s">
        <v>91</v>
      </c>
      <c r="AH397" s="1" t="s">
        <v>91</v>
      </c>
      <c r="AI397" t="s">
        <v>91</v>
      </c>
      <c r="AM397" t="s">
        <v>91</v>
      </c>
      <c r="AN397" t="s">
        <v>91</v>
      </c>
      <c r="AO397" t="s">
        <v>91</v>
      </c>
      <c r="AP397" t="s">
        <v>91</v>
      </c>
      <c r="AQ397" s="1" t="s">
        <v>91</v>
      </c>
      <c r="AR397" s="1" t="s">
        <v>91</v>
      </c>
      <c r="AS397" s="1" t="s">
        <v>91</v>
      </c>
      <c r="AT397" s="1" t="s">
        <v>91</v>
      </c>
      <c r="AU397" s="1" t="s">
        <v>91</v>
      </c>
      <c r="AV397" t="s">
        <v>91</v>
      </c>
      <c r="AW397" t="s">
        <v>91</v>
      </c>
      <c r="AX397" t="s">
        <v>91</v>
      </c>
      <c r="AY397" t="s">
        <v>91</v>
      </c>
      <c r="AZ397" t="s">
        <v>91</v>
      </c>
      <c r="BA397" t="s">
        <v>91</v>
      </c>
      <c r="BB397" s="2">
        <v>45113.505416666667</v>
      </c>
      <c r="BC397" s="2"/>
      <c r="BD397" t="s">
        <v>91</v>
      </c>
      <c r="BF397" s="1" t="s">
        <v>75</v>
      </c>
      <c r="BI397" s="1" t="s">
        <v>88</v>
      </c>
      <c r="BJ397">
        <v>1</v>
      </c>
      <c r="BK397" s="1" t="s">
        <v>89</v>
      </c>
      <c r="BL397" t="s">
        <v>91</v>
      </c>
      <c r="BM397" s="1" t="s">
        <v>91</v>
      </c>
      <c r="BN397" s="1" t="s">
        <v>91</v>
      </c>
      <c r="BO397" s="1" t="s">
        <v>91</v>
      </c>
      <c r="BP397" s="1" t="s">
        <v>91</v>
      </c>
      <c r="BQ397" t="s">
        <v>91</v>
      </c>
      <c r="BR397" s="3">
        <v>45113</v>
      </c>
      <c r="BS397" s="3"/>
      <c r="BT397" t="s">
        <v>91</v>
      </c>
      <c r="BU397" t="s">
        <v>91</v>
      </c>
      <c r="BW397" s="1" t="s">
        <v>90</v>
      </c>
    </row>
    <row r="398" spans="1:75" x14ac:dyDescent="0.35">
      <c r="A398">
        <v>144454</v>
      </c>
      <c r="B398" s="1" t="s">
        <v>75</v>
      </c>
      <c r="C398">
        <v>80</v>
      </c>
      <c r="D398">
        <v>11121001</v>
      </c>
      <c r="E398">
        <v>121001</v>
      </c>
      <c r="F398" s="1" t="s">
        <v>76</v>
      </c>
      <c r="G398" s="1" t="s">
        <v>2385</v>
      </c>
      <c r="I398" s="1" t="s">
        <v>78</v>
      </c>
      <c r="J398" s="1" t="s">
        <v>2386</v>
      </c>
      <c r="K398" s="1" t="s">
        <v>2387</v>
      </c>
      <c r="L398" t="s">
        <v>91</v>
      </c>
      <c r="M398" t="s">
        <v>91</v>
      </c>
      <c r="N398" s="1" t="s">
        <v>2388</v>
      </c>
      <c r="O398" t="s">
        <v>91</v>
      </c>
      <c r="P398" s="1" t="s">
        <v>775</v>
      </c>
      <c r="Q398" s="1" t="s">
        <v>2054</v>
      </c>
      <c r="R398" s="1" t="s">
        <v>370</v>
      </c>
      <c r="S398">
        <v>1283</v>
      </c>
      <c r="T398">
        <v>89460000</v>
      </c>
      <c r="U398" s="1" t="s">
        <v>108</v>
      </c>
      <c r="V398" s="1" t="s">
        <v>777</v>
      </c>
      <c r="W398" s="1" t="s">
        <v>87</v>
      </c>
      <c r="X398">
        <v>47</v>
      </c>
      <c r="Y398">
        <v>36222982</v>
      </c>
      <c r="Z398" t="s">
        <v>91</v>
      </c>
      <c r="AA398" t="s">
        <v>91</v>
      </c>
      <c r="AB398" t="s">
        <v>91</v>
      </c>
      <c r="AC398" t="s">
        <v>91</v>
      </c>
      <c r="AD398" t="s">
        <v>91</v>
      </c>
      <c r="AE398" t="s">
        <v>91</v>
      </c>
      <c r="AF398" t="s">
        <v>91</v>
      </c>
      <c r="AG398" s="1" t="s">
        <v>91</v>
      </c>
      <c r="AH398" s="1" t="s">
        <v>91</v>
      </c>
      <c r="AI398" t="s">
        <v>91</v>
      </c>
      <c r="AJ398">
        <v>0</v>
      </c>
      <c r="AK398">
        <v>0</v>
      </c>
      <c r="AL398">
        <v>0</v>
      </c>
      <c r="AM398" t="s">
        <v>91</v>
      </c>
      <c r="AN398" t="s">
        <v>91</v>
      </c>
      <c r="AO398" t="s">
        <v>91</v>
      </c>
      <c r="AP398" t="s">
        <v>91</v>
      </c>
      <c r="AQ398" s="1" t="s">
        <v>91</v>
      </c>
      <c r="AR398" s="1" t="s">
        <v>91</v>
      </c>
      <c r="AS398" s="1" t="s">
        <v>91</v>
      </c>
      <c r="AT398" s="1" t="s">
        <v>91</v>
      </c>
      <c r="AU398" s="1" t="s">
        <v>91</v>
      </c>
      <c r="AV398" t="s">
        <v>91</v>
      </c>
      <c r="AW398" t="s">
        <v>91</v>
      </c>
      <c r="AX398" t="s">
        <v>91</v>
      </c>
      <c r="AY398" t="s">
        <v>91</v>
      </c>
      <c r="AZ398" t="s">
        <v>91</v>
      </c>
      <c r="BA398" t="s">
        <v>91</v>
      </c>
      <c r="BB398" s="2"/>
      <c r="BC398" s="2"/>
      <c r="BD398" t="s">
        <v>91</v>
      </c>
      <c r="BF398" s="1" t="s">
        <v>75</v>
      </c>
      <c r="BG398">
        <v>0</v>
      </c>
      <c r="BH398">
        <v>0</v>
      </c>
      <c r="BI398" s="1" t="s">
        <v>88</v>
      </c>
      <c r="BJ398">
        <v>1</v>
      </c>
      <c r="BK398" s="1" t="s">
        <v>89</v>
      </c>
      <c r="BL398" t="s">
        <v>91</v>
      </c>
      <c r="BM398" s="1" t="s">
        <v>109</v>
      </c>
      <c r="BN398" s="1" t="s">
        <v>110</v>
      </c>
      <c r="BO398" s="1" t="s">
        <v>128</v>
      </c>
      <c r="BP398" s="1" t="s">
        <v>91</v>
      </c>
      <c r="BQ398" t="s">
        <v>91</v>
      </c>
      <c r="BR398" s="3"/>
      <c r="BS398" s="3"/>
      <c r="BT398" t="s">
        <v>91</v>
      </c>
      <c r="BU398" t="s">
        <v>91</v>
      </c>
      <c r="BV398">
        <v>9</v>
      </c>
      <c r="BW398" s="1" t="s">
        <v>2389</v>
      </c>
    </row>
    <row r="399" spans="1:75" x14ac:dyDescent="0.35">
      <c r="A399">
        <v>120394</v>
      </c>
      <c r="B399" s="1" t="s">
        <v>75</v>
      </c>
      <c r="C399">
        <v>80</v>
      </c>
      <c r="D399">
        <v>11121001</v>
      </c>
      <c r="E399">
        <v>121001</v>
      </c>
      <c r="F399" s="1" t="s">
        <v>76</v>
      </c>
      <c r="G399" s="1" t="s">
        <v>2390</v>
      </c>
      <c r="H399">
        <v>0</v>
      </c>
      <c r="I399" s="1" t="s">
        <v>78</v>
      </c>
      <c r="J399" s="1" t="s">
        <v>2391</v>
      </c>
      <c r="K399" s="1" t="s">
        <v>2392</v>
      </c>
      <c r="L399" t="s">
        <v>91</v>
      </c>
      <c r="M399" t="s">
        <v>91</v>
      </c>
      <c r="N399" s="1" t="s">
        <v>2393</v>
      </c>
      <c r="O399" t="s">
        <v>91</v>
      </c>
      <c r="P399" s="1" t="s">
        <v>2394</v>
      </c>
      <c r="Q399" s="1" t="s">
        <v>2395</v>
      </c>
      <c r="R399" s="1" t="s">
        <v>146</v>
      </c>
      <c r="S399">
        <v>1287</v>
      </c>
      <c r="T399">
        <v>89814000</v>
      </c>
      <c r="U399" s="1" t="s">
        <v>108</v>
      </c>
      <c r="V399" s="1" t="s">
        <v>337</v>
      </c>
      <c r="W399" s="1" t="s">
        <v>87</v>
      </c>
      <c r="X399">
        <v>49</v>
      </c>
      <c r="Y399">
        <v>33295466</v>
      </c>
      <c r="Z399" t="s">
        <v>91</v>
      </c>
      <c r="AA399" t="s">
        <v>91</v>
      </c>
      <c r="AB399" t="s">
        <v>91</v>
      </c>
      <c r="AC399" t="s">
        <v>91</v>
      </c>
      <c r="AD399" t="s">
        <v>91</v>
      </c>
      <c r="AE399" t="s">
        <v>91</v>
      </c>
      <c r="AF399" t="s">
        <v>91</v>
      </c>
      <c r="AG399" s="1" t="s">
        <v>146</v>
      </c>
      <c r="AH399" s="1" t="s">
        <v>91</v>
      </c>
      <c r="AI399" t="s">
        <v>91</v>
      </c>
      <c r="AJ399">
        <v>0</v>
      </c>
      <c r="AK399">
        <v>0</v>
      </c>
      <c r="AL399">
        <v>0</v>
      </c>
      <c r="AM399" t="s">
        <v>91</v>
      </c>
      <c r="AN399" t="s">
        <v>91</v>
      </c>
      <c r="AO399" t="s">
        <v>91</v>
      </c>
      <c r="AP399" t="s">
        <v>91</v>
      </c>
      <c r="AQ399" s="1" t="s">
        <v>147</v>
      </c>
      <c r="AR399" s="1" t="s">
        <v>147</v>
      </c>
      <c r="AS399" s="1" t="s">
        <v>147</v>
      </c>
      <c r="AT399" s="1" t="s">
        <v>147</v>
      </c>
      <c r="AU399" s="1" t="s">
        <v>147</v>
      </c>
      <c r="AV399" t="s">
        <v>91</v>
      </c>
      <c r="AW399" t="s">
        <v>91</v>
      </c>
      <c r="AX399" t="s">
        <v>91</v>
      </c>
      <c r="AY399" t="s">
        <v>91</v>
      </c>
      <c r="AZ399" t="s">
        <v>91</v>
      </c>
      <c r="BA399" t="s">
        <v>91</v>
      </c>
      <c r="BB399" s="2">
        <v>44092.925393518519</v>
      </c>
      <c r="BC399" s="2">
        <v>45119.453518518516</v>
      </c>
      <c r="BD399" t="s">
        <v>91</v>
      </c>
      <c r="BF399" s="1" t="s">
        <v>75</v>
      </c>
      <c r="BG399">
        <v>0</v>
      </c>
      <c r="BH399">
        <v>0</v>
      </c>
      <c r="BI399" s="1" t="s">
        <v>721</v>
      </c>
      <c r="BJ399">
        <v>1</v>
      </c>
      <c r="BK399" s="1" t="s">
        <v>89</v>
      </c>
      <c r="BL399" t="s">
        <v>91</v>
      </c>
      <c r="BM399" s="1" t="s">
        <v>329</v>
      </c>
      <c r="BN399" s="1" t="s">
        <v>91</v>
      </c>
      <c r="BO399" s="1" t="s">
        <v>128</v>
      </c>
      <c r="BP399" s="1" t="s">
        <v>91</v>
      </c>
      <c r="BQ399" t="s">
        <v>91</v>
      </c>
      <c r="BR399" s="3">
        <v>44092</v>
      </c>
      <c r="BS399" s="3">
        <v>45119</v>
      </c>
      <c r="BT399" t="s">
        <v>91</v>
      </c>
      <c r="BU399" t="s">
        <v>91</v>
      </c>
      <c r="BV399">
        <v>9</v>
      </c>
      <c r="BW399" s="1" t="s">
        <v>1330</v>
      </c>
    </row>
    <row r="400" spans="1:75" x14ac:dyDescent="0.35">
      <c r="A400">
        <v>915</v>
      </c>
      <c r="B400" s="1" t="s">
        <v>75</v>
      </c>
      <c r="C400">
        <v>80</v>
      </c>
      <c r="D400">
        <v>11121001</v>
      </c>
      <c r="E400">
        <v>121001</v>
      </c>
      <c r="F400" s="1" t="s">
        <v>76</v>
      </c>
      <c r="G400" s="1" t="s">
        <v>2396</v>
      </c>
      <c r="I400" s="1" t="s">
        <v>78</v>
      </c>
      <c r="J400" s="1" t="s">
        <v>2397</v>
      </c>
      <c r="K400" s="1" t="s">
        <v>2398</v>
      </c>
      <c r="L400" t="s">
        <v>91</v>
      </c>
      <c r="M400" t="s">
        <v>91</v>
      </c>
      <c r="N400" s="1" t="s">
        <v>2399</v>
      </c>
      <c r="O400" t="s">
        <v>91</v>
      </c>
      <c r="P400" s="1" t="s">
        <v>2400</v>
      </c>
      <c r="Q400" s="1" t="s">
        <v>2401</v>
      </c>
      <c r="R400" s="1" t="s">
        <v>91</v>
      </c>
      <c r="S400">
        <v>1280</v>
      </c>
      <c r="T400">
        <v>89247000</v>
      </c>
      <c r="U400" s="1" t="s">
        <v>108</v>
      </c>
      <c r="V400" s="1" t="s">
        <v>2402</v>
      </c>
      <c r="W400" s="1" t="s">
        <v>87</v>
      </c>
      <c r="X400">
        <v>47</v>
      </c>
      <c r="Y400">
        <v>34482805</v>
      </c>
      <c r="Z400" t="s">
        <v>91</v>
      </c>
      <c r="AA400" t="s">
        <v>91</v>
      </c>
      <c r="AB400" t="s">
        <v>91</v>
      </c>
      <c r="AC400" t="s">
        <v>91</v>
      </c>
      <c r="AD400" t="s">
        <v>91</v>
      </c>
      <c r="AE400" t="s">
        <v>91</v>
      </c>
      <c r="AF400" t="s">
        <v>91</v>
      </c>
      <c r="AG400" s="1" t="s">
        <v>91</v>
      </c>
      <c r="AH400" s="1" t="s">
        <v>91</v>
      </c>
      <c r="AI400" t="s">
        <v>91</v>
      </c>
      <c r="AJ400">
        <v>0</v>
      </c>
      <c r="AK400">
        <v>0</v>
      </c>
      <c r="AL400">
        <v>0</v>
      </c>
      <c r="AM400" t="s">
        <v>91</v>
      </c>
      <c r="AN400" t="s">
        <v>91</v>
      </c>
      <c r="AO400" t="s">
        <v>91</v>
      </c>
      <c r="AP400" t="s">
        <v>91</v>
      </c>
      <c r="AQ400" s="1" t="s">
        <v>91</v>
      </c>
      <c r="AR400" s="1" t="s">
        <v>91</v>
      </c>
      <c r="AS400" s="1" t="s">
        <v>91</v>
      </c>
      <c r="AT400" s="1" t="s">
        <v>91</v>
      </c>
      <c r="AU400" s="1" t="s">
        <v>91</v>
      </c>
      <c r="AV400" t="s">
        <v>91</v>
      </c>
      <c r="AW400" t="s">
        <v>91</v>
      </c>
      <c r="AX400" t="s">
        <v>91</v>
      </c>
      <c r="AY400" t="s">
        <v>91</v>
      </c>
      <c r="AZ400" t="s">
        <v>91</v>
      </c>
      <c r="BA400" t="s">
        <v>91</v>
      </c>
      <c r="BB400" s="2">
        <v>43308.39298611111</v>
      </c>
      <c r="BC400" s="2"/>
      <c r="BD400" t="s">
        <v>91</v>
      </c>
      <c r="BE400">
        <v>915</v>
      </c>
      <c r="BF400" s="1" t="s">
        <v>75</v>
      </c>
      <c r="BG400">
        <v>0</v>
      </c>
      <c r="BH400">
        <v>0</v>
      </c>
      <c r="BI400" s="1" t="s">
        <v>88</v>
      </c>
      <c r="BJ400">
        <v>1</v>
      </c>
      <c r="BK400" s="1" t="s">
        <v>89</v>
      </c>
      <c r="BL400" t="s">
        <v>91</v>
      </c>
      <c r="BM400" s="1" t="s">
        <v>109</v>
      </c>
      <c r="BN400" s="1" t="s">
        <v>110</v>
      </c>
      <c r="BO400" s="1" t="s">
        <v>180</v>
      </c>
      <c r="BP400" s="1" t="s">
        <v>91</v>
      </c>
      <c r="BQ400" t="s">
        <v>91</v>
      </c>
      <c r="BR400" s="3">
        <v>43308</v>
      </c>
      <c r="BS400" s="3"/>
      <c r="BT400" t="s">
        <v>91</v>
      </c>
      <c r="BU400" t="s">
        <v>91</v>
      </c>
      <c r="BV400">
        <v>5</v>
      </c>
      <c r="BW400" s="1" t="s">
        <v>90</v>
      </c>
    </row>
    <row r="401" spans="1:75" x14ac:dyDescent="0.35">
      <c r="A401">
        <v>156737</v>
      </c>
      <c r="B401" s="1" t="s">
        <v>75</v>
      </c>
      <c r="C401">
        <v>80</v>
      </c>
      <c r="D401">
        <v>11121001</v>
      </c>
      <c r="E401">
        <v>121001</v>
      </c>
      <c r="F401" s="1" t="s">
        <v>76</v>
      </c>
      <c r="G401" s="1" t="s">
        <v>2403</v>
      </c>
      <c r="H401">
        <v>0</v>
      </c>
      <c r="I401" s="1" t="s">
        <v>78</v>
      </c>
      <c r="J401" s="1" t="s">
        <v>2404</v>
      </c>
      <c r="K401" s="1" t="s">
        <v>2405</v>
      </c>
      <c r="L401" t="s">
        <v>91</v>
      </c>
      <c r="M401" t="s">
        <v>91</v>
      </c>
      <c r="N401" s="1" t="s">
        <v>2406</v>
      </c>
      <c r="O401" t="s">
        <v>91</v>
      </c>
      <c r="P401" s="1" t="s">
        <v>1531</v>
      </c>
      <c r="Q401" s="1" t="s">
        <v>2407</v>
      </c>
      <c r="R401" s="1" t="s">
        <v>236</v>
      </c>
      <c r="S401">
        <v>1279</v>
      </c>
      <c r="T401">
        <v>89205101</v>
      </c>
      <c r="U401" s="1" t="s">
        <v>2408</v>
      </c>
      <c r="V401" s="1" t="s">
        <v>100</v>
      </c>
      <c r="W401" s="1" t="s">
        <v>87</v>
      </c>
      <c r="X401">
        <v>47</v>
      </c>
      <c r="Y401">
        <v>32274598</v>
      </c>
      <c r="Z401" t="s">
        <v>91</v>
      </c>
      <c r="AA401" t="s">
        <v>91</v>
      </c>
      <c r="AB401" t="s">
        <v>91</v>
      </c>
      <c r="AC401" t="s">
        <v>91</v>
      </c>
      <c r="AD401" t="s">
        <v>91</v>
      </c>
      <c r="AE401" t="s">
        <v>91</v>
      </c>
      <c r="AF401" t="s">
        <v>91</v>
      </c>
      <c r="AG401" s="1" t="s">
        <v>91</v>
      </c>
      <c r="AH401" s="1" t="s">
        <v>91</v>
      </c>
      <c r="AI401" t="s">
        <v>91</v>
      </c>
      <c r="AM401" t="s">
        <v>91</v>
      </c>
      <c r="AN401" t="s">
        <v>91</v>
      </c>
      <c r="AO401" t="s">
        <v>91</v>
      </c>
      <c r="AP401" t="s">
        <v>91</v>
      </c>
      <c r="AQ401" s="1" t="s">
        <v>91</v>
      </c>
      <c r="AR401" s="1" t="s">
        <v>91</v>
      </c>
      <c r="AS401" s="1" t="s">
        <v>91</v>
      </c>
      <c r="AT401" s="1" t="s">
        <v>91</v>
      </c>
      <c r="AU401" s="1" t="s">
        <v>91</v>
      </c>
      <c r="AV401" t="s">
        <v>91</v>
      </c>
      <c r="AW401" t="s">
        <v>91</v>
      </c>
      <c r="AX401" t="s">
        <v>91</v>
      </c>
      <c r="AY401" t="s">
        <v>91</v>
      </c>
      <c r="AZ401" t="s">
        <v>91</v>
      </c>
      <c r="BA401" t="s">
        <v>91</v>
      </c>
      <c r="BB401" s="2">
        <v>45113.505416666667</v>
      </c>
      <c r="BC401" s="2"/>
      <c r="BD401" t="s">
        <v>91</v>
      </c>
      <c r="BF401" s="1" t="s">
        <v>75</v>
      </c>
      <c r="BI401" s="1" t="s">
        <v>88</v>
      </c>
      <c r="BJ401">
        <v>1</v>
      </c>
      <c r="BK401" s="1" t="s">
        <v>89</v>
      </c>
      <c r="BL401" t="s">
        <v>91</v>
      </c>
      <c r="BM401" s="1" t="s">
        <v>91</v>
      </c>
      <c r="BN401" s="1" t="s">
        <v>91</v>
      </c>
      <c r="BO401" s="1" t="s">
        <v>91</v>
      </c>
      <c r="BP401" s="1" t="s">
        <v>91</v>
      </c>
      <c r="BQ401" t="s">
        <v>91</v>
      </c>
      <c r="BR401" s="3">
        <v>45113</v>
      </c>
      <c r="BS401" s="3"/>
      <c r="BT401" t="s">
        <v>91</v>
      </c>
      <c r="BU401" t="s">
        <v>91</v>
      </c>
      <c r="BW401" s="1" t="s">
        <v>601</v>
      </c>
    </row>
    <row r="402" spans="1:75" x14ac:dyDescent="0.35">
      <c r="A402">
        <v>138203</v>
      </c>
      <c r="B402" s="1" t="s">
        <v>75</v>
      </c>
      <c r="C402">
        <v>80</v>
      </c>
      <c r="D402">
        <v>11121001</v>
      </c>
      <c r="E402">
        <v>121001</v>
      </c>
      <c r="F402" s="1" t="s">
        <v>76</v>
      </c>
      <c r="G402" s="1" t="s">
        <v>2409</v>
      </c>
      <c r="H402">
        <v>0</v>
      </c>
      <c r="I402" s="1" t="s">
        <v>78</v>
      </c>
      <c r="J402" s="1" t="s">
        <v>2410</v>
      </c>
      <c r="K402" s="1" t="s">
        <v>2411</v>
      </c>
      <c r="L402" t="s">
        <v>91</v>
      </c>
      <c r="M402" t="s">
        <v>91</v>
      </c>
      <c r="N402" s="1" t="s">
        <v>2412</v>
      </c>
      <c r="O402" t="s">
        <v>91</v>
      </c>
      <c r="P402" s="1" t="s">
        <v>2413</v>
      </c>
      <c r="Q402" s="1" t="s">
        <v>2414</v>
      </c>
      <c r="R402" s="1" t="s">
        <v>434</v>
      </c>
      <c r="S402">
        <v>1391</v>
      </c>
      <c r="T402">
        <v>99900000</v>
      </c>
      <c r="U402" s="1" t="s">
        <v>108</v>
      </c>
      <c r="V402" s="1" t="s">
        <v>2415</v>
      </c>
      <c r="W402" s="1" t="s">
        <v>157</v>
      </c>
      <c r="X402">
        <v>54</v>
      </c>
      <c r="Y402">
        <v>33411072</v>
      </c>
      <c r="Z402" t="s">
        <v>91</v>
      </c>
      <c r="AA402" t="s">
        <v>91</v>
      </c>
      <c r="AB402" t="s">
        <v>91</v>
      </c>
      <c r="AC402" t="s">
        <v>91</v>
      </c>
      <c r="AD402" t="s">
        <v>91</v>
      </c>
      <c r="AE402" t="s">
        <v>91</v>
      </c>
      <c r="AF402" t="s">
        <v>91</v>
      </c>
      <c r="AG402" s="1" t="s">
        <v>146</v>
      </c>
      <c r="AH402" s="1" t="s">
        <v>91</v>
      </c>
      <c r="AI402" t="s">
        <v>91</v>
      </c>
      <c r="AM402" t="s">
        <v>91</v>
      </c>
      <c r="AN402" t="s">
        <v>91</v>
      </c>
      <c r="AO402" t="s">
        <v>91</v>
      </c>
      <c r="AP402" t="s">
        <v>91</v>
      </c>
      <c r="AQ402" s="1" t="s">
        <v>147</v>
      </c>
      <c r="AR402" s="1" t="s">
        <v>147</v>
      </c>
      <c r="AS402" s="1" t="s">
        <v>147</v>
      </c>
      <c r="AT402" s="1" t="s">
        <v>147</v>
      </c>
      <c r="AU402" s="1" t="s">
        <v>147</v>
      </c>
      <c r="AV402" t="s">
        <v>91</v>
      </c>
      <c r="AW402" t="s">
        <v>91</v>
      </c>
      <c r="AX402" t="s">
        <v>91</v>
      </c>
      <c r="AY402" t="s">
        <v>91</v>
      </c>
      <c r="AZ402" t="s">
        <v>91</v>
      </c>
      <c r="BA402" t="s">
        <v>91</v>
      </c>
      <c r="BB402" s="2">
        <v>44378.578518518516</v>
      </c>
      <c r="BC402" s="2">
        <v>44749.454398148147</v>
      </c>
      <c r="BD402" t="s">
        <v>91</v>
      </c>
      <c r="BF402" s="1" t="s">
        <v>75</v>
      </c>
      <c r="BH402">
        <v>0</v>
      </c>
      <c r="BI402" s="1" t="s">
        <v>88</v>
      </c>
      <c r="BJ402">
        <v>1</v>
      </c>
      <c r="BK402" s="1" t="s">
        <v>89</v>
      </c>
      <c r="BL402" t="s">
        <v>91</v>
      </c>
      <c r="BM402" s="1" t="s">
        <v>164</v>
      </c>
      <c r="BN402" s="1" t="s">
        <v>110</v>
      </c>
      <c r="BO402" s="1" t="s">
        <v>165</v>
      </c>
      <c r="BP402" s="1" t="s">
        <v>91</v>
      </c>
      <c r="BQ402" t="s">
        <v>91</v>
      </c>
      <c r="BR402" s="3">
        <v>44378</v>
      </c>
      <c r="BS402" s="3">
        <v>44749</v>
      </c>
      <c r="BT402" t="s">
        <v>91</v>
      </c>
      <c r="BU402" t="s">
        <v>91</v>
      </c>
      <c r="BW402" s="1" t="s">
        <v>263</v>
      </c>
    </row>
    <row r="403" spans="1:75" x14ac:dyDescent="0.35">
      <c r="A403">
        <v>138205</v>
      </c>
      <c r="B403" s="1" t="s">
        <v>75</v>
      </c>
      <c r="C403">
        <v>80</v>
      </c>
      <c r="D403">
        <v>11121001</v>
      </c>
      <c r="E403">
        <v>121001</v>
      </c>
      <c r="F403" s="1" t="s">
        <v>76</v>
      </c>
      <c r="G403" s="1" t="s">
        <v>2416</v>
      </c>
      <c r="H403">
        <v>0</v>
      </c>
      <c r="I403" s="1" t="s">
        <v>78</v>
      </c>
      <c r="J403" s="1" t="s">
        <v>2417</v>
      </c>
      <c r="K403" s="1" t="s">
        <v>2418</v>
      </c>
      <c r="L403" t="s">
        <v>91</v>
      </c>
      <c r="M403" t="s">
        <v>91</v>
      </c>
      <c r="N403" s="1" t="s">
        <v>2419</v>
      </c>
      <c r="O403" t="s">
        <v>91</v>
      </c>
      <c r="P403" s="1" t="s">
        <v>1399</v>
      </c>
      <c r="Q403" s="1" t="s">
        <v>657</v>
      </c>
      <c r="R403" s="1" t="s">
        <v>1866</v>
      </c>
      <c r="S403">
        <v>1287</v>
      </c>
      <c r="T403">
        <v>89802131</v>
      </c>
      <c r="U403" s="1" t="s">
        <v>108</v>
      </c>
      <c r="V403" s="1" t="s">
        <v>337</v>
      </c>
      <c r="W403" s="1" t="s">
        <v>87</v>
      </c>
      <c r="X403">
        <v>49</v>
      </c>
      <c r="Y403">
        <v>33235054</v>
      </c>
      <c r="Z403" t="s">
        <v>91</v>
      </c>
      <c r="AA403" t="s">
        <v>91</v>
      </c>
      <c r="AB403" t="s">
        <v>91</v>
      </c>
      <c r="AC403" t="s">
        <v>91</v>
      </c>
      <c r="AD403" t="s">
        <v>91</v>
      </c>
      <c r="AE403" t="s">
        <v>91</v>
      </c>
      <c r="AF403" t="s">
        <v>91</v>
      </c>
      <c r="AG403" s="1" t="s">
        <v>146</v>
      </c>
      <c r="AH403" s="1" t="s">
        <v>91</v>
      </c>
      <c r="AI403" t="s">
        <v>91</v>
      </c>
      <c r="AM403" t="s">
        <v>91</v>
      </c>
      <c r="AN403" t="s">
        <v>91</v>
      </c>
      <c r="AO403" t="s">
        <v>91</v>
      </c>
      <c r="AP403" t="s">
        <v>91</v>
      </c>
      <c r="AQ403" s="1" t="s">
        <v>147</v>
      </c>
      <c r="AR403" s="1" t="s">
        <v>147</v>
      </c>
      <c r="AS403" s="1" t="s">
        <v>147</v>
      </c>
      <c r="AT403" s="1" t="s">
        <v>147</v>
      </c>
      <c r="AU403" s="1" t="s">
        <v>147</v>
      </c>
      <c r="AV403" t="s">
        <v>91</v>
      </c>
      <c r="AW403" t="s">
        <v>91</v>
      </c>
      <c r="AX403" t="s">
        <v>91</v>
      </c>
      <c r="AY403" t="s">
        <v>91</v>
      </c>
      <c r="AZ403" t="s">
        <v>91</v>
      </c>
      <c r="BA403" t="s">
        <v>91</v>
      </c>
      <c r="BB403" s="2">
        <v>44378.578518518516</v>
      </c>
      <c r="BC403" s="2">
        <v>44727.483310185184</v>
      </c>
      <c r="BD403" t="s">
        <v>91</v>
      </c>
      <c r="BF403" s="1" t="s">
        <v>75</v>
      </c>
      <c r="BH403">
        <v>0</v>
      </c>
      <c r="BI403" s="1" t="s">
        <v>88</v>
      </c>
      <c r="BJ403">
        <v>1</v>
      </c>
      <c r="BK403" s="1" t="s">
        <v>89</v>
      </c>
      <c r="BL403" t="s">
        <v>91</v>
      </c>
      <c r="BM403" s="1" t="s">
        <v>164</v>
      </c>
      <c r="BN403" s="1" t="s">
        <v>110</v>
      </c>
      <c r="BO403" s="1" t="s">
        <v>165</v>
      </c>
      <c r="BP403" s="1" t="s">
        <v>91</v>
      </c>
      <c r="BQ403" t="s">
        <v>91</v>
      </c>
      <c r="BR403" s="3">
        <v>44378</v>
      </c>
      <c r="BS403" s="3">
        <v>44727</v>
      </c>
      <c r="BT403" t="s">
        <v>91</v>
      </c>
      <c r="BU403" t="s">
        <v>91</v>
      </c>
      <c r="BW403" s="1" t="s">
        <v>620</v>
      </c>
    </row>
    <row r="404" spans="1:75" x14ac:dyDescent="0.35">
      <c r="A404">
        <v>156718</v>
      </c>
      <c r="B404" s="1" t="s">
        <v>75</v>
      </c>
      <c r="C404">
        <v>80</v>
      </c>
      <c r="D404">
        <v>11121001</v>
      </c>
      <c r="E404">
        <v>121001</v>
      </c>
      <c r="F404" s="1" t="s">
        <v>76</v>
      </c>
      <c r="G404" s="1" t="s">
        <v>2420</v>
      </c>
      <c r="H404">
        <v>0</v>
      </c>
      <c r="I404" s="1" t="s">
        <v>78</v>
      </c>
      <c r="J404" s="1" t="s">
        <v>2421</v>
      </c>
      <c r="K404" s="1" t="s">
        <v>2422</v>
      </c>
      <c r="L404" t="s">
        <v>91</v>
      </c>
      <c r="M404" t="s">
        <v>91</v>
      </c>
      <c r="N404" s="1" t="s">
        <v>2423</v>
      </c>
      <c r="O404" t="s">
        <v>91</v>
      </c>
      <c r="P404" s="1" t="s">
        <v>1840</v>
      </c>
      <c r="Q404" s="1" t="s">
        <v>2242</v>
      </c>
      <c r="R404" s="1" t="s">
        <v>91</v>
      </c>
      <c r="S404">
        <v>1383</v>
      </c>
      <c r="T404">
        <v>99025000</v>
      </c>
      <c r="U404" s="1" t="s">
        <v>108</v>
      </c>
      <c r="V404" s="1" t="s">
        <v>371</v>
      </c>
      <c r="W404" s="1" t="s">
        <v>157</v>
      </c>
      <c r="X404">
        <v>49</v>
      </c>
      <c r="Y404">
        <v>33235054</v>
      </c>
      <c r="Z404" t="s">
        <v>91</v>
      </c>
      <c r="AA404" t="s">
        <v>91</v>
      </c>
      <c r="AB404" t="s">
        <v>91</v>
      </c>
      <c r="AC404" t="s">
        <v>91</v>
      </c>
      <c r="AD404" t="s">
        <v>91</v>
      </c>
      <c r="AE404" t="s">
        <v>91</v>
      </c>
      <c r="AF404" t="s">
        <v>91</v>
      </c>
      <c r="AG404" s="1" t="s">
        <v>91</v>
      </c>
      <c r="AH404" s="1" t="s">
        <v>91</v>
      </c>
      <c r="AI404" t="s">
        <v>91</v>
      </c>
      <c r="AM404" t="s">
        <v>91</v>
      </c>
      <c r="AN404" t="s">
        <v>91</v>
      </c>
      <c r="AO404" t="s">
        <v>91</v>
      </c>
      <c r="AP404" t="s">
        <v>91</v>
      </c>
      <c r="AQ404" s="1" t="s">
        <v>91</v>
      </c>
      <c r="AR404" s="1" t="s">
        <v>91</v>
      </c>
      <c r="AS404" s="1" t="s">
        <v>91</v>
      </c>
      <c r="AT404" s="1" t="s">
        <v>91</v>
      </c>
      <c r="AU404" s="1" t="s">
        <v>91</v>
      </c>
      <c r="AV404" t="s">
        <v>91</v>
      </c>
      <c r="AW404" t="s">
        <v>91</v>
      </c>
      <c r="AX404" t="s">
        <v>91</v>
      </c>
      <c r="AY404" t="s">
        <v>91</v>
      </c>
      <c r="AZ404" t="s">
        <v>91</v>
      </c>
      <c r="BA404" t="s">
        <v>91</v>
      </c>
      <c r="BB404" s="2">
        <v>45113.505416666667</v>
      </c>
      <c r="BC404" s="2"/>
      <c r="BD404" t="s">
        <v>91</v>
      </c>
      <c r="BF404" s="1" t="s">
        <v>75</v>
      </c>
      <c r="BI404" s="1" t="s">
        <v>88</v>
      </c>
      <c r="BJ404">
        <v>1</v>
      </c>
      <c r="BK404" s="1" t="s">
        <v>89</v>
      </c>
      <c r="BL404" t="s">
        <v>91</v>
      </c>
      <c r="BM404" s="1" t="s">
        <v>91</v>
      </c>
      <c r="BN404" s="1" t="s">
        <v>91</v>
      </c>
      <c r="BO404" s="1" t="s">
        <v>91</v>
      </c>
      <c r="BP404" s="1" t="s">
        <v>91</v>
      </c>
      <c r="BQ404" t="s">
        <v>91</v>
      </c>
      <c r="BR404" s="3">
        <v>45113</v>
      </c>
      <c r="BS404" s="3"/>
      <c r="BT404" t="s">
        <v>91</v>
      </c>
      <c r="BU404" t="s">
        <v>91</v>
      </c>
      <c r="BW404" s="1" t="s">
        <v>620</v>
      </c>
    </row>
    <row r="405" spans="1:75" x14ac:dyDescent="0.35">
      <c r="A405">
        <v>144577</v>
      </c>
      <c r="B405" s="1" t="s">
        <v>75</v>
      </c>
      <c r="C405">
        <v>80</v>
      </c>
      <c r="D405">
        <v>11121001</v>
      </c>
      <c r="E405">
        <v>121001</v>
      </c>
      <c r="F405" s="1" t="s">
        <v>76</v>
      </c>
      <c r="G405" s="1" t="s">
        <v>2424</v>
      </c>
      <c r="I405" s="1" t="s">
        <v>78</v>
      </c>
      <c r="J405" s="1" t="s">
        <v>2425</v>
      </c>
      <c r="K405" s="1" t="s">
        <v>2426</v>
      </c>
      <c r="L405" t="s">
        <v>91</v>
      </c>
      <c r="M405" t="s">
        <v>91</v>
      </c>
      <c r="N405" s="1" t="s">
        <v>2427</v>
      </c>
      <c r="O405" t="s">
        <v>91</v>
      </c>
      <c r="P405" s="1" t="s">
        <v>2021</v>
      </c>
      <c r="Q405" s="1" t="s">
        <v>2428</v>
      </c>
      <c r="R405" s="1" t="s">
        <v>91</v>
      </c>
      <c r="S405">
        <v>1280</v>
      </c>
      <c r="T405">
        <v>89270000</v>
      </c>
      <c r="U405" s="1" t="s">
        <v>108</v>
      </c>
      <c r="V405" s="1" t="s">
        <v>1103</v>
      </c>
      <c r="W405" s="1" t="s">
        <v>87</v>
      </c>
      <c r="X405">
        <v>47</v>
      </c>
      <c r="Y405">
        <v>33731864</v>
      </c>
      <c r="Z405" t="s">
        <v>91</v>
      </c>
      <c r="AA405" t="s">
        <v>91</v>
      </c>
      <c r="AB405" t="s">
        <v>91</v>
      </c>
      <c r="AC405" t="s">
        <v>91</v>
      </c>
      <c r="AD405" t="s">
        <v>91</v>
      </c>
      <c r="AE405" t="s">
        <v>91</v>
      </c>
      <c r="AF405" t="s">
        <v>91</v>
      </c>
      <c r="AG405" s="1" t="s">
        <v>91</v>
      </c>
      <c r="AH405" s="1" t="s">
        <v>91</v>
      </c>
      <c r="AI405" t="s">
        <v>91</v>
      </c>
      <c r="AJ405">
        <v>0</v>
      </c>
      <c r="AK405">
        <v>0</v>
      </c>
      <c r="AL405">
        <v>0</v>
      </c>
      <c r="AM405" t="s">
        <v>91</v>
      </c>
      <c r="AN405" t="s">
        <v>91</v>
      </c>
      <c r="AO405" t="s">
        <v>91</v>
      </c>
      <c r="AP405" t="s">
        <v>91</v>
      </c>
      <c r="AQ405" s="1" t="s">
        <v>91</v>
      </c>
      <c r="AR405" s="1" t="s">
        <v>91</v>
      </c>
      <c r="AS405" s="1" t="s">
        <v>91</v>
      </c>
      <c r="AT405" s="1" t="s">
        <v>91</v>
      </c>
      <c r="AU405" s="1" t="s">
        <v>91</v>
      </c>
      <c r="AV405" t="s">
        <v>91</v>
      </c>
      <c r="AW405" t="s">
        <v>91</v>
      </c>
      <c r="AX405" t="s">
        <v>91</v>
      </c>
      <c r="AY405" t="s">
        <v>91</v>
      </c>
      <c r="AZ405" t="s">
        <v>91</v>
      </c>
      <c r="BA405" t="s">
        <v>91</v>
      </c>
      <c r="BB405" s="2"/>
      <c r="BC405" s="2"/>
      <c r="BD405" t="s">
        <v>91</v>
      </c>
      <c r="BF405" s="1" t="s">
        <v>75</v>
      </c>
      <c r="BG405">
        <v>0</v>
      </c>
      <c r="BH405">
        <v>0</v>
      </c>
      <c r="BI405" s="1" t="s">
        <v>88</v>
      </c>
      <c r="BJ405">
        <v>1</v>
      </c>
      <c r="BK405" s="1" t="s">
        <v>89</v>
      </c>
      <c r="BL405" t="s">
        <v>91</v>
      </c>
      <c r="BM405" s="1" t="s">
        <v>109</v>
      </c>
      <c r="BN405" s="1" t="s">
        <v>110</v>
      </c>
      <c r="BO405" s="1" t="s">
        <v>180</v>
      </c>
      <c r="BP405" s="1" t="s">
        <v>91</v>
      </c>
      <c r="BQ405" t="s">
        <v>91</v>
      </c>
      <c r="BR405" s="3"/>
      <c r="BS405" s="3"/>
      <c r="BT405" t="s">
        <v>91</v>
      </c>
      <c r="BU405" t="s">
        <v>91</v>
      </c>
      <c r="BV405">
        <v>8</v>
      </c>
      <c r="BW405" s="1" t="s">
        <v>90</v>
      </c>
    </row>
    <row r="406" spans="1:75" x14ac:dyDescent="0.35">
      <c r="A406">
        <v>138207</v>
      </c>
      <c r="B406" s="1" t="s">
        <v>75</v>
      </c>
      <c r="C406">
        <v>80</v>
      </c>
      <c r="D406">
        <v>11121001</v>
      </c>
      <c r="E406">
        <v>121001</v>
      </c>
      <c r="F406" s="1" t="s">
        <v>76</v>
      </c>
      <c r="G406" s="1" t="s">
        <v>2429</v>
      </c>
      <c r="H406">
        <v>0</v>
      </c>
      <c r="I406" s="1" t="s">
        <v>78</v>
      </c>
      <c r="J406" s="1" t="s">
        <v>2430</v>
      </c>
      <c r="K406" s="1" t="s">
        <v>2431</v>
      </c>
      <c r="L406" t="s">
        <v>91</v>
      </c>
      <c r="M406" t="s">
        <v>91</v>
      </c>
      <c r="N406" s="1" t="s">
        <v>2432</v>
      </c>
      <c r="O406" t="s">
        <v>91</v>
      </c>
      <c r="P406" s="1" t="s">
        <v>341</v>
      </c>
      <c r="Q406" s="1" t="s">
        <v>1227</v>
      </c>
      <c r="R406" s="1" t="s">
        <v>91</v>
      </c>
      <c r="S406">
        <v>1288</v>
      </c>
      <c r="T406">
        <v>89896000</v>
      </c>
      <c r="U406" s="1" t="s">
        <v>343</v>
      </c>
      <c r="V406" s="1" t="s">
        <v>2433</v>
      </c>
      <c r="W406" s="1" t="s">
        <v>87</v>
      </c>
      <c r="X406">
        <v>49</v>
      </c>
      <c r="Y406">
        <v>36770314</v>
      </c>
      <c r="Z406" t="s">
        <v>91</v>
      </c>
      <c r="AA406" t="s">
        <v>91</v>
      </c>
      <c r="AB406" t="s">
        <v>91</v>
      </c>
      <c r="AC406" t="s">
        <v>91</v>
      </c>
      <c r="AD406" t="s">
        <v>91</v>
      </c>
      <c r="AE406" t="s">
        <v>91</v>
      </c>
      <c r="AF406" t="s">
        <v>91</v>
      </c>
      <c r="AG406" s="1" t="s">
        <v>91</v>
      </c>
      <c r="AH406" s="1" t="s">
        <v>91</v>
      </c>
      <c r="AI406" t="s">
        <v>91</v>
      </c>
      <c r="AM406" t="s">
        <v>91</v>
      </c>
      <c r="AN406" t="s">
        <v>91</v>
      </c>
      <c r="AO406" t="s">
        <v>91</v>
      </c>
      <c r="AP406" t="s">
        <v>91</v>
      </c>
      <c r="AQ406" s="1" t="s">
        <v>91</v>
      </c>
      <c r="AR406" s="1" t="s">
        <v>91</v>
      </c>
      <c r="AS406" s="1" t="s">
        <v>91</v>
      </c>
      <c r="AT406" s="1" t="s">
        <v>91</v>
      </c>
      <c r="AU406" s="1" t="s">
        <v>91</v>
      </c>
      <c r="AV406" t="s">
        <v>91</v>
      </c>
      <c r="AW406" t="s">
        <v>91</v>
      </c>
      <c r="AX406" t="s">
        <v>91</v>
      </c>
      <c r="AY406" t="s">
        <v>91</v>
      </c>
      <c r="AZ406" t="s">
        <v>91</v>
      </c>
      <c r="BA406" t="s">
        <v>91</v>
      </c>
      <c r="BB406" s="2">
        <v>44378.578518518516</v>
      </c>
      <c r="BC406" s="2"/>
      <c r="BD406" t="s">
        <v>91</v>
      </c>
      <c r="BF406" s="1" t="s">
        <v>75</v>
      </c>
      <c r="BI406" s="1" t="s">
        <v>88</v>
      </c>
      <c r="BJ406">
        <v>1</v>
      </c>
      <c r="BK406" s="1" t="s">
        <v>89</v>
      </c>
      <c r="BL406" t="s">
        <v>91</v>
      </c>
      <c r="BM406" s="1" t="s">
        <v>109</v>
      </c>
      <c r="BN406" s="1" t="s">
        <v>110</v>
      </c>
      <c r="BO406" s="1" t="s">
        <v>180</v>
      </c>
      <c r="BP406" s="1" t="s">
        <v>91</v>
      </c>
      <c r="BQ406" t="s">
        <v>91</v>
      </c>
      <c r="BR406" s="3">
        <v>44378</v>
      </c>
      <c r="BS406" s="3"/>
      <c r="BT406" t="s">
        <v>91</v>
      </c>
      <c r="BU406" t="s">
        <v>91</v>
      </c>
      <c r="BW406" s="1" t="s">
        <v>388</v>
      </c>
    </row>
    <row r="407" spans="1:75" x14ac:dyDescent="0.35">
      <c r="A407">
        <v>144491</v>
      </c>
      <c r="B407" s="1" t="s">
        <v>75</v>
      </c>
      <c r="C407">
        <v>80</v>
      </c>
      <c r="D407">
        <v>11121001</v>
      </c>
      <c r="E407">
        <v>121001</v>
      </c>
      <c r="F407" s="1" t="s">
        <v>76</v>
      </c>
      <c r="G407" s="1" t="s">
        <v>2434</v>
      </c>
      <c r="I407" s="1" t="s">
        <v>78</v>
      </c>
      <c r="J407" s="1" t="s">
        <v>2435</v>
      </c>
      <c r="K407" s="1" t="s">
        <v>2436</v>
      </c>
      <c r="L407" t="s">
        <v>91</v>
      </c>
      <c r="M407" t="s">
        <v>91</v>
      </c>
      <c r="N407" s="1" t="s">
        <v>2437</v>
      </c>
      <c r="O407" t="s">
        <v>91</v>
      </c>
      <c r="P407" s="1" t="s">
        <v>335</v>
      </c>
      <c r="Q407" s="1" t="s">
        <v>235</v>
      </c>
      <c r="R407" s="1" t="s">
        <v>2438</v>
      </c>
      <c r="S407">
        <v>1280</v>
      </c>
      <c r="T407">
        <v>89251701</v>
      </c>
      <c r="U407" s="1" t="s">
        <v>108</v>
      </c>
      <c r="V407" s="1" t="s">
        <v>1076</v>
      </c>
      <c r="W407" s="1" t="s">
        <v>87</v>
      </c>
      <c r="X407">
        <v>47</v>
      </c>
      <c r="Y407">
        <v>33711562</v>
      </c>
      <c r="Z407" t="s">
        <v>91</v>
      </c>
      <c r="AA407" t="s">
        <v>91</v>
      </c>
      <c r="AB407" t="s">
        <v>91</v>
      </c>
      <c r="AC407" t="s">
        <v>91</v>
      </c>
      <c r="AD407" t="s">
        <v>91</v>
      </c>
      <c r="AE407" t="s">
        <v>91</v>
      </c>
      <c r="AF407" t="s">
        <v>91</v>
      </c>
      <c r="AG407" s="1" t="s">
        <v>91</v>
      </c>
      <c r="AH407" s="1" t="s">
        <v>91</v>
      </c>
      <c r="AI407" t="s">
        <v>91</v>
      </c>
      <c r="AJ407">
        <v>0</v>
      </c>
      <c r="AK407">
        <v>0</v>
      </c>
      <c r="AL407">
        <v>0</v>
      </c>
      <c r="AM407" t="s">
        <v>91</v>
      </c>
      <c r="AN407" t="s">
        <v>91</v>
      </c>
      <c r="AO407" t="s">
        <v>91</v>
      </c>
      <c r="AP407" t="s">
        <v>91</v>
      </c>
      <c r="AQ407" s="1" t="s">
        <v>91</v>
      </c>
      <c r="AR407" s="1" t="s">
        <v>91</v>
      </c>
      <c r="AS407" s="1" t="s">
        <v>91</v>
      </c>
      <c r="AT407" s="1" t="s">
        <v>91</v>
      </c>
      <c r="AU407" s="1" t="s">
        <v>91</v>
      </c>
      <c r="AV407" t="s">
        <v>91</v>
      </c>
      <c r="AW407" t="s">
        <v>91</v>
      </c>
      <c r="AX407" t="s">
        <v>91</v>
      </c>
      <c r="AY407" t="s">
        <v>91</v>
      </c>
      <c r="AZ407" t="s">
        <v>91</v>
      </c>
      <c r="BA407" t="s">
        <v>91</v>
      </c>
      <c r="BB407" s="2"/>
      <c r="BC407" s="2"/>
      <c r="BD407" t="s">
        <v>91</v>
      </c>
      <c r="BF407" s="1" t="s">
        <v>75</v>
      </c>
      <c r="BG407">
        <v>0</v>
      </c>
      <c r="BH407">
        <v>0</v>
      </c>
      <c r="BI407" s="1" t="s">
        <v>88</v>
      </c>
      <c r="BJ407">
        <v>1</v>
      </c>
      <c r="BK407" s="1" t="s">
        <v>89</v>
      </c>
      <c r="BL407" t="s">
        <v>91</v>
      </c>
      <c r="BM407" s="1" t="s">
        <v>329</v>
      </c>
      <c r="BN407" s="1" t="s">
        <v>110</v>
      </c>
      <c r="BO407" s="1" t="s">
        <v>165</v>
      </c>
      <c r="BP407" s="1" t="s">
        <v>91</v>
      </c>
      <c r="BQ407" t="s">
        <v>91</v>
      </c>
      <c r="BR407" s="3"/>
      <c r="BS407" s="3"/>
      <c r="BT407" t="s">
        <v>91</v>
      </c>
      <c r="BU407" t="s">
        <v>91</v>
      </c>
      <c r="BV407">
        <v>1</v>
      </c>
      <c r="BW407" s="1" t="s">
        <v>419</v>
      </c>
    </row>
    <row r="408" spans="1:75" x14ac:dyDescent="0.35">
      <c r="A408">
        <v>144461</v>
      </c>
      <c r="B408" s="1" t="s">
        <v>75</v>
      </c>
      <c r="C408">
        <v>80</v>
      </c>
      <c r="D408">
        <v>11121001</v>
      </c>
      <c r="E408">
        <v>121001</v>
      </c>
      <c r="F408" s="1" t="s">
        <v>76</v>
      </c>
      <c r="G408" s="1" t="s">
        <v>2439</v>
      </c>
      <c r="I408" s="1" t="s">
        <v>78</v>
      </c>
      <c r="J408" s="1" t="s">
        <v>2440</v>
      </c>
      <c r="K408" s="1" t="s">
        <v>2441</v>
      </c>
      <c r="L408" t="s">
        <v>91</v>
      </c>
      <c r="M408" t="s">
        <v>91</v>
      </c>
      <c r="N408" s="1" t="s">
        <v>2442</v>
      </c>
      <c r="O408" t="s">
        <v>91</v>
      </c>
      <c r="P408" s="1" t="s">
        <v>2221</v>
      </c>
      <c r="Q408" s="1" t="s">
        <v>2443</v>
      </c>
      <c r="R408" s="1" t="s">
        <v>91</v>
      </c>
      <c r="S408">
        <v>1280</v>
      </c>
      <c r="T408">
        <v>89290000</v>
      </c>
      <c r="U408" s="1" t="s">
        <v>108</v>
      </c>
      <c r="V408" s="1" t="s">
        <v>520</v>
      </c>
      <c r="W408" s="1" t="s">
        <v>87</v>
      </c>
      <c r="X408">
        <v>47</v>
      </c>
      <c r="Y408">
        <v>36333357</v>
      </c>
      <c r="Z408" t="s">
        <v>91</v>
      </c>
      <c r="AA408" t="s">
        <v>91</v>
      </c>
      <c r="AB408" t="s">
        <v>91</v>
      </c>
      <c r="AC408" t="s">
        <v>91</v>
      </c>
      <c r="AD408" t="s">
        <v>91</v>
      </c>
      <c r="AE408" t="s">
        <v>91</v>
      </c>
      <c r="AF408" t="s">
        <v>91</v>
      </c>
      <c r="AG408" s="1" t="s">
        <v>91</v>
      </c>
      <c r="AH408" s="1" t="s">
        <v>91</v>
      </c>
      <c r="AI408" t="s">
        <v>91</v>
      </c>
      <c r="AJ408">
        <v>0</v>
      </c>
      <c r="AK408">
        <v>0</v>
      </c>
      <c r="AL408">
        <v>0</v>
      </c>
      <c r="AM408" t="s">
        <v>91</v>
      </c>
      <c r="AN408" t="s">
        <v>91</v>
      </c>
      <c r="AO408" t="s">
        <v>91</v>
      </c>
      <c r="AP408" t="s">
        <v>91</v>
      </c>
      <c r="AQ408" s="1" t="s">
        <v>91</v>
      </c>
      <c r="AR408" s="1" t="s">
        <v>91</v>
      </c>
      <c r="AS408" s="1" t="s">
        <v>91</v>
      </c>
      <c r="AT408" s="1" t="s">
        <v>91</v>
      </c>
      <c r="AU408" s="1" t="s">
        <v>91</v>
      </c>
      <c r="AV408" t="s">
        <v>91</v>
      </c>
      <c r="AW408" t="s">
        <v>91</v>
      </c>
      <c r="AX408" t="s">
        <v>91</v>
      </c>
      <c r="AY408" t="s">
        <v>91</v>
      </c>
      <c r="AZ408" t="s">
        <v>91</v>
      </c>
      <c r="BA408" t="s">
        <v>91</v>
      </c>
      <c r="BB408" s="2"/>
      <c r="BC408" s="2"/>
      <c r="BD408" t="s">
        <v>91</v>
      </c>
      <c r="BF408" s="1" t="s">
        <v>75</v>
      </c>
      <c r="BG408">
        <v>0</v>
      </c>
      <c r="BH408">
        <v>0</v>
      </c>
      <c r="BI408" s="1" t="s">
        <v>88</v>
      </c>
      <c r="BJ408">
        <v>1</v>
      </c>
      <c r="BK408" s="1" t="s">
        <v>89</v>
      </c>
      <c r="BL408" t="s">
        <v>91</v>
      </c>
      <c r="BM408" s="1" t="s">
        <v>109</v>
      </c>
      <c r="BN408" s="1" t="s">
        <v>148</v>
      </c>
      <c r="BO408" s="1" t="s">
        <v>111</v>
      </c>
      <c r="BP408" s="1" t="s">
        <v>91</v>
      </c>
      <c r="BQ408" t="s">
        <v>91</v>
      </c>
      <c r="BR408" s="3"/>
      <c r="BS408" s="3"/>
      <c r="BT408" t="s">
        <v>91</v>
      </c>
      <c r="BU408" t="s">
        <v>91</v>
      </c>
      <c r="BV408">
        <v>6</v>
      </c>
      <c r="BW408" s="1" t="s">
        <v>319</v>
      </c>
    </row>
    <row r="409" spans="1:75" x14ac:dyDescent="0.35">
      <c r="A409">
        <v>138208</v>
      </c>
      <c r="B409" s="1" t="s">
        <v>75</v>
      </c>
      <c r="C409">
        <v>80</v>
      </c>
      <c r="D409">
        <v>11121001</v>
      </c>
      <c r="E409">
        <v>121001</v>
      </c>
      <c r="F409" s="1" t="s">
        <v>76</v>
      </c>
      <c r="G409" s="1" t="s">
        <v>2444</v>
      </c>
      <c r="H409">
        <v>0</v>
      </c>
      <c r="I409" s="1" t="s">
        <v>78</v>
      </c>
      <c r="J409" s="1" t="s">
        <v>2445</v>
      </c>
      <c r="K409" s="1" t="s">
        <v>2446</v>
      </c>
      <c r="L409" t="s">
        <v>91</v>
      </c>
      <c r="M409" t="s">
        <v>91</v>
      </c>
      <c r="N409" s="1" t="s">
        <v>2447</v>
      </c>
      <c r="O409" t="s">
        <v>91</v>
      </c>
      <c r="P409" s="1" t="s">
        <v>1304</v>
      </c>
      <c r="Q409" s="1" t="s">
        <v>2448</v>
      </c>
      <c r="R409" s="1" t="s">
        <v>2449</v>
      </c>
      <c r="S409">
        <v>1288</v>
      </c>
      <c r="T409">
        <v>89825000</v>
      </c>
      <c r="U409" s="1" t="s">
        <v>108</v>
      </c>
      <c r="V409" s="1" t="s">
        <v>707</v>
      </c>
      <c r="W409" s="1" t="s">
        <v>87</v>
      </c>
      <c r="X409">
        <v>49</v>
      </c>
      <c r="Y409">
        <v>33536051</v>
      </c>
      <c r="Z409" t="s">
        <v>91</v>
      </c>
      <c r="AA409" t="s">
        <v>91</v>
      </c>
      <c r="AB409" t="s">
        <v>91</v>
      </c>
      <c r="AC409" t="s">
        <v>91</v>
      </c>
      <c r="AD409" t="s">
        <v>91</v>
      </c>
      <c r="AE409" t="s">
        <v>91</v>
      </c>
      <c r="AF409" t="s">
        <v>91</v>
      </c>
      <c r="AG409" s="1" t="s">
        <v>146</v>
      </c>
      <c r="AH409" s="1" t="s">
        <v>91</v>
      </c>
      <c r="AI409" t="s">
        <v>91</v>
      </c>
      <c r="AM409" t="s">
        <v>91</v>
      </c>
      <c r="AN409" t="s">
        <v>91</v>
      </c>
      <c r="AO409" t="s">
        <v>91</v>
      </c>
      <c r="AP409" t="s">
        <v>91</v>
      </c>
      <c r="AQ409" s="1" t="s">
        <v>147</v>
      </c>
      <c r="AR409" s="1" t="s">
        <v>147</v>
      </c>
      <c r="AS409" s="1" t="s">
        <v>147</v>
      </c>
      <c r="AT409" s="1" t="s">
        <v>147</v>
      </c>
      <c r="AU409" s="1" t="s">
        <v>147</v>
      </c>
      <c r="AV409" t="s">
        <v>91</v>
      </c>
      <c r="AW409" t="s">
        <v>91</v>
      </c>
      <c r="AX409" t="s">
        <v>91</v>
      </c>
      <c r="AY409" t="s">
        <v>91</v>
      </c>
      <c r="AZ409" t="s">
        <v>91</v>
      </c>
      <c r="BA409" t="s">
        <v>91</v>
      </c>
      <c r="BB409" s="2">
        <v>44378.578518518516</v>
      </c>
      <c r="BC409" s="2">
        <v>44624.405324074076</v>
      </c>
      <c r="BD409" t="s">
        <v>91</v>
      </c>
      <c r="BF409" s="1" t="s">
        <v>75</v>
      </c>
      <c r="BH409">
        <v>0</v>
      </c>
      <c r="BI409" s="1" t="s">
        <v>88</v>
      </c>
      <c r="BJ409">
        <v>1</v>
      </c>
      <c r="BK409" s="1" t="s">
        <v>89</v>
      </c>
      <c r="BL409" t="s">
        <v>91</v>
      </c>
      <c r="BM409" s="1" t="s">
        <v>109</v>
      </c>
      <c r="BN409" s="1" t="s">
        <v>110</v>
      </c>
      <c r="BO409" s="1" t="s">
        <v>91</v>
      </c>
      <c r="BP409" s="1" t="s">
        <v>91</v>
      </c>
      <c r="BQ409" t="s">
        <v>91</v>
      </c>
      <c r="BR409" s="3">
        <v>44378</v>
      </c>
      <c r="BS409" s="3">
        <v>44624</v>
      </c>
      <c r="BT409" t="s">
        <v>91</v>
      </c>
      <c r="BU409" t="s">
        <v>91</v>
      </c>
      <c r="BW409" s="1" t="s">
        <v>1650</v>
      </c>
    </row>
    <row r="410" spans="1:75" x14ac:dyDescent="0.35">
      <c r="A410">
        <v>144489</v>
      </c>
      <c r="B410" s="1" t="s">
        <v>75</v>
      </c>
      <c r="C410">
        <v>80</v>
      </c>
      <c r="D410">
        <v>11121001</v>
      </c>
      <c r="E410">
        <v>121001</v>
      </c>
      <c r="F410" s="1" t="s">
        <v>76</v>
      </c>
      <c r="G410" s="1" t="s">
        <v>2450</v>
      </c>
      <c r="I410" s="1" t="s">
        <v>78</v>
      </c>
      <c r="J410" s="1" t="s">
        <v>2451</v>
      </c>
      <c r="K410" s="1" t="s">
        <v>2452</v>
      </c>
      <c r="L410" t="s">
        <v>91</v>
      </c>
      <c r="M410" t="s">
        <v>91</v>
      </c>
      <c r="N410" s="1" t="s">
        <v>2453</v>
      </c>
      <c r="O410" t="s">
        <v>91</v>
      </c>
      <c r="P410" s="1" t="s">
        <v>2454</v>
      </c>
      <c r="Q410" s="1" t="s">
        <v>2455</v>
      </c>
      <c r="R410" s="1" t="s">
        <v>236</v>
      </c>
      <c r="S410">
        <v>1280</v>
      </c>
      <c r="T410">
        <v>89256500</v>
      </c>
      <c r="U410" s="1" t="s">
        <v>2456</v>
      </c>
      <c r="V410" s="1" t="s">
        <v>302</v>
      </c>
      <c r="W410" s="1" t="s">
        <v>87</v>
      </c>
      <c r="X410">
        <v>47</v>
      </c>
      <c r="Y410">
        <v>33715157</v>
      </c>
      <c r="Z410" t="s">
        <v>91</v>
      </c>
      <c r="AA410" t="s">
        <v>91</v>
      </c>
      <c r="AB410" t="s">
        <v>91</v>
      </c>
      <c r="AC410" t="s">
        <v>91</v>
      </c>
      <c r="AD410" t="s">
        <v>91</v>
      </c>
      <c r="AE410" t="s">
        <v>91</v>
      </c>
      <c r="AF410" t="s">
        <v>91</v>
      </c>
      <c r="AG410" s="1" t="s">
        <v>91</v>
      </c>
      <c r="AH410" s="1" t="s">
        <v>91</v>
      </c>
      <c r="AI410" t="s">
        <v>91</v>
      </c>
      <c r="AJ410">
        <v>0</v>
      </c>
      <c r="AK410">
        <v>0</v>
      </c>
      <c r="AL410">
        <v>0</v>
      </c>
      <c r="AM410" t="s">
        <v>91</v>
      </c>
      <c r="AN410" t="s">
        <v>91</v>
      </c>
      <c r="AO410" t="s">
        <v>91</v>
      </c>
      <c r="AP410" t="s">
        <v>91</v>
      </c>
      <c r="AQ410" s="1" t="s">
        <v>91</v>
      </c>
      <c r="AR410" s="1" t="s">
        <v>91</v>
      </c>
      <c r="AS410" s="1" t="s">
        <v>91</v>
      </c>
      <c r="AT410" s="1" t="s">
        <v>91</v>
      </c>
      <c r="AU410" s="1" t="s">
        <v>91</v>
      </c>
      <c r="AV410" t="s">
        <v>91</v>
      </c>
      <c r="AW410" t="s">
        <v>91</v>
      </c>
      <c r="AX410" t="s">
        <v>91</v>
      </c>
      <c r="AY410" t="s">
        <v>91</v>
      </c>
      <c r="AZ410" t="s">
        <v>91</v>
      </c>
      <c r="BA410" t="s">
        <v>91</v>
      </c>
      <c r="BB410" s="2"/>
      <c r="BC410" s="2"/>
      <c r="BD410" t="s">
        <v>91</v>
      </c>
      <c r="BF410" s="1" t="s">
        <v>75</v>
      </c>
      <c r="BG410">
        <v>0</v>
      </c>
      <c r="BH410">
        <v>0</v>
      </c>
      <c r="BI410" s="1" t="s">
        <v>88</v>
      </c>
      <c r="BJ410">
        <v>1</v>
      </c>
      <c r="BK410" s="1" t="s">
        <v>89</v>
      </c>
      <c r="BL410" t="s">
        <v>91</v>
      </c>
      <c r="BM410" s="1" t="s">
        <v>109</v>
      </c>
      <c r="BN410" s="1" t="s">
        <v>110</v>
      </c>
      <c r="BO410" s="1" t="s">
        <v>180</v>
      </c>
      <c r="BP410" s="1" t="s">
        <v>91</v>
      </c>
      <c r="BQ410" t="s">
        <v>91</v>
      </c>
      <c r="BR410" s="3"/>
      <c r="BS410" s="3"/>
      <c r="BT410" t="s">
        <v>91</v>
      </c>
      <c r="BU410" t="s">
        <v>91</v>
      </c>
      <c r="BV410">
        <v>9</v>
      </c>
      <c r="BW410" s="1" t="s">
        <v>90</v>
      </c>
    </row>
    <row r="411" spans="1:75" x14ac:dyDescent="0.35">
      <c r="A411">
        <v>144728</v>
      </c>
      <c r="B411" s="1" t="s">
        <v>75</v>
      </c>
      <c r="C411">
        <v>80</v>
      </c>
      <c r="D411">
        <v>11121001</v>
      </c>
      <c r="E411">
        <v>121001</v>
      </c>
      <c r="F411" s="1" t="s">
        <v>76</v>
      </c>
      <c r="G411" s="1" t="s">
        <v>2457</v>
      </c>
      <c r="I411" s="1" t="s">
        <v>78</v>
      </c>
      <c r="J411" s="1" t="s">
        <v>2458</v>
      </c>
      <c r="K411" s="1" t="s">
        <v>2459</v>
      </c>
      <c r="L411" t="s">
        <v>91</v>
      </c>
      <c r="M411" t="s">
        <v>91</v>
      </c>
      <c r="N411" s="1" t="s">
        <v>2460</v>
      </c>
      <c r="O411" t="s">
        <v>91</v>
      </c>
      <c r="P411" s="1" t="s">
        <v>2461</v>
      </c>
      <c r="Q411" s="1" t="s">
        <v>2462</v>
      </c>
      <c r="R411" s="1" t="s">
        <v>91</v>
      </c>
      <c r="S411">
        <v>1280</v>
      </c>
      <c r="T411">
        <v>89295000</v>
      </c>
      <c r="U411" s="1" t="s">
        <v>108</v>
      </c>
      <c r="V411" s="1" t="s">
        <v>276</v>
      </c>
      <c r="W411" s="1" t="s">
        <v>87</v>
      </c>
      <c r="X411">
        <v>47</v>
      </c>
      <c r="Y411">
        <v>36442742</v>
      </c>
      <c r="Z411" t="s">
        <v>91</v>
      </c>
      <c r="AA411" t="s">
        <v>91</v>
      </c>
      <c r="AB411" t="s">
        <v>91</v>
      </c>
      <c r="AC411" t="s">
        <v>91</v>
      </c>
      <c r="AD411" t="s">
        <v>91</v>
      </c>
      <c r="AE411" t="s">
        <v>91</v>
      </c>
      <c r="AF411" t="s">
        <v>91</v>
      </c>
      <c r="AG411" s="1" t="s">
        <v>91</v>
      </c>
      <c r="AH411" s="1" t="s">
        <v>91</v>
      </c>
      <c r="AI411" t="s">
        <v>91</v>
      </c>
      <c r="AJ411">
        <v>0</v>
      </c>
      <c r="AK411">
        <v>0</v>
      </c>
      <c r="AL411">
        <v>0</v>
      </c>
      <c r="AM411" t="s">
        <v>91</v>
      </c>
      <c r="AN411" t="s">
        <v>91</v>
      </c>
      <c r="AO411" t="s">
        <v>91</v>
      </c>
      <c r="AP411" t="s">
        <v>91</v>
      </c>
      <c r="AQ411" s="1" t="s">
        <v>91</v>
      </c>
      <c r="AR411" s="1" t="s">
        <v>91</v>
      </c>
      <c r="AS411" s="1" t="s">
        <v>91</v>
      </c>
      <c r="AT411" s="1" t="s">
        <v>91</v>
      </c>
      <c r="AU411" s="1" t="s">
        <v>91</v>
      </c>
      <c r="AV411" t="s">
        <v>91</v>
      </c>
      <c r="AW411" t="s">
        <v>91</v>
      </c>
      <c r="AX411" t="s">
        <v>91</v>
      </c>
      <c r="AY411" t="s">
        <v>91</v>
      </c>
      <c r="AZ411" t="s">
        <v>91</v>
      </c>
      <c r="BA411" t="s">
        <v>91</v>
      </c>
      <c r="BB411" s="2"/>
      <c r="BC411" s="2"/>
      <c r="BD411" t="s">
        <v>91</v>
      </c>
      <c r="BF411" s="1" t="s">
        <v>75</v>
      </c>
      <c r="BG411">
        <v>0</v>
      </c>
      <c r="BH411">
        <v>0</v>
      </c>
      <c r="BI411" s="1" t="s">
        <v>88</v>
      </c>
      <c r="BJ411">
        <v>1</v>
      </c>
      <c r="BK411" s="1" t="s">
        <v>89</v>
      </c>
      <c r="BL411" t="s">
        <v>91</v>
      </c>
      <c r="BM411" s="1" t="s">
        <v>109</v>
      </c>
      <c r="BN411" s="1" t="s">
        <v>110</v>
      </c>
      <c r="BO411" s="1" t="s">
        <v>180</v>
      </c>
      <c r="BP411" s="1" t="s">
        <v>91</v>
      </c>
      <c r="BQ411" t="s">
        <v>91</v>
      </c>
      <c r="BR411" s="3"/>
      <c r="BS411" s="3"/>
      <c r="BT411" t="s">
        <v>91</v>
      </c>
      <c r="BU411" t="s">
        <v>91</v>
      </c>
      <c r="BV411">
        <v>6</v>
      </c>
      <c r="BW411" s="1" t="s">
        <v>1383</v>
      </c>
    </row>
    <row r="412" spans="1:75" x14ac:dyDescent="0.35">
      <c r="A412">
        <v>138845</v>
      </c>
      <c r="B412" s="1" t="s">
        <v>75</v>
      </c>
      <c r="C412">
        <v>80</v>
      </c>
      <c r="D412">
        <v>11121001</v>
      </c>
      <c r="E412">
        <v>121001</v>
      </c>
      <c r="F412" s="1" t="s">
        <v>76</v>
      </c>
      <c r="G412" s="1" t="s">
        <v>2463</v>
      </c>
      <c r="H412">
        <v>0</v>
      </c>
      <c r="I412" s="1" t="s">
        <v>78</v>
      </c>
      <c r="J412" s="1" t="s">
        <v>2464</v>
      </c>
      <c r="K412" s="1" t="s">
        <v>2465</v>
      </c>
      <c r="L412" t="s">
        <v>91</v>
      </c>
      <c r="M412" t="s">
        <v>91</v>
      </c>
      <c r="N412" s="1" t="s">
        <v>2466</v>
      </c>
      <c r="O412" t="s">
        <v>91</v>
      </c>
      <c r="P412" s="1" t="s">
        <v>260</v>
      </c>
      <c r="Q412" s="1" t="s">
        <v>2467</v>
      </c>
      <c r="R412" s="1" t="s">
        <v>236</v>
      </c>
      <c r="S412">
        <v>1277</v>
      </c>
      <c r="T412">
        <v>89202205</v>
      </c>
      <c r="U412" s="1" t="s">
        <v>2468</v>
      </c>
      <c r="V412" s="1" t="s">
        <v>100</v>
      </c>
      <c r="W412" s="1" t="s">
        <v>87</v>
      </c>
      <c r="X412">
        <v>47</v>
      </c>
      <c r="Y412">
        <v>34550414</v>
      </c>
      <c r="Z412" t="s">
        <v>91</v>
      </c>
      <c r="AA412" t="s">
        <v>91</v>
      </c>
      <c r="AB412" t="s">
        <v>91</v>
      </c>
      <c r="AC412" t="s">
        <v>91</v>
      </c>
      <c r="AD412" t="s">
        <v>91</v>
      </c>
      <c r="AE412" t="s">
        <v>91</v>
      </c>
      <c r="AF412" t="s">
        <v>91</v>
      </c>
      <c r="AG412" s="1" t="s">
        <v>91</v>
      </c>
      <c r="AH412" s="1" t="s">
        <v>91</v>
      </c>
      <c r="AI412" t="s">
        <v>91</v>
      </c>
      <c r="AM412" t="s">
        <v>91</v>
      </c>
      <c r="AN412" t="s">
        <v>91</v>
      </c>
      <c r="AO412" t="s">
        <v>91</v>
      </c>
      <c r="AP412" t="s">
        <v>91</v>
      </c>
      <c r="AQ412" s="1" t="s">
        <v>91</v>
      </c>
      <c r="AR412" s="1" t="s">
        <v>91</v>
      </c>
      <c r="AS412" s="1" t="s">
        <v>91</v>
      </c>
      <c r="AT412" s="1" t="s">
        <v>91</v>
      </c>
      <c r="AU412" s="1" t="s">
        <v>91</v>
      </c>
      <c r="AV412" t="s">
        <v>91</v>
      </c>
      <c r="AW412" t="s">
        <v>91</v>
      </c>
      <c r="AX412" t="s">
        <v>91</v>
      </c>
      <c r="AY412" t="s">
        <v>91</v>
      </c>
      <c r="AZ412" t="s">
        <v>91</v>
      </c>
      <c r="BA412" t="s">
        <v>91</v>
      </c>
      <c r="BB412" s="2">
        <v>44392.456759259258</v>
      </c>
      <c r="BC412" s="2"/>
      <c r="BD412" t="s">
        <v>91</v>
      </c>
      <c r="BF412" s="1" t="s">
        <v>75</v>
      </c>
      <c r="BI412" s="1" t="s">
        <v>88</v>
      </c>
      <c r="BJ412">
        <v>1</v>
      </c>
      <c r="BK412" s="1" t="s">
        <v>89</v>
      </c>
      <c r="BL412" t="s">
        <v>91</v>
      </c>
      <c r="BM412" s="1" t="s">
        <v>109</v>
      </c>
      <c r="BN412" s="1" t="s">
        <v>110</v>
      </c>
      <c r="BO412" s="1" t="s">
        <v>91</v>
      </c>
      <c r="BP412" s="1" t="s">
        <v>91</v>
      </c>
      <c r="BQ412" t="s">
        <v>91</v>
      </c>
      <c r="BR412" s="3">
        <v>44392</v>
      </c>
      <c r="BS412" s="3"/>
      <c r="BT412" t="s">
        <v>91</v>
      </c>
      <c r="BU412" t="s">
        <v>91</v>
      </c>
      <c r="BW412" s="1" t="s">
        <v>90</v>
      </c>
    </row>
    <row r="413" spans="1:75" x14ac:dyDescent="0.35">
      <c r="A413">
        <v>156793</v>
      </c>
      <c r="B413" s="1" t="s">
        <v>75</v>
      </c>
      <c r="C413">
        <v>80</v>
      </c>
      <c r="D413">
        <v>11121001</v>
      </c>
      <c r="E413">
        <v>121001</v>
      </c>
      <c r="F413" s="1" t="s">
        <v>76</v>
      </c>
      <c r="G413" s="1" t="s">
        <v>2469</v>
      </c>
      <c r="H413">
        <v>0</v>
      </c>
      <c r="I413" s="1" t="s">
        <v>78</v>
      </c>
      <c r="J413" s="1" t="s">
        <v>2470</v>
      </c>
      <c r="K413" s="1" t="s">
        <v>2471</v>
      </c>
      <c r="L413" t="s">
        <v>91</v>
      </c>
      <c r="M413" t="s">
        <v>91</v>
      </c>
      <c r="N413" s="1" t="s">
        <v>2472</v>
      </c>
      <c r="O413" t="s">
        <v>91</v>
      </c>
      <c r="P413" s="1" t="s">
        <v>1531</v>
      </c>
      <c r="Q413" s="1" t="s">
        <v>2473</v>
      </c>
      <c r="R413" s="1" t="s">
        <v>91</v>
      </c>
      <c r="S413">
        <v>1279</v>
      </c>
      <c r="T413">
        <v>89227701</v>
      </c>
      <c r="U413" s="1" t="s">
        <v>426</v>
      </c>
      <c r="V413" s="1" t="s">
        <v>100</v>
      </c>
      <c r="W413" s="1" t="s">
        <v>87</v>
      </c>
      <c r="X413">
        <v>47</v>
      </c>
      <c r="Y413">
        <v>34373731</v>
      </c>
      <c r="Z413" t="s">
        <v>91</v>
      </c>
      <c r="AA413" t="s">
        <v>91</v>
      </c>
      <c r="AB413" t="s">
        <v>91</v>
      </c>
      <c r="AC413" t="s">
        <v>91</v>
      </c>
      <c r="AD413" t="s">
        <v>91</v>
      </c>
      <c r="AE413" t="s">
        <v>91</v>
      </c>
      <c r="AF413" t="s">
        <v>91</v>
      </c>
      <c r="AG413" s="1" t="s">
        <v>91</v>
      </c>
      <c r="AH413" s="1" t="s">
        <v>91</v>
      </c>
      <c r="AI413" t="s">
        <v>91</v>
      </c>
      <c r="AM413" t="s">
        <v>91</v>
      </c>
      <c r="AN413" t="s">
        <v>91</v>
      </c>
      <c r="AO413" t="s">
        <v>91</v>
      </c>
      <c r="AP413" t="s">
        <v>91</v>
      </c>
      <c r="AQ413" s="1" t="s">
        <v>91</v>
      </c>
      <c r="AR413" s="1" t="s">
        <v>91</v>
      </c>
      <c r="AS413" s="1" t="s">
        <v>91</v>
      </c>
      <c r="AT413" s="1" t="s">
        <v>91</v>
      </c>
      <c r="AU413" s="1" t="s">
        <v>91</v>
      </c>
      <c r="AV413" t="s">
        <v>91</v>
      </c>
      <c r="AW413" t="s">
        <v>91</v>
      </c>
      <c r="AX413" t="s">
        <v>91</v>
      </c>
      <c r="AY413" t="s">
        <v>91</v>
      </c>
      <c r="AZ413" t="s">
        <v>91</v>
      </c>
      <c r="BA413" t="s">
        <v>91</v>
      </c>
      <c r="BB413" s="2">
        <v>45113.505416666667</v>
      </c>
      <c r="BC413" s="2"/>
      <c r="BD413" t="s">
        <v>91</v>
      </c>
      <c r="BF413" s="1" t="s">
        <v>75</v>
      </c>
      <c r="BI413" s="1" t="s">
        <v>88</v>
      </c>
      <c r="BJ413">
        <v>1</v>
      </c>
      <c r="BK413" s="1" t="s">
        <v>89</v>
      </c>
      <c r="BL413" t="s">
        <v>91</v>
      </c>
      <c r="BM413" s="1" t="s">
        <v>91</v>
      </c>
      <c r="BN413" s="1" t="s">
        <v>91</v>
      </c>
      <c r="BO413" s="1" t="s">
        <v>91</v>
      </c>
      <c r="BP413" s="1" t="s">
        <v>91</v>
      </c>
      <c r="BQ413" t="s">
        <v>91</v>
      </c>
      <c r="BR413" s="3">
        <v>45113</v>
      </c>
      <c r="BS413" s="3"/>
      <c r="BT413" t="s">
        <v>91</v>
      </c>
      <c r="BU413" t="s">
        <v>91</v>
      </c>
      <c r="BW413" s="1" t="s">
        <v>1077</v>
      </c>
    </row>
    <row r="414" spans="1:75" x14ac:dyDescent="0.35">
      <c r="A414">
        <v>156702</v>
      </c>
      <c r="B414" s="1" t="s">
        <v>75</v>
      </c>
      <c r="C414">
        <v>80</v>
      </c>
      <c r="D414">
        <v>11121001</v>
      </c>
      <c r="E414">
        <v>121001</v>
      </c>
      <c r="F414" s="1" t="s">
        <v>76</v>
      </c>
      <c r="G414" s="1" t="s">
        <v>2474</v>
      </c>
      <c r="H414">
        <v>0</v>
      </c>
      <c r="I414" s="1" t="s">
        <v>78</v>
      </c>
      <c r="J414" s="1" t="s">
        <v>2475</v>
      </c>
      <c r="K414" s="1" t="s">
        <v>2476</v>
      </c>
      <c r="L414" t="s">
        <v>91</v>
      </c>
      <c r="M414" t="s">
        <v>91</v>
      </c>
      <c r="N414" s="1" t="s">
        <v>2477</v>
      </c>
      <c r="O414" t="s">
        <v>91</v>
      </c>
      <c r="P414" s="1" t="s">
        <v>2478</v>
      </c>
      <c r="Q414" s="1" t="s">
        <v>2479</v>
      </c>
      <c r="R414" s="1" t="s">
        <v>2480</v>
      </c>
      <c r="S414">
        <v>1280</v>
      </c>
      <c r="T414">
        <v>89295000</v>
      </c>
      <c r="U414" s="1" t="s">
        <v>108</v>
      </c>
      <c r="V414" s="1" t="s">
        <v>276</v>
      </c>
      <c r="W414" s="1" t="s">
        <v>87</v>
      </c>
      <c r="X414">
        <v>47</v>
      </c>
      <c r="Y414">
        <v>33072776</v>
      </c>
      <c r="Z414" t="s">
        <v>91</v>
      </c>
      <c r="AA414" t="s">
        <v>91</v>
      </c>
      <c r="AB414" t="s">
        <v>91</v>
      </c>
      <c r="AC414" t="s">
        <v>91</v>
      </c>
      <c r="AD414" t="s">
        <v>91</v>
      </c>
      <c r="AE414" t="s">
        <v>91</v>
      </c>
      <c r="AF414" t="s">
        <v>91</v>
      </c>
      <c r="AG414" s="1" t="s">
        <v>91</v>
      </c>
      <c r="AH414" s="1" t="s">
        <v>91</v>
      </c>
      <c r="AI414" t="s">
        <v>91</v>
      </c>
      <c r="AM414" t="s">
        <v>91</v>
      </c>
      <c r="AN414" t="s">
        <v>91</v>
      </c>
      <c r="AO414" t="s">
        <v>91</v>
      </c>
      <c r="AP414" t="s">
        <v>91</v>
      </c>
      <c r="AQ414" s="1" t="s">
        <v>91</v>
      </c>
      <c r="AR414" s="1" t="s">
        <v>91</v>
      </c>
      <c r="AS414" s="1" t="s">
        <v>91</v>
      </c>
      <c r="AT414" s="1" t="s">
        <v>91</v>
      </c>
      <c r="AU414" s="1" t="s">
        <v>91</v>
      </c>
      <c r="AV414" t="s">
        <v>91</v>
      </c>
      <c r="AW414" t="s">
        <v>91</v>
      </c>
      <c r="AX414" t="s">
        <v>91</v>
      </c>
      <c r="AY414" t="s">
        <v>91</v>
      </c>
      <c r="AZ414" t="s">
        <v>91</v>
      </c>
      <c r="BA414" t="s">
        <v>91</v>
      </c>
      <c r="BB414" s="2">
        <v>45113.462708333333</v>
      </c>
      <c r="BC414" s="2"/>
      <c r="BD414" t="s">
        <v>91</v>
      </c>
      <c r="BF414" s="1" t="s">
        <v>75</v>
      </c>
      <c r="BI414" s="1" t="s">
        <v>88</v>
      </c>
      <c r="BJ414">
        <v>1</v>
      </c>
      <c r="BK414" s="1" t="s">
        <v>89</v>
      </c>
      <c r="BL414" t="s">
        <v>91</v>
      </c>
      <c r="BM414" s="1" t="s">
        <v>91</v>
      </c>
      <c r="BN414" s="1" t="s">
        <v>91</v>
      </c>
      <c r="BO414" s="1" t="s">
        <v>91</v>
      </c>
      <c r="BP414" s="1" t="s">
        <v>91</v>
      </c>
      <c r="BQ414" t="s">
        <v>91</v>
      </c>
      <c r="BR414" s="3">
        <v>45113</v>
      </c>
      <c r="BS414" s="3"/>
      <c r="BT414" t="s">
        <v>91</v>
      </c>
      <c r="BU414" t="s">
        <v>91</v>
      </c>
      <c r="BW414" s="1" t="s">
        <v>90</v>
      </c>
    </row>
    <row r="415" spans="1:75" x14ac:dyDescent="0.35">
      <c r="A415">
        <v>147400</v>
      </c>
      <c r="B415" s="1" t="s">
        <v>75</v>
      </c>
      <c r="C415">
        <v>80</v>
      </c>
      <c r="D415">
        <v>11121001</v>
      </c>
      <c r="E415">
        <v>121001</v>
      </c>
      <c r="F415" s="1" t="s">
        <v>76</v>
      </c>
      <c r="G415" s="1" t="s">
        <v>2481</v>
      </c>
      <c r="H415">
        <v>0</v>
      </c>
      <c r="I415" s="1" t="s">
        <v>78</v>
      </c>
      <c r="J415" s="1" t="s">
        <v>2475</v>
      </c>
      <c r="K415" s="1" t="s">
        <v>2482</v>
      </c>
      <c r="L415" t="s">
        <v>91</v>
      </c>
      <c r="M415" t="s">
        <v>91</v>
      </c>
      <c r="N415" s="1" t="s">
        <v>2477</v>
      </c>
      <c r="O415" t="s">
        <v>91</v>
      </c>
      <c r="P415" s="1" t="s">
        <v>2483</v>
      </c>
      <c r="Q415" s="1" t="s">
        <v>1496</v>
      </c>
      <c r="R415" s="1" t="s">
        <v>236</v>
      </c>
      <c r="S415">
        <v>1280</v>
      </c>
      <c r="T415">
        <v>89280352</v>
      </c>
      <c r="U415" s="1" t="s">
        <v>108</v>
      </c>
      <c r="V415" s="1" t="s">
        <v>520</v>
      </c>
      <c r="W415" s="1" t="s">
        <v>87</v>
      </c>
      <c r="X415">
        <v>47</v>
      </c>
      <c r="Y415">
        <v>36440054</v>
      </c>
      <c r="Z415" t="s">
        <v>91</v>
      </c>
      <c r="AA415" t="s">
        <v>91</v>
      </c>
      <c r="AB415" t="s">
        <v>91</v>
      </c>
      <c r="AC415" t="s">
        <v>91</v>
      </c>
      <c r="AD415" t="s">
        <v>91</v>
      </c>
      <c r="AE415" t="s">
        <v>91</v>
      </c>
      <c r="AF415" t="s">
        <v>91</v>
      </c>
      <c r="AG415" s="1" t="s">
        <v>91</v>
      </c>
      <c r="AH415" s="1" t="s">
        <v>91</v>
      </c>
      <c r="AI415" t="s">
        <v>91</v>
      </c>
      <c r="AM415" t="s">
        <v>91</v>
      </c>
      <c r="AN415" t="s">
        <v>91</v>
      </c>
      <c r="AO415" t="s">
        <v>91</v>
      </c>
      <c r="AP415" t="s">
        <v>91</v>
      </c>
      <c r="AQ415" s="1" t="s">
        <v>91</v>
      </c>
      <c r="AR415" s="1" t="s">
        <v>91</v>
      </c>
      <c r="AS415" s="1" t="s">
        <v>91</v>
      </c>
      <c r="AT415" s="1" t="s">
        <v>91</v>
      </c>
      <c r="AU415" s="1" t="s">
        <v>91</v>
      </c>
      <c r="AV415" t="s">
        <v>91</v>
      </c>
      <c r="AW415" t="s">
        <v>91</v>
      </c>
      <c r="AX415" t="s">
        <v>91</v>
      </c>
      <c r="AY415" t="s">
        <v>91</v>
      </c>
      <c r="AZ415" t="s">
        <v>91</v>
      </c>
      <c r="BA415" t="s">
        <v>91</v>
      </c>
      <c r="BB415" s="2">
        <v>44733.433136574073</v>
      </c>
      <c r="BC415" s="2"/>
      <c r="BD415" t="s">
        <v>91</v>
      </c>
      <c r="BF415" s="1" t="s">
        <v>75</v>
      </c>
      <c r="BI415" s="1" t="s">
        <v>88</v>
      </c>
      <c r="BJ415">
        <v>1</v>
      </c>
      <c r="BK415" s="1" t="s">
        <v>89</v>
      </c>
      <c r="BL415" t="s">
        <v>91</v>
      </c>
      <c r="BM415" s="1" t="s">
        <v>109</v>
      </c>
      <c r="BN415" s="1" t="s">
        <v>91</v>
      </c>
      <c r="BO415" s="1" t="s">
        <v>91</v>
      </c>
      <c r="BP415" s="1" t="s">
        <v>91</v>
      </c>
      <c r="BQ415" t="s">
        <v>91</v>
      </c>
      <c r="BR415" s="3">
        <v>44733</v>
      </c>
      <c r="BS415" s="3"/>
      <c r="BT415" t="s">
        <v>91</v>
      </c>
      <c r="BU415" t="s">
        <v>91</v>
      </c>
      <c r="BW415" s="1" t="s">
        <v>90</v>
      </c>
    </row>
    <row r="416" spans="1:75" x14ac:dyDescent="0.35">
      <c r="A416">
        <v>775</v>
      </c>
      <c r="B416" s="1" t="s">
        <v>75</v>
      </c>
      <c r="C416">
        <v>80</v>
      </c>
      <c r="D416">
        <v>11121001</v>
      </c>
      <c r="E416">
        <v>121001</v>
      </c>
      <c r="F416" s="1" t="s">
        <v>76</v>
      </c>
      <c r="G416" s="1" t="s">
        <v>2484</v>
      </c>
      <c r="I416" s="1" t="s">
        <v>78</v>
      </c>
      <c r="J416" s="1" t="s">
        <v>2485</v>
      </c>
      <c r="K416" s="1" t="s">
        <v>2486</v>
      </c>
      <c r="L416" t="s">
        <v>91</v>
      </c>
      <c r="M416" t="s">
        <v>91</v>
      </c>
      <c r="N416" s="1" t="s">
        <v>2487</v>
      </c>
      <c r="O416" t="s">
        <v>91</v>
      </c>
      <c r="P416" s="1" t="s">
        <v>273</v>
      </c>
      <c r="Q416" s="1" t="s">
        <v>2488</v>
      </c>
      <c r="R416" s="1" t="s">
        <v>91</v>
      </c>
      <c r="S416">
        <v>1280</v>
      </c>
      <c r="T416">
        <v>89295000</v>
      </c>
      <c r="U416" s="1" t="s">
        <v>108</v>
      </c>
      <c r="V416" s="1" t="s">
        <v>276</v>
      </c>
      <c r="W416" s="1" t="s">
        <v>87</v>
      </c>
      <c r="X416">
        <v>47</v>
      </c>
      <c r="Y416">
        <v>36449135</v>
      </c>
      <c r="Z416" t="s">
        <v>91</v>
      </c>
      <c r="AA416" t="s">
        <v>91</v>
      </c>
      <c r="AB416" t="s">
        <v>91</v>
      </c>
      <c r="AC416" t="s">
        <v>91</v>
      </c>
      <c r="AD416" t="s">
        <v>91</v>
      </c>
      <c r="AE416" t="s">
        <v>91</v>
      </c>
      <c r="AF416" t="s">
        <v>91</v>
      </c>
      <c r="AG416" s="1" t="s">
        <v>91</v>
      </c>
      <c r="AH416" s="1" t="s">
        <v>91</v>
      </c>
      <c r="AI416" t="s">
        <v>91</v>
      </c>
      <c r="AJ416">
        <v>0</v>
      </c>
      <c r="AK416">
        <v>0</v>
      </c>
      <c r="AL416">
        <v>0</v>
      </c>
      <c r="AM416" t="s">
        <v>91</v>
      </c>
      <c r="AN416" t="s">
        <v>91</v>
      </c>
      <c r="AO416" t="s">
        <v>91</v>
      </c>
      <c r="AP416" t="s">
        <v>91</v>
      </c>
      <c r="AQ416" s="1" t="s">
        <v>91</v>
      </c>
      <c r="AR416" s="1" t="s">
        <v>91</v>
      </c>
      <c r="AS416" s="1" t="s">
        <v>91</v>
      </c>
      <c r="AT416" s="1" t="s">
        <v>91</v>
      </c>
      <c r="AU416" s="1" t="s">
        <v>91</v>
      </c>
      <c r="AV416" t="s">
        <v>91</v>
      </c>
      <c r="AW416" t="s">
        <v>91</v>
      </c>
      <c r="AX416" t="s">
        <v>91</v>
      </c>
      <c r="AY416" t="s">
        <v>91</v>
      </c>
      <c r="AZ416" t="s">
        <v>91</v>
      </c>
      <c r="BA416" t="s">
        <v>91</v>
      </c>
      <c r="BB416" s="2">
        <v>43308.392939814818</v>
      </c>
      <c r="BC416" s="2"/>
      <c r="BD416" t="s">
        <v>91</v>
      </c>
      <c r="BE416">
        <v>775</v>
      </c>
      <c r="BF416" s="1" t="s">
        <v>75</v>
      </c>
      <c r="BG416">
        <v>0</v>
      </c>
      <c r="BH416">
        <v>0</v>
      </c>
      <c r="BI416" s="1" t="s">
        <v>88</v>
      </c>
      <c r="BJ416">
        <v>1</v>
      </c>
      <c r="BK416" s="1" t="s">
        <v>89</v>
      </c>
      <c r="BL416" t="s">
        <v>91</v>
      </c>
      <c r="BM416" s="1" t="s">
        <v>109</v>
      </c>
      <c r="BN416" s="1" t="s">
        <v>110</v>
      </c>
      <c r="BO416" s="1" t="s">
        <v>111</v>
      </c>
      <c r="BP416" s="1" t="s">
        <v>91</v>
      </c>
      <c r="BQ416" t="s">
        <v>91</v>
      </c>
      <c r="BR416" s="3">
        <v>43308</v>
      </c>
      <c r="BS416" s="3"/>
      <c r="BT416" t="s">
        <v>91</v>
      </c>
      <c r="BU416" t="s">
        <v>91</v>
      </c>
      <c r="BV416">
        <v>6</v>
      </c>
      <c r="BW416" s="1" t="s">
        <v>90</v>
      </c>
    </row>
    <row r="417" spans="1:75" x14ac:dyDescent="0.35">
      <c r="A417">
        <v>152738</v>
      </c>
      <c r="B417" s="1" t="s">
        <v>75</v>
      </c>
      <c r="C417">
        <v>80</v>
      </c>
      <c r="D417">
        <v>11121001</v>
      </c>
      <c r="E417">
        <v>121001</v>
      </c>
      <c r="F417" s="1" t="s">
        <v>76</v>
      </c>
      <c r="G417" s="1" t="s">
        <v>2489</v>
      </c>
      <c r="H417">
        <v>0</v>
      </c>
      <c r="I417" s="1" t="s">
        <v>78</v>
      </c>
      <c r="J417" s="1" t="s">
        <v>2490</v>
      </c>
      <c r="K417" s="1" t="s">
        <v>2491</v>
      </c>
      <c r="L417" t="s">
        <v>91</v>
      </c>
      <c r="M417" t="s">
        <v>91</v>
      </c>
      <c r="N417" s="1" t="s">
        <v>2492</v>
      </c>
      <c r="O417" t="s">
        <v>91</v>
      </c>
      <c r="P417" s="1" t="s">
        <v>1101</v>
      </c>
      <c r="Q417" s="1" t="s">
        <v>2493</v>
      </c>
      <c r="R417" s="1" t="s">
        <v>236</v>
      </c>
      <c r="S417">
        <v>1280</v>
      </c>
      <c r="T417">
        <v>89270000</v>
      </c>
      <c r="U417" s="1" t="s">
        <v>108</v>
      </c>
      <c r="V417" s="1" t="s">
        <v>1103</v>
      </c>
      <c r="W417" s="1" t="s">
        <v>87</v>
      </c>
      <c r="Z417" t="s">
        <v>91</v>
      </c>
      <c r="AA417" t="s">
        <v>91</v>
      </c>
      <c r="AB417" t="s">
        <v>91</v>
      </c>
      <c r="AC417" t="s">
        <v>91</v>
      </c>
      <c r="AD417" t="s">
        <v>91</v>
      </c>
      <c r="AE417" t="s">
        <v>91</v>
      </c>
      <c r="AF417" t="s">
        <v>91</v>
      </c>
      <c r="AG417" s="1" t="s">
        <v>91</v>
      </c>
      <c r="AH417" s="1" t="s">
        <v>91</v>
      </c>
      <c r="AI417" t="s">
        <v>91</v>
      </c>
      <c r="AM417" t="s">
        <v>91</v>
      </c>
      <c r="AN417" t="s">
        <v>91</v>
      </c>
      <c r="AO417" t="s">
        <v>91</v>
      </c>
      <c r="AP417" t="s">
        <v>91</v>
      </c>
      <c r="AQ417" s="1" t="s">
        <v>91</v>
      </c>
      <c r="AR417" s="1" t="s">
        <v>91</v>
      </c>
      <c r="AS417" s="1" t="s">
        <v>91</v>
      </c>
      <c r="AT417" s="1" t="s">
        <v>91</v>
      </c>
      <c r="AU417" s="1" t="s">
        <v>91</v>
      </c>
      <c r="AV417" t="s">
        <v>91</v>
      </c>
      <c r="AW417" t="s">
        <v>91</v>
      </c>
      <c r="AX417" t="s">
        <v>91</v>
      </c>
      <c r="AY417" t="s">
        <v>91</v>
      </c>
      <c r="AZ417" t="s">
        <v>91</v>
      </c>
      <c r="BA417" t="s">
        <v>91</v>
      </c>
      <c r="BB417" s="2">
        <v>45019.565613425926</v>
      </c>
      <c r="BC417" s="2"/>
      <c r="BD417" t="s">
        <v>91</v>
      </c>
      <c r="BF417" s="1" t="s">
        <v>75</v>
      </c>
      <c r="BI417" s="1" t="s">
        <v>88</v>
      </c>
      <c r="BJ417">
        <v>1</v>
      </c>
      <c r="BK417" s="1" t="s">
        <v>89</v>
      </c>
      <c r="BL417" t="s">
        <v>91</v>
      </c>
      <c r="BM417" s="1" t="s">
        <v>91</v>
      </c>
      <c r="BN417" s="1" t="s">
        <v>91</v>
      </c>
      <c r="BO417" s="1" t="s">
        <v>91</v>
      </c>
      <c r="BP417" s="1" t="s">
        <v>91</v>
      </c>
      <c r="BQ417" t="s">
        <v>91</v>
      </c>
      <c r="BR417" s="3">
        <v>45019</v>
      </c>
      <c r="BS417" s="3"/>
      <c r="BT417" t="s">
        <v>91</v>
      </c>
      <c r="BU417" t="s">
        <v>91</v>
      </c>
      <c r="BW417" s="1" t="s">
        <v>2494</v>
      </c>
    </row>
    <row r="418" spans="1:75" x14ac:dyDescent="0.35">
      <c r="A418">
        <v>144467</v>
      </c>
      <c r="B418" s="1" t="s">
        <v>75</v>
      </c>
      <c r="C418">
        <v>80</v>
      </c>
      <c r="D418">
        <v>11121001</v>
      </c>
      <c r="E418">
        <v>121001</v>
      </c>
      <c r="F418" s="1" t="s">
        <v>76</v>
      </c>
      <c r="G418" s="1" t="s">
        <v>2495</v>
      </c>
      <c r="I418" s="1" t="s">
        <v>78</v>
      </c>
      <c r="J418" s="1" t="s">
        <v>2496</v>
      </c>
      <c r="K418" s="1" t="s">
        <v>2497</v>
      </c>
      <c r="L418" t="s">
        <v>91</v>
      </c>
      <c r="M418" t="s">
        <v>91</v>
      </c>
      <c r="N418" s="1" t="s">
        <v>2498</v>
      </c>
      <c r="O418" t="s">
        <v>91</v>
      </c>
      <c r="P418" s="1" t="s">
        <v>260</v>
      </c>
      <c r="Q418" s="1" t="s">
        <v>1120</v>
      </c>
      <c r="R418" s="1" t="s">
        <v>91</v>
      </c>
      <c r="S418">
        <v>1277</v>
      </c>
      <c r="T418">
        <v>89202003</v>
      </c>
      <c r="U418" s="1" t="s">
        <v>343</v>
      </c>
      <c r="V418" s="1" t="s">
        <v>100</v>
      </c>
      <c r="W418" s="1" t="s">
        <v>87</v>
      </c>
      <c r="X418">
        <v>47</v>
      </c>
      <c r="Y418">
        <v>34550400</v>
      </c>
      <c r="Z418" t="s">
        <v>91</v>
      </c>
      <c r="AA418" t="s">
        <v>91</v>
      </c>
      <c r="AB418" t="s">
        <v>91</v>
      </c>
      <c r="AC418" t="s">
        <v>91</v>
      </c>
      <c r="AD418" t="s">
        <v>91</v>
      </c>
      <c r="AE418" t="s">
        <v>91</v>
      </c>
      <c r="AF418" t="s">
        <v>91</v>
      </c>
      <c r="AG418" s="1" t="s">
        <v>91</v>
      </c>
      <c r="AH418" s="1" t="s">
        <v>91</v>
      </c>
      <c r="AI418" t="s">
        <v>91</v>
      </c>
      <c r="AJ418">
        <v>0</v>
      </c>
      <c r="AK418">
        <v>0</v>
      </c>
      <c r="AL418">
        <v>0</v>
      </c>
      <c r="AM418" t="s">
        <v>91</v>
      </c>
      <c r="AN418" t="s">
        <v>91</v>
      </c>
      <c r="AO418" t="s">
        <v>91</v>
      </c>
      <c r="AP418" t="s">
        <v>91</v>
      </c>
      <c r="AQ418" s="1" t="s">
        <v>91</v>
      </c>
      <c r="AR418" s="1" t="s">
        <v>91</v>
      </c>
      <c r="AS418" s="1" t="s">
        <v>91</v>
      </c>
      <c r="AT418" s="1" t="s">
        <v>91</v>
      </c>
      <c r="AU418" s="1" t="s">
        <v>91</v>
      </c>
      <c r="AV418" t="s">
        <v>91</v>
      </c>
      <c r="AW418" t="s">
        <v>91</v>
      </c>
      <c r="AX418" t="s">
        <v>91</v>
      </c>
      <c r="AY418" t="s">
        <v>91</v>
      </c>
      <c r="AZ418" t="s">
        <v>91</v>
      </c>
      <c r="BA418" t="s">
        <v>91</v>
      </c>
      <c r="BB418" s="2"/>
      <c r="BC418" s="2"/>
      <c r="BD418" t="s">
        <v>91</v>
      </c>
      <c r="BF418" s="1" t="s">
        <v>75</v>
      </c>
      <c r="BG418">
        <v>0</v>
      </c>
      <c r="BH418">
        <v>0</v>
      </c>
      <c r="BI418" s="1" t="s">
        <v>88</v>
      </c>
      <c r="BJ418">
        <v>1</v>
      </c>
      <c r="BK418" s="1" t="s">
        <v>89</v>
      </c>
      <c r="BL418" t="s">
        <v>91</v>
      </c>
      <c r="BM418" s="1" t="s">
        <v>109</v>
      </c>
      <c r="BN418" s="1" t="s">
        <v>110</v>
      </c>
      <c r="BO418" s="1" t="s">
        <v>180</v>
      </c>
      <c r="BP418" s="1" t="s">
        <v>91</v>
      </c>
      <c r="BQ418" t="s">
        <v>91</v>
      </c>
      <c r="BR418" s="3"/>
      <c r="BS418" s="3"/>
      <c r="BT418" t="s">
        <v>91</v>
      </c>
      <c r="BU418" t="s">
        <v>91</v>
      </c>
      <c r="BV418">
        <v>9</v>
      </c>
      <c r="BW418" s="1" t="s">
        <v>90</v>
      </c>
    </row>
    <row r="419" spans="1:75" x14ac:dyDescent="0.35">
      <c r="A419">
        <v>138212</v>
      </c>
      <c r="B419" s="1" t="s">
        <v>75</v>
      </c>
      <c r="C419">
        <v>80</v>
      </c>
      <c r="D419">
        <v>11121001</v>
      </c>
      <c r="E419">
        <v>121001</v>
      </c>
      <c r="F419" s="1" t="s">
        <v>76</v>
      </c>
      <c r="G419" s="1" t="s">
        <v>2499</v>
      </c>
      <c r="H419">
        <v>0</v>
      </c>
      <c r="I419" s="1" t="s">
        <v>78</v>
      </c>
      <c r="J419" s="1" t="s">
        <v>2500</v>
      </c>
      <c r="K419" s="1" t="s">
        <v>2501</v>
      </c>
      <c r="L419" t="s">
        <v>91</v>
      </c>
      <c r="M419" t="s">
        <v>91</v>
      </c>
      <c r="N419" s="1" t="s">
        <v>2502</v>
      </c>
      <c r="O419" t="s">
        <v>91</v>
      </c>
      <c r="P419" s="1" t="s">
        <v>1377</v>
      </c>
      <c r="Q419" s="1" t="s">
        <v>2503</v>
      </c>
      <c r="R419" s="1" t="s">
        <v>91</v>
      </c>
      <c r="S419">
        <v>1284</v>
      </c>
      <c r="T419">
        <v>89580000</v>
      </c>
      <c r="U419" s="1" t="s">
        <v>108</v>
      </c>
      <c r="V419" s="1" t="s">
        <v>1026</v>
      </c>
      <c r="W419" s="1" t="s">
        <v>87</v>
      </c>
      <c r="X419">
        <v>49</v>
      </c>
      <c r="Y419">
        <v>32462825</v>
      </c>
      <c r="Z419" t="s">
        <v>91</v>
      </c>
      <c r="AA419" t="s">
        <v>91</v>
      </c>
      <c r="AB419" t="s">
        <v>91</v>
      </c>
      <c r="AC419" t="s">
        <v>91</v>
      </c>
      <c r="AD419" t="s">
        <v>91</v>
      </c>
      <c r="AE419" t="s">
        <v>91</v>
      </c>
      <c r="AF419" t="s">
        <v>91</v>
      </c>
      <c r="AG419" s="1" t="s">
        <v>146</v>
      </c>
      <c r="AH419" s="1" t="s">
        <v>91</v>
      </c>
      <c r="AI419" t="s">
        <v>91</v>
      </c>
      <c r="AM419" t="s">
        <v>91</v>
      </c>
      <c r="AN419" t="s">
        <v>91</v>
      </c>
      <c r="AO419" t="s">
        <v>91</v>
      </c>
      <c r="AP419" t="s">
        <v>91</v>
      </c>
      <c r="AQ419" s="1" t="s">
        <v>147</v>
      </c>
      <c r="AR419" s="1" t="s">
        <v>147</v>
      </c>
      <c r="AS419" s="1" t="s">
        <v>147</v>
      </c>
      <c r="AT419" s="1" t="s">
        <v>147</v>
      </c>
      <c r="AU419" s="1" t="s">
        <v>147</v>
      </c>
      <c r="AV419" t="s">
        <v>91</v>
      </c>
      <c r="AW419" t="s">
        <v>91</v>
      </c>
      <c r="AX419" t="s">
        <v>91</v>
      </c>
      <c r="AY419" t="s">
        <v>91</v>
      </c>
      <c r="AZ419" t="s">
        <v>91</v>
      </c>
      <c r="BA419" t="s">
        <v>91</v>
      </c>
      <c r="BB419" s="2">
        <v>44378.578518518516</v>
      </c>
      <c r="BC419" s="2">
        <v>44644.458587962959</v>
      </c>
      <c r="BD419" t="s">
        <v>91</v>
      </c>
      <c r="BF419" s="1" t="s">
        <v>75</v>
      </c>
      <c r="BH419">
        <v>0</v>
      </c>
      <c r="BI419" s="1" t="s">
        <v>88</v>
      </c>
      <c r="BJ419">
        <v>1</v>
      </c>
      <c r="BK419" s="1" t="s">
        <v>89</v>
      </c>
      <c r="BL419" t="s">
        <v>91</v>
      </c>
      <c r="BM419" s="1" t="s">
        <v>109</v>
      </c>
      <c r="BN419" s="1" t="s">
        <v>148</v>
      </c>
      <c r="BO419" s="1" t="s">
        <v>91</v>
      </c>
      <c r="BP419" s="1" t="s">
        <v>91</v>
      </c>
      <c r="BQ419" t="s">
        <v>91</v>
      </c>
      <c r="BR419" s="3">
        <v>44378</v>
      </c>
      <c r="BS419" s="3">
        <v>44644</v>
      </c>
      <c r="BT419" t="s">
        <v>91</v>
      </c>
      <c r="BU419" t="s">
        <v>91</v>
      </c>
      <c r="BW419" s="1" t="s">
        <v>1171</v>
      </c>
    </row>
    <row r="420" spans="1:75" x14ac:dyDescent="0.35">
      <c r="A420">
        <v>144460</v>
      </c>
      <c r="B420" s="1" t="s">
        <v>75</v>
      </c>
      <c r="C420">
        <v>80</v>
      </c>
      <c r="D420">
        <v>11121001</v>
      </c>
      <c r="E420">
        <v>121001</v>
      </c>
      <c r="F420" s="1" t="s">
        <v>76</v>
      </c>
      <c r="G420" s="1" t="s">
        <v>2504</v>
      </c>
      <c r="I420" s="1" t="s">
        <v>78</v>
      </c>
      <c r="J420" s="1" t="s">
        <v>2505</v>
      </c>
      <c r="K420" s="1" t="s">
        <v>2506</v>
      </c>
      <c r="L420" t="s">
        <v>91</v>
      </c>
      <c r="M420" t="s">
        <v>91</v>
      </c>
      <c r="N420" s="1" t="s">
        <v>2507</v>
      </c>
      <c r="O420" t="s">
        <v>91</v>
      </c>
      <c r="P420" s="1" t="s">
        <v>2508</v>
      </c>
      <c r="Q420" s="1" t="s">
        <v>2509</v>
      </c>
      <c r="R420" s="1" t="s">
        <v>91</v>
      </c>
      <c r="T420">
        <v>89280970</v>
      </c>
      <c r="U420" s="1" t="s">
        <v>108</v>
      </c>
      <c r="V420" s="1" t="s">
        <v>1331</v>
      </c>
      <c r="W420" s="1" t="s">
        <v>87</v>
      </c>
      <c r="X420">
        <v>47</v>
      </c>
      <c r="Y420">
        <v>36335703</v>
      </c>
      <c r="Z420" t="s">
        <v>91</v>
      </c>
      <c r="AA420" t="s">
        <v>91</v>
      </c>
      <c r="AB420" t="s">
        <v>91</v>
      </c>
      <c r="AC420" t="s">
        <v>91</v>
      </c>
      <c r="AD420" t="s">
        <v>91</v>
      </c>
      <c r="AE420" t="s">
        <v>91</v>
      </c>
      <c r="AF420" t="s">
        <v>91</v>
      </c>
      <c r="AG420" s="1" t="s">
        <v>146</v>
      </c>
      <c r="AH420" s="1" t="s">
        <v>91</v>
      </c>
      <c r="AI420" t="s">
        <v>91</v>
      </c>
      <c r="AJ420">
        <v>0</v>
      </c>
      <c r="AK420">
        <v>0</v>
      </c>
      <c r="AL420">
        <v>0</v>
      </c>
      <c r="AM420" t="s">
        <v>91</v>
      </c>
      <c r="AN420" t="s">
        <v>91</v>
      </c>
      <c r="AO420" t="s">
        <v>91</v>
      </c>
      <c r="AP420" t="s">
        <v>91</v>
      </c>
      <c r="AQ420" s="1" t="s">
        <v>147</v>
      </c>
      <c r="AR420" s="1" t="s">
        <v>147</v>
      </c>
      <c r="AS420" s="1" t="s">
        <v>147</v>
      </c>
      <c r="AT420" s="1" t="s">
        <v>147</v>
      </c>
      <c r="AU420" s="1" t="s">
        <v>147</v>
      </c>
      <c r="AV420" t="s">
        <v>91</v>
      </c>
      <c r="AW420" t="s">
        <v>91</v>
      </c>
      <c r="AX420" t="s">
        <v>91</v>
      </c>
      <c r="AY420" t="s">
        <v>91</v>
      </c>
      <c r="AZ420" t="s">
        <v>91</v>
      </c>
      <c r="BA420" t="s">
        <v>91</v>
      </c>
      <c r="BB420" s="2"/>
      <c r="BC420" s="2">
        <v>44572.508657407408</v>
      </c>
      <c r="BD420" t="s">
        <v>91</v>
      </c>
      <c r="BF420" s="1" t="s">
        <v>75</v>
      </c>
      <c r="BG420">
        <v>0</v>
      </c>
      <c r="BH420">
        <v>0</v>
      </c>
      <c r="BI420" s="1" t="s">
        <v>88</v>
      </c>
      <c r="BJ420">
        <v>1</v>
      </c>
      <c r="BK420" s="1" t="s">
        <v>89</v>
      </c>
      <c r="BL420" t="s">
        <v>91</v>
      </c>
      <c r="BM420" s="1" t="s">
        <v>109</v>
      </c>
      <c r="BN420" s="1" t="s">
        <v>148</v>
      </c>
      <c r="BO420" s="1" t="s">
        <v>111</v>
      </c>
      <c r="BP420" s="1" t="s">
        <v>91</v>
      </c>
      <c r="BQ420" t="s">
        <v>91</v>
      </c>
      <c r="BR420" s="3"/>
      <c r="BS420" s="3">
        <v>44572</v>
      </c>
      <c r="BT420" t="s">
        <v>91</v>
      </c>
      <c r="BU420" t="s">
        <v>91</v>
      </c>
      <c r="BV420">
        <v>4</v>
      </c>
      <c r="BW420" s="1" t="s">
        <v>735</v>
      </c>
    </row>
    <row r="421" spans="1:75" x14ac:dyDescent="0.35">
      <c r="A421">
        <v>144735</v>
      </c>
      <c r="B421" s="1" t="s">
        <v>75</v>
      </c>
      <c r="C421">
        <v>80</v>
      </c>
      <c r="D421">
        <v>11121001</v>
      </c>
      <c r="E421">
        <v>121001</v>
      </c>
      <c r="F421" s="1" t="s">
        <v>76</v>
      </c>
      <c r="G421" s="1" t="s">
        <v>2510</v>
      </c>
      <c r="I421" s="1" t="s">
        <v>78</v>
      </c>
      <c r="J421" s="1" t="s">
        <v>2505</v>
      </c>
      <c r="K421" s="1" t="s">
        <v>2511</v>
      </c>
      <c r="L421" t="s">
        <v>91</v>
      </c>
      <c r="M421" t="s">
        <v>91</v>
      </c>
      <c r="N421" s="1" t="s">
        <v>2512</v>
      </c>
      <c r="O421" t="s">
        <v>91</v>
      </c>
      <c r="P421" s="1" t="s">
        <v>273</v>
      </c>
      <c r="Q421" s="1" t="s">
        <v>2513</v>
      </c>
      <c r="R421" s="1" t="s">
        <v>91</v>
      </c>
      <c r="S421">
        <v>1280</v>
      </c>
      <c r="T421">
        <v>89295000</v>
      </c>
      <c r="U421" s="1" t="s">
        <v>108</v>
      </c>
      <c r="V421" s="1" t="s">
        <v>276</v>
      </c>
      <c r="W421" s="1" t="s">
        <v>87</v>
      </c>
      <c r="X421">
        <v>47</v>
      </c>
      <c r="Y421">
        <v>36335703</v>
      </c>
      <c r="Z421" t="s">
        <v>91</v>
      </c>
      <c r="AA421" t="s">
        <v>91</v>
      </c>
      <c r="AB421" t="s">
        <v>91</v>
      </c>
      <c r="AC421" t="s">
        <v>91</v>
      </c>
      <c r="AD421" t="s">
        <v>91</v>
      </c>
      <c r="AE421" t="s">
        <v>91</v>
      </c>
      <c r="AF421" t="s">
        <v>91</v>
      </c>
      <c r="AG421" s="1" t="s">
        <v>91</v>
      </c>
      <c r="AH421" s="1" t="s">
        <v>91</v>
      </c>
      <c r="AI421" t="s">
        <v>91</v>
      </c>
      <c r="AJ421">
        <v>0</v>
      </c>
      <c r="AK421">
        <v>0</v>
      </c>
      <c r="AL421">
        <v>0</v>
      </c>
      <c r="AM421" t="s">
        <v>91</v>
      </c>
      <c r="AN421" t="s">
        <v>91</v>
      </c>
      <c r="AO421" t="s">
        <v>91</v>
      </c>
      <c r="AP421" t="s">
        <v>91</v>
      </c>
      <c r="AQ421" s="1" t="s">
        <v>91</v>
      </c>
      <c r="AR421" s="1" t="s">
        <v>91</v>
      </c>
      <c r="AS421" s="1" t="s">
        <v>91</v>
      </c>
      <c r="AT421" s="1" t="s">
        <v>91</v>
      </c>
      <c r="AU421" s="1" t="s">
        <v>91</v>
      </c>
      <c r="AV421" t="s">
        <v>91</v>
      </c>
      <c r="AW421" t="s">
        <v>91</v>
      </c>
      <c r="AX421" t="s">
        <v>91</v>
      </c>
      <c r="AY421" t="s">
        <v>91</v>
      </c>
      <c r="AZ421" t="s">
        <v>91</v>
      </c>
      <c r="BA421" t="s">
        <v>91</v>
      </c>
      <c r="BB421" s="2"/>
      <c r="BC421" s="2"/>
      <c r="BD421" t="s">
        <v>91</v>
      </c>
      <c r="BF421" s="1" t="s">
        <v>75</v>
      </c>
      <c r="BG421">
        <v>0</v>
      </c>
      <c r="BH421">
        <v>0</v>
      </c>
      <c r="BI421" s="1" t="s">
        <v>88</v>
      </c>
      <c r="BJ421">
        <v>1</v>
      </c>
      <c r="BK421" s="1" t="s">
        <v>89</v>
      </c>
      <c r="BL421" t="s">
        <v>91</v>
      </c>
      <c r="BM421" s="1" t="s">
        <v>109</v>
      </c>
      <c r="BN421" s="1" t="s">
        <v>148</v>
      </c>
      <c r="BO421" s="1" t="s">
        <v>180</v>
      </c>
      <c r="BP421" s="1" t="s">
        <v>91</v>
      </c>
      <c r="BQ421" t="s">
        <v>91</v>
      </c>
      <c r="BR421" s="3"/>
      <c r="BS421" s="3"/>
      <c r="BT421" t="s">
        <v>91</v>
      </c>
      <c r="BU421" t="s">
        <v>91</v>
      </c>
      <c r="BV421">
        <v>8</v>
      </c>
      <c r="BW421" s="1" t="s">
        <v>735</v>
      </c>
    </row>
    <row r="422" spans="1:75" x14ac:dyDescent="0.35">
      <c r="A422">
        <v>865</v>
      </c>
      <c r="B422" s="1" t="s">
        <v>75</v>
      </c>
      <c r="C422">
        <v>80</v>
      </c>
      <c r="D422">
        <v>11121001</v>
      </c>
      <c r="E422">
        <v>121001</v>
      </c>
      <c r="F422" s="1" t="s">
        <v>76</v>
      </c>
      <c r="G422" s="1" t="s">
        <v>2514</v>
      </c>
      <c r="I422" s="1" t="s">
        <v>78</v>
      </c>
      <c r="J422" s="1" t="s">
        <v>2515</v>
      </c>
      <c r="K422" s="1" t="s">
        <v>2516</v>
      </c>
      <c r="L422" t="s">
        <v>91</v>
      </c>
      <c r="M422" t="s">
        <v>91</v>
      </c>
      <c r="N422" s="1" t="s">
        <v>2517</v>
      </c>
      <c r="O422" t="s">
        <v>91</v>
      </c>
      <c r="P422" s="1" t="s">
        <v>2518</v>
      </c>
      <c r="Q422" s="1" t="s">
        <v>2519</v>
      </c>
      <c r="R422" s="1" t="s">
        <v>2520</v>
      </c>
      <c r="S422">
        <v>1280</v>
      </c>
      <c r="T422">
        <v>89248000</v>
      </c>
      <c r="U422" s="1" t="s">
        <v>108</v>
      </c>
      <c r="V422" s="1" t="s">
        <v>382</v>
      </c>
      <c r="W422" s="1" t="s">
        <v>87</v>
      </c>
      <c r="X422">
        <v>47</v>
      </c>
      <c r="Y422">
        <v>34453902</v>
      </c>
      <c r="Z422" t="s">
        <v>91</v>
      </c>
      <c r="AA422" t="s">
        <v>91</v>
      </c>
      <c r="AB422" t="s">
        <v>91</v>
      </c>
      <c r="AC422" t="s">
        <v>91</v>
      </c>
      <c r="AD422" t="s">
        <v>91</v>
      </c>
      <c r="AE422" t="s">
        <v>91</v>
      </c>
      <c r="AF422" t="s">
        <v>91</v>
      </c>
      <c r="AG422" s="1" t="s">
        <v>91</v>
      </c>
      <c r="AH422" s="1" t="s">
        <v>91</v>
      </c>
      <c r="AI422" t="s">
        <v>91</v>
      </c>
      <c r="AJ422">
        <v>0</v>
      </c>
      <c r="AK422">
        <v>0</v>
      </c>
      <c r="AL422">
        <v>0</v>
      </c>
      <c r="AM422" t="s">
        <v>91</v>
      </c>
      <c r="AN422" t="s">
        <v>91</v>
      </c>
      <c r="AO422" t="s">
        <v>91</v>
      </c>
      <c r="AP422" t="s">
        <v>91</v>
      </c>
      <c r="AQ422" s="1" t="s">
        <v>91</v>
      </c>
      <c r="AR422" s="1" t="s">
        <v>91</v>
      </c>
      <c r="AS422" s="1" t="s">
        <v>91</v>
      </c>
      <c r="AT422" s="1" t="s">
        <v>91</v>
      </c>
      <c r="AU422" s="1" t="s">
        <v>91</v>
      </c>
      <c r="AV422" t="s">
        <v>91</v>
      </c>
      <c r="AW422" t="s">
        <v>91</v>
      </c>
      <c r="AX422" t="s">
        <v>91</v>
      </c>
      <c r="AY422" t="s">
        <v>91</v>
      </c>
      <c r="AZ422" t="s">
        <v>91</v>
      </c>
      <c r="BA422" t="s">
        <v>91</v>
      </c>
      <c r="BB422" s="2">
        <v>43308.392974537041</v>
      </c>
      <c r="BC422" s="2"/>
      <c r="BD422" t="s">
        <v>91</v>
      </c>
      <c r="BE422">
        <v>865</v>
      </c>
      <c r="BF422" s="1" t="s">
        <v>75</v>
      </c>
      <c r="BG422">
        <v>0</v>
      </c>
      <c r="BH422">
        <v>0</v>
      </c>
      <c r="BI422" s="1" t="s">
        <v>88</v>
      </c>
      <c r="BJ422">
        <v>1</v>
      </c>
      <c r="BK422" s="1" t="s">
        <v>89</v>
      </c>
      <c r="BL422" t="s">
        <v>91</v>
      </c>
      <c r="BM422" s="1" t="s">
        <v>109</v>
      </c>
      <c r="BN422" s="1" t="s">
        <v>110</v>
      </c>
      <c r="BO422" s="1" t="s">
        <v>111</v>
      </c>
      <c r="BP422" s="1" t="s">
        <v>91</v>
      </c>
      <c r="BQ422" t="s">
        <v>91</v>
      </c>
      <c r="BR422" s="3">
        <v>43308</v>
      </c>
      <c r="BS422" s="3"/>
      <c r="BT422" t="s">
        <v>91</v>
      </c>
      <c r="BU422" t="s">
        <v>91</v>
      </c>
      <c r="BV422">
        <v>6</v>
      </c>
      <c r="BW422" s="1" t="s">
        <v>90</v>
      </c>
    </row>
    <row r="423" spans="1:75" x14ac:dyDescent="0.35">
      <c r="A423">
        <v>144572</v>
      </c>
      <c r="B423" s="1" t="s">
        <v>75</v>
      </c>
      <c r="C423">
        <v>80</v>
      </c>
      <c r="D423">
        <v>11121001</v>
      </c>
      <c r="E423">
        <v>121001</v>
      </c>
      <c r="F423" s="1" t="s">
        <v>76</v>
      </c>
      <c r="G423" s="1" t="s">
        <v>2521</v>
      </c>
      <c r="I423" s="1" t="s">
        <v>78</v>
      </c>
      <c r="J423" s="1" t="s">
        <v>2522</v>
      </c>
      <c r="K423" s="1" t="s">
        <v>2523</v>
      </c>
      <c r="L423" t="s">
        <v>91</v>
      </c>
      <c r="M423" t="s">
        <v>91</v>
      </c>
      <c r="N423" s="1" t="s">
        <v>2524</v>
      </c>
      <c r="O423" t="s">
        <v>91</v>
      </c>
      <c r="P423" s="1" t="s">
        <v>2525</v>
      </c>
      <c r="Q423" s="1" t="s">
        <v>396</v>
      </c>
      <c r="R423" s="1" t="s">
        <v>91</v>
      </c>
      <c r="S423">
        <v>1280</v>
      </c>
      <c r="T423">
        <v>89290000</v>
      </c>
      <c r="U423" s="1" t="s">
        <v>108</v>
      </c>
      <c r="V423" s="1" t="s">
        <v>520</v>
      </c>
      <c r="W423" s="1" t="s">
        <v>87</v>
      </c>
      <c r="X423">
        <v>47</v>
      </c>
      <c r="Y423">
        <v>36332613</v>
      </c>
      <c r="Z423" t="s">
        <v>91</v>
      </c>
      <c r="AA423" t="s">
        <v>91</v>
      </c>
      <c r="AB423" t="s">
        <v>91</v>
      </c>
      <c r="AC423" t="s">
        <v>91</v>
      </c>
      <c r="AD423" t="s">
        <v>91</v>
      </c>
      <c r="AE423" t="s">
        <v>91</v>
      </c>
      <c r="AF423" t="s">
        <v>91</v>
      </c>
      <c r="AG423" s="1" t="s">
        <v>91</v>
      </c>
      <c r="AH423" s="1" t="s">
        <v>91</v>
      </c>
      <c r="AI423" t="s">
        <v>91</v>
      </c>
      <c r="AJ423">
        <v>0</v>
      </c>
      <c r="AK423">
        <v>0</v>
      </c>
      <c r="AL423">
        <v>0</v>
      </c>
      <c r="AM423" t="s">
        <v>91</v>
      </c>
      <c r="AN423" t="s">
        <v>91</v>
      </c>
      <c r="AO423" t="s">
        <v>91</v>
      </c>
      <c r="AP423" t="s">
        <v>91</v>
      </c>
      <c r="AQ423" s="1" t="s">
        <v>91</v>
      </c>
      <c r="AR423" s="1" t="s">
        <v>91</v>
      </c>
      <c r="AS423" s="1" t="s">
        <v>91</v>
      </c>
      <c r="AT423" s="1" t="s">
        <v>91</v>
      </c>
      <c r="AU423" s="1" t="s">
        <v>91</v>
      </c>
      <c r="AV423" t="s">
        <v>91</v>
      </c>
      <c r="AW423" t="s">
        <v>91</v>
      </c>
      <c r="AX423" t="s">
        <v>91</v>
      </c>
      <c r="AY423" t="s">
        <v>91</v>
      </c>
      <c r="AZ423" t="s">
        <v>91</v>
      </c>
      <c r="BA423" t="s">
        <v>91</v>
      </c>
      <c r="BB423" s="2"/>
      <c r="BC423" s="2"/>
      <c r="BD423" t="s">
        <v>91</v>
      </c>
      <c r="BF423" s="1" t="s">
        <v>75</v>
      </c>
      <c r="BG423">
        <v>0</v>
      </c>
      <c r="BH423">
        <v>0</v>
      </c>
      <c r="BI423" s="1" t="s">
        <v>88</v>
      </c>
      <c r="BJ423">
        <v>1</v>
      </c>
      <c r="BK423" s="1" t="s">
        <v>89</v>
      </c>
      <c r="BL423" t="s">
        <v>91</v>
      </c>
      <c r="BM423" s="1" t="s">
        <v>109</v>
      </c>
      <c r="BN423" s="1" t="s">
        <v>110</v>
      </c>
      <c r="BO423" s="1" t="s">
        <v>180</v>
      </c>
      <c r="BP423" s="1" t="s">
        <v>91</v>
      </c>
      <c r="BQ423" t="s">
        <v>91</v>
      </c>
      <c r="BR423" s="3"/>
      <c r="BS423" s="3"/>
      <c r="BT423" t="s">
        <v>91</v>
      </c>
      <c r="BU423" t="s">
        <v>91</v>
      </c>
      <c r="BV423">
        <v>8</v>
      </c>
      <c r="BW423" s="1" t="s">
        <v>2526</v>
      </c>
    </row>
    <row r="424" spans="1:75" x14ac:dyDescent="0.35">
      <c r="A424">
        <v>144469</v>
      </c>
      <c r="B424" s="1" t="s">
        <v>75</v>
      </c>
      <c r="C424">
        <v>80</v>
      </c>
      <c r="D424">
        <v>11121001</v>
      </c>
      <c r="E424">
        <v>121001</v>
      </c>
      <c r="F424" s="1" t="s">
        <v>76</v>
      </c>
      <c r="G424" s="1" t="s">
        <v>2527</v>
      </c>
      <c r="I424" s="1" t="s">
        <v>78</v>
      </c>
      <c r="J424" s="1" t="s">
        <v>2528</v>
      </c>
      <c r="K424" s="1" t="s">
        <v>2529</v>
      </c>
      <c r="L424" t="s">
        <v>91</v>
      </c>
      <c r="M424" t="s">
        <v>91</v>
      </c>
      <c r="N424" s="1" t="s">
        <v>2530</v>
      </c>
      <c r="O424" t="s">
        <v>91</v>
      </c>
      <c r="P424" s="1" t="s">
        <v>105</v>
      </c>
      <c r="Q424" s="1" t="s">
        <v>1150</v>
      </c>
      <c r="R424" s="1" t="s">
        <v>2531</v>
      </c>
      <c r="S424">
        <v>1278</v>
      </c>
      <c r="T424">
        <v>89204000</v>
      </c>
      <c r="U424" s="1" t="s">
        <v>418</v>
      </c>
      <c r="V424" s="1" t="s">
        <v>100</v>
      </c>
      <c r="W424" s="1" t="s">
        <v>87</v>
      </c>
      <c r="X424">
        <v>47</v>
      </c>
      <c r="Y424">
        <v>30262460</v>
      </c>
      <c r="Z424" t="s">
        <v>91</v>
      </c>
      <c r="AA424" t="s">
        <v>91</v>
      </c>
      <c r="AB424" t="s">
        <v>91</v>
      </c>
      <c r="AC424" t="s">
        <v>91</v>
      </c>
      <c r="AD424" t="s">
        <v>91</v>
      </c>
      <c r="AE424" t="s">
        <v>91</v>
      </c>
      <c r="AF424" t="s">
        <v>91</v>
      </c>
      <c r="AG424" s="1" t="s">
        <v>91</v>
      </c>
      <c r="AH424" s="1" t="s">
        <v>91</v>
      </c>
      <c r="AI424" t="s">
        <v>91</v>
      </c>
      <c r="AJ424">
        <v>0</v>
      </c>
      <c r="AK424">
        <v>0</v>
      </c>
      <c r="AL424">
        <v>0</v>
      </c>
      <c r="AM424" t="s">
        <v>91</v>
      </c>
      <c r="AN424" t="s">
        <v>91</v>
      </c>
      <c r="AO424" t="s">
        <v>91</v>
      </c>
      <c r="AP424" t="s">
        <v>91</v>
      </c>
      <c r="AQ424" s="1" t="s">
        <v>91</v>
      </c>
      <c r="AR424" s="1" t="s">
        <v>91</v>
      </c>
      <c r="AS424" s="1" t="s">
        <v>91</v>
      </c>
      <c r="AT424" s="1" t="s">
        <v>91</v>
      </c>
      <c r="AU424" s="1" t="s">
        <v>91</v>
      </c>
      <c r="AV424" t="s">
        <v>91</v>
      </c>
      <c r="AW424" t="s">
        <v>91</v>
      </c>
      <c r="AX424" t="s">
        <v>91</v>
      </c>
      <c r="AY424" t="s">
        <v>91</v>
      </c>
      <c r="AZ424" t="s">
        <v>91</v>
      </c>
      <c r="BA424" t="s">
        <v>91</v>
      </c>
      <c r="BB424" s="2"/>
      <c r="BC424" s="2"/>
      <c r="BD424" t="s">
        <v>91</v>
      </c>
      <c r="BF424" s="1" t="s">
        <v>75</v>
      </c>
      <c r="BG424">
        <v>0</v>
      </c>
      <c r="BH424">
        <v>0</v>
      </c>
      <c r="BI424" s="1" t="s">
        <v>88</v>
      </c>
      <c r="BJ424">
        <v>1</v>
      </c>
      <c r="BK424" s="1" t="s">
        <v>89</v>
      </c>
      <c r="BL424" t="s">
        <v>91</v>
      </c>
      <c r="BM424" s="1" t="s">
        <v>109</v>
      </c>
      <c r="BN424" s="1" t="s">
        <v>148</v>
      </c>
      <c r="BO424" s="1" t="s">
        <v>165</v>
      </c>
      <c r="BP424" s="1" t="s">
        <v>91</v>
      </c>
      <c r="BQ424" t="s">
        <v>91</v>
      </c>
      <c r="BR424" s="3"/>
      <c r="BS424" s="3"/>
      <c r="BT424" t="s">
        <v>91</v>
      </c>
      <c r="BU424" t="s">
        <v>91</v>
      </c>
      <c r="BV424">
        <v>1</v>
      </c>
      <c r="BW424" s="1" t="s">
        <v>90</v>
      </c>
    </row>
    <row r="425" spans="1:75" x14ac:dyDescent="0.35">
      <c r="A425">
        <v>156756</v>
      </c>
      <c r="B425" s="1" t="s">
        <v>75</v>
      </c>
      <c r="C425">
        <v>80</v>
      </c>
      <c r="D425">
        <v>11121001</v>
      </c>
      <c r="E425">
        <v>121001</v>
      </c>
      <c r="F425" s="1" t="s">
        <v>76</v>
      </c>
      <c r="G425" s="1" t="s">
        <v>2532</v>
      </c>
      <c r="H425">
        <v>0</v>
      </c>
      <c r="I425" s="1" t="s">
        <v>78</v>
      </c>
      <c r="J425" s="1" t="s">
        <v>2533</v>
      </c>
      <c r="K425" s="1" t="s">
        <v>2534</v>
      </c>
      <c r="L425" t="s">
        <v>91</v>
      </c>
      <c r="M425" t="s">
        <v>91</v>
      </c>
      <c r="N425" s="1" t="s">
        <v>2535</v>
      </c>
      <c r="O425" t="s">
        <v>91</v>
      </c>
      <c r="P425" s="1" t="s">
        <v>2304</v>
      </c>
      <c r="Q425" s="1" t="s">
        <v>2233</v>
      </c>
      <c r="R425" s="1" t="s">
        <v>236</v>
      </c>
      <c r="T425">
        <v>89201310</v>
      </c>
      <c r="U425" s="1" t="s">
        <v>108</v>
      </c>
      <c r="V425" s="1" t="s">
        <v>100</v>
      </c>
      <c r="W425" s="1" t="s">
        <v>87</v>
      </c>
      <c r="X425">
        <v>47</v>
      </c>
      <c r="Y425">
        <v>34330960</v>
      </c>
      <c r="Z425" t="s">
        <v>91</v>
      </c>
      <c r="AA425" t="s">
        <v>91</v>
      </c>
      <c r="AB425" t="s">
        <v>91</v>
      </c>
      <c r="AC425" t="s">
        <v>91</v>
      </c>
      <c r="AD425" t="s">
        <v>91</v>
      </c>
      <c r="AE425" t="s">
        <v>91</v>
      </c>
      <c r="AF425" t="s">
        <v>91</v>
      </c>
      <c r="AG425" s="1" t="s">
        <v>91</v>
      </c>
      <c r="AH425" s="1" t="s">
        <v>91</v>
      </c>
      <c r="AI425" t="s">
        <v>91</v>
      </c>
      <c r="AM425" t="s">
        <v>91</v>
      </c>
      <c r="AN425" t="s">
        <v>91</v>
      </c>
      <c r="AO425" t="s">
        <v>91</v>
      </c>
      <c r="AP425" t="s">
        <v>91</v>
      </c>
      <c r="AQ425" s="1" t="s">
        <v>91</v>
      </c>
      <c r="AR425" s="1" t="s">
        <v>91</v>
      </c>
      <c r="AS425" s="1" t="s">
        <v>91</v>
      </c>
      <c r="AT425" s="1" t="s">
        <v>91</v>
      </c>
      <c r="AU425" s="1" t="s">
        <v>91</v>
      </c>
      <c r="AV425" t="s">
        <v>91</v>
      </c>
      <c r="AW425" t="s">
        <v>91</v>
      </c>
      <c r="AX425" t="s">
        <v>91</v>
      </c>
      <c r="AY425" t="s">
        <v>91</v>
      </c>
      <c r="AZ425" t="s">
        <v>91</v>
      </c>
      <c r="BA425" t="s">
        <v>91</v>
      </c>
      <c r="BB425" s="2">
        <v>45113.505416666667</v>
      </c>
      <c r="BC425" s="2"/>
      <c r="BD425" t="s">
        <v>91</v>
      </c>
      <c r="BF425" s="1" t="s">
        <v>75</v>
      </c>
      <c r="BI425" s="1" t="s">
        <v>88</v>
      </c>
      <c r="BJ425">
        <v>1</v>
      </c>
      <c r="BK425" s="1" t="s">
        <v>89</v>
      </c>
      <c r="BL425" t="s">
        <v>91</v>
      </c>
      <c r="BM425" s="1" t="s">
        <v>91</v>
      </c>
      <c r="BN425" s="1" t="s">
        <v>91</v>
      </c>
      <c r="BO425" s="1" t="s">
        <v>91</v>
      </c>
      <c r="BP425" s="1" t="s">
        <v>91</v>
      </c>
      <c r="BQ425" t="s">
        <v>91</v>
      </c>
      <c r="BR425" s="3">
        <v>45113</v>
      </c>
      <c r="BS425" s="3"/>
      <c r="BT425" t="s">
        <v>91</v>
      </c>
      <c r="BU425" t="s">
        <v>91</v>
      </c>
      <c r="BW425" s="1" t="s">
        <v>90</v>
      </c>
    </row>
    <row r="426" spans="1:75" x14ac:dyDescent="0.35">
      <c r="A426">
        <v>138217</v>
      </c>
      <c r="B426" s="1" t="s">
        <v>75</v>
      </c>
      <c r="C426">
        <v>80</v>
      </c>
      <c r="D426">
        <v>11121001</v>
      </c>
      <c r="E426">
        <v>121001</v>
      </c>
      <c r="F426" s="1" t="s">
        <v>76</v>
      </c>
      <c r="G426" s="1" t="s">
        <v>2536</v>
      </c>
      <c r="H426">
        <v>0</v>
      </c>
      <c r="I426" s="1" t="s">
        <v>78</v>
      </c>
      <c r="J426" s="1" t="s">
        <v>2537</v>
      </c>
      <c r="K426" s="1" t="s">
        <v>2538</v>
      </c>
      <c r="L426" t="s">
        <v>91</v>
      </c>
      <c r="M426" t="s">
        <v>91</v>
      </c>
      <c r="N426" s="1" t="s">
        <v>2539</v>
      </c>
      <c r="O426" t="s">
        <v>91</v>
      </c>
      <c r="P426" s="1" t="s">
        <v>2540</v>
      </c>
      <c r="Q426" s="1" t="s">
        <v>2541</v>
      </c>
      <c r="R426" s="1" t="s">
        <v>91</v>
      </c>
      <c r="S426">
        <v>1288</v>
      </c>
      <c r="T426">
        <v>89899000</v>
      </c>
      <c r="U426" s="1" t="s">
        <v>108</v>
      </c>
      <c r="V426" s="1" t="s">
        <v>2542</v>
      </c>
      <c r="W426" s="1" t="s">
        <v>87</v>
      </c>
      <c r="X426">
        <v>49</v>
      </c>
      <c r="Y426">
        <v>36341143</v>
      </c>
      <c r="Z426" t="s">
        <v>91</v>
      </c>
      <c r="AA426" t="s">
        <v>91</v>
      </c>
      <c r="AB426" t="s">
        <v>91</v>
      </c>
      <c r="AC426" t="s">
        <v>91</v>
      </c>
      <c r="AD426" t="s">
        <v>91</v>
      </c>
      <c r="AE426" t="s">
        <v>91</v>
      </c>
      <c r="AF426" t="s">
        <v>91</v>
      </c>
      <c r="AG426" s="1" t="s">
        <v>146</v>
      </c>
      <c r="AH426" s="1" t="s">
        <v>91</v>
      </c>
      <c r="AI426" t="s">
        <v>91</v>
      </c>
      <c r="AM426" t="s">
        <v>91</v>
      </c>
      <c r="AN426" t="s">
        <v>91</v>
      </c>
      <c r="AO426" t="s">
        <v>91</v>
      </c>
      <c r="AP426" t="s">
        <v>91</v>
      </c>
      <c r="AQ426" s="1" t="s">
        <v>147</v>
      </c>
      <c r="AR426" s="1" t="s">
        <v>147</v>
      </c>
      <c r="AS426" s="1" t="s">
        <v>147</v>
      </c>
      <c r="AT426" s="1" t="s">
        <v>147</v>
      </c>
      <c r="AU426" s="1" t="s">
        <v>147</v>
      </c>
      <c r="AV426" t="s">
        <v>91</v>
      </c>
      <c r="AW426" t="s">
        <v>91</v>
      </c>
      <c r="AX426" t="s">
        <v>91</v>
      </c>
      <c r="AY426" t="s">
        <v>91</v>
      </c>
      <c r="AZ426" t="s">
        <v>91</v>
      </c>
      <c r="BA426" t="s">
        <v>91</v>
      </c>
      <c r="BB426" s="2">
        <v>44378.578518518516</v>
      </c>
      <c r="BC426" s="2">
        <v>44629.624884259261</v>
      </c>
      <c r="BD426" t="s">
        <v>91</v>
      </c>
      <c r="BF426" s="1" t="s">
        <v>75</v>
      </c>
      <c r="BH426">
        <v>0</v>
      </c>
      <c r="BI426" s="1" t="s">
        <v>88</v>
      </c>
      <c r="BJ426">
        <v>1</v>
      </c>
      <c r="BK426" s="1" t="s">
        <v>89</v>
      </c>
      <c r="BL426" t="s">
        <v>91</v>
      </c>
      <c r="BM426" s="1" t="s">
        <v>109</v>
      </c>
      <c r="BN426" s="1" t="s">
        <v>110</v>
      </c>
      <c r="BO426" s="1" t="s">
        <v>180</v>
      </c>
      <c r="BP426" s="1" t="s">
        <v>91</v>
      </c>
      <c r="BQ426" t="s">
        <v>91</v>
      </c>
      <c r="BR426" s="3">
        <v>44378</v>
      </c>
      <c r="BS426" s="3">
        <v>44629</v>
      </c>
      <c r="BT426" t="s">
        <v>91</v>
      </c>
      <c r="BU426" t="s">
        <v>91</v>
      </c>
      <c r="BW426" s="1" t="s">
        <v>255</v>
      </c>
    </row>
    <row r="427" spans="1:75" x14ac:dyDescent="0.35">
      <c r="A427">
        <v>157501</v>
      </c>
      <c r="B427" s="1" t="s">
        <v>75</v>
      </c>
      <c r="C427">
        <v>80</v>
      </c>
      <c r="D427">
        <v>11121001</v>
      </c>
      <c r="E427">
        <v>121001</v>
      </c>
      <c r="F427" s="1" t="s">
        <v>76</v>
      </c>
      <c r="G427" s="1" t="s">
        <v>2543</v>
      </c>
      <c r="H427">
        <v>0</v>
      </c>
      <c r="I427" s="1" t="s">
        <v>78</v>
      </c>
      <c r="J427" s="1" t="s">
        <v>2544</v>
      </c>
      <c r="K427" s="1" t="s">
        <v>2545</v>
      </c>
      <c r="L427" t="s">
        <v>91</v>
      </c>
      <c r="M427" t="s">
        <v>91</v>
      </c>
      <c r="N427" s="1" t="s">
        <v>732</v>
      </c>
      <c r="O427" t="s">
        <v>91</v>
      </c>
      <c r="P427" s="1" t="s">
        <v>946</v>
      </c>
      <c r="Q427" s="1" t="s">
        <v>570</v>
      </c>
      <c r="R427" s="1" t="s">
        <v>84</v>
      </c>
      <c r="S427">
        <v>1287</v>
      </c>
      <c r="T427">
        <v>89802100</v>
      </c>
      <c r="U427" s="1" t="s">
        <v>108</v>
      </c>
      <c r="V427" s="1" t="s">
        <v>86</v>
      </c>
      <c r="W427" s="1" t="s">
        <v>87</v>
      </c>
      <c r="X427">
        <v>49</v>
      </c>
      <c r="Y427">
        <v>33242898</v>
      </c>
      <c r="Z427" t="s">
        <v>91</v>
      </c>
      <c r="AA427" t="s">
        <v>91</v>
      </c>
      <c r="AB427" t="s">
        <v>91</v>
      </c>
      <c r="AC427" t="s">
        <v>91</v>
      </c>
      <c r="AD427" t="s">
        <v>91</v>
      </c>
      <c r="AE427" t="s">
        <v>91</v>
      </c>
      <c r="AF427" t="s">
        <v>91</v>
      </c>
      <c r="AG427" s="1" t="s">
        <v>91</v>
      </c>
      <c r="AH427" s="1" t="s">
        <v>91</v>
      </c>
      <c r="AI427" t="s">
        <v>91</v>
      </c>
      <c r="AM427" t="s">
        <v>91</v>
      </c>
      <c r="AN427" t="s">
        <v>91</v>
      </c>
      <c r="AO427" t="s">
        <v>91</v>
      </c>
      <c r="AP427" t="s">
        <v>91</v>
      </c>
      <c r="AQ427" s="1" t="s">
        <v>91</v>
      </c>
      <c r="AR427" s="1" t="s">
        <v>91</v>
      </c>
      <c r="AS427" s="1" t="s">
        <v>91</v>
      </c>
      <c r="AT427" s="1" t="s">
        <v>91</v>
      </c>
      <c r="AU427" s="1" t="s">
        <v>91</v>
      </c>
      <c r="AV427" t="s">
        <v>91</v>
      </c>
      <c r="AW427" t="s">
        <v>91</v>
      </c>
      <c r="AX427" t="s">
        <v>91</v>
      </c>
      <c r="AY427" t="s">
        <v>91</v>
      </c>
      <c r="AZ427" t="s">
        <v>91</v>
      </c>
      <c r="BA427" t="s">
        <v>91</v>
      </c>
      <c r="BB427" s="2">
        <v>45118.093391203707</v>
      </c>
      <c r="BC427" s="2"/>
      <c r="BD427" t="s">
        <v>91</v>
      </c>
      <c r="BF427" s="1" t="s">
        <v>75</v>
      </c>
      <c r="BI427" s="1" t="s">
        <v>88</v>
      </c>
      <c r="BJ427">
        <v>1</v>
      </c>
      <c r="BK427" s="1" t="s">
        <v>89</v>
      </c>
      <c r="BL427" t="s">
        <v>91</v>
      </c>
      <c r="BM427" s="1" t="s">
        <v>91</v>
      </c>
      <c r="BN427" s="1" t="s">
        <v>91</v>
      </c>
      <c r="BO427" s="1" t="s">
        <v>91</v>
      </c>
      <c r="BP427" s="1" t="s">
        <v>91</v>
      </c>
      <c r="BQ427" t="s">
        <v>91</v>
      </c>
      <c r="BR427" s="3">
        <v>45118</v>
      </c>
      <c r="BS427" s="3"/>
      <c r="BT427" t="s">
        <v>91</v>
      </c>
      <c r="BU427" t="s">
        <v>91</v>
      </c>
      <c r="BW427" s="1" t="s">
        <v>735</v>
      </c>
    </row>
    <row r="428" spans="1:75" x14ac:dyDescent="0.35">
      <c r="A428">
        <v>138220</v>
      </c>
      <c r="B428" s="1" t="s">
        <v>75</v>
      </c>
      <c r="C428">
        <v>80</v>
      </c>
      <c r="D428">
        <v>11121001</v>
      </c>
      <c r="E428">
        <v>121001</v>
      </c>
      <c r="F428" s="1" t="s">
        <v>76</v>
      </c>
      <c r="G428" s="1" t="s">
        <v>2546</v>
      </c>
      <c r="H428">
        <v>0</v>
      </c>
      <c r="I428" s="1" t="s">
        <v>78</v>
      </c>
      <c r="J428" s="1" t="s">
        <v>2547</v>
      </c>
      <c r="K428" s="1" t="s">
        <v>2548</v>
      </c>
      <c r="L428" t="s">
        <v>91</v>
      </c>
      <c r="M428" t="s">
        <v>91</v>
      </c>
      <c r="N428" s="1" t="s">
        <v>2549</v>
      </c>
      <c r="O428" t="s">
        <v>91</v>
      </c>
      <c r="P428" s="1" t="s">
        <v>1968</v>
      </c>
      <c r="Q428" s="1" t="s">
        <v>2550</v>
      </c>
      <c r="R428" s="1" t="s">
        <v>2551</v>
      </c>
      <c r="S428">
        <v>1287</v>
      </c>
      <c r="T428">
        <v>89805203</v>
      </c>
      <c r="U428" s="1" t="s">
        <v>108</v>
      </c>
      <c r="V428" s="1" t="s">
        <v>337</v>
      </c>
      <c r="W428" s="1" t="s">
        <v>87</v>
      </c>
      <c r="X428">
        <v>49</v>
      </c>
      <c r="Y428">
        <v>33234818</v>
      </c>
      <c r="Z428" t="s">
        <v>91</v>
      </c>
      <c r="AA428" t="s">
        <v>91</v>
      </c>
      <c r="AB428" t="s">
        <v>91</v>
      </c>
      <c r="AC428" t="s">
        <v>91</v>
      </c>
      <c r="AD428" t="s">
        <v>91</v>
      </c>
      <c r="AE428" t="s">
        <v>91</v>
      </c>
      <c r="AF428" t="s">
        <v>91</v>
      </c>
      <c r="AG428" s="1" t="s">
        <v>146</v>
      </c>
      <c r="AH428" s="1" t="s">
        <v>91</v>
      </c>
      <c r="AI428" t="s">
        <v>91</v>
      </c>
      <c r="AM428" t="s">
        <v>91</v>
      </c>
      <c r="AN428" t="s">
        <v>91</v>
      </c>
      <c r="AO428" t="s">
        <v>91</v>
      </c>
      <c r="AP428" t="s">
        <v>91</v>
      </c>
      <c r="AQ428" s="1" t="s">
        <v>147</v>
      </c>
      <c r="AR428" s="1" t="s">
        <v>147</v>
      </c>
      <c r="AS428" s="1" t="s">
        <v>147</v>
      </c>
      <c r="AT428" s="1" t="s">
        <v>147</v>
      </c>
      <c r="AU428" s="1" t="s">
        <v>147</v>
      </c>
      <c r="AV428" t="s">
        <v>91</v>
      </c>
      <c r="AW428" t="s">
        <v>91</v>
      </c>
      <c r="AX428" t="s">
        <v>91</v>
      </c>
      <c r="AY428" t="s">
        <v>91</v>
      </c>
      <c r="AZ428" t="s">
        <v>91</v>
      </c>
      <c r="BA428" t="s">
        <v>91</v>
      </c>
      <c r="BB428" s="2">
        <v>44378.578518518516</v>
      </c>
      <c r="BC428" s="2">
        <v>44743.454780092594</v>
      </c>
      <c r="BD428" t="s">
        <v>91</v>
      </c>
      <c r="BF428" s="1" t="s">
        <v>75</v>
      </c>
      <c r="BH428">
        <v>0</v>
      </c>
      <c r="BI428" s="1" t="s">
        <v>88</v>
      </c>
      <c r="BJ428">
        <v>1</v>
      </c>
      <c r="BK428" s="1" t="s">
        <v>89</v>
      </c>
      <c r="BL428" t="s">
        <v>91</v>
      </c>
      <c r="BM428" s="1" t="s">
        <v>109</v>
      </c>
      <c r="BN428" s="1" t="s">
        <v>110</v>
      </c>
      <c r="BO428" s="1" t="s">
        <v>128</v>
      </c>
      <c r="BP428" s="1" t="s">
        <v>91</v>
      </c>
      <c r="BQ428" t="s">
        <v>91</v>
      </c>
      <c r="BR428" s="3">
        <v>44378</v>
      </c>
      <c r="BS428" s="3">
        <v>44743</v>
      </c>
      <c r="BT428" t="s">
        <v>91</v>
      </c>
      <c r="BU428" t="s">
        <v>91</v>
      </c>
      <c r="BW428" s="1" t="s">
        <v>484</v>
      </c>
    </row>
    <row r="429" spans="1:75" x14ac:dyDescent="0.35">
      <c r="A429">
        <v>120424</v>
      </c>
      <c r="B429" s="1" t="s">
        <v>75</v>
      </c>
      <c r="C429">
        <v>80</v>
      </c>
      <c r="D429">
        <v>11121001</v>
      </c>
      <c r="E429">
        <v>121001</v>
      </c>
      <c r="F429" s="1" t="s">
        <v>76</v>
      </c>
      <c r="G429" s="1" t="s">
        <v>2552</v>
      </c>
      <c r="H429">
        <v>0</v>
      </c>
      <c r="I429" s="1" t="s">
        <v>78</v>
      </c>
      <c r="J429" s="1" t="s">
        <v>2553</v>
      </c>
      <c r="K429" s="1" t="s">
        <v>2554</v>
      </c>
      <c r="L429" t="s">
        <v>91</v>
      </c>
      <c r="M429" t="s">
        <v>91</v>
      </c>
      <c r="N429" s="1" t="s">
        <v>2555</v>
      </c>
      <c r="O429" t="s">
        <v>91</v>
      </c>
      <c r="P429" s="1" t="s">
        <v>325</v>
      </c>
      <c r="Q429" s="1" t="s">
        <v>2556</v>
      </c>
      <c r="R429" s="1" t="s">
        <v>91</v>
      </c>
      <c r="S429">
        <v>1379</v>
      </c>
      <c r="T429">
        <v>98600000</v>
      </c>
      <c r="U429" s="1" t="s">
        <v>108</v>
      </c>
      <c r="V429" s="1" t="s">
        <v>2557</v>
      </c>
      <c r="W429" s="1" t="s">
        <v>157</v>
      </c>
      <c r="X429">
        <v>55</v>
      </c>
      <c r="Y429">
        <v>35222646</v>
      </c>
      <c r="Z429" t="s">
        <v>91</v>
      </c>
      <c r="AA429" t="s">
        <v>91</v>
      </c>
      <c r="AB429" t="s">
        <v>91</v>
      </c>
      <c r="AC429" t="s">
        <v>91</v>
      </c>
      <c r="AD429" t="s">
        <v>91</v>
      </c>
      <c r="AE429" t="s">
        <v>91</v>
      </c>
      <c r="AF429" t="s">
        <v>91</v>
      </c>
      <c r="AG429" s="1" t="s">
        <v>91</v>
      </c>
      <c r="AH429" s="1" t="s">
        <v>91</v>
      </c>
      <c r="AI429" t="s">
        <v>91</v>
      </c>
      <c r="AM429" t="s">
        <v>91</v>
      </c>
      <c r="AN429" t="s">
        <v>91</v>
      </c>
      <c r="AO429" t="s">
        <v>91</v>
      </c>
      <c r="AP429" t="s">
        <v>91</v>
      </c>
      <c r="AQ429" s="1" t="s">
        <v>91</v>
      </c>
      <c r="AR429" s="1" t="s">
        <v>91</v>
      </c>
      <c r="AS429" s="1" t="s">
        <v>91</v>
      </c>
      <c r="AT429" s="1" t="s">
        <v>91</v>
      </c>
      <c r="AU429" s="1" t="s">
        <v>91</v>
      </c>
      <c r="AV429" t="s">
        <v>91</v>
      </c>
      <c r="AW429" t="s">
        <v>91</v>
      </c>
      <c r="AX429" t="s">
        <v>91</v>
      </c>
      <c r="AY429" t="s">
        <v>91</v>
      </c>
      <c r="AZ429" t="s">
        <v>91</v>
      </c>
      <c r="BA429" t="s">
        <v>91</v>
      </c>
      <c r="BB429" s="2">
        <v>44092.925393518519</v>
      </c>
      <c r="BC429" s="2"/>
      <c r="BD429" t="s">
        <v>91</v>
      </c>
      <c r="BF429" s="1" t="s">
        <v>75</v>
      </c>
      <c r="BI429" s="1" t="s">
        <v>88</v>
      </c>
      <c r="BJ429">
        <v>1</v>
      </c>
      <c r="BK429" s="1" t="s">
        <v>89</v>
      </c>
      <c r="BL429" t="s">
        <v>91</v>
      </c>
      <c r="BM429" s="1" t="s">
        <v>109</v>
      </c>
      <c r="BN429" s="1" t="s">
        <v>110</v>
      </c>
      <c r="BO429" s="1" t="s">
        <v>165</v>
      </c>
      <c r="BP429" s="1" t="s">
        <v>91</v>
      </c>
      <c r="BQ429" t="s">
        <v>91</v>
      </c>
      <c r="BR429" s="3">
        <v>44092</v>
      </c>
      <c r="BS429" s="3"/>
      <c r="BT429" t="s">
        <v>91</v>
      </c>
      <c r="BU429" t="s">
        <v>91</v>
      </c>
      <c r="BV429">
        <v>9</v>
      </c>
      <c r="BW429" s="1" t="s">
        <v>912</v>
      </c>
    </row>
    <row r="430" spans="1:75" x14ac:dyDescent="0.35">
      <c r="A430">
        <v>120435</v>
      </c>
      <c r="B430" s="1" t="s">
        <v>75</v>
      </c>
      <c r="C430">
        <v>80</v>
      </c>
      <c r="D430">
        <v>11121001</v>
      </c>
      <c r="E430">
        <v>121001</v>
      </c>
      <c r="F430" s="1" t="s">
        <v>76</v>
      </c>
      <c r="G430" s="1" t="s">
        <v>2558</v>
      </c>
      <c r="H430">
        <v>0</v>
      </c>
      <c r="I430" s="1" t="s">
        <v>78</v>
      </c>
      <c r="J430" s="1" t="s">
        <v>2559</v>
      </c>
      <c r="K430" s="1" t="s">
        <v>2560</v>
      </c>
      <c r="L430" t="s">
        <v>91</v>
      </c>
      <c r="M430" t="s">
        <v>91</v>
      </c>
      <c r="N430" s="1" t="s">
        <v>2561</v>
      </c>
      <c r="O430" t="s">
        <v>91</v>
      </c>
      <c r="P430" s="1" t="s">
        <v>2562</v>
      </c>
      <c r="Q430" s="1" t="s">
        <v>2563</v>
      </c>
      <c r="R430" s="1" t="s">
        <v>370</v>
      </c>
      <c r="S430">
        <v>1288</v>
      </c>
      <c r="T430">
        <v>89890000</v>
      </c>
      <c r="U430" s="1" t="s">
        <v>108</v>
      </c>
      <c r="V430" s="1" t="s">
        <v>2564</v>
      </c>
      <c r="W430" s="1" t="s">
        <v>87</v>
      </c>
      <c r="X430">
        <v>49</v>
      </c>
      <c r="Y430">
        <v>36460823</v>
      </c>
      <c r="Z430" t="s">
        <v>91</v>
      </c>
      <c r="AA430" t="s">
        <v>91</v>
      </c>
      <c r="AB430" t="s">
        <v>91</v>
      </c>
      <c r="AC430" t="s">
        <v>91</v>
      </c>
      <c r="AD430" t="s">
        <v>91</v>
      </c>
      <c r="AE430" t="s">
        <v>91</v>
      </c>
      <c r="AF430" t="s">
        <v>91</v>
      </c>
      <c r="AG430" s="1" t="s">
        <v>91</v>
      </c>
      <c r="AH430" s="1" t="s">
        <v>91</v>
      </c>
      <c r="AI430" t="s">
        <v>91</v>
      </c>
      <c r="AM430" t="s">
        <v>91</v>
      </c>
      <c r="AN430" t="s">
        <v>91</v>
      </c>
      <c r="AO430" t="s">
        <v>91</v>
      </c>
      <c r="AP430" t="s">
        <v>91</v>
      </c>
      <c r="AQ430" s="1" t="s">
        <v>91</v>
      </c>
      <c r="AR430" s="1" t="s">
        <v>91</v>
      </c>
      <c r="AS430" s="1" t="s">
        <v>91</v>
      </c>
      <c r="AT430" s="1" t="s">
        <v>91</v>
      </c>
      <c r="AU430" s="1" t="s">
        <v>91</v>
      </c>
      <c r="AV430" t="s">
        <v>91</v>
      </c>
      <c r="AW430" t="s">
        <v>91</v>
      </c>
      <c r="AX430" t="s">
        <v>91</v>
      </c>
      <c r="AY430" t="s">
        <v>91</v>
      </c>
      <c r="AZ430" t="s">
        <v>91</v>
      </c>
      <c r="BA430" t="s">
        <v>91</v>
      </c>
      <c r="BB430" s="2">
        <v>44092.925393518519</v>
      </c>
      <c r="BC430" s="2"/>
      <c r="BD430" t="s">
        <v>91</v>
      </c>
      <c r="BF430" s="1" t="s">
        <v>75</v>
      </c>
      <c r="BI430" s="1" t="s">
        <v>88</v>
      </c>
      <c r="BJ430">
        <v>1</v>
      </c>
      <c r="BK430" s="1" t="s">
        <v>89</v>
      </c>
      <c r="BL430" t="s">
        <v>91</v>
      </c>
      <c r="BM430" s="1" t="s">
        <v>329</v>
      </c>
      <c r="BN430" s="1" t="s">
        <v>110</v>
      </c>
      <c r="BO430" s="1" t="s">
        <v>111</v>
      </c>
      <c r="BP430" s="1" t="s">
        <v>91</v>
      </c>
      <c r="BQ430" t="s">
        <v>91</v>
      </c>
      <c r="BR430" s="3">
        <v>44092</v>
      </c>
      <c r="BS430" s="3"/>
      <c r="BT430" t="s">
        <v>91</v>
      </c>
      <c r="BU430" t="s">
        <v>91</v>
      </c>
      <c r="BV430">
        <v>6</v>
      </c>
      <c r="BW430" s="1" t="s">
        <v>540</v>
      </c>
    </row>
    <row r="431" spans="1:75" x14ac:dyDescent="0.35">
      <c r="A431">
        <v>157558</v>
      </c>
      <c r="B431" s="1" t="s">
        <v>75</v>
      </c>
      <c r="C431">
        <v>80</v>
      </c>
      <c r="D431">
        <v>11121001</v>
      </c>
      <c r="E431">
        <v>121001</v>
      </c>
      <c r="F431" s="1" t="s">
        <v>76</v>
      </c>
      <c r="G431" s="1" t="s">
        <v>2565</v>
      </c>
      <c r="H431">
        <v>0</v>
      </c>
      <c r="I431" s="1" t="s">
        <v>78</v>
      </c>
      <c r="J431" s="1" t="s">
        <v>2566</v>
      </c>
      <c r="K431" s="1" t="s">
        <v>2567</v>
      </c>
      <c r="L431" t="s">
        <v>91</v>
      </c>
      <c r="M431" t="s">
        <v>91</v>
      </c>
      <c r="N431" s="1" t="s">
        <v>2568</v>
      </c>
      <c r="O431" t="s">
        <v>91</v>
      </c>
      <c r="P431" s="1" t="s">
        <v>341</v>
      </c>
      <c r="Q431" s="1" t="s">
        <v>606</v>
      </c>
      <c r="R431" s="1" t="s">
        <v>245</v>
      </c>
      <c r="S431">
        <v>1286</v>
      </c>
      <c r="T431">
        <v>89700089</v>
      </c>
      <c r="U431" s="1" t="s">
        <v>108</v>
      </c>
      <c r="V431" s="1" t="s">
        <v>435</v>
      </c>
      <c r="W431" s="1" t="s">
        <v>87</v>
      </c>
      <c r="X431">
        <v>49</v>
      </c>
      <c r="Y431">
        <v>34420448</v>
      </c>
      <c r="Z431" t="s">
        <v>91</v>
      </c>
      <c r="AA431" t="s">
        <v>91</v>
      </c>
      <c r="AB431" t="s">
        <v>91</v>
      </c>
      <c r="AC431" t="s">
        <v>91</v>
      </c>
      <c r="AD431" t="s">
        <v>91</v>
      </c>
      <c r="AE431" t="s">
        <v>91</v>
      </c>
      <c r="AF431" t="s">
        <v>91</v>
      </c>
      <c r="AG431" s="1" t="s">
        <v>91</v>
      </c>
      <c r="AH431" s="1" t="s">
        <v>91</v>
      </c>
      <c r="AI431" t="s">
        <v>91</v>
      </c>
      <c r="AM431" t="s">
        <v>91</v>
      </c>
      <c r="AN431" t="s">
        <v>91</v>
      </c>
      <c r="AO431" t="s">
        <v>91</v>
      </c>
      <c r="AP431" t="s">
        <v>91</v>
      </c>
      <c r="AQ431" s="1" t="s">
        <v>91</v>
      </c>
      <c r="AR431" s="1" t="s">
        <v>91</v>
      </c>
      <c r="AS431" s="1" t="s">
        <v>91</v>
      </c>
      <c r="AT431" s="1" t="s">
        <v>91</v>
      </c>
      <c r="AU431" s="1" t="s">
        <v>91</v>
      </c>
      <c r="AV431" t="s">
        <v>91</v>
      </c>
      <c r="AW431" t="s">
        <v>91</v>
      </c>
      <c r="AX431" t="s">
        <v>91</v>
      </c>
      <c r="AY431" t="s">
        <v>91</v>
      </c>
      <c r="AZ431" t="s">
        <v>91</v>
      </c>
      <c r="BA431" t="s">
        <v>91</v>
      </c>
      <c r="BB431" s="2">
        <v>45118.093391203707</v>
      </c>
      <c r="BC431" s="2"/>
      <c r="BD431" t="s">
        <v>91</v>
      </c>
      <c r="BF431" s="1" t="s">
        <v>75</v>
      </c>
      <c r="BI431" s="1" t="s">
        <v>88</v>
      </c>
      <c r="BJ431">
        <v>1</v>
      </c>
      <c r="BK431" s="1" t="s">
        <v>89</v>
      </c>
      <c r="BL431" t="s">
        <v>91</v>
      </c>
      <c r="BM431" s="1" t="s">
        <v>91</v>
      </c>
      <c r="BN431" s="1" t="s">
        <v>91</v>
      </c>
      <c r="BO431" s="1" t="s">
        <v>91</v>
      </c>
      <c r="BP431" s="1" t="s">
        <v>91</v>
      </c>
      <c r="BQ431" t="s">
        <v>91</v>
      </c>
      <c r="BR431" s="3">
        <v>45118</v>
      </c>
      <c r="BS431" s="3"/>
      <c r="BT431" t="s">
        <v>91</v>
      </c>
      <c r="BU431" t="s">
        <v>91</v>
      </c>
      <c r="BW431" s="1" t="s">
        <v>90</v>
      </c>
    </row>
    <row r="432" spans="1:75" x14ac:dyDescent="0.35">
      <c r="A432">
        <v>144815</v>
      </c>
      <c r="B432" s="1" t="s">
        <v>75</v>
      </c>
      <c r="C432">
        <v>80</v>
      </c>
      <c r="D432">
        <v>11121001</v>
      </c>
      <c r="E432">
        <v>121001</v>
      </c>
      <c r="F432" s="1" t="s">
        <v>76</v>
      </c>
      <c r="G432" s="1" t="s">
        <v>2569</v>
      </c>
      <c r="I432" s="1" t="s">
        <v>78</v>
      </c>
      <c r="J432" s="1" t="s">
        <v>2570</v>
      </c>
      <c r="K432" s="1" t="s">
        <v>2571</v>
      </c>
      <c r="L432" t="s">
        <v>91</v>
      </c>
      <c r="M432" t="s">
        <v>91</v>
      </c>
      <c r="N432" s="1" t="s">
        <v>2572</v>
      </c>
      <c r="O432" t="s">
        <v>91</v>
      </c>
      <c r="P432" s="1" t="s">
        <v>2573</v>
      </c>
      <c r="Q432" s="1" t="s">
        <v>2574</v>
      </c>
      <c r="R432" s="1" t="s">
        <v>127</v>
      </c>
      <c r="S432">
        <v>1280</v>
      </c>
      <c r="T432">
        <v>89245000</v>
      </c>
      <c r="U432" s="1" t="s">
        <v>962</v>
      </c>
      <c r="V432" s="1" t="s">
        <v>798</v>
      </c>
      <c r="W432" s="1" t="s">
        <v>87</v>
      </c>
      <c r="X432">
        <v>47</v>
      </c>
      <c r="Y432">
        <v>33078005</v>
      </c>
      <c r="Z432" t="s">
        <v>91</v>
      </c>
      <c r="AA432" t="s">
        <v>91</v>
      </c>
      <c r="AB432" t="s">
        <v>91</v>
      </c>
      <c r="AC432" t="s">
        <v>91</v>
      </c>
      <c r="AD432" t="s">
        <v>91</v>
      </c>
      <c r="AE432" t="s">
        <v>91</v>
      </c>
      <c r="AF432" t="s">
        <v>91</v>
      </c>
      <c r="AG432" s="1" t="s">
        <v>91</v>
      </c>
      <c r="AH432" s="1" t="s">
        <v>91</v>
      </c>
      <c r="AI432" t="s">
        <v>91</v>
      </c>
      <c r="AJ432">
        <v>0</v>
      </c>
      <c r="AK432">
        <v>0</v>
      </c>
      <c r="AL432">
        <v>0</v>
      </c>
      <c r="AM432" t="s">
        <v>91</v>
      </c>
      <c r="AN432" t="s">
        <v>91</v>
      </c>
      <c r="AO432" t="s">
        <v>91</v>
      </c>
      <c r="AP432" t="s">
        <v>91</v>
      </c>
      <c r="AQ432" s="1" t="s">
        <v>91</v>
      </c>
      <c r="AR432" s="1" t="s">
        <v>91</v>
      </c>
      <c r="AS432" s="1" t="s">
        <v>91</v>
      </c>
      <c r="AT432" s="1" t="s">
        <v>91</v>
      </c>
      <c r="AU432" s="1" t="s">
        <v>91</v>
      </c>
      <c r="AV432" t="s">
        <v>91</v>
      </c>
      <c r="AW432" t="s">
        <v>91</v>
      </c>
      <c r="AX432" t="s">
        <v>91</v>
      </c>
      <c r="AY432" t="s">
        <v>91</v>
      </c>
      <c r="AZ432" t="s">
        <v>91</v>
      </c>
      <c r="BA432" t="s">
        <v>91</v>
      </c>
      <c r="BB432" s="2"/>
      <c r="BC432" s="2"/>
      <c r="BD432" t="s">
        <v>91</v>
      </c>
      <c r="BF432" s="1" t="s">
        <v>75</v>
      </c>
      <c r="BG432">
        <v>0</v>
      </c>
      <c r="BH432">
        <v>0</v>
      </c>
      <c r="BI432" s="1" t="s">
        <v>88</v>
      </c>
      <c r="BJ432">
        <v>1</v>
      </c>
      <c r="BK432" s="1" t="s">
        <v>89</v>
      </c>
      <c r="BL432" t="s">
        <v>91</v>
      </c>
      <c r="BM432" s="1" t="s">
        <v>109</v>
      </c>
      <c r="BN432" s="1" t="s">
        <v>110</v>
      </c>
      <c r="BO432" s="1" t="s">
        <v>91</v>
      </c>
      <c r="BP432" s="1" t="s">
        <v>91</v>
      </c>
      <c r="BQ432" t="s">
        <v>91</v>
      </c>
      <c r="BR432" s="3"/>
      <c r="BS432" s="3"/>
      <c r="BT432" t="s">
        <v>91</v>
      </c>
      <c r="BU432" t="s">
        <v>91</v>
      </c>
      <c r="BW432" s="1" t="s">
        <v>166</v>
      </c>
    </row>
    <row r="433" spans="1:75" x14ac:dyDescent="0.35">
      <c r="A433">
        <v>133756</v>
      </c>
      <c r="B433" s="1" t="s">
        <v>75</v>
      </c>
      <c r="C433">
        <v>80</v>
      </c>
      <c r="D433">
        <v>11121001</v>
      </c>
      <c r="E433">
        <v>121001</v>
      </c>
      <c r="F433" s="1" t="s">
        <v>76</v>
      </c>
      <c r="G433" s="1" t="s">
        <v>2575</v>
      </c>
      <c r="H433">
        <v>0</v>
      </c>
      <c r="I433" s="1" t="s">
        <v>78</v>
      </c>
      <c r="J433" s="1" t="s">
        <v>2576</v>
      </c>
      <c r="K433" s="1" t="s">
        <v>2577</v>
      </c>
      <c r="L433" t="s">
        <v>91</v>
      </c>
      <c r="M433" t="s">
        <v>91</v>
      </c>
      <c r="N433" s="1" t="s">
        <v>2578</v>
      </c>
      <c r="O433" t="s">
        <v>91</v>
      </c>
      <c r="P433" s="1" t="s">
        <v>2579</v>
      </c>
      <c r="Q433" s="1" t="s">
        <v>2580</v>
      </c>
      <c r="R433" s="1" t="s">
        <v>2379</v>
      </c>
      <c r="S433">
        <v>1287</v>
      </c>
      <c r="T433">
        <v>89802130</v>
      </c>
      <c r="U433" s="1" t="s">
        <v>108</v>
      </c>
      <c r="V433" s="1" t="s">
        <v>337</v>
      </c>
      <c r="W433" s="1" t="s">
        <v>87</v>
      </c>
      <c r="X433">
        <v>49</v>
      </c>
      <c r="Y433">
        <v>33400715</v>
      </c>
      <c r="Z433" t="s">
        <v>91</v>
      </c>
      <c r="AA433" t="s">
        <v>91</v>
      </c>
      <c r="AB433" t="s">
        <v>91</v>
      </c>
      <c r="AC433" t="s">
        <v>91</v>
      </c>
      <c r="AD433" t="s">
        <v>91</v>
      </c>
      <c r="AE433" t="s">
        <v>91</v>
      </c>
      <c r="AF433" t="s">
        <v>91</v>
      </c>
      <c r="AG433" s="1" t="s">
        <v>91</v>
      </c>
      <c r="AH433" s="1" t="s">
        <v>91</v>
      </c>
      <c r="AI433" t="s">
        <v>91</v>
      </c>
      <c r="AJ433">
        <v>0</v>
      </c>
      <c r="AK433">
        <v>0</v>
      </c>
      <c r="AL433">
        <v>0</v>
      </c>
      <c r="AM433" t="s">
        <v>91</v>
      </c>
      <c r="AN433" t="s">
        <v>91</v>
      </c>
      <c r="AO433" t="s">
        <v>91</v>
      </c>
      <c r="AP433" t="s">
        <v>91</v>
      </c>
      <c r="AQ433" s="1" t="s">
        <v>91</v>
      </c>
      <c r="AR433" s="1" t="s">
        <v>91</v>
      </c>
      <c r="AS433" s="1" t="s">
        <v>91</v>
      </c>
      <c r="AT433" s="1" t="s">
        <v>91</v>
      </c>
      <c r="AU433" s="1" t="s">
        <v>91</v>
      </c>
      <c r="AV433" t="s">
        <v>91</v>
      </c>
      <c r="AW433" t="s">
        <v>91</v>
      </c>
      <c r="AX433" t="s">
        <v>91</v>
      </c>
      <c r="AY433" t="s">
        <v>91</v>
      </c>
      <c r="AZ433" t="s">
        <v>91</v>
      </c>
      <c r="BA433" t="s">
        <v>91</v>
      </c>
      <c r="BB433" s="2">
        <v>44246.427766203706</v>
      </c>
      <c r="BC433" s="2"/>
      <c r="BD433" t="s">
        <v>91</v>
      </c>
      <c r="BF433" s="1" t="s">
        <v>75</v>
      </c>
      <c r="BG433">
        <v>0</v>
      </c>
      <c r="BH433">
        <v>0</v>
      </c>
      <c r="BI433" s="1" t="s">
        <v>88</v>
      </c>
      <c r="BJ433">
        <v>1</v>
      </c>
      <c r="BK433" s="1" t="s">
        <v>89</v>
      </c>
      <c r="BL433" t="s">
        <v>91</v>
      </c>
      <c r="BM433" s="1" t="s">
        <v>109</v>
      </c>
      <c r="BN433" s="1" t="s">
        <v>110</v>
      </c>
      <c r="BO433" s="1" t="s">
        <v>111</v>
      </c>
      <c r="BP433" s="1" t="s">
        <v>91</v>
      </c>
      <c r="BQ433" t="s">
        <v>91</v>
      </c>
      <c r="BR433" s="3">
        <v>44246</v>
      </c>
      <c r="BS433" s="3"/>
      <c r="BT433" t="s">
        <v>91</v>
      </c>
      <c r="BU433" t="s">
        <v>91</v>
      </c>
      <c r="BV433">
        <v>5</v>
      </c>
      <c r="BW433" s="1" t="s">
        <v>263</v>
      </c>
    </row>
    <row r="434" spans="1:75" x14ac:dyDescent="0.35">
      <c r="A434">
        <v>120289</v>
      </c>
      <c r="B434" s="1" t="s">
        <v>75</v>
      </c>
      <c r="C434">
        <v>80</v>
      </c>
      <c r="D434">
        <v>11121001</v>
      </c>
      <c r="E434">
        <v>121001</v>
      </c>
      <c r="F434" s="1" t="s">
        <v>76</v>
      </c>
      <c r="G434" s="1" t="s">
        <v>2581</v>
      </c>
      <c r="H434">
        <v>0</v>
      </c>
      <c r="I434" s="1" t="s">
        <v>78</v>
      </c>
      <c r="J434" s="1" t="s">
        <v>2576</v>
      </c>
      <c r="K434" s="1" t="s">
        <v>2582</v>
      </c>
      <c r="L434" t="s">
        <v>91</v>
      </c>
      <c r="M434" t="s">
        <v>91</v>
      </c>
      <c r="N434" s="1" t="s">
        <v>2583</v>
      </c>
      <c r="O434" t="s">
        <v>91</v>
      </c>
      <c r="P434" s="1" t="s">
        <v>1562</v>
      </c>
      <c r="Q434" s="1" t="s">
        <v>2584</v>
      </c>
      <c r="R434" s="1" t="s">
        <v>2585</v>
      </c>
      <c r="S434">
        <v>1287</v>
      </c>
      <c r="T434">
        <v>89802100</v>
      </c>
      <c r="U434" s="1" t="s">
        <v>108</v>
      </c>
      <c r="V434" s="1" t="s">
        <v>337</v>
      </c>
      <c r="W434" s="1" t="s">
        <v>87</v>
      </c>
      <c r="X434">
        <v>49</v>
      </c>
      <c r="Y434">
        <v>33046120</v>
      </c>
      <c r="Z434" t="s">
        <v>91</v>
      </c>
      <c r="AA434" t="s">
        <v>91</v>
      </c>
      <c r="AB434" t="s">
        <v>91</v>
      </c>
      <c r="AC434" t="s">
        <v>91</v>
      </c>
      <c r="AD434" t="s">
        <v>91</v>
      </c>
      <c r="AE434" t="s">
        <v>91</v>
      </c>
      <c r="AF434" t="s">
        <v>91</v>
      </c>
      <c r="AG434" s="1" t="s">
        <v>91</v>
      </c>
      <c r="AH434" s="1" t="s">
        <v>91</v>
      </c>
      <c r="AI434" t="s">
        <v>91</v>
      </c>
      <c r="AJ434">
        <v>0</v>
      </c>
      <c r="AK434">
        <v>0</v>
      </c>
      <c r="AL434">
        <v>0</v>
      </c>
      <c r="AM434" t="s">
        <v>91</v>
      </c>
      <c r="AN434" t="s">
        <v>91</v>
      </c>
      <c r="AO434" t="s">
        <v>91</v>
      </c>
      <c r="AP434" t="s">
        <v>91</v>
      </c>
      <c r="AQ434" s="1" t="s">
        <v>91</v>
      </c>
      <c r="AR434" s="1" t="s">
        <v>91</v>
      </c>
      <c r="AS434" s="1" t="s">
        <v>91</v>
      </c>
      <c r="AT434" s="1" t="s">
        <v>91</v>
      </c>
      <c r="AU434" s="1" t="s">
        <v>91</v>
      </c>
      <c r="AV434" t="s">
        <v>91</v>
      </c>
      <c r="AW434" t="s">
        <v>91</v>
      </c>
      <c r="AX434" t="s">
        <v>91</v>
      </c>
      <c r="AY434" t="s">
        <v>91</v>
      </c>
      <c r="AZ434" t="s">
        <v>91</v>
      </c>
      <c r="BA434" t="s">
        <v>91</v>
      </c>
      <c r="BB434" s="2">
        <v>44092.925393518519</v>
      </c>
      <c r="BC434" s="2"/>
      <c r="BD434" t="s">
        <v>91</v>
      </c>
      <c r="BF434" s="1" t="s">
        <v>75</v>
      </c>
      <c r="BG434">
        <v>0</v>
      </c>
      <c r="BH434">
        <v>0</v>
      </c>
      <c r="BI434" s="1" t="s">
        <v>88</v>
      </c>
      <c r="BJ434">
        <v>1</v>
      </c>
      <c r="BK434" s="1" t="s">
        <v>89</v>
      </c>
      <c r="BL434" t="s">
        <v>91</v>
      </c>
      <c r="BM434" s="1" t="s">
        <v>329</v>
      </c>
      <c r="BN434" s="1" t="s">
        <v>110</v>
      </c>
      <c r="BO434" s="1" t="s">
        <v>165</v>
      </c>
      <c r="BP434" s="1" t="s">
        <v>91</v>
      </c>
      <c r="BQ434" t="s">
        <v>91</v>
      </c>
      <c r="BR434" s="3">
        <v>44092</v>
      </c>
      <c r="BS434" s="3"/>
      <c r="BT434" t="s">
        <v>91</v>
      </c>
      <c r="BU434" t="s">
        <v>91</v>
      </c>
      <c r="BV434">
        <v>3</v>
      </c>
      <c r="BW434" s="1" t="s">
        <v>263</v>
      </c>
    </row>
    <row r="435" spans="1:75" x14ac:dyDescent="0.35">
      <c r="A435">
        <v>137906</v>
      </c>
      <c r="B435" s="1" t="s">
        <v>75</v>
      </c>
      <c r="C435">
        <v>80</v>
      </c>
      <c r="D435">
        <v>11121001</v>
      </c>
      <c r="E435">
        <v>121001</v>
      </c>
      <c r="F435" s="1" t="s">
        <v>76</v>
      </c>
      <c r="G435" s="1" t="s">
        <v>2586</v>
      </c>
      <c r="H435">
        <v>0</v>
      </c>
      <c r="I435" s="1" t="s">
        <v>78</v>
      </c>
      <c r="J435" s="1" t="s">
        <v>2587</v>
      </c>
      <c r="K435" s="1" t="s">
        <v>2588</v>
      </c>
      <c r="L435" t="s">
        <v>91</v>
      </c>
      <c r="M435" t="s">
        <v>91</v>
      </c>
      <c r="N435" s="1" t="s">
        <v>2589</v>
      </c>
      <c r="O435" t="s">
        <v>91</v>
      </c>
      <c r="P435" s="1" t="s">
        <v>1819</v>
      </c>
      <c r="Q435" s="1" t="s">
        <v>2590</v>
      </c>
      <c r="R435" s="1" t="s">
        <v>91</v>
      </c>
      <c r="S435">
        <v>1274</v>
      </c>
      <c r="T435">
        <v>89108000</v>
      </c>
      <c r="U435" s="1" t="s">
        <v>108</v>
      </c>
      <c r="V435" s="1" t="s">
        <v>1821</v>
      </c>
      <c r="W435" s="1" t="s">
        <v>87</v>
      </c>
      <c r="X435">
        <v>47</v>
      </c>
      <c r="Y435">
        <v>33792020</v>
      </c>
      <c r="Z435" t="s">
        <v>91</v>
      </c>
      <c r="AA435" t="s">
        <v>91</v>
      </c>
      <c r="AB435" t="s">
        <v>91</v>
      </c>
      <c r="AC435" t="s">
        <v>91</v>
      </c>
      <c r="AD435" t="s">
        <v>91</v>
      </c>
      <c r="AE435" t="s">
        <v>91</v>
      </c>
      <c r="AF435" t="s">
        <v>91</v>
      </c>
      <c r="AG435" s="1" t="s">
        <v>146</v>
      </c>
      <c r="AH435" s="1" t="s">
        <v>91</v>
      </c>
      <c r="AI435" t="s">
        <v>91</v>
      </c>
      <c r="AM435" t="s">
        <v>91</v>
      </c>
      <c r="AN435" t="s">
        <v>91</v>
      </c>
      <c r="AO435" t="s">
        <v>91</v>
      </c>
      <c r="AP435" t="s">
        <v>91</v>
      </c>
      <c r="AQ435" s="1" t="s">
        <v>147</v>
      </c>
      <c r="AR435" s="1" t="s">
        <v>147</v>
      </c>
      <c r="AS435" s="1" t="s">
        <v>147</v>
      </c>
      <c r="AT435" s="1" t="s">
        <v>147</v>
      </c>
      <c r="AU435" s="1" t="s">
        <v>147</v>
      </c>
      <c r="AV435" t="s">
        <v>91</v>
      </c>
      <c r="AW435" t="s">
        <v>91</v>
      </c>
      <c r="AX435" t="s">
        <v>91</v>
      </c>
      <c r="AY435" t="s">
        <v>91</v>
      </c>
      <c r="AZ435" t="s">
        <v>91</v>
      </c>
      <c r="BA435" t="s">
        <v>91</v>
      </c>
      <c r="BB435" s="2">
        <v>44378.578518518516</v>
      </c>
      <c r="BC435" s="2">
        <v>44631.696597222224</v>
      </c>
      <c r="BD435" t="s">
        <v>91</v>
      </c>
      <c r="BF435" s="1" t="s">
        <v>75</v>
      </c>
      <c r="BH435">
        <v>0</v>
      </c>
      <c r="BI435" s="1" t="s">
        <v>88</v>
      </c>
      <c r="BJ435">
        <v>1</v>
      </c>
      <c r="BK435" s="1" t="s">
        <v>89</v>
      </c>
      <c r="BL435" t="s">
        <v>91</v>
      </c>
      <c r="BM435" s="1" t="s">
        <v>329</v>
      </c>
      <c r="BN435" s="1" t="s">
        <v>110</v>
      </c>
      <c r="BO435" s="1" t="s">
        <v>165</v>
      </c>
      <c r="BP435" s="1" t="s">
        <v>91</v>
      </c>
      <c r="BQ435" t="s">
        <v>91</v>
      </c>
      <c r="BR435" s="3">
        <v>44378</v>
      </c>
      <c r="BS435" s="3">
        <v>44631</v>
      </c>
      <c r="BT435" t="s">
        <v>91</v>
      </c>
      <c r="BU435" t="s">
        <v>91</v>
      </c>
      <c r="BW435" s="1" t="s">
        <v>390</v>
      </c>
    </row>
    <row r="436" spans="1:75" x14ac:dyDescent="0.35">
      <c r="A436">
        <v>120456</v>
      </c>
      <c r="B436" s="1" t="s">
        <v>75</v>
      </c>
      <c r="C436">
        <v>80</v>
      </c>
      <c r="D436">
        <v>11121001</v>
      </c>
      <c r="E436">
        <v>121001</v>
      </c>
      <c r="F436" s="1" t="s">
        <v>76</v>
      </c>
      <c r="G436" s="1" t="s">
        <v>2591</v>
      </c>
      <c r="H436">
        <v>0</v>
      </c>
      <c r="I436" s="1" t="s">
        <v>78</v>
      </c>
      <c r="J436" s="1" t="s">
        <v>2592</v>
      </c>
      <c r="K436" s="1" t="s">
        <v>2593</v>
      </c>
      <c r="L436" t="s">
        <v>91</v>
      </c>
      <c r="M436" t="s">
        <v>91</v>
      </c>
      <c r="N436" s="1" t="s">
        <v>2594</v>
      </c>
      <c r="O436" t="s">
        <v>91</v>
      </c>
      <c r="P436" s="1" t="s">
        <v>2595</v>
      </c>
      <c r="Q436" s="1" t="s">
        <v>404</v>
      </c>
      <c r="R436" s="1" t="s">
        <v>91</v>
      </c>
      <c r="S436">
        <v>1286</v>
      </c>
      <c r="T436">
        <v>89770000</v>
      </c>
      <c r="U436" s="1" t="s">
        <v>108</v>
      </c>
      <c r="V436" s="1" t="s">
        <v>906</v>
      </c>
      <c r="W436" s="1" t="s">
        <v>87</v>
      </c>
      <c r="X436">
        <v>49</v>
      </c>
      <c r="Y436">
        <v>34521701</v>
      </c>
      <c r="Z436" t="s">
        <v>91</v>
      </c>
      <c r="AA436" t="s">
        <v>91</v>
      </c>
      <c r="AB436" t="s">
        <v>91</v>
      </c>
      <c r="AC436" t="s">
        <v>91</v>
      </c>
      <c r="AD436" t="s">
        <v>91</v>
      </c>
      <c r="AE436" t="s">
        <v>91</v>
      </c>
      <c r="AF436" t="s">
        <v>91</v>
      </c>
      <c r="AG436" s="1" t="s">
        <v>91</v>
      </c>
      <c r="AH436" s="1" t="s">
        <v>91</v>
      </c>
      <c r="AI436" t="s">
        <v>91</v>
      </c>
      <c r="AM436" t="s">
        <v>91</v>
      </c>
      <c r="AN436" t="s">
        <v>91</v>
      </c>
      <c r="AO436" t="s">
        <v>91</v>
      </c>
      <c r="AP436" t="s">
        <v>91</v>
      </c>
      <c r="AQ436" s="1" t="s">
        <v>91</v>
      </c>
      <c r="AR436" s="1" t="s">
        <v>91</v>
      </c>
      <c r="AS436" s="1" t="s">
        <v>91</v>
      </c>
      <c r="AT436" s="1" t="s">
        <v>91</v>
      </c>
      <c r="AU436" s="1" t="s">
        <v>91</v>
      </c>
      <c r="AV436" t="s">
        <v>91</v>
      </c>
      <c r="AW436" t="s">
        <v>91</v>
      </c>
      <c r="AX436" t="s">
        <v>91</v>
      </c>
      <c r="AY436" t="s">
        <v>91</v>
      </c>
      <c r="AZ436" t="s">
        <v>91</v>
      </c>
      <c r="BA436" t="s">
        <v>91</v>
      </c>
      <c r="BB436" s="2">
        <v>44092.925393518519</v>
      </c>
      <c r="BC436" s="2"/>
      <c r="BD436" t="s">
        <v>91</v>
      </c>
      <c r="BF436" s="1" t="s">
        <v>75</v>
      </c>
      <c r="BI436" s="1" t="s">
        <v>88</v>
      </c>
      <c r="BJ436">
        <v>1</v>
      </c>
      <c r="BK436" s="1" t="s">
        <v>89</v>
      </c>
      <c r="BL436" t="s">
        <v>91</v>
      </c>
      <c r="BM436" s="1" t="s">
        <v>109</v>
      </c>
      <c r="BN436" s="1" t="s">
        <v>110</v>
      </c>
      <c r="BO436" s="1" t="s">
        <v>180</v>
      </c>
      <c r="BP436" s="1" t="s">
        <v>91</v>
      </c>
      <c r="BQ436" t="s">
        <v>91</v>
      </c>
      <c r="BR436" s="3">
        <v>44092</v>
      </c>
      <c r="BS436" s="3"/>
      <c r="BT436" t="s">
        <v>91</v>
      </c>
      <c r="BU436" t="s">
        <v>91</v>
      </c>
      <c r="BV436">
        <v>9</v>
      </c>
      <c r="BW436" s="1" t="s">
        <v>2596</v>
      </c>
    </row>
    <row r="437" spans="1:75" x14ac:dyDescent="0.35">
      <c r="A437">
        <v>138232</v>
      </c>
      <c r="B437" s="1" t="s">
        <v>75</v>
      </c>
      <c r="C437">
        <v>80</v>
      </c>
      <c r="D437">
        <v>11121001</v>
      </c>
      <c r="E437">
        <v>121001</v>
      </c>
      <c r="F437" s="1" t="s">
        <v>76</v>
      </c>
      <c r="G437" s="1" t="s">
        <v>2597</v>
      </c>
      <c r="H437">
        <v>0</v>
      </c>
      <c r="I437" s="1" t="s">
        <v>78</v>
      </c>
      <c r="J437" s="1" t="s">
        <v>2598</v>
      </c>
      <c r="K437" s="1" t="s">
        <v>2599</v>
      </c>
      <c r="L437" t="s">
        <v>91</v>
      </c>
      <c r="M437" t="s">
        <v>91</v>
      </c>
      <c r="N437" s="1" t="s">
        <v>2600</v>
      </c>
      <c r="O437" t="s">
        <v>91</v>
      </c>
      <c r="P437" s="1" t="s">
        <v>403</v>
      </c>
      <c r="Q437" s="1" t="s">
        <v>350</v>
      </c>
      <c r="R437" s="1" t="s">
        <v>2601</v>
      </c>
      <c r="S437">
        <v>1287</v>
      </c>
      <c r="T437">
        <v>89802000</v>
      </c>
      <c r="U437" s="1" t="s">
        <v>108</v>
      </c>
      <c r="V437" s="1" t="s">
        <v>337</v>
      </c>
      <c r="W437" s="1" t="s">
        <v>87</v>
      </c>
      <c r="X437">
        <v>49</v>
      </c>
      <c r="Y437">
        <v>999169973</v>
      </c>
      <c r="Z437" t="s">
        <v>91</v>
      </c>
      <c r="AA437" t="s">
        <v>91</v>
      </c>
      <c r="AB437" t="s">
        <v>91</v>
      </c>
      <c r="AC437" t="s">
        <v>91</v>
      </c>
      <c r="AD437" t="s">
        <v>91</v>
      </c>
      <c r="AE437" t="s">
        <v>91</v>
      </c>
      <c r="AF437" t="s">
        <v>91</v>
      </c>
      <c r="AG437" s="1" t="s">
        <v>146</v>
      </c>
      <c r="AH437" s="1" t="s">
        <v>91</v>
      </c>
      <c r="AI437" t="s">
        <v>91</v>
      </c>
      <c r="AM437" t="s">
        <v>91</v>
      </c>
      <c r="AN437" t="s">
        <v>91</v>
      </c>
      <c r="AO437" t="s">
        <v>91</v>
      </c>
      <c r="AP437" t="s">
        <v>91</v>
      </c>
      <c r="AQ437" s="1" t="s">
        <v>147</v>
      </c>
      <c r="AR437" s="1" t="s">
        <v>147</v>
      </c>
      <c r="AS437" s="1" t="s">
        <v>147</v>
      </c>
      <c r="AT437" s="1" t="s">
        <v>147</v>
      </c>
      <c r="AU437" s="1" t="s">
        <v>147</v>
      </c>
      <c r="AV437" t="s">
        <v>91</v>
      </c>
      <c r="AW437" t="s">
        <v>91</v>
      </c>
      <c r="AX437" t="s">
        <v>91</v>
      </c>
      <c r="AY437" t="s">
        <v>91</v>
      </c>
      <c r="AZ437" t="s">
        <v>91</v>
      </c>
      <c r="BA437" t="s">
        <v>91</v>
      </c>
      <c r="BB437" s="2">
        <v>44378.578518518516</v>
      </c>
      <c r="BC437" s="2">
        <v>44613.563993055555</v>
      </c>
      <c r="BD437" t="s">
        <v>91</v>
      </c>
      <c r="BF437" s="1" t="s">
        <v>75</v>
      </c>
      <c r="BH437">
        <v>0</v>
      </c>
      <c r="BI437" s="1" t="s">
        <v>88</v>
      </c>
      <c r="BJ437">
        <v>1</v>
      </c>
      <c r="BK437" s="1" t="s">
        <v>89</v>
      </c>
      <c r="BL437" t="s">
        <v>91</v>
      </c>
      <c r="BM437" s="1" t="s">
        <v>109</v>
      </c>
      <c r="BN437" s="1" t="s">
        <v>110</v>
      </c>
      <c r="BO437" s="1" t="s">
        <v>128</v>
      </c>
      <c r="BP437" s="1" t="s">
        <v>91</v>
      </c>
      <c r="BQ437" t="s">
        <v>91</v>
      </c>
      <c r="BR437" s="3">
        <v>44378</v>
      </c>
      <c r="BS437" s="3">
        <v>44613</v>
      </c>
      <c r="BT437" t="s">
        <v>91</v>
      </c>
      <c r="BU437" t="s">
        <v>91</v>
      </c>
      <c r="BW437" s="1" t="s">
        <v>144</v>
      </c>
    </row>
    <row r="438" spans="1:75" x14ac:dyDescent="0.35">
      <c r="A438">
        <v>846</v>
      </c>
      <c r="B438" s="1" t="s">
        <v>75</v>
      </c>
      <c r="C438">
        <v>80</v>
      </c>
      <c r="D438">
        <v>11121001</v>
      </c>
      <c r="E438">
        <v>121001</v>
      </c>
      <c r="F438" s="1" t="s">
        <v>76</v>
      </c>
      <c r="G438" s="1" t="s">
        <v>2602</v>
      </c>
      <c r="I438" s="1" t="s">
        <v>78</v>
      </c>
      <c r="J438" s="1" t="s">
        <v>2603</v>
      </c>
      <c r="K438" s="1" t="s">
        <v>2604</v>
      </c>
      <c r="L438" t="s">
        <v>91</v>
      </c>
      <c r="M438" t="s">
        <v>91</v>
      </c>
      <c r="N438" s="1" t="s">
        <v>2605</v>
      </c>
      <c r="O438" t="s">
        <v>91</v>
      </c>
      <c r="P438" s="1" t="s">
        <v>2400</v>
      </c>
      <c r="Q438" s="1" t="s">
        <v>594</v>
      </c>
      <c r="R438" s="1" t="s">
        <v>91</v>
      </c>
      <c r="S438">
        <v>1280</v>
      </c>
      <c r="T438">
        <v>89247000</v>
      </c>
      <c r="U438" s="1" t="s">
        <v>343</v>
      </c>
      <c r="V438" s="1" t="s">
        <v>2402</v>
      </c>
      <c r="W438" s="1" t="s">
        <v>87</v>
      </c>
      <c r="X438">
        <v>47</v>
      </c>
      <c r="Y438">
        <v>34482271</v>
      </c>
      <c r="Z438" t="s">
        <v>91</v>
      </c>
      <c r="AA438" t="s">
        <v>91</v>
      </c>
      <c r="AB438" t="s">
        <v>91</v>
      </c>
      <c r="AC438" t="s">
        <v>91</v>
      </c>
      <c r="AD438" t="s">
        <v>91</v>
      </c>
      <c r="AE438" t="s">
        <v>91</v>
      </c>
      <c r="AF438" t="s">
        <v>91</v>
      </c>
      <c r="AG438" s="1" t="s">
        <v>91</v>
      </c>
      <c r="AH438" s="1" t="s">
        <v>91</v>
      </c>
      <c r="AI438" t="s">
        <v>91</v>
      </c>
      <c r="AJ438">
        <v>0</v>
      </c>
      <c r="AK438">
        <v>0</v>
      </c>
      <c r="AL438">
        <v>0</v>
      </c>
      <c r="AM438" t="s">
        <v>91</v>
      </c>
      <c r="AN438" t="s">
        <v>91</v>
      </c>
      <c r="AO438" t="s">
        <v>91</v>
      </c>
      <c r="AP438" t="s">
        <v>91</v>
      </c>
      <c r="AQ438" s="1" t="s">
        <v>91</v>
      </c>
      <c r="AR438" s="1" t="s">
        <v>91</v>
      </c>
      <c r="AS438" s="1" t="s">
        <v>91</v>
      </c>
      <c r="AT438" s="1" t="s">
        <v>91</v>
      </c>
      <c r="AU438" s="1" t="s">
        <v>91</v>
      </c>
      <c r="AV438" t="s">
        <v>91</v>
      </c>
      <c r="AW438" t="s">
        <v>91</v>
      </c>
      <c r="AX438" t="s">
        <v>91</v>
      </c>
      <c r="AY438" t="s">
        <v>91</v>
      </c>
      <c r="AZ438" t="s">
        <v>91</v>
      </c>
      <c r="BA438" t="s">
        <v>91</v>
      </c>
      <c r="BB438" s="2">
        <v>43308.392962962964</v>
      </c>
      <c r="BC438" s="2"/>
      <c r="BD438" t="s">
        <v>91</v>
      </c>
      <c r="BE438">
        <v>846</v>
      </c>
      <c r="BF438" s="1" t="s">
        <v>75</v>
      </c>
      <c r="BG438">
        <v>0</v>
      </c>
      <c r="BH438">
        <v>0</v>
      </c>
      <c r="BI438" s="1" t="s">
        <v>88</v>
      </c>
      <c r="BJ438">
        <v>1</v>
      </c>
      <c r="BK438" s="1" t="s">
        <v>89</v>
      </c>
      <c r="BL438" t="s">
        <v>91</v>
      </c>
      <c r="BM438" s="1" t="s">
        <v>109</v>
      </c>
      <c r="BN438" s="1" t="s">
        <v>110</v>
      </c>
      <c r="BO438" s="1" t="s">
        <v>180</v>
      </c>
      <c r="BP438" s="1" t="s">
        <v>91</v>
      </c>
      <c r="BQ438" t="s">
        <v>91</v>
      </c>
      <c r="BR438" s="3">
        <v>43308</v>
      </c>
      <c r="BS438" s="3"/>
      <c r="BT438" t="s">
        <v>91</v>
      </c>
      <c r="BU438" t="s">
        <v>91</v>
      </c>
      <c r="BV438">
        <v>9</v>
      </c>
      <c r="BW438" s="1" t="s">
        <v>90</v>
      </c>
    </row>
    <row r="439" spans="1:75" x14ac:dyDescent="0.35">
      <c r="A439">
        <v>120429</v>
      </c>
      <c r="B439" s="1" t="s">
        <v>75</v>
      </c>
      <c r="C439">
        <v>80</v>
      </c>
      <c r="D439">
        <v>11121001</v>
      </c>
      <c r="E439">
        <v>121001</v>
      </c>
      <c r="F439" s="1" t="s">
        <v>76</v>
      </c>
      <c r="G439" s="1" t="s">
        <v>2606</v>
      </c>
      <c r="H439">
        <v>0</v>
      </c>
      <c r="I439" s="1" t="s">
        <v>78</v>
      </c>
      <c r="J439" s="1" t="s">
        <v>2607</v>
      </c>
      <c r="K439" s="1" t="s">
        <v>2608</v>
      </c>
      <c r="L439" t="s">
        <v>91</v>
      </c>
      <c r="M439" t="s">
        <v>91</v>
      </c>
      <c r="N439" s="1" t="s">
        <v>2609</v>
      </c>
      <c r="O439" t="s">
        <v>91</v>
      </c>
      <c r="P439" s="1" t="s">
        <v>341</v>
      </c>
      <c r="Q439" s="1" t="s">
        <v>2610</v>
      </c>
      <c r="R439" s="1" t="s">
        <v>91</v>
      </c>
      <c r="S439">
        <v>1377</v>
      </c>
      <c r="T439">
        <v>98400000</v>
      </c>
      <c r="U439" s="1" t="s">
        <v>108</v>
      </c>
      <c r="V439" s="1" t="s">
        <v>344</v>
      </c>
      <c r="W439" s="1" t="s">
        <v>157</v>
      </c>
      <c r="X439">
        <v>55</v>
      </c>
      <c r="Y439">
        <v>37444958</v>
      </c>
      <c r="Z439" t="s">
        <v>91</v>
      </c>
      <c r="AA439" t="s">
        <v>91</v>
      </c>
      <c r="AB439" t="s">
        <v>91</v>
      </c>
      <c r="AC439" t="s">
        <v>91</v>
      </c>
      <c r="AD439" t="s">
        <v>91</v>
      </c>
      <c r="AE439" t="s">
        <v>91</v>
      </c>
      <c r="AF439" t="s">
        <v>91</v>
      </c>
      <c r="AG439" s="1" t="s">
        <v>91</v>
      </c>
      <c r="AH439" s="1" t="s">
        <v>91</v>
      </c>
      <c r="AI439" t="s">
        <v>91</v>
      </c>
      <c r="AJ439">
        <v>0</v>
      </c>
      <c r="AK439">
        <v>0</v>
      </c>
      <c r="AL439">
        <v>0</v>
      </c>
      <c r="AM439" t="s">
        <v>91</v>
      </c>
      <c r="AN439" t="s">
        <v>91</v>
      </c>
      <c r="AO439" t="s">
        <v>91</v>
      </c>
      <c r="AP439" t="s">
        <v>91</v>
      </c>
      <c r="AQ439" s="1" t="s">
        <v>91</v>
      </c>
      <c r="AR439" s="1" t="s">
        <v>91</v>
      </c>
      <c r="AS439" s="1" t="s">
        <v>91</v>
      </c>
      <c r="AT439" s="1" t="s">
        <v>91</v>
      </c>
      <c r="AU439" s="1" t="s">
        <v>91</v>
      </c>
      <c r="AV439" t="s">
        <v>91</v>
      </c>
      <c r="AW439" t="s">
        <v>91</v>
      </c>
      <c r="AX439" t="s">
        <v>91</v>
      </c>
      <c r="AY439" t="s">
        <v>91</v>
      </c>
      <c r="AZ439" t="s">
        <v>91</v>
      </c>
      <c r="BA439" t="s">
        <v>91</v>
      </c>
      <c r="BB439" s="2">
        <v>44092.925393518519</v>
      </c>
      <c r="BC439" s="2"/>
      <c r="BD439" t="s">
        <v>91</v>
      </c>
      <c r="BF439" s="1" t="s">
        <v>75</v>
      </c>
      <c r="BG439">
        <v>0</v>
      </c>
      <c r="BH439">
        <v>0</v>
      </c>
      <c r="BI439" s="1" t="s">
        <v>88</v>
      </c>
      <c r="BJ439">
        <v>1</v>
      </c>
      <c r="BK439" s="1" t="s">
        <v>89</v>
      </c>
      <c r="BL439" t="s">
        <v>91</v>
      </c>
      <c r="BM439" s="1" t="s">
        <v>164</v>
      </c>
      <c r="BN439" s="1" t="s">
        <v>110</v>
      </c>
      <c r="BO439" s="1" t="s">
        <v>165</v>
      </c>
      <c r="BP439" s="1" t="s">
        <v>91</v>
      </c>
      <c r="BQ439" t="s">
        <v>91</v>
      </c>
      <c r="BR439" s="3">
        <v>44092</v>
      </c>
      <c r="BS439" s="3"/>
      <c r="BT439" t="s">
        <v>91</v>
      </c>
      <c r="BU439" t="s">
        <v>91</v>
      </c>
      <c r="BV439">
        <v>9</v>
      </c>
      <c r="BW439" s="1" t="s">
        <v>238</v>
      </c>
    </row>
    <row r="440" spans="1:75" x14ac:dyDescent="0.35">
      <c r="A440">
        <v>138237</v>
      </c>
      <c r="B440" s="1" t="s">
        <v>75</v>
      </c>
      <c r="C440">
        <v>80</v>
      </c>
      <c r="D440">
        <v>11121001</v>
      </c>
      <c r="E440">
        <v>121001</v>
      </c>
      <c r="F440" s="1" t="s">
        <v>76</v>
      </c>
      <c r="G440" s="1" t="s">
        <v>2611</v>
      </c>
      <c r="H440">
        <v>0</v>
      </c>
      <c r="I440" s="1" t="s">
        <v>78</v>
      </c>
      <c r="J440" s="1" t="s">
        <v>2612</v>
      </c>
      <c r="K440" s="1" t="s">
        <v>2613</v>
      </c>
      <c r="L440" t="s">
        <v>91</v>
      </c>
      <c r="M440" t="s">
        <v>91</v>
      </c>
      <c r="N440" s="1" t="s">
        <v>2614</v>
      </c>
      <c r="O440" t="s">
        <v>91</v>
      </c>
      <c r="P440" s="1" t="s">
        <v>1856</v>
      </c>
      <c r="Q440" s="1" t="s">
        <v>1750</v>
      </c>
      <c r="R440" s="1" t="s">
        <v>91</v>
      </c>
      <c r="T440">
        <v>89560196</v>
      </c>
      <c r="U440" s="1" t="s">
        <v>108</v>
      </c>
      <c r="V440" s="1" t="s">
        <v>1827</v>
      </c>
      <c r="W440" s="1" t="s">
        <v>87</v>
      </c>
      <c r="X440">
        <v>49</v>
      </c>
      <c r="Y440">
        <v>35330101</v>
      </c>
      <c r="Z440" t="s">
        <v>91</v>
      </c>
      <c r="AA440" t="s">
        <v>91</v>
      </c>
      <c r="AB440" t="s">
        <v>91</v>
      </c>
      <c r="AC440" t="s">
        <v>91</v>
      </c>
      <c r="AD440" t="s">
        <v>91</v>
      </c>
      <c r="AE440" t="s">
        <v>91</v>
      </c>
      <c r="AF440" t="s">
        <v>91</v>
      </c>
      <c r="AG440" s="1" t="s">
        <v>146</v>
      </c>
      <c r="AH440" s="1" t="s">
        <v>91</v>
      </c>
      <c r="AI440" t="s">
        <v>91</v>
      </c>
      <c r="AM440" t="s">
        <v>91</v>
      </c>
      <c r="AN440" t="s">
        <v>91</v>
      </c>
      <c r="AO440" t="s">
        <v>91</v>
      </c>
      <c r="AP440" t="s">
        <v>91</v>
      </c>
      <c r="AQ440" s="1" t="s">
        <v>147</v>
      </c>
      <c r="AR440" s="1" t="s">
        <v>147</v>
      </c>
      <c r="AS440" s="1" t="s">
        <v>147</v>
      </c>
      <c r="AT440" s="1" t="s">
        <v>147</v>
      </c>
      <c r="AU440" s="1" t="s">
        <v>147</v>
      </c>
      <c r="AV440" t="s">
        <v>91</v>
      </c>
      <c r="AW440" t="s">
        <v>91</v>
      </c>
      <c r="AX440" t="s">
        <v>91</v>
      </c>
      <c r="AY440" t="s">
        <v>91</v>
      </c>
      <c r="AZ440" t="s">
        <v>91</v>
      </c>
      <c r="BA440" t="s">
        <v>91</v>
      </c>
      <c r="BB440" s="2">
        <v>44378.578518518516</v>
      </c>
      <c r="BC440" s="2">
        <v>44725.419699074075</v>
      </c>
      <c r="BD440" t="s">
        <v>91</v>
      </c>
      <c r="BF440" s="1" t="s">
        <v>75</v>
      </c>
      <c r="BH440">
        <v>0</v>
      </c>
      <c r="BI440" s="1" t="s">
        <v>88</v>
      </c>
      <c r="BJ440">
        <v>1</v>
      </c>
      <c r="BK440" s="1" t="s">
        <v>89</v>
      </c>
      <c r="BL440" t="s">
        <v>91</v>
      </c>
      <c r="BM440" s="1" t="s">
        <v>164</v>
      </c>
      <c r="BN440" s="1" t="s">
        <v>110</v>
      </c>
      <c r="BO440" s="1" t="s">
        <v>165</v>
      </c>
      <c r="BP440" s="1" t="s">
        <v>91</v>
      </c>
      <c r="BQ440" t="s">
        <v>91</v>
      </c>
      <c r="BR440" s="3">
        <v>44378</v>
      </c>
      <c r="BS440" s="3">
        <v>44725</v>
      </c>
      <c r="BT440" t="s">
        <v>91</v>
      </c>
      <c r="BU440" t="s">
        <v>91</v>
      </c>
      <c r="BW440" s="1" t="s">
        <v>427</v>
      </c>
    </row>
    <row r="441" spans="1:75" x14ac:dyDescent="0.35">
      <c r="A441">
        <v>144522</v>
      </c>
      <c r="B441" s="1" t="s">
        <v>75</v>
      </c>
      <c r="C441">
        <v>80</v>
      </c>
      <c r="D441">
        <v>11121001</v>
      </c>
      <c r="E441">
        <v>121001</v>
      </c>
      <c r="F441" s="1" t="s">
        <v>76</v>
      </c>
      <c r="G441" s="1" t="s">
        <v>2615</v>
      </c>
      <c r="I441" s="1" t="s">
        <v>78</v>
      </c>
      <c r="J441" s="1" t="s">
        <v>2616</v>
      </c>
      <c r="K441" s="1" t="s">
        <v>2617</v>
      </c>
      <c r="L441" t="s">
        <v>91</v>
      </c>
      <c r="M441" t="s">
        <v>91</v>
      </c>
      <c r="N441" s="1" t="s">
        <v>2618</v>
      </c>
      <c r="O441" t="s">
        <v>91</v>
      </c>
      <c r="P441" s="1" t="s">
        <v>1196</v>
      </c>
      <c r="Q441" s="1" t="s">
        <v>2619</v>
      </c>
      <c r="R441" s="1" t="s">
        <v>370</v>
      </c>
      <c r="S441">
        <v>1280</v>
      </c>
      <c r="T441">
        <v>89260155</v>
      </c>
      <c r="U441" s="1" t="s">
        <v>1198</v>
      </c>
      <c r="V441" s="1" t="s">
        <v>1076</v>
      </c>
      <c r="W441" s="1" t="s">
        <v>87</v>
      </c>
      <c r="X441">
        <v>47</v>
      </c>
      <c r="Y441">
        <v>33711911</v>
      </c>
      <c r="Z441" t="s">
        <v>91</v>
      </c>
      <c r="AA441" t="s">
        <v>91</v>
      </c>
      <c r="AB441" t="s">
        <v>91</v>
      </c>
      <c r="AC441" t="s">
        <v>91</v>
      </c>
      <c r="AD441" t="s">
        <v>91</v>
      </c>
      <c r="AE441" t="s">
        <v>91</v>
      </c>
      <c r="AF441" t="s">
        <v>91</v>
      </c>
      <c r="AG441" s="1" t="s">
        <v>91</v>
      </c>
      <c r="AH441" s="1" t="s">
        <v>91</v>
      </c>
      <c r="AI441" t="s">
        <v>91</v>
      </c>
      <c r="AJ441">
        <v>0</v>
      </c>
      <c r="AK441">
        <v>0</v>
      </c>
      <c r="AL441">
        <v>0</v>
      </c>
      <c r="AM441" t="s">
        <v>91</v>
      </c>
      <c r="AN441" t="s">
        <v>91</v>
      </c>
      <c r="AO441" t="s">
        <v>91</v>
      </c>
      <c r="AP441" t="s">
        <v>91</v>
      </c>
      <c r="AQ441" s="1" t="s">
        <v>91</v>
      </c>
      <c r="AR441" s="1" t="s">
        <v>91</v>
      </c>
      <c r="AS441" s="1" t="s">
        <v>91</v>
      </c>
      <c r="AT441" s="1" t="s">
        <v>91</v>
      </c>
      <c r="AU441" s="1" t="s">
        <v>91</v>
      </c>
      <c r="AV441" t="s">
        <v>91</v>
      </c>
      <c r="AW441" t="s">
        <v>91</v>
      </c>
      <c r="AX441" t="s">
        <v>91</v>
      </c>
      <c r="AY441" t="s">
        <v>91</v>
      </c>
      <c r="AZ441" t="s">
        <v>91</v>
      </c>
      <c r="BA441" t="s">
        <v>91</v>
      </c>
      <c r="BB441" s="2"/>
      <c r="BC441" s="2"/>
      <c r="BD441" t="s">
        <v>91</v>
      </c>
      <c r="BF441" s="1" t="s">
        <v>75</v>
      </c>
      <c r="BG441">
        <v>0</v>
      </c>
      <c r="BH441">
        <v>0</v>
      </c>
      <c r="BI441" s="1" t="s">
        <v>88</v>
      </c>
      <c r="BJ441">
        <v>1</v>
      </c>
      <c r="BK441" s="1" t="s">
        <v>89</v>
      </c>
      <c r="BL441" t="s">
        <v>91</v>
      </c>
      <c r="BM441" s="1" t="s">
        <v>109</v>
      </c>
      <c r="BN441" s="1" t="s">
        <v>110</v>
      </c>
      <c r="BO441" s="1" t="s">
        <v>128</v>
      </c>
      <c r="BP441" s="1" t="s">
        <v>91</v>
      </c>
      <c r="BQ441" t="s">
        <v>91</v>
      </c>
      <c r="BR441" s="3"/>
      <c r="BS441" s="3"/>
      <c r="BT441" t="s">
        <v>91</v>
      </c>
      <c r="BU441" t="s">
        <v>91</v>
      </c>
      <c r="BV441">
        <v>9</v>
      </c>
      <c r="BW441" s="1" t="s">
        <v>1211</v>
      </c>
    </row>
    <row r="442" spans="1:75" x14ac:dyDescent="0.35">
      <c r="A442">
        <v>144484</v>
      </c>
      <c r="B442" s="1" t="s">
        <v>75</v>
      </c>
      <c r="C442">
        <v>80</v>
      </c>
      <c r="D442">
        <v>11121001</v>
      </c>
      <c r="E442">
        <v>121001</v>
      </c>
      <c r="F442" s="1" t="s">
        <v>76</v>
      </c>
      <c r="G442" s="1" t="s">
        <v>2620</v>
      </c>
      <c r="I442" s="1" t="s">
        <v>78</v>
      </c>
      <c r="J442" s="1" t="s">
        <v>2621</v>
      </c>
      <c r="K442" s="1" t="s">
        <v>2622</v>
      </c>
      <c r="L442" t="s">
        <v>91</v>
      </c>
      <c r="M442" t="s">
        <v>91</v>
      </c>
      <c r="N442" s="1" t="s">
        <v>2623</v>
      </c>
      <c r="O442" t="s">
        <v>91</v>
      </c>
      <c r="P442" s="1" t="s">
        <v>335</v>
      </c>
      <c r="Q442" s="1" t="s">
        <v>746</v>
      </c>
      <c r="R442" s="1" t="s">
        <v>370</v>
      </c>
      <c r="S442">
        <v>1280</v>
      </c>
      <c r="T442">
        <v>89251700</v>
      </c>
      <c r="U442" s="1" t="s">
        <v>108</v>
      </c>
      <c r="V442" s="1" t="s">
        <v>1076</v>
      </c>
      <c r="W442" s="1" t="s">
        <v>87</v>
      </c>
      <c r="X442">
        <v>47</v>
      </c>
      <c r="Y442">
        <v>30540066</v>
      </c>
      <c r="Z442" t="s">
        <v>91</v>
      </c>
      <c r="AA442" t="s">
        <v>91</v>
      </c>
      <c r="AB442" t="s">
        <v>91</v>
      </c>
      <c r="AC442" t="s">
        <v>91</v>
      </c>
      <c r="AD442" t="s">
        <v>91</v>
      </c>
      <c r="AE442" t="s">
        <v>91</v>
      </c>
      <c r="AF442" t="s">
        <v>91</v>
      </c>
      <c r="AG442" s="1" t="s">
        <v>91</v>
      </c>
      <c r="AH442" s="1" t="s">
        <v>91</v>
      </c>
      <c r="AI442" t="s">
        <v>91</v>
      </c>
      <c r="AJ442">
        <v>0</v>
      </c>
      <c r="AK442">
        <v>0</v>
      </c>
      <c r="AL442">
        <v>0</v>
      </c>
      <c r="AM442" t="s">
        <v>91</v>
      </c>
      <c r="AN442" t="s">
        <v>91</v>
      </c>
      <c r="AO442" t="s">
        <v>91</v>
      </c>
      <c r="AP442" t="s">
        <v>91</v>
      </c>
      <c r="AQ442" s="1" t="s">
        <v>91</v>
      </c>
      <c r="AR442" s="1" t="s">
        <v>91</v>
      </c>
      <c r="AS442" s="1" t="s">
        <v>91</v>
      </c>
      <c r="AT442" s="1" t="s">
        <v>91</v>
      </c>
      <c r="AU442" s="1" t="s">
        <v>91</v>
      </c>
      <c r="AV442" t="s">
        <v>91</v>
      </c>
      <c r="AW442" t="s">
        <v>91</v>
      </c>
      <c r="AX442" t="s">
        <v>91</v>
      </c>
      <c r="AY442" t="s">
        <v>91</v>
      </c>
      <c r="AZ442" t="s">
        <v>91</v>
      </c>
      <c r="BA442" t="s">
        <v>91</v>
      </c>
      <c r="BB442" s="2"/>
      <c r="BC442" s="2"/>
      <c r="BD442" t="s">
        <v>91</v>
      </c>
      <c r="BF442" s="1" t="s">
        <v>75</v>
      </c>
      <c r="BG442">
        <v>0</v>
      </c>
      <c r="BH442">
        <v>0</v>
      </c>
      <c r="BI442" s="1" t="s">
        <v>88</v>
      </c>
      <c r="BJ442">
        <v>1</v>
      </c>
      <c r="BK442" s="1" t="s">
        <v>89</v>
      </c>
      <c r="BL442" t="s">
        <v>91</v>
      </c>
      <c r="BM442" s="1" t="s">
        <v>109</v>
      </c>
      <c r="BN442" s="1" t="s">
        <v>110</v>
      </c>
      <c r="BO442" s="1" t="s">
        <v>165</v>
      </c>
      <c r="BP442" s="1" t="s">
        <v>91</v>
      </c>
      <c r="BQ442" t="s">
        <v>91</v>
      </c>
      <c r="BR442" s="3"/>
      <c r="BS442" s="3"/>
      <c r="BT442" t="s">
        <v>91</v>
      </c>
      <c r="BU442" t="s">
        <v>91</v>
      </c>
      <c r="BV442">
        <v>5</v>
      </c>
      <c r="BW442" s="1" t="s">
        <v>1211</v>
      </c>
    </row>
    <row r="443" spans="1:75" x14ac:dyDescent="0.35">
      <c r="A443">
        <v>157515</v>
      </c>
      <c r="B443" s="1" t="s">
        <v>75</v>
      </c>
      <c r="C443">
        <v>80</v>
      </c>
      <c r="D443">
        <v>11121001</v>
      </c>
      <c r="E443">
        <v>121001</v>
      </c>
      <c r="F443" s="1" t="s">
        <v>76</v>
      </c>
      <c r="G443" s="1" t="s">
        <v>2624</v>
      </c>
      <c r="H443">
        <v>0</v>
      </c>
      <c r="I443" s="1" t="s">
        <v>78</v>
      </c>
      <c r="J443" s="1" t="s">
        <v>2625</v>
      </c>
      <c r="K443" s="1" t="s">
        <v>2626</v>
      </c>
      <c r="L443" t="s">
        <v>91</v>
      </c>
      <c r="M443" t="s">
        <v>91</v>
      </c>
      <c r="N443" s="1" t="s">
        <v>91</v>
      </c>
      <c r="O443" t="s">
        <v>91</v>
      </c>
      <c r="P443" s="1" t="s">
        <v>2627</v>
      </c>
      <c r="Q443" s="1" t="s">
        <v>2628</v>
      </c>
      <c r="R443" s="1" t="s">
        <v>91</v>
      </c>
      <c r="S443">
        <v>1287</v>
      </c>
      <c r="T443">
        <v>89803150</v>
      </c>
      <c r="U443" s="1" t="s">
        <v>499</v>
      </c>
      <c r="V443" s="1" t="s">
        <v>86</v>
      </c>
      <c r="W443" s="1" t="s">
        <v>87</v>
      </c>
      <c r="X443">
        <v>49</v>
      </c>
      <c r="Y443">
        <v>34445047</v>
      </c>
      <c r="Z443" t="s">
        <v>91</v>
      </c>
      <c r="AA443" t="s">
        <v>91</v>
      </c>
      <c r="AB443" t="s">
        <v>91</v>
      </c>
      <c r="AC443" t="s">
        <v>91</v>
      </c>
      <c r="AD443" t="s">
        <v>91</v>
      </c>
      <c r="AE443" t="s">
        <v>91</v>
      </c>
      <c r="AF443" t="s">
        <v>91</v>
      </c>
      <c r="AG443" s="1" t="s">
        <v>91</v>
      </c>
      <c r="AH443" s="1" t="s">
        <v>91</v>
      </c>
      <c r="AI443" t="s">
        <v>91</v>
      </c>
      <c r="AM443" t="s">
        <v>91</v>
      </c>
      <c r="AN443" t="s">
        <v>91</v>
      </c>
      <c r="AO443" t="s">
        <v>91</v>
      </c>
      <c r="AP443" t="s">
        <v>91</v>
      </c>
      <c r="AQ443" s="1" t="s">
        <v>91</v>
      </c>
      <c r="AR443" s="1" t="s">
        <v>91</v>
      </c>
      <c r="AS443" s="1" t="s">
        <v>91</v>
      </c>
      <c r="AT443" s="1" t="s">
        <v>91</v>
      </c>
      <c r="AU443" s="1" t="s">
        <v>91</v>
      </c>
      <c r="AV443" t="s">
        <v>91</v>
      </c>
      <c r="AW443" t="s">
        <v>91</v>
      </c>
      <c r="AX443" t="s">
        <v>91</v>
      </c>
      <c r="AY443" t="s">
        <v>91</v>
      </c>
      <c r="AZ443" t="s">
        <v>91</v>
      </c>
      <c r="BA443" t="s">
        <v>91</v>
      </c>
      <c r="BB443" s="2">
        <v>45118.093391203707</v>
      </c>
      <c r="BC443" s="2"/>
      <c r="BD443" t="s">
        <v>91</v>
      </c>
      <c r="BF443" s="1" t="s">
        <v>75</v>
      </c>
      <c r="BI443" s="1" t="s">
        <v>88</v>
      </c>
      <c r="BJ443">
        <v>1</v>
      </c>
      <c r="BK443" s="1" t="s">
        <v>89</v>
      </c>
      <c r="BL443" t="s">
        <v>91</v>
      </c>
      <c r="BM443" s="1" t="s">
        <v>91</v>
      </c>
      <c r="BN443" s="1" t="s">
        <v>91</v>
      </c>
      <c r="BO443" s="1" t="s">
        <v>91</v>
      </c>
      <c r="BP443" s="1" t="s">
        <v>91</v>
      </c>
      <c r="BQ443" t="s">
        <v>91</v>
      </c>
      <c r="BR443" s="3">
        <v>45118</v>
      </c>
      <c r="BS443" s="3"/>
      <c r="BT443" t="s">
        <v>91</v>
      </c>
      <c r="BU443" t="s">
        <v>91</v>
      </c>
      <c r="BW443" s="1" t="s">
        <v>90</v>
      </c>
    </row>
    <row r="444" spans="1:75" x14ac:dyDescent="0.35">
      <c r="A444">
        <v>141567</v>
      </c>
      <c r="B444" s="1" t="s">
        <v>75</v>
      </c>
      <c r="C444">
        <v>80</v>
      </c>
      <c r="D444">
        <v>11121001</v>
      </c>
      <c r="E444">
        <v>121001</v>
      </c>
      <c r="F444" s="1" t="s">
        <v>76</v>
      </c>
      <c r="G444" s="1" t="s">
        <v>2629</v>
      </c>
      <c r="H444">
        <v>0</v>
      </c>
      <c r="I444" s="1" t="s">
        <v>78</v>
      </c>
      <c r="J444" s="1" t="s">
        <v>2630</v>
      </c>
      <c r="K444" s="1" t="s">
        <v>2631</v>
      </c>
      <c r="L444" t="s">
        <v>91</v>
      </c>
      <c r="M444" t="s">
        <v>91</v>
      </c>
      <c r="N444" s="1" t="s">
        <v>2632</v>
      </c>
      <c r="O444" t="s">
        <v>91</v>
      </c>
      <c r="P444" s="1" t="s">
        <v>1968</v>
      </c>
      <c r="Q444" s="1" t="s">
        <v>625</v>
      </c>
      <c r="R444" s="1" t="s">
        <v>2633</v>
      </c>
      <c r="S444">
        <v>1287</v>
      </c>
      <c r="T444">
        <v>89805203</v>
      </c>
      <c r="U444" s="1" t="s">
        <v>627</v>
      </c>
      <c r="V444" s="1" t="s">
        <v>337</v>
      </c>
      <c r="W444" s="1" t="s">
        <v>87</v>
      </c>
      <c r="X444">
        <v>49</v>
      </c>
      <c r="Y444">
        <v>33232717</v>
      </c>
      <c r="Z444" t="s">
        <v>91</v>
      </c>
      <c r="AA444" t="s">
        <v>91</v>
      </c>
      <c r="AB444" t="s">
        <v>91</v>
      </c>
      <c r="AC444" t="s">
        <v>91</v>
      </c>
      <c r="AD444" t="s">
        <v>91</v>
      </c>
      <c r="AE444" t="s">
        <v>91</v>
      </c>
      <c r="AF444" t="s">
        <v>91</v>
      </c>
      <c r="AG444" s="1" t="s">
        <v>146</v>
      </c>
      <c r="AH444" s="1" t="s">
        <v>91</v>
      </c>
      <c r="AI444" t="s">
        <v>91</v>
      </c>
      <c r="AM444" t="s">
        <v>91</v>
      </c>
      <c r="AN444" t="s">
        <v>91</v>
      </c>
      <c r="AO444" t="s">
        <v>91</v>
      </c>
      <c r="AP444" t="s">
        <v>91</v>
      </c>
      <c r="AQ444" s="1" t="s">
        <v>147</v>
      </c>
      <c r="AR444" s="1" t="s">
        <v>147</v>
      </c>
      <c r="AS444" s="1" t="s">
        <v>147</v>
      </c>
      <c r="AT444" s="1" t="s">
        <v>147</v>
      </c>
      <c r="AU444" s="1" t="s">
        <v>147</v>
      </c>
      <c r="AV444" t="s">
        <v>91</v>
      </c>
      <c r="AW444" t="s">
        <v>91</v>
      </c>
      <c r="AX444" t="s">
        <v>91</v>
      </c>
      <c r="AY444" t="s">
        <v>91</v>
      </c>
      <c r="AZ444" t="s">
        <v>91</v>
      </c>
      <c r="BA444" t="s">
        <v>91</v>
      </c>
      <c r="BB444" s="2">
        <v>44480.621527777781</v>
      </c>
      <c r="BC444" s="2">
        <v>44642.708703703705</v>
      </c>
      <c r="BD444" t="s">
        <v>91</v>
      </c>
      <c r="BF444" s="1" t="s">
        <v>75</v>
      </c>
      <c r="BH444">
        <v>0</v>
      </c>
      <c r="BI444" s="1" t="s">
        <v>88</v>
      </c>
      <c r="BJ444">
        <v>1</v>
      </c>
      <c r="BK444" s="1" t="s">
        <v>89</v>
      </c>
      <c r="BL444" t="s">
        <v>91</v>
      </c>
      <c r="BM444" s="1" t="s">
        <v>91</v>
      </c>
      <c r="BN444" s="1" t="s">
        <v>91</v>
      </c>
      <c r="BO444" s="1" t="s">
        <v>128</v>
      </c>
      <c r="BP444" s="1" t="s">
        <v>91</v>
      </c>
      <c r="BQ444" t="s">
        <v>91</v>
      </c>
      <c r="BR444" s="3">
        <v>44480</v>
      </c>
      <c r="BS444" s="3">
        <v>44642</v>
      </c>
      <c r="BT444" t="s">
        <v>91</v>
      </c>
      <c r="BU444" t="s">
        <v>91</v>
      </c>
      <c r="BW444" s="1" t="s">
        <v>144</v>
      </c>
    </row>
    <row r="445" spans="1:75" x14ac:dyDescent="0.35">
      <c r="A445">
        <v>787</v>
      </c>
      <c r="B445" s="1" t="s">
        <v>75</v>
      </c>
      <c r="C445">
        <v>80</v>
      </c>
      <c r="D445">
        <v>11121001</v>
      </c>
      <c r="E445">
        <v>121001</v>
      </c>
      <c r="F445" s="1" t="s">
        <v>76</v>
      </c>
      <c r="G445" s="1" t="s">
        <v>2634</v>
      </c>
      <c r="I445" s="1" t="s">
        <v>78</v>
      </c>
      <c r="J445" s="1" t="s">
        <v>2635</v>
      </c>
      <c r="K445" s="1" t="s">
        <v>2636</v>
      </c>
      <c r="L445" t="s">
        <v>91</v>
      </c>
      <c r="M445" t="s">
        <v>91</v>
      </c>
      <c r="N445" s="1" t="s">
        <v>897</v>
      </c>
      <c r="O445" t="s">
        <v>91</v>
      </c>
      <c r="P445" s="1" t="s">
        <v>873</v>
      </c>
      <c r="Q445" s="1" t="s">
        <v>898</v>
      </c>
      <c r="R445" s="1" t="s">
        <v>91</v>
      </c>
      <c r="S445">
        <v>1277</v>
      </c>
      <c r="T445">
        <v>89202000</v>
      </c>
      <c r="U445" s="1" t="s">
        <v>899</v>
      </c>
      <c r="V445" s="1" t="s">
        <v>100</v>
      </c>
      <c r="W445" s="1" t="s">
        <v>87</v>
      </c>
      <c r="X445">
        <v>47</v>
      </c>
      <c r="Y445">
        <v>30256592</v>
      </c>
      <c r="Z445" t="s">
        <v>91</v>
      </c>
      <c r="AA445" t="s">
        <v>91</v>
      </c>
      <c r="AB445" t="s">
        <v>91</v>
      </c>
      <c r="AC445" t="s">
        <v>91</v>
      </c>
      <c r="AD445" t="s">
        <v>91</v>
      </c>
      <c r="AE445" t="s">
        <v>91</v>
      </c>
      <c r="AF445" t="s">
        <v>91</v>
      </c>
      <c r="AG445" s="1" t="s">
        <v>91</v>
      </c>
      <c r="AH445" s="1" t="s">
        <v>91</v>
      </c>
      <c r="AI445" t="s">
        <v>91</v>
      </c>
      <c r="AJ445">
        <v>0</v>
      </c>
      <c r="AK445">
        <v>0</v>
      </c>
      <c r="AL445">
        <v>0</v>
      </c>
      <c r="AM445" t="s">
        <v>91</v>
      </c>
      <c r="AN445" t="s">
        <v>91</v>
      </c>
      <c r="AO445" t="s">
        <v>91</v>
      </c>
      <c r="AP445" t="s">
        <v>91</v>
      </c>
      <c r="AQ445" s="1" t="s">
        <v>91</v>
      </c>
      <c r="AR445" s="1" t="s">
        <v>91</v>
      </c>
      <c r="AS445" s="1" t="s">
        <v>91</v>
      </c>
      <c r="AT445" s="1" t="s">
        <v>91</v>
      </c>
      <c r="AU445" s="1" t="s">
        <v>91</v>
      </c>
      <c r="AV445" t="s">
        <v>91</v>
      </c>
      <c r="AW445" t="s">
        <v>91</v>
      </c>
      <c r="AX445" t="s">
        <v>91</v>
      </c>
      <c r="AY445" t="s">
        <v>91</v>
      </c>
      <c r="AZ445" t="s">
        <v>91</v>
      </c>
      <c r="BA445" t="s">
        <v>91</v>
      </c>
      <c r="BB445" s="2">
        <v>43308.392951388887</v>
      </c>
      <c r="BC445" s="2"/>
      <c r="BD445" t="s">
        <v>91</v>
      </c>
      <c r="BE445">
        <v>787</v>
      </c>
      <c r="BF445" s="1" t="s">
        <v>75</v>
      </c>
      <c r="BG445">
        <v>0</v>
      </c>
      <c r="BH445">
        <v>0</v>
      </c>
      <c r="BI445" s="1" t="s">
        <v>88</v>
      </c>
      <c r="BJ445">
        <v>1</v>
      </c>
      <c r="BK445" s="1" t="s">
        <v>89</v>
      </c>
      <c r="BL445" t="s">
        <v>91</v>
      </c>
      <c r="BM445" s="1" t="s">
        <v>329</v>
      </c>
      <c r="BN445" s="1" t="s">
        <v>110</v>
      </c>
      <c r="BO445" s="1" t="s">
        <v>128</v>
      </c>
      <c r="BP445" s="1" t="s">
        <v>91</v>
      </c>
      <c r="BQ445" t="s">
        <v>91</v>
      </c>
      <c r="BR445" s="3">
        <v>43308</v>
      </c>
      <c r="BS445" s="3"/>
      <c r="BT445" t="s">
        <v>91</v>
      </c>
      <c r="BU445" t="s">
        <v>91</v>
      </c>
      <c r="BV445">
        <v>5</v>
      </c>
      <c r="BW445" s="1" t="s">
        <v>90</v>
      </c>
    </row>
    <row r="446" spans="1:75" x14ac:dyDescent="0.35">
      <c r="A446">
        <v>127545</v>
      </c>
      <c r="B446" s="1" t="s">
        <v>75</v>
      </c>
      <c r="C446">
        <v>80</v>
      </c>
      <c r="D446">
        <v>11121001</v>
      </c>
      <c r="E446">
        <v>121001</v>
      </c>
      <c r="F446" s="1" t="s">
        <v>76</v>
      </c>
      <c r="G446" s="1" t="s">
        <v>2637</v>
      </c>
      <c r="H446">
        <v>0</v>
      </c>
      <c r="I446" s="1" t="s">
        <v>78</v>
      </c>
      <c r="J446" s="1" t="s">
        <v>2638</v>
      </c>
      <c r="K446" s="1" t="s">
        <v>2639</v>
      </c>
      <c r="L446" t="s">
        <v>91</v>
      </c>
      <c r="M446" t="s">
        <v>91</v>
      </c>
      <c r="N446" s="1" t="s">
        <v>2640</v>
      </c>
      <c r="O446" t="s">
        <v>91</v>
      </c>
      <c r="P446" s="1" t="s">
        <v>2641</v>
      </c>
      <c r="Q446" s="1" t="s">
        <v>1650</v>
      </c>
      <c r="R446" s="1" t="s">
        <v>833</v>
      </c>
      <c r="S446">
        <v>1277</v>
      </c>
      <c r="T446">
        <v>89201070</v>
      </c>
      <c r="U446" s="1" t="s">
        <v>108</v>
      </c>
      <c r="V446" s="1" t="s">
        <v>100</v>
      </c>
      <c r="W446" s="1" t="s">
        <v>87</v>
      </c>
      <c r="X446">
        <v>47</v>
      </c>
      <c r="Y446">
        <v>30267390</v>
      </c>
      <c r="Z446" t="s">
        <v>91</v>
      </c>
      <c r="AA446" t="s">
        <v>91</v>
      </c>
      <c r="AB446" t="s">
        <v>91</v>
      </c>
      <c r="AC446" t="s">
        <v>91</v>
      </c>
      <c r="AD446" t="s">
        <v>91</v>
      </c>
      <c r="AE446" t="s">
        <v>91</v>
      </c>
      <c r="AF446" t="s">
        <v>91</v>
      </c>
      <c r="AG446" s="1" t="s">
        <v>91</v>
      </c>
      <c r="AH446" s="1" t="s">
        <v>91</v>
      </c>
      <c r="AI446" t="s">
        <v>91</v>
      </c>
      <c r="AM446" t="s">
        <v>91</v>
      </c>
      <c r="AN446" t="s">
        <v>91</v>
      </c>
      <c r="AO446" t="s">
        <v>91</v>
      </c>
      <c r="AP446" t="s">
        <v>91</v>
      </c>
      <c r="AQ446" s="1" t="s">
        <v>91</v>
      </c>
      <c r="AR446" s="1" t="s">
        <v>91</v>
      </c>
      <c r="AS446" s="1" t="s">
        <v>91</v>
      </c>
      <c r="AT446" s="1" t="s">
        <v>91</v>
      </c>
      <c r="AU446" s="1" t="s">
        <v>91</v>
      </c>
      <c r="AV446" t="s">
        <v>91</v>
      </c>
      <c r="AW446" t="s">
        <v>91</v>
      </c>
      <c r="AX446" t="s">
        <v>91</v>
      </c>
      <c r="AY446" t="s">
        <v>91</v>
      </c>
      <c r="AZ446" t="s">
        <v>91</v>
      </c>
      <c r="BA446" t="s">
        <v>91</v>
      </c>
      <c r="BB446" s="2">
        <v>44111.380995370368</v>
      </c>
      <c r="BC446" s="2"/>
      <c r="BD446" t="s">
        <v>91</v>
      </c>
      <c r="BF446" s="1" t="s">
        <v>75</v>
      </c>
      <c r="BI446" s="1" t="s">
        <v>88</v>
      </c>
      <c r="BJ446">
        <v>1</v>
      </c>
      <c r="BK446" s="1" t="s">
        <v>89</v>
      </c>
      <c r="BL446" t="s">
        <v>91</v>
      </c>
      <c r="BM446" s="1" t="s">
        <v>109</v>
      </c>
      <c r="BN446" s="1" t="s">
        <v>110</v>
      </c>
      <c r="BO446" s="1" t="s">
        <v>180</v>
      </c>
      <c r="BP446" s="1" t="s">
        <v>91</v>
      </c>
      <c r="BQ446" t="s">
        <v>91</v>
      </c>
      <c r="BR446" s="3">
        <v>44111</v>
      </c>
      <c r="BS446" s="3"/>
      <c r="BT446" t="s">
        <v>91</v>
      </c>
      <c r="BU446" t="s">
        <v>91</v>
      </c>
      <c r="BV446">
        <v>9</v>
      </c>
      <c r="BW446" s="1" t="s">
        <v>90</v>
      </c>
    </row>
    <row r="447" spans="1:75" x14ac:dyDescent="0.35">
      <c r="A447">
        <v>144459</v>
      </c>
      <c r="B447" s="1" t="s">
        <v>75</v>
      </c>
      <c r="C447">
        <v>80</v>
      </c>
      <c r="D447">
        <v>11121001</v>
      </c>
      <c r="E447">
        <v>121001</v>
      </c>
      <c r="F447" s="1" t="s">
        <v>76</v>
      </c>
      <c r="G447" s="1" t="s">
        <v>2642</v>
      </c>
      <c r="I447" s="1" t="s">
        <v>78</v>
      </c>
      <c r="J447" s="1" t="s">
        <v>2643</v>
      </c>
      <c r="K447" s="1" t="s">
        <v>2644</v>
      </c>
      <c r="L447" t="s">
        <v>91</v>
      </c>
      <c r="M447" t="s">
        <v>91</v>
      </c>
      <c r="N447" s="1" t="s">
        <v>2645</v>
      </c>
      <c r="O447" t="s">
        <v>91</v>
      </c>
      <c r="P447" s="1" t="s">
        <v>867</v>
      </c>
      <c r="Q447" s="1" t="s">
        <v>2097</v>
      </c>
      <c r="R447" s="1" t="s">
        <v>2646</v>
      </c>
      <c r="S447">
        <v>1277</v>
      </c>
      <c r="T447">
        <v>89201400</v>
      </c>
      <c r="U447" s="1" t="s">
        <v>108</v>
      </c>
      <c r="V447" s="1" t="s">
        <v>100</v>
      </c>
      <c r="W447" s="1" t="s">
        <v>87</v>
      </c>
      <c r="X447">
        <v>47</v>
      </c>
      <c r="Y447">
        <v>34336358</v>
      </c>
      <c r="Z447" t="s">
        <v>91</v>
      </c>
      <c r="AA447" t="s">
        <v>91</v>
      </c>
      <c r="AB447" t="s">
        <v>91</v>
      </c>
      <c r="AC447" t="s">
        <v>91</v>
      </c>
      <c r="AD447" t="s">
        <v>91</v>
      </c>
      <c r="AE447" t="s">
        <v>91</v>
      </c>
      <c r="AF447" t="s">
        <v>91</v>
      </c>
      <c r="AG447" s="1" t="s">
        <v>91</v>
      </c>
      <c r="AH447" s="1" t="s">
        <v>91</v>
      </c>
      <c r="AI447" t="s">
        <v>91</v>
      </c>
      <c r="AJ447">
        <v>0</v>
      </c>
      <c r="AK447">
        <v>0</v>
      </c>
      <c r="AL447">
        <v>0</v>
      </c>
      <c r="AM447" t="s">
        <v>91</v>
      </c>
      <c r="AN447" t="s">
        <v>91</v>
      </c>
      <c r="AO447" t="s">
        <v>91</v>
      </c>
      <c r="AP447" t="s">
        <v>91</v>
      </c>
      <c r="AQ447" s="1" t="s">
        <v>91</v>
      </c>
      <c r="AR447" s="1" t="s">
        <v>91</v>
      </c>
      <c r="AS447" s="1" t="s">
        <v>91</v>
      </c>
      <c r="AT447" s="1" t="s">
        <v>91</v>
      </c>
      <c r="AU447" s="1" t="s">
        <v>91</v>
      </c>
      <c r="AV447" t="s">
        <v>91</v>
      </c>
      <c r="AW447" t="s">
        <v>91</v>
      </c>
      <c r="AX447" t="s">
        <v>91</v>
      </c>
      <c r="AY447" t="s">
        <v>91</v>
      </c>
      <c r="AZ447" t="s">
        <v>91</v>
      </c>
      <c r="BA447" t="s">
        <v>91</v>
      </c>
      <c r="BB447" s="2"/>
      <c r="BC447" s="2"/>
      <c r="BD447" t="s">
        <v>91</v>
      </c>
      <c r="BF447" s="1" t="s">
        <v>75</v>
      </c>
      <c r="BG447">
        <v>0</v>
      </c>
      <c r="BH447">
        <v>0</v>
      </c>
      <c r="BI447" s="1" t="s">
        <v>88</v>
      </c>
      <c r="BJ447">
        <v>1</v>
      </c>
      <c r="BK447" s="1" t="s">
        <v>89</v>
      </c>
      <c r="BL447" t="s">
        <v>91</v>
      </c>
      <c r="BM447" s="1" t="s">
        <v>109</v>
      </c>
      <c r="BN447" s="1" t="s">
        <v>110</v>
      </c>
      <c r="BO447" s="1" t="s">
        <v>128</v>
      </c>
      <c r="BP447" s="1" t="s">
        <v>91</v>
      </c>
      <c r="BQ447" t="s">
        <v>91</v>
      </c>
      <c r="BR447" s="3"/>
      <c r="BS447" s="3"/>
      <c r="BT447" t="s">
        <v>91</v>
      </c>
      <c r="BU447" t="s">
        <v>91</v>
      </c>
      <c r="BV447">
        <v>5</v>
      </c>
      <c r="BW447" s="1" t="s">
        <v>1171</v>
      </c>
    </row>
    <row r="448" spans="1:75" x14ac:dyDescent="0.35">
      <c r="A448">
        <v>144462</v>
      </c>
      <c r="B448" s="1" t="s">
        <v>75</v>
      </c>
      <c r="C448">
        <v>80</v>
      </c>
      <c r="D448">
        <v>11121001</v>
      </c>
      <c r="E448">
        <v>121001</v>
      </c>
      <c r="F448" s="1" t="s">
        <v>76</v>
      </c>
      <c r="G448" s="1" t="s">
        <v>2647</v>
      </c>
      <c r="I448" s="1" t="s">
        <v>78</v>
      </c>
      <c r="J448" s="1" t="s">
        <v>2648</v>
      </c>
      <c r="K448" s="1" t="s">
        <v>2649</v>
      </c>
      <c r="L448" t="s">
        <v>91</v>
      </c>
      <c r="M448" t="s">
        <v>91</v>
      </c>
      <c r="N448" s="1" t="s">
        <v>2650</v>
      </c>
      <c r="O448" t="s">
        <v>91</v>
      </c>
      <c r="P448" s="1" t="s">
        <v>2651</v>
      </c>
      <c r="Q448" s="1" t="s">
        <v>2652</v>
      </c>
      <c r="R448" s="1" t="s">
        <v>91</v>
      </c>
      <c r="S448">
        <v>1282</v>
      </c>
      <c r="T448">
        <v>89400000</v>
      </c>
      <c r="U448" s="1" t="s">
        <v>108</v>
      </c>
      <c r="V448" s="1" t="s">
        <v>1587</v>
      </c>
      <c r="W448" s="1" t="s">
        <v>87</v>
      </c>
      <c r="X448">
        <v>42</v>
      </c>
      <c r="Y448">
        <v>35224816</v>
      </c>
      <c r="Z448" t="s">
        <v>91</v>
      </c>
      <c r="AA448" t="s">
        <v>91</v>
      </c>
      <c r="AB448" t="s">
        <v>91</v>
      </c>
      <c r="AC448" t="s">
        <v>91</v>
      </c>
      <c r="AD448" t="s">
        <v>91</v>
      </c>
      <c r="AE448" t="s">
        <v>91</v>
      </c>
      <c r="AF448" t="s">
        <v>91</v>
      </c>
      <c r="AG448" s="1" t="s">
        <v>91</v>
      </c>
      <c r="AH448" s="1" t="s">
        <v>91</v>
      </c>
      <c r="AI448" t="s">
        <v>91</v>
      </c>
      <c r="AJ448">
        <v>0</v>
      </c>
      <c r="AK448">
        <v>0</v>
      </c>
      <c r="AL448">
        <v>0</v>
      </c>
      <c r="AM448" t="s">
        <v>91</v>
      </c>
      <c r="AN448" t="s">
        <v>91</v>
      </c>
      <c r="AO448" t="s">
        <v>91</v>
      </c>
      <c r="AP448" t="s">
        <v>91</v>
      </c>
      <c r="AQ448" s="1" t="s">
        <v>91</v>
      </c>
      <c r="AR448" s="1" t="s">
        <v>91</v>
      </c>
      <c r="AS448" s="1" t="s">
        <v>91</v>
      </c>
      <c r="AT448" s="1" t="s">
        <v>91</v>
      </c>
      <c r="AU448" s="1" t="s">
        <v>91</v>
      </c>
      <c r="AV448" t="s">
        <v>91</v>
      </c>
      <c r="AW448" t="s">
        <v>91</v>
      </c>
      <c r="AX448" t="s">
        <v>91</v>
      </c>
      <c r="AY448" t="s">
        <v>91</v>
      </c>
      <c r="AZ448" t="s">
        <v>91</v>
      </c>
      <c r="BA448" t="s">
        <v>91</v>
      </c>
      <c r="BB448" s="2"/>
      <c r="BC448" s="2"/>
      <c r="BD448" t="s">
        <v>91</v>
      </c>
      <c r="BF448" s="1" t="s">
        <v>75</v>
      </c>
      <c r="BG448">
        <v>0</v>
      </c>
      <c r="BH448">
        <v>0</v>
      </c>
      <c r="BI448" s="1" t="s">
        <v>88</v>
      </c>
      <c r="BJ448">
        <v>1</v>
      </c>
      <c r="BK448" s="1" t="s">
        <v>89</v>
      </c>
      <c r="BL448" t="s">
        <v>91</v>
      </c>
      <c r="BM448" s="1" t="s">
        <v>109</v>
      </c>
      <c r="BN448" s="1" t="s">
        <v>110</v>
      </c>
      <c r="BO448" s="1" t="s">
        <v>165</v>
      </c>
      <c r="BP448" s="1" t="s">
        <v>91</v>
      </c>
      <c r="BQ448" t="s">
        <v>91</v>
      </c>
      <c r="BR448" s="3"/>
      <c r="BS448" s="3"/>
      <c r="BT448" t="s">
        <v>91</v>
      </c>
      <c r="BU448" t="s">
        <v>91</v>
      </c>
      <c r="BV448">
        <v>5</v>
      </c>
      <c r="BW448" s="1" t="s">
        <v>419</v>
      </c>
    </row>
    <row r="449" spans="1:75" x14ac:dyDescent="0.35">
      <c r="A449">
        <v>138242</v>
      </c>
      <c r="B449" s="1" t="s">
        <v>75</v>
      </c>
      <c r="C449">
        <v>80</v>
      </c>
      <c r="D449">
        <v>11121001</v>
      </c>
      <c r="E449">
        <v>121001</v>
      </c>
      <c r="F449" s="1" t="s">
        <v>76</v>
      </c>
      <c r="G449" s="1" t="s">
        <v>2653</v>
      </c>
      <c r="H449">
        <v>0</v>
      </c>
      <c r="I449" s="1" t="s">
        <v>78</v>
      </c>
      <c r="J449" s="1" t="s">
        <v>2654</v>
      </c>
      <c r="K449" s="1" t="s">
        <v>2655</v>
      </c>
      <c r="L449" t="s">
        <v>91</v>
      </c>
      <c r="M449" t="s">
        <v>91</v>
      </c>
      <c r="N449" s="1" t="s">
        <v>2656</v>
      </c>
      <c r="O449" t="s">
        <v>91</v>
      </c>
      <c r="P449" s="1" t="s">
        <v>918</v>
      </c>
      <c r="Q449" s="1" t="s">
        <v>2657</v>
      </c>
      <c r="R449" s="1" t="s">
        <v>2658</v>
      </c>
      <c r="S449">
        <v>1287</v>
      </c>
      <c r="T449">
        <v>89801000</v>
      </c>
      <c r="U449" s="1" t="s">
        <v>108</v>
      </c>
      <c r="V449" s="1" t="s">
        <v>337</v>
      </c>
      <c r="W449" s="1" t="s">
        <v>87</v>
      </c>
      <c r="X449">
        <v>49</v>
      </c>
      <c r="Y449">
        <v>33164901</v>
      </c>
      <c r="Z449" t="s">
        <v>91</v>
      </c>
      <c r="AA449" t="s">
        <v>91</v>
      </c>
      <c r="AB449" t="s">
        <v>91</v>
      </c>
      <c r="AC449" t="s">
        <v>91</v>
      </c>
      <c r="AD449" t="s">
        <v>91</v>
      </c>
      <c r="AE449" t="s">
        <v>91</v>
      </c>
      <c r="AF449" t="s">
        <v>91</v>
      </c>
      <c r="AG449" s="1" t="s">
        <v>146</v>
      </c>
      <c r="AH449" s="1" t="s">
        <v>91</v>
      </c>
      <c r="AI449" t="s">
        <v>91</v>
      </c>
      <c r="AM449" t="s">
        <v>91</v>
      </c>
      <c r="AN449" t="s">
        <v>91</v>
      </c>
      <c r="AO449" t="s">
        <v>91</v>
      </c>
      <c r="AP449" t="s">
        <v>91</v>
      </c>
      <c r="AQ449" s="1" t="s">
        <v>147</v>
      </c>
      <c r="AR449" s="1" t="s">
        <v>147</v>
      </c>
      <c r="AS449" s="1" t="s">
        <v>147</v>
      </c>
      <c r="AT449" s="1" t="s">
        <v>147</v>
      </c>
      <c r="AU449" s="1" t="s">
        <v>147</v>
      </c>
      <c r="AV449" t="s">
        <v>91</v>
      </c>
      <c r="AW449" t="s">
        <v>91</v>
      </c>
      <c r="AX449" t="s">
        <v>91</v>
      </c>
      <c r="AY449" t="s">
        <v>91</v>
      </c>
      <c r="AZ449" t="s">
        <v>91</v>
      </c>
      <c r="BA449" t="s">
        <v>91</v>
      </c>
      <c r="BB449" s="2">
        <v>44378.578518518516</v>
      </c>
      <c r="BC449" s="2">
        <v>44699.615231481483</v>
      </c>
      <c r="BD449" t="s">
        <v>91</v>
      </c>
      <c r="BF449" s="1" t="s">
        <v>75</v>
      </c>
      <c r="BH449">
        <v>0</v>
      </c>
      <c r="BI449" s="1" t="s">
        <v>88</v>
      </c>
      <c r="BJ449">
        <v>1</v>
      </c>
      <c r="BK449" s="1" t="s">
        <v>89</v>
      </c>
      <c r="BL449" t="s">
        <v>91</v>
      </c>
      <c r="BM449" s="1" t="s">
        <v>197</v>
      </c>
      <c r="BN449" s="1" t="s">
        <v>110</v>
      </c>
      <c r="BO449" s="1" t="s">
        <v>165</v>
      </c>
      <c r="BP449" s="1" t="s">
        <v>91</v>
      </c>
      <c r="BQ449" t="s">
        <v>91</v>
      </c>
      <c r="BR449" s="3">
        <v>44378</v>
      </c>
      <c r="BS449" s="3">
        <v>44699</v>
      </c>
      <c r="BT449" t="s">
        <v>91</v>
      </c>
      <c r="BU449" t="s">
        <v>91</v>
      </c>
      <c r="BW449" s="1" t="s">
        <v>735</v>
      </c>
    </row>
    <row r="450" spans="1:75" x14ac:dyDescent="0.35">
      <c r="A450">
        <v>138243</v>
      </c>
      <c r="B450" s="1" t="s">
        <v>75</v>
      </c>
      <c r="C450">
        <v>80</v>
      </c>
      <c r="D450">
        <v>11121001</v>
      </c>
      <c r="E450">
        <v>121001</v>
      </c>
      <c r="F450" s="1" t="s">
        <v>76</v>
      </c>
      <c r="G450" s="1" t="s">
        <v>2659</v>
      </c>
      <c r="H450">
        <v>0</v>
      </c>
      <c r="I450" s="1" t="s">
        <v>78</v>
      </c>
      <c r="J450" s="1" t="s">
        <v>2660</v>
      </c>
      <c r="K450" s="1" t="s">
        <v>2661</v>
      </c>
      <c r="L450" t="s">
        <v>91</v>
      </c>
      <c r="M450" t="s">
        <v>91</v>
      </c>
      <c r="N450" s="1" t="s">
        <v>2656</v>
      </c>
      <c r="O450" t="s">
        <v>91</v>
      </c>
      <c r="P450" s="1" t="s">
        <v>1137</v>
      </c>
      <c r="Q450" s="1" t="s">
        <v>887</v>
      </c>
      <c r="R450" s="1" t="s">
        <v>2662</v>
      </c>
      <c r="S450">
        <v>1287</v>
      </c>
      <c r="T450">
        <v>89814000</v>
      </c>
      <c r="U450" s="1" t="s">
        <v>108</v>
      </c>
      <c r="V450" s="1" t="s">
        <v>337</v>
      </c>
      <c r="W450" s="1" t="s">
        <v>87</v>
      </c>
      <c r="X450">
        <v>47</v>
      </c>
      <c r="Y450">
        <v>33607704</v>
      </c>
      <c r="Z450" t="s">
        <v>91</v>
      </c>
      <c r="AA450" t="s">
        <v>91</v>
      </c>
      <c r="AB450" t="s">
        <v>91</v>
      </c>
      <c r="AC450" t="s">
        <v>91</v>
      </c>
      <c r="AD450" t="s">
        <v>91</v>
      </c>
      <c r="AE450" t="s">
        <v>91</v>
      </c>
      <c r="AF450" t="s">
        <v>91</v>
      </c>
      <c r="AG450" s="1" t="s">
        <v>146</v>
      </c>
      <c r="AH450" s="1" t="s">
        <v>91</v>
      </c>
      <c r="AI450" t="s">
        <v>91</v>
      </c>
      <c r="AM450" t="s">
        <v>91</v>
      </c>
      <c r="AN450" t="s">
        <v>91</v>
      </c>
      <c r="AO450" t="s">
        <v>91</v>
      </c>
      <c r="AP450" t="s">
        <v>91</v>
      </c>
      <c r="AQ450" s="1" t="s">
        <v>147</v>
      </c>
      <c r="AR450" s="1" t="s">
        <v>147</v>
      </c>
      <c r="AS450" s="1" t="s">
        <v>147</v>
      </c>
      <c r="AT450" s="1" t="s">
        <v>147</v>
      </c>
      <c r="AU450" s="1" t="s">
        <v>147</v>
      </c>
      <c r="AV450" t="s">
        <v>91</v>
      </c>
      <c r="AW450" t="s">
        <v>91</v>
      </c>
      <c r="AX450" t="s">
        <v>91</v>
      </c>
      <c r="AY450" t="s">
        <v>91</v>
      </c>
      <c r="AZ450" t="s">
        <v>91</v>
      </c>
      <c r="BA450" t="s">
        <v>91</v>
      </c>
      <c r="BB450" s="2">
        <v>44378.578518518516</v>
      </c>
      <c r="BC450" s="2">
        <v>45070.607662037037</v>
      </c>
      <c r="BD450" t="s">
        <v>91</v>
      </c>
      <c r="BF450" s="1" t="s">
        <v>75</v>
      </c>
      <c r="BH450">
        <v>0</v>
      </c>
      <c r="BI450" s="1" t="s">
        <v>88</v>
      </c>
      <c r="BJ450">
        <v>1</v>
      </c>
      <c r="BK450" s="1" t="s">
        <v>89</v>
      </c>
      <c r="BL450" t="s">
        <v>91</v>
      </c>
      <c r="BM450" s="1" t="s">
        <v>109</v>
      </c>
      <c r="BN450" s="1" t="s">
        <v>110</v>
      </c>
      <c r="BO450" s="1" t="s">
        <v>128</v>
      </c>
      <c r="BP450" s="1" t="s">
        <v>91</v>
      </c>
      <c r="BQ450" t="s">
        <v>91</v>
      </c>
      <c r="BR450" s="3">
        <v>44378</v>
      </c>
      <c r="BS450" s="3">
        <v>45070</v>
      </c>
      <c r="BT450" t="s">
        <v>91</v>
      </c>
      <c r="BU450" t="s">
        <v>91</v>
      </c>
      <c r="BW450" s="1" t="s">
        <v>735</v>
      </c>
    </row>
    <row r="451" spans="1:75" x14ac:dyDescent="0.35">
      <c r="A451">
        <v>144590</v>
      </c>
      <c r="B451" s="1" t="s">
        <v>75</v>
      </c>
      <c r="C451">
        <v>80</v>
      </c>
      <c r="D451">
        <v>11121001</v>
      </c>
      <c r="E451">
        <v>121001</v>
      </c>
      <c r="F451" s="1" t="s">
        <v>76</v>
      </c>
      <c r="G451" s="1" t="s">
        <v>2663</v>
      </c>
      <c r="I451" s="1" t="s">
        <v>78</v>
      </c>
      <c r="J451" s="1" t="s">
        <v>2664</v>
      </c>
      <c r="K451" s="1" t="s">
        <v>2665</v>
      </c>
      <c r="L451" t="s">
        <v>91</v>
      </c>
      <c r="M451" t="s">
        <v>91</v>
      </c>
      <c r="N451" s="1" t="s">
        <v>2666</v>
      </c>
      <c r="O451" t="s">
        <v>91</v>
      </c>
      <c r="P451" s="1" t="s">
        <v>2667</v>
      </c>
      <c r="Q451" s="1" t="s">
        <v>2668</v>
      </c>
      <c r="R451" s="1" t="s">
        <v>833</v>
      </c>
      <c r="T451">
        <v>89300074</v>
      </c>
      <c r="U451" s="1" t="s">
        <v>1459</v>
      </c>
      <c r="V451" s="1" t="s">
        <v>314</v>
      </c>
      <c r="W451" s="1" t="s">
        <v>87</v>
      </c>
      <c r="X451">
        <v>47</v>
      </c>
      <c r="Y451">
        <v>36429194</v>
      </c>
      <c r="Z451" t="s">
        <v>91</v>
      </c>
      <c r="AA451" t="s">
        <v>91</v>
      </c>
      <c r="AB451" t="s">
        <v>91</v>
      </c>
      <c r="AC451" t="s">
        <v>91</v>
      </c>
      <c r="AD451" t="s">
        <v>91</v>
      </c>
      <c r="AE451" t="s">
        <v>91</v>
      </c>
      <c r="AF451" t="s">
        <v>91</v>
      </c>
      <c r="AG451" s="1" t="s">
        <v>91</v>
      </c>
      <c r="AH451" s="1" t="s">
        <v>91</v>
      </c>
      <c r="AI451" t="s">
        <v>91</v>
      </c>
      <c r="AM451" t="s">
        <v>91</v>
      </c>
      <c r="AN451" t="s">
        <v>91</v>
      </c>
      <c r="AO451" t="s">
        <v>91</v>
      </c>
      <c r="AP451" t="s">
        <v>91</v>
      </c>
      <c r="AQ451" s="1" t="s">
        <v>91</v>
      </c>
      <c r="AR451" s="1" t="s">
        <v>91</v>
      </c>
      <c r="AS451" s="1" t="s">
        <v>91</v>
      </c>
      <c r="AT451" s="1" t="s">
        <v>91</v>
      </c>
      <c r="AU451" s="1" t="s">
        <v>91</v>
      </c>
      <c r="AV451" t="s">
        <v>91</v>
      </c>
      <c r="AW451" t="s">
        <v>91</v>
      </c>
      <c r="AX451" t="s">
        <v>91</v>
      </c>
      <c r="AY451" t="s">
        <v>91</v>
      </c>
      <c r="AZ451" t="s">
        <v>91</v>
      </c>
      <c r="BA451" t="s">
        <v>91</v>
      </c>
      <c r="BB451" s="2"/>
      <c r="BC451" s="2"/>
      <c r="BD451" t="s">
        <v>91</v>
      </c>
      <c r="BF451" s="1" t="s">
        <v>75</v>
      </c>
      <c r="BI451" s="1" t="s">
        <v>88</v>
      </c>
      <c r="BJ451">
        <v>1</v>
      </c>
      <c r="BK451" s="1" t="s">
        <v>89</v>
      </c>
      <c r="BL451" t="s">
        <v>91</v>
      </c>
      <c r="BM451" s="1" t="s">
        <v>109</v>
      </c>
      <c r="BN451" s="1" t="s">
        <v>110</v>
      </c>
      <c r="BO451" s="1" t="s">
        <v>180</v>
      </c>
      <c r="BP451" s="1" t="s">
        <v>91</v>
      </c>
      <c r="BQ451" t="s">
        <v>91</v>
      </c>
      <c r="BR451" s="3"/>
      <c r="BS451" s="3"/>
      <c r="BT451" t="s">
        <v>91</v>
      </c>
      <c r="BU451" t="s">
        <v>91</v>
      </c>
      <c r="BV451">
        <v>9</v>
      </c>
      <c r="BW451" s="1" t="s">
        <v>2669</v>
      </c>
    </row>
    <row r="452" spans="1:75" x14ac:dyDescent="0.35">
      <c r="A452">
        <v>157555</v>
      </c>
      <c r="B452" s="1" t="s">
        <v>75</v>
      </c>
      <c r="C452">
        <v>80</v>
      </c>
      <c r="D452">
        <v>11121001</v>
      </c>
      <c r="E452">
        <v>121001</v>
      </c>
      <c r="F452" s="1" t="s">
        <v>76</v>
      </c>
      <c r="G452" s="1" t="s">
        <v>2670</v>
      </c>
      <c r="H452">
        <v>0</v>
      </c>
      <c r="I452" s="1" t="s">
        <v>78</v>
      </c>
      <c r="J452" s="1" t="s">
        <v>2671</v>
      </c>
      <c r="K452" s="1" t="s">
        <v>2672</v>
      </c>
      <c r="L452" t="s">
        <v>91</v>
      </c>
      <c r="M452" t="s">
        <v>91</v>
      </c>
      <c r="N452" s="1" t="s">
        <v>360</v>
      </c>
      <c r="O452" t="s">
        <v>91</v>
      </c>
      <c r="P452" s="1" t="s">
        <v>2673</v>
      </c>
      <c r="Q452" s="1" t="s">
        <v>2674</v>
      </c>
      <c r="R452" s="1" t="s">
        <v>327</v>
      </c>
      <c r="S452">
        <v>1387</v>
      </c>
      <c r="T452">
        <v>99400000</v>
      </c>
      <c r="U452" s="1" t="s">
        <v>108</v>
      </c>
      <c r="V452" s="1" t="s">
        <v>2675</v>
      </c>
      <c r="W452" s="1" t="s">
        <v>157</v>
      </c>
      <c r="X452">
        <v>54</v>
      </c>
      <c r="Y452">
        <v>30455259</v>
      </c>
      <c r="Z452" t="s">
        <v>91</v>
      </c>
      <c r="AA452" t="s">
        <v>91</v>
      </c>
      <c r="AB452" t="s">
        <v>91</v>
      </c>
      <c r="AC452" t="s">
        <v>91</v>
      </c>
      <c r="AD452" t="s">
        <v>91</v>
      </c>
      <c r="AE452" t="s">
        <v>91</v>
      </c>
      <c r="AF452" t="s">
        <v>91</v>
      </c>
      <c r="AG452" s="1" t="s">
        <v>91</v>
      </c>
      <c r="AH452" s="1" t="s">
        <v>91</v>
      </c>
      <c r="AI452" t="s">
        <v>91</v>
      </c>
      <c r="AM452" t="s">
        <v>91</v>
      </c>
      <c r="AN452" t="s">
        <v>91</v>
      </c>
      <c r="AO452" t="s">
        <v>91</v>
      </c>
      <c r="AP452" t="s">
        <v>91</v>
      </c>
      <c r="AQ452" s="1" t="s">
        <v>91</v>
      </c>
      <c r="AR452" s="1" t="s">
        <v>91</v>
      </c>
      <c r="AS452" s="1" t="s">
        <v>91</v>
      </c>
      <c r="AT452" s="1" t="s">
        <v>91</v>
      </c>
      <c r="AU452" s="1" t="s">
        <v>91</v>
      </c>
      <c r="AV452" t="s">
        <v>91</v>
      </c>
      <c r="AW452" t="s">
        <v>91</v>
      </c>
      <c r="AX452" t="s">
        <v>91</v>
      </c>
      <c r="AY452" t="s">
        <v>91</v>
      </c>
      <c r="AZ452" t="s">
        <v>91</v>
      </c>
      <c r="BA452" t="s">
        <v>91</v>
      </c>
      <c r="BB452" s="2">
        <v>45118.093391203707</v>
      </c>
      <c r="BC452" s="2"/>
      <c r="BD452" t="s">
        <v>91</v>
      </c>
      <c r="BF452" s="1" t="s">
        <v>75</v>
      </c>
      <c r="BI452" s="1" t="s">
        <v>88</v>
      </c>
      <c r="BJ452">
        <v>1</v>
      </c>
      <c r="BK452" s="1" t="s">
        <v>89</v>
      </c>
      <c r="BL452" t="s">
        <v>91</v>
      </c>
      <c r="BM452" s="1" t="s">
        <v>91</v>
      </c>
      <c r="BN452" s="1" t="s">
        <v>91</v>
      </c>
      <c r="BO452" s="1" t="s">
        <v>91</v>
      </c>
      <c r="BP452" s="1" t="s">
        <v>91</v>
      </c>
      <c r="BQ452" t="s">
        <v>91</v>
      </c>
      <c r="BR452" s="3">
        <v>45118</v>
      </c>
      <c r="BS452" s="3"/>
      <c r="BT452" t="s">
        <v>91</v>
      </c>
      <c r="BU452" t="s">
        <v>91</v>
      </c>
      <c r="BW452" s="1" t="s">
        <v>90</v>
      </c>
    </row>
    <row r="453" spans="1:75" x14ac:dyDescent="0.35">
      <c r="A453">
        <v>156751</v>
      </c>
      <c r="B453" s="1" t="s">
        <v>75</v>
      </c>
      <c r="C453">
        <v>80</v>
      </c>
      <c r="D453">
        <v>11121001</v>
      </c>
      <c r="E453">
        <v>121001</v>
      </c>
      <c r="F453" s="1" t="s">
        <v>76</v>
      </c>
      <c r="G453" s="1" t="s">
        <v>2676</v>
      </c>
      <c r="H453">
        <v>0</v>
      </c>
      <c r="I453" s="1" t="s">
        <v>78</v>
      </c>
      <c r="J453" s="1" t="s">
        <v>2677</v>
      </c>
      <c r="K453" s="1" t="s">
        <v>2678</v>
      </c>
      <c r="L453" t="s">
        <v>91</v>
      </c>
      <c r="M453" t="s">
        <v>91</v>
      </c>
      <c r="N453" s="1" t="s">
        <v>2679</v>
      </c>
      <c r="O453" t="s">
        <v>91</v>
      </c>
      <c r="P453" s="1" t="s">
        <v>2680</v>
      </c>
      <c r="Q453" s="1" t="s">
        <v>2681</v>
      </c>
      <c r="R453" s="1" t="s">
        <v>2682</v>
      </c>
      <c r="T453">
        <v>89253789</v>
      </c>
      <c r="U453" s="1" t="s">
        <v>2683</v>
      </c>
      <c r="V453" s="1" t="s">
        <v>302</v>
      </c>
      <c r="W453" s="1" t="s">
        <v>87</v>
      </c>
      <c r="X453">
        <v>47</v>
      </c>
      <c r="Y453">
        <v>999586388</v>
      </c>
      <c r="Z453" t="s">
        <v>91</v>
      </c>
      <c r="AA453" t="s">
        <v>91</v>
      </c>
      <c r="AB453" t="s">
        <v>91</v>
      </c>
      <c r="AC453" t="s">
        <v>91</v>
      </c>
      <c r="AD453" t="s">
        <v>91</v>
      </c>
      <c r="AE453" t="s">
        <v>91</v>
      </c>
      <c r="AF453" t="s">
        <v>91</v>
      </c>
      <c r="AG453" s="1" t="s">
        <v>91</v>
      </c>
      <c r="AH453" s="1" t="s">
        <v>91</v>
      </c>
      <c r="AI453" t="s">
        <v>91</v>
      </c>
      <c r="AM453" t="s">
        <v>91</v>
      </c>
      <c r="AN453" t="s">
        <v>91</v>
      </c>
      <c r="AO453" t="s">
        <v>91</v>
      </c>
      <c r="AP453" t="s">
        <v>91</v>
      </c>
      <c r="AQ453" s="1" t="s">
        <v>91</v>
      </c>
      <c r="AR453" s="1" t="s">
        <v>91</v>
      </c>
      <c r="AS453" s="1" t="s">
        <v>91</v>
      </c>
      <c r="AT453" s="1" t="s">
        <v>91</v>
      </c>
      <c r="AU453" s="1" t="s">
        <v>91</v>
      </c>
      <c r="AV453" t="s">
        <v>91</v>
      </c>
      <c r="AW453" t="s">
        <v>91</v>
      </c>
      <c r="AX453" t="s">
        <v>91</v>
      </c>
      <c r="AY453" t="s">
        <v>91</v>
      </c>
      <c r="AZ453" t="s">
        <v>91</v>
      </c>
      <c r="BA453" t="s">
        <v>91</v>
      </c>
      <c r="BB453" s="2">
        <v>45113.505416666667</v>
      </c>
      <c r="BC453" s="2"/>
      <c r="BD453" t="s">
        <v>91</v>
      </c>
      <c r="BF453" s="1" t="s">
        <v>75</v>
      </c>
      <c r="BI453" s="1" t="s">
        <v>88</v>
      </c>
      <c r="BJ453">
        <v>1</v>
      </c>
      <c r="BK453" s="1" t="s">
        <v>89</v>
      </c>
      <c r="BL453" t="s">
        <v>91</v>
      </c>
      <c r="BM453" s="1" t="s">
        <v>91</v>
      </c>
      <c r="BN453" s="1" t="s">
        <v>91</v>
      </c>
      <c r="BO453" s="1" t="s">
        <v>91</v>
      </c>
      <c r="BP453" s="1" t="s">
        <v>91</v>
      </c>
      <c r="BQ453" t="s">
        <v>91</v>
      </c>
      <c r="BR453" s="3">
        <v>45113</v>
      </c>
      <c r="BS453" s="3"/>
      <c r="BT453" t="s">
        <v>91</v>
      </c>
      <c r="BU453" t="s">
        <v>91</v>
      </c>
      <c r="BW453" s="1" t="s">
        <v>90</v>
      </c>
    </row>
    <row r="454" spans="1:75" x14ac:dyDescent="0.35">
      <c r="A454">
        <v>138244</v>
      </c>
      <c r="B454" s="1" t="s">
        <v>75</v>
      </c>
      <c r="C454">
        <v>80</v>
      </c>
      <c r="D454">
        <v>11121001</v>
      </c>
      <c r="E454">
        <v>121001</v>
      </c>
      <c r="F454" s="1" t="s">
        <v>76</v>
      </c>
      <c r="G454" s="1" t="s">
        <v>2684</v>
      </c>
      <c r="H454">
        <v>0</v>
      </c>
      <c r="I454" s="1" t="s">
        <v>78</v>
      </c>
      <c r="J454" s="1" t="s">
        <v>2685</v>
      </c>
      <c r="K454" s="1" t="s">
        <v>2686</v>
      </c>
      <c r="L454" t="s">
        <v>91</v>
      </c>
      <c r="M454" t="s">
        <v>91</v>
      </c>
      <c r="N454" s="1" t="s">
        <v>2687</v>
      </c>
      <c r="O454" t="s">
        <v>91</v>
      </c>
      <c r="P454" s="1" t="s">
        <v>2688</v>
      </c>
      <c r="Q454" s="1" t="s">
        <v>2689</v>
      </c>
      <c r="R454" s="1" t="s">
        <v>91</v>
      </c>
      <c r="S454">
        <v>1284</v>
      </c>
      <c r="T454">
        <v>89520000</v>
      </c>
      <c r="U454" s="1" t="s">
        <v>343</v>
      </c>
      <c r="V454" s="1" t="s">
        <v>145</v>
      </c>
      <c r="W454" s="1" t="s">
        <v>87</v>
      </c>
      <c r="X454">
        <v>49</v>
      </c>
      <c r="Y454">
        <v>32451364</v>
      </c>
      <c r="Z454" t="s">
        <v>91</v>
      </c>
      <c r="AA454" t="s">
        <v>91</v>
      </c>
      <c r="AB454" t="s">
        <v>91</v>
      </c>
      <c r="AC454" t="s">
        <v>91</v>
      </c>
      <c r="AD454" t="s">
        <v>91</v>
      </c>
      <c r="AE454" t="s">
        <v>91</v>
      </c>
      <c r="AF454" t="s">
        <v>91</v>
      </c>
      <c r="AG454" s="1" t="s">
        <v>146</v>
      </c>
      <c r="AH454" s="1" t="s">
        <v>91</v>
      </c>
      <c r="AI454" t="s">
        <v>91</v>
      </c>
      <c r="AM454" t="s">
        <v>91</v>
      </c>
      <c r="AN454" t="s">
        <v>91</v>
      </c>
      <c r="AO454" t="s">
        <v>91</v>
      </c>
      <c r="AP454" t="s">
        <v>91</v>
      </c>
      <c r="AQ454" s="1" t="s">
        <v>147</v>
      </c>
      <c r="AR454" s="1" t="s">
        <v>147</v>
      </c>
      <c r="AS454" s="1" t="s">
        <v>147</v>
      </c>
      <c r="AT454" s="1" t="s">
        <v>147</v>
      </c>
      <c r="AU454" s="1" t="s">
        <v>147</v>
      </c>
      <c r="AV454" t="s">
        <v>91</v>
      </c>
      <c r="AW454" t="s">
        <v>91</v>
      </c>
      <c r="AX454" t="s">
        <v>91</v>
      </c>
      <c r="AY454" t="s">
        <v>91</v>
      </c>
      <c r="AZ454" t="s">
        <v>91</v>
      </c>
      <c r="BA454" t="s">
        <v>91</v>
      </c>
      <c r="BB454" s="2">
        <v>44378.578518518516</v>
      </c>
      <c r="BC454" s="2">
        <v>44683.497708333336</v>
      </c>
      <c r="BD454" t="s">
        <v>91</v>
      </c>
      <c r="BF454" s="1" t="s">
        <v>75</v>
      </c>
      <c r="BH454">
        <v>0</v>
      </c>
      <c r="BI454" s="1" t="s">
        <v>88</v>
      </c>
      <c r="BJ454">
        <v>1</v>
      </c>
      <c r="BK454" s="1" t="s">
        <v>89</v>
      </c>
      <c r="BL454" t="s">
        <v>91</v>
      </c>
      <c r="BM454" s="1" t="s">
        <v>164</v>
      </c>
      <c r="BN454" s="1" t="s">
        <v>110</v>
      </c>
      <c r="BO454" s="1" t="s">
        <v>165</v>
      </c>
      <c r="BP454" s="1" t="s">
        <v>91</v>
      </c>
      <c r="BQ454" t="s">
        <v>91</v>
      </c>
      <c r="BR454" s="3">
        <v>44378</v>
      </c>
      <c r="BS454" s="3">
        <v>44683</v>
      </c>
      <c r="BT454" t="s">
        <v>91</v>
      </c>
      <c r="BU454" t="s">
        <v>91</v>
      </c>
      <c r="BW454" s="1" t="s">
        <v>540</v>
      </c>
    </row>
    <row r="455" spans="1:75" x14ac:dyDescent="0.35">
      <c r="A455">
        <v>158726</v>
      </c>
      <c r="B455" s="1" t="s">
        <v>75</v>
      </c>
      <c r="C455">
        <v>80</v>
      </c>
      <c r="D455">
        <v>11121001</v>
      </c>
      <c r="E455">
        <v>121001</v>
      </c>
      <c r="F455" s="1" t="s">
        <v>76</v>
      </c>
      <c r="G455" s="1" t="s">
        <v>2690</v>
      </c>
      <c r="I455" s="1" t="s">
        <v>78</v>
      </c>
      <c r="J455" s="1" t="s">
        <v>2691</v>
      </c>
      <c r="K455" s="1" t="s">
        <v>2692</v>
      </c>
      <c r="L455" t="s">
        <v>91</v>
      </c>
      <c r="M455" t="s">
        <v>91</v>
      </c>
      <c r="N455" s="1" t="s">
        <v>2693</v>
      </c>
      <c r="O455" t="s">
        <v>91</v>
      </c>
      <c r="P455" s="1" t="s">
        <v>2694</v>
      </c>
      <c r="Q455" s="1" t="s">
        <v>2695</v>
      </c>
      <c r="R455" s="1" t="s">
        <v>796</v>
      </c>
      <c r="S455">
        <v>1289</v>
      </c>
      <c r="T455">
        <v>89920000</v>
      </c>
      <c r="U455" s="1" t="s">
        <v>2696</v>
      </c>
      <c r="V455" s="1" t="s">
        <v>619</v>
      </c>
      <c r="W455" s="1" t="s">
        <v>87</v>
      </c>
      <c r="X455">
        <v>49</v>
      </c>
      <c r="Y455">
        <v>36213507</v>
      </c>
      <c r="Z455" t="s">
        <v>91</v>
      </c>
      <c r="AA455" t="s">
        <v>91</v>
      </c>
      <c r="AB455" t="s">
        <v>91</v>
      </c>
      <c r="AC455" t="s">
        <v>91</v>
      </c>
      <c r="AD455" t="s">
        <v>91</v>
      </c>
      <c r="AE455" t="s">
        <v>91</v>
      </c>
      <c r="AF455" t="s">
        <v>91</v>
      </c>
      <c r="AG455" s="1" t="s">
        <v>91</v>
      </c>
      <c r="AH455" s="1" t="s">
        <v>91</v>
      </c>
      <c r="AI455" t="s">
        <v>91</v>
      </c>
      <c r="AM455" t="s">
        <v>91</v>
      </c>
      <c r="AN455" t="s">
        <v>91</v>
      </c>
      <c r="AO455" t="s">
        <v>91</v>
      </c>
      <c r="AP455" t="s">
        <v>91</v>
      </c>
      <c r="AQ455" s="1" t="s">
        <v>91</v>
      </c>
      <c r="AR455" s="1" t="s">
        <v>91</v>
      </c>
      <c r="AS455" s="1" t="s">
        <v>91</v>
      </c>
      <c r="AT455" s="1" t="s">
        <v>91</v>
      </c>
      <c r="AU455" s="1" t="s">
        <v>91</v>
      </c>
      <c r="AV455" t="s">
        <v>91</v>
      </c>
      <c r="AW455" t="s">
        <v>91</v>
      </c>
      <c r="AX455" t="s">
        <v>91</v>
      </c>
      <c r="AY455" t="s">
        <v>91</v>
      </c>
      <c r="AZ455" t="s">
        <v>91</v>
      </c>
      <c r="BA455" t="s">
        <v>91</v>
      </c>
      <c r="BB455" s="2">
        <v>45155.700069444443</v>
      </c>
      <c r="BC455" s="2"/>
      <c r="BD455" t="s">
        <v>91</v>
      </c>
      <c r="BF455" s="1" t="s">
        <v>75</v>
      </c>
      <c r="BI455" s="1" t="s">
        <v>88</v>
      </c>
      <c r="BJ455">
        <v>1</v>
      </c>
      <c r="BK455" s="1" t="s">
        <v>89</v>
      </c>
      <c r="BL455" t="s">
        <v>91</v>
      </c>
      <c r="BM455" s="1" t="s">
        <v>91</v>
      </c>
      <c r="BN455" s="1" t="s">
        <v>91</v>
      </c>
      <c r="BO455" s="1" t="s">
        <v>91</v>
      </c>
      <c r="BP455" s="1" t="s">
        <v>91</v>
      </c>
      <c r="BQ455" t="s">
        <v>91</v>
      </c>
      <c r="BR455" s="3">
        <v>45155</v>
      </c>
      <c r="BS455" s="3"/>
      <c r="BT455" t="s">
        <v>91</v>
      </c>
      <c r="BU455" t="s">
        <v>91</v>
      </c>
      <c r="BW455" s="1" t="s">
        <v>390</v>
      </c>
    </row>
    <row r="456" spans="1:75" x14ac:dyDescent="0.35">
      <c r="A456">
        <v>120292</v>
      </c>
      <c r="B456" s="1" t="s">
        <v>75</v>
      </c>
      <c r="C456">
        <v>80</v>
      </c>
      <c r="D456">
        <v>11121001</v>
      </c>
      <c r="E456">
        <v>121001</v>
      </c>
      <c r="F456" s="1" t="s">
        <v>76</v>
      </c>
      <c r="G456" s="1" t="s">
        <v>2697</v>
      </c>
      <c r="H456">
        <v>0</v>
      </c>
      <c r="I456" s="1" t="s">
        <v>78</v>
      </c>
      <c r="J456" s="1" t="s">
        <v>2698</v>
      </c>
      <c r="K456" s="1" t="s">
        <v>2699</v>
      </c>
      <c r="L456" t="s">
        <v>91</v>
      </c>
      <c r="M456" t="s">
        <v>91</v>
      </c>
      <c r="N456" s="1" t="s">
        <v>2700</v>
      </c>
      <c r="O456" t="s">
        <v>91</v>
      </c>
      <c r="P456" s="1" t="s">
        <v>2694</v>
      </c>
      <c r="Q456" s="1" t="s">
        <v>2695</v>
      </c>
      <c r="R456" s="1" t="s">
        <v>2701</v>
      </c>
      <c r="S456">
        <v>1289</v>
      </c>
      <c r="T456">
        <v>89900000</v>
      </c>
      <c r="U456" s="1" t="s">
        <v>108</v>
      </c>
      <c r="V456" s="1" t="s">
        <v>700</v>
      </c>
      <c r="W456" s="1" t="s">
        <v>87</v>
      </c>
      <c r="X456">
        <v>49</v>
      </c>
      <c r="Y456">
        <v>36211562</v>
      </c>
      <c r="Z456" t="s">
        <v>91</v>
      </c>
      <c r="AA456" t="s">
        <v>91</v>
      </c>
      <c r="AB456" t="s">
        <v>91</v>
      </c>
      <c r="AC456" t="s">
        <v>91</v>
      </c>
      <c r="AD456" t="s">
        <v>91</v>
      </c>
      <c r="AE456" t="s">
        <v>91</v>
      </c>
      <c r="AF456" t="s">
        <v>91</v>
      </c>
      <c r="AG456" s="1" t="s">
        <v>91</v>
      </c>
      <c r="AH456" s="1" t="s">
        <v>91</v>
      </c>
      <c r="AI456" t="s">
        <v>91</v>
      </c>
      <c r="AJ456">
        <v>0</v>
      </c>
      <c r="AK456">
        <v>0</v>
      </c>
      <c r="AL456">
        <v>0</v>
      </c>
      <c r="AM456" t="s">
        <v>91</v>
      </c>
      <c r="AN456" t="s">
        <v>91</v>
      </c>
      <c r="AO456" t="s">
        <v>91</v>
      </c>
      <c r="AP456" t="s">
        <v>91</v>
      </c>
      <c r="AQ456" s="1" t="s">
        <v>91</v>
      </c>
      <c r="AR456" s="1" t="s">
        <v>91</v>
      </c>
      <c r="AS456" s="1" t="s">
        <v>91</v>
      </c>
      <c r="AT456" s="1" t="s">
        <v>91</v>
      </c>
      <c r="AU456" s="1" t="s">
        <v>91</v>
      </c>
      <c r="AV456" t="s">
        <v>91</v>
      </c>
      <c r="AW456" t="s">
        <v>91</v>
      </c>
      <c r="AX456" t="s">
        <v>91</v>
      </c>
      <c r="AY456" t="s">
        <v>91</v>
      </c>
      <c r="AZ456" t="s">
        <v>91</v>
      </c>
      <c r="BA456" t="s">
        <v>91</v>
      </c>
      <c r="BB456" s="2">
        <v>44092.925393518519</v>
      </c>
      <c r="BC456" s="2"/>
      <c r="BD456" t="s">
        <v>91</v>
      </c>
      <c r="BF456" s="1" t="s">
        <v>75</v>
      </c>
      <c r="BG456">
        <v>0</v>
      </c>
      <c r="BH456">
        <v>0</v>
      </c>
      <c r="BI456" s="1" t="s">
        <v>88</v>
      </c>
      <c r="BJ456">
        <v>1</v>
      </c>
      <c r="BK456" s="1" t="s">
        <v>89</v>
      </c>
      <c r="BL456" t="s">
        <v>91</v>
      </c>
      <c r="BM456" s="1" t="s">
        <v>329</v>
      </c>
      <c r="BN456" s="1" t="s">
        <v>110</v>
      </c>
      <c r="BO456" s="1" t="s">
        <v>111</v>
      </c>
      <c r="BP456" s="1" t="s">
        <v>91</v>
      </c>
      <c r="BQ456" t="s">
        <v>91</v>
      </c>
      <c r="BR456" s="3">
        <v>44092</v>
      </c>
      <c r="BS456" s="3"/>
      <c r="BT456" t="s">
        <v>91</v>
      </c>
      <c r="BU456" t="s">
        <v>91</v>
      </c>
      <c r="BV456">
        <v>9</v>
      </c>
      <c r="BW456" s="1" t="s">
        <v>390</v>
      </c>
    </row>
    <row r="457" spans="1:75" x14ac:dyDescent="0.35">
      <c r="A457">
        <v>120288</v>
      </c>
      <c r="B457" s="1" t="s">
        <v>75</v>
      </c>
      <c r="C457">
        <v>80</v>
      </c>
      <c r="D457">
        <v>11121001</v>
      </c>
      <c r="E457">
        <v>121001</v>
      </c>
      <c r="F457" s="1" t="s">
        <v>76</v>
      </c>
      <c r="G457" s="1" t="s">
        <v>2702</v>
      </c>
      <c r="H457">
        <v>0</v>
      </c>
      <c r="I457" s="1" t="s">
        <v>78</v>
      </c>
      <c r="J457" s="1" t="s">
        <v>2703</v>
      </c>
      <c r="K457" s="1" t="s">
        <v>2704</v>
      </c>
      <c r="L457" t="s">
        <v>91</v>
      </c>
      <c r="M457" t="s">
        <v>91</v>
      </c>
      <c r="N457" s="1" t="s">
        <v>2700</v>
      </c>
      <c r="O457" t="s">
        <v>91</v>
      </c>
      <c r="P457" s="1" t="s">
        <v>2705</v>
      </c>
      <c r="Q457" s="1" t="s">
        <v>2706</v>
      </c>
      <c r="R457" s="1" t="s">
        <v>91</v>
      </c>
      <c r="S457">
        <v>1289</v>
      </c>
      <c r="T457">
        <v>89900000</v>
      </c>
      <c r="U457" s="1" t="s">
        <v>108</v>
      </c>
      <c r="V457" s="1" t="s">
        <v>700</v>
      </c>
      <c r="W457" s="1" t="s">
        <v>87</v>
      </c>
      <c r="X457">
        <v>49</v>
      </c>
      <c r="Y457">
        <v>36228286</v>
      </c>
      <c r="Z457" t="s">
        <v>91</v>
      </c>
      <c r="AA457" t="s">
        <v>91</v>
      </c>
      <c r="AB457" t="s">
        <v>91</v>
      </c>
      <c r="AC457" t="s">
        <v>91</v>
      </c>
      <c r="AD457" t="s">
        <v>91</v>
      </c>
      <c r="AE457" t="s">
        <v>91</v>
      </c>
      <c r="AF457" t="s">
        <v>91</v>
      </c>
      <c r="AG457" s="1" t="s">
        <v>91</v>
      </c>
      <c r="AH457" s="1" t="s">
        <v>91</v>
      </c>
      <c r="AI457" t="s">
        <v>91</v>
      </c>
      <c r="AJ457">
        <v>0</v>
      </c>
      <c r="AK457">
        <v>0</v>
      </c>
      <c r="AL457">
        <v>0</v>
      </c>
      <c r="AM457" t="s">
        <v>91</v>
      </c>
      <c r="AN457" t="s">
        <v>91</v>
      </c>
      <c r="AO457" t="s">
        <v>91</v>
      </c>
      <c r="AP457" t="s">
        <v>91</v>
      </c>
      <c r="AQ457" s="1" t="s">
        <v>91</v>
      </c>
      <c r="AR457" s="1" t="s">
        <v>91</v>
      </c>
      <c r="AS457" s="1" t="s">
        <v>91</v>
      </c>
      <c r="AT457" s="1" t="s">
        <v>91</v>
      </c>
      <c r="AU457" s="1" t="s">
        <v>91</v>
      </c>
      <c r="AV457" t="s">
        <v>91</v>
      </c>
      <c r="AW457" t="s">
        <v>91</v>
      </c>
      <c r="AX457" t="s">
        <v>91</v>
      </c>
      <c r="AY457" t="s">
        <v>91</v>
      </c>
      <c r="AZ457" t="s">
        <v>91</v>
      </c>
      <c r="BA457" t="s">
        <v>91</v>
      </c>
      <c r="BB457" s="2">
        <v>44092.925393518519</v>
      </c>
      <c r="BC457" s="2"/>
      <c r="BD457" t="s">
        <v>91</v>
      </c>
      <c r="BF457" s="1" t="s">
        <v>75</v>
      </c>
      <c r="BG457">
        <v>0</v>
      </c>
      <c r="BH457">
        <v>0</v>
      </c>
      <c r="BI457" s="1" t="s">
        <v>88</v>
      </c>
      <c r="BJ457">
        <v>1</v>
      </c>
      <c r="BK457" s="1" t="s">
        <v>89</v>
      </c>
      <c r="BL457" t="s">
        <v>91</v>
      </c>
      <c r="BM457" s="1" t="s">
        <v>164</v>
      </c>
      <c r="BN457" s="1" t="s">
        <v>110</v>
      </c>
      <c r="BO457" s="1" t="s">
        <v>165</v>
      </c>
      <c r="BP457" s="1" t="s">
        <v>91</v>
      </c>
      <c r="BQ457" t="s">
        <v>91</v>
      </c>
      <c r="BR457" s="3">
        <v>44092</v>
      </c>
      <c r="BS457" s="3"/>
      <c r="BT457" t="s">
        <v>91</v>
      </c>
      <c r="BU457" t="s">
        <v>91</v>
      </c>
      <c r="BV457">
        <v>1</v>
      </c>
      <c r="BW457" s="1" t="s">
        <v>390</v>
      </c>
    </row>
    <row r="458" spans="1:75" x14ac:dyDescent="0.35">
      <c r="A458">
        <v>120419</v>
      </c>
      <c r="B458" s="1" t="s">
        <v>75</v>
      </c>
      <c r="C458">
        <v>80</v>
      </c>
      <c r="D458">
        <v>11121001</v>
      </c>
      <c r="E458">
        <v>121001</v>
      </c>
      <c r="F458" s="1" t="s">
        <v>76</v>
      </c>
      <c r="G458" s="1" t="s">
        <v>2707</v>
      </c>
      <c r="H458">
        <v>0</v>
      </c>
      <c r="I458" s="1" t="s">
        <v>78</v>
      </c>
      <c r="J458" s="1" t="s">
        <v>2708</v>
      </c>
      <c r="K458" s="1" t="s">
        <v>2709</v>
      </c>
      <c r="L458" t="s">
        <v>91</v>
      </c>
      <c r="M458" t="s">
        <v>91</v>
      </c>
      <c r="N458" s="1" t="s">
        <v>2700</v>
      </c>
      <c r="O458" t="s">
        <v>91</v>
      </c>
      <c r="P458" s="1" t="s">
        <v>2710</v>
      </c>
      <c r="Q458" s="1" t="s">
        <v>2711</v>
      </c>
      <c r="R458" s="1" t="s">
        <v>236</v>
      </c>
      <c r="S458">
        <v>1289</v>
      </c>
      <c r="T458">
        <v>89900000</v>
      </c>
      <c r="U458" s="1" t="s">
        <v>2712</v>
      </c>
      <c r="V458" s="1" t="s">
        <v>700</v>
      </c>
      <c r="W458" s="1" t="s">
        <v>87</v>
      </c>
      <c r="X458">
        <v>49</v>
      </c>
      <c r="Y458">
        <v>36224528</v>
      </c>
      <c r="Z458" t="s">
        <v>91</v>
      </c>
      <c r="AA458" t="s">
        <v>91</v>
      </c>
      <c r="AB458" t="s">
        <v>91</v>
      </c>
      <c r="AC458" t="s">
        <v>91</v>
      </c>
      <c r="AD458" t="s">
        <v>91</v>
      </c>
      <c r="AE458" t="s">
        <v>91</v>
      </c>
      <c r="AF458" t="s">
        <v>91</v>
      </c>
      <c r="AG458" s="1" t="s">
        <v>91</v>
      </c>
      <c r="AH458" s="1" t="s">
        <v>91</v>
      </c>
      <c r="AI458" t="s">
        <v>91</v>
      </c>
      <c r="AJ458">
        <v>0</v>
      </c>
      <c r="AK458">
        <v>0</v>
      </c>
      <c r="AL458">
        <v>0</v>
      </c>
      <c r="AM458" t="s">
        <v>91</v>
      </c>
      <c r="AN458" t="s">
        <v>91</v>
      </c>
      <c r="AO458" t="s">
        <v>91</v>
      </c>
      <c r="AP458" t="s">
        <v>91</v>
      </c>
      <c r="AQ458" s="1" t="s">
        <v>91</v>
      </c>
      <c r="AR458" s="1" t="s">
        <v>91</v>
      </c>
      <c r="AS458" s="1" t="s">
        <v>91</v>
      </c>
      <c r="AT458" s="1" t="s">
        <v>91</v>
      </c>
      <c r="AU458" s="1" t="s">
        <v>91</v>
      </c>
      <c r="AV458" t="s">
        <v>91</v>
      </c>
      <c r="AW458" t="s">
        <v>91</v>
      </c>
      <c r="AX458" t="s">
        <v>91</v>
      </c>
      <c r="AY458" t="s">
        <v>91</v>
      </c>
      <c r="AZ458" t="s">
        <v>91</v>
      </c>
      <c r="BA458" t="s">
        <v>91</v>
      </c>
      <c r="BB458" s="2">
        <v>44092.925393518519</v>
      </c>
      <c r="BC458" s="2"/>
      <c r="BD458" t="s">
        <v>91</v>
      </c>
      <c r="BF458" s="1" t="s">
        <v>75</v>
      </c>
      <c r="BG458">
        <v>0</v>
      </c>
      <c r="BH458">
        <v>0</v>
      </c>
      <c r="BI458" s="1" t="s">
        <v>88</v>
      </c>
      <c r="BJ458">
        <v>1</v>
      </c>
      <c r="BK458" s="1" t="s">
        <v>89</v>
      </c>
      <c r="BL458" t="s">
        <v>91</v>
      </c>
      <c r="BM458" s="1" t="s">
        <v>164</v>
      </c>
      <c r="BN458" s="1" t="s">
        <v>110</v>
      </c>
      <c r="BO458" s="1" t="s">
        <v>165</v>
      </c>
      <c r="BP458" s="1" t="s">
        <v>91</v>
      </c>
      <c r="BQ458" t="s">
        <v>91</v>
      </c>
      <c r="BR458" s="3">
        <v>44092</v>
      </c>
      <c r="BS458" s="3"/>
      <c r="BT458" t="s">
        <v>91</v>
      </c>
      <c r="BU458" t="s">
        <v>91</v>
      </c>
      <c r="BV458">
        <v>1</v>
      </c>
      <c r="BW458" s="1" t="s">
        <v>390</v>
      </c>
    </row>
    <row r="459" spans="1:75" x14ac:dyDescent="0.35">
      <c r="A459">
        <v>157571</v>
      </c>
      <c r="B459" s="1" t="s">
        <v>75</v>
      </c>
      <c r="C459">
        <v>80</v>
      </c>
      <c r="D459">
        <v>11121001</v>
      </c>
      <c r="E459">
        <v>121001</v>
      </c>
      <c r="F459" s="1" t="s">
        <v>76</v>
      </c>
      <c r="G459" s="1" t="s">
        <v>2713</v>
      </c>
      <c r="H459">
        <v>0</v>
      </c>
      <c r="I459" s="1" t="s">
        <v>78</v>
      </c>
      <c r="J459" s="1" t="s">
        <v>2714</v>
      </c>
      <c r="K459" s="1" t="s">
        <v>2715</v>
      </c>
      <c r="L459" t="s">
        <v>91</v>
      </c>
      <c r="M459" t="s">
        <v>91</v>
      </c>
      <c r="N459" s="1" t="s">
        <v>2716</v>
      </c>
      <c r="O459" t="s">
        <v>91</v>
      </c>
      <c r="P459" s="1" t="s">
        <v>789</v>
      </c>
      <c r="Q459" s="1" t="s">
        <v>2384</v>
      </c>
      <c r="R459" s="1" t="s">
        <v>245</v>
      </c>
      <c r="S459">
        <v>1279</v>
      </c>
      <c r="T459">
        <v>89227045</v>
      </c>
      <c r="U459" s="1" t="s">
        <v>426</v>
      </c>
      <c r="V459" s="1" t="s">
        <v>100</v>
      </c>
      <c r="W459" s="1" t="s">
        <v>87</v>
      </c>
      <c r="X459">
        <v>47</v>
      </c>
      <c r="Y459">
        <v>34637588</v>
      </c>
      <c r="Z459" t="s">
        <v>91</v>
      </c>
      <c r="AA459" t="s">
        <v>91</v>
      </c>
      <c r="AB459" t="s">
        <v>91</v>
      </c>
      <c r="AC459" t="s">
        <v>91</v>
      </c>
      <c r="AD459" t="s">
        <v>91</v>
      </c>
      <c r="AE459" t="s">
        <v>91</v>
      </c>
      <c r="AF459" t="s">
        <v>91</v>
      </c>
      <c r="AG459" s="1" t="s">
        <v>91</v>
      </c>
      <c r="AH459" s="1" t="s">
        <v>91</v>
      </c>
      <c r="AI459" t="s">
        <v>91</v>
      </c>
      <c r="AM459" t="s">
        <v>91</v>
      </c>
      <c r="AN459" t="s">
        <v>91</v>
      </c>
      <c r="AO459" t="s">
        <v>91</v>
      </c>
      <c r="AP459" t="s">
        <v>91</v>
      </c>
      <c r="AQ459" s="1" t="s">
        <v>91</v>
      </c>
      <c r="AR459" s="1" t="s">
        <v>91</v>
      </c>
      <c r="AS459" s="1" t="s">
        <v>91</v>
      </c>
      <c r="AT459" s="1" t="s">
        <v>91</v>
      </c>
      <c r="AU459" s="1" t="s">
        <v>91</v>
      </c>
      <c r="AV459" t="s">
        <v>91</v>
      </c>
      <c r="AW459" t="s">
        <v>91</v>
      </c>
      <c r="AX459" t="s">
        <v>91</v>
      </c>
      <c r="AY459" t="s">
        <v>91</v>
      </c>
      <c r="AZ459" t="s">
        <v>91</v>
      </c>
      <c r="BA459" t="s">
        <v>91</v>
      </c>
      <c r="BB459" s="2">
        <v>45118.093391203707</v>
      </c>
      <c r="BC459" s="2"/>
      <c r="BD459" t="s">
        <v>91</v>
      </c>
      <c r="BF459" s="1" t="s">
        <v>75</v>
      </c>
      <c r="BI459" s="1" t="s">
        <v>88</v>
      </c>
      <c r="BJ459">
        <v>1</v>
      </c>
      <c r="BK459" s="1" t="s">
        <v>89</v>
      </c>
      <c r="BL459" t="s">
        <v>91</v>
      </c>
      <c r="BM459" s="1" t="s">
        <v>91</v>
      </c>
      <c r="BN459" s="1" t="s">
        <v>91</v>
      </c>
      <c r="BO459" s="1" t="s">
        <v>91</v>
      </c>
      <c r="BP459" s="1" t="s">
        <v>91</v>
      </c>
      <c r="BQ459" t="s">
        <v>91</v>
      </c>
      <c r="BR459" s="3">
        <v>45118</v>
      </c>
      <c r="BS459" s="3"/>
      <c r="BT459" t="s">
        <v>91</v>
      </c>
      <c r="BU459" t="s">
        <v>91</v>
      </c>
      <c r="BW459" s="1" t="s">
        <v>90</v>
      </c>
    </row>
    <row r="460" spans="1:75" x14ac:dyDescent="0.35">
      <c r="A460">
        <v>157519</v>
      </c>
      <c r="B460" s="1" t="s">
        <v>75</v>
      </c>
      <c r="C460">
        <v>80</v>
      </c>
      <c r="D460">
        <v>11121001</v>
      </c>
      <c r="E460">
        <v>121001</v>
      </c>
      <c r="F460" s="1" t="s">
        <v>76</v>
      </c>
      <c r="G460" s="1" t="s">
        <v>2717</v>
      </c>
      <c r="H460">
        <v>0</v>
      </c>
      <c r="I460" s="1" t="s">
        <v>78</v>
      </c>
      <c r="J460" s="1" t="s">
        <v>2718</v>
      </c>
      <c r="K460" s="1" t="s">
        <v>2719</v>
      </c>
      <c r="L460" t="s">
        <v>91</v>
      </c>
      <c r="M460" t="s">
        <v>91</v>
      </c>
      <c r="N460" s="1" t="s">
        <v>2720</v>
      </c>
      <c r="O460" t="s">
        <v>91</v>
      </c>
      <c r="P460" s="1" t="s">
        <v>2143</v>
      </c>
      <c r="Q460" s="1" t="s">
        <v>2144</v>
      </c>
      <c r="R460" s="1" t="s">
        <v>518</v>
      </c>
      <c r="S460">
        <v>1288</v>
      </c>
      <c r="T460">
        <v>89825000</v>
      </c>
      <c r="U460" s="1" t="s">
        <v>108</v>
      </c>
      <c r="V460" s="1" t="s">
        <v>707</v>
      </c>
      <c r="W460" s="1" t="s">
        <v>87</v>
      </c>
      <c r="X460">
        <v>49</v>
      </c>
      <c r="Y460">
        <v>999510315</v>
      </c>
      <c r="Z460" t="s">
        <v>91</v>
      </c>
      <c r="AA460" t="s">
        <v>91</v>
      </c>
      <c r="AB460" t="s">
        <v>91</v>
      </c>
      <c r="AC460" t="s">
        <v>91</v>
      </c>
      <c r="AD460" t="s">
        <v>91</v>
      </c>
      <c r="AE460" t="s">
        <v>91</v>
      </c>
      <c r="AF460" t="s">
        <v>91</v>
      </c>
      <c r="AG460" s="1" t="s">
        <v>91</v>
      </c>
      <c r="AH460" s="1" t="s">
        <v>91</v>
      </c>
      <c r="AI460" t="s">
        <v>91</v>
      </c>
      <c r="AM460" t="s">
        <v>91</v>
      </c>
      <c r="AN460" t="s">
        <v>91</v>
      </c>
      <c r="AO460" t="s">
        <v>91</v>
      </c>
      <c r="AP460" t="s">
        <v>91</v>
      </c>
      <c r="AQ460" s="1" t="s">
        <v>91</v>
      </c>
      <c r="AR460" s="1" t="s">
        <v>91</v>
      </c>
      <c r="AS460" s="1" t="s">
        <v>91</v>
      </c>
      <c r="AT460" s="1" t="s">
        <v>91</v>
      </c>
      <c r="AU460" s="1" t="s">
        <v>91</v>
      </c>
      <c r="AV460" t="s">
        <v>91</v>
      </c>
      <c r="AW460" t="s">
        <v>91</v>
      </c>
      <c r="AX460" t="s">
        <v>91</v>
      </c>
      <c r="AY460" t="s">
        <v>91</v>
      </c>
      <c r="AZ460" t="s">
        <v>91</v>
      </c>
      <c r="BA460" t="s">
        <v>91</v>
      </c>
      <c r="BB460" s="2">
        <v>45118.093391203707</v>
      </c>
      <c r="BC460" s="2"/>
      <c r="BD460" t="s">
        <v>91</v>
      </c>
      <c r="BF460" s="1" t="s">
        <v>75</v>
      </c>
      <c r="BI460" s="1" t="s">
        <v>88</v>
      </c>
      <c r="BJ460">
        <v>1</v>
      </c>
      <c r="BK460" s="1" t="s">
        <v>89</v>
      </c>
      <c r="BL460" t="s">
        <v>91</v>
      </c>
      <c r="BM460" s="1" t="s">
        <v>91</v>
      </c>
      <c r="BN460" s="1" t="s">
        <v>91</v>
      </c>
      <c r="BO460" s="1" t="s">
        <v>91</v>
      </c>
      <c r="BP460" s="1" t="s">
        <v>91</v>
      </c>
      <c r="BQ460" t="s">
        <v>91</v>
      </c>
      <c r="BR460" s="3">
        <v>45118</v>
      </c>
      <c r="BS460" s="3"/>
      <c r="BT460" t="s">
        <v>91</v>
      </c>
      <c r="BU460" t="s">
        <v>91</v>
      </c>
      <c r="BW460" s="1" t="s">
        <v>90</v>
      </c>
    </row>
    <row r="461" spans="1:75" x14ac:dyDescent="0.35">
      <c r="A461">
        <v>144635</v>
      </c>
      <c r="B461" s="1" t="s">
        <v>75</v>
      </c>
      <c r="C461">
        <v>80</v>
      </c>
      <c r="D461">
        <v>11121001</v>
      </c>
      <c r="E461">
        <v>121001</v>
      </c>
      <c r="F461" s="1" t="s">
        <v>76</v>
      </c>
      <c r="G461" s="1" t="s">
        <v>2721</v>
      </c>
      <c r="I461" s="1" t="s">
        <v>78</v>
      </c>
      <c r="J461" s="1" t="s">
        <v>2722</v>
      </c>
      <c r="K461" s="1" t="s">
        <v>2723</v>
      </c>
      <c r="L461" t="s">
        <v>91</v>
      </c>
      <c r="M461" t="s">
        <v>91</v>
      </c>
      <c r="N461" s="1" t="s">
        <v>2724</v>
      </c>
      <c r="O461" t="s">
        <v>91</v>
      </c>
      <c r="P461" s="1" t="s">
        <v>2725</v>
      </c>
      <c r="Q461" s="1" t="s">
        <v>2726</v>
      </c>
      <c r="R461" s="1" t="s">
        <v>2727</v>
      </c>
      <c r="S461">
        <v>1280</v>
      </c>
      <c r="T461">
        <v>89245000</v>
      </c>
      <c r="U461" s="1" t="s">
        <v>962</v>
      </c>
      <c r="V461" s="1" t="s">
        <v>798</v>
      </c>
      <c r="W461" s="1" t="s">
        <v>87</v>
      </c>
      <c r="X461">
        <v>47</v>
      </c>
      <c r="Y461">
        <v>34292153</v>
      </c>
      <c r="Z461" t="s">
        <v>91</v>
      </c>
      <c r="AA461" t="s">
        <v>91</v>
      </c>
      <c r="AB461" t="s">
        <v>91</v>
      </c>
      <c r="AC461" t="s">
        <v>91</v>
      </c>
      <c r="AD461" t="s">
        <v>91</v>
      </c>
      <c r="AE461" t="s">
        <v>91</v>
      </c>
      <c r="AF461" t="s">
        <v>91</v>
      </c>
      <c r="AG461" s="1" t="s">
        <v>91</v>
      </c>
      <c r="AH461" s="1" t="s">
        <v>91</v>
      </c>
      <c r="AI461" t="s">
        <v>91</v>
      </c>
      <c r="AJ461">
        <v>0</v>
      </c>
      <c r="AK461">
        <v>0</v>
      </c>
      <c r="AL461">
        <v>0</v>
      </c>
      <c r="AM461" t="s">
        <v>91</v>
      </c>
      <c r="AN461" t="s">
        <v>91</v>
      </c>
      <c r="AO461" t="s">
        <v>91</v>
      </c>
      <c r="AP461" t="s">
        <v>91</v>
      </c>
      <c r="AQ461" s="1" t="s">
        <v>91</v>
      </c>
      <c r="AR461" s="1" t="s">
        <v>91</v>
      </c>
      <c r="AS461" s="1" t="s">
        <v>91</v>
      </c>
      <c r="AT461" s="1" t="s">
        <v>91</v>
      </c>
      <c r="AU461" s="1" t="s">
        <v>91</v>
      </c>
      <c r="AV461" t="s">
        <v>91</v>
      </c>
      <c r="AW461" t="s">
        <v>91</v>
      </c>
      <c r="AX461" t="s">
        <v>91</v>
      </c>
      <c r="AY461" t="s">
        <v>91</v>
      </c>
      <c r="AZ461" t="s">
        <v>91</v>
      </c>
      <c r="BA461" t="s">
        <v>91</v>
      </c>
      <c r="BB461" s="2"/>
      <c r="BC461" s="2"/>
      <c r="BD461" t="s">
        <v>91</v>
      </c>
      <c r="BF461" s="1" t="s">
        <v>75</v>
      </c>
      <c r="BG461">
        <v>0</v>
      </c>
      <c r="BH461">
        <v>0</v>
      </c>
      <c r="BI461" s="1" t="s">
        <v>88</v>
      </c>
      <c r="BJ461">
        <v>1</v>
      </c>
      <c r="BK461" s="1" t="s">
        <v>89</v>
      </c>
      <c r="BL461" t="s">
        <v>91</v>
      </c>
      <c r="BM461" s="1" t="s">
        <v>109</v>
      </c>
      <c r="BN461" s="1" t="s">
        <v>110</v>
      </c>
      <c r="BO461" s="1" t="s">
        <v>180</v>
      </c>
      <c r="BP461" s="1" t="s">
        <v>91</v>
      </c>
      <c r="BQ461" t="s">
        <v>91</v>
      </c>
      <c r="BR461" s="3"/>
      <c r="BS461" s="3"/>
      <c r="BT461" t="s">
        <v>91</v>
      </c>
      <c r="BU461" t="s">
        <v>91</v>
      </c>
      <c r="BV461">
        <v>9</v>
      </c>
      <c r="BW461" s="1" t="s">
        <v>2004</v>
      </c>
    </row>
    <row r="462" spans="1:75" x14ac:dyDescent="0.35">
      <c r="A462">
        <v>127758</v>
      </c>
      <c r="B462" s="1" t="s">
        <v>75</v>
      </c>
      <c r="C462">
        <v>80</v>
      </c>
      <c r="D462">
        <v>11121001</v>
      </c>
      <c r="E462">
        <v>121001</v>
      </c>
      <c r="F462" s="1" t="s">
        <v>76</v>
      </c>
      <c r="G462" s="1" t="s">
        <v>2728</v>
      </c>
      <c r="H462">
        <v>0</v>
      </c>
      <c r="I462" s="1" t="s">
        <v>78</v>
      </c>
      <c r="J462" s="1" t="s">
        <v>2729</v>
      </c>
      <c r="K462" s="1" t="s">
        <v>2730</v>
      </c>
      <c r="L462" t="s">
        <v>91</v>
      </c>
      <c r="M462" t="s">
        <v>91</v>
      </c>
      <c r="N462" s="1" t="s">
        <v>2731</v>
      </c>
      <c r="O462" t="s">
        <v>91</v>
      </c>
      <c r="P462" s="1" t="s">
        <v>946</v>
      </c>
      <c r="Q462" s="1" t="s">
        <v>2732</v>
      </c>
      <c r="R462" s="1" t="s">
        <v>370</v>
      </c>
      <c r="S462">
        <v>1280</v>
      </c>
      <c r="T462">
        <v>89240000</v>
      </c>
      <c r="U462" s="1" t="s">
        <v>108</v>
      </c>
      <c r="V462" s="1" t="s">
        <v>1114</v>
      </c>
      <c r="W462" s="1" t="s">
        <v>87</v>
      </c>
      <c r="X462">
        <v>47</v>
      </c>
      <c r="Y462">
        <v>34445282</v>
      </c>
      <c r="Z462" t="s">
        <v>91</v>
      </c>
      <c r="AA462" t="s">
        <v>91</v>
      </c>
      <c r="AB462" t="s">
        <v>91</v>
      </c>
      <c r="AC462" t="s">
        <v>91</v>
      </c>
      <c r="AD462" t="s">
        <v>91</v>
      </c>
      <c r="AE462" t="s">
        <v>91</v>
      </c>
      <c r="AF462" t="s">
        <v>91</v>
      </c>
      <c r="AG462" s="1" t="s">
        <v>91</v>
      </c>
      <c r="AH462" s="1" t="s">
        <v>91</v>
      </c>
      <c r="AI462" t="s">
        <v>91</v>
      </c>
      <c r="AJ462">
        <v>0</v>
      </c>
      <c r="AK462">
        <v>0</v>
      </c>
      <c r="AL462">
        <v>0</v>
      </c>
      <c r="AM462" t="s">
        <v>91</v>
      </c>
      <c r="AN462" t="s">
        <v>91</v>
      </c>
      <c r="AO462" t="s">
        <v>91</v>
      </c>
      <c r="AP462" t="s">
        <v>91</v>
      </c>
      <c r="AQ462" s="1" t="s">
        <v>91</v>
      </c>
      <c r="AR462" s="1" t="s">
        <v>91</v>
      </c>
      <c r="AS462" s="1" t="s">
        <v>91</v>
      </c>
      <c r="AT462" s="1" t="s">
        <v>91</v>
      </c>
      <c r="AU462" s="1" t="s">
        <v>91</v>
      </c>
      <c r="AV462" t="s">
        <v>91</v>
      </c>
      <c r="AW462" t="s">
        <v>91</v>
      </c>
      <c r="AX462" t="s">
        <v>91</v>
      </c>
      <c r="AY462" t="s">
        <v>91</v>
      </c>
      <c r="AZ462" t="s">
        <v>91</v>
      </c>
      <c r="BA462" t="s">
        <v>91</v>
      </c>
      <c r="BB462" s="2">
        <v>44111.380995370368</v>
      </c>
      <c r="BC462" s="2"/>
      <c r="BD462" t="s">
        <v>91</v>
      </c>
      <c r="BF462" s="1" t="s">
        <v>75</v>
      </c>
      <c r="BG462">
        <v>0</v>
      </c>
      <c r="BH462">
        <v>0</v>
      </c>
      <c r="BI462" s="1" t="s">
        <v>88</v>
      </c>
      <c r="BJ462">
        <v>1</v>
      </c>
      <c r="BK462" s="1" t="s">
        <v>89</v>
      </c>
      <c r="BL462" t="s">
        <v>91</v>
      </c>
      <c r="BM462" s="1" t="s">
        <v>109</v>
      </c>
      <c r="BN462" s="1" t="s">
        <v>110</v>
      </c>
      <c r="BO462" s="1" t="s">
        <v>180</v>
      </c>
      <c r="BP462" s="1" t="s">
        <v>91</v>
      </c>
      <c r="BQ462" t="s">
        <v>91</v>
      </c>
      <c r="BR462" s="3">
        <v>44111</v>
      </c>
      <c r="BS462" s="3"/>
      <c r="BT462" t="s">
        <v>91</v>
      </c>
      <c r="BU462" t="s">
        <v>91</v>
      </c>
      <c r="BV462">
        <v>9</v>
      </c>
      <c r="BW462" s="1" t="s">
        <v>90</v>
      </c>
    </row>
    <row r="463" spans="1:75" x14ac:dyDescent="0.35">
      <c r="A463">
        <v>138251</v>
      </c>
      <c r="B463" s="1" t="s">
        <v>75</v>
      </c>
      <c r="C463">
        <v>80</v>
      </c>
      <c r="D463">
        <v>11121001</v>
      </c>
      <c r="E463">
        <v>121001</v>
      </c>
      <c r="F463" s="1" t="s">
        <v>76</v>
      </c>
      <c r="G463" s="1" t="s">
        <v>2733</v>
      </c>
      <c r="H463">
        <v>0</v>
      </c>
      <c r="I463" s="1" t="s">
        <v>78</v>
      </c>
      <c r="J463" s="1" t="s">
        <v>2734</v>
      </c>
      <c r="K463" s="1" t="s">
        <v>2735</v>
      </c>
      <c r="L463" t="s">
        <v>91</v>
      </c>
      <c r="M463" t="s">
        <v>91</v>
      </c>
      <c r="N463" s="1" t="s">
        <v>2736</v>
      </c>
      <c r="O463" t="s">
        <v>91</v>
      </c>
      <c r="P463" s="1" t="s">
        <v>1094</v>
      </c>
      <c r="Q463" s="1" t="s">
        <v>2737</v>
      </c>
      <c r="R463" s="1" t="s">
        <v>91</v>
      </c>
      <c r="S463">
        <v>1284</v>
      </c>
      <c r="T463">
        <v>89580000</v>
      </c>
      <c r="U463" s="1" t="s">
        <v>108</v>
      </c>
      <c r="V463" s="1" t="s">
        <v>1026</v>
      </c>
      <c r="W463" s="1" t="s">
        <v>87</v>
      </c>
      <c r="X463">
        <v>49</v>
      </c>
      <c r="Y463">
        <v>32462981</v>
      </c>
      <c r="Z463" t="s">
        <v>91</v>
      </c>
      <c r="AA463" t="s">
        <v>91</v>
      </c>
      <c r="AB463" t="s">
        <v>91</v>
      </c>
      <c r="AC463" t="s">
        <v>91</v>
      </c>
      <c r="AD463" t="s">
        <v>91</v>
      </c>
      <c r="AE463" t="s">
        <v>91</v>
      </c>
      <c r="AF463" t="s">
        <v>91</v>
      </c>
      <c r="AG463" s="1" t="s">
        <v>146</v>
      </c>
      <c r="AH463" s="1" t="s">
        <v>91</v>
      </c>
      <c r="AI463" t="s">
        <v>91</v>
      </c>
      <c r="AM463" t="s">
        <v>91</v>
      </c>
      <c r="AN463" t="s">
        <v>91</v>
      </c>
      <c r="AO463" t="s">
        <v>91</v>
      </c>
      <c r="AP463" t="s">
        <v>91</v>
      </c>
      <c r="AQ463" s="1" t="s">
        <v>147</v>
      </c>
      <c r="AR463" s="1" t="s">
        <v>147</v>
      </c>
      <c r="AS463" s="1" t="s">
        <v>147</v>
      </c>
      <c r="AT463" s="1" t="s">
        <v>147</v>
      </c>
      <c r="AU463" s="1" t="s">
        <v>147</v>
      </c>
      <c r="AV463" t="s">
        <v>91</v>
      </c>
      <c r="AW463" t="s">
        <v>91</v>
      </c>
      <c r="AX463" t="s">
        <v>91</v>
      </c>
      <c r="AY463" t="s">
        <v>91</v>
      </c>
      <c r="AZ463" t="s">
        <v>91</v>
      </c>
      <c r="BA463" t="s">
        <v>91</v>
      </c>
      <c r="BB463" s="2">
        <v>44378.578518518516</v>
      </c>
      <c r="BC463" s="2">
        <v>44720.706134259257</v>
      </c>
      <c r="BD463" t="s">
        <v>91</v>
      </c>
      <c r="BF463" s="1" t="s">
        <v>75</v>
      </c>
      <c r="BH463">
        <v>0</v>
      </c>
      <c r="BI463" s="1" t="s">
        <v>88</v>
      </c>
      <c r="BJ463">
        <v>1</v>
      </c>
      <c r="BK463" s="1" t="s">
        <v>89</v>
      </c>
      <c r="BL463" t="s">
        <v>91</v>
      </c>
      <c r="BM463" s="1" t="s">
        <v>164</v>
      </c>
      <c r="BN463" s="1" t="s">
        <v>110</v>
      </c>
      <c r="BO463" s="1" t="s">
        <v>165</v>
      </c>
      <c r="BP463" s="1" t="s">
        <v>91</v>
      </c>
      <c r="BQ463" t="s">
        <v>91</v>
      </c>
      <c r="BR463" s="3">
        <v>44378</v>
      </c>
      <c r="BS463" s="3">
        <v>44720</v>
      </c>
      <c r="BT463" t="s">
        <v>91</v>
      </c>
      <c r="BU463" t="s">
        <v>91</v>
      </c>
      <c r="BW463" s="1" t="s">
        <v>390</v>
      </c>
    </row>
    <row r="464" spans="1:75" x14ac:dyDescent="0.35">
      <c r="A464">
        <v>157508</v>
      </c>
      <c r="B464" s="1" t="s">
        <v>75</v>
      </c>
      <c r="C464">
        <v>80</v>
      </c>
      <c r="D464">
        <v>11121001</v>
      </c>
      <c r="E464">
        <v>121001</v>
      </c>
      <c r="F464" s="1" t="s">
        <v>76</v>
      </c>
      <c r="G464" s="1" t="s">
        <v>2738</v>
      </c>
      <c r="H464">
        <v>0</v>
      </c>
      <c r="I464" s="1" t="s">
        <v>78</v>
      </c>
      <c r="J464" s="1" t="s">
        <v>2739</v>
      </c>
      <c r="K464" s="1" t="s">
        <v>2740</v>
      </c>
      <c r="L464" t="s">
        <v>91</v>
      </c>
      <c r="M464" t="s">
        <v>91</v>
      </c>
      <c r="N464" s="1" t="s">
        <v>2741</v>
      </c>
      <c r="O464" t="s">
        <v>91</v>
      </c>
      <c r="P464" s="1" t="s">
        <v>1266</v>
      </c>
      <c r="Q464" s="1" t="s">
        <v>2742</v>
      </c>
      <c r="R464" s="1" t="s">
        <v>236</v>
      </c>
      <c r="S464">
        <v>1280</v>
      </c>
      <c r="T464">
        <v>89251700</v>
      </c>
      <c r="U464" s="1" t="s">
        <v>108</v>
      </c>
      <c r="V464" s="1" t="s">
        <v>302</v>
      </c>
      <c r="W464" s="1" t="s">
        <v>87</v>
      </c>
      <c r="X464">
        <v>47</v>
      </c>
      <c r="Y464">
        <v>30550020</v>
      </c>
      <c r="Z464" t="s">
        <v>91</v>
      </c>
      <c r="AA464" t="s">
        <v>91</v>
      </c>
      <c r="AB464" t="s">
        <v>91</v>
      </c>
      <c r="AC464" t="s">
        <v>91</v>
      </c>
      <c r="AD464" t="s">
        <v>91</v>
      </c>
      <c r="AE464" t="s">
        <v>91</v>
      </c>
      <c r="AF464" t="s">
        <v>91</v>
      </c>
      <c r="AG464" s="1" t="s">
        <v>91</v>
      </c>
      <c r="AH464" s="1" t="s">
        <v>91</v>
      </c>
      <c r="AI464" t="s">
        <v>91</v>
      </c>
      <c r="AM464" t="s">
        <v>91</v>
      </c>
      <c r="AN464" t="s">
        <v>91</v>
      </c>
      <c r="AO464" t="s">
        <v>91</v>
      </c>
      <c r="AP464" t="s">
        <v>91</v>
      </c>
      <c r="AQ464" s="1" t="s">
        <v>91</v>
      </c>
      <c r="AR464" s="1" t="s">
        <v>91</v>
      </c>
      <c r="AS464" s="1" t="s">
        <v>91</v>
      </c>
      <c r="AT464" s="1" t="s">
        <v>91</v>
      </c>
      <c r="AU464" s="1" t="s">
        <v>91</v>
      </c>
      <c r="AV464" t="s">
        <v>91</v>
      </c>
      <c r="AW464" t="s">
        <v>91</v>
      </c>
      <c r="AX464" t="s">
        <v>91</v>
      </c>
      <c r="AY464" t="s">
        <v>91</v>
      </c>
      <c r="AZ464" t="s">
        <v>91</v>
      </c>
      <c r="BA464" t="s">
        <v>91</v>
      </c>
      <c r="BB464" s="2">
        <v>45118.093391203707</v>
      </c>
      <c r="BC464" s="2"/>
      <c r="BD464" t="s">
        <v>91</v>
      </c>
      <c r="BF464" s="1" t="s">
        <v>75</v>
      </c>
      <c r="BI464" s="1" t="s">
        <v>88</v>
      </c>
      <c r="BJ464">
        <v>1</v>
      </c>
      <c r="BK464" s="1" t="s">
        <v>89</v>
      </c>
      <c r="BL464" t="s">
        <v>91</v>
      </c>
      <c r="BM464" s="1" t="s">
        <v>91</v>
      </c>
      <c r="BN464" s="1" t="s">
        <v>91</v>
      </c>
      <c r="BO464" s="1" t="s">
        <v>91</v>
      </c>
      <c r="BP464" s="1" t="s">
        <v>91</v>
      </c>
      <c r="BQ464" t="s">
        <v>91</v>
      </c>
      <c r="BR464" s="3">
        <v>45118</v>
      </c>
      <c r="BS464" s="3"/>
      <c r="BT464" t="s">
        <v>91</v>
      </c>
      <c r="BU464" t="s">
        <v>91</v>
      </c>
      <c r="BW464" s="1" t="s">
        <v>1171</v>
      </c>
    </row>
    <row r="465" spans="1:75" x14ac:dyDescent="0.35">
      <c r="A465">
        <v>157535</v>
      </c>
      <c r="B465" s="1" t="s">
        <v>75</v>
      </c>
      <c r="C465">
        <v>80</v>
      </c>
      <c r="D465">
        <v>11121001</v>
      </c>
      <c r="E465">
        <v>121001</v>
      </c>
      <c r="F465" s="1" t="s">
        <v>76</v>
      </c>
      <c r="G465" s="1" t="s">
        <v>2743</v>
      </c>
      <c r="H465">
        <v>0</v>
      </c>
      <c r="I465" s="1" t="s">
        <v>78</v>
      </c>
      <c r="J465" s="1" t="s">
        <v>2744</v>
      </c>
      <c r="K465" s="1" t="s">
        <v>2745</v>
      </c>
      <c r="L465" t="s">
        <v>91</v>
      </c>
      <c r="M465" t="s">
        <v>91</v>
      </c>
      <c r="N465" s="1" t="s">
        <v>2746</v>
      </c>
      <c r="O465" t="s">
        <v>91</v>
      </c>
      <c r="P465" s="1" t="s">
        <v>335</v>
      </c>
      <c r="Q465" s="1" t="s">
        <v>2747</v>
      </c>
      <c r="R465" s="1" t="s">
        <v>84</v>
      </c>
      <c r="S465">
        <v>1287</v>
      </c>
      <c r="T465">
        <v>89805203</v>
      </c>
      <c r="U465" s="1" t="s">
        <v>108</v>
      </c>
      <c r="V465" s="1" t="s">
        <v>86</v>
      </c>
      <c r="W465" s="1" t="s">
        <v>87</v>
      </c>
      <c r="X465">
        <v>49</v>
      </c>
      <c r="Y465">
        <v>333123663</v>
      </c>
      <c r="Z465" t="s">
        <v>91</v>
      </c>
      <c r="AA465" t="s">
        <v>91</v>
      </c>
      <c r="AB465" t="s">
        <v>91</v>
      </c>
      <c r="AC465" t="s">
        <v>91</v>
      </c>
      <c r="AD465" t="s">
        <v>91</v>
      </c>
      <c r="AE465" t="s">
        <v>91</v>
      </c>
      <c r="AF465" t="s">
        <v>91</v>
      </c>
      <c r="AG465" s="1" t="s">
        <v>91</v>
      </c>
      <c r="AH465" s="1" t="s">
        <v>91</v>
      </c>
      <c r="AI465" t="s">
        <v>91</v>
      </c>
      <c r="AM465" t="s">
        <v>91</v>
      </c>
      <c r="AN465" t="s">
        <v>91</v>
      </c>
      <c r="AO465" t="s">
        <v>91</v>
      </c>
      <c r="AP465" t="s">
        <v>91</v>
      </c>
      <c r="AQ465" s="1" t="s">
        <v>91</v>
      </c>
      <c r="AR465" s="1" t="s">
        <v>91</v>
      </c>
      <c r="AS465" s="1" t="s">
        <v>91</v>
      </c>
      <c r="AT465" s="1" t="s">
        <v>91</v>
      </c>
      <c r="AU465" s="1" t="s">
        <v>91</v>
      </c>
      <c r="AV465" t="s">
        <v>91</v>
      </c>
      <c r="AW465" t="s">
        <v>91</v>
      </c>
      <c r="AX465" t="s">
        <v>91</v>
      </c>
      <c r="AY465" t="s">
        <v>91</v>
      </c>
      <c r="AZ465" t="s">
        <v>91</v>
      </c>
      <c r="BA465" t="s">
        <v>91</v>
      </c>
      <c r="BB465" s="2">
        <v>45118.093391203707</v>
      </c>
      <c r="BC465" s="2"/>
      <c r="BD465" t="s">
        <v>91</v>
      </c>
      <c r="BF465" s="1" t="s">
        <v>75</v>
      </c>
      <c r="BI465" s="1" t="s">
        <v>88</v>
      </c>
      <c r="BJ465">
        <v>1</v>
      </c>
      <c r="BK465" s="1" t="s">
        <v>89</v>
      </c>
      <c r="BL465" t="s">
        <v>91</v>
      </c>
      <c r="BM465" s="1" t="s">
        <v>91</v>
      </c>
      <c r="BN465" s="1" t="s">
        <v>91</v>
      </c>
      <c r="BO465" s="1" t="s">
        <v>91</v>
      </c>
      <c r="BP465" s="1" t="s">
        <v>91</v>
      </c>
      <c r="BQ465" t="s">
        <v>91</v>
      </c>
      <c r="BR465" s="3">
        <v>45118</v>
      </c>
      <c r="BS465" s="3"/>
      <c r="BT465" t="s">
        <v>91</v>
      </c>
      <c r="BU465" t="s">
        <v>91</v>
      </c>
      <c r="BW465" s="1" t="s">
        <v>90</v>
      </c>
    </row>
    <row r="466" spans="1:75" x14ac:dyDescent="0.35">
      <c r="A466">
        <v>138254</v>
      </c>
      <c r="B466" s="1" t="s">
        <v>75</v>
      </c>
      <c r="C466">
        <v>80</v>
      </c>
      <c r="D466">
        <v>11121001</v>
      </c>
      <c r="E466">
        <v>121001</v>
      </c>
      <c r="F466" s="1" t="s">
        <v>76</v>
      </c>
      <c r="G466" s="1" t="s">
        <v>2748</v>
      </c>
      <c r="H466">
        <v>0</v>
      </c>
      <c r="I466" s="1" t="s">
        <v>78</v>
      </c>
      <c r="J466" s="1" t="s">
        <v>2744</v>
      </c>
      <c r="K466" s="1" t="s">
        <v>2749</v>
      </c>
      <c r="L466" t="s">
        <v>91</v>
      </c>
      <c r="M466" t="s">
        <v>91</v>
      </c>
      <c r="N466" s="1" t="s">
        <v>2750</v>
      </c>
      <c r="O466" t="s">
        <v>91</v>
      </c>
      <c r="P466" s="1" t="s">
        <v>839</v>
      </c>
      <c r="Q466" s="1" t="s">
        <v>819</v>
      </c>
      <c r="R466" s="1" t="s">
        <v>2751</v>
      </c>
      <c r="S466">
        <v>1289</v>
      </c>
      <c r="T466">
        <v>89900000</v>
      </c>
      <c r="U466" s="1" t="s">
        <v>108</v>
      </c>
      <c r="V466" s="1" t="s">
        <v>700</v>
      </c>
      <c r="W466" s="1" t="s">
        <v>87</v>
      </c>
      <c r="X466">
        <v>49</v>
      </c>
      <c r="Y466">
        <v>36213740</v>
      </c>
      <c r="Z466" t="s">
        <v>91</v>
      </c>
      <c r="AA466" t="s">
        <v>91</v>
      </c>
      <c r="AB466" t="s">
        <v>91</v>
      </c>
      <c r="AC466" t="s">
        <v>91</v>
      </c>
      <c r="AD466" t="s">
        <v>91</v>
      </c>
      <c r="AE466" t="s">
        <v>91</v>
      </c>
      <c r="AF466" t="s">
        <v>91</v>
      </c>
      <c r="AG466" s="1" t="s">
        <v>146</v>
      </c>
      <c r="AH466" s="1" t="s">
        <v>91</v>
      </c>
      <c r="AI466" t="s">
        <v>91</v>
      </c>
      <c r="AM466" t="s">
        <v>91</v>
      </c>
      <c r="AN466" t="s">
        <v>91</v>
      </c>
      <c r="AO466" t="s">
        <v>91</v>
      </c>
      <c r="AP466" t="s">
        <v>91</v>
      </c>
      <c r="AQ466" s="1" t="s">
        <v>147</v>
      </c>
      <c r="AR466" s="1" t="s">
        <v>147</v>
      </c>
      <c r="AS466" s="1" t="s">
        <v>147</v>
      </c>
      <c r="AT466" s="1" t="s">
        <v>147</v>
      </c>
      <c r="AU466" s="1" t="s">
        <v>147</v>
      </c>
      <c r="AV466" t="s">
        <v>91</v>
      </c>
      <c r="AW466" t="s">
        <v>91</v>
      </c>
      <c r="AX466" t="s">
        <v>91</v>
      </c>
      <c r="AY466" t="s">
        <v>91</v>
      </c>
      <c r="AZ466" t="s">
        <v>91</v>
      </c>
      <c r="BA466" t="s">
        <v>91</v>
      </c>
      <c r="BB466" s="2">
        <v>44378.578518518516</v>
      </c>
      <c r="BC466" s="2">
        <v>44670.627199074072</v>
      </c>
      <c r="BD466" t="s">
        <v>91</v>
      </c>
      <c r="BF466" s="1" t="s">
        <v>75</v>
      </c>
      <c r="BH466">
        <v>0</v>
      </c>
      <c r="BI466" s="1" t="s">
        <v>88</v>
      </c>
      <c r="BJ466">
        <v>1</v>
      </c>
      <c r="BK466" s="1" t="s">
        <v>89</v>
      </c>
      <c r="BL466" t="s">
        <v>91</v>
      </c>
      <c r="BM466" s="1" t="s">
        <v>109</v>
      </c>
      <c r="BN466" s="1" t="s">
        <v>110</v>
      </c>
      <c r="BO466" s="1" t="s">
        <v>165</v>
      </c>
      <c r="BP466" s="1" t="s">
        <v>91</v>
      </c>
      <c r="BQ466" t="s">
        <v>91</v>
      </c>
      <c r="BR466" s="3">
        <v>44378</v>
      </c>
      <c r="BS466" s="3">
        <v>44670</v>
      </c>
      <c r="BT466" t="s">
        <v>91</v>
      </c>
      <c r="BU466" t="s">
        <v>91</v>
      </c>
      <c r="BW466" s="1" t="s">
        <v>90</v>
      </c>
    </row>
    <row r="467" spans="1:75" x14ac:dyDescent="0.35">
      <c r="A467">
        <v>138255</v>
      </c>
      <c r="B467" s="1" t="s">
        <v>75</v>
      </c>
      <c r="C467">
        <v>80</v>
      </c>
      <c r="D467">
        <v>11121001</v>
      </c>
      <c r="E467">
        <v>121001</v>
      </c>
      <c r="F467" s="1" t="s">
        <v>76</v>
      </c>
      <c r="G467" s="1" t="s">
        <v>2752</v>
      </c>
      <c r="H467">
        <v>0</v>
      </c>
      <c r="I467" s="1" t="s">
        <v>78</v>
      </c>
      <c r="J467" s="1" t="s">
        <v>2753</v>
      </c>
      <c r="K467" s="1" t="s">
        <v>2754</v>
      </c>
      <c r="L467" t="s">
        <v>91</v>
      </c>
      <c r="M467" t="s">
        <v>91</v>
      </c>
      <c r="N467" s="1" t="s">
        <v>2755</v>
      </c>
      <c r="O467" t="s">
        <v>91</v>
      </c>
      <c r="P467" s="1" t="s">
        <v>2756</v>
      </c>
      <c r="Q467" s="1" t="s">
        <v>2757</v>
      </c>
      <c r="R467" s="1" t="s">
        <v>91</v>
      </c>
      <c r="S467">
        <v>1287</v>
      </c>
      <c r="T467">
        <v>89802200</v>
      </c>
      <c r="U467" s="1" t="s">
        <v>108</v>
      </c>
      <c r="V467" s="1" t="s">
        <v>337</v>
      </c>
      <c r="W467" s="1" t="s">
        <v>87</v>
      </c>
      <c r="X467">
        <v>49</v>
      </c>
      <c r="Y467">
        <v>30254688</v>
      </c>
      <c r="Z467" t="s">
        <v>91</v>
      </c>
      <c r="AA467" t="s">
        <v>91</v>
      </c>
      <c r="AB467" t="s">
        <v>91</v>
      </c>
      <c r="AC467" t="s">
        <v>91</v>
      </c>
      <c r="AD467" t="s">
        <v>91</v>
      </c>
      <c r="AE467" t="s">
        <v>91</v>
      </c>
      <c r="AF467" t="s">
        <v>91</v>
      </c>
      <c r="AG467" s="1" t="s">
        <v>146</v>
      </c>
      <c r="AH467" s="1" t="s">
        <v>91</v>
      </c>
      <c r="AI467" t="s">
        <v>91</v>
      </c>
      <c r="AM467" t="s">
        <v>91</v>
      </c>
      <c r="AN467" t="s">
        <v>91</v>
      </c>
      <c r="AO467" t="s">
        <v>91</v>
      </c>
      <c r="AP467" t="s">
        <v>91</v>
      </c>
      <c r="AQ467" s="1" t="s">
        <v>147</v>
      </c>
      <c r="AR467" s="1" t="s">
        <v>147</v>
      </c>
      <c r="AS467" s="1" t="s">
        <v>147</v>
      </c>
      <c r="AT467" s="1" t="s">
        <v>147</v>
      </c>
      <c r="AU467" s="1" t="s">
        <v>147</v>
      </c>
      <c r="AV467" t="s">
        <v>91</v>
      </c>
      <c r="AW467" t="s">
        <v>91</v>
      </c>
      <c r="AX467" t="s">
        <v>91</v>
      </c>
      <c r="AY467" t="s">
        <v>91</v>
      </c>
      <c r="AZ467" t="s">
        <v>91</v>
      </c>
      <c r="BA467" t="s">
        <v>91</v>
      </c>
      <c r="BB467" s="2">
        <v>44378.578518518516</v>
      </c>
      <c r="BC467" s="2">
        <v>44637.446851851855</v>
      </c>
      <c r="BD467" t="s">
        <v>91</v>
      </c>
      <c r="BF467" s="1" t="s">
        <v>75</v>
      </c>
      <c r="BH467">
        <v>0</v>
      </c>
      <c r="BI467" s="1" t="s">
        <v>88</v>
      </c>
      <c r="BJ467">
        <v>1</v>
      </c>
      <c r="BK467" s="1" t="s">
        <v>89</v>
      </c>
      <c r="BL467" t="s">
        <v>91</v>
      </c>
      <c r="BM467" s="1" t="s">
        <v>109</v>
      </c>
      <c r="BN467" s="1" t="s">
        <v>110</v>
      </c>
      <c r="BO467" s="1" t="s">
        <v>128</v>
      </c>
      <c r="BP467" s="1" t="s">
        <v>91</v>
      </c>
      <c r="BQ467" t="s">
        <v>91</v>
      </c>
      <c r="BR467" s="3">
        <v>44378</v>
      </c>
      <c r="BS467" s="3">
        <v>44637</v>
      </c>
      <c r="BT467" t="s">
        <v>91</v>
      </c>
      <c r="BU467" t="s">
        <v>91</v>
      </c>
      <c r="BW467" s="1" t="s">
        <v>90</v>
      </c>
    </row>
    <row r="468" spans="1:75" x14ac:dyDescent="0.35">
      <c r="A468">
        <v>157514</v>
      </c>
      <c r="B468" s="1" t="s">
        <v>75</v>
      </c>
      <c r="C468">
        <v>80</v>
      </c>
      <c r="D468">
        <v>11121001</v>
      </c>
      <c r="E468">
        <v>121001</v>
      </c>
      <c r="F468" s="1" t="s">
        <v>76</v>
      </c>
      <c r="G468" s="1" t="s">
        <v>2758</v>
      </c>
      <c r="H468">
        <v>0</v>
      </c>
      <c r="I468" s="1" t="s">
        <v>78</v>
      </c>
      <c r="J468" s="1" t="s">
        <v>2759</v>
      </c>
      <c r="K468" s="1" t="s">
        <v>2760</v>
      </c>
      <c r="L468" t="s">
        <v>91</v>
      </c>
      <c r="M468" t="s">
        <v>91</v>
      </c>
      <c r="N468" s="1" t="s">
        <v>669</v>
      </c>
      <c r="O468" t="s">
        <v>91</v>
      </c>
      <c r="P468" s="1" t="s">
        <v>2761</v>
      </c>
      <c r="Q468" s="1" t="s">
        <v>2762</v>
      </c>
      <c r="R468" s="1" t="s">
        <v>91</v>
      </c>
      <c r="S468">
        <v>1287</v>
      </c>
      <c r="T468">
        <v>89809500</v>
      </c>
      <c r="U468" s="1" t="s">
        <v>645</v>
      </c>
      <c r="V468" s="1" t="s">
        <v>86</v>
      </c>
      <c r="W468" s="1" t="s">
        <v>87</v>
      </c>
      <c r="X468">
        <v>49</v>
      </c>
      <c r="Y468">
        <v>91351067</v>
      </c>
      <c r="Z468" t="s">
        <v>91</v>
      </c>
      <c r="AA468" t="s">
        <v>91</v>
      </c>
      <c r="AB468" t="s">
        <v>91</v>
      </c>
      <c r="AC468" t="s">
        <v>91</v>
      </c>
      <c r="AD468" t="s">
        <v>91</v>
      </c>
      <c r="AE468" t="s">
        <v>91</v>
      </c>
      <c r="AF468" t="s">
        <v>91</v>
      </c>
      <c r="AG468" s="1" t="s">
        <v>91</v>
      </c>
      <c r="AH468" s="1" t="s">
        <v>91</v>
      </c>
      <c r="AI468" t="s">
        <v>91</v>
      </c>
      <c r="AM468" t="s">
        <v>91</v>
      </c>
      <c r="AN468" t="s">
        <v>91</v>
      </c>
      <c r="AO468" t="s">
        <v>91</v>
      </c>
      <c r="AP468" t="s">
        <v>91</v>
      </c>
      <c r="AQ468" s="1" t="s">
        <v>91</v>
      </c>
      <c r="AR468" s="1" t="s">
        <v>91</v>
      </c>
      <c r="AS468" s="1" t="s">
        <v>91</v>
      </c>
      <c r="AT468" s="1" t="s">
        <v>91</v>
      </c>
      <c r="AU468" s="1" t="s">
        <v>91</v>
      </c>
      <c r="AV468" t="s">
        <v>91</v>
      </c>
      <c r="AW468" t="s">
        <v>91</v>
      </c>
      <c r="AX468" t="s">
        <v>91</v>
      </c>
      <c r="AY468" t="s">
        <v>91</v>
      </c>
      <c r="AZ468" t="s">
        <v>91</v>
      </c>
      <c r="BA468" t="s">
        <v>91</v>
      </c>
      <c r="BB468" s="2">
        <v>45118.093391203707</v>
      </c>
      <c r="BC468" s="2"/>
      <c r="BD468" t="s">
        <v>91</v>
      </c>
      <c r="BF468" s="1" t="s">
        <v>75</v>
      </c>
      <c r="BI468" s="1" t="s">
        <v>88</v>
      </c>
      <c r="BJ468">
        <v>1</v>
      </c>
      <c r="BK468" s="1" t="s">
        <v>89</v>
      </c>
      <c r="BL468" t="s">
        <v>91</v>
      </c>
      <c r="BM468" s="1" t="s">
        <v>91</v>
      </c>
      <c r="BN468" s="1" t="s">
        <v>91</v>
      </c>
      <c r="BO468" s="1" t="s">
        <v>91</v>
      </c>
      <c r="BP468" s="1" t="s">
        <v>91</v>
      </c>
      <c r="BQ468" t="s">
        <v>91</v>
      </c>
      <c r="BR468" s="3">
        <v>45118</v>
      </c>
      <c r="BS468" s="3"/>
      <c r="BT468" t="s">
        <v>91</v>
      </c>
      <c r="BU468" t="s">
        <v>91</v>
      </c>
      <c r="BW468" s="1" t="s">
        <v>90</v>
      </c>
    </row>
    <row r="469" spans="1:75" x14ac:dyDescent="0.35">
      <c r="A469">
        <v>144774</v>
      </c>
      <c r="B469" s="1" t="s">
        <v>75</v>
      </c>
      <c r="C469">
        <v>80</v>
      </c>
      <c r="D469">
        <v>11121001</v>
      </c>
      <c r="E469">
        <v>121001</v>
      </c>
      <c r="F469" s="1" t="s">
        <v>76</v>
      </c>
      <c r="G469" s="1" t="s">
        <v>2763</v>
      </c>
      <c r="I469" s="1" t="s">
        <v>78</v>
      </c>
      <c r="J469" s="1" t="s">
        <v>2764</v>
      </c>
      <c r="K469" s="1" t="s">
        <v>2765</v>
      </c>
      <c r="L469" t="s">
        <v>91</v>
      </c>
      <c r="M469" t="s">
        <v>91</v>
      </c>
      <c r="N469" s="1" t="s">
        <v>2766</v>
      </c>
      <c r="O469" t="s">
        <v>91</v>
      </c>
      <c r="P469" s="1" t="s">
        <v>2767</v>
      </c>
      <c r="Q469" s="1" t="s">
        <v>2060</v>
      </c>
      <c r="R469" s="1" t="s">
        <v>833</v>
      </c>
      <c r="S469">
        <v>1280</v>
      </c>
      <c r="T469">
        <v>89280139</v>
      </c>
      <c r="U469" s="1" t="s">
        <v>108</v>
      </c>
      <c r="V469" s="1" t="s">
        <v>520</v>
      </c>
      <c r="W469" s="1" t="s">
        <v>87</v>
      </c>
      <c r="X469">
        <v>47</v>
      </c>
      <c r="Y469">
        <v>36335201</v>
      </c>
      <c r="Z469" t="s">
        <v>91</v>
      </c>
      <c r="AA469" t="s">
        <v>91</v>
      </c>
      <c r="AB469" t="s">
        <v>91</v>
      </c>
      <c r="AC469" t="s">
        <v>91</v>
      </c>
      <c r="AD469" t="s">
        <v>91</v>
      </c>
      <c r="AE469" t="s">
        <v>91</v>
      </c>
      <c r="AF469" t="s">
        <v>91</v>
      </c>
      <c r="AG469" s="1" t="s">
        <v>91</v>
      </c>
      <c r="AH469" s="1" t="s">
        <v>91</v>
      </c>
      <c r="AI469" t="s">
        <v>91</v>
      </c>
      <c r="AJ469">
        <v>0</v>
      </c>
      <c r="AK469">
        <v>0</v>
      </c>
      <c r="AL469">
        <v>0</v>
      </c>
      <c r="AM469" t="s">
        <v>91</v>
      </c>
      <c r="AN469" t="s">
        <v>91</v>
      </c>
      <c r="AO469" t="s">
        <v>91</v>
      </c>
      <c r="AP469" t="s">
        <v>91</v>
      </c>
      <c r="AQ469" s="1" t="s">
        <v>91</v>
      </c>
      <c r="AR469" s="1" t="s">
        <v>91</v>
      </c>
      <c r="AS469" s="1" t="s">
        <v>91</v>
      </c>
      <c r="AT469" s="1" t="s">
        <v>91</v>
      </c>
      <c r="AU469" s="1" t="s">
        <v>91</v>
      </c>
      <c r="AV469" t="s">
        <v>91</v>
      </c>
      <c r="AW469" t="s">
        <v>91</v>
      </c>
      <c r="AX469" t="s">
        <v>91</v>
      </c>
      <c r="AY469" t="s">
        <v>91</v>
      </c>
      <c r="AZ469" t="s">
        <v>91</v>
      </c>
      <c r="BA469" t="s">
        <v>91</v>
      </c>
      <c r="BB469" s="2"/>
      <c r="BC469" s="2"/>
      <c r="BD469" t="s">
        <v>91</v>
      </c>
      <c r="BF469" s="1" t="s">
        <v>75</v>
      </c>
      <c r="BG469">
        <v>0</v>
      </c>
      <c r="BH469">
        <v>0</v>
      </c>
      <c r="BI469" s="1" t="s">
        <v>88</v>
      </c>
      <c r="BJ469">
        <v>1</v>
      </c>
      <c r="BK469" s="1" t="s">
        <v>89</v>
      </c>
      <c r="BL469" t="s">
        <v>91</v>
      </c>
      <c r="BM469" s="1" t="s">
        <v>109</v>
      </c>
      <c r="BN469" s="1" t="s">
        <v>110</v>
      </c>
      <c r="BO469" s="1" t="s">
        <v>180</v>
      </c>
      <c r="BP469" s="1" t="s">
        <v>91</v>
      </c>
      <c r="BQ469" t="s">
        <v>91</v>
      </c>
      <c r="BR469" s="3"/>
      <c r="BS469" s="3"/>
      <c r="BT469" t="s">
        <v>91</v>
      </c>
      <c r="BU469" t="s">
        <v>91</v>
      </c>
      <c r="BV469">
        <v>6</v>
      </c>
      <c r="BW469" s="1" t="s">
        <v>90</v>
      </c>
    </row>
    <row r="470" spans="1:75" x14ac:dyDescent="0.35">
      <c r="A470">
        <v>138258</v>
      </c>
      <c r="B470" s="1" t="s">
        <v>75</v>
      </c>
      <c r="C470">
        <v>80</v>
      </c>
      <c r="D470">
        <v>11121001</v>
      </c>
      <c r="E470">
        <v>121001</v>
      </c>
      <c r="F470" s="1" t="s">
        <v>76</v>
      </c>
      <c r="G470" s="1" t="s">
        <v>2768</v>
      </c>
      <c r="H470">
        <v>0</v>
      </c>
      <c r="I470" s="1" t="s">
        <v>78</v>
      </c>
      <c r="J470" s="1" t="s">
        <v>2769</v>
      </c>
      <c r="K470" s="1" t="s">
        <v>2770</v>
      </c>
      <c r="L470" t="s">
        <v>91</v>
      </c>
      <c r="M470" t="s">
        <v>91</v>
      </c>
      <c r="N470" s="1" t="s">
        <v>2771</v>
      </c>
      <c r="O470" t="s">
        <v>91</v>
      </c>
      <c r="P470" s="1" t="s">
        <v>2772</v>
      </c>
      <c r="Q470" s="1" t="s">
        <v>2773</v>
      </c>
      <c r="R470" s="1" t="s">
        <v>91</v>
      </c>
      <c r="T470">
        <v>89560196</v>
      </c>
      <c r="U470" s="1" t="s">
        <v>108</v>
      </c>
      <c r="V470" s="1" t="s">
        <v>1827</v>
      </c>
      <c r="W470" s="1" t="s">
        <v>87</v>
      </c>
      <c r="X470">
        <v>49</v>
      </c>
      <c r="Y470">
        <v>35660680</v>
      </c>
      <c r="Z470" t="s">
        <v>91</v>
      </c>
      <c r="AA470" t="s">
        <v>91</v>
      </c>
      <c r="AB470" t="s">
        <v>91</v>
      </c>
      <c r="AC470" t="s">
        <v>91</v>
      </c>
      <c r="AD470" t="s">
        <v>91</v>
      </c>
      <c r="AE470" t="s">
        <v>91</v>
      </c>
      <c r="AF470" t="s">
        <v>91</v>
      </c>
      <c r="AG470" s="1" t="s">
        <v>146</v>
      </c>
      <c r="AH470" s="1" t="s">
        <v>91</v>
      </c>
      <c r="AI470" t="s">
        <v>91</v>
      </c>
      <c r="AM470" t="s">
        <v>91</v>
      </c>
      <c r="AN470" t="s">
        <v>91</v>
      </c>
      <c r="AO470" t="s">
        <v>91</v>
      </c>
      <c r="AP470" t="s">
        <v>91</v>
      </c>
      <c r="AQ470" s="1" t="s">
        <v>147</v>
      </c>
      <c r="AR470" s="1" t="s">
        <v>147</v>
      </c>
      <c r="AS470" s="1" t="s">
        <v>147</v>
      </c>
      <c r="AT470" s="1" t="s">
        <v>147</v>
      </c>
      <c r="AU470" s="1" t="s">
        <v>147</v>
      </c>
      <c r="AV470" t="s">
        <v>91</v>
      </c>
      <c r="AW470" t="s">
        <v>91</v>
      </c>
      <c r="AX470" t="s">
        <v>91</v>
      </c>
      <c r="AY470" t="s">
        <v>91</v>
      </c>
      <c r="AZ470" t="s">
        <v>91</v>
      </c>
      <c r="BA470" t="s">
        <v>91</v>
      </c>
      <c r="BB470" s="2">
        <v>44378.578518518516</v>
      </c>
      <c r="BC470" s="2">
        <v>44697.607083333336</v>
      </c>
      <c r="BD470" t="s">
        <v>91</v>
      </c>
      <c r="BF470" s="1" t="s">
        <v>75</v>
      </c>
      <c r="BH470">
        <v>0</v>
      </c>
      <c r="BI470" s="1" t="s">
        <v>88</v>
      </c>
      <c r="BJ470">
        <v>1</v>
      </c>
      <c r="BK470" s="1" t="s">
        <v>89</v>
      </c>
      <c r="BL470" t="s">
        <v>91</v>
      </c>
      <c r="BM470" s="1" t="s">
        <v>164</v>
      </c>
      <c r="BN470" s="1" t="s">
        <v>110</v>
      </c>
      <c r="BO470" s="1" t="s">
        <v>165</v>
      </c>
      <c r="BP470" s="1" t="s">
        <v>91</v>
      </c>
      <c r="BQ470" t="s">
        <v>91</v>
      </c>
      <c r="BR470" s="3">
        <v>44378</v>
      </c>
      <c r="BS470" s="3">
        <v>44697</v>
      </c>
      <c r="BT470" t="s">
        <v>91</v>
      </c>
      <c r="BU470" t="s">
        <v>91</v>
      </c>
      <c r="BW470" s="1" t="s">
        <v>2774</v>
      </c>
    </row>
    <row r="471" spans="1:75" x14ac:dyDescent="0.35">
      <c r="A471">
        <v>144812</v>
      </c>
      <c r="B471" s="1" t="s">
        <v>75</v>
      </c>
      <c r="C471">
        <v>80</v>
      </c>
      <c r="D471">
        <v>11121001</v>
      </c>
      <c r="E471">
        <v>121001</v>
      </c>
      <c r="F471" s="1" t="s">
        <v>76</v>
      </c>
      <c r="G471" s="1" t="s">
        <v>2775</v>
      </c>
      <c r="I471" s="1" t="s">
        <v>78</v>
      </c>
      <c r="J471" s="1" t="s">
        <v>2776</v>
      </c>
      <c r="K471" s="1" t="s">
        <v>2777</v>
      </c>
      <c r="L471" t="s">
        <v>91</v>
      </c>
      <c r="M471" t="s">
        <v>91</v>
      </c>
      <c r="N471" s="1" t="s">
        <v>2778</v>
      </c>
      <c r="O471" t="s">
        <v>91</v>
      </c>
      <c r="P471" s="1" t="s">
        <v>162</v>
      </c>
      <c r="Q471" s="1" t="s">
        <v>2779</v>
      </c>
      <c r="R471" s="1" t="s">
        <v>370</v>
      </c>
      <c r="S471">
        <v>1278</v>
      </c>
      <c r="T471">
        <v>89204010</v>
      </c>
      <c r="U471" s="1" t="s">
        <v>108</v>
      </c>
      <c r="V471" s="1" t="s">
        <v>100</v>
      </c>
      <c r="W471" s="1" t="s">
        <v>87</v>
      </c>
      <c r="X471">
        <v>47</v>
      </c>
      <c r="Y471">
        <v>30277899</v>
      </c>
      <c r="Z471" t="s">
        <v>91</v>
      </c>
      <c r="AA471" t="s">
        <v>91</v>
      </c>
      <c r="AB471" t="s">
        <v>91</v>
      </c>
      <c r="AC471" t="s">
        <v>91</v>
      </c>
      <c r="AD471" t="s">
        <v>91</v>
      </c>
      <c r="AE471" t="s">
        <v>91</v>
      </c>
      <c r="AF471" t="s">
        <v>91</v>
      </c>
      <c r="AG471" s="1" t="s">
        <v>91</v>
      </c>
      <c r="AH471" s="1" t="s">
        <v>91</v>
      </c>
      <c r="AI471" t="s">
        <v>91</v>
      </c>
      <c r="AM471" t="s">
        <v>91</v>
      </c>
      <c r="AN471" t="s">
        <v>91</v>
      </c>
      <c r="AO471" t="s">
        <v>91</v>
      </c>
      <c r="AP471" t="s">
        <v>91</v>
      </c>
      <c r="AQ471" s="1" t="s">
        <v>91</v>
      </c>
      <c r="AR471" s="1" t="s">
        <v>91</v>
      </c>
      <c r="AS471" s="1" t="s">
        <v>91</v>
      </c>
      <c r="AT471" s="1" t="s">
        <v>91</v>
      </c>
      <c r="AU471" s="1" t="s">
        <v>91</v>
      </c>
      <c r="AV471" t="s">
        <v>91</v>
      </c>
      <c r="AW471" t="s">
        <v>91</v>
      </c>
      <c r="AX471" t="s">
        <v>91</v>
      </c>
      <c r="AY471" t="s">
        <v>91</v>
      </c>
      <c r="AZ471" t="s">
        <v>91</v>
      </c>
      <c r="BA471" t="s">
        <v>91</v>
      </c>
      <c r="BB471" s="2"/>
      <c r="BC471" s="2"/>
      <c r="BD471" t="s">
        <v>91</v>
      </c>
      <c r="BF471" s="1" t="s">
        <v>75</v>
      </c>
      <c r="BI471" s="1" t="s">
        <v>88</v>
      </c>
      <c r="BJ471">
        <v>1</v>
      </c>
      <c r="BK471" s="1" t="s">
        <v>89</v>
      </c>
      <c r="BL471" t="s">
        <v>91</v>
      </c>
      <c r="BM471" s="1" t="s">
        <v>109</v>
      </c>
      <c r="BN471" s="1" t="s">
        <v>110</v>
      </c>
      <c r="BO471" s="1" t="s">
        <v>180</v>
      </c>
      <c r="BP471" s="1" t="s">
        <v>91</v>
      </c>
      <c r="BQ471" t="s">
        <v>91</v>
      </c>
      <c r="BR471" s="3"/>
      <c r="BS471" s="3"/>
      <c r="BT471" t="s">
        <v>91</v>
      </c>
      <c r="BU471" t="s">
        <v>91</v>
      </c>
      <c r="BW471" s="1" t="s">
        <v>90</v>
      </c>
    </row>
    <row r="472" spans="1:75" x14ac:dyDescent="0.35">
      <c r="A472">
        <v>138261</v>
      </c>
      <c r="B472" s="1" t="s">
        <v>75</v>
      </c>
      <c r="C472">
        <v>80</v>
      </c>
      <c r="D472">
        <v>11121001</v>
      </c>
      <c r="E472">
        <v>121001</v>
      </c>
      <c r="F472" s="1" t="s">
        <v>76</v>
      </c>
      <c r="G472" s="1" t="s">
        <v>2780</v>
      </c>
      <c r="H472">
        <v>0</v>
      </c>
      <c r="I472" s="1" t="s">
        <v>78</v>
      </c>
      <c r="J472" s="1" t="s">
        <v>2781</v>
      </c>
      <c r="K472" s="1" t="s">
        <v>2782</v>
      </c>
      <c r="L472" t="s">
        <v>91</v>
      </c>
      <c r="M472" t="s">
        <v>91</v>
      </c>
      <c r="N472" s="1" t="s">
        <v>2783</v>
      </c>
      <c r="O472" t="s">
        <v>91</v>
      </c>
      <c r="P472" s="1" t="s">
        <v>2784</v>
      </c>
      <c r="Q472" s="1" t="s">
        <v>255</v>
      </c>
      <c r="R472" s="1" t="s">
        <v>833</v>
      </c>
      <c r="S472">
        <v>1288</v>
      </c>
      <c r="T472">
        <v>89890000</v>
      </c>
      <c r="U472" s="1" t="s">
        <v>108</v>
      </c>
      <c r="V472" s="1" t="s">
        <v>2785</v>
      </c>
      <c r="W472" s="1" t="s">
        <v>87</v>
      </c>
      <c r="X472">
        <v>49</v>
      </c>
      <c r="Y472">
        <v>36460521</v>
      </c>
      <c r="Z472" t="s">
        <v>91</v>
      </c>
      <c r="AA472" t="s">
        <v>91</v>
      </c>
      <c r="AB472" t="s">
        <v>91</v>
      </c>
      <c r="AC472" t="s">
        <v>91</v>
      </c>
      <c r="AD472" t="s">
        <v>91</v>
      </c>
      <c r="AE472" t="s">
        <v>91</v>
      </c>
      <c r="AF472" t="s">
        <v>91</v>
      </c>
      <c r="AG472" s="1" t="s">
        <v>146</v>
      </c>
      <c r="AH472" s="1" t="s">
        <v>91</v>
      </c>
      <c r="AI472" t="s">
        <v>91</v>
      </c>
      <c r="AM472" t="s">
        <v>91</v>
      </c>
      <c r="AN472" t="s">
        <v>91</v>
      </c>
      <c r="AO472" t="s">
        <v>91</v>
      </c>
      <c r="AP472" t="s">
        <v>91</v>
      </c>
      <c r="AQ472" s="1" t="s">
        <v>147</v>
      </c>
      <c r="AR472" s="1" t="s">
        <v>147</v>
      </c>
      <c r="AS472" s="1" t="s">
        <v>147</v>
      </c>
      <c r="AT472" s="1" t="s">
        <v>147</v>
      </c>
      <c r="AU472" s="1" t="s">
        <v>147</v>
      </c>
      <c r="AV472" t="s">
        <v>91</v>
      </c>
      <c r="AW472" t="s">
        <v>91</v>
      </c>
      <c r="AX472" t="s">
        <v>91</v>
      </c>
      <c r="AY472" t="s">
        <v>91</v>
      </c>
      <c r="AZ472" t="s">
        <v>91</v>
      </c>
      <c r="BA472" t="s">
        <v>91</v>
      </c>
      <c r="BB472" s="2">
        <v>44378.578518518516</v>
      </c>
      <c r="BC472" s="2">
        <v>44720.454907407409</v>
      </c>
      <c r="BD472" t="s">
        <v>91</v>
      </c>
      <c r="BF472" s="1" t="s">
        <v>75</v>
      </c>
      <c r="BH472">
        <v>0</v>
      </c>
      <c r="BI472" s="1" t="s">
        <v>88</v>
      </c>
      <c r="BJ472">
        <v>1</v>
      </c>
      <c r="BK472" s="1" t="s">
        <v>89</v>
      </c>
      <c r="BL472" t="s">
        <v>91</v>
      </c>
      <c r="BM472" s="1" t="s">
        <v>109</v>
      </c>
      <c r="BN472" s="1" t="s">
        <v>110</v>
      </c>
      <c r="BO472" s="1" t="s">
        <v>128</v>
      </c>
      <c r="BP472" s="1" t="s">
        <v>91</v>
      </c>
      <c r="BQ472" t="s">
        <v>91</v>
      </c>
      <c r="BR472" s="3">
        <v>44378</v>
      </c>
      <c r="BS472" s="3">
        <v>44720</v>
      </c>
      <c r="BT472" t="s">
        <v>91</v>
      </c>
      <c r="BU472" t="s">
        <v>91</v>
      </c>
      <c r="BW472" s="1" t="s">
        <v>540</v>
      </c>
    </row>
    <row r="473" spans="1:75" x14ac:dyDescent="0.35">
      <c r="A473">
        <v>151776</v>
      </c>
      <c r="B473" s="1" t="s">
        <v>75</v>
      </c>
      <c r="C473">
        <v>80</v>
      </c>
      <c r="D473">
        <v>11121001</v>
      </c>
      <c r="E473">
        <v>121001</v>
      </c>
      <c r="F473" s="1" t="s">
        <v>76</v>
      </c>
      <c r="G473" s="1" t="s">
        <v>2786</v>
      </c>
      <c r="H473">
        <v>0</v>
      </c>
      <c r="I473" s="1" t="s">
        <v>78</v>
      </c>
      <c r="J473" s="1" t="s">
        <v>2787</v>
      </c>
      <c r="K473" s="1" t="s">
        <v>2788</v>
      </c>
      <c r="L473" t="s">
        <v>91</v>
      </c>
      <c r="M473" t="s">
        <v>91</v>
      </c>
      <c r="N473" s="1" t="s">
        <v>2789</v>
      </c>
      <c r="O473" t="s">
        <v>91</v>
      </c>
      <c r="P473" s="1" t="s">
        <v>243</v>
      </c>
      <c r="Q473" s="1" t="s">
        <v>2556</v>
      </c>
      <c r="R473" s="1" t="s">
        <v>1411</v>
      </c>
      <c r="T473">
        <v>89868000</v>
      </c>
      <c r="U473" s="1" t="s">
        <v>108</v>
      </c>
      <c r="V473" s="1" t="s">
        <v>2790</v>
      </c>
      <c r="W473" s="1" t="s">
        <v>87</v>
      </c>
      <c r="X473">
        <v>49</v>
      </c>
      <c r="Y473">
        <v>33340502</v>
      </c>
      <c r="Z473" t="s">
        <v>91</v>
      </c>
      <c r="AA473" t="s">
        <v>91</v>
      </c>
      <c r="AB473" t="s">
        <v>91</v>
      </c>
      <c r="AC473" t="s">
        <v>91</v>
      </c>
      <c r="AD473" t="s">
        <v>91</v>
      </c>
      <c r="AE473" t="s">
        <v>91</v>
      </c>
      <c r="AF473" t="s">
        <v>91</v>
      </c>
      <c r="AG473" s="1" t="s">
        <v>91</v>
      </c>
      <c r="AH473" s="1" t="s">
        <v>91</v>
      </c>
      <c r="AI473" t="s">
        <v>91</v>
      </c>
      <c r="AM473" t="s">
        <v>91</v>
      </c>
      <c r="AN473" t="s">
        <v>91</v>
      </c>
      <c r="AO473" t="s">
        <v>91</v>
      </c>
      <c r="AP473" t="s">
        <v>91</v>
      </c>
      <c r="AQ473" s="1" t="s">
        <v>91</v>
      </c>
      <c r="AR473" s="1" t="s">
        <v>91</v>
      </c>
      <c r="AS473" s="1" t="s">
        <v>91</v>
      </c>
      <c r="AT473" s="1" t="s">
        <v>91</v>
      </c>
      <c r="AU473" s="1" t="s">
        <v>91</v>
      </c>
      <c r="AV473" t="s">
        <v>91</v>
      </c>
      <c r="AW473" t="s">
        <v>91</v>
      </c>
      <c r="AX473" t="s">
        <v>91</v>
      </c>
      <c r="AY473" t="s">
        <v>91</v>
      </c>
      <c r="AZ473" t="s">
        <v>91</v>
      </c>
      <c r="BA473" t="s">
        <v>91</v>
      </c>
      <c r="BB473" s="2">
        <v>44952.603854166664</v>
      </c>
      <c r="BC473" s="2"/>
      <c r="BD473" t="s">
        <v>91</v>
      </c>
      <c r="BF473" s="1" t="s">
        <v>75</v>
      </c>
      <c r="BI473" s="1" t="s">
        <v>88</v>
      </c>
      <c r="BJ473">
        <v>1</v>
      </c>
      <c r="BK473" s="1" t="s">
        <v>89</v>
      </c>
      <c r="BL473" t="s">
        <v>91</v>
      </c>
      <c r="BM473" s="1" t="s">
        <v>109</v>
      </c>
      <c r="BN473" s="1" t="s">
        <v>91</v>
      </c>
      <c r="BO473" s="1" t="s">
        <v>91</v>
      </c>
      <c r="BP473" s="1" t="s">
        <v>91</v>
      </c>
      <c r="BQ473" t="s">
        <v>91</v>
      </c>
      <c r="BR473" s="3">
        <v>44952</v>
      </c>
      <c r="BS473" s="3"/>
      <c r="BT473" t="s">
        <v>91</v>
      </c>
      <c r="BU473" t="s">
        <v>91</v>
      </c>
      <c r="BW473" s="1" t="s">
        <v>540</v>
      </c>
    </row>
    <row r="474" spans="1:75" x14ac:dyDescent="0.35">
      <c r="A474">
        <v>157502</v>
      </c>
      <c r="B474" s="1" t="s">
        <v>75</v>
      </c>
      <c r="C474">
        <v>80</v>
      </c>
      <c r="D474">
        <v>11121001</v>
      </c>
      <c r="E474">
        <v>121001</v>
      </c>
      <c r="F474" s="1" t="s">
        <v>76</v>
      </c>
      <c r="G474" s="1" t="s">
        <v>2791</v>
      </c>
      <c r="H474">
        <v>0</v>
      </c>
      <c r="I474" s="1" t="s">
        <v>78</v>
      </c>
      <c r="J474" s="1" t="s">
        <v>2792</v>
      </c>
      <c r="K474" s="1" t="s">
        <v>2793</v>
      </c>
      <c r="L474" t="s">
        <v>91</v>
      </c>
      <c r="M474" t="s">
        <v>91</v>
      </c>
      <c r="N474" s="1" t="s">
        <v>91</v>
      </c>
      <c r="O474" t="s">
        <v>91</v>
      </c>
      <c r="P474" s="1" t="s">
        <v>1886</v>
      </c>
      <c r="Q474" s="1" t="s">
        <v>1564</v>
      </c>
      <c r="R474" s="1" t="s">
        <v>91</v>
      </c>
      <c r="S474">
        <v>1287</v>
      </c>
      <c r="T474">
        <v>89802120</v>
      </c>
      <c r="U474" s="1" t="s">
        <v>108</v>
      </c>
      <c r="V474" s="1" t="s">
        <v>86</v>
      </c>
      <c r="W474" s="1" t="s">
        <v>87</v>
      </c>
      <c r="X474">
        <v>49</v>
      </c>
      <c r="Y474">
        <v>33291916</v>
      </c>
      <c r="Z474" t="s">
        <v>91</v>
      </c>
      <c r="AA474" t="s">
        <v>91</v>
      </c>
      <c r="AB474" t="s">
        <v>91</v>
      </c>
      <c r="AC474" t="s">
        <v>91</v>
      </c>
      <c r="AD474" t="s">
        <v>91</v>
      </c>
      <c r="AE474" t="s">
        <v>91</v>
      </c>
      <c r="AF474" t="s">
        <v>91</v>
      </c>
      <c r="AG474" s="1" t="s">
        <v>91</v>
      </c>
      <c r="AH474" s="1" t="s">
        <v>91</v>
      </c>
      <c r="AI474" t="s">
        <v>91</v>
      </c>
      <c r="AM474" t="s">
        <v>91</v>
      </c>
      <c r="AN474" t="s">
        <v>91</v>
      </c>
      <c r="AO474" t="s">
        <v>91</v>
      </c>
      <c r="AP474" t="s">
        <v>91</v>
      </c>
      <c r="AQ474" s="1" t="s">
        <v>91</v>
      </c>
      <c r="AR474" s="1" t="s">
        <v>91</v>
      </c>
      <c r="AS474" s="1" t="s">
        <v>91</v>
      </c>
      <c r="AT474" s="1" t="s">
        <v>91</v>
      </c>
      <c r="AU474" s="1" t="s">
        <v>91</v>
      </c>
      <c r="AV474" t="s">
        <v>91</v>
      </c>
      <c r="AW474" t="s">
        <v>91</v>
      </c>
      <c r="AX474" t="s">
        <v>91</v>
      </c>
      <c r="AY474" t="s">
        <v>91</v>
      </c>
      <c r="AZ474" t="s">
        <v>91</v>
      </c>
      <c r="BA474" t="s">
        <v>91</v>
      </c>
      <c r="BB474" s="2">
        <v>45118.093391203707</v>
      </c>
      <c r="BC474" s="2"/>
      <c r="BD474" t="s">
        <v>91</v>
      </c>
      <c r="BF474" s="1" t="s">
        <v>75</v>
      </c>
      <c r="BI474" s="1" t="s">
        <v>88</v>
      </c>
      <c r="BJ474">
        <v>1</v>
      </c>
      <c r="BK474" s="1" t="s">
        <v>89</v>
      </c>
      <c r="BL474" t="s">
        <v>91</v>
      </c>
      <c r="BM474" s="1" t="s">
        <v>91</v>
      </c>
      <c r="BN474" s="1" t="s">
        <v>91</v>
      </c>
      <c r="BO474" s="1" t="s">
        <v>91</v>
      </c>
      <c r="BP474" s="1" t="s">
        <v>91</v>
      </c>
      <c r="BQ474" t="s">
        <v>91</v>
      </c>
      <c r="BR474" s="3">
        <v>45118</v>
      </c>
      <c r="BS474" s="3"/>
      <c r="BT474" t="s">
        <v>91</v>
      </c>
      <c r="BU474" t="s">
        <v>91</v>
      </c>
      <c r="BW474" s="1" t="s">
        <v>90</v>
      </c>
    </row>
    <row r="475" spans="1:75" x14ac:dyDescent="0.35">
      <c r="A475">
        <v>138264</v>
      </c>
      <c r="B475" s="1" t="s">
        <v>75</v>
      </c>
      <c r="C475">
        <v>80</v>
      </c>
      <c r="D475">
        <v>11121001</v>
      </c>
      <c r="E475">
        <v>121001</v>
      </c>
      <c r="F475" s="1" t="s">
        <v>76</v>
      </c>
      <c r="G475" s="1" t="s">
        <v>2794</v>
      </c>
      <c r="H475">
        <v>0</v>
      </c>
      <c r="I475" s="1" t="s">
        <v>78</v>
      </c>
      <c r="J475" s="1" t="s">
        <v>2795</v>
      </c>
      <c r="K475" s="1" t="s">
        <v>2796</v>
      </c>
      <c r="L475" t="s">
        <v>91</v>
      </c>
      <c r="M475" t="s">
        <v>91</v>
      </c>
      <c r="N475" s="1" t="s">
        <v>2797</v>
      </c>
      <c r="O475" t="s">
        <v>91</v>
      </c>
      <c r="P475" s="1" t="s">
        <v>2798</v>
      </c>
      <c r="Q475" s="1" t="s">
        <v>1841</v>
      </c>
      <c r="R475" s="1" t="s">
        <v>370</v>
      </c>
      <c r="S475">
        <v>1383</v>
      </c>
      <c r="T475">
        <v>99025001</v>
      </c>
      <c r="U475" s="1" t="s">
        <v>108</v>
      </c>
      <c r="V475" s="1" t="s">
        <v>371</v>
      </c>
      <c r="W475" s="1" t="s">
        <v>157</v>
      </c>
      <c r="X475">
        <v>54</v>
      </c>
      <c r="Y475">
        <v>30460221</v>
      </c>
      <c r="Z475" t="s">
        <v>91</v>
      </c>
      <c r="AA475" t="s">
        <v>91</v>
      </c>
      <c r="AB475" t="s">
        <v>91</v>
      </c>
      <c r="AC475" t="s">
        <v>91</v>
      </c>
      <c r="AD475" t="s">
        <v>91</v>
      </c>
      <c r="AE475" t="s">
        <v>91</v>
      </c>
      <c r="AF475" t="s">
        <v>91</v>
      </c>
      <c r="AG475" s="1" t="s">
        <v>146</v>
      </c>
      <c r="AH475" s="1" t="s">
        <v>91</v>
      </c>
      <c r="AI475" t="s">
        <v>91</v>
      </c>
      <c r="AM475" t="s">
        <v>91</v>
      </c>
      <c r="AN475" t="s">
        <v>91</v>
      </c>
      <c r="AO475" t="s">
        <v>91</v>
      </c>
      <c r="AP475" t="s">
        <v>91</v>
      </c>
      <c r="AQ475" s="1" t="s">
        <v>147</v>
      </c>
      <c r="AR475" s="1" t="s">
        <v>147</v>
      </c>
      <c r="AS475" s="1" t="s">
        <v>147</v>
      </c>
      <c r="AT475" s="1" t="s">
        <v>147</v>
      </c>
      <c r="AU475" s="1" t="s">
        <v>147</v>
      </c>
      <c r="AV475" t="s">
        <v>91</v>
      </c>
      <c r="AW475" t="s">
        <v>91</v>
      </c>
      <c r="AX475" t="s">
        <v>91</v>
      </c>
      <c r="AY475" t="s">
        <v>91</v>
      </c>
      <c r="AZ475" t="s">
        <v>91</v>
      </c>
      <c r="BA475" t="s">
        <v>91</v>
      </c>
      <c r="BB475" s="2">
        <v>44378.578518518516</v>
      </c>
      <c r="BC475" s="2">
        <v>44652.495729166665</v>
      </c>
      <c r="BD475" t="s">
        <v>91</v>
      </c>
      <c r="BF475" s="1" t="s">
        <v>75</v>
      </c>
      <c r="BH475">
        <v>0</v>
      </c>
      <c r="BI475" s="1" t="s">
        <v>88</v>
      </c>
      <c r="BJ475">
        <v>1</v>
      </c>
      <c r="BK475" s="1" t="s">
        <v>89</v>
      </c>
      <c r="BL475" t="s">
        <v>91</v>
      </c>
      <c r="BM475" s="1" t="s">
        <v>109</v>
      </c>
      <c r="BN475" s="1" t="s">
        <v>110</v>
      </c>
      <c r="BO475" s="1" t="s">
        <v>111</v>
      </c>
      <c r="BP475" s="1" t="s">
        <v>91</v>
      </c>
      <c r="BQ475" t="s">
        <v>91</v>
      </c>
      <c r="BR475" s="3">
        <v>44378</v>
      </c>
      <c r="BS475" s="3">
        <v>44652</v>
      </c>
      <c r="BT475" t="s">
        <v>91</v>
      </c>
      <c r="BU475" t="s">
        <v>91</v>
      </c>
      <c r="BW475" s="1" t="s">
        <v>255</v>
      </c>
    </row>
    <row r="476" spans="1:75" x14ac:dyDescent="0.35">
      <c r="A476">
        <v>156759</v>
      </c>
      <c r="B476" s="1" t="s">
        <v>75</v>
      </c>
      <c r="C476">
        <v>80</v>
      </c>
      <c r="D476">
        <v>11121001</v>
      </c>
      <c r="E476">
        <v>121001</v>
      </c>
      <c r="F476" s="1" t="s">
        <v>76</v>
      </c>
      <c r="G476" s="1" t="s">
        <v>2799</v>
      </c>
      <c r="H476">
        <v>0</v>
      </c>
      <c r="I476" s="1" t="s">
        <v>78</v>
      </c>
      <c r="J476" s="1" t="s">
        <v>2800</v>
      </c>
      <c r="K476" s="1" t="s">
        <v>2801</v>
      </c>
      <c r="L476" t="s">
        <v>91</v>
      </c>
      <c r="M476" t="s">
        <v>91</v>
      </c>
      <c r="N476" s="1" t="s">
        <v>2802</v>
      </c>
      <c r="O476" t="s">
        <v>91</v>
      </c>
      <c r="P476" s="1" t="s">
        <v>1693</v>
      </c>
      <c r="Q476" s="1" t="s">
        <v>2803</v>
      </c>
      <c r="R476" s="1" t="s">
        <v>91</v>
      </c>
      <c r="T476">
        <v>89222401</v>
      </c>
      <c r="U476" s="1" t="s">
        <v>213</v>
      </c>
      <c r="V476" s="1" t="s">
        <v>100</v>
      </c>
      <c r="W476" s="1" t="s">
        <v>87</v>
      </c>
      <c r="X476">
        <v>47</v>
      </c>
      <c r="Y476">
        <v>991710147</v>
      </c>
      <c r="Z476" t="s">
        <v>91</v>
      </c>
      <c r="AA476" t="s">
        <v>91</v>
      </c>
      <c r="AB476" t="s">
        <v>91</v>
      </c>
      <c r="AC476" t="s">
        <v>91</v>
      </c>
      <c r="AD476" t="s">
        <v>91</v>
      </c>
      <c r="AE476" t="s">
        <v>91</v>
      </c>
      <c r="AF476" t="s">
        <v>91</v>
      </c>
      <c r="AG476" s="1" t="s">
        <v>91</v>
      </c>
      <c r="AH476" s="1" t="s">
        <v>91</v>
      </c>
      <c r="AI476" t="s">
        <v>91</v>
      </c>
      <c r="AM476" t="s">
        <v>91</v>
      </c>
      <c r="AN476" t="s">
        <v>91</v>
      </c>
      <c r="AO476" t="s">
        <v>91</v>
      </c>
      <c r="AP476" t="s">
        <v>91</v>
      </c>
      <c r="AQ476" s="1" t="s">
        <v>91</v>
      </c>
      <c r="AR476" s="1" t="s">
        <v>91</v>
      </c>
      <c r="AS476" s="1" t="s">
        <v>91</v>
      </c>
      <c r="AT476" s="1" t="s">
        <v>91</v>
      </c>
      <c r="AU476" s="1" t="s">
        <v>91</v>
      </c>
      <c r="AV476" t="s">
        <v>91</v>
      </c>
      <c r="AW476" t="s">
        <v>91</v>
      </c>
      <c r="AX476" t="s">
        <v>91</v>
      </c>
      <c r="AY476" t="s">
        <v>91</v>
      </c>
      <c r="AZ476" t="s">
        <v>91</v>
      </c>
      <c r="BA476" t="s">
        <v>91</v>
      </c>
      <c r="BB476" s="2">
        <v>45113.505416666667</v>
      </c>
      <c r="BC476" s="2"/>
      <c r="BD476" t="s">
        <v>91</v>
      </c>
      <c r="BF476" s="1" t="s">
        <v>75</v>
      </c>
      <c r="BI476" s="1" t="s">
        <v>88</v>
      </c>
      <c r="BJ476">
        <v>1</v>
      </c>
      <c r="BK476" s="1" t="s">
        <v>89</v>
      </c>
      <c r="BL476" t="s">
        <v>91</v>
      </c>
      <c r="BM476" s="1" t="s">
        <v>91</v>
      </c>
      <c r="BN476" s="1" t="s">
        <v>91</v>
      </c>
      <c r="BO476" s="1" t="s">
        <v>91</v>
      </c>
      <c r="BP476" s="1" t="s">
        <v>91</v>
      </c>
      <c r="BQ476" t="s">
        <v>91</v>
      </c>
      <c r="BR476" s="3">
        <v>45113</v>
      </c>
      <c r="BS476" s="3"/>
      <c r="BT476" t="s">
        <v>91</v>
      </c>
      <c r="BU476" t="s">
        <v>91</v>
      </c>
      <c r="BW476" s="1" t="s">
        <v>882</v>
      </c>
    </row>
    <row r="477" spans="1:75" x14ac:dyDescent="0.35">
      <c r="A477">
        <v>157528</v>
      </c>
      <c r="B477" s="1" t="s">
        <v>75</v>
      </c>
      <c r="C477">
        <v>80</v>
      </c>
      <c r="D477">
        <v>11121001</v>
      </c>
      <c r="E477">
        <v>121001</v>
      </c>
      <c r="F477" s="1" t="s">
        <v>76</v>
      </c>
      <c r="G477" s="1" t="s">
        <v>2804</v>
      </c>
      <c r="H477">
        <v>0</v>
      </c>
      <c r="I477" s="1" t="s">
        <v>78</v>
      </c>
      <c r="J477" s="1" t="s">
        <v>2805</v>
      </c>
      <c r="K477" s="1" t="s">
        <v>2806</v>
      </c>
      <c r="L477" t="s">
        <v>91</v>
      </c>
      <c r="M477" t="s">
        <v>91</v>
      </c>
      <c r="N477" s="1" t="s">
        <v>2807</v>
      </c>
      <c r="O477" t="s">
        <v>91</v>
      </c>
      <c r="P477" s="1" t="s">
        <v>335</v>
      </c>
      <c r="Q477" s="1" t="s">
        <v>2808</v>
      </c>
      <c r="R477" s="1" t="s">
        <v>397</v>
      </c>
      <c r="S477">
        <v>1287</v>
      </c>
      <c r="T477">
        <v>89802140</v>
      </c>
      <c r="U477" s="1" t="s">
        <v>108</v>
      </c>
      <c r="V477" s="1" t="s">
        <v>86</v>
      </c>
      <c r="W477" s="1" t="s">
        <v>87</v>
      </c>
      <c r="X477">
        <v>49</v>
      </c>
      <c r="Y477">
        <v>31992941</v>
      </c>
      <c r="Z477" t="s">
        <v>91</v>
      </c>
      <c r="AA477" t="s">
        <v>91</v>
      </c>
      <c r="AB477" t="s">
        <v>91</v>
      </c>
      <c r="AC477" t="s">
        <v>91</v>
      </c>
      <c r="AD477" t="s">
        <v>91</v>
      </c>
      <c r="AE477" t="s">
        <v>91</v>
      </c>
      <c r="AF477" t="s">
        <v>91</v>
      </c>
      <c r="AG477" s="1" t="s">
        <v>91</v>
      </c>
      <c r="AH477" s="1" t="s">
        <v>91</v>
      </c>
      <c r="AI477" t="s">
        <v>91</v>
      </c>
      <c r="AM477" t="s">
        <v>91</v>
      </c>
      <c r="AN477" t="s">
        <v>91</v>
      </c>
      <c r="AO477" t="s">
        <v>91</v>
      </c>
      <c r="AP477" t="s">
        <v>91</v>
      </c>
      <c r="AQ477" s="1" t="s">
        <v>91</v>
      </c>
      <c r="AR477" s="1" t="s">
        <v>91</v>
      </c>
      <c r="AS477" s="1" t="s">
        <v>91</v>
      </c>
      <c r="AT477" s="1" t="s">
        <v>91</v>
      </c>
      <c r="AU477" s="1" t="s">
        <v>91</v>
      </c>
      <c r="AV477" t="s">
        <v>91</v>
      </c>
      <c r="AW477" t="s">
        <v>91</v>
      </c>
      <c r="AX477" t="s">
        <v>91</v>
      </c>
      <c r="AY477" t="s">
        <v>91</v>
      </c>
      <c r="AZ477" t="s">
        <v>91</v>
      </c>
      <c r="BA477" t="s">
        <v>91</v>
      </c>
      <c r="BB477" s="2">
        <v>45118.093391203707</v>
      </c>
      <c r="BC477" s="2"/>
      <c r="BD477" t="s">
        <v>91</v>
      </c>
      <c r="BF477" s="1" t="s">
        <v>75</v>
      </c>
      <c r="BI477" s="1" t="s">
        <v>88</v>
      </c>
      <c r="BJ477">
        <v>1</v>
      </c>
      <c r="BK477" s="1" t="s">
        <v>89</v>
      </c>
      <c r="BL477" t="s">
        <v>91</v>
      </c>
      <c r="BM477" s="1" t="s">
        <v>91</v>
      </c>
      <c r="BN477" s="1" t="s">
        <v>91</v>
      </c>
      <c r="BO477" s="1" t="s">
        <v>91</v>
      </c>
      <c r="BP477" s="1" t="s">
        <v>91</v>
      </c>
      <c r="BQ477" t="s">
        <v>91</v>
      </c>
      <c r="BR477" s="3">
        <v>45118</v>
      </c>
      <c r="BS477" s="3"/>
      <c r="BT477" t="s">
        <v>91</v>
      </c>
      <c r="BU477" t="s">
        <v>91</v>
      </c>
      <c r="BW477" s="1" t="s">
        <v>90</v>
      </c>
    </row>
    <row r="478" spans="1:75" x14ac:dyDescent="0.35">
      <c r="A478">
        <v>144650</v>
      </c>
      <c r="B478" s="1" t="s">
        <v>75</v>
      </c>
      <c r="C478">
        <v>80</v>
      </c>
      <c r="D478">
        <v>11121001</v>
      </c>
      <c r="E478">
        <v>121001</v>
      </c>
      <c r="F478" s="1" t="s">
        <v>76</v>
      </c>
      <c r="G478" s="1" t="s">
        <v>2809</v>
      </c>
      <c r="I478" s="1" t="s">
        <v>78</v>
      </c>
      <c r="J478" s="1" t="s">
        <v>2810</v>
      </c>
      <c r="K478" s="1" t="s">
        <v>2811</v>
      </c>
      <c r="L478" t="s">
        <v>91</v>
      </c>
      <c r="M478" t="s">
        <v>91</v>
      </c>
      <c r="N478" s="1" t="s">
        <v>2812</v>
      </c>
      <c r="O478" t="s">
        <v>91</v>
      </c>
      <c r="P478" s="1" t="s">
        <v>693</v>
      </c>
      <c r="Q478" s="1" t="s">
        <v>211</v>
      </c>
      <c r="R478" s="1" t="s">
        <v>2813</v>
      </c>
      <c r="S478">
        <v>1279</v>
      </c>
      <c r="T478">
        <v>89223005</v>
      </c>
      <c r="U478" s="1" t="s">
        <v>213</v>
      </c>
      <c r="V478" s="1" t="s">
        <v>100</v>
      </c>
      <c r="W478" s="1" t="s">
        <v>87</v>
      </c>
      <c r="X478">
        <v>48</v>
      </c>
      <c r="Y478">
        <v>32259791</v>
      </c>
      <c r="Z478" t="s">
        <v>91</v>
      </c>
      <c r="AA478" t="s">
        <v>91</v>
      </c>
      <c r="AB478" t="s">
        <v>91</v>
      </c>
      <c r="AC478" t="s">
        <v>91</v>
      </c>
      <c r="AD478" t="s">
        <v>91</v>
      </c>
      <c r="AE478" t="s">
        <v>91</v>
      </c>
      <c r="AF478" t="s">
        <v>91</v>
      </c>
      <c r="AG478" s="1" t="s">
        <v>91</v>
      </c>
      <c r="AH478" s="1" t="s">
        <v>91</v>
      </c>
      <c r="AI478" t="s">
        <v>91</v>
      </c>
      <c r="AJ478">
        <v>0</v>
      </c>
      <c r="AK478">
        <v>0</v>
      </c>
      <c r="AL478">
        <v>0</v>
      </c>
      <c r="AM478" t="s">
        <v>91</v>
      </c>
      <c r="AN478" t="s">
        <v>91</v>
      </c>
      <c r="AO478" t="s">
        <v>91</v>
      </c>
      <c r="AP478" t="s">
        <v>91</v>
      </c>
      <c r="AQ478" s="1" t="s">
        <v>91</v>
      </c>
      <c r="AR478" s="1" t="s">
        <v>91</v>
      </c>
      <c r="AS478" s="1" t="s">
        <v>91</v>
      </c>
      <c r="AT478" s="1" t="s">
        <v>91</v>
      </c>
      <c r="AU478" s="1" t="s">
        <v>91</v>
      </c>
      <c r="AV478" t="s">
        <v>91</v>
      </c>
      <c r="AW478" t="s">
        <v>91</v>
      </c>
      <c r="AX478" t="s">
        <v>91</v>
      </c>
      <c r="AY478" t="s">
        <v>91</v>
      </c>
      <c r="AZ478" t="s">
        <v>91</v>
      </c>
      <c r="BA478" t="s">
        <v>91</v>
      </c>
      <c r="BB478" s="2"/>
      <c r="BC478" s="2"/>
      <c r="BD478" t="s">
        <v>91</v>
      </c>
      <c r="BF478" s="1" t="s">
        <v>75</v>
      </c>
      <c r="BG478">
        <v>0</v>
      </c>
      <c r="BH478">
        <v>0</v>
      </c>
      <c r="BI478" s="1" t="s">
        <v>88</v>
      </c>
      <c r="BJ478">
        <v>1</v>
      </c>
      <c r="BK478" s="1" t="s">
        <v>89</v>
      </c>
      <c r="BL478" t="s">
        <v>91</v>
      </c>
      <c r="BM478" s="1" t="s">
        <v>164</v>
      </c>
      <c r="BN478" s="1" t="s">
        <v>110</v>
      </c>
      <c r="BO478" s="1" t="s">
        <v>165</v>
      </c>
      <c r="BP478" s="1" t="s">
        <v>91</v>
      </c>
      <c r="BQ478" t="s">
        <v>91</v>
      </c>
      <c r="BR478" s="3"/>
      <c r="BS478" s="3"/>
      <c r="BT478" t="s">
        <v>91</v>
      </c>
      <c r="BU478" t="s">
        <v>91</v>
      </c>
      <c r="BV478">
        <v>1</v>
      </c>
      <c r="BW478" s="1" t="s">
        <v>2814</v>
      </c>
    </row>
    <row r="479" spans="1:75" x14ac:dyDescent="0.35">
      <c r="A479">
        <v>156724</v>
      </c>
      <c r="B479" s="1" t="s">
        <v>75</v>
      </c>
      <c r="C479">
        <v>80</v>
      </c>
      <c r="D479">
        <v>11121001</v>
      </c>
      <c r="E479">
        <v>121001</v>
      </c>
      <c r="F479" s="1" t="s">
        <v>76</v>
      </c>
      <c r="G479" s="1" t="s">
        <v>2815</v>
      </c>
      <c r="H479">
        <v>0</v>
      </c>
      <c r="I479" s="1" t="s">
        <v>78</v>
      </c>
      <c r="J479" s="1" t="s">
        <v>2816</v>
      </c>
      <c r="K479" s="1" t="s">
        <v>2817</v>
      </c>
      <c r="L479" t="s">
        <v>91</v>
      </c>
      <c r="M479" t="s">
        <v>91</v>
      </c>
      <c r="N479" s="1" t="s">
        <v>2818</v>
      </c>
      <c r="O479" t="s">
        <v>91</v>
      </c>
      <c r="P479" s="1" t="s">
        <v>2819</v>
      </c>
      <c r="Q479" s="1" t="s">
        <v>312</v>
      </c>
      <c r="R479" s="1" t="s">
        <v>91</v>
      </c>
      <c r="T479">
        <v>99725000</v>
      </c>
      <c r="U479" s="1" t="s">
        <v>108</v>
      </c>
      <c r="V479" s="1" t="s">
        <v>2820</v>
      </c>
      <c r="W479" s="1" t="s">
        <v>157</v>
      </c>
      <c r="X479">
        <v>54</v>
      </c>
      <c r="Y479">
        <v>996768960</v>
      </c>
      <c r="Z479" t="s">
        <v>91</v>
      </c>
      <c r="AA479" t="s">
        <v>91</v>
      </c>
      <c r="AB479" t="s">
        <v>91</v>
      </c>
      <c r="AC479" t="s">
        <v>91</v>
      </c>
      <c r="AD479" t="s">
        <v>91</v>
      </c>
      <c r="AE479" t="s">
        <v>91</v>
      </c>
      <c r="AF479" t="s">
        <v>91</v>
      </c>
      <c r="AG479" s="1" t="s">
        <v>91</v>
      </c>
      <c r="AH479" s="1" t="s">
        <v>91</v>
      </c>
      <c r="AI479" t="s">
        <v>91</v>
      </c>
      <c r="AM479" t="s">
        <v>91</v>
      </c>
      <c r="AN479" t="s">
        <v>91</v>
      </c>
      <c r="AO479" t="s">
        <v>91</v>
      </c>
      <c r="AP479" t="s">
        <v>91</v>
      </c>
      <c r="AQ479" s="1" t="s">
        <v>91</v>
      </c>
      <c r="AR479" s="1" t="s">
        <v>91</v>
      </c>
      <c r="AS479" s="1" t="s">
        <v>91</v>
      </c>
      <c r="AT479" s="1" t="s">
        <v>91</v>
      </c>
      <c r="AU479" s="1" t="s">
        <v>91</v>
      </c>
      <c r="AV479" t="s">
        <v>91</v>
      </c>
      <c r="AW479" t="s">
        <v>91</v>
      </c>
      <c r="AX479" t="s">
        <v>91</v>
      </c>
      <c r="AY479" t="s">
        <v>91</v>
      </c>
      <c r="AZ479" t="s">
        <v>91</v>
      </c>
      <c r="BA479" t="s">
        <v>91</v>
      </c>
      <c r="BB479" s="2">
        <v>45113.505416666667</v>
      </c>
      <c r="BC479" s="2"/>
      <c r="BD479" t="s">
        <v>91</v>
      </c>
      <c r="BF479" s="1" t="s">
        <v>75</v>
      </c>
      <c r="BI479" s="1" t="s">
        <v>88</v>
      </c>
      <c r="BJ479">
        <v>1</v>
      </c>
      <c r="BK479" s="1" t="s">
        <v>89</v>
      </c>
      <c r="BL479" t="s">
        <v>91</v>
      </c>
      <c r="BM479" s="1" t="s">
        <v>91</v>
      </c>
      <c r="BN479" s="1" t="s">
        <v>91</v>
      </c>
      <c r="BO479" s="1" t="s">
        <v>91</v>
      </c>
      <c r="BP479" s="1" t="s">
        <v>91</v>
      </c>
      <c r="BQ479" t="s">
        <v>91</v>
      </c>
      <c r="BR479" s="3">
        <v>45113</v>
      </c>
      <c r="BS479" s="3"/>
      <c r="BT479" t="s">
        <v>91</v>
      </c>
      <c r="BU479" t="s">
        <v>91</v>
      </c>
      <c r="BW479" s="1" t="s">
        <v>90</v>
      </c>
    </row>
    <row r="480" spans="1:75" x14ac:dyDescent="0.35">
      <c r="A480">
        <v>144646</v>
      </c>
      <c r="B480" s="1" t="s">
        <v>75</v>
      </c>
      <c r="C480">
        <v>80</v>
      </c>
      <c r="D480">
        <v>11121001</v>
      </c>
      <c r="E480">
        <v>121001</v>
      </c>
      <c r="F480" s="1" t="s">
        <v>76</v>
      </c>
      <c r="G480" s="1" t="s">
        <v>2821</v>
      </c>
      <c r="I480" s="1" t="s">
        <v>78</v>
      </c>
      <c r="J480" s="1" t="s">
        <v>2822</v>
      </c>
      <c r="K480" s="1" t="s">
        <v>2823</v>
      </c>
      <c r="L480" t="s">
        <v>91</v>
      </c>
      <c r="M480" t="s">
        <v>91</v>
      </c>
      <c r="N480" s="1" t="s">
        <v>2824</v>
      </c>
      <c r="O480" t="s">
        <v>91</v>
      </c>
      <c r="P480" s="1" t="s">
        <v>2825</v>
      </c>
      <c r="Q480" s="1" t="s">
        <v>2826</v>
      </c>
      <c r="R480" s="1" t="s">
        <v>91</v>
      </c>
      <c r="T480">
        <v>89211485</v>
      </c>
      <c r="U480" s="1" t="s">
        <v>595</v>
      </c>
      <c r="V480" s="1" t="s">
        <v>100</v>
      </c>
      <c r="W480" s="1" t="s">
        <v>87</v>
      </c>
      <c r="X480">
        <v>47</v>
      </c>
      <c r="Y480">
        <v>34262578</v>
      </c>
      <c r="Z480" t="s">
        <v>91</v>
      </c>
      <c r="AA480" t="s">
        <v>91</v>
      </c>
      <c r="AB480" t="s">
        <v>91</v>
      </c>
      <c r="AC480" t="s">
        <v>91</v>
      </c>
      <c r="AD480" t="s">
        <v>91</v>
      </c>
      <c r="AE480" t="s">
        <v>91</v>
      </c>
      <c r="AF480" t="s">
        <v>91</v>
      </c>
      <c r="AG480" s="1" t="s">
        <v>91</v>
      </c>
      <c r="AH480" s="1" t="s">
        <v>91</v>
      </c>
      <c r="AI480" t="s">
        <v>91</v>
      </c>
      <c r="AM480" t="s">
        <v>91</v>
      </c>
      <c r="AN480" t="s">
        <v>91</v>
      </c>
      <c r="AO480" t="s">
        <v>91</v>
      </c>
      <c r="AP480" t="s">
        <v>91</v>
      </c>
      <c r="AQ480" s="1" t="s">
        <v>91</v>
      </c>
      <c r="AR480" s="1" t="s">
        <v>91</v>
      </c>
      <c r="AS480" s="1" t="s">
        <v>91</v>
      </c>
      <c r="AT480" s="1" t="s">
        <v>91</v>
      </c>
      <c r="AU480" s="1" t="s">
        <v>91</v>
      </c>
      <c r="AV480" t="s">
        <v>91</v>
      </c>
      <c r="AW480" t="s">
        <v>91</v>
      </c>
      <c r="AX480" t="s">
        <v>91</v>
      </c>
      <c r="AY480" t="s">
        <v>91</v>
      </c>
      <c r="AZ480" t="s">
        <v>91</v>
      </c>
      <c r="BA480" t="s">
        <v>91</v>
      </c>
      <c r="BB480" s="2"/>
      <c r="BC480" s="2"/>
      <c r="BD480" t="s">
        <v>91</v>
      </c>
      <c r="BF480" s="1" t="s">
        <v>75</v>
      </c>
      <c r="BI480" s="1" t="s">
        <v>88</v>
      </c>
      <c r="BJ480">
        <v>1</v>
      </c>
      <c r="BK480" s="1" t="s">
        <v>89</v>
      </c>
      <c r="BL480" t="s">
        <v>91</v>
      </c>
      <c r="BM480" s="1" t="s">
        <v>109</v>
      </c>
      <c r="BN480" s="1" t="s">
        <v>110</v>
      </c>
      <c r="BO480" s="1" t="s">
        <v>180</v>
      </c>
      <c r="BP480" s="1" t="s">
        <v>91</v>
      </c>
      <c r="BQ480" t="s">
        <v>91</v>
      </c>
      <c r="BR480" s="3"/>
      <c r="BS480" s="3"/>
      <c r="BT480" t="s">
        <v>91</v>
      </c>
      <c r="BU480" t="s">
        <v>91</v>
      </c>
      <c r="BV480">
        <v>9</v>
      </c>
      <c r="BW480" s="1" t="s">
        <v>961</v>
      </c>
    </row>
    <row r="481" spans="1:75" x14ac:dyDescent="0.35">
      <c r="A481">
        <v>127562</v>
      </c>
      <c r="B481" s="1" t="s">
        <v>75</v>
      </c>
      <c r="C481">
        <v>80</v>
      </c>
      <c r="D481">
        <v>11121001</v>
      </c>
      <c r="E481">
        <v>121001</v>
      </c>
      <c r="F481" s="1" t="s">
        <v>76</v>
      </c>
      <c r="G481" s="1" t="s">
        <v>2827</v>
      </c>
      <c r="H481">
        <v>0</v>
      </c>
      <c r="I481" s="1" t="s">
        <v>78</v>
      </c>
      <c r="J481" s="1" t="s">
        <v>2828</v>
      </c>
      <c r="K481" s="1" t="s">
        <v>2829</v>
      </c>
      <c r="L481" t="s">
        <v>91</v>
      </c>
      <c r="M481" t="s">
        <v>91</v>
      </c>
      <c r="N481" s="1" t="s">
        <v>91</v>
      </c>
      <c r="O481" t="s">
        <v>91</v>
      </c>
      <c r="P481" s="1" t="s">
        <v>2221</v>
      </c>
      <c r="Q481" s="1" t="s">
        <v>714</v>
      </c>
      <c r="R481" s="1" t="s">
        <v>2830</v>
      </c>
      <c r="S481">
        <v>1277</v>
      </c>
      <c r="T481">
        <v>89201420</v>
      </c>
      <c r="U481" s="1" t="s">
        <v>108</v>
      </c>
      <c r="V481" s="1" t="s">
        <v>100</v>
      </c>
      <c r="W481" s="1" t="s">
        <v>87</v>
      </c>
      <c r="X481">
        <v>47</v>
      </c>
      <c r="Y481">
        <v>30274512</v>
      </c>
      <c r="Z481" t="s">
        <v>91</v>
      </c>
      <c r="AA481" t="s">
        <v>91</v>
      </c>
      <c r="AB481" t="s">
        <v>91</v>
      </c>
      <c r="AC481" t="s">
        <v>91</v>
      </c>
      <c r="AD481" t="s">
        <v>91</v>
      </c>
      <c r="AE481" t="s">
        <v>91</v>
      </c>
      <c r="AF481" t="s">
        <v>91</v>
      </c>
      <c r="AG481" s="1" t="s">
        <v>91</v>
      </c>
      <c r="AH481" s="1" t="s">
        <v>91</v>
      </c>
      <c r="AI481" t="s">
        <v>91</v>
      </c>
      <c r="AM481" t="s">
        <v>91</v>
      </c>
      <c r="AN481" t="s">
        <v>91</v>
      </c>
      <c r="AO481" t="s">
        <v>91</v>
      </c>
      <c r="AP481" t="s">
        <v>91</v>
      </c>
      <c r="AQ481" s="1" t="s">
        <v>91</v>
      </c>
      <c r="AR481" s="1" t="s">
        <v>91</v>
      </c>
      <c r="AS481" s="1" t="s">
        <v>91</v>
      </c>
      <c r="AT481" s="1" t="s">
        <v>91</v>
      </c>
      <c r="AU481" s="1" t="s">
        <v>91</v>
      </c>
      <c r="AV481" t="s">
        <v>91</v>
      </c>
      <c r="AW481" t="s">
        <v>91</v>
      </c>
      <c r="AX481" t="s">
        <v>91</v>
      </c>
      <c r="AY481" t="s">
        <v>91</v>
      </c>
      <c r="AZ481" t="s">
        <v>91</v>
      </c>
      <c r="BA481" t="s">
        <v>91</v>
      </c>
      <c r="BB481" s="2">
        <v>44111.380995370368</v>
      </c>
      <c r="BC481" s="2"/>
      <c r="BD481" t="s">
        <v>91</v>
      </c>
      <c r="BF481" s="1" t="s">
        <v>75</v>
      </c>
      <c r="BI481" s="1" t="s">
        <v>88</v>
      </c>
      <c r="BJ481">
        <v>1</v>
      </c>
      <c r="BK481" s="1" t="s">
        <v>89</v>
      </c>
      <c r="BL481" t="s">
        <v>91</v>
      </c>
      <c r="BM481" s="1" t="s">
        <v>109</v>
      </c>
      <c r="BN481" s="1" t="s">
        <v>110</v>
      </c>
      <c r="BO481" s="1" t="s">
        <v>165</v>
      </c>
      <c r="BP481" s="1" t="s">
        <v>91</v>
      </c>
      <c r="BQ481" t="s">
        <v>91</v>
      </c>
      <c r="BR481" s="3">
        <v>44111</v>
      </c>
      <c r="BS481" s="3"/>
      <c r="BT481" t="s">
        <v>91</v>
      </c>
      <c r="BU481" t="s">
        <v>91</v>
      </c>
      <c r="BV481">
        <v>3</v>
      </c>
      <c r="BW481" s="1" t="s">
        <v>90</v>
      </c>
    </row>
    <row r="482" spans="1:75" x14ac:dyDescent="0.35">
      <c r="A482">
        <v>157578</v>
      </c>
      <c r="B482" s="1" t="s">
        <v>75</v>
      </c>
      <c r="C482">
        <v>80</v>
      </c>
      <c r="D482">
        <v>11121001</v>
      </c>
      <c r="E482">
        <v>121001</v>
      </c>
      <c r="F482" s="1" t="s">
        <v>76</v>
      </c>
      <c r="G482" s="1" t="s">
        <v>2831</v>
      </c>
      <c r="H482">
        <v>0</v>
      </c>
      <c r="I482" s="1" t="s">
        <v>78</v>
      </c>
      <c r="J482" s="1" t="s">
        <v>2828</v>
      </c>
      <c r="K482" s="1" t="s">
        <v>2832</v>
      </c>
      <c r="L482" t="s">
        <v>91</v>
      </c>
      <c r="M482" t="s">
        <v>91</v>
      </c>
      <c r="N482" s="1" t="s">
        <v>91</v>
      </c>
      <c r="O482" t="s">
        <v>91</v>
      </c>
      <c r="P482" s="1" t="s">
        <v>2833</v>
      </c>
      <c r="Q482" s="1" t="s">
        <v>2834</v>
      </c>
      <c r="R482" s="1" t="s">
        <v>2835</v>
      </c>
      <c r="S482">
        <v>1278</v>
      </c>
      <c r="T482">
        <v>89204060</v>
      </c>
      <c r="U482" s="1" t="s">
        <v>418</v>
      </c>
      <c r="V482" s="1" t="s">
        <v>100</v>
      </c>
      <c r="W482" s="1" t="s">
        <v>87</v>
      </c>
      <c r="X482">
        <v>47</v>
      </c>
      <c r="Y482">
        <v>30273425</v>
      </c>
      <c r="Z482" t="s">
        <v>91</v>
      </c>
      <c r="AA482" t="s">
        <v>91</v>
      </c>
      <c r="AB482" t="s">
        <v>91</v>
      </c>
      <c r="AC482" t="s">
        <v>91</v>
      </c>
      <c r="AD482" t="s">
        <v>91</v>
      </c>
      <c r="AE482" t="s">
        <v>91</v>
      </c>
      <c r="AF482" t="s">
        <v>91</v>
      </c>
      <c r="AG482" s="1" t="s">
        <v>91</v>
      </c>
      <c r="AH482" s="1" t="s">
        <v>91</v>
      </c>
      <c r="AI482" t="s">
        <v>91</v>
      </c>
      <c r="AM482" t="s">
        <v>91</v>
      </c>
      <c r="AN482" t="s">
        <v>91</v>
      </c>
      <c r="AO482" t="s">
        <v>91</v>
      </c>
      <c r="AP482" t="s">
        <v>91</v>
      </c>
      <c r="AQ482" s="1" t="s">
        <v>91</v>
      </c>
      <c r="AR482" s="1" t="s">
        <v>91</v>
      </c>
      <c r="AS482" s="1" t="s">
        <v>91</v>
      </c>
      <c r="AT482" s="1" t="s">
        <v>91</v>
      </c>
      <c r="AU482" s="1" t="s">
        <v>91</v>
      </c>
      <c r="AV482" t="s">
        <v>91</v>
      </c>
      <c r="AW482" t="s">
        <v>91</v>
      </c>
      <c r="AX482" t="s">
        <v>91</v>
      </c>
      <c r="AY482" t="s">
        <v>91</v>
      </c>
      <c r="AZ482" t="s">
        <v>91</v>
      </c>
      <c r="BA482" t="s">
        <v>91</v>
      </c>
      <c r="BB482" s="2">
        <v>45118.093391203707</v>
      </c>
      <c r="BC482" s="2"/>
      <c r="BD482" t="s">
        <v>91</v>
      </c>
      <c r="BF482" s="1" t="s">
        <v>75</v>
      </c>
      <c r="BI482" s="1" t="s">
        <v>88</v>
      </c>
      <c r="BJ482">
        <v>1</v>
      </c>
      <c r="BK482" s="1" t="s">
        <v>89</v>
      </c>
      <c r="BL482" t="s">
        <v>91</v>
      </c>
      <c r="BM482" s="1" t="s">
        <v>91</v>
      </c>
      <c r="BN482" s="1" t="s">
        <v>91</v>
      </c>
      <c r="BO482" s="1" t="s">
        <v>91</v>
      </c>
      <c r="BP482" s="1" t="s">
        <v>91</v>
      </c>
      <c r="BQ482" t="s">
        <v>91</v>
      </c>
      <c r="BR482" s="3">
        <v>45118</v>
      </c>
      <c r="BS482" s="3"/>
      <c r="BT482" t="s">
        <v>91</v>
      </c>
      <c r="BU482" t="s">
        <v>91</v>
      </c>
      <c r="BW482" s="1" t="s">
        <v>90</v>
      </c>
    </row>
    <row r="483" spans="1:75" x14ac:dyDescent="0.35">
      <c r="A483">
        <v>157579</v>
      </c>
      <c r="B483" s="1" t="s">
        <v>75</v>
      </c>
      <c r="C483">
        <v>80</v>
      </c>
      <c r="D483">
        <v>11121001</v>
      </c>
      <c r="E483">
        <v>121001</v>
      </c>
      <c r="F483" s="1" t="s">
        <v>76</v>
      </c>
      <c r="G483" s="1" t="s">
        <v>2836</v>
      </c>
      <c r="H483">
        <v>0</v>
      </c>
      <c r="I483" s="1" t="s">
        <v>78</v>
      </c>
      <c r="J483" s="1" t="s">
        <v>2828</v>
      </c>
      <c r="K483" s="1" t="s">
        <v>2837</v>
      </c>
      <c r="L483" t="s">
        <v>91</v>
      </c>
      <c r="M483" t="s">
        <v>91</v>
      </c>
      <c r="N483" s="1" t="s">
        <v>91</v>
      </c>
      <c r="O483" t="s">
        <v>91</v>
      </c>
      <c r="P483" s="1" t="s">
        <v>867</v>
      </c>
      <c r="Q483" s="1" t="s">
        <v>2838</v>
      </c>
      <c r="R483" s="1" t="s">
        <v>91</v>
      </c>
      <c r="S483">
        <v>1277</v>
      </c>
      <c r="T483">
        <v>89201400</v>
      </c>
      <c r="U483" s="1" t="s">
        <v>108</v>
      </c>
      <c r="V483" s="1" t="s">
        <v>100</v>
      </c>
      <c r="W483" s="1" t="s">
        <v>87</v>
      </c>
      <c r="X483">
        <v>48</v>
      </c>
      <c r="Y483">
        <v>30273426</v>
      </c>
      <c r="Z483" t="s">
        <v>91</v>
      </c>
      <c r="AA483" t="s">
        <v>91</v>
      </c>
      <c r="AB483" t="s">
        <v>91</v>
      </c>
      <c r="AC483" t="s">
        <v>91</v>
      </c>
      <c r="AD483" t="s">
        <v>91</v>
      </c>
      <c r="AE483" t="s">
        <v>91</v>
      </c>
      <c r="AF483" t="s">
        <v>91</v>
      </c>
      <c r="AG483" s="1" t="s">
        <v>91</v>
      </c>
      <c r="AH483" s="1" t="s">
        <v>91</v>
      </c>
      <c r="AI483" t="s">
        <v>91</v>
      </c>
      <c r="AM483" t="s">
        <v>91</v>
      </c>
      <c r="AN483" t="s">
        <v>91</v>
      </c>
      <c r="AO483" t="s">
        <v>91</v>
      </c>
      <c r="AP483" t="s">
        <v>91</v>
      </c>
      <c r="AQ483" s="1" t="s">
        <v>91</v>
      </c>
      <c r="AR483" s="1" t="s">
        <v>91</v>
      </c>
      <c r="AS483" s="1" t="s">
        <v>91</v>
      </c>
      <c r="AT483" s="1" t="s">
        <v>91</v>
      </c>
      <c r="AU483" s="1" t="s">
        <v>91</v>
      </c>
      <c r="AV483" t="s">
        <v>91</v>
      </c>
      <c r="AW483" t="s">
        <v>91</v>
      </c>
      <c r="AX483" t="s">
        <v>91</v>
      </c>
      <c r="AY483" t="s">
        <v>91</v>
      </c>
      <c r="AZ483" t="s">
        <v>91</v>
      </c>
      <c r="BA483" t="s">
        <v>91</v>
      </c>
      <c r="BB483" s="2">
        <v>45118.093391203707</v>
      </c>
      <c r="BC483" s="2"/>
      <c r="BD483" t="s">
        <v>91</v>
      </c>
      <c r="BF483" s="1" t="s">
        <v>75</v>
      </c>
      <c r="BI483" s="1" t="s">
        <v>88</v>
      </c>
      <c r="BJ483">
        <v>1</v>
      </c>
      <c r="BK483" s="1" t="s">
        <v>89</v>
      </c>
      <c r="BL483" t="s">
        <v>91</v>
      </c>
      <c r="BM483" s="1" t="s">
        <v>91</v>
      </c>
      <c r="BN483" s="1" t="s">
        <v>91</v>
      </c>
      <c r="BO483" s="1" t="s">
        <v>91</v>
      </c>
      <c r="BP483" s="1" t="s">
        <v>91</v>
      </c>
      <c r="BQ483" t="s">
        <v>91</v>
      </c>
      <c r="BR483" s="3">
        <v>45118</v>
      </c>
      <c r="BS483" s="3"/>
      <c r="BT483" t="s">
        <v>91</v>
      </c>
      <c r="BU483" t="s">
        <v>91</v>
      </c>
      <c r="BW483" s="1" t="s">
        <v>90</v>
      </c>
    </row>
    <row r="484" spans="1:75" x14ac:dyDescent="0.35">
      <c r="A484">
        <v>769</v>
      </c>
      <c r="B484" s="1" t="s">
        <v>75</v>
      </c>
      <c r="C484">
        <v>80</v>
      </c>
      <c r="D484">
        <v>11121001</v>
      </c>
      <c r="E484">
        <v>121001</v>
      </c>
      <c r="F484" s="1" t="s">
        <v>76</v>
      </c>
      <c r="G484" s="1" t="s">
        <v>2839</v>
      </c>
      <c r="I484" s="1" t="s">
        <v>78</v>
      </c>
      <c r="J484" s="1" t="s">
        <v>2840</v>
      </c>
      <c r="K484" s="1" t="s">
        <v>2841</v>
      </c>
      <c r="L484" t="s">
        <v>91</v>
      </c>
      <c r="M484" t="s">
        <v>91</v>
      </c>
      <c r="N484" s="1" t="s">
        <v>2842</v>
      </c>
      <c r="O484" t="s">
        <v>91</v>
      </c>
      <c r="P484" s="1" t="s">
        <v>252</v>
      </c>
      <c r="Q484" s="1" t="s">
        <v>1332</v>
      </c>
      <c r="R484" s="1" t="s">
        <v>2843</v>
      </c>
      <c r="S484">
        <v>1277</v>
      </c>
      <c r="T484">
        <v>89201330</v>
      </c>
      <c r="U484" s="1" t="s">
        <v>108</v>
      </c>
      <c r="V484" s="1" t="s">
        <v>100</v>
      </c>
      <c r="W484" s="1" t="s">
        <v>87</v>
      </c>
      <c r="X484">
        <v>47</v>
      </c>
      <c r="Y484">
        <v>30255477</v>
      </c>
      <c r="Z484" t="s">
        <v>91</v>
      </c>
      <c r="AA484" t="s">
        <v>91</v>
      </c>
      <c r="AB484" t="s">
        <v>91</v>
      </c>
      <c r="AC484" t="s">
        <v>91</v>
      </c>
      <c r="AD484" t="s">
        <v>91</v>
      </c>
      <c r="AE484" t="s">
        <v>91</v>
      </c>
      <c r="AF484" t="s">
        <v>91</v>
      </c>
      <c r="AG484" s="1" t="s">
        <v>91</v>
      </c>
      <c r="AH484" s="1" t="s">
        <v>91</v>
      </c>
      <c r="AI484" t="s">
        <v>91</v>
      </c>
      <c r="AJ484">
        <v>0</v>
      </c>
      <c r="AK484">
        <v>0</v>
      </c>
      <c r="AL484">
        <v>0</v>
      </c>
      <c r="AM484" t="s">
        <v>91</v>
      </c>
      <c r="AN484" t="s">
        <v>91</v>
      </c>
      <c r="AO484" t="s">
        <v>91</v>
      </c>
      <c r="AP484" t="s">
        <v>91</v>
      </c>
      <c r="AQ484" s="1" t="s">
        <v>91</v>
      </c>
      <c r="AR484" s="1" t="s">
        <v>91</v>
      </c>
      <c r="AS484" s="1" t="s">
        <v>91</v>
      </c>
      <c r="AT484" s="1" t="s">
        <v>91</v>
      </c>
      <c r="AU484" s="1" t="s">
        <v>91</v>
      </c>
      <c r="AV484" t="s">
        <v>91</v>
      </c>
      <c r="AW484" t="s">
        <v>91</v>
      </c>
      <c r="AX484" t="s">
        <v>91</v>
      </c>
      <c r="AY484" t="s">
        <v>91</v>
      </c>
      <c r="AZ484" t="s">
        <v>91</v>
      </c>
      <c r="BA484" t="s">
        <v>91</v>
      </c>
      <c r="BB484" s="2">
        <v>43308.392939814818</v>
      </c>
      <c r="BC484" s="2"/>
      <c r="BD484" t="s">
        <v>91</v>
      </c>
      <c r="BE484">
        <v>769</v>
      </c>
      <c r="BF484" s="1" t="s">
        <v>75</v>
      </c>
      <c r="BG484">
        <v>0</v>
      </c>
      <c r="BH484">
        <v>0</v>
      </c>
      <c r="BI484" s="1" t="s">
        <v>88</v>
      </c>
      <c r="BJ484">
        <v>1</v>
      </c>
      <c r="BK484" s="1" t="s">
        <v>89</v>
      </c>
      <c r="BL484" t="s">
        <v>91</v>
      </c>
      <c r="BM484" s="1" t="s">
        <v>109</v>
      </c>
      <c r="BN484" s="1" t="s">
        <v>110</v>
      </c>
      <c r="BO484" s="1" t="s">
        <v>128</v>
      </c>
      <c r="BP484" s="1" t="s">
        <v>91</v>
      </c>
      <c r="BQ484" t="s">
        <v>91</v>
      </c>
      <c r="BR484" s="3">
        <v>43308</v>
      </c>
      <c r="BS484" s="3"/>
      <c r="BT484" t="s">
        <v>91</v>
      </c>
      <c r="BU484" t="s">
        <v>91</v>
      </c>
      <c r="BV484">
        <v>3</v>
      </c>
      <c r="BW484" s="1" t="s">
        <v>540</v>
      </c>
    </row>
    <row r="485" spans="1:75" x14ac:dyDescent="0.35">
      <c r="A485">
        <v>144573</v>
      </c>
      <c r="B485" s="1" t="s">
        <v>75</v>
      </c>
      <c r="C485">
        <v>80</v>
      </c>
      <c r="D485">
        <v>11121001</v>
      </c>
      <c r="E485">
        <v>121001</v>
      </c>
      <c r="F485" s="1" t="s">
        <v>76</v>
      </c>
      <c r="G485" s="1" t="s">
        <v>2844</v>
      </c>
      <c r="I485" s="1" t="s">
        <v>78</v>
      </c>
      <c r="J485" s="1" t="s">
        <v>2845</v>
      </c>
      <c r="K485" s="1" t="s">
        <v>2846</v>
      </c>
      <c r="L485" t="s">
        <v>91</v>
      </c>
      <c r="M485" t="s">
        <v>91</v>
      </c>
      <c r="N485" s="1" t="s">
        <v>2847</v>
      </c>
      <c r="O485" t="s">
        <v>91</v>
      </c>
      <c r="P485" s="1" t="s">
        <v>125</v>
      </c>
      <c r="Q485" s="1" t="s">
        <v>2072</v>
      </c>
      <c r="R485" s="1" t="s">
        <v>91</v>
      </c>
      <c r="S485">
        <v>1277</v>
      </c>
      <c r="T485">
        <v>89201010</v>
      </c>
      <c r="U485" s="1" t="s">
        <v>108</v>
      </c>
      <c r="V485" s="1" t="s">
        <v>100</v>
      </c>
      <c r="W485" s="1" t="s">
        <v>87</v>
      </c>
      <c r="X485">
        <v>47</v>
      </c>
      <c r="Y485">
        <v>38045120</v>
      </c>
      <c r="Z485" t="s">
        <v>91</v>
      </c>
      <c r="AA485" t="s">
        <v>91</v>
      </c>
      <c r="AB485" t="s">
        <v>91</v>
      </c>
      <c r="AC485" t="s">
        <v>91</v>
      </c>
      <c r="AD485" t="s">
        <v>91</v>
      </c>
      <c r="AE485" t="s">
        <v>91</v>
      </c>
      <c r="AF485" t="s">
        <v>91</v>
      </c>
      <c r="AG485" s="1" t="s">
        <v>91</v>
      </c>
      <c r="AH485" s="1" t="s">
        <v>91</v>
      </c>
      <c r="AI485" t="s">
        <v>91</v>
      </c>
      <c r="AJ485">
        <v>0</v>
      </c>
      <c r="AK485">
        <v>0</v>
      </c>
      <c r="AL485">
        <v>0</v>
      </c>
      <c r="AM485" t="s">
        <v>91</v>
      </c>
      <c r="AN485" t="s">
        <v>91</v>
      </c>
      <c r="AO485" t="s">
        <v>91</v>
      </c>
      <c r="AP485" t="s">
        <v>91</v>
      </c>
      <c r="AQ485" s="1" t="s">
        <v>91</v>
      </c>
      <c r="AR485" s="1" t="s">
        <v>91</v>
      </c>
      <c r="AS485" s="1" t="s">
        <v>91</v>
      </c>
      <c r="AT485" s="1" t="s">
        <v>91</v>
      </c>
      <c r="AU485" s="1" t="s">
        <v>91</v>
      </c>
      <c r="AV485" t="s">
        <v>91</v>
      </c>
      <c r="AW485" t="s">
        <v>91</v>
      </c>
      <c r="AX485" t="s">
        <v>91</v>
      </c>
      <c r="AY485" t="s">
        <v>91</v>
      </c>
      <c r="AZ485" t="s">
        <v>91</v>
      </c>
      <c r="BA485" t="s">
        <v>91</v>
      </c>
      <c r="BB485" s="2"/>
      <c r="BC485" s="2"/>
      <c r="BD485" t="s">
        <v>91</v>
      </c>
      <c r="BF485" s="1" t="s">
        <v>75</v>
      </c>
      <c r="BG485">
        <v>0</v>
      </c>
      <c r="BH485">
        <v>0</v>
      </c>
      <c r="BI485" s="1" t="s">
        <v>88</v>
      </c>
      <c r="BJ485">
        <v>1</v>
      </c>
      <c r="BK485" s="1" t="s">
        <v>89</v>
      </c>
      <c r="BL485" t="s">
        <v>91</v>
      </c>
      <c r="BM485" s="1" t="s">
        <v>109</v>
      </c>
      <c r="BN485" s="1" t="s">
        <v>110</v>
      </c>
      <c r="BO485" s="1" t="s">
        <v>128</v>
      </c>
      <c r="BP485" s="1" t="s">
        <v>91</v>
      </c>
      <c r="BQ485" t="s">
        <v>91</v>
      </c>
      <c r="BR485" s="3"/>
      <c r="BS485" s="3"/>
      <c r="BT485" t="s">
        <v>91</v>
      </c>
      <c r="BU485" t="s">
        <v>91</v>
      </c>
      <c r="BV485">
        <v>7</v>
      </c>
      <c r="BW485" s="1" t="s">
        <v>120</v>
      </c>
    </row>
    <row r="486" spans="1:75" x14ac:dyDescent="0.35">
      <c r="A486">
        <v>156769</v>
      </c>
      <c r="B486" s="1" t="s">
        <v>75</v>
      </c>
      <c r="C486">
        <v>80</v>
      </c>
      <c r="D486">
        <v>11121001</v>
      </c>
      <c r="E486">
        <v>121001</v>
      </c>
      <c r="F486" s="1" t="s">
        <v>76</v>
      </c>
      <c r="G486" s="1" t="s">
        <v>2848</v>
      </c>
      <c r="H486">
        <v>0</v>
      </c>
      <c r="I486" s="1" t="s">
        <v>78</v>
      </c>
      <c r="J486" s="1" t="s">
        <v>2849</v>
      </c>
      <c r="K486" s="1" t="s">
        <v>2850</v>
      </c>
      <c r="L486" t="s">
        <v>91</v>
      </c>
      <c r="M486" t="s">
        <v>91</v>
      </c>
      <c r="N486" s="1" t="s">
        <v>2851</v>
      </c>
      <c r="O486" t="s">
        <v>91</v>
      </c>
      <c r="P486" s="1" t="s">
        <v>1119</v>
      </c>
      <c r="Q486" s="1" t="s">
        <v>2852</v>
      </c>
      <c r="R486" s="1" t="s">
        <v>2853</v>
      </c>
      <c r="S486">
        <v>1280</v>
      </c>
      <c r="T486">
        <v>89270000</v>
      </c>
      <c r="U486" s="1" t="s">
        <v>108</v>
      </c>
      <c r="V486" s="1" t="s">
        <v>1103</v>
      </c>
      <c r="W486" s="1" t="s">
        <v>87</v>
      </c>
      <c r="X486">
        <v>47</v>
      </c>
      <c r="Y486">
        <v>33734023</v>
      </c>
      <c r="Z486" t="s">
        <v>91</v>
      </c>
      <c r="AA486" t="s">
        <v>91</v>
      </c>
      <c r="AB486" t="s">
        <v>91</v>
      </c>
      <c r="AC486" t="s">
        <v>91</v>
      </c>
      <c r="AD486" t="s">
        <v>91</v>
      </c>
      <c r="AE486" t="s">
        <v>91</v>
      </c>
      <c r="AF486" t="s">
        <v>91</v>
      </c>
      <c r="AG486" s="1" t="s">
        <v>91</v>
      </c>
      <c r="AH486" s="1" t="s">
        <v>91</v>
      </c>
      <c r="AI486" t="s">
        <v>91</v>
      </c>
      <c r="AM486" t="s">
        <v>91</v>
      </c>
      <c r="AN486" t="s">
        <v>91</v>
      </c>
      <c r="AO486" t="s">
        <v>91</v>
      </c>
      <c r="AP486" t="s">
        <v>91</v>
      </c>
      <c r="AQ486" s="1" t="s">
        <v>91</v>
      </c>
      <c r="AR486" s="1" t="s">
        <v>91</v>
      </c>
      <c r="AS486" s="1" t="s">
        <v>91</v>
      </c>
      <c r="AT486" s="1" t="s">
        <v>91</v>
      </c>
      <c r="AU486" s="1" t="s">
        <v>91</v>
      </c>
      <c r="AV486" t="s">
        <v>91</v>
      </c>
      <c r="AW486" t="s">
        <v>91</v>
      </c>
      <c r="AX486" t="s">
        <v>91</v>
      </c>
      <c r="AY486" t="s">
        <v>91</v>
      </c>
      <c r="AZ486" t="s">
        <v>91</v>
      </c>
      <c r="BA486" t="s">
        <v>91</v>
      </c>
      <c r="BB486" s="2">
        <v>45113.505416666667</v>
      </c>
      <c r="BC486" s="2"/>
      <c r="BD486" t="s">
        <v>91</v>
      </c>
      <c r="BF486" s="1" t="s">
        <v>75</v>
      </c>
      <c r="BI486" s="1" t="s">
        <v>88</v>
      </c>
      <c r="BJ486">
        <v>1</v>
      </c>
      <c r="BK486" s="1" t="s">
        <v>89</v>
      </c>
      <c r="BL486" t="s">
        <v>91</v>
      </c>
      <c r="BM486" s="1" t="s">
        <v>91</v>
      </c>
      <c r="BN486" s="1" t="s">
        <v>91</v>
      </c>
      <c r="BO486" s="1" t="s">
        <v>91</v>
      </c>
      <c r="BP486" s="1" t="s">
        <v>91</v>
      </c>
      <c r="BQ486" t="s">
        <v>91</v>
      </c>
      <c r="BR486" s="3">
        <v>45113</v>
      </c>
      <c r="BS486" s="3"/>
      <c r="BT486" t="s">
        <v>91</v>
      </c>
      <c r="BU486" t="s">
        <v>91</v>
      </c>
      <c r="BW486" s="1" t="s">
        <v>90</v>
      </c>
    </row>
    <row r="487" spans="1:75" x14ac:dyDescent="0.35">
      <c r="A487">
        <v>127631</v>
      </c>
      <c r="B487" s="1" t="s">
        <v>75</v>
      </c>
      <c r="C487">
        <v>80</v>
      </c>
      <c r="D487">
        <v>11121001</v>
      </c>
      <c r="E487">
        <v>121001</v>
      </c>
      <c r="F487" s="1" t="s">
        <v>76</v>
      </c>
      <c r="G487" s="1" t="s">
        <v>2854</v>
      </c>
      <c r="H487">
        <v>0</v>
      </c>
      <c r="I487" s="1" t="s">
        <v>78</v>
      </c>
      <c r="J487" s="1" t="s">
        <v>2855</v>
      </c>
      <c r="K487" s="1" t="s">
        <v>2856</v>
      </c>
      <c r="L487" t="s">
        <v>91</v>
      </c>
      <c r="M487" t="s">
        <v>91</v>
      </c>
      <c r="N487" s="1" t="s">
        <v>2857</v>
      </c>
      <c r="O487" t="s">
        <v>91</v>
      </c>
      <c r="P487" s="1" t="s">
        <v>1125</v>
      </c>
      <c r="Q487" s="1" t="s">
        <v>2858</v>
      </c>
      <c r="R487" s="1" t="s">
        <v>2859</v>
      </c>
      <c r="S487">
        <v>1280</v>
      </c>
      <c r="T487">
        <v>89275000</v>
      </c>
      <c r="U487" s="1" t="s">
        <v>108</v>
      </c>
      <c r="V487" s="1" t="s">
        <v>1128</v>
      </c>
      <c r="W487" s="1" t="s">
        <v>87</v>
      </c>
      <c r="X487">
        <v>47</v>
      </c>
      <c r="Y487">
        <v>991758293</v>
      </c>
      <c r="Z487" t="s">
        <v>91</v>
      </c>
      <c r="AA487" t="s">
        <v>91</v>
      </c>
      <c r="AB487" t="s">
        <v>91</v>
      </c>
      <c r="AC487" t="s">
        <v>91</v>
      </c>
      <c r="AD487" t="s">
        <v>91</v>
      </c>
      <c r="AE487" t="s">
        <v>91</v>
      </c>
      <c r="AF487" t="s">
        <v>91</v>
      </c>
      <c r="AG487" s="1" t="s">
        <v>91</v>
      </c>
      <c r="AH487" s="1" t="s">
        <v>91</v>
      </c>
      <c r="AI487" t="s">
        <v>91</v>
      </c>
      <c r="AJ487">
        <v>0</v>
      </c>
      <c r="AK487">
        <v>0</v>
      </c>
      <c r="AL487">
        <v>0</v>
      </c>
      <c r="AM487" t="s">
        <v>91</v>
      </c>
      <c r="AN487" t="s">
        <v>91</v>
      </c>
      <c r="AO487" t="s">
        <v>91</v>
      </c>
      <c r="AP487" t="s">
        <v>91</v>
      </c>
      <c r="AQ487" s="1" t="s">
        <v>91</v>
      </c>
      <c r="AR487" s="1" t="s">
        <v>91</v>
      </c>
      <c r="AS487" s="1" t="s">
        <v>91</v>
      </c>
      <c r="AT487" s="1" t="s">
        <v>91</v>
      </c>
      <c r="AU487" s="1" t="s">
        <v>91</v>
      </c>
      <c r="AV487" t="s">
        <v>91</v>
      </c>
      <c r="AW487" t="s">
        <v>91</v>
      </c>
      <c r="AX487" t="s">
        <v>91</v>
      </c>
      <c r="AY487" t="s">
        <v>91</v>
      </c>
      <c r="AZ487" t="s">
        <v>91</v>
      </c>
      <c r="BA487" t="s">
        <v>91</v>
      </c>
      <c r="BB487" s="2">
        <v>44111.380995370368</v>
      </c>
      <c r="BC487" s="2"/>
      <c r="BD487" t="s">
        <v>91</v>
      </c>
      <c r="BF487" s="1" t="s">
        <v>75</v>
      </c>
      <c r="BG487">
        <v>0</v>
      </c>
      <c r="BH487">
        <v>0</v>
      </c>
      <c r="BI487" s="1" t="s">
        <v>88</v>
      </c>
      <c r="BJ487">
        <v>1</v>
      </c>
      <c r="BK487" s="1" t="s">
        <v>89</v>
      </c>
      <c r="BL487" t="s">
        <v>91</v>
      </c>
      <c r="BM487" s="1" t="s">
        <v>197</v>
      </c>
      <c r="BN487" s="1" t="s">
        <v>110</v>
      </c>
      <c r="BO487" s="1" t="s">
        <v>111</v>
      </c>
      <c r="BP487" s="1" t="s">
        <v>91</v>
      </c>
      <c r="BQ487" t="s">
        <v>91</v>
      </c>
      <c r="BR487" s="3">
        <v>44111</v>
      </c>
      <c r="BS487" s="3"/>
      <c r="BT487" t="s">
        <v>91</v>
      </c>
      <c r="BU487" t="s">
        <v>91</v>
      </c>
      <c r="BV487">
        <v>9</v>
      </c>
      <c r="BW487" s="1" t="s">
        <v>419</v>
      </c>
    </row>
    <row r="488" spans="1:75" x14ac:dyDescent="0.35">
      <c r="A488">
        <v>118740</v>
      </c>
      <c r="B488" s="1" t="s">
        <v>75</v>
      </c>
      <c r="C488">
        <v>80</v>
      </c>
      <c r="D488">
        <v>11121001</v>
      </c>
      <c r="E488">
        <v>121001</v>
      </c>
      <c r="F488" s="1" t="s">
        <v>76</v>
      </c>
      <c r="G488" s="1" t="s">
        <v>2860</v>
      </c>
      <c r="I488" s="1" t="s">
        <v>78</v>
      </c>
      <c r="J488" s="1" t="s">
        <v>2855</v>
      </c>
      <c r="K488" s="1" t="s">
        <v>2861</v>
      </c>
      <c r="L488" t="s">
        <v>91</v>
      </c>
      <c r="M488" t="s">
        <v>91</v>
      </c>
      <c r="N488" s="1" t="s">
        <v>2862</v>
      </c>
      <c r="O488" t="s">
        <v>91</v>
      </c>
      <c r="P488" s="1" t="s">
        <v>2863</v>
      </c>
      <c r="Q488" s="1" t="s">
        <v>2864</v>
      </c>
      <c r="R488" s="1" t="s">
        <v>370</v>
      </c>
      <c r="S488">
        <v>1280</v>
      </c>
      <c r="T488">
        <v>89260155</v>
      </c>
      <c r="U488" s="1" t="s">
        <v>1198</v>
      </c>
      <c r="V488" s="1" t="s">
        <v>1076</v>
      </c>
      <c r="W488" s="1" t="s">
        <v>87</v>
      </c>
      <c r="X488">
        <v>47</v>
      </c>
      <c r="Y488">
        <v>30552011</v>
      </c>
      <c r="Z488" t="s">
        <v>91</v>
      </c>
      <c r="AA488" t="s">
        <v>91</v>
      </c>
      <c r="AB488" t="s">
        <v>91</v>
      </c>
      <c r="AC488" t="s">
        <v>91</v>
      </c>
      <c r="AD488" t="s">
        <v>91</v>
      </c>
      <c r="AE488" t="s">
        <v>91</v>
      </c>
      <c r="AF488" t="s">
        <v>91</v>
      </c>
      <c r="AG488" s="1" t="s">
        <v>91</v>
      </c>
      <c r="AH488" s="1" t="s">
        <v>91</v>
      </c>
      <c r="AI488" t="s">
        <v>91</v>
      </c>
      <c r="AJ488">
        <v>0</v>
      </c>
      <c r="AK488">
        <v>0</v>
      </c>
      <c r="AL488">
        <v>0</v>
      </c>
      <c r="AM488" t="s">
        <v>91</v>
      </c>
      <c r="AN488" t="s">
        <v>91</v>
      </c>
      <c r="AO488" t="s">
        <v>91</v>
      </c>
      <c r="AP488" t="s">
        <v>91</v>
      </c>
      <c r="AQ488" s="1" t="s">
        <v>91</v>
      </c>
      <c r="AR488" s="1" t="s">
        <v>91</v>
      </c>
      <c r="AS488" s="1" t="s">
        <v>91</v>
      </c>
      <c r="AT488" s="1" t="s">
        <v>91</v>
      </c>
      <c r="AU488" s="1" t="s">
        <v>91</v>
      </c>
      <c r="AV488" t="s">
        <v>91</v>
      </c>
      <c r="AW488" t="s">
        <v>91</v>
      </c>
      <c r="AX488" t="s">
        <v>91</v>
      </c>
      <c r="AY488" t="s">
        <v>91</v>
      </c>
      <c r="AZ488" t="s">
        <v>91</v>
      </c>
      <c r="BA488" t="s">
        <v>91</v>
      </c>
      <c r="BB488" s="2"/>
      <c r="BC488" s="2"/>
      <c r="BD488" t="s">
        <v>91</v>
      </c>
      <c r="BF488" s="1" t="s">
        <v>75</v>
      </c>
      <c r="BG488">
        <v>0</v>
      </c>
      <c r="BH488">
        <v>0</v>
      </c>
      <c r="BI488" s="1" t="s">
        <v>88</v>
      </c>
      <c r="BJ488">
        <v>1</v>
      </c>
      <c r="BK488" s="1" t="s">
        <v>89</v>
      </c>
      <c r="BL488" t="s">
        <v>91</v>
      </c>
      <c r="BM488" s="1" t="s">
        <v>164</v>
      </c>
      <c r="BN488" s="1" t="s">
        <v>110</v>
      </c>
      <c r="BO488" s="1" t="s">
        <v>165</v>
      </c>
      <c r="BP488" s="1" t="s">
        <v>91</v>
      </c>
      <c r="BQ488" t="s">
        <v>91</v>
      </c>
      <c r="BR488" s="3"/>
      <c r="BS488" s="3"/>
      <c r="BT488" t="s">
        <v>91</v>
      </c>
      <c r="BU488" t="s">
        <v>91</v>
      </c>
      <c r="BV488">
        <v>7</v>
      </c>
      <c r="BW488" s="1" t="s">
        <v>419</v>
      </c>
    </row>
    <row r="489" spans="1:75" x14ac:dyDescent="0.35">
      <c r="A489">
        <v>1278</v>
      </c>
      <c r="B489" s="1" t="s">
        <v>75</v>
      </c>
      <c r="C489">
        <v>80</v>
      </c>
      <c r="D489">
        <v>11121001</v>
      </c>
      <c r="E489">
        <v>121001</v>
      </c>
      <c r="F489" s="1" t="s">
        <v>76</v>
      </c>
      <c r="G489" s="1" t="s">
        <v>2865</v>
      </c>
      <c r="I489" s="1" t="s">
        <v>78</v>
      </c>
      <c r="J489" s="1" t="s">
        <v>2855</v>
      </c>
      <c r="K489" s="1" t="s">
        <v>2866</v>
      </c>
      <c r="L489" t="s">
        <v>91</v>
      </c>
      <c r="M489" t="s">
        <v>91</v>
      </c>
      <c r="N489" s="1" t="s">
        <v>2867</v>
      </c>
      <c r="O489" t="s">
        <v>91</v>
      </c>
      <c r="P489" s="1" t="s">
        <v>260</v>
      </c>
      <c r="Q489" s="1" t="s">
        <v>2488</v>
      </c>
      <c r="R489" s="1" t="s">
        <v>820</v>
      </c>
      <c r="S489">
        <v>1280</v>
      </c>
      <c r="T489">
        <v>89251000</v>
      </c>
      <c r="U489" s="1" t="s">
        <v>108</v>
      </c>
      <c r="V489" s="1" t="s">
        <v>1076</v>
      </c>
      <c r="W489" s="1" t="s">
        <v>87</v>
      </c>
      <c r="X489">
        <v>47</v>
      </c>
      <c r="Y489">
        <v>30552010</v>
      </c>
      <c r="Z489" t="s">
        <v>91</v>
      </c>
      <c r="AA489" t="s">
        <v>91</v>
      </c>
      <c r="AB489" t="s">
        <v>91</v>
      </c>
      <c r="AC489" t="s">
        <v>91</v>
      </c>
      <c r="AD489" t="s">
        <v>91</v>
      </c>
      <c r="AE489" t="s">
        <v>91</v>
      </c>
      <c r="AF489" t="s">
        <v>91</v>
      </c>
      <c r="AG489" s="1" t="s">
        <v>146</v>
      </c>
      <c r="AH489" s="1" t="s">
        <v>91</v>
      </c>
      <c r="AI489" t="s">
        <v>91</v>
      </c>
      <c r="AJ489">
        <v>0</v>
      </c>
      <c r="AK489">
        <v>0</v>
      </c>
      <c r="AL489">
        <v>0</v>
      </c>
      <c r="AM489" t="s">
        <v>91</v>
      </c>
      <c r="AN489" t="s">
        <v>91</v>
      </c>
      <c r="AO489" t="s">
        <v>91</v>
      </c>
      <c r="AP489" t="s">
        <v>91</v>
      </c>
      <c r="AQ489" s="1" t="s">
        <v>147</v>
      </c>
      <c r="AR489" s="1" t="s">
        <v>147</v>
      </c>
      <c r="AS489" s="1" t="s">
        <v>147</v>
      </c>
      <c r="AT489" s="1" t="s">
        <v>147</v>
      </c>
      <c r="AU489" s="1" t="s">
        <v>147</v>
      </c>
      <c r="AV489" t="s">
        <v>91</v>
      </c>
      <c r="AW489" t="s">
        <v>91</v>
      </c>
      <c r="AX489" t="s">
        <v>91</v>
      </c>
      <c r="AY489" t="s">
        <v>91</v>
      </c>
      <c r="AZ489" t="s">
        <v>91</v>
      </c>
      <c r="BA489" t="s">
        <v>91</v>
      </c>
      <c r="BB489" s="2">
        <v>43308.393194444441</v>
      </c>
      <c r="BC489" s="2"/>
      <c r="BD489" t="s">
        <v>91</v>
      </c>
      <c r="BE489">
        <v>1278</v>
      </c>
      <c r="BF489" s="1" t="s">
        <v>75</v>
      </c>
      <c r="BG489">
        <v>0</v>
      </c>
      <c r="BH489">
        <v>0</v>
      </c>
      <c r="BI489" s="1" t="s">
        <v>88</v>
      </c>
      <c r="BJ489">
        <v>1</v>
      </c>
      <c r="BK489" s="1" t="s">
        <v>89</v>
      </c>
      <c r="BL489" t="s">
        <v>91</v>
      </c>
      <c r="BM489" s="1" t="s">
        <v>109</v>
      </c>
      <c r="BN489" s="1" t="s">
        <v>110</v>
      </c>
      <c r="BO489" s="1" t="s">
        <v>165</v>
      </c>
      <c r="BP489" s="1" t="s">
        <v>91</v>
      </c>
      <c r="BQ489" t="s">
        <v>91</v>
      </c>
      <c r="BR489" s="3">
        <v>43308</v>
      </c>
      <c r="BS489" s="3"/>
      <c r="BT489" t="s">
        <v>91</v>
      </c>
      <c r="BU489" t="s">
        <v>91</v>
      </c>
      <c r="BV489">
        <v>5</v>
      </c>
      <c r="BW489" s="1" t="s">
        <v>419</v>
      </c>
    </row>
    <row r="490" spans="1:75" x14ac:dyDescent="0.35">
      <c r="A490">
        <v>1281</v>
      </c>
      <c r="B490" s="1" t="s">
        <v>75</v>
      </c>
      <c r="C490">
        <v>80</v>
      </c>
      <c r="D490">
        <v>11121001</v>
      </c>
      <c r="E490">
        <v>121001</v>
      </c>
      <c r="F490" s="1" t="s">
        <v>76</v>
      </c>
      <c r="G490" s="1" t="s">
        <v>2868</v>
      </c>
      <c r="I490" s="1" t="s">
        <v>78</v>
      </c>
      <c r="J490" s="1" t="s">
        <v>2855</v>
      </c>
      <c r="K490" s="1" t="s">
        <v>2869</v>
      </c>
      <c r="L490" t="s">
        <v>91</v>
      </c>
      <c r="M490" t="s">
        <v>91</v>
      </c>
      <c r="N490" s="1" t="s">
        <v>2862</v>
      </c>
      <c r="O490" t="s">
        <v>91</v>
      </c>
      <c r="P490" s="1" t="s">
        <v>1142</v>
      </c>
      <c r="Q490" s="1" t="s">
        <v>1324</v>
      </c>
      <c r="R490" s="1" t="s">
        <v>370</v>
      </c>
      <c r="S490">
        <v>1280</v>
      </c>
      <c r="T490">
        <v>89251701</v>
      </c>
      <c r="U490" s="1" t="s">
        <v>108</v>
      </c>
      <c r="V490" s="1" t="s">
        <v>1076</v>
      </c>
      <c r="W490" s="1" t="s">
        <v>87</v>
      </c>
      <c r="X490">
        <v>47</v>
      </c>
      <c r="Y490">
        <v>30541212</v>
      </c>
      <c r="Z490" t="s">
        <v>91</v>
      </c>
      <c r="AA490" t="s">
        <v>91</v>
      </c>
      <c r="AB490" t="s">
        <v>91</v>
      </c>
      <c r="AC490" t="s">
        <v>91</v>
      </c>
      <c r="AD490" t="s">
        <v>91</v>
      </c>
      <c r="AE490" t="s">
        <v>91</v>
      </c>
      <c r="AF490" t="s">
        <v>91</v>
      </c>
      <c r="AG490" s="1" t="s">
        <v>91</v>
      </c>
      <c r="AH490" s="1" t="s">
        <v>91</v>
      </c>
      <c r="AI490" t="s">
        <v>91</v>
      </c>
      <c r="AJ490">
        <v>0</v>
      </c>
      <c r="AK490">
        <v>0</v>
      </c>
      <c r="AL490">
        <v>0</v>
      </c>
      <c r="AM490" t="s">
        <v>91</v>
      </c>
      <c r="AN490" t="s">
        <v>91</v>
      </c>
      <c r="AO490" t="s">
        <v>91</v>
      </c>
      <c r="AP490" t="s">
        <v>91</v>
      </c>
      <c r="AQ490" s="1" t="s">
        <v>91</v>
      </c>
      <c r="AR490" s="1" t="s">
        <v>91</v>
      </c>
      <c r="AS490" s="1" t="s">
        <v>91</v>
      </c>
      <c r="AT490" s="1" t="s">
        <v>91</v>
      </c>
      <c r="AU490" s="1" t="s">
        <v>91</v>
      </c>
      <c r="AV490" t="s">
        <v>91</v>
      </c>
      <c r="AW490" t="s">
        <v>91</v>
      </c>
      <c r="AX490" t="s">
        <v>91</v>
      </c>
      <c r="AY490" t="s">
        <v>91</v>
      </c>
      <c r="AZ490" t="s">
        <v>91</v>
      </c>
      <c r="BA490" t="s">
        <v>91</v>
      </c>
      <c r="BB490" s="2">
        <v>43308.393206018518</v>
      </c>
      <c r="BC490" s="2"/>
      <c r="BD490" t="s">
        <v>91</v>
      </c>
      <c r="BE490">
        <v>1281</v>
      </c>
      <c r="BF490" s="1" t="s">
        <v>75</v>
      </c>
      <c r="BG490">
        <v>0</v>
      </c>
      <c r="BH490">
        <v>0</v>
      </c>
      <c r="BI490" s="1" t="s">
        <v>88</v>
      </c>
      <c r="BJ490">
        <v>1</v>
      </c>
      <c r="BK490" s="1" t="s">
        <v>89</v>
      </c>
      <c r="BL490" t="s">
        <v>91</v>
      </c>
      <c r="BM490" s="1" t="s">
        <v>109</v>
      </c>
      <c r="BN490" s="1" t="s">
        <v>110</v>
      </c>
      <c r="BO490" s="1" t="s">
        <v>165</v>
      </c>
      <c r="BP490" s="1" t="s">
        <v>91</v>
      </c>
      <c r="BQ490" t="s">
        <v>91</v>
      </c>
      <c r="BR490" s="3">
        <v>43308</v>
      </c>
      <c r="BS490" s="3"/>
      <c r="BT490" t="s">
        <v>91</v>
      </c>
      <c r="BU490" t="s">
        <v>91</v>
      </c>
      <c r="BV490">
        <v>3</v>
      </c>
      <c r="BW490" s="1" t="s">
        <v>419</v>
      </c>
    </row>
    <row r="491" spans="1:75" x14ac:dyDescent="0.35">
      <c r="A491">
        <v>152737</v>
      </c>
      <c r="B491" s="1" t="s">
        <v>75</v>
      </c>
      <c r="C491">
        <v>80</v>
      </c>
      <c r="D491">
        <v>11121001</v>
      </c>
      <c r="E491">
        <v>121001</v>
      </c>
      <c r="F491" s="1" t="s">
        <v>76</v>
      </c>
      <c r="G491" s="1" t="s">
        <v>2870</v>
      </c>
      <c r="H491">
        <v>0</v>
      </c>
      <c r="I491" s="1" t="s">
        <v>78</v>
      </c>
      <c r="J491" s="1" t="s">
        <v>2871</v>
      </c>
      <c r="K491" s="1" t="s">
        <v>2872</v>
      </c>
      <c r="L491" t="s">
        <v>91</v>
      </c>
      <c r="M491" t="s">
        <v>91</v>
      </c>
      <c r="N491" s="1" t="s">
        <v>2873</v>
      </c>
      <c r="O491" t="s">
        <v>91</v>
      </c>
      <c r="P491" s="1" t="s">
        <v>611</v>
      </c>
      <c r="Q491" s="1" t="s">
        <v>2874</v>
      </c>
      <c r="R491" s="1" t="s">
        <v>833</v>
      </c>
      <c r="T491">
        <v>89237003</v>
      </c>
      <c r="U491" s="1" t="s">
        <v>688</v>
      </c>
      <c r="V491" s="1" t="s">
        <v>100</v>
      </c>
      <c r="W491" s="1" t="s">
        <v>87</v>
      </c>
      <c r="Z491" t="s">
        <v>91</v>
      </c>
      <c r="AA491" t="s">
        <v>91</v>
      </c>
      <c r="AB491" t="s">
        <v>91</v>
      </c>
      <c r="AC491" t="s">
        <v>91</v>
      </c>
      <c r="AD491" t="s">
        <v>91</v>
      </c>
      <c r="AE491" t="s">
        <v>91</v>
      </c>
      <c r="AF491" t="s">
        <v>91</v>
      </c>
      <c r="AG491" s="1" t="s">
        <v>91</v>
      </c>
      <c r="AH491" s="1" t="s">
        <v>91</v>
      </c>
      <c r="AI491" t="s">
        <v>91</v>
      </c>
      <c r="AM491" t="s">
        <v>91</v>
      </c>
      <c r="AN491" t="s">
        <v>91</v>
      </c>
      <c r="AO491" t="s">
        <v>91</v>
      </c>
      <c r="AP491" t="s">
        <v>91</v>
      </c>
      <c r="AQ491" s="1" t="s">
        <v>91</v>
      </c>
      <c r="AR491" s="1" t="s">
        <v>91</v>
      </c>
      <c r="AS491" s="1" t="s">
        <v>91</v>
      </c>
      <c r="AT491" s="1" t="s">
        <v>91</v>
      </c>
      <c r="AU491" s="1" t="s">
        <v>91</v>
      </c>
      <c r="AV491" t="s">
        <v>91</v>
      </c>
      <c r="AW491" t="s">
        <v>91</v>
      </c>
      <c r="AX491" t="s">
        <v>91</v>
      </c>
      <c r="AY491" t="s">
        <v>91</v>
      </c>
      <c r="AZ491" t="s">
        <v>91</v>
      </c>
      <c r="BA491" t="s">
        <v>91</v>
      </c>
      <c r="BB491" s="2">
        <v>45019.565613425926</v>
      </c>
      <c r="BC491" s="2"/>
      <c r="BD491" t="s">
        <v>91</v>
      </c>
      <c r="BF491" s="1" t="s">
        <v>75</v>
      </c>
      <c r="BI491" s="1" t="s">
        <v>88</v>
      </c>
      <c r="BJ491">
        <v>1</v>
      </c>
      <c r="BK491" s="1" t="s">
        <v>89</v>
      </c>
      <c r="BL491" t="s">
        <v>91</v>
      </c>
      <c r="BM491" s="1" t="s">
        <v>91</v>
      </c>
      <c r="BN491" s="1" t="s">
        <v>91</v>
      </c>
      <c r="BO491" s="1" t="s">
        <v>91</v>
      </c>
      <c r="BP491" s="1" t="s">
        <v>91</v>
      </c>
      <c r="BQ491" t="s">
        <v>91</v>
      </c>
      <c r="BR491" s="3">
        <v>45019</v>
      </c>
      <c r="BS491" s="3"/>
      <c r="BT491" t="s">
        <v>91</v>
      </c>
      <c r="BU491" t="s">
        <v>91</v>
      </c>
      <c r="BW491" s="1" t="s">
        <v>419</v>
      </c>
    </row>
    <row r="492" spans="1:75" x14ac:dyDescent="0.35">
      <c r="A492">
        <v>152722</v>
      </c>
      <c r="B492" s="1" t="s">
        <v>75</v>
      </c>
      <c r="C492">
        <v>80</v>
      </c>
      <c r="D492">
        <v>11121001</v>
      </c>
      <c r="E492">
        <v>121001</v>
      </c>
      <c r="F492" s="1" t="s">
        <v>76</v>
      </c>
      <c r="G492" s="1" t="s">
        <v>2875</v>
      </c>
      <c r="H492">
        <v>0</v>
      </c>
      <c r="I492" s="1" t="s">
        <v>78</v>
      </c>
      <c r="J492" s="1" t="s">
        <v>2876</v>
      </c>
      <c r="K492" s="1" t="s">
        <v>2877</v>
      </c>
      <c r="L492" t="s">
        <v>91</v>
      </c>
      <c r="M492" t="s">
        <v>91</v>
      </c>
      <c r="N492" s="1" t="s">
        <v>2878</v>
      </c>
      <c r="O492" t="s">
        <v>91</v>
      </c>
      <c r="P492" s="1" t="s">
        <v>2879</v>
      </c>
      <c r="Q492" s="1" t="s">
        <v>2880</v>
      </c>
      <c r="R492" s="1" t="s">
        <v>370</v>
      </c>
      <c r="S492">
        <v>1288</v>
      </c>
      <c r="T492">
        <v>89825000</v>
      </c>
      <c r="U492" s="1" t="s">
        <v>108</v>
      </c>
      <c r="V492" s="1" t="s">
        <v>707</v>
      </c>
      <c r="W492" s="1" t="s">
        <v>87</v>
      </c>
      <c r="Z492" t="s">
        <v>91</v>
      </c>
      <c r="AA492" t="s">
        <v>91</v>
      </c>
      <c r="AB492" t="s">
        <v>91</v>
      </c>
      <c r="AC492" t="s">
        <v>91</v>
      </c>
      <c r="AD492" t="s">
        <v>91</v>
      </c>
      <c r="AE492" t="s">
        <v>91</v>
      </c>
      <c r="AF492" t="s">
        <v>91</v>
      </c>
      <c r="AG492" s="1" t="s">
        <v>91</v>
      </c>
      <c r="AH492" s="1" t="s">
        <v>91</v>
      </c>
      <c r="AI492" t="s">
        <v>91</v>
      </c>
      <c r="AM492" t="s">
        <v>91</v>
      </c>
      <c r="AN492" t="s">
        <v>91</v>
      </c>
      <c r="AO492" t="s">
        <v>91</v>
      </c>
      <c r="AP492" t="s">
        <v>91</v>
      </c>
      <c r="AQ492" s="1" t="s">
        <v>91</v>
      </c>
      <c r="AR492" s="1" t="s">
        <v>91</v>
      </c>
      <c r="AS492" s="1" t="s">
        <v>91</v>
      </c>
      <c r="AT492" s="1" t="s">
        <v>91</v>
      </c>
      <c r="AU492" s="1" t="s">
        <v>91</v>
      </c>
      <c r="AV492" t="s">
        <v>91</v>
      </c>
      <c r="AW492" t="s">
        <v>91</v>
      </c>
      <c r="AX492" t="s">
        <v>91</v>
      </c>
      <c r="AY492" t="s">
        <v>91</v>
      </c>
      <c r="AZ492" t="s">
        <v>91</v>
      </c>
      <c r="BA492" t="s">
        <v>91</v>
      </c>
      <c r="BB492" s="2">
        <v>45019.565613425926</v>
      </c>
      <c r="BC492" s="2"/>
      <c r="BD492" t="s">
        <v>91</v>
      </c>
      <c r="BF492" s="1" t="s">
        <v>75</v>
      </c>
      <c r="BI492" s="1" t="s">
        <v>88</v>
      </c>
      <c r="BJ492">
        <v>1</v>
      </c>
      <c r="BK492" s="1" t="s">
        <v>89</v>
      </c>
      <c r="BL492" t="s">
        <v>91</v>
      </c>
      <c r="BM492" s="1" t="s">
        <v>91</v>
      </c>
      <c r="BN492" s="1" t="s">
        <v>91</v>
      </c>
      <c r="BO492" s="1" t="s">
        <v>91</v>
      </c>
      <c r="BP492" s="1" t="s">
        <v>91</v>
      </c>
      <c r="BQ492" t="s">
        <v>91</v>
      </c>
      <c r="BR492" s="3">
        <v>45019</v>
      </c>
      <c r="BS492" s="3"/>
      <c r="BT492" t="s">
        <v>91</v>
      </c>
      <c r="BU492" t="s">
        <v>91</v>
      </c>
      <c r="BW492" s="1" t="s">
        <v>90</v>
      </c>
    </row>
    <row r="493" spans="1:75" x14ac:dyDescent="0.35">
      <c r="A493">
        <v>156719</v>
      </c>
      <c r="B493" s="1" t="s">
        <v>75</v>
      </c>
      <c r="C493">
        <v>80</v>
      </c>
      <c r="D493">
        <v>11121001</v>
      </c>
      <c r="E493">
        <v>121001</v>
      </c>
      <c r="F493" s="1" t="s">
        <v>76</v>
      </c>
      <c r="G493" s="1" t="s">
        <v>2881</v>
      </c>
      <c r="H493">
        <v>0</v>
      </c>
      <c r="I493" s="1" t="s">
        <v>78</v>
      </c>
      <c r="J493" s="1" t="s">
        <v>2882</v>
      </c>
      <c r="K493" s="1" t="s">
        <v>2883</v>
      </c>
      <c r="L493" t="s">
        <v>91</v>
      </c>
      <c r="M493" t="s">
        <v>91</v>
      </c>
      <c r="N493" s="1" t="s">
        <v>2884</v>
      </c>
      <c r="O493" t="s">
        <v>91</v>
      </c>
      <c r="P493" s="1" t="s">
        <v>243</v>
      </c>
      <c r="Q493" s="1" t="s">
        <v>2885</v>
      </c>
      <c r="R493" s="1" t="s">
        <v>370</v>
      </c>
      <c r="T493">
        <v>89869000</v>
      </c>
      <c r="U493" s="1" t="s">
        <v>108</v>
      </c>
      <c r="V493" s="1" t="s">
        <v>2790</v>
      </c>
      <c r="W493" s="1" t="s">
        <v>87</v>
      </c>
      <c r="X493">
        <v>49</v>
      </c>
      <c r="Y493">
        <v>988171441</v>
      </c>
      <c r="Z493" t="s">
        <v>91</v>
      </c>
      <c r="AA493" t="s">
        <v>91</v>
      </c>
      <c r="AB493" t="s">
        <v>91</v>
      </c>
      <c r="AC493" t="s">
        <v>91</v>
      </c>
      <c r="AD493" t="s">
        <v>91</v>
      </c>
      <c r="AE493" t="s">
        <v>91</v>
      </c>
      <c r="AF493" t="s">
        <v>91</v>
      </c>
      <c r="AG493" s="1" t="s">
        <v>91</v>
      </c>
      <c r="AH493" s="1" t="s">
        <v>91</v>
      </c>
      <c r="AI493" t="s">
        <v>91</v>
      </c>
      <c r="AM493" t="s">
        <v>91</v>
      </c>
      <c r="AN493" t="s">
        <v>91</v>
      </c>
      <c r="AO493" t="s">
        <v>91</v>
      </c>
      <c r="AP493" t="s">
        <v>91</v>
      </c>
      <c r="AQ493" s="1" t="s">
        <v>91</v>
      </c>
      <c r="AR493" s="1" t="s">
        <v>91</v>
      </c>
      <c r="AS493" s="1" t="s">
        <v>91</v>
      </c>
      <c r="AT493" s="1" t="s">
        <v>91</v>
      </c>
      <c r="AU493" s="1" t="s">
        <v>91</v>
      </c>
      <c r="AV493" t="s">
        <v>91</v>
      </c>
      <c r="AW493" t="s">
        <v>91</v>
      </c>
      <c r="AX493" t="s">
        <v>91</v>
      </c>
      <c r="AY493" t="s">
        <v>91</v>
      </c>
      <c r="AZ493" t="s">
        <v>91</v>
      </c>
      <c r="BA493" t="s">
        <v>91</v>
      </c>
      <c r="BB493" s="2">
        <v>45113.505416666667</v>
      </c>
      <c r="BC493" s="2"/>
      <c r="BD493" t="s">
        <v>91</v>
      </c>
      <c r="BF493" s="1" t="s">
        <v>75</v>
      </c>
      <c r="BI493" s="1" t="s">
        <v>88</v>
      </c>
      <c r="BJ493">
        <v>1</v>
      </c>
      <c r="BK493" s="1" t="s">
        <v>89</v>
      </c>
      <c r="BL493" t="s">
        <v>91</v>
      </c>
      <c r="BM493" s="1" t="s">
        <v>91</v>
      </c>
      <c r="BN493" s="1" t="s">
        <v>91</v>
      </c>
      <c r="BO493" s="1" t="s">
        <v>91</v>
      </c>
      <c r="BP493" s="1" t="s">
        <v>91</v>
      </c>
      <c r="BQ493" t="s">
        <v>91</v>
      </c>
      <c r="BR493" s="3">
        <v>45113</v>
      </c>
      <c r="BS493" s="3"/>
      <c r="BT493" t="s">
        <v>91</v>
      </c>
      <c r="BU493" t="s">
        <v>91</v>
      </c>
      <c r="BW493" s="1" t="s">
        <v>90</v>
      </c>
    </row>
    <row r="494" spans="1:75" x14ac:dyDescent="0.35">
      <c r="A494">
        <v>118724</v>
      </c>
      <c r="B494" s="1" t="s">
        <v>75</v>
      </c>
      <c r="C494">
        <v>80</v>
      </c>
      <c r="D494">
        <v>11121001</v>
      </c>
      <c r="E494">
        <v>121001</v>
      </c>
      <c r="F494" s="1" t="s">
        <v>76</v>
      </c>
      <c r="G494" s="1" t="s">
        <v>2886</v>
      </c>
      <c r="I494" s="1" t="s">
        <v>78</v>
      </c>
      <c r="J494" s="1" t="s">
        <v>2887</v>
      </c>
      <c r="K494" s="1" t="s">
        <v>2888</v>
      </c>
      <c r="L494" t="s">
        <v>91</v>
      </c>
      <c r="M494" t="s">
        <v>91</v>
      </c>
      <c r="N494" s="1" t="s">
        <v>2487</v>
      </c>
      <c r="O494" t="s">
        <v>91</v>
      </c>
      <c r="P494" s="1" t="s">
        <v>273</v>
      </c>
      <c r="Q494" s="1" t="s">
        <v>2889</v>
      </c>
      <c r="R494" s="1" t="s">
        <v>91</v>
      </c>
      <c r="S494">
        <v>1280</v>
      </c>
      <c r="T494">
        <v>89295000</v>
      </c>
      <c r="U494" s="1" t="s">
        <v>108</v>
      </c>
      <c r="V494" s="1" t="s">
        <v>276</v>
      </c>
      <c r="W494" s="1" t="s">
        <v>87</v>
      </c>
      <c r="X494">
        <v>47</v>
      </c>
      <c r="Y494">
        <v>36440054</v>
      </c>
      <c r="Z494" t="s">
        <v>91</v>
      </c>
      <c r="AA494" t="s">
        <v>91</v>
      </c>
      <c r="AB494" t="s">
        <v>91</v>
      </c>
      <c r="AC494" t="s">
        <v>91</v>
      </c>
      <c r="AD494" t="s">
        <v>91</v>
      </c>
      <c r="AE494" t="s">
        <v>91</v>
      </c>
      <c r="AF494" t="s">
        <v>91</v>
      </c>
      <c r="AG494" s="1" t="s">
        <v>91</v>
      </c>
      <c r="AH494" s="1" t="s">
        <v>91</v>
      </c>
      <c r="AI494" t="s">
        <v>91</v>
      </c>
      <c r="AJ494">
        <v>0</v>
      </c>
      <c r="AK494">
        <v>0</v>
      </c>
      <c r="AL494">
        <v>0</v>
      </c>
      <c r="AM494" t="s">
        <v>91</v>
      </c>
      <c r="AN494" t="s">
        <v>91</v>
      </c>
      <c r="AO494" t="s">
        <v>91</v>
      </c>
      <c r="AP494" t="s">
        <v>91</v>
      </c>
      <c r="AQ494" s="1" t="s">
        <v>91</v>
      </c>
      <c r="AR494" s="1" t="s">
        <v>91</v>
      </c>
      <c r="AS494" s="1" t="s">
        <v>91</v>
      </c>
      <c r="AT494" s="1" t="s">
        <v>91</v>
      </c>
      <c r="AU494" s="1" t="s">
        <v>91</v>
      </c>
      <c r="AV494" t="s">
        <v>91</v>
      </c>
      <c r="AW494" t="s">
        <v>91</v>
      </c>
      <c r="AX494" t="s">
        <v>91</v>
      </c>
      <c r="AY494" t="s">
        <v>91</v>
      </c>
      <c r="AZ494" t="s">
        <v>91</v>
      </c>
      <c r="BA494" t="s">
        <v>91</v>
      </c>
      <c r="BB494" s="2"/>
      <c r="BC494" s="2"/>
      <c r="BD494" t="s">
        <v>91</v>
      </c>
      <c r="BF494" s="1" t="s">
        <v>75</v>
      </c>
      <c r="BG494">
        <v>0</v>
      </c>
      <c r="BH494">
        <v>0</v>
      </c>
      <c r="BI494" s="1" t="s">
        <v>88</v>
      </c>
      <c r="BJ494">
        <v>1</v>
      </c>
      <c r="BK494" s="1" t="s">
        <v>89</v>
      </c>
      <c r="BL494" t="s">
        <v>91</v>
      </c>
      <c r="BM494" s="1" t="s">
        <v>109</v>
      </c>
      <c r="BN494" s="1" t="s">
        <v>110</v>
      </c>
      <c r="BO494" s="1" t="s">
        <v>111</v>
      </c>
      <c r="BP494" s="1" t="s">
        <v>91</v>
      </c>
      <c r="BQ494" t="s">
        <v>91</v>
      </c>
      <c r="BR494" s="3"/>
      <c r="BS494" s="3"/>
      <c r="BT494" t="s">
        <v>91</v>
      </c>
      <c r="BU494" t="s">
        <v>91</v>
      </c>
      <c r="BV494">
        <v>8</v>
      </c>
      <c r="BW494" s="1" t="s">
        <v>90</v>
      </c>
    </row>
    <row r="495" spans="1:75" x14ac:dyDescent="0.35">
      <c r="A495">
        <v>120473</v>
      </c>
      <c r="B495" s="1" t="s">
        <v>75</v>
      </c>
      <c r="C495">
        <v>80</v>
      </c>
      <c r="D495">
        <v>11121001</v>
      </c>
      <c r="E495">
        <v>121001</v>
      </c>
      <c r="F495" s="1" t="s">
        <v>76</v>
      </c>
      <c r="G495" s="1" t="s">
        <v>2890</v>
      </c>
      <c r="H495">
        <v>0</v>
      </c>
      <c r="I495" s="1" t="s">
        <v>78</v>
      </c>
      <c r="J495" s="1" t="s">
        <v>2891</v>
      </c>
      <c r="K495" s="1" t="s">
        <v>2892</v>
      </c>
      <c r="L495" t="s">
        <v>91</v>
      </c>
      <c r="M495" t="s">
        <v>91</v>
      </c>
      <c r="N495" s="1" t="s">
        <v>2893</v>
      </c>
      <c r="O495" t="s">
        <v>91</v>
      </c>
      <c r="P495" s="1" t="s">
        <v>1856</v>
      </c>
      <c r="Q495" s="1" t="s">
        <v>1047</v>
      </c>
      <c r="R495" s="1" t="s">
        <v>2894</v>
      </c>
      <c r="S495">
        <v>1289</v>
      </c>
      <c r="T495">
        <v>89900000</v>
      </c>
      <c r="U495" s="1" t="s">
        <v>108</v>
      </c>
      <c r="V495" s="1" t="s">
        <v>700</v>
      </c>
      <c r="W495" s="1" t="s">
        <v>87</v>
      </c>
      <c r="X495">
        <v>49</v>
      </c>
      <c r="Y495">
        <v>36221321</v>
      </c>
      <c r="Z495" t="s">
        <v>91</v>
      </c>
      <c r="AA495" t="s">
        <v>91</v>
      </c>
      <c r="AB495" t="s">
        <v>91</v>
      </c>
      <c r="AC495" t="s">
        <v>91</v>
      </c>
      <c r="AD495" t="s">
        <v>91</v>
      </c>
      <c r="AE495" t="s">
        <v>91</v>
      </c>
      <c r="AF495" t="s">
        <v>91</v>
      </c>
      <c r="AG495" s="1" t="s">
        <v>91</v>
      </c>
      <c r="AH495" s="1" t="s">
        <v>91</v>
      </c>
      <c r="AI495" t="s">
        <v>91</v>
      </c>
      <c r="AJ495">
        <v>0</v>
      </c>
      <c r="AK495">
        <v>0</v>
      </c>
      <c r="AL495">
        <v>0</v>
      </c>
      <c r="AM495" t="s">
        <v>91</v>
      </c>
      <c r="AN495" t="s">
        <v>91</v>
      </c>
      <c r="AO495" t="s">
        <v>91</v>
      </c>
      <c r="AP495" t="s">
        <v>91</v>
      </c>
      <c r="AQ495" s="1" t="s">
        <v>91</v>
      </c>
      <c r="AR495" s="1" t="s">
        <v>91</v>
      </c>
      <c r="AS495" s="1" t="s">
        <v>91</v>
      </c>
      <c r="AT495" s="1" t="s">
        <v>91</v>
      </c>
      <c r="AU495" s="1" t="s">
        <v>91</v>
      </c>
      <c r="AV495" t="s">
        <v>91</v>
      </c>
      <c r="AW495" t="s">
        <v>91</v>
      </c>
      <c r="AX495" t="s">
        <v>91</v>
      </c>
      <c r="AY495" t="s">
        <v>91</v>
      </c>
      <c r="AZ495" t="s">
        <v>91</v>
      </c>
      <c r="BA495" t="s">
        <v>91</v>
      </c>
      <c r="BB495" s="2">
        <v>44092.925393518519</v>
      </c>
      <c r="BC495" s="2"/>
      <c r="BD495" t="s">
        <v>91</v>
      </c>
      <c r="BF495" s="1" t="s">
        <v>75</v>
      </c>
      <c r="BG495">
        <v>0</v>
      </c>
      <c r="BH495">
        <v>0</v>
      </c>
      <c r="BI495" s="1" t="s">
        <v>88</v>
      </c>
      <c r="BJ495">
        <v>1</v>
      </c>
      <c r="BK495" s="1" t="s">
        <v>89</v>
      </c>
      <c r="BL495" t="s">
        <v>91</v>
      </c>
      <c r="BM495" s="1" t="s">
        <v>164</v>
      </c>
      <c r="BN495" s="1" t="s">
        <v>110</v>
      </c>
      <c r="BO495" s="1" t="s">
        <v>165</v>
      </c>
      <c r="BP495" s="1" t="s">
        <v>91</v>
      </c>
      <c r="BQ495" t="s">
        <v>91</v>
      </c>
      <c r="BR495" s="3">
        <v>44092</v>
      </c>
      <c r="BS495" s="3"/>
      <c r="BT495" t="s">
        <v>91</v>
      </c>
      <c r="BU495" t="s">
        <v>91</v>
      </c>
      <c r="BV495">
        <v>1</v>
      </c>
      <c r="BW495" s="1" t="s">
        <v>540</v>
      </c>
    </row>
    <row r="496" spans="1:75" x14ac:dyDescent="0.35">
      <c r="A496">
        <v>138268</v>
      </c>
      <c r="B496" s="1" t="s">
        <v>75</v>
      </c>
      <c r="C496">
        <v>80</v>
      </c>
      <c r="D496">
        <v>11121001</v>
      </c>
      <c r="E496">
        <v>121001</v>
      </c>
      <c r="F496" s="1" t="s">
        <v>76</v>
      </c>
      <c r="G496" s="1" t="s">
        <v>2895</v>
      </c>
      <c r="H496">
        <v>0</v>
      </c>
      <c r="I496" s="1" t="s">
        <v>78</v>
      </c>
      <c r="J496" s="1" t="s">
        <v>2896</v>
      </c>
      <c r="K496" s="1" t="s">
        <v>2897</v>
      </c>
      <c r="L496" t="s">
        <v>91</v>
      </c>
      <c r="M496" t="s">
        <v>91</v>
      </c>
      <c r="N496" s="1" t="s">
        <v>2898</v>
      </c>
      <c r="O496" t="s">
        <v>91</v>
      </c>
      <c r="P496" s="1" t="s">
        <v>2798</v>
      </c>
      <c r="Q496" s="1" t="s">
        <v>211</v>
      </c>
      <c r="R496" s="1" t="s">
        <v>91</v>
      </c>
      <c r="S496">
        <v>1383</v>
      </c>
      <c r="T496">
        <v>99025001</v>
      </c>
      <c r="U496" s="1" t="s">
        <v>108</v>
      </c>
      <c r="V496" s="1" t="s">
        <v>371</v>
      </c>
      <c r="W496" s="1" t="s">
        <v>157</v>
      </c>
      <c r="X496">
        <v>54</v>
      </c>
      <c r="Y496">
        <v>33123551</v>
      </c>
      <c r="Z496" t="s">
        <v>91</v>
      </c>
      <c r="AA496" t="s">
        <v>91</v>
      </c>
      <c r="AB496" t="s">
        <v>91</v>
      </c>
      <c r="AC496" t="s">
        <v>91</v>
      </c>
      <c r="AD496" t="s">
        <v>91</v>
      </c>
      <c r="AE496" t="s">
        <v>91</v>
      </c>
      <c r="AF496" t="s">
        <v>91</v>
      </c>
      <c r="AG496" s="1" t="s">
        <v>146</v>
      </c>
      <c r="AH496" s="1" t="s">
        <v>91</v>
      </c>
      <c r="AI496" t="s">
        <v>91</v>
      </c>
      <c r="AM496" t="s">
        <v>91</v>
      </c>
      <c r="AN496" t="s">
        <v>91</v>
      </c>
      <c r="AO496" t="s">
        <v>91</v>
      </c>
      <c r="AP496" t="s">
        <v>91</v>
      </c>
      <c r="AQ496" s="1" t="s">
        <v>147</v>
      </c>
      <c r="AR496" s="1" t="s">
        <v>147</v>
      </c>
      <c r="AS496" s="1" t="s">
        <v>147</v>
      </c>
      <c r="AT496" s="1" t="s">
        <v>147</v>
      </c>
      <c r="AU496" s="1" t="s">
        <v>147</v>
      </c>
      <c r="AV496" t="s">
        <v>91</v>
      </c>
      <c r="AW496" t="s">
        <v>91</v>
      </c>
      <c r="AX496" t="s">
        <v>91</v>
      </c>
      <c r="AY496" t="s">
        <v>91</v>
      </c>
      <c r="AZ496" t="s">
        <v>91</v>
      </c>
      <c r="BA496" t="s">
        <v>91</v>
      </c>
      <c r="BB496" s="2">
        <v>44378.578518518516</v>
      </c>
      <c r="BC496" s="2">
        <v>44658.674421296295</v>
      </c>
      <c r="BD496" t="s">
        <v>91</v>
      </c>
      <c r="BF496" s="1" t="s">
        <v>75</v>
      </c>
      <c r="BH496">
        <v>0</v>
      </c>
      <c r="BI496" s="1" t="s">
        <v>88</v>
      </c>
      <c r="BJ496">
        <v>1</v>
      </c>
      <c r="BK496" s="1" t="s">
        <v>89</v>
      </c>
      <c r="BL496" t="s">
        <v>91</v>
      </c>
      <c r="BM496" s="1" t="s">
        <v>109</v>
      </c>
      <c r="BN496" s="1" t="s">
        <v>110</v>
      </c>
      <c r="BO496" s="1" t="s">
        <v>111</v>
      </c>
      <c r="BP496" s="1" t="s">
        <v>91</v>
      </c>
      <c r="BQ496" t="s">
        <v>91</v>
      </c>
      <c r="BR496" s="3">
        <v>44378</v>
      </c>
      <c r="BS496" s="3">
        <v>44658</v>
      </c>
      <c r="BT496" t="s">
        <v>91</v>
      </c>
      <c r="BU496" t="s">
        <v>91</v>
      </c>
      <c r="BW496" s="1" t="s">
        <v>1048</v>
      </c>
    </row>
    <row r="497" spans="1:75" x14ac:dyDescent="0.35">
      <c r="A497">
        <v>144581</v>
      </c>
      <c r="B497" s="1" t="s">
        <v>75</v>
      </c>
      <c r="C497">
        <v>80</v>
      </c>
      <c r="D497">
        <v>11121001</v>
      </c>
      <c r="E497">
        <v>121001</v>
      </c>
      <c r="F497" s="1" t="s">
        <v>76</v>
      </c>
      <c r="G497" s="1" t="s">
        <v>2899</v>
      </c>
      <c r="I497" s="1" t="s">
        <v>78</v>
      </c>
      <c r="J497" s="1" t="s">
        <v>2900</v>
      </c>
      <c r="K497" s="1" t="s">
        <v>2901</v>
      </c>
      <c r="L497" t="s">
        <v>91</v>
      </c>
      <c r="M497" t="s">
        <v>91</v>
      </c>
      <c r="N497" s="1" t="s">
        <v>2902</v>
      </c>
      <c r="O497" t="s">
        <v>91</v>
      </c>
      <c r="P497" s="1" t="s">
        <v>260</v>
      </c>
      <c r="Q497" s="1" t="s">
        <v>2903</v>
      </c>
      <c r="R497" s="1" t="s">
        <v>91</v>
      </c>
      <c r="S497">
        <v>1198</v>
      </c>
      <c r="T497">
        <v>84600000</v>
      </c>
      <c r="U497" s="1" t="s">
        <v>108</v>
      </c>
      <c r="V497" s="1" t="s">
        <v>969</v>
      </c>
      <c r="W497" s="1" t="s">
        <v>137</v>
      </c>
      <c r="X497">
        <v>42</v>
      </c>
      <c r="Y497">
        <v>35225252</v>
      </c>
      <c r="Z497" t="s">
        <v>91</v>
      </c>
      <c r="AA497" t="s">
        <v>91</v>
      </c>
      <c r="AB497" t="s">
        <v>91</v>
      </c>
      <c r="AC497" t="s">
        <v>91</v>
      </c>
      <c r="AD497" t="s">
        <v>91</v>
      </c>
      <c r="AE497" t="s">
        <v>91</v>
      </c>
      <c r="AF497" t="s">
        <v>91</v>
      </c>
      <c r="AG497" s="1" t="s">
        <v>91</v>
      </c>
      <c r="AH497" s="1" t="s">
        <v>91</v>
      </c>
      <c r="AI497" t="s">
        <v>91</v>
      </c>
      <c r="AJ497">
        <v>0</v>
      </c>
      <c r="AK497">
        <v>0</v>
      </c>
      <c r="AL497">
        <v>0</v>
      </c>
      <c r="AM497" t="s">
        <v>91</v>
      </c>
      <c r="AN497" t="s">
        <v>91</v>
      </c>
      <c r="AO497" t="s">
        <v>91</v>
      </c>
      <c r="AP497" t="s">
        <v>91</v>
      </c>
      <c r="AQ497" s="1" t="s">
        <v>91</v>
      </c>
      <c r="AR497" s="1" t="s">
        <v>91</v>
      </c>
      <c r="AS497" s="1" t="s">
        <v>91</v>
      </c>
      <c r="AT497" s="1" t="s">
        <v>91</v>
      </c>
      <c r="AU497" s="1" t="s">
        <v>91</v>
      </c>
      <c r="AV497" t="s">
        <v>91</v>
      </c>
      <c r="AW497" t="s">
        <v>91</v>
      </c>
      <c r="AX497" t="s">
        <v>91</v>
      </c>
      <c r="AY497" t="s">
        <v>91</v>
      </c>
      <c r="AZ497" t="s">
        <v>91</v>
      </c>
      <c r="BA497" t="s">
        <v>91</v>
      </c>
      <c r="BB497" s="2"/>
      <c r="BC497" s="2"/>
      <c r="BD497" t="s">
        <v>91</v>
      </c>
      <c r="BF497" s="1" t="s">
        <v>75</v>
      </c>
      <c r="BG497">
        <v>0</v>
      </c>
      <c r="BH497">
        <v>0</v>
      </c>
      <c r="BI497" s="1" t="s">
        <v>88</v>
      </c>
      <c r="BJ497">
        <v>1</v>
      </c>
      <c r="BK497" s="1" t="s">
        <v>89</v>
      </c>
      <c r="BL497" t="s">
        <v>91</v>
      </c>
      <c r="BM497" s="1" t="s">
        <v>109</v>
      </c>
      <c r="BN497" s="1" t="s">
        <v>110</v>
      </c>
      <c r="BO497" s="1" t="s">
        <v>128</v>
      </c>
      <c r="BP497" s="1" t="s">
        <v>91</v>
      </c>
      <c r="BQ497" t="s">
        <v>91</v>
      </c>
      <c r="BR497" s="3"/>
      <c r="BS497" s="3"/>
      <c r="BT497" t="s">
        <v>91</v>
      </c>
      <c r="BU497" t="s">
        <v>91</v>
      </c>
      <c r="BV497">
        <v>9</v>
      </c>
      <c r="BW497" s="1" t="s">
        <v>295</v>
      </c>
    </row>
    <row r="498" spans="1:75" x14ac:dyDescent="0.35">
      <c r="A498">
        <v>120383</v>
      </c>
      <c r="B498" s="1" t="s">
        <v>75</v>
      </c>
      <c r="C498">
        <v>80</v>
      </c>
      <c r="D498">
        <v>11121001</v>
      </c>
      <c r="E498">
        <v>121001</v>
      </c>
      <c r="F498" s="1" t="s">
        <v>76</v>
      </c>
      <c r="G498" s="1" t="s">
        <v>2904</v>
      </c>
      <c r="H498">
        <v>0</v>
      </c>
      <c r="I498" s="1" t="s">
        <v>78</v>
      </c>
      <c r="J498" s="1" t="s">
        <v>2905</v>
      </c>
      <c r="K498" s="1" t="s">
        <v>2906</v>
      </c>
      <c r="L498" t="s">
        <v>91</v>
      </c>
      <c r="M498" t="s">
        <v>91</v>
      </c>
      <c r="N498" s="1" t="s">
        <v>2907</v>
      </c>
      <c r="O498" t="s">
        <v>91</v>
      </c>
      <c r="P498" s="1" t="s">
        <v>2908</v>
      </c>
      <c r="Q498" s="1" t="s">
        <v>2909</v>
      </c>
      <c r="R498" s="1" t="s">
        <v>91</v>
      </c>
      <c r="S498">
        <v>1286</v>
      </c>
      <c r="T498">
        <v>89770000</v>
      </c>
      <c r="U498" s="1" t="s">
        <v>2910</v>
      </c>
      <c r="V498" s="1" t="s">
        <v>906</v>
      </c>
      <c r="W498" s="1" t="s">
        <v>87</v>
      </c>
      <c r="X498">
        <v>49</v>
      </c>
      <c r="Y498">
        <v>34525065</v>
      </c>
      <c r="Z498" t="s">
        <v>91</v>
      </c>
      <c r="AA498" t="s">
        <v>91</v>
      </c>
      <c r="AB498" t="s">
        <v>91</v>
      </c>
      <c r="AC498" t="s">
        <v>91</v>
      </c>
      <c r="AD498" t="s">
        <v>91</v>
      </c>
      <c r="AE498" t="s">
        <v>91</v>
      </c>
      <c r="AF498" t="s">
        <v>91</v>
      </c>
      <c r="AG498" s="1" t="s">
        <v>91</v>
      </c>
      <c r="AH498" s="1" t="s">
        <v>91</v>
      </c>
      <c r="AI498" t="s">
        <v>91</v>
      </c>
      <c r="AJ498">
        <v>0</v>
      </c>
      <c r="AK498">
        <v>0</v>
      </c>
      <c r="AL498">
        <v>0</v>
      </c>
      <c r="AM498" t="s">
        <v>91</v>
      </c>
      <c r="AN498" t="s">
        <v>91</v>
      </c>
      <c r="AO498" t="s">
        <v>91</v>
      </c>
      <c r="AP498" t="s">
        <v>91</v>
      </c>
      <c r="AQ498" s="1" t="s">
        <v>91</v>
      </c>
      <c r="AR498" s="1" t="s">
        <v>91</v>
      </c>
      <c r="AS498" s="1" t="s">
        <v>91</v>
      </c>
      <c r="AT498" s="1" t="s">
        <v>91</v>
      </c>
      <c r="AU498" s="1" t="s">
        <v>91</v>
      </c>
      <c r="AV498" t="s">
        <v>91</v>
      </c>
      <c r="AW498" t="s">
        <v>91</v>
      </c>
      <c r="AX498" t="s">
        <v>91</v>
      </c>
      <c r="AY498" t="s">
        <v>91</v>
      </c>
      <c r="AZ498" t="s">
        <v>91</v>
      </c>
      <c r="BA498" t="s">
        <v>91</v>
      </c>
      <c r="BB498" s="2">
        <v>44092.925393518519</v>
      </c>
      <c r="BC498" s="2"/>
      <c r="BD498" t="s">
        <v>91</v>
      </c>
      <c r="BF498" s="1" t="s">
        <v>75</v>
      </c>
      <c r="BG498">
        <v>0</v>
      </c>
      <c r="BH498">
        <v>0</v>
      </c>
      <c r="BI498" s="1" t="s">
        <v>88</v>
      </c>
      <c r="BJ498">
        <v>1</v>
      </c>
      <c r="BK498" s="1" t="s">
        <v>89</v>
      </c>
      <c r="BL498" t="s">
        <v>91</v>
      </c>
      <c r="BM498" s="1" t="s">
        <v>109</v>
      </c>
      <c r="BN498" s="1" t="s">
        <v>110</v>
      </c>
      <c r="BO498" s="1" t="s">
        <v>128</v>
      </c>
      <c r="BP498" s="1" t="s">
        <v>91</v>
      </c>
      <c r="BQ498" t="s">
        <v>91</v>
      </c>
      <c r="BR498" s="3">
        <v>44092</v>
      </c>
      <c r="BS498" s="3"/>
      <c r="BT498" t="s">
        <v>91</v>
      </c>
      <c r="BU498" t="s">
        <v>91</v>
      </c>
      <c r="BV498">
        <v>7</v>
      </c>
      <c r="BW498" s="1" t="s">
        <v>263</v>
      </c>
    </row>
    <row r="499" spans="1:75" x14ac:dyDescent="0.35">
      <c r="A499">
        <v>133752</v>
      </c>
      <c r="B499" s="1" t="s">
        <v>75</v>
      </c>
      <c r="C499">
        <v>80</v>
      </c>
      <c r="D499">
        <v>11121001</v>
      </c>
      <c r="E499">
        <v>121001</v>
      </c>
      <c r="F499" s="1" t="s">
        <v>76</v>
      </c>
      <c r="G499" s="1" t="s">
        <v>2911</v>
      </c>
      <c r="H499">
        <v>0</v>
      </c>
      <c r="I499" s="1" t="s">
        <v>78</v>
      </c>
      <c r="J499" s="1" t="s">
        <v>2905</v>
      </c>
      <c r="K499" s="1" t="s">
        <v>2912</v>
      </c>
      <c r="L499" t="s">
        <v>91</v>
      </c>
      <c r="M499" t="s">
        <v>91</v>
      </c>
      <c r="N499" s="1" t="s">
        <v>2913</v>
      </c>
      <c r="O499" t="s">
        <v>91</v>
      </c>
      <c r="P499" s="1" t="s">
        <v>2914</v>
      </c>
      <c r="Q499" s="1" t="s">
        <v>657</v>
      </c>
      <c r="R499" s="1" t="s">
        <v>370</v>
      </c>
      <c r="T499">
        <v>89700130</v>
      </c>
      <c r="U499" s="1" t="s">
        <v>108</v>
      </c>
      <c r="V499" s="1" t="s">
        <v>1088</v>
      </c>
      <c r="W499" s="1" t="s">
        <v>87</v>
      </c>
      <c r="X499">
        <v>49</v>
      </c>
      <c r="Y499">
        <v>30111044</v>
      </c>
      <c r="Z499" t="s">
        <v>91</v>
      </c>
      <c r="AA499" t="s">
        <v>91</v>
      </c>
      <c r="AB499" t="s">
        <v>91</v>
      </c>
      <c r="AC499" t="s">
        <v>91</v>
      </c>
      <c r="AD499" t="s">
        <v>91</v>
      </c>
      <c r="AE499" t="s">
        <v>91</v>
      </c>
      <c r="AF499" t="s">
        <v>91</v>
      </c>
      <c r="AG499" s="1" t="s">
        <v>91</v>
      </c>
      <c r="AH499" s="1" t="s">
        <v>91</v>
      </c>
      <c r="AI499" t="s">
        <v>91</v>
      </c>
      <c r="AJ499">
        <v>0</v>
      </c>
      <c r="AK499">
        <v>0</v>
      </c>
      <c r="AL499">
        <v>0</v>
      </c>
      <c r="AM499" t="s">
        <v>91</v>
      </c>
      <c r="AN499" t="s">
        <v>91</v>
      </c>
      <c r="AO499" t="s">
        <v>91</v>
      </c>
      <c r="AP499" t="s">
        <v>91</v>
      </c>
      <c r="AQ499" s="1" t="s">
        <v>91</v>
      </c>
      <c r="AR499" s="1" t="s">
        <v>91</v>
      </c>
      <c r="AS499" s="1" t="s">
        <v>91</v>
      </c>
      <c r="AT499" s="1" t="s">
        <v>91</v>
      </c>
      <c r="AU499" s="1" t="s">
        <v>91</v>
      </c>
      <c r="AV499" t="s">
        <v>91</v>
      </c>
      <c r="AW499" t="s">
        <v>91</v>
      </c>
      <c r="AX499" t="s">
        <v>91</v>
      </c>
      <c r="AY499" t="s">
        <v>91</v>
      </c>
      <c r="AZ499" t="s">
        <v>91</v>
      </c>
      <c r="BA499" t="s">
        <v>91</v>
      </c>
      <c r="BB499" s="2">
        <v>44246.427766203706</v>
      </c>
      <c r="BC499" s="2"/>
      <c r="BD499" t="s">
        <v>91</v>
      </c>
      <c r="BF499" s="1" t="s">
        <v>75</v>
      </c>
      <c r="BG499">
        <v>0</v>
      </c>
      <c r="BH499">
        <v>0</v>
      </c>
      <c r="BI499" s="1" t="s">
        <v>88</v>
      </c>
      <c r="BJ499">
        <v>1</v>
      </c>
      <c r="BK499" s="1" t="s">
        <v>89</v>
      </c>
      <c r="BL499" t="s">
        <v>91</v>
      </c>
      <c r="BM499" s="1" t="s">
        <v>329</v>
      </c>
      <c r="BN499" s="1" t="s">
        <v>110</v>
      </c>
      <c r="BO499" s="1" t="s">
        <v>165</v>
      </c>
      <c r="BP499" s="1" t="s">
        <v>91</v>
      </c>
      <c r="BQ499" t="s">
        <v>91</v>
      </c>
      <c r="BR499" s="3">
        <v>44246</v>
      </c>
      <c r="BS499" s="3"/>
      <c r="BT499" t="s">
        <v>91</v>
      </c>
      <c r="BU499" t="s">
        <v>91</v>
      </c>
      <c r="BV499">
        <v>9</v>
      </c>
      <c r="BW499" s="1" t="s">
        <v>263</v>
      </c>
    </row>
    <row r="500" spans="1:75" hidden="1" x14ac:dyDescent="0.35">
      <c r="A500">
        <v>159584</v>
      </c>
      <c r="B500" s="1" t="s">
        <v>75</v>
      </c>
      <c r="C500">
        <v>80</v>
      </c>
      <c r="D500">
        <v>11121002</v>
      </c>
      <c r="E500">
        <v>121002</v>
      </c>
      <c r="F500" s="1" t="s">
        <v>2915</v>
      </c>
      <c r="G500" s="1" t="s">
        <v>2916</v>
      </c>
      <c r="I500" s="1" t="s">
        <v>78</v>
      </c>
      <c r="J500" s="1" t="s">
        <v>2917</v>
      </c>
      <c r="K500" s="1" t="s">
        <v>2918</v>
      </c>
      <c r="L500" t="s">
        <v>91</v>
      </c>
      <c r="M500" t="s">
        <v>91</v>
      </c>
      <c r="N500" s="1" t="s">
        <v>2919</v>
      </c>
      <c r="O500" t="s">
        <v>91</v>
      </c>
      <c r="P500" s="1" t="s">
        <v>2920</v>
      </c>
      <c r="Q500" s="1" t="s">
        <v>253</v>
      </c>
      <c r="R500" s="1" t="s">
        <v>2921</v>
      </c>
      <c r="S500">
        <v>1254</v>
      </c>
      <c r="T500">
        <v>88010020</v>
      </c>
      <c r="U500" s="1" t="s">
        <v>108</v>
      </c>
      <c r="V500" s="1" t="s">
        <v>2922</v>
      </c>
      <c r="W500" s="1" t="s">
        <v>87</v>
      </c>
      <c r="X500">
        <v>48</v>
      </c>
      <c r="Y500">
        <v>999954518</v>
      </c>
      <c r="Z500" t="s">
        <v>91</v>
      </c>
      <c r="AA500" t="s">
        <v>91</v>
      </c>
      <c r="AB500" t="s">
        <v>91</v>
      </c>
      <c r="AC500" t="s">
        <v>91</v>
      </c>
      <c r="AD500" t="s">
        <v>91</v>
      </c>
      <c r="AE500" t="s">
        <v>91</v>
      </c>
      <c r="AF500" t="s">
        <v>91</v>
      </c>
      <c r="AG500" s="1" t="s">
        <v>91</v>
      </c>
      <c r="AH500" s="1" t="s">
        <v>91</v>
      </c>
      <c r="AI500" t="s">
        <v>91</v>
      </c>
      <c r="AM500" t="s">
        <v>91</v>
      </c>
      <c r="AN500" t="s">
        <v>91</v>
      </c>
      <c r="AO500" t="s">
        <v>91</v>
      </c>
      <c r="AP500" t="s">
        <v>91</v>
      </c>
      <c r="AQ500" s="1" t="s">
        <v>91</v>
      </c>
      <c r="AR500" s="1" t="s">
        <v>91</v>
      </c>
      <c r="AS500" s="1" t="s">
        <v>91</v>
      </c>
      <c r="AT500" s="1" t="s">
        <v>91</v>
      </c>
      <c r="AU500" s="1" t="s">
        <v>91</v>
      </c>
      <c r="AV500" t="s">
        <v>91</v>
      </c>
      <c r="AW500" t="s">
        <v>91</v>
      </c>
      <c r="AX500" t="s">
        <v>91</v>
      </c>
      <c r="AY500" t="s">
        <v>91</v>
      </c>
      <c r="AZ500" t="s">
        <v>91</v>
      </c>
      <c r="BA500" t="s">
        <v>91</v>
      </c>
      <c r="BB500" s="2">
        <v>45194.491122685184</v>
      </c>
      <c r="BC500" s="2"/>
      <c r="BD500" t="s">
        <v>91</v>
      </c>
      <c r="BF500" s="1" t="s">
        <v>75</v>
      </c>
      <c r="BI500" s="1" t="s">
        <v>88</v>
      </c>
      <c r="BJ500">
        <v>1</v>
      </c>
      <c r="BK500" s="1" t="s">
        <v>89</v>
      </c>
      <c r="BL500" t="s">
        <v>91</v>
      </c>
      <c r="BM500" s="1" t="s">
        <v>91</v>
      </c>
      <c r="BN500" s="1" t="s">
        <v>91</v>
      </c>
      <c r="BO500" s="1" t="s">
        <v>91</v>
      </c>
      <c r="BP500" s="1" t="s">
        <v>91</v>
      </c>
      <c r="BQ500" t="s">
        <v>91</v>
      </c>
      <c r="BR500" s="3">
        <v>45194</v>
      </c>
      <c r="BS500" s="3"/>
      <c r="BT500" t="s">
        <v>91</v>
      </c>
      <c r="BU500" t="s">
        <v>91</v>
      </c>
      <c r="BW500" s="1" t="s">
        <v>90</v>
      </c>
    </row>
    <row r="501" spans="1:75" hidden="1" x14ac:dyDescent="0.35">
      <c r="A501">
        <v>159566</v>
      </c>
      <c r="B501" s="1" t="s">
        <v>75</v>
      </c>
      <c r="C501">
        <v>80</v>
      </c>
      <c r="D501">
        <v>11121002</v>
      </c>
      <c r="E501">
        <v>121002</v>
      </c>
      <c r="F501" s="1" t="s">
        <v>2915</v>
      </c>
      <c r="G501" s="1" t="s">
        <v>2923</v>
      </c>
      <c r="I501" s="1" t="s">
        <v>78</v>
      </c>
      <c r="J501" s="1" t="s">
        <v>2924</v>
      </c>
      <c r="K501" s="1" t="s">
        <v>2925</v>
      </c>
      <c r="L501" t="s">
        <v>91</v>
      </c>
      <c r="M501" t="s">
        <v>91</v>
      </c>
      <c r="N501" s="1" t="s">
        <v>2926</v>
      </c>
      <c r="O501" t="s">
        <v>91</v>
      </c>
      <c r="P501" s="1" t="s">
        <v>2927</v>
      </c>
      <c r="Q501" s="1" t="s">
        <v>2928</v>
      </c>
      <c r="R501" s="1" t="s">
        <v>320</v>
      </c>
      <c r="S501">
        <v>1268</v>
      </c>
      <c r="T501">
        <v>88780000</v>
      </c>
      <c r="U501" s="1" t="s">
        <v>688</v>
      </c>
      <c r="V501" s="1" t="s">
        <v>2929</v>
      </c>
      <c r="W501" s="1" t="s">
        <v>87</v>
      </c>
      <c r="X501">
        <v>48</v>
      </c>
      <c r="Y501">
        <v>30803090</v>
      </c>
      <c r="Z501" t="s">
        <v>91</v>
      </c>
      <c r="AA501" t="s">
        <v>91</v>
      </c>
      <c r="AB501" t="s">
        <v>91</v>
      </c>
      <c r="AC501" t="s">
        <v>91</v>
      </c>
      <c r="AD501" t="s">
        <v>91</v>
      </c>
      <c r="AE501" t="s">
        <v>91</v>
      </c>
      <c r="AF501" t="s">
        <v>91</v>
      </c>
      <c r="AG501" s="1" t="s">
        <v>91</v>
      </c>
      <c r="AH501" s="1" t="s">
        <v>91</v>
      </c>
      <c r="AI501" t="s">
        <v>91</v>
      </c>
      <c r="AM501" t="s">
        <v>91</v>
      </c>
      <c r="AN501" t="s">
        <v>91</v>
      </c>
      <c r="AO501" t="s">
        <v>91</v>
      </c>
      <c r="AP501" t="s">
        <v>91</v>
      </c>
      <c r="AQ501" s="1" t="s">
        <v>91</v>
      </c>
      <c r="AR501" s="1" t="s">
        <v>91</v>
      </c>
      <c r="AS501" s="1" t="s">
        <v>91</v>
      </c>
      <c r="AT501" s="1" t="s">
        <v>91</v>
      </c>
      <c r="AU501" s="1" t="s">
        <v>91</v>
      </c>
      <c r="AV501" t="s">
        <v>91</v>
      </c>
      <c r="AW501" t="s">
        <v>91</v>
      </c>
      <c r="AX501" t="s">
        <v>91</v>
      </c>
      <c r="AY501" t="s">
        <v>91</v>
      </c>
      <c r="AZ501" t="s">
        <v>91</v>
      </c>
      <c r="BA501" t="s">
        <v>91</v>
      </c>
      <c r="BB501" s="2">
        <v>45194.491122685184</v>
      </c>
      <c r="BC501" s="2"/>
      <c r="BD501" t="s">
        <v>91</v>
      </c>
      <c r="BF501" s="1" t="s">
        <v>75</v>
      </c>
      <c r="BI501" s="1" t="s">
        <v>88</v>
      </c>
      <c r="BJ501">
        <v>1</v>
      </c>
      <c r="BK501" s="1" t="s">
        <v>89</v>
      </c>
      <c r="BL501" t="s">
        <v>91</v>
      </c>
      <c r="BM501" s="1" t="s">
        <v>91</v>
      </c>
      <c r="BN501" s="1" t="s">
        <v>91</v>
      </c>
      <c r="BO501" s="1" t="s">
        <v>91</v>
      </c>
      <c r="BP501" s="1" t="s">
        <v>91</v>
      </c>
      <c r="BQ501" t="s">
        <v>91</v>
      </c>
      <c r="BR501" s="3">
        <v>45194</v>
      </c>
      <c r="BS501" s="3"/>
      <c r="BT501" t="s">
        <v>91</v>
      </c>
      <c r="BU501" t="s">
        <v>91</v>
      </c>
      <c r="BW501" s="1" t="s">
        <v>90</v>
      </c>
    </row>
    <row r="502" spans="1:75" hidden="1" x14ac:dyDescent="0.35">
      <c r="A502">
        <v>156862</v>
      </c>
      <c r="B502" s="1" t="s">
        <v>75</v>
      </c>
      <c r="C502">
        <v>80</v>
      </c>
      <c r="D502">
        <v>11121002</v>
      </c>
      <c r="E502">
        <v>121002</v>
      </c>
      <c r="F502" s="1" t="s">
        <v>2915</v>
      </c>
      <c r="G502" s="1" t="s">
        <v>2930</v>
      </c>
      <c r="H502">
        <v>0</v>
      </c>
      <c r="I502" s="1" t="s">
        <v>78</v>
      </c>
      <c r="J502" s="1" t="s">
        <v>2931</v>
      </c>
      <c r="K502" s="1" t="s">
        <v>2932</v>
      </c>
      <c r="L502" t="s">
        <v>91</v>
      </c>
      <c r="M502" t="s">
        <v>91</v>
      </c>
      <c r="N502" s="1" t="s">
        <v>2933</v>
      </c>
      <c r="O502" t="s">
        <v>91</v>
      </c>
      <c r="P502" s="1" t="s">
        <v>2934</v>
      </c>
      <c r="Q502" s="1" t="s">
        <v>826</v>
      </c>
      <c r="R502" s="1" t="s">
        <v>135</v>
      </c>
      <c r="T502">
        <v>88460000</v>
      </c>
      <c r="U502" s="1" t="s">
        <v>2935</v>
      </c>
      <c r="V502" s="1" t="s">
        <v>2935</v>
      </c>
      <c r="W502" s="1" t="s">
        <v>87</v>
      </c>
      <c r="X502">
        <v>48</v>
      </c>
      <c r="Y502">
        <v>996766481</v>
      </c>
      <c r="Z502" t="s">
        <v>91</v>
      </c>
      <c r="AA502" t="s">
        <v>91</v>
      </c>
      <c r="AB502" t="s">
        <v>91</v>
      </c>
      <c r="AC502" t="s">
        <v>91</v>
      </c>
      <c r="AD502" t="s">
        <v>91</v>
      </c>
      <c r="AE502" t="s">
        <v>91</v>
      </c>
      <c r="AF502" t="s">
        <v>91</v>
      </c>
      <c r="AG502" s="1" t="s">
        <v>91</v>
      </c>
      <c r="AH502" s="1" t="s">
        <v>91</v>
      </c>
      <c r="AI502" t="s">
        <v>91</v>
      </c>
      <c r="AM502" t="s">
        <v>91</v>
      </c>
      <c r="AN502" t="s">
        <v>91</v>
      </c>
      <c r="AO502" t="s">
        <v>91</v>
      </c>
      <c r="AP502" t="s">
        <v>91</v>
      </c>
      <c r="AQ502" s="1" t="s">
        <v>91</v>
      </c>
      <c r="AR502" s="1" t="s">
        <v>91</v>
      </c>
      <c r="AS502" s="1" t="s">
        <v>91</v>
      </c>
      <c r="AT502" s="1" t="s">
        <v>91</v>
      </c>
      <c r="AU502" s="1" t="s">
        <v>91</v>
      </c>
      <c r="AV502" t="s">
        <v>91</v>
      </c>
      <c r="AW502" t="s">
        <v>91</v>
      </c>
      <c r="AX502" t="s">
        <v>91</v>
      </c>
      <c r="AY502" t="s">
        <v>91</v>
      </c>
      <c r="AZ502" t="s">
        <v>91</v>
      </c>
      <c r="BA502" t="s">
        <v>91</v>
      </c>
      <c r="BB502" s="2">
        <v>45113.505416666667</v>
      </c>
      <c r="BC502" s="2"/>
      <c r="BD502" t="s">
        <v>91</v>
      </c>
      <c r="BF502" s="1" t="s">
        <v>75</v>
      </c>
      <c r="BI502" s="1" t="s">
        <v>88</v>
      </c>
      <c r="BJ502">
        <v>1</v>
      </c>
      <c r="BK502" s="1" t="s">
        <v>89</v>
      </c>
      <c r="BL502" t="s">
        <v>91</v>
      </c>
      <c r="BM502" s="1" t="s">
        <v>91</v>
      </c>
      <c r="BN502" s="1" t="s">
        <v>91</v>
      </c>
      <c r="BO502" s="1" t="s">
        <v>91</v>
      </c>
      <c r="BP502" s="1" t="s">
        <v>91</v>
      </c>
      <c r="BQ502" t="s">
        <v>91</v>
      </c>
      <c r="BR502" s="3">
        <v>45113</v>
      </c>
      <c r="BS502" s="3"/>
      <c r="BT502" t="s">
        <v>91</v>
      </c>
      <c r="BU502" t="s">
        <v>91</v>
      </c>
      <c r="BW502" s="1" t="s">
        <v>263</v>
      </c>
    </row>
    <row r="503" spans="1:75" hidden="1" x14ac:dyDescent="0.35">
      <c r="A503">
        <v>156901</v>
      </c>
      <c r="B503" s="1" t="s">
        <v>75</v>
      </c>
      <c r="C503">
        <v>80</v>
      </c>
      <c r="D503">
        <v>11121002</v>
      </c>
      <c r="E503">
        <v>121002</v>
      </c>
      <c r="F503" s="1" t="s">
        <v>2915</v>
      </c>
      <c r="G503" s="1" t="s">
        <v>2936</v>
      </c>
      <c r="H503">
        <v>0</v>
      </c>
      <c r="I503" s="1" t="s">
        <v>78</v>
      </c>
      <c r="J503" s="1" t="s">
        <v>2937</v>
      </c>
      <c r="K503" s="1" t="s">
        <v>2938</v>
      </c>
      <c r="L503" t="s">
        <v>91</v>
      </c>
      <c r="M503" t="s">
        <v>91</v>
      </c>
      <c r="N503" s="1" t="s">
        <v>2939</v>
      </c>
      <c r="O503" t="s">
        <v>91</v>
      </c>
      <c r="P503" s="1" t="s">
        <v>2940</v>
      </c>
      <c r="Q503" s="1" t="s">
        <v>2941</v>
      </c>
      <c r="R503" s="1" t="s">
        <v>2942</v>
      </c>
      <c r="T503">
        <v>88802010</v>
      </c>
      <c r="U503" s="1" t="s">
        <v>108</v>
      </c>
      <c r="V503" s="1" t="s">
        <v>2943</v>
      </c>
      <c r="W503" s="1" t="s">
        <v>87</v>
      </c>
      <c r="X503">
        <v>48</v>
      </c>
      <c r="Y503">
        <v>999049389</v>
      </c>
      <c r="Z503" t="s">
        <v>91</v>
      </c>
      <c r="AA503" t="s">
        <v>91</v>
      </c>
      <c r="AB503" t="s">
        <v>91</v>
      </c>
      <c r="AC503" t="s">
        <v>91</v>
      </c>
      <c r="AD503" t="s">
        <v>91</v>
      </c>
      <c r="AE503" t="s">
        <v>91</v>
      </c>
      <c r="AF503" t="s">
        <v>91</v>
      </c>
      <c r="AG503" s="1" t="s">
        <v>91</v>
      </c>
      <c r="AH503" s="1" t="s">
        <v>91</v>
      </c>
      <c r="AI503" t="s">
        <v>91</v>
      </c>
      <c r="AM503" t="s">
        <v>91</v>
      </c>
      <c r="AN503" t="s">
        <v>91</v>
      </c>
      <c r="AO503" t="s">
        <v>91</v>
      </c>
      <c r="AP503" t="s">
        <v>91</v>
      </c>
      <c r="AQ503" s="1" t="s">
        <v>91</v>
      </c>
      <c r="AR503" s="1" t="s">
        <v>91</v>
      </c>
      <c r="AS503" s="1" t="s">
        <v>91</v>
      </c>
      <c r="AT503" s="1" t="s">
        <v>91</v>
      </c>
      <c r="AU503" s="1" t="s">
        <v>91</v>
      </c>
      <c r="AV503" t="s">
        <v>91</v>
      </c>
      <c r="AW503" t="s">
        <v>91</v>
      </c>
      <c r="AX503" t="s">
        <v>91</v>
      </c>
      <c r="AY503" t="s">
        <v>91</v>
      </c>
      <c r="AZ503" t="s">
        <v>91</v>
      </c>
      <c r="BA503" t="s">
        <v>91</v>
      </c>
      <c r="BB503" s="2">
        <v>45113.505416666667</v>
      </c>
      <c r="BC503" s="2"/>
      <c r="BD503" t="s">
        <v>91</v>
      </c>
      <c r="BF503" s="1" t="s">
        <v>75</v>
      </c>
      <c r="BI503" s="1" t="s">
        <v>88</v>
      </c>
      <c r="BJ503">
        <v>1</v>
      </c>
      <c r="BK503" s="1" t="s">
        <v>89</v>
      </c>
      <c r="BL503" t="s">
        <v>91</v>
      </c>
      <c r="BM503" s="1" t="s">
        <v>91</v>
      </c>
      <c r="BN503" s="1" t="s">
        <v>91</v>
      </c>
      <c r="BO503" s="1" t="s">
        <v>91</v>
      </c>
      <c r="BP503" s="1" t="s">
        <v>91</v>
      </c>
      <c r="BQ503" t="s">
        <v>91</v>
      </c>
      <c r="BR503" s="3">
        <v>45113</v>
      </c>
      <c r="BS503" s="3"/>
      <c r="BT503" t="s">
        <v>91</v>
      </c>
      <c r="BU503" t="s">
        <v>91</v>
      </c>
      <c r="BW503" s="1" t="s">
        <v>90</v>
      </c>
    </row>
    <row r="504" spans="1:75" hidden="1" x14ac:dyDescent="0.35">
      <c r="A504">
        <v>156855</v>
      </c>
      <c r="B504" s="1" t="s">
        <v>75</v>
      </c>
      <c r="C504">
        <v>80</v>
      </c>
      <c r="D504">
        <v>11121002</v>
      </c>
      <c r="E504">
        <v>121002</v>
      </c>
      <c r="F504" s="1" t="s">
        <v>2915</v>
      </c>
      <c r="G504" s="1" t="s">
        <v>2944</v>
      </c>
      <c r="H504">
        <v>0</v>
      </c>
      <c r="I504" s="1" t="s">
        <v>78</v>
      </c>
      <c r="J504" s="1" t="s">
        <v>2945</v>
      </c>
      <c r="K504" s="1" t="s">
        <v>2946</v>
      </c>
      <c r="L504" t="s">
        <v>91</v>
      </c>
      <c r="M504" t="s">
        <v>91</v>
      </c>
      <c r="N504" s="1" t="s">
        <v>2947</v>
      </c>
      <c r="O504" t="s">
        <v>91</v>
      </c>
      <c r="P504" s="1" t="s">
        <v>2948</v>
      </c>
      <c r="Q504" s="1" t="s">
        <v>1102</v>
      </c>
      <c r="R504" s="1" t="s">
        <v>2949</v>
      </c>
      <c r="S504">
        <v>1259</v>
      </c>
      <c r="T504">
        <v>88132599</v>
      </c>
      <c r="U504" s="1" t="s">
        <v>2950</v>
      </c>
      <c r="V504" s="1" t="s">
        <v>2951</v>
      </c>
      <c r="W504" s="1" t="s">
        <v>87</v>
      </c>
      <c r="X504">
        <v>48</v>
      </c>
      <c r="Y504">
        <v>998582109</v>
      </c>
      <c r="Z504" t="s">
        <v>91</v>
      </c>
      <c r="AA504" t="s">
        <v>91</v>
      </c>
      <c r="AB504" t="s">
        <v>91</v>
      </c>
      <c r="AC504" t="s">
        <v>91</v>
      </c>
      <c r="AD504" t="s">
        <v>91</v>
      </c>
      <c r="AE504" t="s">
        <v>91</v>
      </c>
      <c r="AF504" t="s">
        <v>91</v>
      </c>
      <c r="AG504" s="1" t="s">
        <v>91</v>
      </c>
      <c r="AH504" s="1" t="s">
        <v>91</v>
      </c>
      <c r="AI504" t="s">
        <v>91</v>
      </c>
      <c r="AM504" t="s">
        <v>91</v>
      </c>
      <c r="AN504" t="s">
        <v>91</v>
      </c>
      <c r="AO504" t="s">
        <v>91</v>
      </c>
      <c r="AP504" t="s">
        <v>91</v>
      </c>
      <c r="AQ504" s="1" t="s">
        <v>91</v>
      </c>
      <c r="AR504" s="1" t="s">
        <v>91</v>
      </c>
      <c r="AS504" s="1" t="s">
        <v>91</v>
      </c>
      <c r="AT504" s="1" t="s">
        <v>91</v>
      </c>
      <c r="AU504" s="1" t="s">
        <v>91</v>
      </c>
      <c r="AV504" t="s">
        <v>91</v>
      </c>
      <c r="AW504" t="s">
        <v>91</v>
      </c>
      <c r="AX504" t="s">
        <v>91</v>
      </c>
      <c r="AY504" t="s">
        <v>91</v>
      </c>
      <c r="AZ504" t="s">
        <v>91</v>
      </c>
      <c r="BA504" t="s">
        <v>91</v>
      </c>
      <c r="BB504" s="2">
        <v>45113.505416666667</v>
      </c>
      <c r="BC504" s="2"/>
      <c r="BD504" t="s">
        <v>91</v>
      </c>
      <c r="BF504" s="1" t="s">
        <v>75</v>
      </c>
      <c r="BI504" s="1" t="s">
        <v>88</v>
      </c>
      <c r="BJ504">
        <v>1</v>
      </c>
      <c r="BK504" s="1" t="s">
        <v>89</v>
      </c>
      <c r="BL504" t="s">
        <v>91</v>
      </c>
      <c r="BM504" s="1" t="s">
        <v>91</v>
      </c>
      <c r="BN504" s="1" t="s">
        <v>91</v>
      </c>
      <c r="BO504" s="1" t="s">
        <v>91</v>
      </c>
      <c r="BP504" s="1" t="s">
        <v>91</v>
      </c>
      <c r="BQ504" t="s">
        <v>91</v>
      </c>
      <c r="BR504" s="3">
        <v>45113</v>
      </c>
      <c r="BS504" s="3"/>
      <c r="BT504" t="s">
        <v>91</v>
      </c>
      <c r="BU504" t="s">
        <v>91</v>
      </c>
      <c r="BW504" s="1" t="s">
        <v>862</v>
      </c>
    </row>
    <row r="505" spans="1:75" hidden="1" x14ac:dyDescent="0.35">
      <c r="A505">
        <v>157684</v>
      </c>
      <c r="B505" s="1" t="s">
        <v>75</v>
      </c>
      <c r="C505">
        <v>80</v>
      </c>
      <c r="D505">
        <v>11121002</v>
      </c>
      <c r="E505">
        <v>121002</v>
      </c>
      <c r="F505" s="1" t="s">
        <v>2915</v>
      </c>
      <c r="G505" s="1" t="s">
        <v>2952</v>
      </c>
      <c r="H505">
        <v>0</v>
      </c>
      <c r="I505" s="1" t="s">
        <v>78</v>
      </c>
      <c r="J505" s="1" t="s">
        <v>2953</v>
      </c>
      <c r="K505" s="1" t="s">
        <v>2954</v>
      </c>
      <c r="L505" t="s">
        <v>91</v>
      </c>
      <c r="M505" t="s">
        <v>91</v>
      </c>
      <c r="N505" s="1" t="s">
        <v>2955</v>
      </c>
      <c r="O505" t="s">
        <v>91</v>
      </c>
      <c r="P505" s="1" t="s">
        <v>2956</v>
      </c>
      <c r="Q505" s="1" t="s">
        <v>862</v>
      </c>
      <c r="R505" s="1" t="s">
        <v>91</v>
      </c>
      <c r="T505">
        <v>88117310</v>
      </c>
      <c r="U505" s="1" t="s">
        <v>2957</v>
      </c>
      <c r="V505" s="1" t="s">
        <v>2958</v>
      </c>
      <c r="W505" s="1" t="s">
        <v>87</v>
      </c>
      <c r="X505">
        <v>48</v>
      </c>
      <c r="Y505">
        <v>998595566</v>
      </c>
      <c r="Z505" t="s">
        <v>91</v>
      </c>
      <c r="AA505" t="s">
        <v>91</v>
      </c>
      <c r="AB505" t="s">
        <v>91</v>
      </c>
      <c r="AC505" t="s">
        <v>91</v>
      </c>
      <c r="AD505" t="s">
        <v>91</v>
      </c>
      <c r="AE505" t="s">
        <v>91</v>
      </c>
      <c r="AF505" t="s">
        <v>91</v>
      </c>
      <c r="AG505" s="1" t="s">
        <v>91</v>
      </c>
      <c r="AH505" s="1" t="s">
        <v>91</v>
      </c>
      <c r="AI505" t="s">
        <v>91</v>
      </c>
      <c r="AM505" t="s">
        <v>91</v>
      </c>
      <c r="AN505" t="s">
        <v>91</v>
      </c>
      <c r="AO505" t="s">
        <v>91</v>
      </c>
      <c r="AP505" t="s">
        <v>91</v>
      </c>
      <c r="AQ505" s="1" t="s">
        <v>91</v>
      </c>
      <c r="AR505" s="1" t="s">
        <v>91</v>
      </c>
      <c r="AS505" s="1" t="s">
        <v>91</v>
      </c>
      <c r="AT505" s="1" t="s">
        <v>91</v>
      </c>
      <c r="AU505" s="1" t="s">
        <v>91</v>
      </c>
      <c r="AV505" t="s">
        <v>91</v>
      </c>
      <c r="AW505" t="s">
        <v>91</v>
      </c>
      <c r="AX505" t="s">
        <v>91</v>
      </c>
      <c r="AY505" t="s">
        <v>91</v>
      </c>
      <c r="AZ505" t="s">
        <v>91</v>
      </c>
      <c r="BA505" t="s">
        <v>91</v>
      </c>
      <c r="BB505" s="2">
        <v>45118.097175925926</v>
      </c>
      <c r="BC505" s="2"/>
      <c r="BD505" t="s">
        <v>91</v>
      </c>
      <c r="BF505" s="1" t="s">
        <v>75</v>
      </c>
      <c r="BI505" s="1" t="s">
        <v>88</v>
      </c>
      <c r="BJ505">
        <v>1</v>
      </c>
      <c r="BK505" s="1" t="s">
        <v>89</v>
      </c>
      <c r="BL505" t="s">
        <v>91</v>
      </c>
      <c r="BM505" s="1" t="s">
        <v>91</v>
      </c>
      <c r="BN505" s="1" t="s">
        <v>91</v>
      </c>
      <c r="BO505" s="1" t="s">
        <v>91</v>
      </c>
      <c r="BP505" s="1" t="s">
        <v>91</v>
      </c>
      <c r="BQ505" t="s">
        <v>91</v>
      </c>
      <c r="BR505" s="3">
        <v>45118</v>
      </c>
      <c r="BS505" s="3"/>
      <c r="BT505" t="s">
        <v>91</v>
      </c>
      <c r="BU505" t="s">
        <v>91</v>
      </c>
      <c r="BW505" s="1" t="s">
        <v>90</v>
      </c>
    </row>
    <row r="506" spans="1:75" hidden="1" x14ac:dyDescent="0.35">
      <c r="A506">
        <v>157683</v>
      </c>
      <c r="B506" s="1" t="s">
        <v>75</v>
      </c>
      <c r="C506">
        <v>80</v>
      </c>
      <c r="D506">
        <v>11121002</v>
      </c>
      <c r="E506">
        <v>121002</v>
      </c>
      <c r="F506" s="1" t="s">
        <v>2915</v>
      </c>
      <c r="G506" s="1" t="s">
        <v>2959</v>
      </c>
      <c r="H506">
        <v>0</v>
      </c>
      <c r="I506" s="1" t="s">
        <v>78</v>
      </c>
      <c r="J506" s="1" t="s">
        <v>2960</v>
      </c>
      <c r="K506" s="1" t="s">
        <v>2961</v>
      </c>
      <c r="L506" t="s">
        <v>91</v>
      </c>
      <c r="M506" t="s">
        <v>91</v>
      </c>
      <c r="N506" s="1" t="s">
        <v>2962</v>
      </c>
      <c r="O506" t="s">
        <v>91</v>
      </c>
      <c r="P506" s="1" t="s">
        <v>2963</v>
      </c>
      <c r="Q506" s="1" t="s">
        <v>1253</v>
      </c>
      <c r="R506" s="1" t="s">
        <v>91</v>
      </c>
      <c r="T506">
        <v>88063060</v>
      </c>
      <c r="U506" s="1" t="s">
        <v>2964</v>
      </c>
      <c r="V506" s="1" t="s">
        <v>2922</v>
      </c>
      <c r="W506" s="1" t="s">
        <v>87</v>
      </c>
      <c r="X506">
        <v>48</v>
      </c>
      <c r="Y506">
        <v>991150898</v>
      </c>
      <c r="Z506" t="s">
        <v>91</v>
      </c>
      <c r="AA506" t="s">
        <v>91</v>
      </c>
      <c r="AB506" t="s">
        <v>91</v>
      </c>
      <c r="AC506" t="s">
        <v>91</v>
      </c>
      <c r="AD506" t="s">
        <v>91</v>
      </c>
      <c r="AE506" t="s">
        <v>91</v>
      </c>
      <c r="AF506" t="s">
        <v>91</v>
      </c>
      <c r="AG506" s="1" t="s">
        <v>91</v>
      </c>
      <c r="AH506" s="1" t="s">
        <v>91</v>
      </c>
      <c r="AI506" t="s">
        <v>91</v>
      </c>
      <c r="AM506" t="s">
        <v>91</v>
      </c>
      <c r="AN506" t="s">
        <v>91</v>
      </c>
      <c r="AO506" t="s">
        <v>91</v>
      </c>
      <c r="AP506" t="s">
        <v>91</v>
      </c>
      <c r="AQ506" s="1" t="s">
        <v>91</v>
      </c>
      <c r="AR506" s="1" t="s">
        <v>91</v>
      </c>
      <c r="AS506" s="1" t="s">
        <v>91</v>
      </c>
      <c r="AT506" s="1" t="s">
        <v>91</v>
      </c>
      <c r="AU506" s="1" t="s">
        <v>91</v>
      </c>
      <c r="AV506" t="s">
        <v>91</v>
      </c>
      <c r="AW506" t="s">
        <v>91</v>
      </c>
      <c r="AX506" t="s">
        <v>91</v>
      </c>
      <c r="AY506" t="s">
        <v>91</v>
      </c>
      <c r="AZ506" t="s">
        <v>91</v>
      </c>
      <c r="BA506" t="s">
        <v>91</v>
      </c>
      <c r="BB506" s="2">
        <v>45118.097175925926</v>
      </c>
      <c r="BC506" s="2"/>
      <c r="BD506" t="s">
        <v>91</v>
      </c>
      <c r="BF506" s="1" t="s">
        <v>75</v>
      </c>
      <c r="BI506" s="1" t="s">
        <v>88</v>
      </c>
      <c r="BJ506">
        <v>1</v>
      </c>
      <c r="BK506" s="1" t="s">
        <v>89</v>
      </c>
      <c r="BL506" t="s">
        <v>91</v>
      </c>
      <c r="BM506" s="1" t="s">
        <v>91</v>
      </c>
      <c r="BN506" s="1" t="s">
        <v>91</v>
      </c>
      <c r="BO506" s="1" t="s">
        <v>91</v>
      </c>
      <c r="BP506" s="1" t="s">
        <v>91</v>
      </c>
      <c r="BQ506" t="s">
        <v>91</v>
      </c>
      <c r="BR506" s="3">
        <v>45118</v>
      </c>
      <c r="BS506" s="3"/>
      <c r="BT506" t="s">
        <v>91</v>
      </c>
      <c r="BU506" t="s">
        <v>91</v>
      </c>
      <c r="BW506" s="1" t="s">
        <v>2106</v>
      </c>
    </row>
    <row r="507" spans="1:75" hidden="1" x14ac:dyDescent="0.35">
      <c r="A507">
        <v>158709</v>
      </c>
      <c r="B507" s="1" t="s">
        <v>75</v>
      </c>
      <c r="C507">
        <v>80</v>
      </c>
      <c r="D507">
        <v>11121002</v>
      </c>
      <c r="E507">
        <v>121002</v>
      </c>
      <c r="F507" s="1" t="s">
        <v>2915</v>
      </c>
      <c r="G507" s="1" t="s">
        <v>2965</v>
      </c>
      <c r="I507" s="1" t="s">
        <v>78</v>
      </c>
      <c r="J507" s="1" t="s">
        <v>2966</v>
      </c>
      <c r="K507" s="1" t="s">
        <v>2967</v>
      </c>
      <c r="L507" t="s">
        <v>91</v>
      </c>
      <c r="M507" t="s">
        <v>91</v>
      </c>
      <c r="N507" s="1" t="s">
        <v>2968</v>
      </c>
      <c r="O507" t="s">
        <v>91</v>
      </c>
      <c r="P507" s="1" t="s">
        <v>2969</v>
      </c>
      <c r="Q507" s="1" t="s">
        <v>2970</v>
      </c>
      <c r="R507" s="1" t="s">
        <v>91</v>
      </c>
      <c r="S507">
        <v>1268</v>
      </c>
      <c r="T507">
        <v>88790000</v>
      </c>
      <c r="U507" s="1" t="s">
        <v>108</v>
      </c>
      <c r="V507" s="1" t="s">
        <v>2971</v>
      </c>
      <c r="W507" s="1" t="s">
        <v>87</v>
      </c>
      <c r="X507">
        <v>48</v>
      </c>
      <c r="Y507">
        <v>999186138</v>
      </c>
      <c r="Z507" t="s">
        <v>91</v>
      </c>
      <c r="AA507" t="s">
        <v>91</v>
      </c>
      <c r="AB507" t="s">
        <v>91</v>
      </c>
      <c r="AC507" t="s">
        <v>91</v>
      </c>
      <c r="AD507" t="s">
        <v>91</v>
      </c>
      <c r="AE507" t="s">
        <v>91</v>
      </c>
      <c r="AF507" t="s">
        <v>91</v>
      </c>
      <c r="AG507" s="1" t="s">
        <v>91</v>
      </c>
      <c r="AH507" s="1" t="s">
        <v>91</v>
      </c>
      <c r="AI507" t="s">
        <v>91</v>
      </c>
      <c r="AM507" t="s">
        <v>91</v>
      </c>
      <c r="AN507" t="s">
        <v>91</v>
      </c>
      <c r="AO507" t="s">
        <v>91</v>
      </c>
      <c r="AP507" t="s">
        <v>91</v>
      </c>
      <c r="AQ507" s="1" t="s">
        <v>91</v>
      </c>
      <c r="AR507" s="1" t="s">
        <v>91</v>
      </c>
      <c r="AS507" s="1" t="s">
        <v>91</v>
      </c>
      <c r="AT507" s="1" t="s">
        <v>91</v>
      </c>
      <c r="AU507" s="1" t="s">
        <v>91</v>
      </c>
      <c r="AV507" t="s">
        <v>91</v>
      </c>
      <c r="AW507" t="s">
        <v>91</v>
      </c>
      <c r="AX507" t="s">
        <v>91</v>
      </c>
      <c r="AY507" t="s">
        <v>91</v>
      </c>
      <c r="AZ507" t="s">
        <v>91</v>
      </c>
      <c r="BA507" t="s">
        <v>91</v>
      </c>
      <c r="BB507" s="2">
        <v>45155.700069444443</v>
      </c>
      <c r="BC507" s="2"/>
      <c r="BD507" t="s">
        <v>91</v>
      </c>
      <c r="BF507" s="1" t="s">
        <v>75</v>
      </c>
      <c r="BI507" s="1" t="s">
        <v>88</v>
      </c>
      <c r="BJ507">
        <v>1</v>
      </c>
      <c r="BK507" s="1" t="s">
        <v>89</v>
      </c>
      <c r="BL507" t="s">
        <v>91</v>
      </c>
      <c r="BM507" s="1" t="s">
        <v>91</v>
      </c>
      <c r="BN507" s="1" t="s">
        <v>91</v>
      </c>
      <c r="BO507" s="1" t="s">
        <v>91</v>
      </c>
      <c r="BP507" s="1" t="s">
        <v>91</v>
      </c>
      <c r="BQ507" t="s">
        <v>91</v>
      </c>
      <c r="BR507" s="3">
        <v>45155</v>
      </c>
      <c r="BS507" s="3"/>
      <c r="BT507" t="s">
        <v>91</v>
      </c>
      <c r="BU507" t="s">
        <v>91</v>
      </c>
      <c r="BW507" s="1" t="s">
        <v>263</v>
      </c>
    </row>
    <row r="508" spans="1:75" hidden="1" x14ac:dyDescent="0.35">
      <c r="A508">
        <v>159585</v>
      </c>
      <c r="B508" s="1" t="s">
        <v>75</v>
      </c>
      <c r="C508">
        <v>80</v>
      </c>
      <c r="D508">
        <v>11121002</v>
      </c>
      <c r="E508">
        <v>121002</v>
      </c>
      <c r="F508" s="1" t="s">
        <v>2915</v>
      </c>
      <c r="G508" s="1" t="s">
        <v>2972</v>
      </c>
      <c r="I508" s="1" t="s">
        <v>78</v>
      </c>
      <c r="J508" s="1" t="s">
        <v>2973</v>
      </c>
      <c r="K508" s="1" t="s">
        <v>2974</v>
      </c>
      <c r="L508" t="s">
        <v>91</v>
      </c>
      <c r="M508" t="s">
        <v>91</v>
      </c>
      <c r="N508" s="1" t="s">
        <v>2975</v>
      </c>
      <c r="O508" t="s">
        <v>91</v>
      </c>
      <c r="P508" s="1" t="s">
        <v>2976</v>
      </c>
      <c r="Q508" s="1" t="s">
        <v>2977</v>
      </c>
      <c r="R508" s="1" t="s">
        <v>2978</v>
      </c>
      <c r="T508">
        <v>88180171</v>
      </c>
      <c r="U508" s="1" t="s">
        <v>108</v>
      </c>
      <c r="V508" s="1" t="s">
        <v>2979</v>
      </c>
      <c r="W508" s="1" t="s">
        <v>87</v>
      </c>
      <c r="X508">
        <v>48</v>
      </c>
      <c r="Y508">
        <v>996766481</v>
      </c>
      <c r="Z508" t="s">
        <v>91</v>
      </c>
      <c r="AA508" t="s">
        <v>91</v>
      </c>
      <c r="AB508" t="s">
        <v>91</v>
      </c>
      <c r="AC508" t="s">
        <v>91</v>
      </c>
      <c r="AD508" t="s">
        <v>91</v>
      </c>
      <c r="AE508" t="s">
        <v>91</v>
      </c>
      <c r="AF508" t="s">
        <v>91</v>
      </c>
      <c r="AG508" s="1" t="s">
        <v>91</v>
      </c>
      <c r="AH508" s="1" t="s">
        <v>91</v>
      </c>
      <c r="AI508" t="s">
        <v>91</v>
      </c>
      <c r="AM508" t="s">
        <v>91</v>
      </c>
      <c r="AN508" t="s">
        <v>91</v>
      </c>
      <c r="AO508" t="s">
        <v>91</v>
      </c>
      <c r="AP508" t="s">
        <v>91</v>
      </c>
      <c r="AQ508" s="1" t="s">
        <v>91</v>
      </c>
      <c r="AR508" s="1" t="s">
        <v>91</v>
      </c>
      <c r="AS508" s="1" t="s">
        <v>91</v>
      </c>
      <c r="AT508" s="1" t="s">
        <v>91</v>
      </c>
      <c r="AU508" s="1" t="s">
        <v>91</v>
      </c>
      <c r="AV508" t="s">
        <v>91</v>
      </c>
      <c r="AW508" t="s">
        <v>91</v>
      </c>
      <c r="AX508" t="s">
        <v>91</v>
      </c>
      <c r="AY508" t="s">
        <v>91</v>
      </c>
      <c r="AZ508" t="s">
        <v>91</v>
      </c>
      <c r="BA508" t="s">
        <v>91</v>
      </c>
      <c r="BB508" s="2">
        <v>45194.491122685184</v>
      </c>
      <c r="BC508" s="2"/>
      <c r="BD508" t="s">
        <v>91</v>
      </c>
      <c r="BF508" s="1" t="s">
        <v>75</v>
      </c>
      <c r="BI508" s="1" t="s">
        <v>88</v>
      </c>
      <c r="BJ508">
        <v>1</v>
      </c>
      <c r="BK508" s="1" t="s">
        <v>89</v>
      </c>
      <c r="BL508" t="s">
        <v>91</v>
      </c>
      <c r="BM508" s="1" t="s">
        <v>91</v>
      </c>
      <c r="BN508" s="1" t="s">
        <v>91</v>
      </c>
      <c r="BO508" s="1" t="s">
        <v>91</v>
      </c>
      <c r="BP508" s="1" t="s">
        <v>91</v>
      </c>
      <c r="BQ508" t="s">
        <v>91</v>
      </c>
      <c r="BR508" s="3">
        <v>45194</v>
      </c>
      <c r="BS508" s="3"/>
      <c r="BT508" t="s">
        <v>91</v>
      </c>
      <c r="BU508" t="s">
        <v>91</v>
      </c>
      <c r="BW508" s="1" t="s">
        <v>90</v>
      </c>
    </row>
    <row r="509" spans="1:75" hidden="1" x14ac:dyDescent="0.35">
      <c r="A509">
        <v>158694</v>
      </c>
      <c r="B509" s="1" t="s">
        <v>75</v>
      </c>
      <c r="C509">
        <v>80</v>
      </c>
      <c r="D509">
        <v>11121002</v>
      </c>
      <c r="E509">
        <v>121002</v>
      </c>
      <c r="F509" s="1" t="s">
        <v>2915</v>
      </c>
      <c r="G509" s="1" t="s">
        <v>2980</v>
      </c>
      <c r="I509" s="1" t="s">
        <v>78</v>
      </c>
      <c r="J509" s="1" t="s">
        <v>2981</v>
      </c>
      <c r="K509" s="1" t="s">
        <v>2982</v>
      </c>
      <c r="L509" t="s">
        <v>91</v>
      </c>
      <c r="M509" t="s">
        <v>91</v>
      </c>
      <c r="N509" s="1" t="s">
        <v>2983</v>
      </c>
      <c r="O509" t="s">
        <v>91</v>
      </c>
      <c r="P509" s="1" t="s">
        <v>2984</v>
      </c>
      <c r="Q509" s="1" t="s">
        <v>2985</v>
      </c>
      <c r="R509" s="1" t="s">
        <v>2986</v>
      </c>
      <c r="S509">
        <v>1269</v>
      </c>
      <c r="T509">
        <v>88850000</v>
      </c>
      <c r="U509" s="1" t="s">
        <v>108</v>
      </c>
      <c r="V509" s="1" t="s">
        <v>2987</v>
      </c>
      <c r="W509" s="1" t="s">
        <v>87</v>
      </c>
      <c r="X509">
        <v>48</v>
      </c>
      <c r="Y509">
        <v>999513959</v>
      </c>
      <c r="Z509" t="s">
        <v>91</v>
      </c>
      <c r="AA509" t="s">
        <v>91</v>
      </c>
      <c r="AB509" t="s">
        <v>91</v>
      </c>
      <c r="AC509" t="s">
        <v>91</v>
      </c>
      <c r="AD509" t="s">
        <v>91</v>
      </c>
      <c r="AE509" t="s">
        <v>91</v>
      </c>
      <c r="AF509" t="s">
        <v>91</v>
      </c>
      <c r="AG509" s="1" t="s">
        <v>91</v>
      </c>
      <c r="AH509" s="1" t="s">
        <v>91</v>
      </c>
      <c r="AI509" t="s">
        <v>91</v>
      </c>
      <c r="AM509" t="s">
        <v>91</v>
      </c>
      <c r="AN509" t="s">
        <v>91</v>
      </c>
      <c r="AO509" t="s">
        <v>91</v>
      </c>
      <c r="AP509" t="s">
        <v>91</v>
      </c>
      <c r="AQ509" s="1" t="s">
        <v>91</v>
      </c>
      <c r="AR509" s="1" t="s">
        <v>91</v>
      </c>
      <c r="AS509" s="1" t="s">
        <v>91</v>
      </c>
      <c r="AT509" s="1" t="s">
        <v>91</v>
      </c>
      <c r="AU509" s="1" t="s">
        <v>91</v>
      </c>
      <c r="AV509" t="s">
        <v>91</v>
      </c>
      <c r="AW509" t="s">
        <v>91</v>
      </c>
      <c r="AX509" t="s">
        <v>91</v>
      </c>
      <c r="AY509" t="s">
        <v>91</v>
      </c>
      <c r="AZ509" t="s">
        <v>91</v>
      </c>
      <c r="BA509" t="s">
        <v>91</v>
      </c>
      <c r="BB509" s="2">
        <v>45155.700069444443</v>
      </c>
      <c r="BC509" s="2"/>
      <c r="BD509" t="s">
        <v>91</v>
      </c>
      <c r="BF509" s="1" t="s">
        <v>75</v>
      </c>
      <c r="BI509" s="1" t="s">
        <v>88</v>
      </c>
      <c r="BJ509">
        <v>1</v>
      </c>
      <c r="BK509" s="1" t="s">
        <v>89</v>
      </c>
      <c r="BL509" t="s">
        <v>91</v>
      </c>
      <c r="BM509" s="1" t="s">
        <v>91</v>
      </c>
      <c r="BN509" s="1" t="s">
        <v>91</v>
      </c>
      <c r="BO509" s="1" t="s">
        <v>91</v>
      </c>
      <c r="BP509" s="1" t="s">
        <v>91</v>
      </c>
      <c r="BQ509" t="s">
        <v>91</v>
      </c>
      <c r="BR509" s="3">
        <v>45155</v>
      </c>
      <c r="BS509" s="3"/>
      <c r="BT509" t="s">
        <v>91</v>
      </c>
      <c r="BU509" t="s">
        <v>91</v>
      </c>
      <c r="BW509" s="1" t="s">
        <v>2526</v>
      </c>
    </row>
    <row r="510" spans="1:75" hidden="1" x14ac:dyDescent="0.35">
      <c r="A510">
        <v>159587</v>
      </c>
      <c r="B510" s="1" t="s">
        <v>75</v>
      </c>
      <c r="C510">
        <v>80</v>
      </c>
      <c r="D510">
        <v>11121002</v>
      </c>
      <c r="E510">
        <v>121002</v>
      </c>
      <c r="F510" s="1" t="s">
        <v>2915</v>
      </c>
      <c r="G510" s="1" t="s">
        <v>2988</v>
      </c>
      <c r="I510" s="1" t="s">
        <v>78</v>
      </c>
      <c r="J510" s="1" t="s">
        <v>2989</v>
      </c>
      <c r="K510" s="1" t="s">
        <v>2990</v>
      </c>
      <c r="L510" t="s">
        <v>91</v>
      </c>
      <c r="M510" t="s">
        <v>91</v>
      </c>
      <c r="N510" s="1" t="s">
        <v>2991</v>
      </c>
      <c r="O510" t="s">
        <v>91</v>
      </c>
      <c r="P510" s="1" t="s">
        <v>2992</v>
      </c>
      <c r="Q510" s="1" t="s">
        <v>2467</v>
      </c>
      <c r="R510" s="1" t="s">
        <v>2993</v>
      </c>
      <c r="T510">
        <v>88037000</v>
      </c>
      <c r="U510" s="1" t="s">
        <v>2994</v>
      </c>
      <c r="V510" s="1" t="s">
        <v>2922</v>
      </c>
      <c r="W510" s="1" t="s">
        <v>87</v>
      </c>
      <c r="X510">
        <v>48</v>
      </c>
      <c r="Y510">
        <v>996203707</v>
      </c>
      <c r="Z510" t="s">
        <v>91</v>
      </c>
      <c r="AA510" t="s">
        <v>91</v>
      </c>
      <c r="AB510" t="s">
        <v>91</v>
      </c>
      <c r="AC510" t="s">
        <v>91</v>
      </c>
      <c r="AD510" t="s">
        <v>91</v>
      </c>
      <c r="AE510" t="s">
        <v>91</v>
      </c>
      <c r="AF510" t="s">
        <v>91</v>
      </c>
      <c r="AG510" s="1" t="s">
        <v>91</v>
      </c>
      <c r="AH510" s="1" t="s">
        <v>91</v>
      </c>
      <c r="AI510" t="s">
        <v>91</v>
      </c>
      <c r="AM510" t="s">
        <v>91</v>
      </c>
      <c r="AN510" t="s">
        <v>91</v>
      </c>
      <c r="AO510" t="s">
        <v>91</v>
      </c>
      <c r="AP510" t="s">
        <v>91</v>
      </c>
      <c r="AQ510" s="1" t="s">
        <v>91</v>
      </c>
      <c r="AR510" s="1" t="s">
        <v>91</v>
      </c>
      <c r="AS510" s="1" t="s">
        <v>91</v>
      </c>
      <c r="AT510" s="1" t="s">
        <v>91</v>
      </c>
      <c r="AU510" s="1" t="s">
        <v>91</v>
      </c>
      <c r="AV510" t="s">
        <v>91</v>
      </c>
      <c r="AW510" t="s">
        <v>91</v>
      </c>
      <c r="AX510" t="s">
        <v>91</v>
      </c>
      <c r="AY510" t="s">
        <v>91</v>
      </c>
      <c r="AZ510" t="s">
        <v>91</v>
      </c>
      <c r="BA510" t="s">
        <v>91</v>
      </c>
      <c r="BB510" s="2">
        <v>45194.491122685184</v>
      </c>
      <c r="BC510" s="2"/>
      <c r="BD510" t="s">
        <v>91</v>
      </c>
      <c r="BF510" s="1" t="s">
        <v>75</v>
      </c>
      <c r="BI510" s="1" t="s">
        <v>88</v>
      </c>
      <c r="BJ510">
        <v>1</v>
      </c>
      <c r="BK510" s="1" t="s">
        <v>89</v>
      </c>
      <c r="BL510" t="s">
        <v>91</v>
      </c>
      <c r="BM510" s="1" t="s">
        <v>91</v>
      </c>
      <c r="BN510" s="1" t="s">
        <v>91</v>
      </c>
      <c r="BO510" s="1" t="s">
        <v>91</v>
      </c>
      <c r="BP510" s="1" t="s">
        <v>91</v>
      </c>
      <c r="BQ510" t="s">
        <v>91</v>
      </c>
      <c r="BR510" s="3">
        <v>45194</v>
      </c>
      <c r="BS510" s="3"/>
      <c r="BT510" t="s">
        <v>91</v>
      </c>
      <c r="BU510" t="s">
        <v>91</v>
      </c>
      <c r="BW510" s="1" t="s">
        <v>419</v>
      </c>
    </row>
    <row r="511" spans="1:75" hidden="1" x14ac:dyDescent="0.35">
      <c r="A511">
        <v>159589</v>
      </c>
      <c r="B511" s="1" t="s">
        <v>75</v>
      </c>
      <c r="C511">
        <v>80</v>
      </c>
      <c r="D511">
        <v>11121002</v>
      </c>
      <c r="E511">
        <v>121002</v>
      </c>
      <c r="F511" s="1" t="s">
        <v>2915</v>
      </c>
      <c r="G511" s="1" t="s">
        <v>2995</v>
      </c>
      <c r="I511" s="1" t="s">
        <v>78</v>
      </c>
      <c r="J511" s="1" t="s">
        <v>2996</v>
      </c>
      <c r="K511" s="1" t="s">
        <v>2997</v>
      </c>
      <c r="L511" t="s">
        <v>91</v>
      </c>
      <c r="M511" t="s">
        <v>91</v>
      </c>
      <c r="N511" s="1" t="s">
        <v>2998</v>
      </c>
      <c r="O511" t="s">
        <v>91</v>
      </c>
      <c r="P511" s="1" t="s">
        <v>2999</v>
      </c>
      <c r="Q511" s="1" t="s">
        <v>3000</v>
      </c>
      <c r="R511" s="1" t="s">
        <v>91</v>
      </c>
      <c r="T511">
        <v>88113835</v>
      </c>
      <c r="U511" s="1" t="s">
        <v>3001</v>
      </c>
      <c r="V511" s="1" t="s">
        <v>2958</v>
      </c>
      <c r="W511" s="1" t="s">
        <v>87</v>
      </c>
      <c r="X511">
        <v>48</v>
      </c>
      <c r="Y511">
        <v>999215716</v>
      </c>
      <c r="Z511" t="s">
        <v>91</v>
      </c>
      <c r="AA511" t="s">
        <v>91</v>
      </c>
      <c r="AB511" t="s">
        <v>91</v>
      </c>
      <c r="AC511" t="s">
        <v>91</v>
      </c>
      <c r="AD511" t="s">
        <v>91</v>
      </c>
      <c r="AE511" t="s">
        <v>91</v>
      </c>
      <c r="AF511" t="s">
        <v>91</v>
      </c>
      <c r="AG511" s="1" t="s">
        <v>91</v>
      </c>
      <c r="AH511" s="1" t="s">
        <v>91</v>
      </c>
      <c r="AI511" t="s">
        <v>91</v>
      </c>
      <c r="AM511" t="s">
        <v>91</v>
      </c>
      <c r="AN511" t="s">
        <v>91</v>
      </c>
      <c r="AO511" t="s">
        <v>91</v>
      </c>
      <c r="AP511" t="s">
        <v>91</v>
      </c>
      <c r="AQ511" s="1" t="s">
        <v>91</v>
      </c>
      <c r="AR511" s="1" t="s">
        <v>91</v>
      </c>
      <c r="AS511" s="1" t="s">
        <v>91</v>
      </c>
      <c r="AT511" s="1" t="s">
        <v>91</v>
      </c>
      <c r="AU511" s="1" t="s">
        <v>91</v>
      </c>
      <c r="AV511" t="s">
        <v>91</v>
      </c>
      <c r="AW511" t="s">
        <v>91</v>
      </c>
      <c r="AX511" t="s">
        <v>91</v>
      </c>
      <c r="AY511" t="s">
        <v>91</v>
      </c>
      <c r="AZ511" t="s">
        <v>91</v>
      </c>
      <c r="BA511" t="s">
        <v>91</v>
      </c>
      <c r="BB511" s="2">
        <v>45194.491122685184</v>
      </c>
      <c r="BC511" s="2"/>
      <c r="BD511" t="s">
        <v>91</v>
      </c>
      <c r="BF511" s="1" t="s">
        <v>75</v>
      </c>
      <c r="BI511" s="1" t="s">
        <v>88</v>
      </c>
      <c r="BJ511">
        <v>1</v>
      </c>
      <c r="BK511" s="1" t="s">
        <v>89</v>
      </c>
      <c r="BL511" t="s">
        <v>91</v>
      </c>
      <c r="BM511" s="1" t="s">
        <v>91</v>
      </c>
      <c r="BN511" s="1" t="s">
        <v>91</v>
      </c>
      <c r="BO511" s="1" t="s">
        <v>91</v>
      </c>
      <c r="BP511" s="1" t="s">
        <v>91</v>
      </c>
      <c r="BQ511" t="s">
        <v>91</v>
      </c>
      <c r="BR511" s="3">
        <v>45194</v>
      </c>
      <c r="BS511" s="3"/>
      <c r="BT511" t="s">
        <v>91</v>
      </c>
      <c r="BU511" t="s">
        <v>91</v>
      </c>
      <c r="BW511" s="1" t="s">
        <v>3002</v>
      </c>
    </row>
    <row r="512" spans="1:75" hidden="1" x14ac:dyDescent="0.35">
      <c r="A512">
        <v>157695</v>
      </c>
      <c r="B512" s="1" t="s">
        <v>75</v>
      </c>
      <c r="C512">
        <v>80</v>
      </c>
      <c r="D512">
        <v>11121002</v>
      </c>
      <c r="E512">
        <v>121002</v>
      </c>
      <c r="F512" s="1" t="s">
        <v>2915</v>
      </c>
      <c r="G512" s="1" t="s">
        <v>3003</v>
      </c>
      <c r="H512">
        <v>0</v>
      </c>
      <c r="I512" s="1" t="s">
        <v>78</v>
      </c>
      <c r="J512" s="1" t="s">
        <v>3004</v>
      </c>
      <c r="K512" s="1" t="s">
        <v>3005</v>
      </c>
      <c r="L512" t="s">
        <v>91</v>
      </c>
      <c r="M512" t="s">
        <v>91</v>
      </c>
      <c r="N512" s="1" t="s">
        <v>3006</v>
      </c>
      <c r="O512" t="s">
        <v>91</v>
      </c>
      <c r="P512" s="1" t="s">
        <v>3007</v>
      </c>
      <c r="Q512" s="1" t="s">
        <v>3008</v>
      </c>
      <c r="R512" s="1" t="s">
        <v>275</v>
      </c>
      <c r="S512">
        <v>1259</v>
      </c>
      <c r="T512">
        <v>88106500</v>
      </c>
      <c r="U512" s="1" t="s">
        <v>2987</v>
      </c>
      <c r="V512" s="1" t="s">
        <v>2958</v>
      </c>
      <c r="W512" s="1" t="s">
        <v>87</v>
      </c>
      <c r="X512">
        <v>48</v>
      </c>
      <c r="Y512">
        <v>999236594</v>
      </c>
      <c r="Z512" t="s">
        <v>91</v>
      </c>
      <c r="AA512" t="s">
        <v>91</v>
      </c>
      <c r="AB512" t="s">
        <v>91</v>
      </c>
      <c r="AC512" t="s">
        <v>91</v>
      </c>
      <c r="AD512" t="s">
        <v>91</v>
      </c>
      <c r="AE512" t="s">
        <v>91</v>
      </c>
      <c r="AF512" t="s">
        <v>91</v>
      </c>
      <c r="AG512" s="1" t="s">
        <v>91</v>
      </c>
      <c r="AH512" s="1" t="s">
        <v>91</v>
      </c>
      <c r="AI512" t="s">
        <v>91</v>
      </c>
      <c r="AM512" t="s">
        <v>91</v>
      </c>
      <c r="AN512" t="s">
        <v>91</v>
      </c>
      <c r="AO512" t="s">
        <v>91</v>
      </c>
      <c r="AP512" t="s">
        <v>91</v>
      </c>
      <c r="AQ512" s="1" t="s">
        <v>91</v>
      </c>
      <c r="AR512" s="1" t="s">
        <v>91</v>
      </c>
      <c r="AS512" s="1" t="s">
        <v>91</v>
      </c>
      <c r="AT512" s="1" t="s">
        <v>91</v>
      </c>
      <c r="AU512" s="1" t="s">
        <v>91</v>
      </c>
      <c r="AV512" t="s">
        <v>91</v>
      </c>
      <c r="AW512" t="s">
        <v>91</v>
      </c>
      <c r="AX512" t="s">
        <v>91</v>
      </c>
      <c r="AY512" t="s">
        <v>91</v>
      </c>
      <c r="AZ512" t="s">
        <v>91</v>
      </c>
      <c r="BA512" t="s">
        <v>91</v>
      </c>
      <c r="BB512" s="2">
        <v>45118.097175925926</v>
      </c>
      <c r="BC512" s="2"/>
      <c r="BD512" t="s">
        <v>91</v>
      </c>
      <c r="BF512" s="1" t="s">
        <v>75</v>
      </c>
      <c r="BI512" s="1" t="s">
        <v>88</v>
      </c>
      <c r="BJ512">
        <v>1</v>
      </c>
      <c r="BK512" s="1" t="s">
        <v>89</v>
      </c>
      <c r="BL512" t="s">
        <v>91</v>
      </c>
      <c r="BM512" s="1" t="s">
        <v>91</v>
      </c>
      <c r="BN512" s="1" t="s">
        <v>91</v>
      </c>
      <c r="BO512" s="1" t="s">
        <v>91</v>
      </c>
      <c r="BP512" s="1" t="s">
        <v>91</v>
      </c>
      <c r="BQ512" t="s">
        <v>91</v>
      </c>
      <c r="BR512" s="3">
        <v>45118</v>
      </c>
      <c r="BS512" s="3"/>
      <c r="BT512" t="s">
        <v>91</v>
      </c>
      <c r="BU512" t="s">
        <v>91</v>
      </c>
      <c r="BW512" s="1" t="s">
        <v>90</v>
      </c>
    </row>
    <row r="513" spans="1:75" hidden="1" x14ac:dyDescent="0.35">
      <c r="A513">
        <v>134328</v>
      </c>
      <c r="B513" s="1" t="s">
        <v>75</v>
      </c>
      <c r="C513">
        <v>80</v>
      </c>
      <c r="D513">
        <v>11121002</v>
      </c>
      <c r="E513">
        <v>121002</v>
      </c>
      <c r="F513" s="1" t="s">
        <v>2915</v>
      </c>
      <c r="G513" s="1" t="s">
        <v>3009</v>
      </c>
      <c r="I513" s="1" t="s">
        <v>78</v>
      </c>
      <c r="J513" s="1" t="s">
        <v>3010</v>
      </c>
      <c r="K513" s="1" t="s">
        <v>3011</v>
      </c>
      <c r="L513" t="s">
        <v>91</v>
      </c>
      <c r="M513" t="s">
        <v>91</v>
      </c>
      <c r="N513" s="1" t="s">
        <v>3012</v>
      </c>
      <c r="O513" t="s">
        <v>91</v>
      </c>
      <c r="P513" s="1" t="s">
        <v>3013</v>
      </c>
      <c r="Q513" s="1" t="s">
        <v>3014</v>
      </c>
      <c r="R513" s="1" t="s">
        <v>1522</v>
      </c>
      <c r="T513">
        <v>88101070</v>
      </c>
      <c r="U513" s="1" t="s">
        <v>3015</v>
      </c>
      <c r="V513" s="1" t="s">
        <v>3016</v>
      </c>
      <c r="W513" s="1" t="s">
        <v>87</v>
      </c>
      <c r="X513">
        <v>48</v>
      </c>
      <c r="Y513">
        <v>33751004</v>
      </c>
      <c r="Z513" t="s">
        <v>91</v>
      </c>
      <c r="AA513" t="s">
        <v>91</v>
      </c>
      <c r="AB513" t="s">
        <v>91</v>
      </c>
      <c r="AC513" t="s">
        <v>91</v>
      </c>
      <c r="AD513" t="s">
        <v>91</v>
      </c>
      <c r="AE513" t="s">
        <v>91</v>
      </c>
      <c r="AF513" t="s">
        <v>91</v>
      </c>
      <c r="AG513" s="1" t="s">
        <v>146</v>
      </c>
      <c r="AH513" s="1" t="s">
        <v>91</v>
      </c>
      <c r="AI513" t="s">
        <v>91</v>
      </c>
      <c r="AJ513">
        <v>0</v>
      </c>
      <c r="AK513">
        <v>0</v>
      </c>
      <c r="AL513">
        <v>0</v>
      </c>
      <c r="AM513" t="s">
        <v>91</v>
      </c>
      <c r="AN513" t="s">
        <v>91</v>
      </c>
      <c r="AO513" t="s">
        <v>91</v>
      </c>
      <c r="AP513" t="s">
        <v>91</v>
      </c>
      <c r="AQ513" s="1" t="s">
        <v>147</v>
      </c>
      <c r="AR513" s="1" t="s">
        <v>147</v>
      </c>
      <c r="AS513" s="1" t="s">
        <v>147</v>
      </c>
      <c r="AT513" s="1" t="s">
        <v>147</v>
      </c>
      <c r="AU513" s="1" t="s">
        <v>147</v>
      </c>
      <c r="AV513" t="s">
        <v>91</v>
      </c>
      <c r="AW513" t="s">
        <v>91</v>
      </c>
      <c r="AX513" t="s">
        <v>91</v>
      </c>
      <c r="AY513" t="s">
        <v>91</v>
      </c>
      <c r="AZ513" t="s">
        <v>91</v>
      </c>
      <c r="BA513" t="s">
        <v>91</v>
      </c>
      <c r="BB513" s="2"/>
      <c r="BC513" s="2">
        <v>44676.578587962962</v>
      </c>
      <c r="BD513" t="s">
        <v>91</v>
      </c>
      <c r="BF513" s="1" t="s">
        <v>75</v>
      </c>
      <c r="BG513">
        <v>0</v>
      </c>
      <c r="BH513">
        <v>0</v>
      </c>
      <c r="BI513" s="1" t="s">
        <v>88</v>
      </c>
      <c r="BJ513">
        <v>1</v>
      </c>
      <c r="BK513" s="1" t="s">
        <v>89</v>
      </c>
      <c r="BL513" t="s">
        <v>91</v>
      </c>
      <c r="BM513" s="1" t="s">
        <v>197</v>
      </c>
      <c r="BN513" s="1" t="s">
        <v>110</v>
      </c>
      <c r="BO513" s="1" t="s">
        <v>165</v>
      </c>
      <c r="BP513" s="1" t="s">
        <v>91</v>
      </c>
      <c r="BQ513" t="s">
        <v>91</v>
      </c>
      <c r="BR513" s="3"/>
      <c r="BS513" s="3">
        <v>44676</v>
      </c>
      <c r="BT513" t="s">
        <v>91</v>
      </c>
      <c r="BU513" t="s">
        <v>91</v>
      </c>
      <c r="BV513">
        <v>5</v>
      </c>
      <c r="BW513" s="1" t="s">
        <v>2054</v>
      </c>
    </row>
    <row r="514" spans="1:75" hidden="1" x14ac:dyDescent="0.35">
      <c r="A514">
        <v>438</v>
      </c>
      <c r="B514" s="1" t="s">
        <v>75</v>
      </c>
      <c r="C514">
        <v>80</v>
      </c>
      <c r="D514">
        <v>11121002</v>
      </c>
      <c r="E514">
        <v>121002</v>
      </c>
      <c r="F514" s="1" t="s">
        <v>2915</v>
      </c>
      <c r="G514" s="1" t="s">
        <v>3017</v>
      </c>
      <c r="I514" s="1" t="s">
        <v>78</v>
      </c>
      <c r="J514" s="1" t="s">
        <v>3018</v>
      </c>
      <c r="K514" s="1" t="s">
        <v>3019</v>
      </c>
      <c r="L514" t="s">
        <v>91</v>
      </c>
      <c r="M514" t="s">
        <v>91</v>
      </c>
      <c r="N514" s="1" t="s">
        <v>3020</v>
      </c>
      <c r="O514" t="s">
        <v>91</v>
      </c>
      <c r="P514" s="1" t="s">
        <v>3021</v>
      </c>
      <c r="Q514" s="1" t="s">
        <v>3022</v>
      </c>
      <c r="R514" s="1" t="s">
        <v>91</v>
      </c>
      <c r="S514">
        <v>1259</v>
      </c>
      <c r="T514">
        <v>88103600</v>
      </c>
      <c r="U514" s="1" t="s">
        <v>3023</v>
      </c>
      <c r="V514" s="1" t="s">
        <v>3016</v>
      </c>
      <c r="W514" s="1" t="s">
        <v>87</v>
      </c>
      <c r="X514">
        <v>48</v>
      </c>
      <c r="Y514">
        <v>30945624</v>
      </c>
      <c r="Z514" t="s">
        <v>91</v>
      </c>
      <c r="AA514" t="s">
        <v>91</v>
      </c>
      <c r="AB514" t="s">
        <v>91</v>
      </c>
      <c r="AC514" t="s">
        <v>91</v>
      </c>
      <c r="AD514" t="s">
        <v>91</v>
      </c>
      <c r="AE514" t="s">
        <v>91</v>
      </c>
      <c r="AF514" t="s">
        <v>91</v>
      </c>
      <c r="AG514" s="1" t="s">
        <v>91</v>
      </c>
      <c r="AH514" s="1" t="s">
        <v>91</v>
      </c>
      <c r="AI514" t="s">
        <v>91</v>
      </c>
      <c r="AJ514">
        <v>0</v>
      </c>
      <c r="AK514">
        <v>0</v>
      </c>
      <c r="AL514">
        <v>0</v>
      </c>
      <c r="AM514" t="s">
        <v>91</v>
      </c>
      <c r="AN514" t="s">
        <v>91</v>
      </c>
      <c r="AO514" t="s">
        <v>91</v>
      </c>
      <c r="AP514" t="s">
        <v>91</v>
      </c>
      <c r="AQ514" s="1" t="s">
        <v>91</v>
      </c>
      <c r="AR514" s="1" t="s">
        <v>91</v>
      </c>
      <c r="AS514" s="1" t="s">
        <v>91</v>
      </c>
      <c r="AT514" s="1" t="s">
        <v>91</v>
      </c>
      <c r="AU514" s="1" t="s">
        <v>91</v>
      </c>
      <c r="AV514" t="s">
        <v>91</v>
      </c>
      <c r="AW514" t="s">
        <v>91</v>
      </c>
      <c r="AX514" t="s">
        <v>91</v>
      </c>
      <c r="AY514" t="s">
        <v>91</v>
      </c>
      <c r="AZ514" t="s">
        <v>91</v>
      </c>
      <c r="BA514" t="s">
        <v>91</v>
      </c>
      <c r="BB514" s="2">
        <v>43308.392858796295</v>
      </c>
      <c r="BC514" s="2"/>
      <c r="BD514" t="s">
        <v>91</v>
      </c>
      <c r="BE514">
        <v>438</v>
      </c>
      <c r="BF514" s="1" t="s">
        <v>75</v>
      </c>
      <c r="BG514">
        <v>0</v>
      </c>
      <c r="BH514">
        <v>0</v>
      </c>
      <c r="BI514" s="1" t="s">
        <v>88</v>
      </c>
      <c r="BJ514">
        <v>1</v>
      </c>
      <c r="BK514" s="1" t="s">
        <v>89</v>
      </c>
      <c r="BL514" t="s">
        <v>91</v>
      </c>
      <c r="BM514" s="1" t="s">
        <v>109</v>
      </c>
      <c r="BN514" s="1" t="s">
        <v>91</v>
      </c>
      <c r="BO514" s="1" t="s">
        <v>165</v>
      </c>
      <c r="BP514" s="1" t="s">
        <v>91</v>
      </c>
      <c r="BQ514" t="s">
        <v>91</v>
      </c>
      <c r="BR514" s="3">
        <v>43308</v>
      </c>
      <c r="BS514" s="3"/>
      <c r="BT514" t="s">
        <v>91</v>
      </c>
      <c r="BU514" t="s">
        <v>91</v>
      </c>
      <c r="BV514">
        <v>9</v>
      </c>
      <c r="BW514" s="1" t="s">
        <v>1260</v>
      </c>
    </row>
    <row r="515" spans="1:75" hidden="1" x14ac:dyDescent="0.35">
      <c r="A515">
        <v>157625</v>
      </c>
      <c r="B515" s="1" t="s">
        <v>75</v>
      </c>
      <c r="C515">
        <v>80</v>
      </c>
      <c r="D515">
        <v>11121002</v>
      </c>
      <c r="E515">
        <v>121002</v>
      </c>
      <c r="F515" s="1" t="s">
        <v>2915</v>
      </c>
      <c r="G515" s="1" t="s">
        <v>3024</v>
      </c>
      <c r="H515">
        <v>0</v>
      </c>
      <c r="I515" s="1" t="s">
        <v>78</v>
      </c>
      <c r="J515" s="1" t="s">
        <v>3025</v>
      </c>
      <c r="K515" s="1" t="s">
        <v>3026</v>
      </c>
      <c r="L515" t="s">
        <v>91</v>
      </c>
      <c r="M515" t="s">
        <v>91</v>
      </c>
      <c r="N515" s="1" t="s">
        <v>91</v>
      </c>
      <c r="O515" t="s">
        <v>91</v>
      </c>
      <c r="P515" s="1" t="s">
        <v>311</v>
      </c>
      <c r="Q515" s="1" t="s">
        <v>1294</v>
      </c>
      <c r="R515" s="1" t="s">
        <v>91</v>
      </c>
      <c r="S515">
        <v>1254</v>
      </c>
      <c r="T515">
        <v>88010001</v>
      </c>
      <c r="U515" s="1" t="s">
        <v>108</v>
      </c>
      <c r="V515" s="1" t="s">
        <v>2922</v>
      </c>
      <c r="W515" s="1" t="s">
        <v>87</v>
      </c>
      <c r="X515">
        <v>48</v>
      </c>
      <c r="Y515">
        <v>30391399</v>
      </c>
      <c r="Z515" t="s">
        <v>91</v>
      </c>
      <c r="AA515" t="s">
        <v>91</v>
      </c>
      <c r="AB515" t="s">
        <v>91</v>
      </c>
      <c r="AC515" t="s">
        <v>91</v>
      </c>
      <c r="AD515" t="s">
        <v>91</v>
      </c>
      <c r="AE515" t="s">
        <v>91</v>
      </c>
      <c r="AF515" t="s">
        <v>91</v>
      </c>
      <c r="AG515" s="1" t="s">
        <v>91</v>
      </c>
      <c r="AH515" s="1" t="s">
        <v>91</v>
      </c>
      <c r="AI515" t="s">
        <v>91</v>
      </c>
      <c r="AM515" t="s">
        <v>91</v>
      </c>
      <c r="AN515" t="s">
        <v>91</v>
      </c>
      <c r="AO515" t="s">
        <v>91</v>
      </c>
      <c r="AP515" t="s">
        <v>91</v>
      </c>
      <c r="AQ515" s="1" t="s">
        <v>91</v>
      </c>
      <c r="AR515" s="1" t="s">
        <v>91</v>
      </c>
      <c r="AS515" s="1" t="s">
        <v>91</v>
      </c>
      <c r="AT515" s="1" t="s">
        <v>91</v>
      </c>
      <c r="AU515" s="1" t="s">
        <v>91</v>
      </c>
      <c r="AV515" t="s">
        <v>91</v>
      </c>
      <c r="AW515" t="s">
        <v>91</v>
      </c>
      <c r="AX515" t="s">
        <v>91</v>
      </c>
      <c r="AY515" t="s">
        <v>91</v>
      </c>
      <c r="AZ515" t="s">
        <v>91</v>
      </c>
      <c r="BA515" t="s">
        <v>91</v>
      </c>
      <c r="BB515" s="2">
        <v>45118.097175925926</v>
      </c>
      <c r="BC515" s="2"/>
      <c r="BD515" t="s">
        <v>91</v>
      </c>
      <c r="BF515" s="1" t="s">
        <v>75</v>
      </c>
      <c r="BI515" s="1" t="s">
        <v>88</v>
      </c>
      <c r="BJ515">
        <v>1</v>
      </c>
      <c r="BK515" s="1" t="s">
        <v>89</v>
      </c>
      <c r="BL515" t="s">
        <v>91</v>
      </c>
      <c r="BM515" s="1" t="s">
        <v>91</v>
      </c>
      <c r="BN515" s="1" t="s">
        <v>91</v>
      </c>
      <c r="BO515" s="1" t="s">
        <v>91</v>
      </c>
      <c r="BP515" s="1" t="s">
        <v>91</v>
      </c>
      <c r="BQ515" t="s">
        <v>91</v>
      </c>
      <c r="BR515" s="3">
        <v>45118</v>
      </c>
      <c r="BS515" s="3"/>
      <c r="BT515" t="s">
        <v>91</v>
      </c>
      <c r="BU515" t="s">
        <v>91</v>
      </c>
      <c r="BW515" s="1" t="s">
        <v>90</v>
      </c>
    </row>
    <row r="516" spans="1:75" hidden="1" x14ac:dyDescent="0.35">
      <c r="A516">
        <v>157706</v>
      </c>
      <c r="B516" s="1" t="s">
        <v>75</v>
      </c>
      <c r="C516">
        <v>80</v>
      </c>
      <c r="D516">
        <v>11121002</v>
      </c>
      <c r="E516">
        <v>121002</v>
      </c>
      <c r="F516" s="1" t="s">
        <v>2915</v>
      </c>
      <c r="G516" s="1" t="s">
        <v>3027</v>
      </c>
      <c r="H516">
        <v>0</v>
      </c>
      <c r="I516" s="1" t="s">
        <v>78</v>
      </c>
      <c r="J516" s="1" t="s">
        <v>3028</v>
      </c>
      <c r="K516" s="1" t="s">
        <v>3029</v>
      </c>
      <c r="L516" t="s">
        <v>91</v>
      </c>
      <c r="M516" t="s">
        <v>91</v>
      </c>
      <c r="N516" s="1" t="s">
        <v>3030</v>
      </c>
      <c r="O516" t="s">
        <v>91</v>
      </c>
      <c r="P516" s="1" t="s">
        <v>3031</v>
      </c>
      <c r="Q516" s="1" t="s">
        <v>3032</v>
      </c>
      <c r="R516" s="1" t="s">
        <v>91</v>
      </c>
      <c r="S516">
        <v>1255</v>
      </c>
      <c r="T516">
        <v>88015530</v>
      </c>
      <c r="U516" s="1" t="s">
        <v>108</v>
      </c>
      <c r="V516" s="1" t="s">
        <v>2922</v>
      </c>
      <c r="W516" s="1" t="s">
        <v>87</v>
      </c>
      <c r="X516">
        <v>48</v>
      </c>
      <c r="Y516">
        <v>30256551</v>
      </c>
      <c r="Z516" t="s">
        <v>91</v>
      </c>
      <c r="AA516" t="s">
        <v>91</v>
      </c>
      <c r="AB516" t="s">
        <v>91</v>
      </c>
      <c r="AC516" t="s">
        <v>91</v>
      </c>
      <c r="AD516" t="s">
        <v>91</v>
      </c>
      <c r="AE516" t="s">
        <v>91</v>
      </c>
      <c r="AF516" t="s">
        <v>91</v>
      </c>
      <c r="AG516" s="1" t="s">
        <v>91</v>
      </c>
      <c r="AH516" s="1" t="s">
        <v>91</v>
      </c>
      <c r="AI516" t="s">
        <v>91</v>
      </c>
      <c r="AM516" t="s">
        <v>91</v>
      </c>
      <c r="AN516" t="s">
        <v>91</v>
      </c>
      <c r="AO516" t="s">
        <v>91</v>
      </c>
      <c r="AP516" t="s">
        <v>91</v>
      </c>
      <c r="AQ516" s="1" t="s">
        <v>91</v>
      </c>
      <c r="AR516" s="1" t="s">
        <v>91</v>
      </c>
      <c r="AS516" s="1" t="s">
        <v>91</v>
      </c>
      <c r="AT516" s="1" t="s">
        <v>91</v>
      </c>
      <c r="AU516" s="1" t="s">
        <v>91</v>
      </c>
      <c r="AV516" t="s">
        <v>91</v>
      </c>
      <c r="AW516" t="s">
        <v>91</v>
      </c>
      <c r="AX516" t="s">
        <v>91</v>
      </c>
      <c r="AY516" t="s">
        <v>91</v>
      </c>
      <c r="AZ516" t="s">
        <v>91</v>
      </c>
      <c r="BA516" t="s">
        <v>91</v>
      </c>
      <c r="BB516" s="2">
        <v>45118.097175925926</v>
      </c>
      <c r="BC516" s="2"/>
      <c r="BD516" t="s">
        <v>91</v>
      </c>
      <c r="BF516" s="1" t="s">
        <v>75</v>
      </c>
      <c r="BI516" s="1" t="s">
        <v>88</v>
      </c>
      <c r="BJ516">
        <v>1</v>
      </c>
      <c r="BK516" s="1" t="s">
        <v>89</v>
      </c>
      <c r="BL516" t="s">
        <v>91</v>
      </c>
      <c r="BM516" s="1" t="s">
        <v>91</v>
      </c>
      <c r="BN516" s="1" t="s">
        <v>91</v>
      </c>
      <c r="BO516" s="1" t="s">
        <v>91</v>
      </c>
      <c r="BP516" s="1" t="s">
        <v>91</v>
      </c>
      <c r="BQ516" t="s">
        <v>91</v>
      </c>
      <c r="BR516" s="3">
        <v>45118</v>
      </c>
      <c r="BS516" s="3"/>
      <c r="BT516" t="s">
        <v>91</v>
      </c>
      <c r="BU516" t="s">
        <v>91</v>
      </c>
      <c r="BW516" s="1" t="s">
        <v>90</v>
      </c>
    </row>
    <row r="517" spans="1:75" hidden="1" x14ac:dyDescent="0.35">
      <c r="A517">
        <v>144825</v>
      </c>
      <c r="B517" s="1" t="s">
        <v>75</v>
      </c>
      <c r="C517">
        <v>80</v>
      </c>
      <c r="D517">
        <v>11121002</v>
      </c>
      <c r="E517">
        <v>121002</v>
      </c>
      <c r="F517" s="1" t="s">
        <v>2915</v>
      </c>
      <c r="G517" s="1" t="s">
        <v>3033</v>
      </c>
      <c r="I517" s="1" t="s">
        <v>78</v>
      </c>
      <c r="J517" s="1" t="s">
        <v>3034</v>
      </c>
      <c r="K517" s="1" t="s">
        <v>3035</v>
      </c>
      <c r="L517" t="s">
        <v>91</v>
      </c>
      <c r="M517" t="s">
        <v>91</v>
      </c>
      <c r="N517" s="1" t="s">
        <v>3036</v>
      </c>
      <c r="O517" t="s">
        <v>91</v>
      </c>
      <c r="P517" s="1" t="s">
        <v>3037</v>
      </c>
      <c r="Q517" s="1" t="s">
        <v>759</v>
      </c>
      <c r="R517" s="1" t="s">
        <v>254</v>
      </c>
      <c r="S517">
        <v>1336</v>
      </c>
      <c r="T517">
        <v>95560000</v>
      </c>
      <c r="U517" s="1" t="s">
        <v>108</v>
      </c>
      <c r="V517" s="1" t="s">
        <v>3038</v>
      </c>
      <c r="W517" s="1" t="s">
        <v>157</v>
      </c>
      <c r="X517">
        <v>51</v>
      </c>
      <c r="Y517">
        <v>21443000</v>
      </c>
      <c r="Z517" t="s">
        <v>91</v>
      </c>
      <c r="AA517" t="s">
        <v>91</v>
      </c>
      <c r="AB517" t="s">
        <v>91</v>
      </c>
      <c r="AC517" t="s">
        <v>91</v>
      </c>
      <c r="AD517" t="s">
        <v>91</v>
      </c>
      <c r="AE517" t="s">
        <v>91</v>
      </c>
      <c r="AF517" t="s">
        <v>91</v>
      </c>
      <c r="AG517" s="1" t="s">
        <v>91</v>
      </c>
      <c r="AH517" s="1" t="s">
        <v>91</v>
      </c>
      <c r="AI517" t="s">
        <v>91</v>
      </c>
      <c r="AJ517">
        <v>0</v>
      </c>
      <c r="AK517">
        <v>0</v>
      </c>
      <c r="AL517">
        <v>0</v>
      </c>
      <c r="AM517" t="s">
        <v>91</v>
      </c>
      <c r="AN517" t="s">
        <v>91</v>
      </c>
      <c r="AO517" t="s">
        <v>91</v>
      </c>
      <c r="AP517" t="s">
        <v>91</v>
      </c>
      <c r="AQ517" s="1" t="s">
        <v>91</v>
      </c>
      <c r="AR517" s="1" t="s">
        <v>91</v>
      </c>
      <c r="AS517" s="1" t="s">
        <v>91</v>
      </c>
      <c r="AT517" s="1" t="s">
        <v>91</v>
      </c>
      <c r="AU517" s="1" t="s">
        <v>91</v>
      </c>
      <c r="AV517" t="s">
        <v>91</v>
      </c>
      <c r="AW517" t="s">
        <v>91</v>
      </c>
      <c r="AX517" t="s">
        <v>91</v>
      </c>
      <c r="AY517" t="s">
        <v>91</v>
      </c>
      <c r="AZ517" t="s">
        <v>91</v>
      </c>
      <c r="BA517" t="s">
        <v>91</v>
      </c>
      <c r="BB517" s="2"/>
      <c r="BC517" s="2"/>
      <c r="BD517" t="s">
        <v>91</v>
      </c>
      <c r="BF517" s="1" t="s">
        <v>75</v>
      </c>
      <c r="BG517">
        <v>0</v>
      </c>
      <c r="BH517">
        <v>0</v>
      </c>
      <c r="BI517" s="1" t="s">
        <v>88</v>
      </c>
      <c r="BJ517">
        <v>1</v>
      </c>
      <c r="BK517" s="1" t="s">
        <v>89</v>
      </c>
      <c r="BL517" t="s">
        <v>91</v>
      </c>
      <c r="BM517" s="1" t="s">
        <v>109</v>
      </c>
      <c r="BN517" s="1" t="s">
        <v>110</v>
      </c>
      <c r="BO517" s="1" t="s">
        <v>180</v>
      </c>
      <c r="BP517" s="1" t="s">
        <v>91</v>
      </c>
      <c r="BQ517" t="s">
        <v>91</v>
      </c>
      <c r="BR517" s="3"/>
      <c r="BS517" s="3"/>
      <c r="BT517" t="s">
        <v>91</v>
      </c>
      <c r="BU517" t="s">
        <v>91</v>
      </c>
      <c r="BW517" s="1" t="s">
        <v>3039</v>
      </c>
    </row>
    <row r="518" spans="1:75" hidden="1" x14ac:dyDescent="0.35">
      <c r="A518">
        <v>144696</v>
      </c>
      <c r="B518" s="1" t="s">
        <v>75</v>
      </c>
      <c r="C518">
        <v>80</v>
      </c>
      <c r="D518">
        <v>11121002</v>
      </c>
      <c r="E518">
        <v>121002</v>
      </c>
      <c r="F518" s="1" t="s">
        <v>2915</v>
      </c>
      <c r="G518" s="1" t="s">
        <v>3040</v>
      </c>
      <c r="I518" s="1" t="s">
        <v>78</v>
      </c>
      <c r="J518" s="1" t="s">
        <v>3041</v>
      </c>
      <c r="K518" s="1" t="s">
        <v>3042</v>
      </c>
      <c r="L518" t="s">
        <v>91</v>
      </c>
      <c r="M518" t="s">
        <v>91</v>
      </c>
      <c r="N518" s="1" t="s">
        <v>3043</v>
      </c>
      <c r="O518" t="s">
        <v>91</v>
      </c>
      <c r="P518" s="1" t="s">
        <v>3044</v>
      </c>
      <c r="Q518" s="1" t="s">
        <v>1063</v>
      </c>
      <c r="R518" s="1" t="s">
        <v>91</v>
      </c>
      <c r="S518">
        <v>1270</v>
      </c>
      <c r="T518">
        <v>88970000</v>
      </c>
      <c r="U518" s="1" t="s">
        <v>108</v>
      </c>
      <c r="V518" s="1" t="s">
        <v>3045</v>
      </c>
      <c r="W518" s="1" t="s">
        <v>87</v>
      </c>
      <c r="X518">
        <v>48</v>
      </c>
      <c r="Y518">
        <v>88254377</v>
      </c>
      <c r="Z518" t="s">
        <v>91</v>
      </c>
      <c r="AA518" t="s">
        <v>91</v>
      </c>
      <c r="AB518" t="s">
        <v>91</v>
      </c>
      <c r="AC518" t="s">
        <v>91</v>
      </c>
      <c r="AD518" t="s">
        <v>91</v>
      </c>
      <c r="AE518" t="s">
        <v>91</v>
      </c>
      <c r="AF518" t="s">
        <v>91</v>
      </c>
      <c r="AG518" s="1" t="s">
        <v>91</v>
      </c>
      <c r="AH518" s="1" t="s">
        <v>91</v>
      </c>
      <c r="AI518" t="s">
        <v>91</v>
      </c>
      <c r="AJ518">
        <v>0</v>
      </c>
      <c r="AK518">
        <v>0</v>
      </c>
      <c r="AL518">
        <v>0</v>
      </c>
      <c r="AM518" t="s">
        <v>91</v>
      </c>
      <c r="AN518" t="s">
        <v>91</v>
      </c>
      <c r="AO518" t="s">
        <v>91</v>
      </c>
      <c r="AP518" t="s">
        <v>91</v>
      </c>
      <c r="AQ518" s="1" t="s">
        <v>91</v>
      </c>
      <c r="AR518" s="1" t="s">
        <v>91</v>
      </c>
      <c r="AS518" s="1" t="s">
        <v>91</v>
      </c>
      <c r="AT518" s="1" t="s">
        <v>91</v>
      </c>
      <c r="AU518" s="1" t="s">
        <v>91</v>
      </c>
      <c r="AV518" t="s">
        <v>91</v>
      </c>
      <c r="AW518" t="s">
        <v>91</v>
      </c>
      <c r="AX518" t="s">
        <v>91</v>
      </c>
      <c r="AY518" t="s">
        <v>91</v>
      </c>
      <c r="AZ518" t="s">
        <v>91</v>
      </c>
      <c r="BA518" t="s">
        <v>91</v>
      </c>
      <c r="BB518" s="2"/>
      <c r="BC518" s="2"/>
      <c r="BD518" t="s">
        <v>91</v>
      </c>
      <c r="BF518" s="1" t="s">
        <v>75</v>
      </c>
      <c r="BG518">
        <v>0</v>
      </c>
      <c r="BH518">
        <v>0</v>
      </c>
      <c r="BI518" s="1" t="s">
        <v>88</v>
      </c>
      <c r="BJ518">
        <v>1</v>
      </c>
      <c r="BK518" s="1" t="s">
        <v>89</v>
      </c>
      <c r="BL518" t="s">
        <v>91</v>
      </c>
      <c r="BM518" s="1" t="s">
        <v>109</v>
      </c>
      <c r="BN518" s="1" t="s">
        <v>148</v>
      </c>
      <c r="BO518" s="1" t="s">
        <v>165</v>
      </c>
      <c r="BP518" s="1" t="s">
        <v>91</v>
      </c>
      <c r="BQ518" t="s">
        <v>91</v>
      </c>
      <c r="BR518" s="3"/>
      <c r="BS518" s="3"/>
      <c r="BT518" t="s">
        <v>91</v>
      </c>
      <c r="BU518" t="s">
        <v>91</v>
      </c>
      <c r="BV518">
        <v>1</v>
      </c>
      <c r="BW518" s="1" t="s">
        <v>728</v>
      </c>
    </row>
    <row r="519" spans="1:75" hidden="1" x14ac:dyDescent="0.35">
      <c r="A519">
        <v>144810</v>
      </c>
      <c r="B519" s="1" t="s">
        <v>75</v>
      </c>
      <c r="C519">
        <v>80</v>
      </c>
      <c r="D519">
        <v>11121002</v>
      </c>
      <c r="E519">
        <v>121002</v>
      </c>
      <c r="F519" s="1" t="s">
        <v>2915</v>
      </c>
      <c r="G519" s="1" t="s">
        <v>3046</v>
      </c>
      <c r="I519" s="1" t="s">
        <v>78</v>
      </c>
      <c r="J519" s="1" t="s">
        <v>3047</v>
      </c>
      <c r="K519" s="1" t="s">
        <v>3048</v>
      </c>
      <c r="L519" t="s">
        <v>91</v>
      </c>
      <c r="M519" t="s">
        <v>91</v>
      </c>
      <c r="N519" s="1" t="s">
        <v>3049</v>
      </c>
      <c r="O519" t="s">
        <v>91</v>
      </c>
      <c r="P519" s="1" t="s">
        <v>3050</v>
      </c>
      <c r="Q519" s="1" t="s">
        <v>427</v>
      </c>
      <c r="R519" s="1" t="s">
        <v>1075</v>
      </c>
      <c r="S519">
        <v>1270</v>
      </c>
      <c r="T519">
        <v>88990000</v>
      </c>
      <c r="U519" s="1" t="s">
        <v>108</v>
      </c>
      <c r="V519" s="1" t="s">
        <v>3051</v>
      </c>
      <c r="W519" s="1" t="s">
        <v>87</v>
      </c>
      <c r="X519">
        <v>48</v>
      </c>
      <c r="Y519">
        <v>999254377</v>
      </c>
      <c r="Z519" t="s">
        <v>91</v>
      </c>
      <c r="AA519" t="s">
        <v>91</v>
      </c>
      <c r="AB519" t="s">
        <v>91</v>
      </c>
      <c r="AC519" t="s">
        <v>91</v>
      </c>
      <c r="AD519" t="s">
        <v>91</v>
      </c>
      <c r="AE519" t="s">
        <v>91</v>
      </c>
      <c r="AF519" t="s">
        <v>91</v>
      </c>
      <c r="AG519" s="1" t="s">
        <v>91</v>
      </c>
      <c r="AH519" s="1" t="s">
        <v>91</v>
      </c>
      <c r="AI519" t="s">
        <v>91</v>
      </c>
      <c r="AJ519">
        <v>0</v>
      </c>
      <c r="AK519">
        <v>0</v>
      </c>
      <c r="AL519">
        <v>0</v>
      </c>
      <c r="AM519" t="s">
        <v>91</v>
      </c>
      <c r="AN519" t="s">
        <v>91</v>
      </c>
      <c r="AO519" t="s">
        <v>91</v>
      </c>
      <c r="AP519" t="s">
        <v>91</v>
      </c>
      <c r="AQ519" s="1" t="s">
        <v>91</v>
      </c>
      <c r="AR519" s="1" t="s">
        <v>91</v>
      </c>
      <c r="AS519" s="1" t="s">
        <v>91</v>
      </c>
      <c r="AT519" s="1" t="s">
        <v>91</v>
      </c>
      <c r="AU519" s="1" t="s">
        <v>91</v>
      </c>
      <c r="AV519" t="s">
        <v>91</v>
      </c>
      <c r="AW519" t="s">
        <v>91</v>
      </c>
      <c r="AX519" t="s">
        <v>91</v>
      </c>
      <c r="AY519" t="s">
        <v>91</v>
      </c>
      <c r="AZ519" t="s">
        <v>91</v>
      </c>
      <c r="BA519" t="s">
        <v>91</v>
      </c>
      <c r="BB519" s="2"/>
      <c r="BC519" s="2"/>
      <c r="BD519" t="s">
        <v>91</v>
      </c>
      <c r="BF519" s="1" t="s">
        <v>75</v>
      </c>
      <c r="BG519">
        <v>0</v>
      </c>
      <c r="BH519">
        <v>0</v>
      </c>
      <c r="BI519" s="1" t="s">
        <v>88</v>
      </c>
      <c r="BJ519">
        <v>1</v>
      </c>
      <c r="BK519" s="1" t="s">
        <v>89</v>
      </c>
      <c r="BL519" t="s">
        <v>91</v>
      </c>
      <c r="BM519" s="1" t="s">
        <v>109</v>
      </c>
      <c r="BN519" s="1" t="s">
        <v>110</v>
      </c>
      <c r="BO519" s="1" t="s">
        <v>111</v>
      </c>
      <c r="BP519" s="1" t="s">
        <v>91</v>
      </c>
      <c r="BQ519" t="s">
        <v>91</v>
      </c>
      <c r="BR519" s="3"/>
      <c r="BS519" s="3"/>
      <c r="BT519" t="s">
        <v>91</v>
      </c>
      <c r="BU519" t="s">
        <v>91</v>
      </c>
      <c r="BW519" s="1" t="s">
        <v>396</v>
      </c>
    </row>
    <row r="520" spans="1:75" hidden="1" x14ac:dyDescent="0.35">
      <c r="A520">
        <v>40</v>
      </c>
      <c r="B520" s="1" t="s">
        <v>75</v>
      </c>
      <c r="C520">
        <v>80</v>
      </c>
      <c r="D520">
        <v>11121002</v>
      </c>
      <c r="E520">
        <v>121002</v>
      </c>
      <c r="F520" s="1" t="s">
        <v>2915</v>
      </c>
      <c r="G520" s="1" t="s">
        <v>3052</v>
      </c>
      <c r="I520" s="1" t="s">
        <v>78</v>
      </c>
      <c r="J520" s="1" t="s">
        <v>3053</v>
      </c>
      <c r="K520" s="1" t="s">
        <v>3054</v>
      </c>
      <c r="L520" t="s">
        <v>91</v>
      </c>
      <c r="M520" t="s">
        <v>91</v>
      </c>
      <c r="N520" s="1" t="s">
        <v>3055</v>
      </c>
      <c r="O520" t="s">
        <v>91</v>
      </c>
      <c r="P520" s="1" t="s">
        <v>3056</v>
      </c>
      <c r="Q520" s="1" t="s">
        <v>3057</v>
      </c>
      <c r="R520" s="1" t="s">
        <v>2835</v>
      </c>
      <c r="S520">
        <v>1268</v>
      </c>
      <c r="T520">
        <v>88705003</v>
      </c>
      <c r="U520" s="1" t="s">
        <v>3058</v>
      </c>
      <c r="V520" s="1" t="s">
        <v>3059</v>
      </c>
      <c r="W520" s="1" t="s">
        <v>87</v>
      </c>
      <c r="X520">
        <v>48</v>
      </c>
      <c r="Y520">
        <v>36290783</v>
      </c>
      <c r="Z520" t="s">
        <v>91</v>
      </c>
      <c r="AA520" t="s">
        <v>91</v>
      </c>
      <c r="AB520" t="s">
        <v>91</v>
      </c>
      <c r="AC520" t="s">
        <v>91</v>
      </c>
      <c r="AD520" t="s">
        <v>91</v>
      </c>
      <c r="AE520" t="s">
        <v>91</v>
      </c>
      <c r="AF520" t="s">
        <v>91</v>
      </c>
      <c r="AG520" s="1" t="s">
        <v>91</v>
      </c>
      <c r="AH520" s="1" t="s">
        <v>91</v>
      </c>
      <c r="AI520" t="s">
        <v>91</v>
      </c>
      <c r="AJ520">
        <v>0</v>
      </c>
      <c r="AK520">
        <v>0</v>
      </c>
      <c r="AL520">
        <v>0</v>
      </c>
      <c r="AM520" t="s">
        <v>91</v>
      </c>
      <c r="AN520" t="s">
        <v>91</v>
      </c>
      <c r="AO520" t="s">
        <v>91</v>
      </c>
      <c r="AP520" t="s">
        <v>91</v>
      </c>
      <c r="AQ520" s="1" t="s">
        <v>91</v>
      </c>
      <c r="AR520" s="1" t="s">
        <v>91</v>
      </c>
      <c r="AS520" s="1" t="s">
        <v>91</v>
      </c>
      <c r="AT520" s="1" t="s">
        <v>91</v>
      </c>
      <c r="AU520" s="1" t="s">
        <v>91</v>
      </c>
      <c r="AV520" t="s">
        <v>91</v>
      </c>
      <c r="AW520" t="s">
        <v>91</v>
      </c>
      <c r="AX520" t="s">
        <v>91</v>
      </c>
      <c r="AY520" t="s">
        <v>91</v>
      </c>
      <c r="AZ520" t="s">
        <v>91</v>
      </c>
      <c r="BA520" t="s">
        <v>91</v>
      </c>
      <c r="BB520" s="2">
        <v>43308.39271990741</v>
      </c>
      <c r="BC520" s="2"/>
      <c r="BD520" t="s">
        <v>91</v>
      </c>
      <c r="BE520">
        <v>40</v>
      </c>
      <c r="BF520" s="1" t="s">
        <v>75</v>
      </c>
      <c r="BG520">
        <v>0</v>
      </c>
      <c r="BH520">
        <v>0</v>
      </c>
      <c r="BI520" s="1" t="s">
        <v>88</v>
      </c>
      <c r="BJ520">
        <v>1</v>
      </c>
      <c r="BK520" s="1" t="s">
        <v>89</v>
      </c>
      <c r="BL520" t="s">
        <v>91</v>
      </c>
      <c r="BM520" s="1" t="s">
        <v>109</v>
      </c>
      <c r="BN520" s="1" t="s">
        <v>110</v>
      </c>
      <c r="BO520" s="1" t="s">
        <v>128</v>
      </c>
      <c r="BP520" s="1" t="s">
        <v>91</v>
      </c>
      <c r="BQ520" t="s">
        <v>91</v>
      </c>
      <c r="BR520" s="3">
        <v>43308</v>
      </c>
      <c r="BS520" s="3"/>
      <c r="BT520" t="s">
        <v>91</v>
      </c>
      <c r="BU520" t="s">
        <v>91</v>
      </c>
      <c r="BV520">
        <v>5</v>
      </c>
      <c r="BW520" s="1" t="s">
        <v>90</v>
      </c>
    </row>
    <row r="521" spans="1:75" hidden="1" x14ac:dyDescent="0.35">
      <c r="A521">
        <v>157729</v>
      </c>
      <c r="B521" s="1" t="s">
        <v>75</v>
      </c>
      <c r="C521">
        <v>80</v>
      </c>
      <c r="D521">
        <v>11121002</v>
      </c>
      <c r="E521">
        <v>121002</v>
      </c>
      <c r="F521" s="1" t="s">
        <v>2915</v>
      </c>
      <c r="G521" s="1" t="s">
        <v>3060</v>
      </c>
      <c r="H521">
        <v>0</v>
      </c>
      <c r="I521" s="1" t="s">
        <v>78</v>
      </c>
      <c r="J521" s="1" t="s">
        <v>3061</v>
      </c>
      <c r="K521" s="1" t="s">
        <v>3062</v>
      </c>
      <c r="L521" t="s">
        <v>91</v>
      </c>
      <c r="M521" t="s">
        <v>91</v>
      </c>
      <c r="N521" s="1" t="s">
        <v>3063</v>
      </c>
      <c r="O521" t="s">
        <v>91</v>
      </c>
      <c r="P521" s="1" t="s">
        <v>311</v>
      </c>
      <c r="Q521" s="1" t="s">
        <v>3064</v>
      </c>
      <c r="R521" s="1" t="s">
        <v>3065</v>
      </c>
      <c r="S521">
        <v>1254</v>
      </c>
      <c r="T521">
        <v>88010001</v>
      </c>
      <c r="U521" s="1" t="s">
        <v>108</v>
      </c>
      <c r="V521" s="1" t="s">
        <v>2922</v>
      </c>
      <c r="W521" s="1" t="s">
        <v>87</v>
      </c>
      <c r="X521">
        <v>48</v>
      </c>
      <c r="Y521">
        <v>32235470</v>
      </c>
      <c r="Z521" t="s">
        <v>91</v>
      </c>
      <c r="AA521" t="s">
        <v>91</v>
      </c>
      <c r="AB521" t="s">
        <v>91</v>
      </c>
      <c r="AC521" t="s">
        <v>91</v>
      </c>
      <c r="AD521" t="s">
        <v>91</v>
      </c>
      <c r="AE521" t="s">
        <v>91</v>
      </c>
      <c r="AF521" t="s">
        <v>91</v>
      </c>
      <c r="AG521" s="1" t="s">
        <v>91</v>
      </c>
      <c r="AH521" s="1" t="s">
        <v>91</v>
      </c>
      <c r="AI521" t="s">
        <v>91</v>
      </c>
      <c r="AM521" t="s">
        <v>91</v>
      </c>
      <c r="AN521" t="s">
        <v>91</v>
      </c>
      <c r="AO521" t="s">
        <v>91</v>
      </c>
      <c r="AP521" t="s">
        <v>91</v>
      </c>
      <c r="AQ521" s="1" t="s">
        <v>91</v>
      </c>
      <c r="AR521" s="1" t="s">
        <v>91</v>
      </c>
      <c r="AS521" s="1" t="s">
        <v>91</v>
      </c>
      <c r="AT521" s="1" t="s">
        <v>91</v>
      </c>
      <c r="AU521" s="1" t="s">
        <v>91</v>
      </c>
      <c r="AV521" t="s">
        <v>91</v>
      </c>
      <c r="AW521" t="s">
        <v>91</v>
      </c>
      <c r="AX521" t="s">
        <v>91</v>
      </c>
      <c r="AY521" t="s">
        <v>91</v>
      </c>
      <c r="AZ521" t="s">
        <v>91</v>
      </c>
      <c r="BA521" t="s">
        <v>91</v>
      </c>
      <c r="BB521" s="2">
        <v>45118.097175925926</v>
      </c>
      <c r="BC521" s="2"/>
      <c r="BD521" t="s">
        <v>91</v>
      </c>
      <c r="BF521" s="1" t="s">
        <v>75</v>
      </c>
      <c r="BI521" s="1" t="s">
        <v>88</v>
      </c>
      <c r="BJ521">
        <v>1</v>
      </c>
      <c r="BK521" s="1" t="s">
        <v>89</v>
      </c>
      <c r="BL521" t="s">
        <v>91</v>
      </c>
      <c r="BM521" s="1" t="s">
        <v>91</v>
      </c>
      <c r="BN521" s="1" t="s">
        <v>91</v>
      </c>
      <c r="BO521" s="1" t="s">
        <v>91</v>
      </c>
      <c r="BP521" s="1" t="s">
        <v>91</v>
      </c>
      <c r="BQ521" t="s">
        <v>91</v>
      </c>
      <c r="BR521" s="3">
        <v>45118</v>
      </c>
      <c r="BS521" s="3"/>
      <c r="BT521" t="s">
        <v>91</v>
      </c>
      <c r="BU521" t="s">
        <v>91</v>
      </c>
      <c r="BW521" s="1" t="s">
        <v>90</v>
      </c>
    </row>
    <row r="522" spans="1:75" hidden="1" x14ac:dyDescent="0.35">
      <c r="A522">
        <v>144366</v>
      </c>
      <c r="B522" s="1" t="s">
        <v>75</v>
      </c>
      <c r="C522">
        <v>80</v>
      </c>
      <c r="D522">
        <v>11121002</v>
      </c>
      <c r="E522">
        <v>121002</v>
      </c>
      <c r="F522" s="1" t="s">
        <v>2915</v>
      </c>
      <c r="G522" s="1" t="s">
        <v>3066</v>
      </c>
      <c r="I522" s="1" t="s">
        <v>78</v>
      </c>
      <c r="J522" s="1" t="s">
        <v>3067</v>
      </c>
      <c r="K522" s="1" t="s">
        <v>3068</v>
      </c>
      <c r="L522" t="s">
        <v>91</v>
      </c>
      <c r="M522" t="s">
        <v>91</v>
      </c>
      <c r="N522" s="1" t="s">
        <v>3069</v>
      </c>
      <c r="O522" t="s">
        <v>91</v>
      </c>
      <c r="P522" s="1" t="s">
        <v>3070</v>
      </c>
      <c r="Q522" s="1" t="s">
        <v>3071</v>
      </c>
      <c r="R522" s="1" t="s">
        <v>236</v>
      </c>
      <c r="S522">
        <v>1268</v>
      </c>
      <c r="T522">
        <v>88710000</v>
      </c>
      <c r="U522" s="1" t="s">
        <v>108</v>
      </c>
      <c r="V522" s="1" t="s">
        <v>3072</v>
      </c>
      <c r="W522" s="1" t="s">
        <v>87</v>
      </c>
      <c r="X522">
        <v>48</v>
      </c>
      <c r="Y522">
        <v>36263204</v>
      </c>
      <c r="Z522" t="s">
        <v>91</v>
      </c>
      <c r="AA522" t="s">
        <v>91</v>
      </c>
      <c r="AB522" t="s">
        <v>91</v>
      </c>
      <c r="AC522" t="s">
        <v>91</v>
      </c>
      <c r="AD522" t="s">
        <v>91</v>
      </c>
      <c r="AE522" t="s">
        <v>91</v>
      </c>
      <c r="AF522" t="s">
        <v>91</v>
      </c>
      <c r="AG522" s="1" t="s">
        <v>91</v>
      </c>
      <c r="AH522" s="1" t="s">
        <v>91</v>
      </c>
      <c r="AI522" t="s">
        <v>91</v>
      </c>
      <c r="AJ522">
        <v>0</v>
      </c>
      <c r="AK522">
        <v>0</v>
      </c>
      <c r="AL522">
        <v>0</v>
      </c>
      <c r="AM522" t="s">
        <v>91</v>
      </c>
      <c r="AN522" t="s">
        <v>91</v>
      </c>
      <c r="AO522" t="s">
        <v>91</v>
      </c>
      <c r="AP522" t="s">
        <v>91</v>
      </c>
      <c r="AQ522" s="1" t="s">
        <v>91</v>
      </c>
      <c r="AR522" s="1" t="s">
        <v>91</v>
      </c>
      <c r="AS522" s="1" t="s">
        <v>91</v>
      </c>
      <c r="AT522" s="1" t="s">
        <v>91</v>
      </c>
      <c r="AU522" s="1" t="s">
        <v>91</v>
      </c>
      <c r="AV522" t="s">
        <v>91</v>
      </c>
      <c r="AW522" t="s">
        <v>91</v>
      </c>
      <c r="AX522" t="s">
        <v>91</v>
      </c>
      <c r="AY522" t="s">
        <v>91</v>
      </c>
      <c r="AZ522" t="s">
        <v>91</v>
      </c>
      <c r="BA522" t="s">
        <v>91</v>
      </c>
      <c r="BB522" s="2"/>
      <c r="BC522" s="2"/>
      <c r="BD522" t="s">
        <v>91</v>
      </c>
      <c r="BF522" s="1" t="s">
        <v>75</v>
      </c>
      <c r="BG522">
        <v>0</v>
      </c>
      <c r="BH522">
        <v>0</v>
      </c>
      <c r="BI522" s="1" t="s">
        <v>88</v>
      </c>
      <c r="BJ522">
        <v>1</v>
      </c>
      <c r="BK522" s="1" t="s">
        <v>89</v>
      </c>
      <c r="BL522" t="s">
        <v>91</v>
      </c>
      <c r="BM522" s="1" t="s">
        <v>109</v>
      </c>
      <c r="BN522" s="1" t="s">
        <v>110</v>
      </c>
      <c r="BO522" s="1" t="s">
        <v>180</v>
      </c>
      <c r="BP522" s="1" t="s">
        <v>91</v>
      </c>
      <c r="BQ522" t="s">
        <v>91</v>
      </c>
      <c r="BR522" s="3"/>
      <c r="BS522" s="3"/>
      <c r="BT522" t="s">
        <v>91</v>
      </c>
      <c r="BU522" t="s">
        <v>91</v>
      </c>
      <c r="BV522">
        <v>9</v>
      </c>
      <c r="BW522" s="1" t="s">
        <v>419</v>
      </c>
    </row>
    <row r="523" spans="1:75" hidden="1" x14ac:dyDescent="0.35">
      <c r="A523">
        <v>144523</v>
      </c>
      <c r="B523" s="1" t="s">
        <v>75</v>
      </c>
      <c r="C523">
        <v>80</v>
      </c>
      <c r="D523">
        <v>11121002</v>
      </c>
      <c r="E523">
        <v>121002</v>
      </c>
      <c r="F523" s="1" t="s">
        <v>2915</v>
      </c>
      <c r="G523" s="1" t="s">
        <v>3073</v>
      </c>
      <c r="I523" s="1" t="s">
        <v>78</v>
      </c>
      <c r="J523" s="1" t="s">
        <v>3074</v>
      </c>
      <c r="K523" s="1" t="s">
        <v>3075</v>
      </c>
      <c r="L523" t="s">
        <v>91</v>
      </c>
      <c r="M523" t="s">
        <v>91</v>
      </c>
      <c r="N523" s="1" t="s">
        <v>3076</v>
      </c>
      <c r="O523" t="s">
        <v>91</v>
      </c>
      <c r="P523" s="1" t="s">
        <v>3077</v>
      </c>
      <c r="Q523" s="1" t="s">
        <v>427</v>
      </c>
      <c r="R523" s="1" t="s">
        <v>3078</v>
      </c>
      <c r="S523">
        <v>1268</v>
      </c>
      <c r="T523">
        <v>88790000</v>
      </c>
      <c r="U523" s="1" t="s">
        <v>108</v>
      </c>
      <c r="V523" s="1" t="s">
        <v>2971</v>
      </c>
      <c r="W523" s="1" t="s">
        <v>87</v>
      </c>
      <c r="X523">
        <v>48</v>
      </c>
      <c r="Y523">
        <v>36463545</v>
      </c>
      <c r="Z523" t="s">
        <v>91</v>
      </c>
      <c r="AA523" t="s">
        <v>91</v>
      </c>
      <c r="AB523" t="s">
        <v>91</v>
      </c>
      <c r="AC523" t="s">
        <v>91</v>
      </c>
      <c r="AD523" t="s">
        <v>91</v>
      </c>
      <c r="AE523" t="s">
        <v>91</v>
      </c>
      <c r="AF523" t="s">
        <v>91</v>
      </c>
      <c r="AG523" s="1" t="s">
        <v>91</v>
      </c>
      <c r="AH523" s="1" t="s">
        <v>91</v>
      </c>
      <c r="AI523" t="s">
        <v>91</v>
      </c>
      <c r="AJ523">
        <v>0</v>
      </c>
      <c r="AK523">
        <v>0</v>
      </c>
      <c r="AL523">
        <v>0</v>
      </c>
      <c r="AM523" t="s">
        <v>91</v>
      </c>
      <c r="AN523" t="s">
        <v>91</v>
      </c>
      <c r="AO523" t="s">
        <v>91</v>
      </c>
      <c r="AP523" t="s">
        <v>91</v>
      </c>
      <c r="AQ523" s="1" t="s">
        <v>91</v>
      </c>
      <c r="AR523" s="1" t="s">
        <v>91</v>
      </c>
      <c r="AS523" s="1" t="s">
        <v>91</v>
      </c>
      <c r="AT523" s="1" t="s">
        <v>91</v>
      </c>
      <c r="AU523" s="1" t="s">
        <v>91</v>
      </c>
      <c r="AV523" t="s">
        <v>91</v>
      </c>
      <c r="AW523" t="s">
        <v>91</v>
      </c>
      <c r="AX523" t="s">
        <v>91</v>
      </c>
      <c r="AY523" t="s">
        <v>91</v>
      </c>
      <c r="AZ523" t="s">
        <v>91</v>
      </c>
      <c r="BA523" t="s">
        <v>91</v>
      </c>
      <c r="BB523" s="2"/>
      <c r="BC523" s="2"/>
      <c r="BD523" t="s">
        <v>91</v>
      </c>
      <c r="BF523" s="1" t="s">
        <v>75</v>
      </c>
      <c r="BG523">
        <v>0</v>
      </c>
      <c r="BH523">
        <v>0</v>
      </c>
      <c r="BI523" s="1" t="s">
        <v>88</v>
      </c>
      <c r="BJ523">
        <v>1</v>
      </c>
      <c r="BK523" s="1" t="s">
        <v>89</v>
      </c>
      <c r="BL523" t="s">
        <v>91</v>
      </c>
      <c r="BM523" s="1" t="s">
        <v>109</v>
      </c>
      <c r="BN523" s="1" t="s">
        <v>110</v>
      </c>
      <c r="BO523" s="1" t="s">
        <v>111</v>
      </c>
      <c r="BP523" s="1" t="s">
        <v>91</v>
      </c>
      <c r="BQ523" t="s">
        <v>91</v>
      </c>
      <c r="BR523" s="3"/>
      <c r="BS523" s="3"/>
      <c r="BT523" t="s">
        <v>91</v>
      </c>
      <c r="BU523" t="s">
        <v>91</v>
      </c>
      <c r="BV523">
        <v>9</v>
      </c>
      <c r="BW523" s="1" t="s">
        <v>390</v>
      </c>
    </row>
    <row r="524" spans="1:75" hidden="1" x14ac:dyDescent="0.35">
      <c r="A524">
        <v>157716</v>
      </c>
      <c r="B524" s="1" t="s">
        <v>75</v>
      </c>
      <c r="C524">
        <v>80</v>
      </c>
      <c r="D524">
        <v>11121002</v>
      </c>
      <c r="E524">
        <v>121002</v>
      </c>
      <c r="F524" s="1" t="s">
        <v>2915</v>
      </c>
      <c r="G524" s="1" t="s">
        <v>3079</v>
      </c>
      <c r="H524">
        <v>0</v>
      </c>
      <c r="I524" s="1" t="s">
        <v>78</v>
      </c>
      <c r="J524" s="1" t="s">
        <v>3080</v>
      </c>
      <c r="K524" s="1" t="s">
        <v>3081</v>
      </c>
      <c r="L524" t="s">
        <v>91</v>
      </c>
      <c r="M524" t="s">
        <v>91</v>
      </c>
      <c r="N524" s="1" t="s">
        <v>3082</v>
      </c>
      <c r="O524" t="s">
        <v>91</v>
      </c>
      <c r="P524" s="1" t="s">
        <v>3083</v>
      </c>
      <c r="Q524" s="1" t="s">
        <v>3084</v>
      </c>
      <c r="R524" s="1" t="s">
        <v>434</v>
      </c>
      <c r="S524">
        <v>1256</v>
      </c>
      <c r="T524">
        <v>88020000</v>
      </c>
      <c r="U524" s="1" t="s">
        <v>108</v>
      </c>
      <c r="V524" s="1" t="s">
        <v>2922</v>
      </c>
      <c r="W524" s="1" t="s">
        <v>87</v>
      </c>
      <c r="X524">
        <v>48</v>
      </c>
      <c r="Y524">
        <v>30374131</v>
      </c>
      <c r="Z524" t="s">
        <v>91</v>
      </c>
      <c r="AA524" t="s">
        <v>91</v>
      </c>
      <c r="AB524" t="s">
        <v>91</v>
      </c>
      <c r="AC524" t="s">
        <v>91</v>
      </c>
      <c r="AD524" t="s">
        <v>91</v>
      </c>
      <c r="AE524" t="s">
        <v>91</v>
      </c>
      <c r="AF524" t="s">
        <v>91</v>
      </c>
      <c r="AG524" s="1" t="s">
        <v>91</v>
      </c>
      <c r="AH524" s="1" t="s">
        <v>91</v>
      </c>
      <c r="AI524" t="s">
        <v>91</v>
      </c>
      <c r="AM524" t="s">
        <v>91</v>
      </c>
      <c r="AN524" t="s">
        <v>91</v>
      </c>
      <c r="AO524" t="s">
        <v>91</v>
      </c>
      <c r="AP524" t="s">
        <v>91</v>
      </c>
      <c r="AQ524" s="1" t="s">
        <v>91</v>
      </c>
      <c r="AR524" s="1" t="s">
        <v>91</v>
      </c>
      <c r="AS524" s="1" t="s">
        <v>91</v>
      </c>
      <c r="AT524" s="1" t="s">
        <v>91</v>
      </c>
      <c r="AU524" s="1" t="s">
        <v>91</v>
      </c>
      <c r="AV524" t="s">
        <v>91</v>
      </c>
      <c r="AW524" t="s">
        <v>91</v>
      </c>
      <c r="AX524" t="s">
        <v>91</v>
      </c>
      <c r="AY524" t="s">
        <v>91</v>
      </c>
      <c r="AZ524" t="s">
        <v>91</v>
      </c>
      <c r="BA524" t="s">
        <v>91</v>
      </c>
      <c r="BB524" s="2">
        <v>45118.097175925926</v>
      </c>
      <c r="BC524" s="2"/>
      <c r="BD524" t="s">
        <v>91</v>
      </c>
      <c r="BF524" s="1" t="s">
        <v>75</v>
      </c>
      <c r="BI524" s="1" t="s">
        <v>88</v>
      </c>
      <c r="BJ524">
        <v>1</v>
      </c>
      <c r="BK524" s="1" t="s">
        <v>89</v>
      </c>
      <c r="BL524" t="s">
        <v>91</v>
      </c>
      <c r="BM524" s="1" t="s">
        <v>91</v>
      </c>
      <c r="BN524" s="1" t="s">
        <v>91</v>
      </c>
      <c r="BO524" s="1" t="s">
        <v>91</v>
      </c>
      <c r="BP524" s="1" t="s">
        <v>91</v>
      </c>
      <c r="BQ524" t="s">
        <v>91</v>
      </c>
      <c r="BR524" s="3">
        <v>45118</v>
      </c>
      <c r="BS524" s="3"/>
      <c r="BT524" t="s">
        <v>91</v>
      </c>
      <c r="BU524" t="s">
        <v>91</v>
      </c>
      <c r="BW524" s="1" t="s">
        <v>90</v>
      </c>
    </row>
    <row r="525" spans="1:75" hidden="1" x14ac:dyDescent="0.35">
      <c r="A525">
        <v>144364</v>
      </c>
      <c r="B525" s="1" t="s">
        <v>75</v>
      </c>
      <c r="C525">
        <v>80</v>
      </c>
      <c r="D525">
        <v>11121002</v>
      </c>
      <c r="E525">
        <v>121002</v>
      </c>
      <c r="F525" s="1" t="s">
        <v>2915</v>
      </c>
      <c r="G525" s="1" t="s">
        <v>3085</v>
      </c>
      <c r="I525" s="1" t="s">
        <v>78</v>
      </c>
      <c r="J525" s="1" t="s">
        <v>3086</v>
      </c>
      <c r="K525" s="1" t="s">
        <v>3087</v>
      </c>
      <c r="L525" t="s">
        <v>91</v>
      </c>
      <c r="M525" t="s">
        <v>91</v>
      </c>
      <c r="N525" s="1" t="s">
        <v>3088</v>
      </c>
      <c r="O525" t="s">
        <v>91</v>
      </c>
      <c r="P525" s="1" t="s">
        <v>990</v>
      </c>
      <c r="Q525" s="1" t="s">
        <v>1655</v>
      </c>
      <c r="R525" s="1" t="s">
        <v>91</v>
      </c>
      <c r="S525">
        <v>1270</v>
      </c>
      <c r="T525">
        <v>88930000</v>
      </c>
      <c r="U525" s="1" t="s">
        <v>108</v>
      </c>
      <c r="V525" s="1" t="s">
        <v>3089</v>
      </c>
      <c r="W525" s="1" t="s">
        <v>87</v>
      </c>
      <c r="X525">
        <v>48</v>
      </c>
      <c r="Y525">
        <v>35250455</v>
      </c>
      <c r="Z525" t="s">
        <v>91</v>
      </c>
      <c r="AA525" t="s">
        <v>91</v>
      </c>
      <c r="AB525" t="s">
        <v>91</v>
      </c>
      <c r="AC525" t="s">
        <v>91</v>
      </c>
      <c r="AD525" t="s">
        <v>91</v>
      </c>
      <c r="AE525" t="s">
        <v>91</v>
      </c>
      <c r="AF525" t="s">
        <v>91</v>
      </c>
      <c r="AG525" s="1" t="s">
        <v>91</v>
      </c>
      <c r="AH525" s="1" t="s">
        <v>91</v>
      </c>
      <c r="AI525" t="s">
        <v>91</v>
      </c>
      <c r="AJ525">
        <v>0</v>
      </c>
      <c r="AK525">
        <v>0</v>
      </c>
      <c r="AL525">
        <v>0</v>
      </c>
      <c r="AM525" t="s">
        <v>91</v>
      </c>
      <c r="AN525" t="s">
        <v>91</v>
      </c>
      <c r="AO525" t="s">
        <v>91</v>
      </c>
      <c r="AP525" t="s">
        <v>91</v>
      </c>
      <c r="AQ525" s="1" t="s">
        <v>91</v>
      </c>
      <c r="AR525" s="1" t="s">
        <v>91</v>
      </c>
      <c r="AS525" s="1" t="s">
        <v>91</v>
      </c>
      <c r="AT525" s="1" t="s">
        <v>91</v>
      </c>
      <c r="AU525" s="1" t="s">
        <v>91</v>
      </c>
      <c r="AV525" t="s">
        <v>91</v>
      </c>
      <c r="AW525" t="s">
        <v>91</v>
      </c>
      <c r="AX525" t="s">
        <v>91</v>
      </c>
      <c r="AY525" t="s">
        <v>91</v>
      </c>
      <c r="AZ525" t="s">
        <v>91</v>
      </c>
      <c r="BA525" t="s">
        <v>91</v>
      </c>
      <c r="BB525" s="2"/>
      <c r="BC525" s="2"/>
      <c r="BD525" t="s">
        <v>91</v>
      </c>
      <c r="BF525" s="1" t="s">
        <v>75</v>
      </c>
      <c r="BG525">
        <v>0</v>
      </c>
      <c r="BH525">
        <v>0</v>
      </c>
      <c r="BI525" s="1" t="s">
        <v>88</v>
      </c>
      <c r="BJ525">
        <v>1</v>
      </c>
      <c r="BK525" s="1" t="s">
        <v>89</v>
      </c>
      <c r="BL525" t="s">
        <v>91</v>
      </c>
      <c r="BM525" s="1" t="s">
        <v>329</v>
      </c>
      <c r="BN525" s="1" t="s">
        <v>110</v>
      </c>
      <c r="BO525" s="1" t="s">
        <v>165</v>
      </c>
      <c r="BP525" s="1" t="s">
        <v>91</v>
      </c>
      <c r="BQ525" t="s">
        <v>91</v>
      </c>
      <c r="BR525" s="3"/>
      <c r="BS525" s="3"/>
      <c r="BT525" t="s">
        <v>91</v>
      </c>
      <c r="BU525" t="s">
        <v>91</v>
      </c>
      <c r="BV525">
        <v>9</v>
      </c>
      <c r="BW525" s="1" t="s">
        <v>2669</v>
      </c>
    </row>
    <row r="526" spans="1:75" hidden="1" x14ac:dyDescent="0.35">
      <c r="A526">
        <v>157589</v>
      </c>
      <c r="B526" s="1" t="s">
        <v>75</v>
      </c>
      <c r="C526">
        <v>80</v>
      </c>
      <c r="D526">
        <v>11121002</v>
      </c>
      <c r="E526">
        <v>121002</v>
      </c>
      <c r="F526" s="1" t="s">
        <v>2915</v>
      </c>
      <c r="G526" s="1" t="s">
        <v>3090</v>
      </c>
      <c r="H526">
        <v>0</v>
      </c>
      <c r="I526" s="1" t="s">
        <v>78</v>
      </c>
      <c r="J526" s="1" t="s">
        <v>3091</v>
      </c>
      <c r="K526" s="1" t="s">
        <v>3092</v>
      </c>
      <c r="L526" t="s">
        <v>91</v>
      </c>
      <c r="M526" t="s">
        <v>91</v>
      </c>
      <c r="N526" s="1" t="s">
        <v>3093</v>
      </c>
      <c r="O526" t="s">
        <v>91</v>
      </c>
      <c r="P526" s="1" t="s">
        <v>2041</v>
      </c>
      <c r="Q526" s="1" t="s">
        <v>1777</v>
      </c>
      <c r="R526" s="1" t="s">
        <v>3094</v>
      </c>
      <c r="S526">
        <v>1270</v>
      </c>
      <c r="T526">
        <v>88900000</v>
      </c>
      <c r="U526" s="1" t="s">
        <v>108</v>
      </c>
      <c r="V526" s="1" t="s">
        <v>3095</v>
      </c>
      <c r="W526" s="1" t="s">
        <v>87</v>
      </c>
      <c r="X526">
        <v>48</v>
      </c>
      <c r="Y526">
        <v>35243983</v>
      </c>
      <c r="Z526" t="s">
        <v>91</v>
      </c>
      <c r="AA526" t="s">
        <v>91</v>
      </c>
      <c r="AB526" t="s">
        <v>91</v>
      </c>
      <c r="AC526" t="s">
        <v>91</v>
      </c>
      <c r="AD526" t="s">
        <v>91</v>
      </c>
      <c r="AE526" t="s">
        <v>91</v>
      </c>
      <c r="AF526" t="s">
        <v>91</v>
      </c>
      <c r="AG526" s="1" t="s">
        <v>91</v>
      </c>
      <c r="AH526" s="1" t="s">
        <v>91</v>
      </c>
      <c r="AI526" t="s">
        <v>91</v>
      </c>
      <c r="AM526" t="s">
        <v>91</v>
      </c>
      <c r="AN526" t="s">
        <v>91</v>
      </c>
      <c r="AO526" t="s">
        <v>91</v>
      </c>
      <c r="AP526" t="s">
        <v>91</v>
      </c>
      <c r="AQ526" s="1" t="s">
        <v>91</v>
      </c>
      <c r="AR526" s="1" t="s">
        <v>91</v>
      </c>
      <c r="AS526" s="1" t="s">
        <v>91</v>
      </c>
      <c r="AT526" s="1" t="s">
        <v>91</v>
      </c>
      <c r="AU526" s="1" t="s">
        <v>91</v>
      </c>
      <c r="AV526" t="s">
        <v>91</v>
      </c>
      <c r="AW526" t="s">
        <v>91</v>
      </c>
      <c r="AX526" t="s">
        <v>91</v>
      </c>
      <c r="AY526" t="s">
        <v>91</v>
      </c>
      <c r="AZ526" t="s">
        <v>91</v>
      </c>
      <c r="BA526" t="s">
        <v>91</v>
      </c>
      <c r="BB526" s="2">
        <v>45118.097175925926</v>
      </c>
      <c r="BC526" s="2"/>
      <c r="BD526" t="s">
        <v>91</v>
      </c>
      <c r="BF526" s="1" t="s">
        <v>75</v>
      </c>
      <c r="BI526" s="1" t="s">
        <v>88</v>
      </c>
      <c r="BJ526">
        <v>1</v>
      </c>
      <c r="BK526" s="1" t="s">
        <v>89</v>
      </c>
      <c r="BL526" t="s">
        <v>91</v>
      </c>
      <c r="BM526" s="1" t="s">
        <v>91</v>
      </c>
      <c r="BN526" s="1" t="s">
        <v>91</v>
      </c>
      <c r="BO526" s="1" t="s">
        <v>91</v>
      </c>
      <c r="BP526" s="1" t="s">
        <v>91</v>
      </c>
      <c r="BQ526" t="s">
        <v>91</v>
      </c>
      <c r="BR526" s="3">
        <v>45118</v>
      </c>
      <c r="BS526" s="3"/>
      <c r="BT526" t="s">
        <v>91</v>
      </c>
      <c r="BU526" t="s">
        <v>91</v>
      </c>
      <c r="BW526" s="1" t="s">
        <v>3096</v>
      </c>
    </row>
    <row r="527" spans="1:75" hidden="1" x14ac:dyDescent="0.35">
      <c r="A527">
        <v>118701</v>
      </c>
      <c r="B527" s="1" t="s">
        <v>75</v>
      </c>
      <c r="C527">
        <v>80</v>
      </c>
      <c r="D527">
        <v>11121002</v>
      </c>
      <c r="E527">
        <v>121002</v>
      </c>
      <c r="F527" s="1" t="s">
        <v>2915</v>
      </c>
      <c r="G527" s="1" t="s">
        <v>3097</v>
      </c>
      <c r="I527" s="1" t="s">
        <v>78</v>
      </c>
      <c r="J527" s="1" t="s">
        <v>3098</v>
      </c>
      <c r="K527" s="1" t="s">
        <v>3099</v>
      </c>
      <c r="L527" t="s">
        <v>91</v>
      </c>
      <c r="M527" t="s">
        <v>91</v>
      </c>
      <c r="N527" s="1" t="s">
        <v>3100</v>
      </c>
      <c r="O527" t="s">
        <v>91</v>
      </c>
      <c r="P527" s="1" t="s">
        <v>311</v>
      </c>
      <c r="Q527" s="1" t="s">
        <v>3101</v>
      </c>
      <c r="R527" s="1" t="s">
        <v>254</v>
      </c>
      <c r="S527">
        <v>1254</v>
      </c>
      <c r="T527">
        <v>88010001</v>
      </c>
      <c r="U527" s="1" t="s">
        <v>108</v>
      </c>
      <c r="V527" s="1" t="s">
        <v>3102</v>
      </c>
      <c r="W527" s="1" t="s">
        <v>87</v>
      </c>
      <c r="X527">
        <v>48</v>
      </c>
      <c r="Y527">
        <v>30283878</v>
      </c>
      <c r="Z527" t="s">
        <v>91</v>
      </c>
      <c r="AA527" t="s">
        <v>91</v>
      </c>
      <c r="AB527" t="s">
        <v>91</v>
      </c>
      <c r="AC527" t="s">
        <v>91</v>
      </c>
      <c r="AD527" t="s">
        <v>91</v>
      </c>
      <c r="AE527" t="s">
        <v>91</v>
      </c>
      <c r="AF527" t="s">
        <v>91</v>
      </c>
      <c r="AG527" s="1" t="s">
        <v>91</v>
      </c>
      <c r="AH527" s="1" t="s">
        <v>91</v>
      </c>
      <c r="AI527" t="s">
        <v>91</v>
      </c>
      <c r="AJ527">
        <v>0</v>
      </c>
      <c r="AK527">
        <v>0</v>
      </c>
      <c r="AL527">
        <v>0</v>
      </c>
      <c r="AM527" t="s">
        <v>91</v>
      </c>
      <c r="AN527" t="s">
        <v>91</v>
      </c>
      <c r="AO527" t="s">
        <v>91</v>
      </c>
      <c r="AP527" t="s">
        <v>91</v>
      </c>
      <c r="AQ527" s="1" t="s">
        <v>91</v>
      </c>
      <c r="AR527" s="1" t="s">
        <v>91</v>
      </c>
      <c r="AS527" s="1" t="s">
        <v>91</v>
      </c>
      <c r="AT527" s="1" t="s">
        <v>91</v>
      </c>
      <c r="AU527" s="1" t="s">
        <v>91</v>
      </c>
      <c r="AV527" t="s">
        <v>91</v>
      </c>
      <c r="AW527" t="s">
        <v>91</v>
      </c>
      <c r="AX527" t="s">
        <v>91</v>
      </c>
      <c r="AY527" t="s">
        <v>91</v>
      </c>
      <c r="AZ527" t="s">
        <v>91</v>
      </c>
      <c r="BA527" t="s">
        <v>91</v>
      </c>
      <c r="BB527" s="2"/>
      <c r="BC527" s="2"/>
      <c r="BD527" t="s">
        <v>91</v>
      </c>
      <c r="BF527" s="1" t="s">
        <v>75</v>
      </c>
      <c r="BG527">
        <v>0</v>
      </c>
      <c r="BH527">
        <v>0</v>
      </c>
      <c r="BI527" s="1" t="s">
        <v>88</v>
      </c>
      <c r="BJ527">
        <v>1</v>
      </c>
      <c r="BK527" s="1" t="s">
        <v>89</v>
      </c>
      <c r="BL527" t="s">
        <v>91</v>
      </c>
      <c r="BM527" s="1" t="s">
        <v>109</v>
      </c>
      <c r="BN527" s="1" t="s">
        <v>110</v>
      </c>
      <c r="BO527" s="1" t="s">
        <v>180</v>
      </c>
      <c r="BP527" s="1" t="s">
        <v>91</v>
      </c>
      <c r="BQ527" t="s">
        <v>91</v>
      </c>
      <c r="BR527" s="3"/>
      <c r="BS527" s="3"/>
      <c r="BT527" t="s">
        <v>91</v>
      </c>
      <c r="BU527" t="s">
        <v>91</v>
      </c>
      <c r="BV527">
        <v>8</v>
      </c>
      <c r="BW527" s="1" t="s">
        <v>419</v>
      </c>
    </row>
    <row r="528" spans="1:75" hidden="1" x14ac:dyDescent="0.35">
      <c r="A528">
        <v>134557</v>
      </c>
      <c r="B528" s="1" t="s">
        <v>75</v>
      </c>
      <c r="C528">
        <v>80</v>
      </c>
      <c r="D528">
        <v>11121002</v>
      </c>
      <c r="E528">
        <v>121002</v>
      </c>
      <c r="F528" s="1" t="s">
        <v>2915</v>
      </c>
      <c r="G528" s="1" t="s">
        <v>3103</v>
      </c>
      <c r="I528" s="1" t="s">
        <v>78</v>
      </c>
      <c r="J528" s="1" t="s">
        <v>3104</v>
      </c>
      <c r="K528" s="1" t="s">
        <v>3105</v>
      </c>
      <c r="L528" t="s">
        <v>91</v>
      </c>
      <c r="M528" t="s">
        <v>91</v>
      </c>
      <c r="N528" s="1" t="s">
        <v>3106</v>
      </c>
      <c r="O528" t="s">
        <v>91</v>
      </c>
      <c r="P528" s="1" t="s">
        <v>3107</v>
      </c>
      <c r="Q528" s="1" t="s">
        <v>97</v>
      </c>
      <c r="R528" s="1" t="s">
        <v>91</v>
      </c>
      <c r="T528">
        <v>88040165</v>
      </c>
      <c r="U528" s="1" t="s">
        <v>3108</v>
      </c>
      <c r="V528" s="1" t="s">
        <v>3102</v>
      </c>
      <c r="W528" s="1" t="s">
        <v>87</v>
      </c>
      <c r="X528">
        <v>48</v>
      </c>
      <c r="Y528">
        <v>32342287</v>
      </c>
      <c r="Z528" t="s">
        <v>91</v>
      </c>
      <c r="AA528" t="s">
        <v>91</v>
      </c>
      <c r="AB528" t="s">
        <v>91</v>
      </c>
      <c r="AC528" t="s">
        <v>91</v>
      </c>
      <c r="AD528" t="s">
        <v>91</v>
      </c>
      <c r="AE528" t="s">
        <v>91</v>
      </c>
      <c r="AF528" t="s">
        <v>91</v>
      </c>
      <c r="AG528" s="1" t="s">
        <v>146</v>
      </c>
      <c r="AH528" s="1" t="s">
        <v>91</v>
      </c>
      <c r="AI528" t="s">
        <v>91</v>
      </c>
      <c r="AM528" t="s">
        <v>91</v>
      </c>
      <c r="AN528" t="s">
        <v>91</v>
      </c>
      <c r="AO528" t="s">
        <v>91</v>
      </c>
      <c r="AP528" t="s">
        <v>91</v>
      </c>
      <c r="AQ528" s="1" t="s">
        <v>147</v>
      </c>
      <c r="AR528" s="1" t="s">
        <v>147</v>
      </c>
      <c r="AS528" s="1" t="s">
        <v>147</v>
      </c>
      <c r="AT528" s="1" t="s">
        <v>147</v>
      </c>
      <c r="AU528" s="1" t="s">
        <v>147</v>
      </c>
      <c r="AV528" t="s">
        <v>91</v>
      </c>
      <c r="AW528" t="s">
        <v>91</v>
      </c>
      <c r="AX528" t="s">
        <v>91</v>
      </c>
      <c r="AY528" t="s">
        <v>91</v>
      </c>
      <c r="AZ528" t="s">
        <v>91</v>
      </c>
      <c r="BA528" t="s">
        <v>91</v>
      </c>
      <c r="BB528" s="2"/>
      <c r="BC528" s="2">
        <v>44624.375810185185</v>
      </c>
      <c r="BD528" t="s">
        <v>91</v>
      </c>
      <c r="BF528" s="1" t="s">
        <v>75</v>
      </c>
      <c r="BH528">
        <v>0</v>
      </c>
      <c r="BI528" s="1" t="s">
        <v>88</v>
      </c>
      <c r="BJ528">
        <v>1</v>
      </c>
      <c r="BK528" s="1" t="s">
        <v>89</v>
      </c>
      <c r="BL528" t="s">
        <v>91</v>
      </c>
      <c r="BM528" s="1" t="s">
        <v>109</v>
      </c>
      <c r="BN528" s="1" t="s">
        <v>110</v>
      </c>
      <c r="BO528" s="1" t="s">
        <v>111</v>
      </c>
      <c r="BP528" s="1" t="s">
        <v>91</v>
      </c>
      <c r="BQ528" t="s">
        <v>91</v>
      </c>
      <c r="BR528" s="3"/>
      <c r="BS528" s="3">
        <v>44624</v>
      </c>
      <c r="BT528" t="s">
        <v>91</v>
      </c>
      <c r="BU528" t="s">
        <v>91</v>
      </c>
      <c r="BW528" s="1" t="s">
        <v>263</v>
      </c>
    </row>
    <row r="529" spans="1:75" hidden="1" x14ac:dyDescent="0.35">
      <c r="A529">
        <v>134478</v>
      </c>
      <c r="B529" s="1" t="s">
        <v>75</v>
      </c>
      <c r="C529">
        <v>80</v>
      </c>
      <c r="D529">
        <v>11121002</v>
      </c>
      <c r="E529">
        <v>121002</v>
      </c>
      <c r="F529" s="1" t="s">
        <v>2915</v>
      </c>
      <c r="G529" s="1" t="s">
        <v>3109</v>
      </c>
      <c r="I529" s="1" t="s">
        <v>78</v>
      </c>
      <c r="J529" s="1" t="s">
        <v>3110</v>
      </c>
      <c r="K529" s="1" t="s">
        <v>3111</v>
      </c>
      <c r="L529" t="s">
        <v>91</v>
      </c>
      <c r="M529" t="s">
        <v>91</v>
      </c>
      <c r="N529" s="1" t="s">
        <v>2812</v>
      </c>
      <c r="O529" t="s">
        <v>91</v>
      </c>
      <c r="P529" s="1" t="s">
        <v>2326</v>
      </c>
      <c r="Q529" s="1" t="s">
        <v>204</v>
      </c>
      <c r="R529" s="1" t="s">
        <v>91</v>
      </c>
      <c r="S529">
        <v>1254</v>
      </c>
      <c r="T529">
        <v>88010030</v>
      </c>
      <c r="U529" s="1" t="s">
        <v>108</v>
      </c>
      <c r="V529" s="1" t="s">
        <v>3102</v>
      </c>
      <c r="W529" s="1" t="s">
        <v>87</v>
      </c>
      <c r="X529">
        <v>48</v>
      </c>
      <c r="Y529">
        <v>33330209</v>
      </c>
      <c r="Z529" t="s">
        <v>91</v>
      </c>
      <c r="AA529" t="s">
        <v>91</v>
      </c>
      <c r="AB529" t="s">
        <v>91</v>
      </c>
      <c r="AC529" t="s">
        <v>91</v>
      </c>
      <c r="AD529" t="s">
        <v>91</v>
      </c>
      <c r="AE529" t="s">
        <v>91</v>
      </c>
      <c r="AF529" t="s">
        <v>91</v>
      </c>
      <c r="AG529" s="1" t="s">
        <v>146</v>
      </c>
      <c r="AH529" s="1" t="s">
        <v>91</v>
      </c>
      <c r="AI529" t="s">
        <v>91</v>
      </c>
      <c r="AM529" t="s">
        <v>91</v>
      </c>
      <c r="AN529" t="s">
        <v>91</v>
      </c>
      <c r="AO529" t="s">
        <v>91</v>
      </c>
      <c r="AP529" t="s">
        <v>91</v>
      </c>
      <c r="AQ529" s="1" t="s">
        <v>147</v>
      </c>
      <c r="AR529" s="1" t="s">
        <v>147</v>
      </c>
      <c r="AS529" s="1" t="s">
        <v>147</v>
      </c>
      <c r="AT529" s="1" t="s">
        <v>147</v>
      </c>
      <c r="AU529" s="1" t="s">
        <v>147</v>
      </c>
      <c r="AV529" t="s">
        <v>91</v>
      </c>
      <c r="AW529" t="s">
        <v>91</v>
      </c>
      <c r="AX529" t="s">
        <v>91</v>
      </c>
      <c r="AY529" t="s">
        <v>91</v>
      </c>
      <c r="AZ529" t="s">
        <v>91</v>
      </c>
      <c r="BA529" t="s">
        <v>91</v>
      </c>
      <c r="BB529" s="2"/>
      <c r="BC529" s="2">
        <v>44567.743541666663</v>
      </c>
      <c r="BD529" t="s">
        <v>91</v>
      </c>
      <c r="BF529" s="1" t="s">
        <v>75</v>
      </c>
      <c r="BH529">
        <v>0</v>
      </c>
      <c r="BI529" s="1" t="s">
        <v>88</v>
      </c>
      <c r="BJ529">
        <v>1</v>
      </c>
      <c r="BK529" s="1" t="s">
        <v>89</v>
      </c>
      <c r="BL529" t="s">
        <v>91</v>
      </c>
      <c r="BM529" s="1" t="s">
        <v>164</v>
      </c>
      <c r="BN529" s="1" t="s">
        <v>110</v>
      </c>
      <c r="BO529" s="1" t="s">
        <v>165</v>
      </c>
      <c r="BP529" s="1" t="s">
        <v>91</v>
      </c>
      <c r="BQ529" t="s">
        <v>91</v>
      </c>
      <c r="BR529" s="3"/>
      <c r="BS529" s="3">
        <v>44567</v>
      </c>
      <c r="BT529" t="s">
        <v>91</v>
      </c>
      <c r="BU529" t="s">
        <v>91</v>
      </c>
      <c r="BV529">
        <v>1</v>
      </c>
      <c r="BW529" s="1" t="s">
        <v>3112</v>
      </c>
    </row>
    <row r="530" spans="1:75" hidden="1" x14ac:dyDescent="0.35">
      <c r="A530">
        <v>134479</v>
      </c>
      <c r="B530" s="1" t="s">
        <v>75</v>
      </c>
      <c r="C530">
        <v>80</v>
      </c>
      <c r="D530">
        <v>11121002</v>
      </c>
      <c r="E530">
        <v>121002</v>
      </c>
      <c r="F530" s="1" t="s">
        <v>2915</v>
      </c>
      <c r="G530" s="1" t="s">
        <v>3113</v>
      </c>
      <c r="I530" s="1" t="s">
        <v>78</v>
      </c>
      <c r="J530" s="1" t="s">
        <v>3110</v>
      </c>
      <c r="K530" s="1" t="s">
        <v>3114</v>
      </c>
      <c r="L530" t="s">
        <v>91</v>
      </c>
      <c r="M530" t="s">
        <v>91</v>
      </c>
      <c r="N530" s="1" t="s">
        <v>2812</v>
      </c>
      <c r="O530" t="s">
        <v>91</v>
      </c>
      <c r="P530" s="1" t="s">
        <v>775</v>
      </c>
      <c r="Q530" s="1" t="s">
        <v>3115</v>
      </c>
      <c r="R530" s="1" t="s">
        <v>434</v>
      </c>
      <c r="S530">
        <v>1254</v>
      </c>
      <c r="T530">
        <v>88010320</v>
      </c>
      <c r="U530" s="1" t="s">
        <v>108</v>
      </c>
      <c r="V530" s="1" t="s">
        <v>3102</v>
      </c>
      <c r="W530" s="1" t="s">
        <v>87</v>
      </c>
      <c r="X530">
        <v>48</v>
      </c>
      <c r="Y530">
        <v>30374919</v>
      </c>
      <c r="Z530" t="s">
        <v>91</v>
      </c>
      <c r="AA530" t="s">
        <v>91</v>
      </c>
      <c r="AB530" t="s">
        <v>91</v>
      </c>
      <c r="AC530" t="s">
        <v>91</v>
      </c>
      <c r="AD530" t="s">
        <v>91</v>
      </c>
      <c r="AE530" t="s">
        <v>91</v>
      </c>
      <c r="AF530" t="s">
        <v>91</v>
      </c>
      <c r="AG530" s="1" t="s">
        <v>146</v>
      </c>
      <c r="AH530" s="1" t="s">
        <v>91</v>
      </c>
      <c r="AI530" t="s">
        <v>91</v>
      </c>
      <c r="AM530" t="s">
        <v>91</v>
      </c>
      <c r="AN530" t="s">
        <v>91</v>
      </c>
      <c r="AO530" t="s">
        <v>91</v>
      </c>
      <c r="AP530" t="s">
        <v>91</v>
      </c>
      <c r="AQ530" s="1" t="s">
        <v>147</v>
      </c>
      <c r="AR530" s="1" t="s">
        <v>147</v>
      </c>
      <c r="AS530" s="1" t="s">
        <v>147</v>
      </c>
      <c r="AT530" s="1" t="s">
        <v>147</v>
      </c>
      <c r="AU530" s="1" t="s">
        <v>147</v>
      </c>
      <c r="AV530" t="s">
        <v>91</v>
      </c>
      <c r="AW530" t="s">
        <v>91</v>
      </c>
      <c r="AX530" t="s">
        <v>91</v>
      </c>
      <c r="AY530" t="s">
        <v>91</v>
      </c>
      <c r="AZ530" t="s">
        <v>91</v>
      </c>
      <c r="BA530" t="s">
        <v>91</v>
      </c>
      <c r="BB530" s="2"/>
      <c r="BC530" s="2">
        <v>44669.667800925927</v>
      </c>
      <c r="BD530" t="s">
        <v>91</v>
      </c>
      <c r="BF530" s="1" t="s">
        <v>75</v>
      </c>
      <c r="BH530">
        <v>0</v>
      </c>
      <c r="BI530" s="1" t="s">
        <v>88</v>
      </c>
      <c r="BJ530">
        <v>1</v>
      </c>
      <c r="BK530" s="1" t="s">
        <v>89</v>
      </c>
      <c r="BL530" t="s">
        <v>91</v>
      </c>
      <c r="BM530" s="1" t="s">
        <v>164</v>
      </c>
      <c r="BN530" s="1" t="s">
        <v>110</v>
      </c>
      <c r="BO530" s="1" t="s">
        <v>165</v>
      </c>
      <c r="BP530" s="1" t="s">
        <v>91</v>
      </c>
      <c r="BQ530" t="s">
        <v>91</v>
      </c>
      <c r="BR530" s="3"/>
      <c r="BS530" s="3">
        <v>44669</v>
      </c>
      <c r="BT530" t="s">
        <v>91</v>
      </c>
      <c r="BU530" t="s">
        <v>91</v>
      </c>
      <c r="BV530">
        <v>1</v>
      </c>
      <c r="BW530" s="1" t="s">
        <v>2162</v>
      </c>
    </row>
    <row r="531" spans="1:75" hidden="1" x14ac:dyDescent="0.35">
      <c r="A531">
        <v>134318</v>
      </c>
      <c r="B531" s="1" t="s">
        <v>75</v>
      </c>
      <c r="C531">
        <v>80</v>
      </c>
      <c r="D531">
        <v>11121002</v>
      </c>
      <c r="E531">
        <v>121002</v>
      </c>
      <c r="F531" s="1" t="s">
        <v>2915</v>
      </c>
      <c r="G531" s="1" t="s">
        <v>3116</v>
      </c>
      <c r="I531" s="1" t="s">
        <v>78</v>
      </c>
      <c r="J531" s="1" t="s">
        <v>3117</v>
      </c>
      <c r="K531" s="1" t="s">
        <v>3118</v>
      </c>
      <c r="L531" t="s">
        <v>91</v>
      </c>
      <c r="M531" t="s">
        <v>91</v>
      </c>
      <c r="N531" s="1" t="s">
        <v>3119</v>
      </c>
      <c r="O531" t="s">
        <v>91</v>
      </c>
      <c r="P531" s="1" t="s">
        <v>3120</v>
      </c>
      <c r="Q531" s="1" t="s">
        <v>3121</v>
      </c>
      <c r="R531" s="1" t="s">
        <v>3122</v>
      </c>
      <c r="S531">
        <v>1259</v>
      </c>
      <c r="T531">
        <v>88140000</v>
      </c>
      <c r="U531" s="1" t="s">
        <v>108</v>
      </c>
      <c r="V531" s="1" t="s">
        <v>3123</v>
      </c>
      <c r="W531" s="1" t="s">
        <v>87</v>
      </c>
      <c r="X531">
        <v>48</v>
      </c>
      <c r="Y531">
        <v>32451804</v>
      </c>
      <c r="Z531" t="s">
        <v>91</v>
      </c>
      <c r="AA531" t="s">
        <v>91</v>
      </c>
      <c r="AB531" t="s">
        <v>91</v>
      </c>
      <c r="AC531" t="s">
        <v>91</v>
      </c>
      <c r="AD531" t="s">
        <v>91</v>
      </c>
      <c r="AE531" t="s">
        <v>91</v>
      </c>
      <c r="AF531" t="s">
        <v>91</v>
      </c>
      <c r="AG531" s="1" t="s">
        <v>146</v>
      </c>
      <c r="AH531" s="1" t="s">
        <v>91</v>
      </c>
      <c r="AI531" t="s">
        <v>91</v>
      </c>
      <c r="AJ531">
        <v>0</v>
      </c>
      <c r="AK531">
        <v>0</v>
      </c>
      <c r="AL531">
        <v>0</v>
      </c>
      <c r="AM531" t="s">
        <v>91</v>
      </c>
      <c r="AN531" t="s">
        <v>91</v>
      </c>
      <c r="AO531" t="s">
        <v>91</v>
      </c>
      <c r="AP531" t="s">
        <v>91</v>
      </c>
      <c r="AQ531" s="1" t="s">
        <v>147</v>
      </c>
      <c r="AR531" s="1" t="s">
        <v>147</v>
      </c>
      <c r="AS531" s="1" t="s">
        <v>147</v>
      </c>
      <c r="AT531" s="1" t="s">
        <v>147</v>
      </c>
      <c r="AU531" s="1" t="s">
        <v>147</v>
      </c>
      <c r="AV531" t="s">
        <v>91</v>
      </c>
      <c r="AW531" t="s">
        <v>91</v>
      </c>
      <c r="AX531" t="s">
        <v>91</v>
      </c>
      <c r="AY531" t="s">
        <v>91</v>
      </c>
      <c r="AZ531" t="s">
        <v>91</v>
      </c>
      <c r="BA531" t="s">
        <v>91</v>
      </c>
      <c r="BB531" s="2"/>
      <c r="BC531" s="2">
        <v>44669.675266203703</v>
      </c>
      <c r="BD531" t="s">
        <v>91</v>
      </c>
      <c r="BF531" s="1" t="s">
        <v>75</v>
      </c>
      <c r="BG531">
        <v>0</v>
      </c>
      <c r="BH531">
        <v>0</v>
      </c>
      <c r="BI531" s="1" t="s">
        <v>88</v>
      </c>
      <c r="BJ531">
        <v>1</v>
      </c>
      <c r="BK531" s="1" t="s">
        <v>89</v>
      </c>
      <c r="BL531" t="s">
        <v>91</v>
      </c>
      <c r="BM531" s="1" t="s">
        <v>109</v>
      </c>
      <c r="BN531" s="1" t="s">
        <v>110</v>
      </c>
      <c r="BO531" s="1" t="s">
        <v>128</v>
      </c>
      <c r="BP531" s="1" t="s">
        <v>91</v>
      </c>
      <c r="BQ531" t="s">
        <v>91</v>
      </c>
      <c r="BR531" s="3"/>
      <c r="BS531" s="3">
        <v>44669</v>
      </c>
      <c r="BT531" t="s">
        <v>91</v>
      </c>
      <c r="BU531" t="s">
        <v>91</v>
      </c>
      <c r="BV531">
        <v>9</v>
      </c>
      <c r="BW531" s="1" t="s">
        <v>3124</v>
      </c>
    </row>
    <row r="532" spans="1:75" hidden="1" x14ac:dyDescent="0.35">
      <c r="A532">
        <v>159578</v>
      </c>
      <c r="B532" s="1" t="s">
        <v>75</v>
      </c>
      <c r="C532">
        <v>80</v>
      </c>
      <c r="D532">
        <v>11121002</v>
      </c>
      <c r="E532">
        <v>121002</v>
      </c>
      <c r="F532" s="1" t="s">
        <v>2915</v>
      </c>
      <c r="G532" s="1" t="s">
        <v>3125</v>
      </c>
      <c r="I532" s="1" t="s">
        <v>78</v>
      </c>
      <c r="J532" s="1" t="s">
        <v>3126</v>
      </c>
      <c r="K532" s="1" t="s">
        <v>3127</v>
      </c>
      <c r="L532" t="s">
        <v>91</v>
      </c>
      <c r="M532" t="s">
        <v>91</v>
      </c>
      <c r="N532" s="1" t="s">
        <v>408</v>
      </c>
      <c r="O532" t="s">
        <v>91</v>
      </c>
      <c r="P532" s="1" t="s">
        <v>3128</v>
      </c>
      <c r="Q532" s="1" t="s">
        <v>3129</v>
      </c>
      <c r="R532" s="1" t="s">
        <v>3130</v>
      </c>
      <c r="S532">
        <v>1257</v>
      </c>
      <c r="T532">
        <v>88030000</v>
      </c>
      <c r="U532" s="1" t="s">
        <v>3131</v>
      </c>
      <c r="V532" s="1" t="s">
        <v>2922</v>
      </c>
      <c r="W532" s="1" t="s">
        <v>87</v>
      </c>
      <c r="X532">
        <v>42</v>
      </c>
      <c r="Y532">
        <v>998585101</v>
      </c>
      <c r="Z532" t="s">
        <v>91</v>
      </c>
      <c r="AA532" t="s">
        <v>91</v>
      </c>
      <c r="AB532" t="s">
        <v>91</v>
      </c>
      <c r="AC532" t="s">
        <v>91</v>
      </c>
      <c r="AD532" t="s">
        <v>91</v>
      </c>
      <c r="AE532" t="s">
        <v>91</v>
      </c>
      <c r="AF532" t="s">
        <v>91</v>
      </c>
      <c r="AG532" s="1" t="s">
        <v>91</v>
      </c>
      <c r="AH532" s="1" t="s">
        <v>91</v>
      </c>
      <c r="AI532" t="s">
        <v>91</v>
      </c>
      <c r="AM532" t="s">
        <v>91</v>
      </c>
      <c r="AN532" t="s">
        <v>91</v>
      </c>
      <c r="AO532" t="s">
        <v>91</v>
      </c>
      <c r="AP532" t="s">
        <v>91</v>
      </c>
      <c r="AQ532" s="1" t="s">
        <v>91</v>
      </c>
      <c r="AR532" s="1" t="s">
        <v>91</v>
      </c>
      <c r="AS532" s="1" t="s">
        <v>91</v>
      </c>
      <c r="AT532" s="1" t="s">
        <v>91</v>
      </c>
      <c r="AU532" s="1" t="s">
        <v>91</v>
      </c>
      <c r="AV532" t="s">
        <v>91</v>
      </c>
      <c r="AW532" t="s">
        <v>91</v>
      </c>
      <c r="AX532" t="s">
        <v>91</v>
      </c>
      <c r="AY532" t="s">
        <v>91</v>
      </c>
      <c r="AZ532" t="s">
        <v>91</v>
      </c>
      <c r="BA532" t="s">
        <v>91</v>
      </c>
      <c r="BB532" s="2">
        <v>45194.491122685184</v>
      </c>
      <c r="BC532" s="2"/>
      <c r="BD532" t="s">
        <v>91</v>
      </c>
      <c r="BF532" s="1" t="s">
        <v>75</v>
      </c>
      <c r="BI532" s="1" t="s">
        <v>88</v>
      </c>
      <c r="BJ532">
        <v>1</v>
      </c>
      <c r="BK532" s="1" t="s">
        <v>89</v>
      </c>
      <c r="BL532" t="s">
        <v>91</v>
      </c>
      <c r="BM532" s="1" t="s">
        <v>91</v>
      </c>
      <c r="BN532" s="1" t="s">
        <v>91</v>
      </c>
      <c r="BO532" s="1" t="s">
        <v>91</v>
      </c>
      <c r="BP532" s="1" t="s">
        <v>91</v>
      </c>
      <c r="BQ532" t="s">
        <v>91</v>
      </c>
      <c r="BR532" s="3">
        <v>45194</v>
      </c>
      <c r="BS532" s="3"/>
      <c r="BT532" t="s">
        <v>91</v>
      </c>
      <c r="BU532" t="s">
        <v>91</v>
      </c>
      <c r="BW532" s="1" t="s">
        <v>90</v>
      </c>
    </row>
    <row r="533" spans="1:75" hidden="1" x14ac:dyDescent="0.35">
      <c r="A533">
        <v>157692</v>
      </c>
      <c r="B533" s="1" t="s">
        <v>75</v>
      </c>
      <c r="C533">
        <v>80</v>
      </c>
      <c r="D533">
        <v>11121002</v>
      </c>
      <c r="E533">
        <v>121002</v>
      </c>
      <c r="F533" s="1" t="s">
        <v>2915</v>
      </c>
      <c r="G533" s="1" t="s">
        <v>3132</v>
      </c>
      <c r="H533">
        <v>0</v>
      </c>
      <c r="I533" s="1" t="s">
        <v>78</v>
      </c>
      <c r="J533" s="1" t="s">
        <v>3133</v>
      </c>
      <c r="K533" s="1" t="s">
        <v>3134</v>
      </c>
      <c r="L533" t="s">
        <v>91</v>
      </c>
      <c r="M533" t="s">
        <v>91</v>
      </c>
      <c r="N533" s="1" t="s">
        <v>91</v>
      </c>
      <c r="O533" t="s">
        <v>91</v>
      </c>
      <c r="P533" s="1" t="s">
        <v>3135</v>
      </c>
      <c r="Q533" s="1" t="s">
        <v>3136</v>
      </c>
      <c r="R533" s="1" t="s">
        <v>370</v>
      </c>
      <c r="S533">
        <v>1257</v>
      </c>
      <c r="T533">
        <v>88035001</v>
      </c>
      <c r="U533" s="1" t="s">
        <v>3137</v>
      </c>
      <c r="V533" s="1" t="s">
        <v>2922</v>
      </c>
      <c r="W533" s="1" t="s">
        <v>87</v>
      </c>
      <c r="X533">
        <v>48</v>
      </c>
      <c r="Y533">
        <v>991382618</v>
      </c>
      <c r="Z533" t="s">
        <v>91</v>
      </c>
      <c r="AA533" t="s">
        <v>91</v>
      </c>
      <c r="AB533" t="s">
        <v>91</v>
      </c>
      <c r="AC533" t="s">
        <v>91</v>
      </c>
      <c r="AD533" t="s">
        <v>91</v>
      </c>
      <c r="AE533" t="s">
        <v>91</v>
      </c>
      <c r="AF533" t="s">
        <v>91</v>
      </c>
      <c r="AG533" s="1" t="s">
        <v>91</v>
      </c>
      <c r="AH533" s="1" t="s">
        <v>91</v>
      </c>
      <c r="AI533" t="s">
        <v>91</v>
      </c>
      <c r="AM533" t="s">
        <v>91</v>
      </c>
      <c r="AN533" t="s">
        <v>91</v>
      </c>
      <c r="AO533" t="s">
        <v>91</v>
      </c>
      <c r="AP533" t="s">
        <v>91</v>
      </c>
      <c r="AQ533" s="1" t="s">
        <v>91</v>
      </c>
      <c r="AR533" s="1" t="s">
        <v>91</v>
      </c>
      <c r="AS533" s="1" t="s">
        <v>91</v>
      </c>
      <c r="AT533" s="1" t="s">
        <v>91</v>
      </c>
      <c r="AU533" s="1" t="s">
        <v>91</v>
      </c>
      <c r="AV533" t="s">
        <v>91</v>
      </c>
      <c r="AW533" t="s">
        <v>91</v>
      </c>
      <c r="AX533" t="s">
        <v>91</v>
      </c>
      <c r="AY533" t="s">
        <v>91</v>
      </c>
      <c r="AZ533" t="s">
        <v>91</v>
      </c>
      <c r="BA533" t="s">
        <v>91</v>
      </c>
      <c r="BB533" s="2">
        <v>45118.097175925926</v>
      </c>
      <c r="BC533" s="2"/>
      <c r="BD533" t="s">
        <v>91</v>
      </c>
      <c r="BF533" s="1" t="s">
        <v>75</v>
      </c>
      <c r="BI533" s="1" t="s">
        <v>88</v>
      </c>
      <c r="BJ533">
        <v>1</v>
      </c>
      <c r="BK533" s="1" t="s">
        <v>89</v>
      </c>
      <c r="BL533" t="s">
        <v>91</v>
      </c>
      <c r="BM533" s="1" t="s">
        <v>91</v>
      </c>
      <c r="BN533" s="1" t="s">
        <v>91</v>
      </c>
      <c r="BO533" s="1" t="s">
        <v>91</v>
      </c>
      <c r="BP533" s="1" t="s">
        <v>91</v>
      </c>
      <c r="BQ533" t="s">
        <v>91</v>
      </c>
      <c r="BR533" s="3">
        <v>45118</v>
      </c>
      <c r="BS533" s="3"/>
      <c r="BT533" t="s">
        <v>91</v>
      </c>
      <c r="BU533" t="s">
        <v>91</v>
      </c>
      <c r="BW533" s="1" t="s">
        <v>90</v>
      </c>
    </row>
    <row r="534" spans="1:75" hidden="1" x14ac:dyDescent="0.35">
      <c r="A534">
        <v>156944</v>
      </c>
      <c r="B534" s="1" t="s">
        <v>75</v>
      </c>
      <c r="C534">
        <v>80</v>
      </c>
      <c r="D534">
        <v>11121002</v>
      </c>
      <c r="E534">
        <v>121002</v>
      </c>
      <c r="F534" s="1" t="s">
        <v>2915</v>
      </c>
      <c r="G534" s="1" t="s">
        <v>3138</v>
      </c>
      <c r="H534">
        <v>0</v>
      </c>
      <c r="I534" s="1" t="s">
        <v>78</v>
      </c>
      <c r="J534" s="1" t="s">
        <v>3139</v>
      </c>
      <c r="K534" s="1" t="s">
        <v>3140</v>
      </c>
      <c r="L534" t="s">
        <v>91</v>
      </c>
      <c r="M534" t="s">
        <v>91</v>
      </c>
      <c r="N534" s="1" t="s">
        <v>3141</v>
      </c>
      <c r="O534" t="s">
        <v>91</v>
      </c>
      <c r="P534" s="1" t="s">
        <v>3142</v>
      </c>
      <c r="Q534" s="1" t="s">
        <v>427</v>
      </c>
      <c r="R534" s="1" t="s">
        <v>3143</v>
      </c>
      <c r="S534">
        <v>1259</v>
      </c>
      <c r="T534">
        <v>88102001</v>
      </c>
      <c r="U534" s="1" t="s">
        <v>3015</v>
      </c>
      <c r="V534" s="1" t="s">
        <v>3016</v>
      </c>
      <c r="W534" s="1" t="s">
        <v>87</v>
      </c>
      <c r="X534">
        <v>49</v>
      </c>
      <c r="Y534">
        <v>999559775</v>
      </c>
      <c r="Z534" t="s">
        <v>91</v>
      </c>
      <c r="AA534" t="s">
        <v>91</v>
      </c>
      <c r="AB534" t="s">
        <v>91</v>
      </c>
      <c r="AC534" t="s">
        <v>91</v>
      </c>
      <c r="AD534" t="s">
        <v>91</v>
      </c>
      <c r="AE534" t="s">
        <v>91</v>
      </c>
      <c r="AF534" t="s">
        <v>91</v>
      </c>
      <c r="AG534" s="1" t="s">
        <v>146</v>
      </c>
      <c r="AH534" s="1" t="s">
        <v>91</v>
      </c>
      <c r="AI534" t="s">
        <v>91</v>
      </c>
      <c r="AM534" t="s">
        <v>91</v>
      </c>
      <c r="AN534" t="s">
        <v>91</v>
      </c>
      <c r="AO534" t="s">
        <v>91</v>
      </c>
      <c r="AP534" t="s">
        <v>91</v>
      </c>
      <c r="AQ534" s="1" t="s">
        <v>147</v>
      </c>
      <c r="AR534" s="1" t="s">
        <v>147</v>
      </c>
      <c r="AS534" s="1" t="s">
        <v>147</v>
      </c>
      <c r="AT534" s="1" t="s">
        <v>147</v>
      </c>
      <c r="AU534" s="1" t="s">
        <v>147</v>
      </c>
      <c r="AV534" t="s">
        <v>91</v>
      </c>
      <c r="AW534" t="s">
        <v>91</v>
      </c>
      <c r="AX534" t="s">
        <v>91</v>
      </c>
      <c r="AY534" t="s">
        <v>91</v>
      </c>
      <c r="AZ534" t="s">
        <v>91</v>
      </c>
      <c r="BA534" t="s">
        <v>91</v>
      </c>
      <c r="BB534" s="2">
        <v>45113.505416666667</v>
      </c>
      <c r="BC534" s="2">
        <v>45114.56821759259</v>
      </c>
      <c r="BD534" t="s">
        <v>91</v>
      </c>
      <c r="BF534" s="1" t="s">
        <v>75</v>
      </c>
      <c r="BH534">
        <v>0</v>
      </c>
      <c r="BI534" s="1" t="s">
        <v>88</v>
      </c>
      <c r="BJ534">
        <v>1</v>
      </c>
      <c r="BK534" s="1" t="s">
        <v>89</v>
      </c>
      <c r="BL534" t="s">
        <v>91</v>
      </c>
      <c r="BM534" s="1" t="s">
        <v>91</v>
      </c>
      <c r="BN534" s="1" t="s">
        <v>91</v>
      </c>
      <c r="BO534" s="1" t="s">
        <v>91</v>
      </c>
      <c r="BP534" s="1" t="s">
        <v>91</v>
      </c>
      <c r="BQ534" t="s">
        <v>91</v>
      </c>
      <c r="BR534" s="3">
        <v>45113</v>
      </c>
      <c r="BS534" s="3">
        <v>45114</v>
      </c>
      <c r="BT534" t="s">
        <v>91</v>
      </c>
      <c r="BU534" t="s">
        <v>91</v>
      </c>
      <c r="BW534" s="1" t="s">
        <v>390</v>
      </c>
    </row>
    <row r="535" spans="1:75" hidden="1" x14ac:dyDescent="0.35">
      <c r="A535">
        <v>158705</v>
      </c>
      <c r="B535" s="1" t="s">
        <v>75</v>
      </c>
      <c r="C535">
        <v>80</v>
      </c>
      <c r="D535">
        <v>11121002</v>
      </c>
      <c r="E535">
        <v>121002</v>
      </c>
      <c r="F535" s="1" t="s">
        <v>2915</v>
      </c>
      <c r="G535" s="1" t="s">
        <v>3144</v>
      </c>
      <c r="I535" s="1" t="s">
        <v>78</v>
      </c>
      <c r="J535" s="1" t="s">
        <v>3145</v>
      </c>
      <c r="K535" s="1" t="s">
        <v>3146</v>
      </c>
      <c r="L535" t="s">
        <v>91</v>
      </c>
      <c r="M535" t="s">
        <v>91</v>
      </c>
      <c r="N535" s="1" t="s">
        <v>1232</v>
      </c>
      <c r="O535" t="s">
        <v>91</v>
      </c>
      <c r="P535" s="1" t="s">
        <v>3147</v>
      </c>
      <c r="Q535" s="1" t="s">
        <v>3148</v>
      </c>
      <c r="R535" s="1" t="s">
        <v>254</v>
      </c>
      <c r="T535">
        <v>88015620</v>
      </c>
      <c r="U535" s="1" t="s">
        <v>108</v>
      </c>
      <c r="V535" s="1" t="s">
        <v>2922</v>
      </c>
      <c r="W535" s="1" t="s">
        <v>87</v>
      </c>
      <c r="X535">
        <v>48</v>
      </c>
      <c r="Y535">
        <v>32259791</v>
      </c>
      <c r="Z535" t="s">
        <v>91</v>
      </c>
      <c r="AA535" t="s">
        <v>91</v>
      </c>
      <c r="AB535" t="s">
        <v>91</v>
      </c>
      <c r="AC535" t="s">
        <v>91</v>
      </c>
      <c r="AD535" t="s">
        <v>91</v>
      </c>
      <c r="AE535" t="s">
        <v>91</v>
      </c>
      <c r="AF535" t="s">
        <v>91</v>
      </c>
      <c r="AG535" s="1" t="s">
        <v>91</v>
      </c>
      <c r="AH535" s="1" t="s">
        <v>91</v>
      </c>
      <c r="AI535" t="s">
        <v>91</v>
      </c>
      <c r="AM535" t="s">
        <v>91</v>
      </c>
      <c r="AN535" t="s">
        <v>91</v>
      </c>
      <c r="AO535" t="s">
        <v>91</v>
      </c>
      <c r="AP535" t="s">
        <v>91</v>
      </c>
      <c r="AQ535" s="1" t="s">
        <v>91</v>
      </c>
      <c r="AR535" s="1" t="s">
        <v>91</v>
      </c>
      <c r="AS535" s="1" t="s">
        <v>91</v>
      </c>
      <c r="AT535" s="1" t="s">
        <v>91</v>
      </c>
      <c r="AU535" s="1" t="s">
        <v>91</v>
      </c>
      <c r="AV535" t="s">
        <v>91</v>
      </c>
      <c r="AW535" t="s">
        <v>91</v>
      </c>
      <c r="AX535" t="s">
        <v>91</v>
      </c>
      <c r="AY535" t="s">
        <v>91</v>
      </c>
      <c r="AZ535" t="s">
        <v>91</v>
      </c>
      <c r="BA535" t="s">
        <v>91</v>
      </c>
      <c r="BB535" s="2">
        <v>45155.700069444443</v>
      </c>
      <c r="BC535" s="2"/>
      <c r="BD535" t="s">
        <v>91</v>
      </c>
      <c r="BF535" s="1" t="s">
        <v>75</v>
      </c>
      <c r="BI535" s="1" t="s">
        <v>88</v>
      </c>
      <c r="BJ535">
        <v>1</v>
      </c>
      <c r="BK535" s="1" t="s">
        <v>89</v>
      </c>
      <c r="BL535" t="s">
        <v>91</v>
      </c>
      <c r="BM535" s="1" t="s">
        <v>91</v>
      </c>
      <c r="BN535" s="1" t="s">
        <v>91</v>
      </c>
      <c r="BO535" s="1" t="s">
        <v>91</v>
      </c>
      <c r="BP535" s="1" t="s">
        <v>91</v>
      </c>
      <c r="BQ535" t="s">
        <v>91</v>
      </c>
      <c r="BR535" s="3">
        <v>45155</v>
      </c>
      <c r="BS535" s="3"/>
      <c r="BT535" t="s">
        <v>91</v>
      </c>
      <c r="BU535" t="s">
        <v>91</v>
      </c>
      <c r="BW535" s="1" t="s">
        <v>804</v>
      </c>
    </row>
    <row r="536" spans="1:75" hidden="1" x14ac:dyDescent="0.35">
      <c r="A536">
        <v>390</v>
      </c>
      <c r="B536" s="1" t="s">
        <v>75</v>
      </c>
      <c r="C536">
        <v>80</v>
      </c>
      <c r="D536">
        <v>11121002</v>
      </c>
      <c r="E536">
        <v>121002</v>
      </c>
      <c r="F536" s="1" t="s">
        <v>2915</v>
      </c>
      <c r="G536" s="1" t="s">
        <v>3149</v>
      </c>
      <c r="I536" s="1" t="s">
        <v>78</v>
      </c>
      <c r="J536" s="1" t="s">
        <v>3150</v>
      </c>
      <c r="K536" s="1" t="s">
        <v>3151</v>
      </c>
      <c r="L536" t="s">
        <v>91</v>
      </c>
      <c r="M536" t="s">
        <v>91</v>
      </c>
      <c r="N536" s="1" t="s">
        <v>3152</v>
      </c>
      <c r="O536" t="s">
        <v>91</v>
      </c>
      <c r="P536" s="1" t="s">
        <v>311</v>
      </c>
      <c r="Q536" s="1" t="s">
        <v>3153</v>
      </c>
      <c r="R536" s="1" t="s">
        <v>820</v>
      </c>
      <c r="S536">
        <v>1254</v>
      </c>
      <c r="T536">
        <v>88010001</v>
      </c>
      <c r="U536" s="1" t="s">
        <v>108</v>
      </c>
      <c r="V536" s="1" t="s">
        <v>3102</v>
      </c>
      <c r="W536" s="1" t="s">
        <v>87</v>
      </c>
      <c r="X536">
        <v>48</v>
      </c>
      <c r="Y536">
        <v>32223399</v>
      </c>
      <c r="Z536" t="s">
        <v>91</v>
      </c>
      <c r="AA536" t="s">
        <v>91</v>
      </c>
      <c r="AB536" t="s">
        <v>91</v>
      </c>
      <c r="AC536" t="s">
        <v>91</v>
      </c>
      <c r="AD536" t="s">
        <v>91</v>
      </c>
      <c r="AE536" t="s">
        <v>91</v>
      </c>
      <c r="AF536" t="s">
        <v>91</v>
      </c>
      <c r="AG536" s="1" t="s">
        <v>91</v>
      </c>
      <c r="AH536" s="1" t="s">
        <v>91</v>
      </c>
      <c r="AI536" t="s">
        <v>91</v>
      </c>
      <c r="AJ536">
        <v>0</v>
      </c>
      <c r="AK536">
        <v>0</v>
      </c>
      <c r="AL536">
        <v>0</v>
      </c>
      <c r="AM536" t="s">
        <v>91</v>
      </c>
      <c r="AN536" t="s">
        <v>91</v>
      </c>
      <c r="AO536" t="s">
        <v>91</v>
      </c>
      <c r="AP536" t="s">
        <v>91</v>
      </c>
      <c r="AQ536" s="1" t="s">
        <v>91</v>
      </c>
      <c r="AR536" s="1" t="s">
        <v>91</v>
      </c>
      <c r="AS536" s="1" t="s">
        <v>91</v>
      </c>
      <c r="AT536" s="1" t="s">
        <v>91</v>
      </c>
      <c r="AU536" s="1" t="s">
        <v>91</v>
      </c>
      <c r="AV536" t="s">
        <v>91</v>
      </c>
      <c r="AW536" t="s">
        <v>91</v>
      </c>
      <c r="AX536" t="s">
        <v>91</v>
      </c>
      <c r="AY536" t="s">
        <v>91</v>
      </c>
      <c r="AZ536" t="s">
        <v>91</v>
      </c>
      <c r="BA536" t="s">
        <v>91</v>
      </c>
      <c r="BB536" s="2">
        <v>43308.392824074072</v>
      </c>
      <c r="BC536" s="2"/>
      <c r="BD536" t="s">
        <v>91</v>
      </c>
      <c r="BE536">
        <v>390</v>
      </c>
      <c r="BF536" s="1" t="s">
        <v>75</v>
      </c>
      <c r="BG536">
        <v>0</v>
      </c>
      <c r="BH536">
        <v>0</v>
      </c>
      <c r="BI536" s="1" t="s">
        <v>88</v>
      </c>
      <c r="BJ536">
        <v>1</v>
      </c>
      <c r="BK536" s="1" t="s">
        <v>89</v>
      </c>
      <c r="BL536" t="s">
        <v>91</v>
      </c>
      <c r="BM536" s="1" t="s">
        <v>109</v>
      </c>
      <c r="BN536" s="1" t="s">
        <v>148</v>
      </c>
      <c r="BO536" s="1" t="s">
        <v>128</v>
      </c>
      <c r="BP536" s="1" t="s">
        <v>91</v>
      </c>
      <c r="BQ536" t="s">
        <v>91</v>
      </c>
      <c r="BR536" s="3">
        <v>43308</v>
      </c>
      <c r="BS536" s="3"/>
      <c r="BT536" t="s">
        <v>91</v>
      </c>
      <c r="BU536" t="s">
        <v>91</v>
      </c>
      <c r="BV536">
        <v>1</v>
      </c>
      <c r="BW536" s="1" t="s">
        <v>90</v>
      </c>
    </row>
    <row r="537" spans="1:75" hidden="1" x14ac:dyDescent="0.35">
      <c r="A537">
        <v>157701</v>
      </c>
      <c r="B537" s="1" t="s">
        <v>75</v>
      </c>
      <c r="C537">
        <v>80</v>
      </c>
      <c r="D537">
        <v>11121002</v>
      </c>
      <c r="E537">
        <v>121002</v>
      </c>
      <c r="F537" s="1" t="s">
        <v>2915</v>
      </c>
      <c r="G537" s="1" t="s">
        <v>3154</v>
      </c>
      <c r="H537">
        <v>0</v>
      </c>
      <c r="I537" s="1" t="s">
        <v>78</v>
      </c>
      <c r="J537" s="1" t="s">
        <v>3155</v>
      </c>
      <c r="K537" s="1" t="s">
        <v>3156</v>
      </c>
      <c r="L537" t="s">
        <v>91</v>
      </c>
      <c r="M537" t="s">
        <v>91</v>
      </c>
      <c r="N537" s="1" t="s">
        <v>3157</v>
      </c>
      <c r="O537" t="s">
        <v>91</v>
      </c>
      <c r="P537" s="1" t="s">
        <v>2920</v>
      </c>
      <c r="Q537" s="1" t="s">
        <v>905</v>
      </c>
      <c r="R537" s="1" t="s">
        <v>91</v>
      </c>
      <c r="S537">
        <v>1254</v>
      </c>
      <c r="T537">
        <v>88010020</v>
      </c>
      <c r="U537" s="1" t="s">
        <v>108</v>
      </c>
      <c r="V537" s="1" t="s">
        <v>2922</v>
      </c>
      <c r="W537" s="1" t="s">
        <v>87</v>
      </c>
      <c r="X537">
        <v>48</v>
      </c>
      <c r="Y537">
        <v>32257664</v>
      </c>
      <c r="Z537" t="s">
        <v>91</v>
      </c>
      <c r="AA537" t="s">
        <v>91</v>
      </c>
      <c r="AB537" t="s">
        <v>91</v>
      </c>
      <c r="AC537" t="s">
        <v>91</v>
      </c>
      <c r="AD537" t="s">
        <v>91</v>
      </c>
      <c r="AE537" t="s">
        <v>91</v>
      </c>
      <c r="AF537" t="s">
        <v>91</v>
      </c>
      <c r="AG537" s="1" t="s">
        <v>91</v>
      </c>
      <c r="AH537" s="1" t="s">
        <v>91</v>
      </c>
      <c r="AI537" t="s">
        <v>91</v>
      </c>
      <c r="AM537" t="s">
        <v>91</v>
      </c>
      <c r="AN537" t="s">
        <v>91</v>
      </c>
      <c r="AO537" t="s">
        <v>91</v>
      </c>
      <c r="AP537" t="s">
        <v>91</v>
      </c>
      <c r="AQ537" s="1" t="s">
        <v>91</v>
      </c>
      <c r="AR537" s="1" t="s">
        <v>91</v>
      </c>
      <c r="AS537" s="1" t="s">
        <v>91</v>
      </c>
      <c r="AT537" s="1" t="s">
        <v>91</v>
      </c>
      <c r="AU537" s="1" t="s">
        <v>91</v>
      </c>
      <c r="AV537" t="s">
        <v>91</v>
      </c>
      <c r="AW537" t="s">
        <v>91</v>
      </c>
      <c r="AX537" t="s">
        <v>91</v>
      </c>
      <c r="AY537" t="s">
        <v>91</v>
      </c>
      <c r="AZ537" t="s">
        <v>91</v>
      </c>
      <c r="BA537" t="s">
        <v>91</v>
      </c>
      <c r="BB537" s="2">
        <v>45118.097175925926</v>
      </c>
      <c r="BC537" s="2"/>
      <c r="BD537" t="s">
        <v>91</v>
      </c>
      <c r="BF537" s="1" t="s">
        <v>75</v>
      </c>
      <c r="BI537" s="1" t="s">
        <v>88</v>
      </c>
      <c r="BJ537">
        <v>1</v>
      </c>
      <c r="BK537" s="1" t="s">
        <v>89</v>
      </c>
      <c r="BL537" t="s">
        <v>91</v>
      </c>
      <c r="BM537" s="1" t="s">
        <v>91</v>
      </c>
      <c r="BN537" s="1" t="s">
        <v>91</v>
      </c>
      <c r="BO537" s="1" t="s">
        <v>91</v>
      </c>
      <c r="BP537" s="1" t="s">
        <v>91</v>
      </c>
      <c r="BQ537" t="s">
        <v>91</v>
      </c>
      <c r="BR537" s="3">
        <v>45118</v>
      </c>
      <c r="BS537" s="3"/>
      <c r="BT537" t="s">
        <v>91</v>
      </c>
      <c r="BU537" t="s">
        <v>91</v>
      </c>
      <c r="BW537" s="1" t="s">
        <v>90</v>
      </c>
    </row>
    <row r="538" spans="1:75" hidden="1" x14ac:dyDescent="0.35">
      <c r="A538">
        <v>134484</v>
      </c>
      <c r="B538" s="1" t="s">
        <v>75</v>
      </c>
      <c r="C538">
        <v>80</v>
      </c>
      <c r="D538">
        <v>11121002</v>
      </c>
      <c r="E538">
        <v>121002</v>
      </c>
      <c r="F538" s="1" t="s">
        <v>2915</v>
      </c>
      <c r="G538" s="1" t="s">
        <v>3158</v>
      </c>
      <c r="I538" s="1" t="s">
        <v>78</v>
      </c>
      <c r="J538" s="1" t="s">
        <v>3159</v>
      </c>
      <c r="K538" s="1" t="s">
        <v>3160</v>
      </c>
      <c r="L538" t="s">
        <v>91</v>
      </c>
      <c r="M538" t="s">
        <v>91</v>
      </c>
      <c r="N538" s="1" t="s">
        <v>3161</v>
      </c>
      <c r="O538" t="s">
        <v>91</v>
      </c>
      <c r="P538" s="1" t="s">
        <v>3162</v>
      </c>
      <c r="Q538" s="1" t="s">
        <v>3163</v>
      </c>
      <c r="R538" s="1" t="s">
        <v>91</v>
      </c>
      <c r="S538">
        <v>1259</v>
      </c>
      <c r="T538">
        <v>88133370</v>
      </c>
      <c r="U538" s="1" t="s">
        <v>3164</v>
      </c>
      <c r="V538" s="1" t="s">
        <v>3165</v>
      </c>
      <c r="W538" s="1" t="s">
        <v>87</v>
      </c>
      <c r="X538">
        <v>48</v>
      </c>
      <c r="Y538">
        <v>999091024</v>
      </c>
      <c r="Z538" t="s">
        <v>91</v>
      </c>
      <c r="AA538" t="s">
        <v>91</v>
      </c>
      <c r="AB538" t="s">
        <v>91</v>
      </c>
      <c r="AC538" t="s">
        <v>91</v>
      </c>
      <c r="AD538" t="s">
        <v>91</v>
      </c>
      <c r="AE538" t="s">
        <v>91</v>
      </c>
      <c r="AF538" t="s">
        <v>91</v>
      </c>
      <c r="AG538" s="1" t="s">
        <v>146</v>
      </c>
      <c r="AH538" s="1" t="s">
        <v>91</v>
      </c>
      <c r="AI538" t="s">
        <v>91</v>
      </c>
      <c r="AM538" t="s">
        <v>91</v>
      </c>
      <c r="AN538" t="s">
        <v>91</v>
      </c>
      <c r="AO538" t="s">
        <v>91</v>
      </c>
      <c r="AP538" t="s">
        <v>91</v>
      </c>
      <c r="AQ538" s="1" t="s">
        <v>147</v>
      </c>
      <c r="AR538" s="1" t="s">
        <v>147</v>
      </c>
      <c r="AS538" s="1" t="s">
        <v>147</v>
      </c>
      <c r="AT538" s="1" t="s">
        <v>147</v>
      </c>
      <c r="AU538" s="1" t="s">
        <v>147</v>
      </c>
      <c r="AV538" t="s">
        <v>91</v>
      </c>
      <c r="AW538" t="s">
        <v>91</v>
      </c>
      <c r="AX538" t="s">
        <v>91</v>
      </c>
      <c r="AY538" t="s">
        <v>91</v>
      </c>
      <c r="AZ538" t="s">
        <v>91</v>
      </c>
      <c r="BA538" t="s">
        <v>91</v>
      </c>
      <c r="BB538" s="2"/>
      <c r="BC538" s="2">
        <v>45114.678506944445</v>
      </c>
      <c r="BD538" t="s">
        <v>91</v>
      </c>
      <c r="BF538" s="1" t="s">
        <v>75</v>
      </c>
      <c r="BH538">
        <v>0</v>
      </c>
      <c r="BI538" s="1" t="s">
        <v>88</v>
      </c>
      <c r="BJ538">
        <v>1</v>
      </c>
      <c r="BK538" s="1" t="s">
        <v>89</v>
      </c>
      <c r="BL538" t="s">
        <v>91</v>
      </c>
      <c r="BM538" s="1" t="s">
        <v>109</v>
      </c>
      <c r="BN538" s="1" t="s">
        <v>110</v>
      </c>
      <c r="BO538" s="1" t="s">
        <v>111</v>
      </c>
      <c r="BP538" s="1" t="s">
        <v>91</v>
      </c>
      <c r="BQ538" t="s">
        <v>91</v>
      </c>
      <c r="BR538" s="3"/>
      <c r="BS538" s="3">
        <v>45114</v>
      </c>
      <c r="BT538" t="s">
        <v>91</v>
      </c>
      <c r="BU538" t="s">
        <v>91</v>
      </c>
      <c r="BV538">
        <v>9</v>
      </c>
      <c r="BW538" s="1" t="s">
        <v>3166</v>
      </c>
    </row>
    <row r="539" spans="1:75" hidden="1" x14ac:dyDescent="0.35">
      <c r="A539">
        <v>156888</v>
      </c>
      <c r="B539" s="1" t="s">
        <v>75</v>
      </c>
      <c r="C539">
        <v>80</v>
      </c>
      <c r="D539">
        <v>11121002</v>
      </c>
      <c r="E539">
        <v>121002</v>
      </c>
      <c r="F539" s="1" t="s">
        <v>2915</v>
      </c>
      <c r="G539" s="1" t="s">
        <v>3167</v>
      </c>
      <c r="H539">
        <v>0</v>
      </c>
      <c r="I539" s="1" t="s">
        <v>78</v>
      </c>
      <c r="J539" s="1" t="s">
        <v>3168</v>
      </c>
      <c r="K539" s="1" t="s">
        <v>3169</v>
      </c>
      <c r="L539" t="s">
        <v>91</v>
      </c>
      <c r="M539" t="s">
        <v>91</v>
      </c>
      <c r="N539" s="1" t="s">
        <v>3170</v>
      </c>
      <c r="O539" t="s">
        <v>91</v>
      </c>
      <c r="P539" s="1" t="s">
        <v>3171</v>
      </c>
      <c r="Q539" s="1" t="s">
        <v>3172</v>
      </c>
      <c r="R539" s="1" t="s">
        <v>370</v>
      </c>
      <c r="S539">
        <v>1266</v>
      </c>
      <c r="T539">
        <v>88540000</v>
      </c>
      <c r="U539" s="1" t="s">
        <v>3173</v>
      </c>
      <c r="V539" s="1" t="s">
        <v>3174</v>
      </c>
      <c r="W539" s="1" t="s">
        <v>87</v>
      </c>
      <c r="X539">
        <v>49</v>
      </c>
      <c r="Y539">
        <v>32750719</v>
      </c>
      <c r="Z539" t="s">
        <v>91</v>
      </c>
      <c r="AA539" t="s">
        <v>91</v>
      </c>
      <c r="AB539" t="s">
        <v>91</v>
      </c>
      <c r="AC539" t="s">
        <v>91</v>
      </c>
      <c r="AD539" t="s">
        <v>91</v>
      </c>
      <c r="AE539" t="s">
        <v>91</v>
      </c>
      <c r="AF539" t="s">
        <v>91</v>
      </c>
      <c r="AG539" s="1" t="s">
        <v>91</v>
      </c>
      <c r="AH539" s="1" t="s">
        <v>91</v>
      </c>
      <c r="AI539" t="s">
        <v>91</v>
      </c>
      <c r="AM539" t="s">
        <v>91</v>
      </c>
      <c r="AN539" t="s">
        <v>91</v>
      </c>
      <c r="AO539" t="s">
        <v>91</v>
      </c>
      <c r="AP539" t="s">
        <v>91</v>
      </c>
      <c r="AQ539" s="1" t="s">
        <v>91</v>
      </c>
      <c r="AR539" s="1" t="s">
        <v>91</v>
      </c>
      <c r="AS539" s="1" t="s">
        <v>91</v>
      </c>
      <c r="AT539" s="1" t="s">
        <v>91</v>
      </c>
      <c r="AU539" s="1" t="s">
        <v>91</v>
      </c>
      <c r="AV539" t="s">
        <v>91</v>
      </c>
      <c r="AW539" t="s">
        <v>91</v>
      </c>
      <c r="AX539" t="s">
        <v>91</v>
      </c>
      <c r="AY539" t="s">
        <v>91</v>
      </c>
      <c r="AZ539" t="s">
        <v>91</v>
      </c>
      <c r="BA539" t="s">
        <v>91</v>
      </c>
      <c r="BB539" s="2">
        <v>45113.505416666667</v>
      </c>
      <c r="BC539" s="2"/>
      <c r="BD539" t="s">
        <v>91</v>
      </c>
      <c r="BF539" s="1" t="s">
        <v>75</v>
      </c>
      <c r="BI539" s="1" t="s">
        <v>88</v>
      </c>
      <c r="BJ539">
        <v>1</v>
      </c>
      <c r="BK539" s="1" t="s">
        <v>89</v>
      </c>
      <c r="BL539" t="s">
        <v>91</v>
      </c>
      <c r="BM539" s="1" t="s">
        <v>91</v>
      </c>
      <c r="BN539" s="1" t="s">
        <v>91</v>
      </c>
      <c r="BO539" s="1" t="s">
        <v>91</v>
      </c>
      <c r="BP539" s="1" t="s">
        <v>91</v>
      </c>
      <c r="BQ539" t="s">
        <v>91</v>
      </c>
      <c r="BR539" s="3">
        <v>45113</v>
      </c>
      <c r="BS539" s="3"/>
      <c r="BT539" t="s">
        <v>91</v>
      </c>
      <c r="BU539" t="s">
        <v>91</v>
      </c>
      <c r="BW539" s="1" t="s">
        <v>419</v>
      </c>
    </row>
    <row r="540" spans="1:75" hidden="1" x14ac:dyDescent="0.35">
      <c r="A540">
        <v>144369</v>
      </c>
      <c r="B540" s="1" t="s">
        <v>75</v>
      </c>
      <c r="C540">
        <v>80</v>
      </c>
      <c r="D540">
        <v>11121002</v>
      </c>
      <c r="E540">
        <v>121002</v>
      </c>
      <c r="F540" s="1" t="s">
        <v>2915</v>
      </c>
      <c r="G540" s="1" t="s">
        <v>3175</v>
      </c>
      <c r="I540" s="1" t="s">
        <v>78</v>
      </c>
      <c r="J540" s="1" t="s">
        <v>3176</v>
      </c>
      <c r="K540" s="1" t="s">
        <v>3177</v>
      </c>
      <c r="L540" t="s">
        <v>91</v>
      </c>
      <c r="M540" t="s">
        <v>91</v>
      </c>
      <c r="N540" s="1" t="s">
        <v>3178</v>
      </c>
      <c r="O540" t="s">
        <v>91</v>
      </c>
      <c r="P540" s="1" t="s">
        <v>3179</v>
      </c>
      <c r="Q540" s="1" t="s">
        <v>3180</v>
      </c>
      <c r="R540" s="1" t="s">
        <v>91</v>
      </c>
      <c r="S540">
        <v>1269</v>
      </c>
      <c r="T540">
        <v>88820000</v>
      </c>
      <c r="U540" s="1" t="s">
        <v>108</v>
      </c>
      <c r="V540" s="1" t="s">
        <v>3181</v>
      </c>
      <c r="W540" s="1" t="s">
        <v>87</v>
      </c>
      <c r="X540">
        <v>48</v>
      </c>
      <c r="Y540">
        <v>34323304</v>
      </c>
      <c r="Z540" t="s">
        <v>91</v>
      </c>
      <c r="AA540" t="s">
        <v>91</v>
      </c>
      <c r="AB540" t="s">
        <v>91</v>
      </c>
      <c r="AC540" t="s">
        <v>91</v>
      </c>
      <c r="AD540" t="s">
        <v>91</v>
      </c>
      <c r="AE540" t="s">
        <v>91</v>
      </c>
      <c r="AF540" t="s">
        <v>91</v>
      </c>
      <c r="AG540" s="1" t="s">
        <v>91</v>
      </c>
      <c r="AH540" s="1" t="s">
        <v>91</v>
      </c>
      <c r="AI540" t="s">
        <v>91</v>
      </c>
      <c r="AJ540">
        <v>0</v>
      </c>
      <c r="AK540">
        <v>0</v>
      </c>
      <c r="AL540">
        <v>0</v>
      </c>
      <c r="AM540" t="s">
        <v>91</v>
      </c>
      <c r="AN540" t="s">
        <v>91</v>
      </c>
      <c r="AO540" t="s">
        <v>91</v>
      </c>
      <c r="AP540" t="s">
        <v>91</v>
      </c>
      <c r="AQ540" s="1" t="s">
        <v>91</v>
      </c>
      <c r="AR540" s="1" t="s">
        <v>91</v>
      </c>
      <c r="AS540" s="1" t="s">
        <v>91</v>
      </c>
      <c r="AT540" s="1" t="s">
        <v>91</v>
      </c>
      <c r="AU540" s="1" t="s">
        <v>91</v>
      </c>
      <c r="AV540" t="s">
        <v>91</v>
      </c>
      <c r="AW540" t="s">
        <v>91</v>
      </c>
      <c r="AX540" t="s">
        <v>91</v>
      </c>
      <c r="AY540" t="s">
        <v>91</v>
      </c>
      <c r="AZ540" t="s">
        <v>91</v>
      </c>
      <c r="BA540" t="s">
        <v>91</v>
      </c>
      <c r="BB540" s="2"/>
      <c r="BC540" s="2"/>
      <c r="BD540" t="s">
        <v>91</v>
      </c>
      <c r="BF540" s="1" t="s">
        <v>75</v>
      </c>
      <c r="BG540">
        <v>0</v>
      </c>
      <c r="BH540">
        <v>0</v>
      </c>
      <c r="BI540" s="1" t="s">
        <v>88</v>
      </c>
      <c r="BJ540">
        <v>1</v>
      </c>
      <c r="BK540" s="1" t="s">
        <v>89</v>
      </c>
      <c r="BL540" t="s">
        <v>91</v>
      </c>
      <c r="BM540" s="1" t="s">
        <v>109</v>
      </c>
      <c r="BN540" s="1" t="s">
        <v>148</v>
      </c>
      <c r="BO540" s="1" t="s">
        <v>128</v>
      </c>
      <c r="BP540" s="1" t="s">
        <v>91</v>
      </c>
      <c r="BQ540" t="s">
        <v>91</v>
      </c>
      <c r="BR540" s="3"/>
      <c r="BS540" s="3"/>
      <c r="BT540" t="s">
        <v>91</v>
      </c>
      <c r="BU540" t="s">
        <v>91</v>
      </c>
      <c r="BV540">
        <v>9</v>
      </c>
      <c r="BW540" s="1" t="s">
        <v>1089</v>
      </c>
    </row>
    <row r="541" spans="1:75" hidden="1" x14ac:dyDescent="0.35">
      <c r="A541">
        <v>144377</v>
      </c>
      <c r="B541" s="1" t="s">
        <v>75</v>
      </c>
      <c r="C541">
        <v>80</v>
      </c>
      <c r="D541">
        <v>11121002</v>
      </c>
      <c r="E541">
        <v>121002</v>
      </c>
      <c r="F541" s="1" t="s">
        <v>2915</v>
      </c>
      <c r="G541" s="1" t="s">
        <v>3182</v>
      </c>
      <c r="I541" s="1" t="s">
        <v>78</v>
      </c>
      <c r="J541" s="1" t="s">
        <v>3183</v>
      </c>
      <c r="K541" s="1" t="s">
        <v>3184</v>
      </c>
      <c r="L541" t="s">
        <v>91</v>
      </c>
      <c r="M541" t="s">
        <v>91</v>
      </c>
      <c r="N541" s="1" t="s">
        <v>3185</v>
      </c>
      <c r="O541" t="s">
        <v>91</v>
      </c>
      <c r="P541" s="1" t="s">
        <v>3186</v>
      </c>
      <c r="Q541" s="1" t="s">
        <v>3187</v>
      </c>
      <c r="R541" s="1" t="s">
        <v>91</v>
      </c>
      <c r="S541">
        <v>1269</v>
      </c>
      <c r="T541">
        <v>88845000</v>
      </c>
      <c r="U541" s="1" t="s">
        <v>108</v>
      </c>
      <c r="V541" s="1" t="s">
        <v>3188</v>
      </c>
      <c r="W541" s="1" t="s">
        <v>87</v>
      </c>
      <c r="X541">
        <v>48</v>
      </c>
      <c r="Y541">
        <v>34471526</v>
      </c>
      <c r="Z541" t="s">
        <v>91</v>
      </c>
      <c r="AA541" t="s">
        <v>91</v>
      </c>
      <c r="AB541" t="s">
        <v>91</v>
      </c>
      <c r="AC541" t="s">
        <v>91</v>
      </c>
      <c r="AD541" t="s">
        <v>91</v>
      </c>
      <c r="AE541" t="s">
        <v>91</v>
      </c>
      <c r="AF541" t="s">
        <v>91</v>
      </c>
      <c r="AG541" s="1" t="s">
        <v>91</v>
      </c>
      <c r="AH541" s="1" t="s">
        <v>91</v>
      </c>
      <c r="AI541" t="s">
        <v>91</v>
      </c>
      <c r="AJ541">
        <v>0</v>
      </c>
      <c r="AK541">
        <v>0</v>
      </c>
      <c r="AL541">
        <v>0</v>
      </c>
      <c r="AM541" t="s">
        <v>91</v>
      </c>
      <c r="AN541" t="s">
        <v>91</v>
      </c>
      <c r="AO541" t="s">
        <v>91</v>
      </c>
      <c r="AP541" t="s">
        <v>91</v>
      </c>
      <c r="AQ541" s="1" t="s">
        <v>91</v>
      </c>
      <c r="AR541" s="1" t="s">
        <v>91</v>
      </c>
      <c r="AS541" s="1" t="s">
        <v>91</v>
      </c>
      <c r="AT541" s="1" t="s">
        <v>91</v>
      </c>
      <c r="AU541" s="1" t="s">
        <v>91</v>
      </c>
      <c r="AV541" t="s">
        <v>91</v>
      </c>
      <c r="AW541" t="s">
        <v>91</v>
      </c>
      <c r="AX541" t="s">
        <v>91</v>
      </c>
      <c r="AY541" t="s">
        <v>91</v>
      </c>
      <c r="AZ541" t="s">
        <v>91</v>
      </c>
      <c r="BA541" t="s">
        <v>91</v>
      </c>
      <c r="BB541" s="2"/>
      <c r="BC541" s="2"/>
      <c r="BD541" t="s">
        <v>91</v>
      </c>
      <c r="BF541" s="1" t="s">
        <v>75</v>
      </c>
      <c r="BG541">
        <v>0</v>
      </c>
      <c r="BH541">
        <v>0</v>
      </c>
      <c r="BI541" s="1" t="s">
        <v>88</v>
      </c>
      <c r="BJ541">
        <v>1</v>
      </c>
      <c r="BK541" s="1" t="s">
        <v>89</v>
      </c>
      <c r="BL541" t="s">
        <v>91</v>
      </c>
      <c r="BM541" s="1" t="s">
        <v>109</v>
      </c>
      <c r="BN541" s="1" t="s">
        <v>110</v>
      </c>
      <c r="BO541" s="1" t="s">
        <v>180</v>
      </c>
      <c r="BP541" s="1" t="s">
        <v>91</v>
      </c>
      <c r="BQ541" t="s">
        <v>91</v>
      </c>
      <c r="BR541" s="3"/>
      <c r="BS541" s="3"/>
      <c r="BT541" t="s">
        <v>91</v>
      </c>
      <c r="BU541" t="s">
        <v>91</v>
      </c>
      <c r="BV541">
        <v>9</v>
      </c>
      <c r="BW541" s="1" t="s">
        <v>90</v>
      </c>
    </row>
    <row r="542" spans="1:75" hidden="1" x14ac:dyDescent="0.35">
      <c r="A542">
        <v>141328</v>
      </c>
      <c r="B542" s="1" t="s">
        <v>75</v>
      </c>
      <c r="C542">
        <v>80</v>
      </c>
      <c r="D542">
        <v>11121002</v>
      </c>
      <c r="E542">
        <v>121002</v>
      </c>
      <c r="F542" s="1" t="s">
        <v>2915</v>
      </c>
      <c r="G542" s="1" t="s">
        <v>3189</v>
      </c>
      <c r="H542">
        <v>0</v>
      </c>
      <c r="I542" s="1" t="s">
        <v>78</v>
      </c>
      <c r="J542" s="1" t="s">
        <v>3190</v>
      </c>
      <c r="K542" s="1" t="s">
        <v>3191</v>
      </c>
      <c r="L542" t="s">
        <v>91</v>
      </c>
      <c r="M542" t="s">
        <v>91</v>
      </c>
      <c r="N542" s="1" t="s">
        <v>3192</v>
      </c>
      <c r="O542" t="s">
        <v>91</v>
      </c>
      <c r="P542" s="1" t="s">
        <v>3193</v>
      </c>
      <c r="Q542" s="1" t="s">
        <v>3194</v>
      </c>
      <c r="R542" s="1" t="s">
        <v>3195</v>
      </c>
      <c r="S542">
        <v>1259</v>
      </c>
      <c r="T542">
        <v>88104801</v>
      </c>
      <c r="U542" s="1" t="s">
        <v>3196</v>
      </c>
      <c r="V542" s="1" t="s">
        <v>3016</v>
      </c>
      <c r="W542" s="1" t="s">
        <v>87</v>
      </c>
      <c r="X542">
        <v>48</v>
      </c>
      <c r="Y542">
        <v>30374788</v>
      </c>
      <c r="Z542" t="s">
        <v>91</v>
      </c>
      <c r="AA542" t="s">
        <v>91</v>
      </c>
      <c r="AB542" t="s">
        <v>91</v>
      </c>
      <c r="AC542" t="s">
        <v>91</v>
      </c>
      <c r="AD542" t="s">
        <v>91</v>
      </c>
      <c r="AE542" t="s">
        <v>91</v>
      </c>
      <c r="AF542" t="s">
        <v>91</v>
      </c>
      <c r="AG542" s="1" t="s">
        <v>146</v>
      </c>
      <c r="AH542" s="1" t="s">
        <v>91</v>
      </c>
      <c r="AI542" t="s">
        <v>91</v>
      </c>
      <c r="AM542" t="s">
        <v>91</v>
      </c>
      <c r="AN542" t="s">
        <v>91</v>
      </c>
      <c r="AO542" t="s">
        <v>91</v>
      </c>
      <c r="AP542" t="s">
        <v>91</v>
      </c>
      <c r="AQ542" s="1" t="s">
        <v>147</v>
      </c>
      <c r="AR542" s="1" t="s">
        <v>147</v>
      </c>
      <c r="AS542" s="1" t="s">
        <v>147</v>
      </c>
      <c r="AT542" s="1" t="s">
        <v>147</v>
      </c>
      <c r="AU542" s="1" t="s">
        <v>147</v>
      </c>
      <c r="AV542" t="s">
        <v>91</v>
      </c>
      <c r="AW542" t="s">
        <v>91</v>
      </c>
      <c r="AX542" t="s">
        <v>91</v>
      </c>
      <c r="AY542" t="s">
        <v>91</v>
      </c>
      <c r="AZ542" t="s">
        <v>91</v>
      </c>
      <c r="BA542" t="s">
        <v>91</v>
      </c>
      <c r="BB542" s="2">
        <v>44459.629270833335</v>
      </c>
      <c r="BC542" s="2">
        <v>44669.682835648149</v>
      </c>
      <c r="BD542" t="s">
        <v>91</v>
      </c>
      <c r="BF542" s="1" t="s">
        <v>75</v>
      </c>
      <c r="BH542">
        <v>0</v>
      </c>
      <c r="BI542" s="1" t="s">
        <v>88</v>
      </c>
      <c r="BJ542">
        <v>1</v>
      </c>
      <c r="BK542" s="1" t="s">
        <v>89</v>
      </c>
      <c r="BL542" t="s">
        <v>91</v>
      </c>
      <c r="BM542" s="1" t="s">
        <v>91</v>
      </c>
      <c r="BN542" s="1" t="s">
        <v>91</v>
      </c>
      <c r="BO542" s="1" t="s">
        <v>128</v>
      </c>
      <c r="BP542" s="1" t="s">
        <v>91</v>
      </c>
      <c r="BQ542" t="s">
        <v>91</v>
      </c>
      <c r="BR542" s="3">
        <v>44459</v>
      </c>
      <c r="BS542" s="3">
        <v>44669</v>
      </c>
      <c r="BT542" t="s">
        <v>91</v>
      </c>
      <c r="BU542" t="s">
        <v>91</v>
      </c>
      <c r="BW542" s="1" t="s">
        <v>1332</v>
      </c>
    </row>
    <row r="543" spans="1:75" hidden="1" x14ac:dyDescent="0.35">
      <c r="A543">
        <v>156909</v>
      </c>
      <c r="B543" s="1" t="s">
        <v>75</v>
      </c>
      <c r="C543">
        <v>80</v>
      </c>
      <c r="D543">
        <v>11121002</v>
      </c>
      <c r="E543">
        <v>121002</v>
      </c>
      <c r="F543" s="1" t="s">
        <v>2915</v>
      </c>
      <c r="G543" s="1" t="s">
        <v>3197</v>
      </c>
      <c r="H543">
        <v>0</v>
      </c>
      <c r="I543" s="1" t="s">
        <v>78</v>
      </c>
      <c r="J543" s="1" t="s">
        <v>3198</v>
      </c>
      <c r="K543" s="1" t="s">
        <v>3199</v>
      </c>
      <c r="L543" t="s">
        <v>91</v>
      </c>
      <c r="M543" t="s">
        <v>91</v>
      </c>
      <c r="N543" s="1" t="s">
        <v>3200</v>
      </c>
      <c r="O543" t="s">
        <v>91</v>
      </c>
      <c r="P543" s="1" t="s">
        <v>3201</v>
      </c>
      <c r="Q543" s="1" t="s">
        <v>3202</v>
      </c>
      <c r="R543" s="1" t="s">
        <v>236</v>
      </c>
      <c r="S543">
        <v>1270</v>
      </c>
      <c r="T543">
        <v>88950000</v>
      </c>
      <c r="U543" s="1" t="s">
        <v>108</v>
      </c>
      <c r="V543" s="1" t="s">
        <v>3203</v>
      </c>
      <c r="W543" s="1" t="s">
        <v>87</v>
      </c>
      <c r="X543">
        <v>48</v>
      </c>
      <c r="Y543">
        <v>35361271</v>
      </c>
      <c r="Z543" t="s">
        <v>91</v>
      </c>
      <c r="AA543" t="s">
        <v>91</v>
      </c>
      <c r="AB543" t="s">
        <v>91</v>
      </c>
      <c r="AC543" t="s">
        <v>91</v>
      </c>
      <c r="AD543" t="s">
        <v>91</v>
      </c>
      <c r="AE543" t="s">
        <v>91</v>
      </c>
      <c r="AF543" t="s">
        <v>91</v>
      </c>
      <c r="AG543" s="1" t="s">
        <v>146</v>
      </c>
      <c r="AH543" s="1" t="s">
        <v>91</v>
      </c>
      <c r="AI543" t="s">
        <v>91</v>
      </c>
      <c r="AM543" t="s">
        <v>91</v>
      </c>
      <c r="AN543" t="s">
        <v>91</v>
      </c>
      <c r="AO543" t="s">
        <v>91</v>
      </c>
      <c r="AP543" t="s">
        <v>91</v>
      </c>
      <c r="AQ543" s="1" t="s">
        <v>147</v>
      </c>
      <c r="AR543" s="1" t="s">
        <v>147</v>
      </c>
      <c r="AS543" s="1" t="s">
        <v>147</v>
      </c>
      <c r="AT543" s="1" t="s">
        <v>147</v>
      </c>
      <c r="AU543" s="1" t="s">
        <v>147</v>
      </c>
      <c r="AV543" t="s">
        <v>91</v>
      </c>
      <c r="AW543" t="s">
        <v>91</v>
      </c>
      <c r="AX543" t="s">
        <v>91</v>
      </c>
      <c r="AY543" t="s">
        <v>91</v>
      </c>
      <c r="AZ543" t="s">
        <v>91</v>
      </c>
      <c r="BA543" t="s">
        <v>91</v>
      </c>
      <c r="BB543" s="2">
        <v>45113.505416666667</v>
      </c>
      <c r="BC543" s="2">
        <v>45119.477881944447</v>
      </c>
      <c r="BD543" t="s">
        <v>91</v>
      </c>
      <c r="BF543" s="1" t="s">
        <v>75</v>
      </c>
      <c r="BH543">
        <v>0</v>
      </c>
      <c r="BI543" s="1" t="s">
        <v>721</v>
      </c>
      <c r="BJ543">
        <v>1</v>
      </c>
      <c r="BK543" s="1" t="s">
        <v>89</v>
      </c>
      <c r="BL543" t="s">
        <v>91</v>
      </c>
      <c r="BM543" s="1" t="s">
        <v>91</v>
      </c>
      <c r="BN543" s="1" t="s">
        <v>91</v>
      </c>
      <c r="BO543" s="1" t="s">
        <v>91</v>
      </c>
      <c r="BP543" s="1" t="s">
        <v>91</v>
      </c>
      <c r="BQ543" t="s">
        <v>91</v>
      </c>
      <c r="BR543" s="3">
        <v>45113</v>
      </c>
      <c r="BS543" s="3">
        <v>45119</v>
      </c>
      <c r="BT543" t="s">
        <v>91</v>
      </c>
      <c r="BU543" t="s">
        <v>91</v>
      </c>
      <c r="BW543" s="1" t="s">
        <v>540</v>
      </c>
    </row>
    <row r="544" spans="1:75" hidden="1" x14ac:dyDescent="0.35">
      <c r="A544">
        <v>134424</v>
      </c>
      <c r="B544" s="1" t="s">
        <v>75</v>
      </c>
      <c r="C544">
        <v>80</v>
      </c>
      <c r="D544">
        <v>11121002</v>
      </c>
      <c r="E544">
        <v>121002</v>
      </c>
      <c r="F544" s="1" t="s">
        <v>2915</v>
      </c>
      <c r="G544" s="1" t="s">
        <v>3204</v>
      </c>
      <c r="I544" s="1" t="s">
        <v>78</v>
      </c>
      <c r="J544" s="1" t="s">
        <v>3205</v>
      </c>
      <c r="K544" s="1" t="s">
        <v>3206</v>
      </c>
      <c r="L544" t="s">
        <v>91</v>
      </c>
      <c r="M544" t="s">
        <v>91</v>
      </c>
      <c r="N544" s="1" t="s">
        <v>3207</v>
      </c>
      <c r="O544" t="s">
        <v>91</v>
      </c>
      <c r="P544" s="1" t="s">
        <v>3208</v>
      </c>
      <c r="Q544" s="1" t="s">
        <v>1574</v>
      </c>
      <c r="R544" s="1" t="s">
        <v>3209</v>
      </c>
      <c r="T544">
        <v>88107550</v>
      </c>
      <c r="U544" s="1" t="s">
        <v>3210</v>
      </c>
      <c r="V544" s="1" t="s">
        <v>3016</v>
      </c>
      <c r="W544" s="1" t="s">
        <v>87</v>
      </c>
      <c r="X544">
        <v>48</v>
      </c>
      <c r="Y544">
        <v>984720862</v>
      </c>
      <c r="Z544" t="s">
        <v>91</v>
      </c>
      <c r="AA544" t="s">
        <v>91</v>
      </c>
      <c r="AB544" t="s">
        <v>91</v>
      </c>
      <c r="AC544" t="s">
        <v>91</v>
      </c>
      <c r="AD544" t="s">
        <v>91</v>
      </c>
      <c r="AE544" t="s">
        <v>91</v>
      </c>
      <c r="AF544" t="s">
        <v>91</v>
      </c>
      <c r="AG544" s="1" t="s">
        <v>146</v>
      </c>
      <c r="AH544" s="1" t="s">
        <v>91</v>
      </c>
      <c r="AI544" t="s">
        <v>91</v>
      </c>
      <c r="AM544" t="s">
        <v>91</v>
      </c>
      <c r="AN544" t="s">
        <v>91</v>
      </c>
      <c r="AO544" t="s">
        <v>91</v>
      </c>
      <c r="AP544" t="s">
        <v>91</v>
      </c>
      <c r="AQ544" s="1" t="s">
        <v>147</v>
      </c>
      <c r="AR544" s="1" t="s">
        <v>147</v>
      </c>
      <c r="AS544" s="1" t="s">
        <v>147</v>
      </c>
      <c r="AT544" s="1" t="s">
        <v>147</v>
      </c>
      <c r="AU544" s="1" t="s">
        <v>147</v>
      </c>
      <c r="AV544" t="s">
        <v>91</v>
      </c>
      <c r="AW544" t="s">
        <v>91</v>
      </c>
      <c r="AX544" t="s">
        <v>91</v>
      </c>
      <c r="AY544" t="s">
        <v>91</v>
      </c>
      <c r="AZ544" t="s">
        <v>91</v>
      </c>
      <c r="BA544" t="s">
        <v>91</v>
      </c>
      <c r="BB544" s="2"/>
      <c r="BC544" s="2">
        <v>44559.497974537036</v>
      </c>
      <c r="BD544" t="s">
        <v>91</v>
      </c>
      <c r="BF544" s="1" t="s">
        <v>75</v>
      </c>
      <c r="BH544">
        <v>0</v>
      </c>
      <c r="BI544" s="1" t="s">
        <v>88</v>
      </c>
      <c r="BJ544">
        <v>1</v>
      </c>
      <c r="BK544" s="1" t="s">
        <v>89</v>
      </c>
      <c r="BL544" t="s">
        <v>91</v>
      </c>
      <c r="BM544" s="1" t="s">
        <v>109</v>
      </c>
      <c r="BN544" s="1" t="s">
        <v>110</v>
      </c>
      <c r="BO544" s="1" t="s">
        <v>1040</v>
      </c>
      <c r="BP544" s="1" t="s">
        <v>91</v>
      </c>
      <c r="BQ544" t="s">
        <v>91</v>
      </c>
      <c r="BR544" s="3"/>
      <c r="BS544" s="3">
        <v>44559</v>
      </c>
      <c r="BT544" t="s">
        <v>91</v>
      </c>
      <c r="BU544" t="s">
        <v>91</v>
      </c>
      <c r="BV544">
        <v>9</v>
      </c>
      <c r="BW544" s="1" t="s">
        <v>3211</v>
      </c>
    </row>
    <row r="545" spans="1:75" hidden="1" x14ac:dyDescent="0.35">
      <c r="A545">
        <v>49</v>
      </c>
      <c r="B545" s="1" t="s">
        <v>75</v>
      </c>
      <c r="C545">
        <v>80</v>
      </c>
      <c r="D545">
        <v>11121002</v>
      </c>
      <c r="E545">
        <v>121002</v>
      </c>
      <c r="F545" s="1" t="s">
        <v>2915</v>
      </c>
      <c r="G545" s="1" t="s">
        <v>3212</v>
      </c>
      <c r="I545" s="1" t="s">
        <v>78</v>
      </c>
      <c r="J545" s="1" t="s">
        <v>3213</v>
      </c>
      <c r="K545" s="1" t="s">
        <v>3214</v>
      </c>
      <c r="L545" t="s">
        <v>91</v>
      </c>
      <c r="M545" t="s">
        <v>91</v>
      </c>
      <c r="N545" s="1" t="s">
        <v>3215</v>
      </c>
      <c r="O545" t="s">
        <v>91</v>
      </c>
      <c r="P545" s="1" t="s">
        <v>3216</v>
      </c>
      <c r="Q545" s="1" t="s">
        <v>1899</v>
      </c>
      <c r="R545" s="1" t="s">
        <v>91</v>
      </c>
      <c r="S545">
        <v>1268</v>
      </c>
      <c r="T545">
        <v>88745000</v>
      </c>
      <c r="U545" s="1" t="s">
        <v>108</v>
      </c>
      <c r="V545" s="1" t="s">
        <v>3217</v>
      </c>
      <c r="W545" s="1" t="s">
        <v>87</v>
      </c>
      <c r="X545">
        <v>48</v>
      </c>
      <c r="Y545">
        <v>36230542</v>
      </c>
      <c r="Z545" t="s">
        <v>91</v>
      </c>
      <c r="AA545" t="s">
        <v>91</v>
      </c>
      <c r="AB545" t="s">
        <v>91</v>
      </c>
      <c r="AC545" t="s">
        <v>91</v>
      </c>
      <c r="AD545" t="s">
        <v>91</v>
      </c>
      <c r="AE545" t="s">
        <v>91</v>
      </c>
      <c r="AF545" t="s">
        <v>91</v>
      </c>
      <c r="AG545" s="1" t="s">
        <v>91</v>
      </c>
      <c r="AH545" s="1" t="s">
        <v>91</v>
      </c>
      <c r="AI545" t="s">
        <v>91</v>
      </c>
      <c r="AJ545">
        <v>0</v>
      </c>
      <c r="AK545">
        <v>0</v>
      </c>
      <c r="AL545">
        <v>0</v>
      </c>
      <c r="AM545" t="s">
        <v>91</v>
      </c>
      <c r="AN545" t="s">
        <v>91</v>
      </c>
      <c r="AO545" t="s">
        <v>91</v>
      </c>
      <c r="AP545" t="s">
        <v>91</v>
      </c>
      <c r="AQ545" s="1" t="s">
        <v>91</v>
      </c>
      <c r="AR545" s="1" t="s">
        <v>91</v>
      </c>
      <c r="AS545" s="1" t="s">
        <v>91</v>
      </c>
      <c r="AT545" s="1" t="s">
        <v>91</v>
      </c>
      <c r="AU545" s="1" t="s">
        <v>91</v>
      </c>
      <c r="AV545" t="s">
        <v>91</v>
      </c>
      <c r="AW545" t="s">
        <v>91</v>
      </c>
      <c r="AX545" t="s">
        <v>91</v>
      </c>
      <c r="AY545" t="s">
        <v>91</v>
      </c>
      <c r="AZ545" t="s">
        <v>91</v>
      </c>
      <c r="BA545" t="s">
        <v>91</v>
      </c>
      <c r="BB545" s="2">
        <v>43308.39271990741</v>
      </c>
      <c r="BC545" s="2"/>
      <c r="BD545" t="s">
        <v>91</v>
      </c>
      <c r="BE545">
        <v>49</v>
      </c>
      <c r="BF545" s="1" t="s">
        <v>75</v>
      </c>
      <c r="BG545">
        <v>0</v>
      </c>
      <c r="BH545">
        <v>0</v>
      </c>
      <c r="BI545" s="1" t="s">
        <v>88</v>
      </c>
      <c r="BJ545">
        <v>1</v>
      </c>
      <c r="BK545" s="1" t="s">
        <v>89</v>
      </c>
      <c r="BL545" t="s">
        <v>91</v>
      </c>
      <c r="BM545" s="1" t="s">
        <v>197</v>
      </c>
      <c r="BN545" s="1" t="s">
        <v>110</v>
      </c>
      <c r="BO545" s="1" t="s">
        <v>165</v>
      </c>
      <c r="BP545" s="1" t="s">
        <v>91</v>
      </c>
      <c r="BQ545" t="s">
        <v>91</v>
      </c>
      <c r="BR545" s="3">
        <v>43308</v>
      </c>
      <c r="BS545" s="3"/>
      <c r="BT545" t="s">
        <v>91</v>
      </c>
      <c r="BU545" t="s">
        <v>91</v>
      </c>
      <c r="BV545">
        <v>9</v>
      </c>
      <c r="BW545" s="1" t="s">
        <v>3218</v>
      </c>
    </row>
    <row r="546" spans="1:75" hidden="1" x14ac:dyDescent="0.35">
      <c r="A546">
        <v>157717</v>
      </c>
      <c r="B546" s="1" t="s">
        <v>75</v>
      </c>
      <c r="C546">
        <v>80</v>
      </c>
      <c r="D546">
        <v>11121002</v>
      </c>
      <c r="E546">
        <v>121002</v>
      </c>
      <c r="F546" s="1" t="s">
        <v>2915</v>
      </c>
      <c r="G546" s="1" t="s">
        <v>3219</v>
      </c>
      <c r="H546">
        <v>0</v>
      </c>
      <c r="I546" s="1" t="s">
        <v>78</v>
      </c>
      <c r="J546" s="1" t="s">
        <v>3220</v>
      </c>
      <c r="K546" s="1" t="s">
        <v>3221</v>
      </c>
      <c r="L546" t="s">
        <v>91</v>
      </c>
      <c r="M546" t="s">
        <v>91</v>
      </c>
      <c r="N546" s="1" t="s">
        <v>3222</v>
      </c>
      <c r="O546" t="s">
        <v>91</v>
      </c>
      <c r="P546" s="1" t="s">
        <v>3223</v>
      </c>
      <c r="Q546" s="1" t="s">
        <v>3224</v>
      </c>
      <c r="R546" s="1" t="s">
        <v>954</v>
      </c>
      <c r="S546">
        <v>1254</v>
      </c>
      <c r="T546">
        <v>88010030</v>
      </c>
      <c r="U546" s="1" t="s">
        <v>108</v>
      </c>
      <c r="V546" s="1" t="s">
        <v>2922</v>
      </c>
      <c r="W546" s="1" t="s">
        <v>87</v>
      </c>
      <c r="X546">
        <v>48</v>
      </c>
      <c r="Y546">
        <v>33242666</v>
      </c>
      <c r="Z546" t="s">
        <v>91</v>
      </c>
      <c r="AA546" t="s">
        <v>91</v>
      </c>
      <c r="AB546" t="s">
        <v>91</v>
      </c>
      <c r="AC546" t="s">
        <v>91</v>
      </c>
      <c r="AD546" t="s">
        <v>91</v>
      </c>
      <c r="AE546" t="s">
        <v>91</v>
      </c>
      <c r="AF546" t="s">
        <v>91</v>
      </c>
      <c r="AG546" s="1" t="s">
        <v>91</v>
      </c>
      <c r="AH546" s="1" t="s">
        <v>91</v>
      </c>
      <c r="AI546" t="s">
        <v>91</v>
      </c>
      <c r="AM546" t="s">
        <v>91</v>
      </c>
      <c r="AN546" t="s">
        <v>91</v>
      </c>
      <c r="AO546" t="s">
        <v>91</v>
      </c>
      <c r="AP546" t="s">
        <v>91</v>
      </c>
      <c r="AQ546" s="1" t="s">
        <v>91</v>
      </c>
      <c r="AR546" s="1" t="s">
        <v>91</v>
      </c>
      <c r="AS546" s="1" t="s">
        <v>91</v>
      </c>
      <c r="AT546" s="1" t="s">
        <v>91</v>
      </c>
      <c r="AU546" s="1" t="s">
        <v>91</v>
      </c>
      <c r="AV546" t="s">
        <v>91</v>
      </c>
      <c r="AW546" t="s">
        <v>91</v>
      </c>
      <c r="AX546" t="s">
        <v>91</v>
      </c>
      <c r="AY546" t="s">
        <v>91</v>
      </c>
      <c r="AZ546" t="s">
        <v>91</v>
      </c>
      <c r="BA546" t="s">
        <v>91</v>
      </c>
      <c r="BB546" s="2">
        <v>45118.097175925926</v>
      </c>
      <c r="BC546" s="2"/>
      <c r="BD546" t="s">
        <v>91</v>
      </c>
      <c r="BF546" s="1" t="s">
        <v>75</v>
      </c>
      <c r="BI546" s="1" t="s">
        <v>88</v>
      </c>
      <c r="BJ546">
        <v>1</v>
      </c>
      <c r="BK546" s="1" t="s">
        <v>89</v>
      </c>
      <c r="BL546" t="s">
        <v>91</v>
      </c>
      <c r="BM546" s="1" t="s">
        <v>91</v>
      </c>
      <c r="BN546" s="1" t="s">
        <v>91</v>
      </c>
      <c r="BO546" s="1" t="s">
        <v>91</v>
      </c>
      <c r="BP546" s="1" t="s">
        <v>91</v>
      </c>
      <c r="BQ546" t="s">
        <v>91</v>
      </c>
      <c r="BR546" s="3">
        <v>45118</v>
      </c>
      <c r="BS546" s="3"/>
      <c r="BT546" t="s">
        <v>91</v>
      </c>
      <c r="BU546" t="s">
        <v>91</v>
      </c>
      <c r="BW546" s="1" t="s">
        <v>90</v>
      </c>
    </row>
    <row r="547" spans="1:75" hidden="1" x14ac:dyDescent="0.35">
      <c r="A547">
        <v>144636</v>
      </c>
      <c r="B547" s="1" t="s">
        <v>75</v>
      </c>
      <c r="C547">
        <v>80</v>
      </c>
      <c r="D547">
        <v>11121002</v>
      </c>
      <c r="E547">
        <v>121002</v>
      </c>
      <c r="F547" s="1" t="s">
        <v>2915</v>
      </c>
      <c r="G547" s="1" t="s">
        <v>3225</v>
      </c>
      <c r="I547" s="1" t="s">
        <v>78</v>
      </c>
      <c r="J547" s="1" t="s">
        <v>3226</v>
      </c>
      <c r="K547" s="1" t="s">
        <v>3227</v>
      </c>
      <c r="L547" t="s">
        <v>91</v>
      </c>
      <c r="M547" t="s">
        <v>91</v>
      </c>
      <c r="N547" s="1" t="s">
        <v>3228</v>
      </c>
      <c r="O547" t="s">
        <v>91</v>
      </c>
      <c r="P547" s="1" t="s">
        <v>3229</v>
      </c>
      <c r="Q547" s="1" t="s">
        <v>504</v>
      </c>
      <c r="R547" s="1" t="s">
        <v>2853</v>
      </c>
      <c r="T547">
        <v>88813320</v>
      </c>
      <c r="U547" s="1" t="s">
        <v>3230</v>
      </c>
      <c r="V547" s="1" t="s">
        <v>3231</v>
      </c>
      <c r="W547" s="1" t="s">
        <v>87</v>
      </c>
      <c r="X547">
        <v>48</v>
      </c>
      <c r="Y547">
        <v>30560718</v>
      </c>
      <c r="Z547" t="s">
        <v>91</v>
      </c>
      <c r="AA547" t="s">
        <v>91</v>
      </c>
      <c r="AB547" t="s">
        <v>91</v>
      </c>
      <c r="AC547" t="s">
        <v>91</v>
      </c>
      <c r="AD547" t="s">
        <v>91</v>
      </c>
      <c r="AE547" t="s">
        <v>91</v>
      </c>
      <c r="AF547" t="s">
        <v>91</v>
      </c>
      <c r="AG547" s="1" t="s">
        <v>91</v>
      </c>
      <c r="AH547" s="1" t="s">
        <v>91</v>
      </c>
      <c r="AI547" t="s">
        <v>91</v>
      </c>
      <c r="AJ547">
        <v>0</v>
      </c>
      <c r="AK547">
        <v>0</v>
      </c>
      <c r="AL547">
        <v>0</v>
      </c>
      <c r="AM547" t="s">
        <v>91</v>
      </c>
      <c r="AN547" t="s">
        <v>91</v>
      </c>
      <c r="AO547" t="s">
        <v>91</v>
      </c>
      <c r="AP547" t="s">
        <v>91</v>
      </c>
      <c r="AQ547" s="1" t="s">
        <v>91</v>
      </c>
      <c r="AR547" s="1" t="s">
        <v>91</v>
      </c>
      <c r="AS547" s="1" t="s">
        <v>91</v>
      </c>
      <c r="AT547" s="1" t="s">
        <v>91</v>
      </c>
      <c r="AU547" s="1" t="s">
        <v>91</v>
      </c>
      <c r="AV547" t="s">
        <v>91</v>
      </c>
      <c r="AW547" t="s">
        <v>91</v>
      </c>
      <c r="AX547" t="s">
        <v>91</v>
      </c>
      <c r="AY547" t="s">
        <v>91</v>
      </c>
      <c r="AZ547" t="s">
        <v>91</v>
      </c>
      <c r="BA547" t="s">
        <v>91</v>
      </c>
      <c r="BB547" s="2"/>
      <c r="BC547" s="2"/>
      <c r="BD547" t="s">
        <v>91</v>
      </c>
      <c r="BF547" s="1" t="s">
        <v>75</v>
      </c>
      <c r="BG547">
        <v>0</v>
      </c>
      <c r="BH547">
        <v>0</v>
      </c>
      <c r="BI547" s="1" t="s">
        <v>88</v>
      </c>
      <c r="BJ547">
        <v>1</v>
      </c>
      <c r="BK547" s="1" t="s">
        <v>89</v>
      </c>
      <c r="BL547" t="s">
        <v>91</v>
      </c>
      <c r="BM547" s="1" t="s">
        <v>109</v>
      </c>
      <c r="BN547" s="1" t="s">
        <v>110</v>
      </c>
      <c r="BO547" s="1" t="s">
        <v>180</v>
      </c>
      <c r="BP547" s="1" t="s">
        <v>91</v>
      </c>
      <c r="BQ547" t="s">
        <v>91</v>
      </c>
      <c r="BR547" s="3"/>
      <c r="BS547" s="3"/>
      <c r="BT547" t="s">
        <v>91</v>
      </c>
      <c r="BU547" t="s">
        <v>91</v>
      </c>
      <c r="BV547">
        <v>9</v>
      </c>
      <c r="BW547" s="1" t="s">
        <v>90</v>
      </c>
    </row>
    <row r="548" spans="1:75" hidden="1" x14ac:dyDescent="0.35">
      <c r="A548">
        <v>77</v>
      </c>
      <c r="B548" s="1" t="s">
        <v>75</v>
      </c>
      <c r="C548">
        <v>80</v>
      </c>
      <c r="D548">
        <v>11121002</v>
      </c>
      <c r="E548">
        <v>121002</v>
      </c>
      <c r="F548" s="1" t="s">
        <v>2915</v>
      </c>
      <c r="G548" s="1" t="s">
        <v>3232</v>
      </c>
      <c r="I548" s="1" t="s">
        <v>78</v>
      </c>
      <c r="J548" s="1" t="s">
        <v>3233</v>
      </c>
      <c r="K548" s="1" t="s">
        <v>3234</v>
      </c>
      <c r="L548" t="s">
        <v>91</v>
      </c>
      <c r="M548" t="s">
        <v>91</v>
      </c>
      <c r="N548" s="1" t="s">
        <v>3235</v>
      </c>
      <c r="O548" t="s">
        <v>91</v>
      </c>
      <c r="P548" s="1" t="s">
        <v>3236</v>
      </c>
      <c r="Q548" s="1" t="s">
        <v>651</v>
      </c>
      <c r="R548" s="1" t="s">
        <v>91</v>
      </c>
      <c r="S548">
        <v>1268</v>
      </c>
      <c r="T548">
        <v>88701140</v>
      </c>
      <c r="U548" s="1" t="s">
        <v>108</v>
      </c>
      <c r="V548" s="1" t="s">
        <v>3059</v>
      </c>
      <c r="W548" s="1" t="s">
        <v>87</v>
      </c>
      <c r="X548">
        <v>48</v>
      </c>
      <c r="Y548">
        <v>36324632</v>
      </c>
      <c r="Z548" t="s">
        <v>91</v>
      </c>
      <c r="AA548" t="s">
        <v>91</v>
      </c>
      <c r="AB548" t="s">
        <v>91</v>
      </c>
      <c r="AC548" t="s">
        <v>91</v>
      </c>
      <c r="AD548" t="s">
        <v>91</v>
      </c>
      <c r="AE548" t="s">
        <v>91</v>
      </c>
      <c r="AF548" t="s">
        <v>91</v>
      </c>
      <c r="AG548" s="1" t="s">
        <v>91</v>
      </c>
      <c r="AH548" s="1" t="s">
        <v>91</v>
      </c>
      <c r="AI548" t="s">
        <v>91</v>
      </c>
      <c r="AJ548">
        <v>0</v>
      </c>
      <c r="AK548">
        <v>0</v>
      </c>
      <c r="AL548">
        <v>0</v>
      </c>
      <c r="AM548" t="s">
        <v>91</v>
      </c>
      <c r="AN548" t="s">
        <v>91</v>
      </c>
      <c r="AO548" t="s">
        <v>91</v>
      </c>
      <c r="AP548" t="s">
        <v>91</v>
      </c>
      <c r="AQ548" s="1" t="s">
        <v>91</v>
      </c>
      <c r="AR548" s="1" t="s">
        <v>91</v>
      </c>
      <c r="AS548" s="1" t="s">
        <v>91</v>
      </c>
      <c r="AT548" s="1" t="s">
        <v>91</v>
      </c>
      <c r="AU548" s="1" t="s">
        <v>91</v>
      </c>
      <c r="AV548" t="s">
        <v>91</v>
      </c>
      <c r="AW548" t="s">
        <v>91</v>
      </c>
      <c r="AX548" t="s">
        <v>91</v>
      </c>
      <c r="AY548" t="s">
        <v>91</v>
      </c>
      <c r="AZ548" t="s">
        <v>91</v>
      </c>
      <c r="BA548" t="s">
        <v>91</v>
      </c>
      <c r="BB548" s="2">
        <v>43308.392731481479</v>
      </c>
      <c r="BC548" s="2"/>
      <c r="BD548" t="s">
        <v>91</v>
      </c>
      <c r="BE548">
        <v>77</v>
      </c>
      <c r="BF548" s="1" t="s">
        <v>75</v>
      </c>
      <c r="BG548">
        <v>0</v>
      </c>
      <c r="BH548">
        <v>0</v>
      </c>
      <c r="BI548" s="1" t="s">
        <v>88</v>
      </c>
      <c r="BJ548">
        <v>1</v>
      </c>
      <c r="BK548" s="1" t="s">
        <v>89</v>
      </c>
      <c r="BL548" t="s">
        <v>91</v>
      </c>
      <c r="BM548" s="1" t="s">
        <v>329</v>
      </c>
      <c r="BN548" s="1" t="s">
        <v>110</v>
      </c>
      <c r="BO548" s="1" t="s">
        <v>128</v>
      </c>
      <c r="BP548" s="1" t="s">
        <v>91</v>
      </c>
      <c r="BQ548" t="s">
        <v>91</v>
      </c>
      <c r="BR548" s="3">
        <v>43308</v>
      </c>
      <c r="BS548" s="3"/>
      <c r="BT548" t="s">
        <v>91</v>
      </c>
      <c r="BU548" t="s">
        <v>91</v>
      </c>
      <c r="BV548">
        <v>5</v>
      </c>
      <c r="BW548" s="1" t="s">
        <v>3218</v>
      </c>
    </row>
    <row r="549" spans="1:75" hidden="1" x14ac:dyDescent="0.35">
      <c r="A549">
        <v>151667</v>
      </c>
      <c r="B549" s="1" t="s">
        <v>75</v>
      </c>
      <c r="C549">
        <v>80</v>
      </c>
      <c r="D549">
        <v>11121002</v>
      </c>
      <c r="E549">
        <v>121002</v>
      </c>
      <c r="F549" s="1" t="s">
        <v>2915</v>
      </c>
      <c r="G549" s="1" t="s">
        <v>3237</v>
      </c>
      <c r="H549">
        <v>0</v>
      </c>
      <c r="I549" s="1" t="s">
        <v>78</v>
      </c>
      <c r="J549" s="1" t="s">
        <v>3238</v>
      </c>
      <c r="K549" s="1" t="s">
        <v>3239</v>
      </c>
      <c r="L549" t="s">
        <v>91</v>
      </c>
      <c r="M549" t="s">
        <v>91</v>
      </c>
      <c r="N549" s="1" t="s">
        <v>3240</v>
      </c>
      <c r="O549" t="s">
        <v>91</v>
      </c>
      <c r="P549" s="1" t="s">
        <v>3241</v>
      </c>
      <c r="Q549" s="1" t="s">
        <v>2941</v>
      </c>
      <c r="R549" s="1" t="s">
        <v>370</v>
      </c>
      <c r="T549">
        <v>88835000</v>
      </c>
      <c r="U549" s="1" t="s">
        <v>3242</v>
      </c>
      <c r="V549" s="1" t="s">
        <v>3242</v>
      </c>
      <c r="W549" s="1" t="s">
        <v>87</v>
      </c>
      <c r="X549">
        <v>48</v>
      </c>
      <c r="Y549">
        <v>999287344</v>
      </c>
      <c r="Z549" t="s">
        <v>91</v>
      </c>
      <c r="AA549" t="s">
        <v>91</v>
      </c>
      <c r="AB549" t="s">
        <v>91</v>
      </c>
      <c r="AC549" t="s">
        <v>91</v>
      </c>
      <c r="AD549" t="s">
        <v>91</v>
      </c>
      <c r="AE549" t="s">
        <v>91</v>
      </c>
      <c r="AF549" t="s">
        <v>91</v>
      </c>
      <c r="AG549" s="1" t="s">
        <v>91</v>
      </c>
      <c r="AH549" s="1" t="s">
        <v>91</v>
      </c>
      <c r="AI549" t="s">
        <v>91</v>
      </c>
      <c r="AJ549">
        <v>0</v>
      </c>
      <c r="AK549">
        <v>0</v>
      </c>
      <c r="AL549">
        <v>0</v>
      </c>
      <c r="AM549" t="s">
        <v>91</v>
      </c>
      <c r="AN549" t="s">
        <v>91</v>
      </c>
      <c r="AO549" t="s">
        <v>91</v>
      </c>
      <c r="AP549" t="s">
        <v>91</v>
      </c>
      <c r="AQ549" s="1" t="s">
        <v>91</v>
      </c>
      <c r="AR549" s="1" t="s">
        <v>91</v>
      </c>
      <c r="AS549" s="1" t="s">
        <v>91</v>
      </c>
      <c r="AT549" s="1" t="s">
        <v>91</v>
      </c>
      <c r="AU549" s="1" t="s">
        <v>91</v>
      </c>
      <c r="AV549" t="s">
        <v>91</v>
      </c>
      <c r="AW549" t="s">
        <v>91</v>
      </c>
      <c r="AX549" t="s">
        <v>91</v>
      </c>
      <c r="AY549" t="s">
        <v>91</v>
      </c>
      <c r="AZ549" t="s">
        <v>91</v>
      </c>
      <c r="BA549" t="s">
        <v>91</v>
      </c>
      <c r="BB549" s="2">
        <v>44883.598773148151</v>
      </c>
      <c r="BC549" s="2"/>
      <c r="BD549" t="s">
        <v>91</v>
      </c>
      <c r="BF549" s="1" t="s">
        <v>75</v>
      </c>
      <c r="BG549">
        <v>0</v>
      </c>
      <c r="BH549">
        <v>0</v>
      </c>
      <c r="BI549" s="1" t="s">
        <v>88</v>
      </c>
      <c r="BJ549">
        <v>1</v>
      </c>
      <c r="BK549" s="1" t="s">
        <v>89</v>
      </c>
      <c r="BL549" t="s">
        <v>91</v>
      </c>
      <c r="BM549" s="1" t="s">
        <v>109</v>
      </c>
      <c r="BN549" s="1" t="s">
        <v>91</v>
      </c>
      <c r="BO549" s="1" t="s">
        <v>91</v>
      </c>
      <c r="BP549" s="1" t="s">
        <v>91</v>
      </c>
      <c r="BQ549" t="s">
        <v>91</v>
      </c>
      <c r="BR549" s="3">
        <v>44883</v>
      </c>
      <c r="BS549" s="3"/>
      <c r="BT549" t="s">
        <v>91</v>
      </c>
      <c r="BU549" t="s">
        <v>91</v>
      </c>
      <c r="BW549" s="1" t="s">
        <v>90</v>
      </c>
    </row>
    <row r="550" spans="1:75" hidden="1" x14ac:dyDescent="0.35">
      <c r="A550">
        <v>398</v>
      </c>
      <c r="B550" s="1" t="s">
        <v>75</v>
      </c>
      <c r="C550">
        <v>80</v>
      </c>
      <c r="D550">
        <v>11121002</v>
      </c>
      <c r="E550">
        <v>121002</v>
      </c>
      <c r="F550" s="1" t="s">
        <v>2915</v>
      </c>
      <c r="G550" s="1" t="s">
        <v>3243</v>
      </c>
      <c r="I550" s="1" t="s">
        <v>78</v>
      </c>
      <c r="J550" s="1" t="s">
        <v>3244</v>
      </c>
      <c r="K550" s="1" t="s">
        <v>3245</v>
      </c>
      <c r="L550" t="s">
        <v>91</v>
      </c>
      <c r="M550" t="s">
        <v>91</v>
      </c>
      <c r="N550" s="1" t="s">
        <v>3246</v>
      </c>
      <c r="O550" t="s">
        <v>91</v>
      </c>
      <c r="P550" s="1" t="s">
        <v>3247</v>
      </c>
      <c r="Q550" s="1" t="s">
        <v>3248</v>
      </c>
      <c r="R550" s="1" t="s">
        <v>254</v>
      </c>
      <c r="S550">
        <v>1259</v>
      </c>
      <c r="T550">
        <v>88130301</v>
      </c>
      <c r="U550" s="1" t="s">
        <v>3249</v>
      </c>
      <c r="V550" s="1" t="s">
        <v>3165</v>
      </c>
      <c r="W550" s="1" t="s">
        <v>87</v>
      </c>
      <c r="X550">
        <v>48</v>
      </c>
      <c r="Y550">
        <v>32421057</v>
      </c>
      <c r="Z550" t="s">
        <v>91</v>
      </c>
      <c r="AA550" t="s">
        <v>91</v>
      </c>
      <c r="AB550" t="s">
        <v>91</v>
      </c>
      <c r="AC550" t="s">
        <v>91</v>
      </c>
      <c r="AD550" t="s">
        <v>91</v>
      </c>
      <c r="AE550" t="s">
        <v>91</v>
      </c>
      <c r="AF550" t="s">
        <v>91</v>
      </c>
      <c r="AG550" s="1" t="s">
        <v>91</v>
      </c>
      <c r="AH550" s="1" t="s">
        <v>91</v>
      </c>
      <c r="AI550" t="s">
        <v>91</v>
      </c>
      <c r="AJ550">
        <v>0</v>
      </c>
      <c r="AK550">
        <v>0</v>
      </c>
      <c r="AL550">
        <v>0</v>
      </c>
      <c r="AM550" t="s">
        <v>91</v>
      </c>
      <c r="AN550" t="s">
        <v>91</v>
      </c>
      <c r="AO550" t="s">
        <v>91</v>
      </c>
      <c r="AP550" t="s">
        <v>91</v>
      </c>
      <c r="AQ550" s="1" t="s">
        <v>91</v>
      </c>
      <c r="AR550" s="1" t="s">
        <v>91</v>
      </c>
      <c r="AS550" s="1" t="s">
        <v>91</v>
      </c>
      <c r="AT550" s="1" t="s">
        <v>91</v>
      </c>
      <c r="AU550" s="1" t="s">
        <v>91</v>
      </c>
      <c r="AV550" t="s">
        <v>91</v>
      </c>
      <c r="AW550" t="s">
        <v>91</v>
      </c>
      <c r="AX550" t="s">
        <v>91</v>
      </c>
      <c r="AY550" t="s">
        <v>91</v>
      </c>
      <c r="AZ550" t="s">
        <v>91</v>
      </c>
      <c r="BA550" t="s">
        <v>91</v>
      </c>
      <c r="BB550" s="2">
        <v>43308.392835648148</v>
      </c>
      <c r="BC550" s="2"/>
      <c r="BD550" t="s">
        <v>91</v>
      </c>
      <c r="BE550">
        <v>398</v>
      </c>
      <c r="BF550" s="1" t="s">
        <v>75</v>
      </c>
      <c r="BG550">
        <v>0</v>
      </c>
      <c r="BH550">
        <v>0</v>
      </c>
      <c r="BI550" s="1" t="s">
        <v>88</v>
      </c>
      <c r="BJ550">
        <v>1</v>
      </c>
      <c r="BK550" s="1" t="s">
        <v>89</v>
      </c>
      <c r="BL550" t="s">
        <v>91</v>
      </c>
      <c r="BM550" s="1" t="s">
        <v>109</v>
      </c>
      <c r="BN550" s="1" t="s">
        <v>110</v>
      </c>
      <c r="BO550" s="1" t="s">
        <v>165</v>
      </c>
      <c r="BP550" s="1" t="s">
        <v>91</v>
      </c>
      <c r="BQ550" t="s">
        <v>91</v>
      </c>
      <c r="BR550" s="3">
        <v>43308</v>
      </c>
      <c r="BS550" s="3"/>
      <c r="BT550" t="s">
        <v>91</v>
      </c>
      <c r="BU550" t="s">
        <v>91</v>
      </c>
      <c r="BV550">
        <v>1</v>
      </c>
      <c r="BW550" s="1" t="s">
        <v>83</v>
      </c>
    </row>
    <row r="551" spans="1:75" hidden="1" x14ac:dyDescent="0.35">
      <c r="A551">
        <v>134264</v>
      </c>
      <c r="B551" s="1" t="s">
        <v>75</v>
      </c>
      <c r="C551">
        <v>80</v>
      </c>
      <c r="D551">
        <v>11121002</v>
      </c>
      <c r="E551">
        <v>121002</v>
      </c>
      <c r="F551" s="1" t="s">
        <v>2915</v>
      </c>
      <c r="G551" s="1" t="s">
        <v>3250</v>
      </c>
      <c r="I551" s="1" t="s">
        <v>78</v>
      </c>
      <c r="J551" s="1" t="s">
        <v>3251</v>
      </c>
      <c r="K551" s="1" t="s">
        <v>3252</v>
      </c>
      <c r="L551" t="s">
        <v>91</v>
      </c>
      <c r="M551" t="s">
        <v>91</v>
      </c>
      <c r="N551" s="1" t="s">
        <v>3253</v>
      </c>
      <c r="O551" t="s">
        <v>91</v>
      </c>
      <c r="P551" s="1" t="s">
        <v>3254</v>
      </c>
      <c r="Q551" s="1" t="s">
        <v>189</v>
      </c>
      <c r="R551" s="1" t="s">
        <v>91</v>
      </c>
      <c r="S551">
        <v>1259</v>
      </c>
      <c r="T551">
        <v>88160130</v>
      </c>
      <c r="U551" s="1" t="s">
        <v>108</v>
      </c>
      <c r="V551" s="1" t="s">
        <v>3255</v>
      </c>
      <c r="W551" s="1" t="s">
        <v>87</v>
      </c>
      <c r="X551">
        <v>48</v>
      </c>
      <c r="Y551">
        <v>998319775</v>
      </c>
      <c r="Z551" t="s">
        <v>91</v>
      </c>
      <c r="AA551" t="s">
        <v>91</v>
      </c>
      <c r="AB551" t="s">
        <v>91</v>
      </c>
      <c r="AC551" t="s">
        <v>91</v>
      </c>
      <c r="AD551" t="s">
        <v>91</v>
      </c>
      <c r="AE551" t="s">
        <v>91</v>
      </c>
      <c r="AF551" t="s">
        <v>91</v>
      </c>
      <c r="AG551" s="1" t="s">
        <v>146</v>
      </c>
      <c r="AH551" s="1" t="s">
        <v>91</v>
      </c>
      <c r="AI551" t="s">
        <v>91</v>
      </c>
      <c r="AJ551">
        <v>0</v>
      </c>
      <c r="AK551">
        <v>0</v>
      </c>
      <c r="AL551">
        <v>0</v>
      </c>
      <c r="AM551" t="s">
        <v>91</v>
      </c>
      <c r="AN551" t="s">
        <v>91</v>
      </c>
      <c r="AO551" t="s">
        <v>91</v>
      </c>
      <c r="AP551" t="s">
        <v>91</v>
      </c>
      <c r="AQ551" s="1" t="s">
        <v>147</v>
      </c>
      <c r="AR551" s="1" t="s">
        <v>147</v>
      </c>
      <c r="AS551" s="1" t="s">
        <v>147</v>
      </c>
      <c r="AT551" s="1" t="s">
        <v>147</v>
      </c>
      <c r="AU551" s="1" t="s">
        <v>147</v>
      </c>
      <c r="AV551" t="s">
        <v>91</v>
      </c>
      <c r="AW551" t="s">
        <v>91</v>
      </c>
      <c r="AX551" t="s">
        <v>91</v>
      </c>
      <c r="AY551" t="s">
        <v>91</v>
      </c>
      <c r="AZ551" t="s">
        <v>91</v>
      </c>
      <c r="BA551" t="s">
        <v>91</v>
      </c>
      <c r="BB551" s="2"/>
      <c r="BC551" s="2">
        <v>44656.463831018518</v>
      </c>
      <c r="BD551" t="s">
        <v>91</v>
      </c>
      <c r="BF551" s="1" t="s">
        <v>75</v>
      </c>
      <c r="BG551">
        <v>0</v>
      </c>
      <c r="BH551">
        <v>0</v>
      </c>
      <c r="BI551" s="1" t="s">
        <v>88</v>
      </c>
      <c r="BJ551">
        <v>1</v>
      </c>
      <c r="BK551" s="1" t="s">
        <v>89</v>
      </c>
      <c r="BL551" t="s">
        <v>91</v>
      </c>
      <c r="BM551" s="1" t="s">
        <v>109</v>
      </c>
      <c r="BN551" s="1" t="s">
        <v>110</v>
      </c>
      <c r="BO551" s="1" t="s">
        <v>111</v>
      </c>
      <c r="BP551" s="1" t="s">
        <v>91</v>
      </c>
      <c r="BQ551" t="s">
        <v>91</v>
      </c>
      <c r="BR551" s="3"/>
      <c r="BS551" s="3">
        <v>44656</v>
      </c>
      <c r="BT551" t="s">
        <v>91</v>
      </c>
      <c r="BU551" t="s">
        <v>91</v>
      </c>
      <c r="BV551">
        <v>6</v>
      </c>
      <c r="BW551" s="1" t="s">
        <v>263</v>
      </c>
    </row>
    <row r="552" spans="1:75" hidden="1" x14ac:dyDescent="0.35">
      <c r="A552">
        <v>134465</v>
      </c>
      <c r="B552" s="1" t="s">
        <v>75</v>
      </c>
      <c r="C552">
        <v>80</v>
      </c>
      <c r="D552">
        <v>11121002</v>
      </c>
      <c r="E552">
        <v>121002</v>
      </c>
      <c r="F552" s="1" t="s">
        <v>2915</v>
      </c>
      <c r="G552" s="1" t="s">
        <v>3256</v>
      </c>
      <c r="I552" s="1" t="s">
        <v>78</v>
      </c>
      <c r="J552" s="1" t="s">
        <v>3257</v>
      </c>
      <c r="K552" s="1" t="s">
        <v>3258</v>
      </c>
      <c r="L552" t="s">
        <v>91</v>
      </c>
      <c r="M552" t="s">
        <v>91</v>
      </c>
      <c r="N552" s="1" t="s">
        <v>3259</v>
      </c>
      <c r="O552" t="s">
        <v>91</v>
      </c>
      <c r="P552" s="1" t="s">
        <v>311</v>
      </c>
      <c r="Q552" s="1" t="s">
        <v>3064</v>
      </c>
      <c r="R552" s="1" t="s">
        <v>3260</v>
      </c>
      <c r="S552">
        <v>1254</v>
      </c>
      <c r="T552">
        <v>88010000</v>
      </c>
      <c r="U552" s="1" t="s">
        <v>108</v>
      </c>
      <c r="V552" s="1" t="s">
        <v>2922</v>
      </c>
      <c r="W552" s="1" t="s">
        <v>87</v>
      </c>
      <c r="X552">
        <v>48</v>
      </c>
      <c r="Y552">
        <v>30287135</v>
      </c>
      <c r="Z552" t="s">
        <v>91</v>
      </c>
      <c r="AA552" t="s">
        <v>91</v>
      </c>
      <c r="AB552" t="s">
        <v>91</v>
      </c>
      <c r="AC552" t="s">
        <v>91</v>
      </c>
      <c r="AD552" t="s">
        <v>91</v>
      </c>
      <c r="AE552" t="s">
        <v>91</v>
      </c>
      <c r="AF552" t="s">
        <v>91</v>
      </c>
      <c r="AG552" s="1" t="s">
        <v>91</v>
      </c>
      <c r="AH552" s="1" t="s">
        <v>91</v>
      </c>
      <c r="AI552" t="s">
        <v>91</v>
      </c>
      <c r="AM552" t="s">
        <v>91</v>
      </c>
      <c r="AN552" t="s">
        <v>91</v>
      </c>
      <c r="AO552" t="s">
        <v>91</v>
      </c>
      <c r="AP552" t="s">
        <v>91</v>
      </c>
      <c r="AQ552" s="1" t="s">
        <v>91</v>
      </c>
      <c r="AR552" s="1" t="s">
        <v>91</v>
      </c>
      <c r="AS552" s="1" t="s">
        <v>91</v>
      </c>
      <c r="AT552" s="1" t="s">
        <v>91</v>
      </c>
      <c r="AU552" s="1" t="s">
        <v>91</v>
      </c>
      <c r="AV552" t="s">
        <v>91</v>
      </c>
      <c r="AW552" t="s">
        <v>91</v>
      </c>
      <c r="AX552" t="s">
        <v>91</v>
      </c>
      <c r="AY552" t="s">
        <v>91</v>
      </c>
      <c r="AZ552" t="s">
        <v>91</v>
      </c>
      <c r="BA552" t="s">
        <v>91</v>
      </c>
      <c r="BB552" s="2"/>
      <c r="BC552" s="2"/>
      <c r="BD552" t="s">
        <v>91</v>
      </c>
      <c r="BF552" s="1" t="s">
        <v>75</v>
      </c>
      <c r="BI552" s="1" t="s">
        <v>88</v>
      </c>
      <c r="BJ552">
        <v>1</v>
      </c>
      <c r="BK552" s="1" t="s">
        <v>89</v>
      </c>
      <c r="BL552" t="s">
        <v>91</v>
      </c>
      <c r="BM552" s="1" t="s">
        <v>109</v>
      </c>
      <c r="BN552" s="1" t="s">
        <v>110</v>
      </c>
      <c r="BO552" s="1" t="s">
        <v>128</v>
      </c>
      <c r="BP552" s="1" t="s">
        <v>91</v>
      </c>
      <c r="BQ552" t="s">
        <v>91</v>
      </c>
      <c r="BR552" s="3"/>
      <c r="BS552" s="3"/>
      <c r="BT552" t="s">
        <v>91</v>
      </c>
      <c r="BU552" t="s">
        <v>91</v>
      </c>
      <c r="BV552">
        <v>3</v>
      </c>
      <c r="BW552" s="1" t="s">
        <v>3261</v>
      </c>
    </row>
    <row r="553" spans="1:75" hidden="1" x14ac:dyDescent="0.35">
      <c r="A553">
        <v>144821</v>
      </c>
      <c r="B553" s="1" t="s">
        <v>75</v>
      </c>
      <c r="C553">
        <v>80</v>
      </c>
      <c r="D553">
        <v>11121002</v>
      </c>
      <c r="E553">
        <v>121002</v>
      </c>
      <c r="F553" s="1" t="s">
        <v>2915</v>
      </c>
      <c r="G553" s="1" t="s">
        <v>3262</v>
      </c>
      <c r="I553" s="1" t="s">
        <v>78</v>
      </c>
      <c r="J553" s="1" t="s">
        <v>3263</v>
      </c>
      <c r="K553" s="1" t="s">
        <v>3264</v>
      </c>
      <c r="L553" t="s">
        <v>91</v>
      </c>
      <c r="M553" t="s">
        <v>91</v>
      </c>
      <c r="N553" s="1" t="s">
        <v>3265</v>
      </c>
      <c r="O553" t="s">
        <v>91</v>
      </c>
      <c r="P553" s="1" t="s">
        <v>2041</v>
      </c>
      <c r="Q553" s="1" t="s">
        <v>1813</v>
      </c>
      <c r="R553" s="1" t="s">
        <v>236</v>
      </c>
      <c r="T553">
        <v>88900001</v>
      </c>
      <c r="U553" s="1" t="s">
        <v>108</v>
      </c>
      <c r="V553" s="1" t="s">
        <v>3266</v>
      </c>
      <c r="W553" s="1" t="s">
        <v>87</v>
      </c>
      <c r="X553">
        <v>48</v>
      </c>
      <c r="Y553">
        <v>998353292</v>
      </c>
      <c r="Z553" t="s">
        <v>91</v>
      </c>
      <c r="AA553" t="s">
        <v>91</v>
      </c>
      <c r="AB553" t="s">
        <v>91</v>
      </c>
      <c r="AC553" t="s">
        <v>91</v>
      </c>
      <c r="AD553" t="s">
        <v>91</v>
      </c>
      <c r="AE553" t="s">
        <v>91</v>
      </c>
      <c r="AF553" t="s">
        <v>91</v>
      </c>
      <c r="AG553" s="1" t="s">
        <v>91</v>
      </c>
      <c r="AH553" s="1" t="s">
        <v>91</v>
      </c>
      <c r="AI553" t="s">
        <v>91</v>
      </c>
      <c r="AJ553">
        <v>0</v>
      </c>
      <c r="AK553">
        <v>0</v>
      </c>
      <c r="AL553">
        <v>0</v>
      </c>
      <c r="AM553" t="s">
        <v>91</v>
      </c>
      <c r="AN553" t="s">
        <v>91</v>
      </c>
      <c r="AO553" t="s">
        <v>91</v>
      </c>
      <c r="AP553" t="s">
        <v>91</v>
      </c>
      <c r="AQ553" s="1" t="s">
        <v>91</v>
      </c>
      <c r="AR553" s="1" t="s">
        <v>91</v>
      </c>
      <c r="AS553" s="1" t="s">
        <v>91</v>
      </c>
      <c r="AT553" s="1" t="s">
        <v>91</v>
      </c>
      <c r="AU553" s="1" t="s">
        <v>91</v>
      </c>
      <c r="AV553" t="s">
        <v>91</v>
      </c>
      <c r="AW553" t="s">
        <v>91</v>
      </c>
      <c r="AX553" t="s">
        <v>91</v>
      </c>
      <c r="AY553" t="s">
        <v>91</v>
      </c>
      <c r="AZ553" t="s">
        <v>91</v>
      </c>
      <c r="BA553" t="s">
        <v>91</v>
      </c>
      <c r="BB553" s="2"/>
      <c r="BC553" s="2"/>
      <c r="BD553" t="s">
        <v>91</v>
      </c>
      <c r="BF553" s="1" t="s">
        <v>75</v>
      </c>
      <c r="BG553">
        <v>0</v>
      </c>
      <c r="BH553">
        <v>0</v>
      </c>
      <c r="BI553" s="1" t="s">
        <v>88</v>
      </c>
      <c r="BJ553">
        <v>1</v>
      </c>
      <c r="BK553" s="1" t="s">
        <v>89</v>
      </c>
      <c r="BL553" t="s">
        <v>91</v>
      </c>
      <c r="BM553" s="1" t="s">
        <v>109</v>
      </c>
      <c r="BN553" s="1" t="s">
        <v>110</v>
      </c>
      <c r="BO553" s="1" t="s">
        <v>180</v>
      </c>
      <c r="BP553" s="1" t="s">
        <v>91</v>
      </c>
      <c r="BQ553" t="s">
        <v>91</v>
      </c>
      <c r="BR553" s="3"/>
      <c r="BS553" s="3"/>
      <c r="BT553" t="s">
        <v>91</v>
      </c>
      <c r="BU553" t="s">
        <v>91</v>
      </c>
      <c r="BW553" s="1" t="s">
        <v>90</v>
      </c>
    </row>
    <row r="554" spans="1:75" hidden="1" x14ac:dyDescent="0.35">
      <c r="A554">
        <v>159568</v>
      </c>
      <c r="B554" s="1" t="s">
        <v>75</v>
      </c>
      <c r="C554">
        <v>80</v>
      </c>
      <c r="D554">
        <v>11121002</v>
      </c>
      <c r="E554">
        <v>121002</v>
      </c>
      <c r="F554" s="1" t="s">
        <v>2915</v>
      </c>
      <c r="G554" s="1" t="s">
        <v>3267</v>
      </c>
      <c r="I554" s="1" t="s">
        <v>78</v>
      </c>
      <c r="J554" s="1" t="s">
        <v>3268</v>
      </c>
      <c r="K554" s="1" t="s">
        <v>3269</v>
      </c>
      <c r="L554" t="s">
        <v>91</v>
      </c>
      <c r="M554" t="s">
        <v>91</v>
      </c>
      <c r="N554" s="1" t="s">
        <v>3270</v>
      </c>
      <c r="O554" t="s">
        <v>91</v>
      </c>
      <c r="P554" s="1" t="s">
        <v>3120</v>
      </c>
      <c r="Q554" s="1" t="s">
        <v>3271</v>
      </c>
      <c r="R554" s="1" t="s">
        <v>91</v>
      </c>
      <c r="S554">
        <v>1259</v>
      </c>
      <c r="T554">
        <v>88140000</v>
      </c>
      <c r="U554" s="1" t="s">
        <v>108</v>
      </c>
      <c r="V554" s="1" t="s">
        <v>3123</v>
      </c>
      <c r="W554" s="1" t="s">
        <v>87</v>
      </c>
      <c r="X554">
        <v>48</v>
      </c>
      <c r="Y554">
        <v>998167745</v>
      </c>
      <c r="Z554" t="s">
        <v>91</v>
      </c>
      <c r="AA554" t="s">
        <v>91</v>
      </c>
      <c r="AB554" t="s">
        <v>91</v>
      </c>
      <c r="AC554" t="s">
        <v>91</v>
      </c>
      <c r="AD554" t="s">
        <v>91</v>
      </c>
      <c r="AE554" t="s">
        <v>91</v>
      </c>
      <c r="AF554" t="s">
        <v>91</v>
      </c>
      <c r="AG554" s="1" t="s">
        <v>91</v>
      </c>
      <c r="AH554" s="1" t="s">
        <v>91</v>
      </c>
      <c r="AI554" t="s">
        <v>91</v>
      </c>
      <c r="AM554" t="s">
        <v>91</v>
      </c>
      <c r="AN554" t="s">
        <v>91</v>
      </c>
      <c r="AO554" t="s">
        <v>91</v>
      </c>
      <c r="AP554" t="s">
        <v>91</v>
      </c>
      <c r="AQ554" s="1" t="s">
        <v>91</v>
      </c>
      <c r="AR554" s="1" t="s">
        <v>91</v>
      </c>
      <c r="AS554" s="1" t="s">
        <v>91</v>
      </c>
      <c r="AT554" s="1" t="s">
        <v>91</v>
      </c>
      <c r="AU554" s="1" t="s">
        <v>91</v>
      </c>
      <c r="AV554" t="s">
        <v>91</v>
      </c>
      <c r="AW554" t="s">
        <v>91</v>
      </c>
      <c r="AX554" t="s">
        <v>91</v>
      </c>
      <c r="AY554" t="s">
        <v>91</v>
      </c>
      <c r="AZ554" t="s">
        <v>91</v>
      </c>
      <c r="BA554" t="s">
        <v>91</v>
      </c>
      <c r="BB554" s="2">
        <v>45194.491122685184</v>
      </c>
      <c r="BC554" s="2"/>
      <c r="BD554" t="s">
        <v>91</v>
      </c>
      <c r="BF554" s="1" t="s">
        <v>75</v>
      </c>
      <c r="BI554" s="1" t="s">
        <v>88</v>
      </c>
      <c r="BJ554">
        <v>1</v>
      </c>
      <c r="BK554" s="1" t="s">
        <v>89</v>
      </c>
      <c r="BL554" t="s">
        <v>91</v>
      </c>
      <c r="BM554" s="1" t="s">
        <v>91</v>
      </c>
      <c r="BN554" s="1" t="s">
        <v>91</v>
      </c>
      <c r="BO554" s="1" t="s">
        <v>91</v>
      </c>
      <c r="BP554" s="1" t="s">
        <v>91</v>
      </c>
      <c r="BQ554" t="s">
        <v>91</v>
      </c>
      <c r="BR554" s="3">
        <v>45194</v>
      </c>
      <c r="BS554" s="3"/>
      <c r="BT554" t="s">
        <v>91</v>
      </c>
      <c r="BU554" t="s">
        <v>91</v>
      </c>
      <c r="BW554" s="1" t="s">
        <v>90</v>
      </c>
    </row>
    <row r="555" spans="1:75" hidden="1" x14ac:dyDescent="0.35">
      <c r="A555">
        <v>156878</v>
      </c>
      <c r="B555" s="1" t="s">
        <v>75</v>
      </c>
      <c r="C555">
        <v>80</v>
      </c>
      <c r="D555">
        <v>11121002</v>
      </c>
      <c r="E555">
        <v>121002</v>
      </c>
      <c r="F555" s="1" t="s">
        <v>2915</v>
      </c>
      <c r="G555" s="1" t="s">
        <v>3272</v>
      </c>
      <c r="H555">
        <v>0</v>
      </c>
      <c r="I555" s="1" t="s">
        <v>78</v>
      </c>
      <c r="J555" s="1" t="s">
        <v>3273</v>
      </c>
      <c r="K555" s="1" t="s">
        <v>3274</v>
      </c>
      <c r="L555" t="s">
        <v>91</v>
      </c>
      <c r="M555" t="s">
        <v>91</v>
      </c>
      <c r="N555" s="1" t="s">
        <v>3275</v>
      </c>
      <c r="O555" t="s">
        <v>91</v>
      </c>
      <c r="P555" s="1" t="s">
        <v>3276</v>
      </c>
      <c r="Q555" s="1" t="s">
        <v>504</v>
      </c>
      <c r="R555" s="1" t="s">
        <v>173</v>
      </c>
      <c r="S555">
        <v>1259</v>
      </c>
      <c r="T555">
        <v>88130100</v>
      </c>
      <c r="U555" s="1" t="s">
        <v>108</v>
      </c>
      <c r="V555" s="1" t="s">
        <v>2951</v>
      </c>
      <c r="W555" s="1" t="s">
        <v>87</v>
      </c>
      <c r="X555">
        <v>48</v>
      </c>
      <c r="Y555">
        <v>33721407</v>
      </c>
      <c r="Z555" t="s">
        <v>91</v>
      </c>
      <c r="AA555" t="s">
        <v>91</v>
      </c>
      <c r="AB555" t="s">
        <v>91</v>
      </c>
      <c r="AC555" t="s">
        <v>91</v>
      </c>
      <c r="AD555" t="s">
        <v>91</v>
      </c>
      <c r="AE555" t="s">
        <v>91</v>
      </c>
      <c r="AF555" t="s">
        <v>91</v>
      </c>
      <c r="AG555" s="1" t="s">
        <v>91</v>
      </c>
      <c r="AH555" s="1" t="s">
        <v>91</v>
      </c>
      <c r="AI555" t="s">
        <v>91</v>
      </c>
      <c r="AM555" t="s">
        <v>91</v>
      </c>
      <c r="AN555" t="s">
        <v>91</v>
      </c>
      <c r="AO555" t="s">
        <v>91</v>
      </c>
      <c r="AP555" t="s">
        <v>91</v>
      </c>
      <c r="AQ555" s="1" t="s">
        <v>91</v>
      </c>
      <c r="AR555" s="1" t="s">
        <v>91</v>
      </c>
      <c r="AS555" s="1" t="s">
        <v>91</v>
      </c>
      <c r="AT555" s="1" t="s">
        <v>91</v>
      </c>
      <c r="AU555" s="1" t="s">
        <v>91</v>
      </c>
      <c r="AV555" t="s">
        <v>91</v>
      </c>
      <c r="AW555" t="s">
        <v>91</v>
      </c>
      <c r="AX555" t="s">
        <v>91</v>
      </c>
      <c r="AY555" t="s">
        <v>91</v>
      </c>
      <c r="AZ555" t="s">
        <v>91</v>
      </c>
      <c r="BA555" t="s">
        <v>91</v>
      </c>
      <c r="BB555" s="2">
        <v>45113.505416666667</v>
      </c>
      <c r="BC555" s="2"/>
      <c r="BD555" t="s">
        <v>91</v>
      </c>
      <c r="BF555" s="1" t="s">
        <v>75</v>
      </c>
      <c r="BI555" s="1" t="s">
        <v>88</v>
      </c>
      <c r="BJ555">
        <v>1</v>
      </c>
      <c r="BK555" s="1" t="s">
        <v>89</v>
      </c>
      <c r="BL555" t="s">
        <v>91</v>
      </c>
      <c r="BM555" s="1" t="s">
        <v>91</v>
      </c>
      <c r="BN555" s="1" t="s">
        <v>91</v>
      </c>
      <c r="BO555" s="1" t="s">
        <v>91</v>
      </c>
      <c r="BP555" s="1" t="s">
        <v>91</v>
      </c>
      <c r="BQ555" t="s">
        <v>91</v>
      </c>
      <c r="BR555" s="3">
        <v>45113</v>
      </c>
      <c r="BS555" s="3"/>
      <c r="BT555" t="s">
        <v>91</v>
      </c>
      <c r="BU555" t="s">
        <v>91</v>
      </c>
      <c r="BW555" s="1" t="s">
        <v>90</v>
      </c>
    </row>
    <row r="556" spans="1:75" hidden="1" x14ac:dyDescent="0.35">
      <c r="A556">
        <v>159572</v>
      </c>
      <c r="B556" s="1" t="s">
        <v>75</v>
      </c>
      <c r="C556">
        <v>80</v>
      </c>
      <c r="D556">
        <v>11121002</v>
      </c>
      <c r="E556">
        <v>121002</v>
      </c>
      <c r="F556" s="1" t="s">
        <v>2915</v>
      </c>
      <c r="G556" s="1" t="s">
        <v>3277</v>
      </c>
      <c r="I556" s="1" t="s">
        <v>78</v>
      </c>
      <c r="J556" s="1" t="s">
        <v>3278</v>
      </c>
      <c r="K556" s="1" t="s">
        <v>3279</v>
      </c>
      <c r="L556" t="s">
        <v>91</v>
      </c>
      <c r="M556" t="s">
        <v>91</v>
      </c>
      <c r="N556" s="1" t="s">
        <v>408</v>
      </c>
      <c r="O556" t="s">
        <v>91</v>
      </c>
      <c r="P556" s="1" t="s">
        <v>3280</v>
      </c>
      <c r="Q556" s="1" t="s">
        <v>1766</v>
      </c>
      <c r="R556" s="1" t="s">
        <v>1411</v>
      </c>
      <c r="S556">
        <v>1254</v>
      </c>
      <c r="T556">
        <v>88010000</v>
      </c>
      <c r="U556" s="1" t="s">
        <v>108</v>
      </c>
      <c r="V556" s="1" t="s">
        <v>2922</v>
      </c>
      <c r="W556" s="1" t="s">
        <v>87</v>
      </c>
      <c r="X556">
        <v>42</v>
      </c>
      <c r="Y556">
        <v>998585101</v>
      </c>
      <c r="Z556" t="s">
        <v>91</v>
      </c>
      <c r="AA556" t="s">
        <v>91</v>
      </c>
      <c r="AB556" t="s">
        <v>91</v>
      </c>
      <c r="AC556" t="s">
        <v>91</v>
      </c>
      <c r="AD556" t="s">
        <v>91</v>
      </c>
      <c r="AE556" t="s">
        <v>91</v>
      </c>
      <c r="AF556" t="s">
        <v>91</v>
      </c>
      <c r="AG556" s="1" t="s">
        <v>91</v>
      </c>
      <c r="AH556" s="1" t="s">
        <v>91</v>
      </c>
      <c r="AI556" t="s">
        <v>91</v>
      </c>
      <c r="AM556" t="s">
        <v>91</v>
      </c>
      <c r="AN556" t="s">
        <v>91</v>
      </c>
      <c r="AO556" t="s">
        <v>91</v>
      </c>
      <c r="AP556" t="s">
        <v>91</v>
      </c>
      <c r="AQ556" s="1" t="s">
        <v>91</v>
      </c>
      <c r="AR556" s="1" t="s">
        <v>91</v>
      </c>
      <c r="AS556" s="1" t="s">
        <v>91</v>
      </c>
      <c r="AT556" s="1" t="s">
        <v>91</v>
      </c>
      <c r="AU556" s="1" t="s">
        <v>91</v>
      </c>
      <c r="AV556" t="s">
        <v>91</v>
      </c>
      <c r="AW556" t="s">
        <v>91</v>
      </c>
      <c r="AX556" t="s">
        <v>91</v>
      </c>
      <c r="AY556" t="s">
        <v>91</v>
      </c>
      <c r="AZ556" t="s">
        <v>91</v>
      </c>
      <c r="BA556" t="s">
        <v>91</v>
      </c>
      <c r="BB556" s="2">
        <v>45194.491122685184</v>
      </c>
      <c r="BC556" s="2"/>
      <c r="BD556" t="s">
        <v>91</v>
      </c>
      <c r="BF556" s="1" t="s">
        <v>75</v>
      </c>
      <c r="BI556" s="1" t="s">
        <v>88</v>
      </c>
      <c r="BJ556">
        <v>1</v>
      </c>
      <c r="BK556" s="1" t="s">
        <v>89</v>
      </c>
      <c r="BL556" t="s">
        <v>91</v>
      </c>
      <c r="BM556" s="1" t="s">
        <v>91</v>
      </c>
      <c r="BN556" s="1" t="s">
        <v>91</v>
      </c>
      <c r="BO556" s="1" t="s">
        <v>91</v>
      </c>
      <c r="BP556" s="1" t="s">
        <v>91</v>
      </c>
      <c r="BQ556" t="s">
        <v>91</v>
      </c>
      <c r="BR556" s="3">
        <v>45194</v>
      </c>
      <c r="BS556" s="3"/>
      <c r="BT556" t="s">
        <v>91</v>
      </c>
      <c r="BU556" t="s">
        <v>91</v>
      </c>
      <c r="BW556" s="1" t="s">
        <v>90</v>
      </c>
    </row>
    <row r="557" spans="1:75" hidden="1" x14ac:dyDescent="0.35">
      <c r="A557">
        <v>159574</v>
      </c>
      <c r="B557" s="1" t="s">
        <v>75</v>
      </c>
      <c r="C557">
        <v>80</v>
      </c>
      <c r="D557">
        <v>11121002</v>
      </c>
      <c r="E557">
        <v>121002</v>
      </c>
      <c r="F557" s="1" t="s">
        <v>2915</v>
      </c>
      <c r="G557" s="1" t="s">
        <v>3281</v>
      </c>
      <c r="I557" s="1" t="s">
        <v>78</v>
      </c>
      <c r="J557" s="1" t="s">
        <v>3278</v>
      </c>
      <c r="K557" s="1" t="s">
        <v>3282</v>
      </c>
      <c r="L557" t="s">
        <v>91</v>
      </c>
      <c r="M557" t="s">
        <v>91</v>
      </c>
      <c r="N557" s="1" t="s">
        <v>408</v>
      </c>
      <c r="O557" t="s">
        <v>91</v>
      </c>
      <c r="P557" s="1" t="s">
        <v>3283</v>
      </c>
      <c r="Q557" s="1" t="s">
        <v>3284</v>
      </c>
      <c r="R557" s="1" t="s">
        <v>3285</v>
      </c>
      <c r="T557">
        <v>88065000</v>
      </c>
      <c r="U557" s="1" t="s">
        <v>2964</v>
      </c>
      <c r="V557" s="1" t="s">
        <v>2922</v>
      </c>
      <c r="W557" s="1" t="s">
        <v>87</v>
      </c>
      <c r="X557">
        <v>42</v>
      </c>
      <c r="Y557">
        <v>998585101</v>
      </c>
      <c r="Z557" t="s">
        <v>91</v>
      </c>
      <c r="AA557" t="s">
        <v>91</v>
      </c>
      <c r="AB557" t="s">
        <v>91</v>
      </c>
      <c r="AC557" t="s">
        <v>91</v>
      </c>
      <c r="AD557" t="s">
        <v>91</v>
      </c>
      <c r="AE557" t="s">
        <v>91</v>
      </c>
      <c r="AF557" t="s">
        <v>91</v>
      </c>
      <c r="AG557" s="1" t="s">
        <v>91</v>
      </c>
      <c r="AH557" s="1" t="s">
        <v>91</v>
      </c>
      <c r="AI557" t="s">
        <v>91</v>
      </c>
      <c r="AM557" t="s">
        <v>91</v>
      </c>
      <c r="AN557" t="s">
        <v>91</v>
      </c>
      <c r="AO557" t="s">
        <v>91</v>
      </c>
      <c r="AP557" t="s">
        <v>91</v>
      </c>
      <c r="AQ557" s="1" t="s">
        <v>91</v>
      </c>
      <c r="AR557" s="1" t="s">
        <v>91</v>
      </c>
      <c r="AS557" s="1" t="s">
        <v>91</v>
      </c>
      <c r="AT557" s="1" t="s">
        <v>91</v>
      </c>
      <c r="AU557" s="1" t="s">
        <v>91</v>
      </c>
      <c r="AV557" t="s">
        <v>91</v>
      </c>
      <c r="AW557" t="s">
        <v>91</v>
      </c>
      <c r="AX557" t="s">
        <v>91</v>
      </c>
      <c r="AY557" t="s">
        <v>91</v>
      </c>
      <c r="AZ557" t="s">
        <v>91</v>
      </c>
      <c r="BA557" t="s">
        <v>91</v>
      </c>
      <c r="BB557" s="2">
        <v>45194.491122685184</v>
      </c>
      <c r="BC557" s="2"/>
      <c r="BD557" t="s">
        <v>91</v>
      </c>
      <c r="BF557" s="1" t="s">
        <v>75</v>
      </c>
      <c r="BI557" s="1" t="s">
        <v>88</v>
      </c>
      <c r="BJ557">
        <v>1</v>
      </c>
      <c r="BK557" s="1" t="s">
        <v>89</v>
      </c>
      <c r="BL557" t="s">
        <v>91</v>
      </c>
      <c r="BM557" s="1" t="s">
        <v>91</v>
      </c>
      <c r="BN557" s="1" t="s">
        <v>91</v>
      </c>
      <c r="BO557" s="1" t="s">
        <v>91</v>
      </c>
      <c r="BP557" s="1" t="s">
        <v>91</v>
      </c>
      <c r="BQ557" t="s">
        <v>91</v>
      </c>
      <c r="BR557" s="3">
        <v>45194</v>
      </c>
      <c r="BS557" s="3"/>
      <c r="BT557" t="s">
        <v>91</v>
      </c>
      <c r="BU557" t="s">
        <v>91</v>
      </c>
      <c r="BW557" s="1" t="s">
        <v>90</v>
      </c>
    </row>
    <row r="558" spans="1:75" hidden="1" x14ac:dyDescent="0.35">
      <c r="A558">
        <v>157594</v>
      </c>
      <c r="B558" s="1" t="s">
        <v>75</v>
      </c>
      <c r="C558">
        <v>80</v>
      </c>
      <c r="D558">
        <v>11121002</v>
      </c>
      <c r="E558">
        <v>121002</v>
      </c>
      <c r="F558" s="1" t="s">
        <v>2915</v>
      </c>
      <c r="G558" s="1" t="s">
        <v>3286</v>
      </c>
      <c r="H558">
        <v>0</v>
      </c>
      <c r="I558" s="1" t="s">
        <v>78</v>
      </c>
      <c r="J558" s="1" t="s">
        <v>3287</v>
      </c>
      <c r="K558" s="1" t="s">
        <v>3288</v>
      </c>
      <c r="L558" t="s">
        <v>91</v>
      </c>
      <c r="M558" t="s">
        <v>91</v>
      </c>
      <c r="N558" s="1" t="s">
        <v>3289</v>
      </c>
      <c r="O558" t="s">
        <v>91</v>
      </c>
      <c r="P558" s="1" t="s">
        <v>3290</v>
      </c>
      <c r="Q558" s="1" t="s">
        <v>3291</v>
      </c>
      <c r="R558" s="1" t="s">
        <v>491</v>
      </c>
      <c r="S558">
        <v>1259</v>
      </c>
      <c r="T558">
        <v>88160000</v>
      </c>
      <c r="U558" s="1" t="s">
        <v>3292</v>
      </c>
      <c r="V558" s="1" t="s">
        <v>3293</v>
      </c>
      <c r="W558" s="1" t="s">
        <v>87</v>
      </c>
      <c r="X558">
        <v>48</v>
      </c>
      <c r="Y558">
        <v>32437747</v>
      </c>
      <c r="Z558" t="s">
        <v>91</v>
      </c>
      <c r="AA558" t="s">
        <v>91</v>
      </c>
      <c r="AB558" t="s">
        <v>91</v>
      </c>
      <c r="AC558" t="s">
        <v>91</v>
      </c>
      <c r="AD558" t="s">
        <v>91</v>
      </c>
      <c r="AE558" t="s">
        <v>91</v>
      </c>
      <c r="AF558" t="s">
        <v>91</v>
      </c>
      <c r="AG558" s="1" t="s">
        <v>91</v>
      </c>
      <c r="AH558" s="1" t="s">
        <v>91</v>
      </c>
      <c r="AI558" t="s">
        <v>91</v>
      </c>
      <c r="AM558" t="s">
        <v>91</v>
      </c>
      <c r="AN558" t="s">
        <v>91</v>
      </c>
      <c r="AO558" t="s">
        <v>91</v>
      </c>
      <c r="AP558" t="s">
        <v>91</v>
      </c>
      <c r="AQ558" s="1" t="s">
        <v>91</v>
      </c>
      <c r="AR558" s="1" t="s">
        <v>91</v>
      </c>
      <c r="AS558" s="1" t="s">
        <v>91</v>
      </c>
      <c r="AT558" s="1" t="s">
        <v>91</v>
      </c>
      <c r="AU558" s="1" t="s">
        <v>91</v>
      </c>
      <c r="AV558" t="s">
        <v>91</v>
      </c>
      <c r="AW558" t="s">
        <v>91</v>
      </c>
      <c r="AX558" t="s">
        <v>91</v>
      </c>
      <c r="AY558" t="s">
        <v>91</v>
      </c>
      <c r="AZ558" t="s">
        <v>91</v>
      </c>
      <c r="BA558" t="s">
        <v>91</v>
      </c>
      <c r="BB558" s="2">
        <v>45118.097175925926</v>
      </c>
      <c r="BC558" s="2"/>
      <c r="BD558" t="s">
        <v>91</v>
      </c>
      <c r="BF558" s="1" t="s">
        <v>75</v>
      </c>
      <c r="BI558" s="1" t="s">
        <v>88</v>
      </c>
      <c r="BJ558">
        <v>1</v>
      </c>
      <c r="BK558" s="1" t="s">
        <v>89</v>
      </c>
      <c r="BL558" t="s">
        <v>91</v>
      </c>
      <c r="BM558" s="1" t="s">
        <v>91</v>
      </c>
      <c r="BN558" s="1" t="s">
        <v>91</v>
      </c>
      <c r="BO558" s="1" t="s">
        <v>91</v>
      </c>
      <c r="BP558" s="1" t="s">
        <v>91</v>
      </c>
      <c r="BQ558" t="s">
        <v>91</v>
      </c>
      <c r="BR558" s="3">
        <v>45118</v>
      </c>
      <c r="BS558" s="3"/>
      <c r="BT558" t="s">
        <v>91</v>
      </c>
      <c r="BU558" t="s">
        <v>91</v>
      </c>
      <c r="BW558" s="1" t="s">
        <v>120</v>
      </c>
    </row>
    <row r="559" spans="1:75" hidden="1" x14ac:dyDescent="0.35">
      <c r="A559">
        <v>134244</v>
      </c>
      <c r="B559" s="1" t="s">
        <v>75</v>
      </c>
      <c r="C559">
        <v>80</v>
      </c>
      <c r="D559">
        <v>11121002</v>
      </c>
      <c r="E559">
        <v>121002</v>
      </c>
      <c r="F559" s="1" t="s">
        <v>2915</v>
      </c>
      <c r="G559" s="1" t="s">
        <v>3294</v>
      </c>
      <c r="I559" s="1" t="s">
        <v>78</v>
      </c>
      <c r="J559" s="1" t="s">
        <v>3295</v>
      </c>
      <c r="K559" s="1" t="s">
        <v>3296</v>
      </c>
      <c r="L559" t="s">
        <v>91</v>
      </c>
      <c r="M559" t="s">
        <v>91</v>
      </c>
      <c r="N559" s="1" t="s">
        <v>3297</v>
      </c>
      <c r="O559" t="s">
        <v>91</v>
      </c>
      <c r="P559" s="1" t="s">
        <v>3298</v>
      </c>
      <c r="Q559" s="1" t="s">
        <v>3194</v>
      </c>
      <c r="R559" s="1" t="s">
        <v>3299</v>
      </c>
      <c r="S559">
        <v>1259</v>
      </c>
      <c r="T559">
        <v>88122001</v>
      </c>
      <c r="U559" s="1" t="s">
        <v>3300</v>
      </c>
      <c r="V559" s="1" t="s">
        <v>3016</v>
      </c>
      <c r="W559" s="1" t="s">
        <v>87</v>
      </c>
      <c r="X559">
        <v>48</v>
      </c>
      <c r="Y559">
        <v>30625114</v>
      </c>
      <c r="Z559" t="s">
        <v>91</v>
      </c>
      <c r="AA559" t="s">
        <v>91</v>
      </c>
      <c r="AB559" t="s">
        <v>91</v>
      </c>
      <c r="AC559" t="s">
        <v>91</v>
      </c>
      <c r="AD559" t="s">
        <v>91</v>
      </c>
      <c r="AE559" t="s">
        <v>91</v>
      </c>
      <c r="AF559" t="s">
        <v>91</v>
      </c>
      <c r="AG559" s="1" t="s">
        <v>146</v>
      </c>
      <c r="AH559" s="1" t="s">
        <v>91</v>
      </c>
      <c r="AI559" t="s">
        <v>91</v>
      </c>
      <c r="AJ559">
        <v>0</v>
      </c>
      <c r="AK559">
        <v>0</v>
      </c>
      <c r="AL559">
        <v>0</v>
      </c>
      <c r="AM559" t="s">
        <v>91</v>
      </c>
      <c r="AN559" t="s">
        <v>91</v>
      </c>
      <c r="AO559" t="s">
        <v>91</v>
      </c>
      <c r="AP559" t="s">
        <v>91</v>
      </c>
      <c r="AQ559" s="1" t="s">
        <v>147</v>
      </c>
      <c r="AR559" s="1" t="s">
        <v>147</v>
      </c>
      <c r="AS559" s="1" t="s">
        <v>147</v>
      </c>
      <c r="AT559" s="1" t="s">
        <v>147</v>
      </c>
      <c r="AU559" s="1" t="s">
        <v>147</v>
      </c>
      <c r="AV559" t="s">
        <v>91</v>
      </c>
      <c r="AW559" t="s">
        <v>91</v>
      </c>
      <c r="AX559" t="s">
        <v>91</v>
      </c>
      <c r="AY559" t="s">
        <v>91</v>
      </c>
      <c r="AZ559" t="s">
        <v>91</v>
      </c>
      <c r="BA559" t="s">
        <v>91</v>
      </c>
      <c r="BB559" s="2"/>
      <c r="BC559" s="2">
        <v>44669.736585648148</v>
      </c>
      <c r="BD559" t="s">
        <v>91</v>
      </c>
      <c r="BF559" s="1" t="s">
        <v>75</v>
      </c>
      <c r="BG559">
        <v>0</v>
      </c>
      <c r="BH559">
        <v>0</v>
      </c>
      <c r="BI559" s="1" t="s">
        <v>88</v>
      </c>
      <c r="BJ559">
        <v>1</v>
      </c>
      <c r="BK559" s="1" t="s">
        <v>89</v>
      </c>
      <c r="BL559" t="s">
        <v>91</v>
      </c>
      <c r="BM559" s="1" t="s">
        <v>109</v>
      </c>
      <c r="BN559" s="1" t="s">
        <v>110</v>
      </c>
      <c r="BO559" s="1" t="s">
        <v>180</v>
      </c>
      <c r="BP559" s="1" t="s">
        <v>91</v>
      </c>
      <c r="BQ559" t="s">
        <v>91</v>
      </c>
      <c r="BR559" s="3"/>
      <c r="BS559" s="3">
        <v>44669</v>
      </c>
      <c r="BT559" t="s">
        <v>91</v>
      </c>
      <c r="BU559" t="s">
        <v>91</v>
      </c>
      <c r="BV559">
        <v>3</v>
      </c>
      <c r="BW559" s="1" t="s">
        <v>3124</v>
      </c>
    </row>
    <row r="560" spans="1:75" hidden="1" x14ac:dyDescent="0.35">
      <c r="A560">
        <v>134470</v>
      </c>
      <c r="B560" s="1" t="s">
        <v>75</v>
      </c>
      <c r="C560">
        <v>80</v>
      </c>
      <c r="D560">
        <v>11121002</v>
      </c>
      <c r="E560">
        <v>121002</v>
      </c>
      <c r="F560" s="1" t="s">
        <v>2915</v>
      </c>
      <c r="G560" s="1" t="s">
        <v>3301</v>
      </c>
      <c r="I560" s="1" t="s">
        <v>78</v>
      </c>
      <c r="J560" s="1" t="s">
        <v>3295</v>
      </c>
      <c r="K560" s="1" t="s">
        <v>3302</v>
      </c>
      <c r="L560" t="s">
        <v>91</v>
      </c>
      <c r="M560" t="s">
        <v>91</v>
      </c>
      <c r="N560" s="1" t="s">
        <v>3297</v>
      </c>
      <c r="O560" t="s">
        <v>91</v>
      </c>
      <c r="P560" s="1" t="s">
        <v>3303</v>
      </c>
      <c r="Q560" s="1" t="s">
        <v>3304</v>
      </c>
      <c r="R560" s="1" t="s">
        <v>91</v>
      </c>
      <c r="S560">
        <v>1254</v>
      </c>
      <c r="T560">
        <v>88010100</v>
      </c>
      <c r="U560" s="1" t="s">
        <v>108</v>
      </c>
      <c r="V560" s="1" t="s">
        <v>3102</v>
      </c>
      <c r="W560" s="1" t="s">
        <v>87</v>
      </c>
      <c r="X560">
        <v>48</v>
      </c>
      <c r="Y560">
        <v>30625125</v>
      </c>
      <c r="Z560" t="s">
        <v>91</v>
      </c>
      <c r="AA560" t="s">
        <v>91</v>
      </c>
      <c r="AB560" t="s">
        <v>91</v>
      </c>
      <c r="AC560" t="s">
        <v>91</v>
      </c>
      <c r="AD560" t="s">
        <v>91</v>
      </c>
      <c r="AE560" t="s">
        <v>91</v>
      </c>
      <c r="AF560" t="s">
        <v>91</v>
      </c>
      <c r="AG560" s="1" t="s">
        <v>146</v>
      </c>
      <c r="AH560" s="1" t="s">
        <v>91</v>
      </c>
      <c r="AI560" t="s">
        <v>91</v>
      </c>
      <c r="AM560" t="s">
        <v>91</v>
      </c>
      <c r="AN560" t="s">
        <v>91</v>
      </c>
      <c r="AO560" t="s">
        <v>91</v>
      </c>
      <c r="AP560" t="s">
        <v>91</v>
      </c>
      <c r="AQ560" s="1" t="s">
        <v>147</v>
      </c>
      <c r="AR560" s="1" t="s">
        <v>147</v>
      </c>
      <c r="AS560" s="1" t="s">
        <v>147</v>
      </c>
      <c r="AT560" s="1" t="s">
        <v>147</v>
      </c>
      <c r="AU560" s="1" t="s">
        <v>147</v>
      </c>
      <c r="AV560" t="s">
        <v>91</v>
      </c>
      <c r="AW560" t="s">
        <v>91</v>
      </c>
      <c r="AX560" t="s">
        <v>91</v>
      </c>
      <c r="AY560" t="s">
        <v>91</v>
      </c>
      <c r="AZ560" t="s">
        <v>91</v>
      </c>
      <c r="BA560" t="s">
        <v>91</v>
      </c>
      <c r="BB560" s="2"/>
      <c r="BC560" s="2">
        <v>44546.6875462963</v>
      </c>
      <c r="BD560" t="s">
        <v>91</v>
      </c>
      <c r="BF560" s="1" t="s">
        <v>75</v>
      </c>
      <c r="BH560">
        <v>0</v>
      </c>
      <c r="BI560" s="1" t="s">
        <v>88</v>
      </c>
      <c r="BJ560">
        <v>1</v>
      </c>
      <c r="BK560" s="1" t="s">
        <v>89</v>
      </c>
      <c r="BL560" t="s">
        <v>91</v>
      </c>
      <c r="BM560" s="1" t="s">
        <v>197</v>
      </c>
      <c r="BN560" s="1" t="s">
        <v>110</v>
      </c>
      <c r="BO560" s="1" t="s">
        <v>165</v>
      </c>
      <c r="BP560" s="1" t="s">
        <v>91</v>
      </c>
      <c r="BQ560" t="s">
        <v>91</v>
      </c>
      <c r="BR560" s="3"/>
      <c r="BS560" s="3">
        <v>44546</v>
      </c>
      <c r="BT560" t="s">
        <v>91</v>
      </c>
      <c r="BU560" t="s">
        <v>91</v>
      </c>
      <c r="BV560">
        <v>7</v>
      </c>
      <c r="BW560" s="1" t="s">
        <v>601</v>
      </c>
    </row>
    <row r="561" spans="1:75" hidden="1" x14ac:dyDescent="0.35">
      <c r="A561">
        <v>156869</v>
      </c>
      <c r="B561" s="1" t="s">
        <v>75</v>
      </c>
      <c r="C561">
        <v>80</v>
      </c>
      <c r="D561">
        <v>11121002</v>
      </c>
      <c r="E561">
        <v>121002</v>
      </c>
      <c r="F561" s="1" t="s">
        <v>2915</v>
      </c>
      <c r="G561" s="1" t="s">
        <v>3305</v>
      </c>
      <c r="H561">
        <v>0</v>
      </c>
      <c r="I561" s="1" t="s">
        <v>78</v>
      </c>
      <c r="J561" s="1" t="s">
        <v>3295</v>
      </c>
      <c r="K561" s="1" t="s">
        <v>3306</v>
      </c>
      <c r="L561" t="s">
        <v>91</v>
      </c>
      <c r="M561" t="s">
        <v>91</v>
      </c>
      <c r="N561" s="1" t="s">
        <v>3307</v>
      </c>
      <c r="O561" t="s">
        <v>91</v>
      </c>
      <c r="P561" s="1" t="s">
        <v>3308</v>
      </c>
      <c r="Q561" s="1" t="s">
        <v>3309</v>
      </c>
      <c r="R561" s="1" t="s">
        <v>3310</v>
      </c>
      <c r="S561">
        <v>1257</v>
      </c>
      <c r="T561">
        <v>88058001</v>
      </c>
      <c r="U561" s="1" t="s">
        <v>3311</v>
      </c>
      <c r="V561" s="1" t="s">
        <v>3102</v>
      </c>
      <c r="W561" s="1" t="s">
        <v>87</v>
      </c>
      <c r="X561">
        <v>48</v>
      </c>
      <c r="Y561">
        <v>30625125</v>
      </c>
      <c r="Z561" t="s">
        <v>91</v>
      </c>
      <c r="AA561" t="s">
        <v>91</v>
      </c>
      <c r="AB561" t="s">
        <v>91</v>
      </c>
      <c r="AC561" t="s">
        <v>91</v>
      </c>
      <c r="AD561" t="s">
        <v>91</v>
      </c>
      <c r="AE561" t="s">
        <v>91</v>
      </c>
      <c r="AF561" t="s">
        <v>91</v>
      </c>
      <c r="AG561" s="1" t="s">
        <v>146</v>
      </c>
      <c r="AH561" s="1" t="s">
        <v>91</v>
      </c>
      <c r="AI561" t="s">
        <v>91</v>
      </c>
      <c r="AM561" t="s">
        <v>91</v>
      </c>
      <c r="AN561" t="s">
        <v>91</v>
      </c>
      <c r="AO561" t="s">
        <v>91</v>
      </c>
      <c r="AP561" t="s">
        <v>91</v>
      </c>
      <c r="AQ561" s="1" t="s">
        <v>147</v>
      </c>
      <c r="AR561" s="1" t="s">
        <v>147</v>
      </c>
      <c r="AS561" s="1" t="s">
        <v>147</v>
      </c>
      <c r="AT561" s="1" t="s">
        <v>147</v>
      </c>
      <c r="AU561" s="1" t="s">
        <v>147</v>
      </c>
      <c r="AV561" t="s">
        <v>91</v>
      </c>
      <c r="AW561" t="s">
        <v>91</v>
      </c>
      <c r="AX561" t="s">
        <v>91</v>
      </c>
      <c r="AY561" t="s">
        <v>91</v>
      </c>
      <c r="AZ561" t="s">
        <v>91</v>
      </c>
      <c r="BA561" t="s">
        <v>91</v>
      </c>
      <c r="BB561" s="2">
        <v>45113.505416666667</v>
      </c>
      <c r="BC561" s="2">
        <v>45114.499097222222</v>
      </c>
      <c r="BD561" t="s">
        <v>91</v>
      </c>
      <c r="BF561" s="1" t="s">
        <v>75</v>
      </c>
      <c r="BH561">
        <v>0</v>
      </c>
      <c r="BI561" s="1" t="s">
        <v>88</v>
      </c>
      <c r="BJ561">
        <v>1</v>
      </c>
      <c r="BK561" s="1" t="s">
        <v>89</v>
      </c>
      <c r="BL561" t="s">
        <v>91</v>
      </c>
      <c r="BM561" s="1" t="s">
        <v>91</v>
      </c>
      <c r="BN561" s="1" t="s">
        <v>91</v>
      </c>
      <c r="BO561" s="1" t="s">
        <v>91</v>
      </c>
      <c r="BP561" s="1" t="s">
        <v>91</v>
      </c>
      <c r="BQ561" t="s">
        <v>91</v>
      </c>
      <c r="BR561" s="3">
        <v>45113</v>
      </c>
      <c r="BS561" s="3">
        <v>45114</v>
      </c>
      <c r="BT561" t="s">
        <v>91</v>
      </c>
      <c r="BU561" t="s">
        <v>91</v>
      </c>
      <c r="BW561" s="1" t="s">
        <v>735</v>
      </c>
    </row>
    <row r="562" spans="1:75" hidden="1" x14ac:dyDescent="0.35">
      <c r="A562">
        <v>143860</v>
      </c>
      <c r="B562" s="1" t="s">
        <v>75</v>
      </c>
      <c r="C562">
        <v>80</v>
      </c>
      <c r="D562">
        <v>11121002</v>
      </c>
      <c r="E562">
        <v>121002</v>
      </c>
      <c r="F562" s="1" t="s">
        <v>2915</v>
      </c>
      <c r="G562" s="1" t="s">
        <v>3312</v>
      </c>
      <c r="H562">
        <v>0</v>
      </c>
      <c r="I562" s="1" t="s">
        <v>78</v>
      </c>
      <c r="J562" s="1" t="s">
        <v>3313</v>
      </c>
      <c r="K562" s="1" t="s">
        <v>3314</v>
      </c>
      <c r="L562" t="s">
        <v>91</v>
      </c>
      <c r="M562" t="s">
        <v>91</v>
      </c>
      <c r="N562" s="1" t="s">
        <v>3315</v>
      </c>
      <c r="O562" t="s">
        <v>91</v>
      </c>
      <c r="P562" s="1" t="s">
        <v>3316</v>
      </c>
      <c r="Q562" s="1" t="s">
        <v>1899</v>
      </c>
      <c r="R562" s="1" t="s">
        <v>3317</v>
      </c>
      <c r="T562">
        <v>88107230</v>
      </c>
      <c r="U562" s="1" t="s">
        <v>3210</v>
      </c>
      <c r="V562" s="1" t="s">
        <v>3016</v>
      </c>
      <c r="W562" s="1" t="s">
        <v>87</v>
      </c>
      <c r="X562">
        <v>48</v>
      </c>
      <c r="Y562">
        <v>33575891</v>
      </c>
      <c r="Z562" t="s">
        <v>91</v>
      </c>
      <c r="AA562" t="s">
        <v>91</v>
      </c>
      <c r="AB562" t="s">
        <v>91</v>
      </c>
      <c r="AC562" t="s">
        <v>91</v>
      </c>
      <c r="AD562" t="s">
        <v>91</v>
      </c>
      <c r="AE562" t="s">
        <v>91</v>
      </c>
      <c r="AF562" t="s">
        <v>91</v>
      </c>
      <c r="AG562" s="1" t="s">
        <v>146</v>
      </c>
      <c r="AH562" s="1" t="s">
        <v>91</v>
      </c>
      <c r="AI562" t="s">
        <v>91</v>
      </c>
      <c r="AM562" t="s">
        <v>91</v>
      </c>
      <c r="AN562" t="s">
        <v>91</v>
      </c>
      <c r="AO562" t="s">
        <v>91</v>
      </c>
      <c r="AP562" t="s">
        <v>91</v>
      </c>
      <c r="AQ562" s="1" t="s">
        <v>147</v>
      </c>
      <c r="AR562" s="1" t="s">
        <v>147</v>
      </c>
      <c r="AS562" s="1" t="s">
        <v>147</v>
      </c>
      <c r="AT562" s="1" t="s">
        <v>147</v>
      </c>
      <c r="AU562" s="1" t="s">
        <v>147</v>
      </c>
      <c r="AV562" t="s">
        <v>91</v>
      </c>
      <c r="AW562" t="s">
        <v>91</v>
      </c>
      <c r="AX562" t="s">
        <v>91</v>
      </c>
      <c r="AY562" t="s">
        <v>91</v>
      </c>
      <c r="AZ562" t="s">
        <v>91</v>
      </c>
      <c r="BA562" t="s">
        <v>91</v>
      </c>
      <c r="BB562" s="2">
        <v>44512.579421296294</v>
      </c>
      <c r="BC562" s="2">
        <v>44657.582476851851</v>
      </c>
      <c r="BD562" t="s">
        <v>91</v>
      </c>
      <c r="BF562" s="1" t="s">
        <v>75</v>
      </c>
      <c r="BH562">
        <v>0</v>
      </c>
      <c r="BI562" s="1" t="s">
        <v>88</v>
      </c>
      <c r="BJ562">
        <v>1</v>
      </c>
      <c r="BK562" s="1" t="s">
        <v>89</v>
      </c>
      <c r="BL562" t="s">
        <v>91</v>
      </c>
      <c r="BM562" s="1" t="s">
        <v>91</v>
      </c>
      <c r="BN562" s="1" t="s">
        <v>91</v>
      </c>
      <c r="BO562" s="1" t="s">
        <v>165</v>
      </c>
      <c r="BP562" s="1" t="s">
        <v>91</v>
      </c>
      <c r="BQ562" t="s">
        <v>91</v>
      </c>
      <c r="BR562" s="3">
        <v>44512</v>
      </c>
      <c r="BS562" s="3">
        <v>44657</v>
      </c>
      <c r="BT562" t="s">
        <v>91</v>
      </c>
      <c r="BU562" t="s">
        <v>91</v>
      </c>
      <c r="BW562" s="1" t="s">
        <v>120</v>
      </c>
    </row>
    <row r="563" spans="1:75" hidden="1" x14ac:dyDescent="0.35">
      <c r="A563">
        <v>157662</v>
      </c>
      <c r="B563" s="1" t="s">
        <v>75</v>
      </c>
      <c r="C563">
        <v>80</v>
      </c>
      <c r="D563">
        <v>11121002</v>
      </c>
      <c r="E563">
        <v>121002</v>
      </c>
      <c r="F563" s="1" t="s">
        <v>2915</v>
      </c>
      <c r="G563" s="1" t="s">
        <v>3318</v>
      </c>
      <c r="H563">
        <v>0</v>
      </c>
      <c r="I563" s="1" t="s">
        <v>78</v>
      </c>
      <c r="J563" s="1" t="s">
        <v>3319</v>
      </c>
      <c r="K563" s="1" t="s">
        <v>3320</v>
      </c>
      <c r="L563" t="s">
        <v>91</v>
      </c>
      <c r="M563" t="s">
        <v>91</v>
      </c>
      <c r="N563" s="1" t="s">
        <v>3321</v>
      </c>
      <c r="O563" t="s">
        <v>91</v>
      </c>
      <c r="P563" s="1" t="s">
        <v>3322</v>
      </c>
      <c r="Q563" s="1" t="s">
        <v>3323</v>
      </c>
      <c r="R563" s="1" t="s">
        <v>173</v>
      </c>
      <c r="S563">
        <v>1336</v>
      </c>
      <c r="T563">
        <v>95560000</v>
      </c>
      <c r="U563" s="1" t="s">
        <v>108</v>
      </c>
      <c r="V563" s="1" t="s">
        <v>3038</v>
      </c>
      <c r="W563" s="1" t="s">
        <v>157</v>
      </c>
      <c r="X563">
        <v>51</v>
      </c>
      <c r="Y563">
        <v>36642662</v>
      </c>
      <c r="Z563" t="s">
        <v>91</v>
      </c>
      <c r="AA563" t="s">
        <v>91</v>
      </c>
      <c r="AB563" t="s">
        <v>91</v>
      </c>
      <c r="AC563" t="s">
        <v>91</v>
      </c>
      <c r="AD563" t="s">
        <v>91</v>
      </c>
      <c r="AE563" t="s">
        <v>91</v>
      </c>
      <c r="AF563" t="s">
        <v>91</v>
      </c>
      <c r="AG563" s="1" t="s">
        <v>91</v>
      </c>
      <c r="AH563" s="1" t="s">
        <v>91</v>
      </c>
      <c r="AI563" t="s">
        <v>91</v>
      </c>
      <c r="AM563" t="s">
        <v>91</v>
      </c>
      <c r="AN563" t="s">
        <v>91</v>
      </c>
      <c r="AO563" t="s">
        <v>91</v>
      </c>
      <c r="AP563" t="s">
        <v>91</v>
      </c>
      <c r="AQ563" s="1" t="s">
        <v>91</v>
      </c>
      <c r="AR563" s="1" t="s">
        <v>91</v>
      </c>
      <c r="AS563" s="1" t="s">
        <v>91</v>
      </c>
      <c r="AT563" s="1" t="s">
        <v>91</v>
      </c>
      <c r="AU563" s="1" t="s">
        <v>91</v>
      </c>
      <c r="AV563" t="s">
        <v>91</v>
      </c>
      <c r="AW563" t="s">
        <v>91</v>
      </c>
      <c r="AX563" t="s">
        <v>91</v>
      </c>
      <c r="AY563" t="s">
        <v>91</v>
      </c>
      <c r="AZ563" t="s">
        <v>91</v>
      </c>
      <c r="BA563" t="s">
        <v>91</v>
      </c>
      <c r="BB563" s="2">
        <v>45118.097175925926</v>
      </c>
      <c r="BC563" s="2"/>
      <c r="BD563" t="s">
        <v>91</v>
      </c>
      <c r="BF563" s="1" t="s">
        <v>75</v>
      </c>
      <c r="BI563" s="1" t="s">
        <v>88</v>
      </c>
      <c r="BJ563">
        <v>1</v>
      </c>
      <c r="BK563" s="1" t="s">
        <v>89</v>
      </c>
      <c r="BL563" t="s">
        <v>91</v>
      </c>
      <c r="BM563" s="1" t="s">
        <v>91</v>
      </c>
      <c r="BN563" s="1" t="s">
        <v>91</v>
      </c>
      <c r="BO563" s="1" t="s">
        <v>91</v>
      </c>
      <c r="BP563" s="1" t="s">
        <v>91</v>
      </c>
      <c r="BQ563" t="s">
        <v>91</v>
      </c>
      <c r="BR563" s="3">
        <v>45118</v>
      </c>
      <c r="BS563" s="3"/>
      <c r="BT563" t="s">
        <v>91</v>
      </c>
      <c r="BU563" t="s">
        <v>91</v>
      </c>
      <c r="BW563" s="1" t="s">
        <v>90</v>
      </c>
    </row>
    <row r="564" spans="1:75" hidden="1" x14ac:dyDescent="0.35">
      <c r="A564">
        <v>138966</v>
      </c>
      <c r="B564" s="1" t="s">
        <v>75</v>
      </c>
      <c r="C564">
        <v>80</v>
      </c>
      <c r="D564">
        <v>11121002</v>
      </c>
      <c r="E564">
        <v>121002</v>
      </c>
      <c r="F564" s="1" t="s">
        <v>2915</v>
      </c>
      <c r="G564" s="1" t="s">
        <v>3324</v>
      </c>
      <c r="I564" s="1" t="s">
        <v>78</v>
      </c>
      <c r="J564" s="1" t="s">
        <v>3325</v>
      </c>
      <c r="K564" s="1" t="s">
        <v>3326</v>
      </c>
      <c r="L564" t="s">
        <v>91</v>
      </c>
      <c r="M564" t="s">
        <v>91</v>
      </c>
      <c r="N564" s="1" t="s">
        <v>3327</v>
      </c>
      <c r="O564" t="s">
        <v>91</v>
      </c>
      <c r="P564" s="1" t="s">
        <v>3328</v>
      </c>
      <c r="Q564" s="1" t="s">
        <v>83</v>
      </c>
      <c r="R564" s="1" t="s">
        <v>236</v>
      </c>
      <c r="S564">
        <v>1265</v>
      </c>
      <c r="T564">
        <v>88490000</v>
      </c>
      <c r="U564" s="1" t="s">
        <v>108</v>
      </c>
      <c r="V564" s="1" t="s">
        <v>3329</v>
      </c>
      <c r="W564" s="1" t="s">
        <v>87</v>
      </c>
      <c r="X564">
        <v>48</v>
      </c>
      <c r="Y564">
        <v>32530952</v>
      </c>
      <c r="Z564" t="s">
        <v>91</v>
      </c>
      <c r="AA564" t="s">
        <v>91</v>
      </c>
      <c r="AB564" t="s">
        <v>91</v>
      </c>
      <c r="AC564" t="s">
        <v>91</v>
      </c>
      <c r="AD564" t="s">
        <v>91</v>
      </c>
      <c r="AE564" t="s">
        <v>91</v>
      </c>
      <c r="AF564" t="s">
        <v>91</v>
      </c>
      <c r="AG564" s="1" t="s">
        <v>146</v>
      </c>
      <c r="AH564" s="1" t="s">
        <v>91</v>
      </c>
      <c r="AI564" t="s">
        <v>91</v>
      </c>
      <c r="AJ564">
        <v>0</v>
      </c>
      <c r="AK564">
        <v>0</v>
      </c>
      <c r="AL564">
        <v>0</v>
      </c>
      <c r="AM564" t="s">
        <v>91</v>
      </c>
      <c r="AN564" t="s">
        <v>91</v>
      </c>
      <c r="AO564" t="s">
        <v>91</v>
      </c>
      <c r="AP564" t="s">
        <v>91</v>
      </c>
      <c r="AQ564" s="1" t="s">
        <v>147</v>
      </c>
      <c r="AR564" s="1" t="s">
        <v>147</v>
      </c>
      <c r="AS564" s="1" t="s">
        <v>147</v>
      </c>
      <c r="AT564" s="1" t="s">
        <v>147</v>
      </c>
      <c r="AU564" s="1" t="s">
        <v>147</v>
      </c>
      <c r="AV564" t="s">
        <v>91</v>
      </c>
      <c r="AW564" t="s">
        <v>91</v>
      </c>
      <c r="AX564" t="s">
        <v>91</v>
      </c>
      <c r="AY564" t="s">
        <v>91</v>
      </c>
      <c r="AZ564" t="s">
        <v>91</v>
      </c>
      <c r="BA564" t="s">
        <v>91</v>
      </c>
      <c r="BB564" s="2"/>
      <c r="BC564" s="2">
        <v>44685.496111111112</v>
      </c>
      <c r="BD564" t="s">
        <v>91</v>
      </c>
      <c r="BF564" s="1" t="s">
        <v>75</v>
      </c>
      <c r="BG564">
        <v>0</v>
      </c>
      <c r="BH564">
        <v>0</v>
      </c>
      <c r="BI564" s="1" t="s">
        <v>88</v>
      </c>
      <c r="BJ564">
        <v>1</v>
      </c>
      <c r="BK564" s="1" t="s">
        <v>89</v>
      </c>
      <c r="BL564" t="s">
        <v>91</v>
      </c>
      <c r="BM564" s="1" t="s">
        <v>109</v>
      </c>
      <c r="BN564" s="1" t="s">
        <v>148</v>
      </c>
      <c r="BO564" s="1" t="s">
        <v>111</v>
      </c>
      <c r="BP564" s="1" t="s">
        <v>91</v>
      </c>
      <c r="BQ564" t="s">
        <v>91</v>
      </c>
      <c r="BR564" s="3"/>
      <c r="BS564" s="3">
        <v>44685</v>
      </c>
      <c r="BT564" t="s">
        <v>91</v>
      </c>
      <c r="BU564" t="s">
        <v>91</v>
      </c>
      <c r="BV564">
        <v>4</v>
      </c>
      <c r="BW564" s="1" t="s">
        <v>120</v>
      </c>
    </row>
    <row r="565" spans="1:75" hidden="1" x14ac:dyDescent="0.35">
      <c r="A565">
        <v>1512</v>
      </c>
      <c r="B565" s="1" t="s">
        <v>75</v>
      </c>
      <c r="C565">
        <v>80</v>
      </c>
      <c r="D565">
        <v>11121002</v>
      </c>
      <c r="E565">
        <v>121002</v>
      </c>
      <c r="F565" s="1" t="s">
        <v>2915</v>
      </c>
      <c r="G565" s="1" t="s">
        <v>3330</v>
      </c>
      <c r="I565" s="1" t="s">
        <v>78</v>
      </c>
      <c r="J565" s="1" t="s">
        <v>3331</v>
      </c>
      <c r="K565" s="1" t="s">
        <v>3332</v>
      </c>
      <c r="L565" t="s">
        <v>91</v>
      </c>
      <c r="M565" t="s">
        <v>91</v>
      </c>
      <c r="N565" s="1" t="s">
        <v>3333</v>
      </c>
      <c r="O565" t="s">
        <v>91</v>
      </c>
      <c r="P565" s="1" t="s">
        <v>1501</v>
      </c>
      <c r="Q565" s="1" t="s">
        <v>3334</v>
      </c>
      <c r="R565" s="1" t="s">
        <v>91</v>
      </c>
      <c r="S565">
        <v>1266</v>
      </c>
      <c r="T565">
        <v>88501110</v>
      </c>
      <c r="U565" s="1" t="s">
        <v>108</v>
      </c>
      <c r="V565" s="1" t="s">
        <v>3335</v>
      </c>
      <c r="W565" s="1" t="s">
        <v>87</v>
      </c>
      <c r="X565">
        <v>49</v>
      </c>
      <c r="Y565">
        <v>32227659</v>
      </c>
      <c r="Z565" t="s">
        <v>91</v>
      </c>
      <c r="AA565" t="s">
        <v>91</v>
      </c>
      <c r="AB565" t="s">
        <v>91</v>
      </c>
      <c r="AC565" t="s">
        <v>91</v>
      </c>
      <c r="AD565" t="s">
        <v>91</v>
      </c>
      <c r="AE565" t="s">
        <v>91</v>
      </c>
      <c r="AF565" t="s">
        <v>91</v>
      </c>
      <c r="AG565" s="1" t="s">
        <v>91</v>
      </c>
      <c r="AH565" s="1" t="s">
        <v>91</v>
      </c>
      <c r="AI565" t="s">
        <v>91</v>
      </c>
      <c r="AJ565">
        <v>0</v>
      </c>
      <c r="AK565">
        <v>0</v>
      </c>
      <c r="AL565">
        <v>0</v>
      </c>
      <c r="AM565" t="s">
        <v>91</v>
      </c>
      <c r="AN565" t="s">
        <v>91</v>
      </c>
      <c r="AO565" t="s">
        <v>91</v>
      </c>
      <c r="AP565" t="s">
        <v>91</v>
      </c>
      <c r="AQ565" s="1" t="s">
        <v>91</v>
      </c>
      <c r="AR565" s="1" t="s">
        <v>91</v>
      </c>
      <c r="AS565" s="1" t="s">
        <v>91</v>
      </c>
      <c r="AT565" s="1" t="s">
        <v>91</v>
      </c>
      <c r="AU565" s="1" t="s">
        <v>91</v>
      </c>
      <c r="AV565" t="s">
        <v>91</v>
      </c>
      <c r="AW565" t="s">
        <v>91</v>
      </c>
      <c r="AX565" t="s">
        <v>91</v>
      </c>
      <c r="AY565" t="s">
        <v>91</v>
      </c>
      <c r="AZ565" t="s">
        <v>91</v>
      </c>
      <c r="BA565" t="s">
        <v>91</v>
      </c>
      <c r="BB565" s="2">
        <v>43308.393321759257</v>
      </c>
      <c r="BC565" s="2"/>
      <c r="BD565" t="s">
        <v>91</v>
      </c>
      <c r="BE565">
        <v>1512</v>
      </c>
      <c r="BF565" s="1" t="s">
        <v>75</v>
      </c>
      <c r="BG565">
        <v>0</v>
      </c>
      <c r="BH565">
        <v>0</v>
      </c>
      <c r="BI565" s="1" t="s">
        <v>88</v>
      </c>
      <c r="BJ565">
        <v>1</v>
      </c>
      <c r="BK565" s="1" t="s">
        <v>89</v>
      </c>
      <c r="BL565" t="s">
        <v>91</v>
      </c>
      <c r="BM565" s="1" t="s">
        <v>164</v>
      </c>
      <c r="BN565" s="1" t="s">
        <v>110</v>
      </c>
      <c r="BO565" s="1" t="s">
        <v>165</v>
      </c>
      <c r="BP565" s="1" t="s">
        <v>91</v>
      </c>
      <c r="BQ565" t="s">
        <v>91</v>
      </c>
      <c r="BR565" s="3">
        <v>43308</v>
      </c>
      <c r="BS565" s="3"/>
      <c r="BT565" t="s">
        <v>91</v>
      </c>
      <c r="BU565" t="s">
        <v>91</v>
      </c>
      <c r="BV565">
        <v>1</v>
      </c>
      <c r="BW565" s="1" t="s">
        <v>263</v>
      </c>
    </row>
    <row r="566" spans="1:75" hidden="1" x14ac:dyDescent="0.35">
      <c r="A566">
        <v>157628</v>
      </c>
      <c r="B566" s="1" t="s">
        <v>75</v>
      </c>
      <c r="C566">
        <v>80</v>
      </c>
      <c r="D566">
        <v>11121002</v>
      </c>
      <c r="E566">
        <v>121002</v>
      </c>
      <c r="F566" s="1" t="s">
        <v>2915</v>
      </c>
      <c r="G566" s="1" t="s">
        <v>3336</v>
      </c>
      <c r="H566">
        <v>0</v>
      </c>
      <c r="I566" s="1" t="s">
        <v>78</v>
      </c>
      <c r="J566" s="1" t="s">
        <v>3337</v>
      </c>
      <c r="K566" s="1" t="s">
        <v>3338</v>
      </c>
      <c r="L566" t="s">
        <v>91</v>
      </c>
      <c r="M566" t="s">
        <v>91</v>
      </c>
      <c r="N566" s="1" t="s">
        <v>3339</v>
      </c>
      <c r="O566" t="s">
        <v>91</v>
      </c>
      <c r="P566" s="1" t="s">
        <v>3340</v>
      </c>
      <c r="Q566" s="1" t="s">
        <v>1592</v>
      </c>
      <c r="R566" s="1" t="s">
        <v>91</v>
      </c>
      <c r="S566">
        <v>1267</v>
      </c>
      <c r="T566">
        <v>88600000</v>
      </c>
      <c r="U566" s="1" t="s">
        <v>108</v>
      </c>
      <c r="V566" s="1" t="s">
        <v>3341</v>
      </c>
      <c r="W566" s="1" t="s">
        <v>87</v>
      </c>
      <c r="X566">
        <v>49</v>
      </c>
      <c r="Y566">
        <v>32330639</v>
      </c>
      <c r="Z566" t="s">
        <v>91</v>
      </c>
      <c r="AA566" t="s">
        <v>91</v>
      </c>
      <c r="AB566" t="s">
        <v>91</v>
      </c>
      <c r="AC566" t="s">
        <v>91</v>
      </c>
      <c r="AD566" t="s">
        <v>91</v>
      </c>
      <c r="AE566" t="s">
        <v>91</v>
      </c>
      <c r="AF566" t="s">
        <v>91</v>
      </c>
      <c r="AG566" s="1" t="s">
        <v>91</v>
      </c>
      <c r="AH566" s="1" t="s">
        <v>91</v>
      </c>
      <c r="AI566" t="s">
        <v>91</v>
      </c>
      <c r="AM566" t="s">
        <v>91</v>
      </c>
      <c r="AN566" t="s">
        <v>91</v>
      </c>
      <c r="AO566" t="s">
        <v>91</v>
      </c>
      <c r="AP566" t="s">
        <v>91</v>
      </c>
      <c r="AQ566" s="1" t="s">
        <v>91</v>
      </c>
      <c r="AR566" s="1" t="s">
        <v>91</v>
      </c>
      <c r="AS566" s="1" t="s">
        <v>91</v>
      </c>
      <c r="AT566" s="1" t="s">
        <v>91</v>
      </c>
      <c r="AU566" s="1" t="s">
        <v>91</v>
      </c>
      <c r="AV566" t="s">
        <v>91</v>
      </c>
      <c r="AW566" t="s">
        <v>91</v>
      </c>
      <c r="AX566" t="s">
        <v>91</v>
      </c>
      <c r="AY566" t="s">
        <v>91</v>
      </c>
      <c r="AZ566" t="s">
        <v>91</v>
      </c>
      <c r="BA566" t="s">
        <v>91</v>
      </c>
      <c r="BB566" s="2">
        <v>45118.097175925926</v>
      </c>
      <c r="BC566" s="2"/>
      <c r="BD566" t="s">
        <v>91</v>
      </c>
      <c r="BF566" s="1" t="s">
        <v>75</v>
      </c>
      <c r="BI566" s="1" t="s">
        <v>88</v>
      </c>
      <c r="BJ566">
        <v>1</v>
      </c>
      <c r="BK566" s="1" t="s">
        <v>89</v>
      </c>
      <c r="BL566" t="s">
        <v>91</v>
      </c>
      <c r="BM566" s="1" t="s">
        <v>91</v>
      </c>
      <c r="BN566" s="1" t="s">
        <v>91</v>
      </c>
      <c r="BO566" s="1" t="s">
        <v>91</v>
      </c>
      <c r="BP566" s="1" t="s">
        <v>91</v>
      </c>
      <c r="BQ566" t="s">
        <v>91</v>
      </c>
      <c r="BR566" s="3">
        <v>45118</v>
      </c>
      <c r="BS566" s="3"/>
      <c r="BT566" t="s">
        <v>91</v>
      </c>
      <c r="BU566" t="s">
        <v>91</v>
      </c>
      <c r="BW566" s="1" t="s">
        <v>90</v>
      </c>
    </row>
    <row r="567" spans="1:75" hidden="1" x14ac:dyDescent="0.35">
      <c r="A567">
        <v>135177</v>
      </c>
      <c r="B567" s="1" t="s">
        <v>75</v>
      </c>
      <c r="C567">
        <v>80</v>
      </c>
      <c r="D567">
        <v>11121002</v>
      </c>
      <c r="E567">
        <v>121002</v>
      </c>
      <c r="F567" s="1" t="s">
        <v>2915</v>
      </c>
      <c r="G567" s="1" t="s">
        <v>3342</v>
      </c>
      <c r="H567">
        <v>0</v>
      </c>
      <c r="I567" s="1" t="s">
        <v>78</v>
      </c>
      <c r="J567" s="1" t="s">
        <v>3343</v>
      </c>
      <c r="K567" s="1" t="s">
        <v>3344</v>
      </c>
      <c r="L567" t="s">
        <v>91</v>
      </c>
      <c r="M567" t="s">
        <v>91</v>
      </c>
      <c r="N567" s="1" t="s">
        <v>3345</v>
      </c>
      <c r="O567" t="s">
        <v>91</v>
      </c>
      <c r="P567" s="1" t="s">
        <v>726</v>
      </c>
      <c r="Q567" s="1" t="s">
        <v>3064</v>
      </c>
      <c r="R567" s="1" t="s">
        <v>3346</v>
      </c>
      <c r="S567">
        <v>1254</v>
      </c>
      <c r="T567">
        <v>88010000</v>
      </c>
      <c r="U567" s="1" t="s">
        <v>108</v>
      </c>
      <c r="V567" s="1" t="s">
        <v>2922</v>
      </c>
      <c r="W567" s="1" t="s">
        <v>87</v>
      </c>
      <c r="X567">
        <v>48</v>
      </c>
      <c r="Y567">
        <v>32259791</v>
      </c>
      <c r="Z567" t="s">
        <v>91</v>
      </c>
      <c r="AA567" t="s">
        <v>91</v>
      </c>
      <c r="AB567" t="s">
        <v>91</v>
      </c>
      <c r="AC567" t="s">
        <v>91</v>
      </c>
      <c r="AD567" t="s">
        <v>91</v>
      </c>
      <c r="AE567" t="s">
        <v>91</v>
      </c>
      <c r="AF567" t="s">
        <v>91</v>
      </c>
      <c r="AG567" s="1" t="s">
        <v>91</v>
      </c>
      <c r="AH567" s="1" t="s">
        <v>91</v>
      </c>
      <c r="AI567" t="s">
        <v>91</v>
      </c>
      <c r="AM567" t="s">
        <v>91</v>
      </c>
      <c r="AN567" t="s">
        <v>91</v>
      </c>
      <c r="AO567" t="s">
        <v>91</v>
      </c>
      <c r="AP567" t="s">
        <v>91</v>
      </c>
      <c r="AQ567" s="1" t="s">
        <v>91</v>
      </c>
      <c r="AR567" s="1" t="s">
        <v>91</v>
      </c>
      <c r="AS567" s="1" t="s">
        <v>91</v>
      </c>
      <c r="AT567" s="1" t="s">
        <v>91</v>
      </c>
      <c r="AU567" s="1" t="s">
        <v>91</v>
      </c>
      <c r="AV567" t="s">
        <v>91</v>
      </c>
      <c r="AW567" t="s">
        <v>91</v>
      </c>
      <c r="AX567" t="s">
        <v>91</v>
      </c>
      <c r="AY567" t="s">
        <v>91</v>
      </c>
      <c r="AZ567" t="s">
        <v>91</v>
      </c>
      <c r="BA567" t="s">
        <v>91</v>
      </c>
      <c r="BB567" s="2">
        <v>44316.427905092591</v>
      </c>
      <c r="BC567" s="2"/>
      <c r="BD567" t="s">
        <v>91</v>
      </c>
      <c r="BF567" s="1" t="s">
        <v>75</v>
      </c>
      <c r="BI567" s="1" t="s">
        <v>88</v>
      </c>
      <c r="BJ567">
        <v>1</v>
      </c>
      <c r="BK567" s="1" t="s">
        <v>89</v>
      </c>
      <c r="BL567" t="s">
        <v>91</v>
      </c>
      <c r="BM567" s="1" t="s">
        <v>164</v>
      </c>
      <c r="BN567" s="1" t="s">
        <v>110</v>
      </c>
      <c r="BO567" s="1" t="s">
        <v>165</v>
      </c>
      <c r="BP567" s="1" t="s">
        <v>91</v>
      </c>
      <c r="BQ567" t="s">
        <v>91</v>
      </c>
      <c r="BR567" s="3">
        <v>44316</v>
      </c>
      <c r="BS567" s="3"/>
      <c r="BT567" t="s">
        <v>91</v>
      </c>
      <c r="BU567" t="s">
        <v>91</v>
      </c>
      <c r="BW567" s="1" t="s">
        <v>804</v>
      </c>
    </row>
    <row r="568" spans="1:75" hidden="1" x14ac:dyDescent="0.35">
      <c r="A568">
        <v>151594</v>
      </c>
      <c r="B568" s="1" t="s">
        <v>75</v>
      </c>
      <c r="C568">
        <v>80</v>
      </c>
      <c r="D568">
        <v>11121002</v>
      </c>
      <c r="E568">
        <v>121002</v>
      </c>
      <c r="F568" s="1" t="s">
        <v>2915</v>
      </c>
      <c r="G568" s="1" t="s">
        <v>3347</v>
      </c>
      <c r="H568">
        <v>0</v>
      </c>
      <c r="I568" s="1" t="s">
        <v>78</v>
      </c>
      <c r="J568" s="1" t="s">
        <v>3348</v>
      </c>
      <c r="K568" s="1" t="s">
        <v>3349</v>
      </c>
      <c r="L568" t="s">
        <v>91</v>
      </c>
      <c r="M568" t="s">
        <v>91</v>
      </c>
      <c r="N568" s="1" t="s">
        <v>3350</v>
      </c>
      <c r="O568" t="s">
        <v>91</v>
      </c>
      <c r="P568" s="1" t="s">
        <v>3351</v>
      </c>
      <c r="Q568" s="1" t="s">
        <v>2327</v>
      </c>
      <c r="R568" s="1" t="s">
        <v>370</v>
      </c>
      <c r="S568">
        <v>1267</v>
      </c>
      <c r="T568">
        <v>88650000</v>
      </c>
      <c r="U568" s="1" t="s">
        <v>343</v>
      </c>
      <c r="V568" s="1" t="s">
        <v>3352</v>
      </c>
      <c r="W568" s="1" t="s">
        <v>87</v>
      </c>
      <c r="X568">
        <v>49</v>
      </c>
      <c r="Y568">
        <v>32784531</v>
      </c>
      <c r="Z568" t="s">
        <v>91</v>
      </c>
      <c r="AA568" t="s">
        <v>91</v>
      </c>
      <c r="AB568" t="s">
        <v>91</v>
      </c>
      <c r="AC568" t="s">
        <v>91</v>
      </c>
      <c r="AD568" t="s">
        <v>91</v>
      </c>
      <c r="AE568" t="s">
        <v>91</v>
      </c>
      <c r="AF568" t="s">
        <v>91</v>
      </c>
      <c r="AG568" s="1" t="s">
        <v>91</v>
      </c>
      <c r="AH568" s="1" t="s">
        <v>91</v>
      </c>
      <c r="AI568" t="s">
        <v>91</v>
      </c>
      <c r="AM568" t="s">
        <v>91</v>
      </c>
      <c r="AN568" t="s">
        <v>91</v>
      </c>
      <c r="AO568" t="s">
        <v>91</v>
      </c>
      <c r="AP568" t="s">
        <v>91</v>
      </c>
      <c r="AQ568" s="1" t="s">
        <v>91</v>
      </c>
      <c r="AR568" s="1" t="s">
        <v>91</v>
      </c>
      <c r="AS568" s="1" t="s">
        <v>91</v>
      </c>
      <c r="AT568" s="1" t="s">
        <v>91</v>
      </c>
      <c r="AU568" s="1" t="s">
        <v>91</v>
      </c>
      <c r="AV568" t="s">
        <v>91</v>
      </c>
      <c r="AW568" t="s">
        <v>91</v>
      </c>
      <c r="AX568" t="s">
        <v>91</v>
      </c>
      <c r="AY568" t="s">
        <v>91</v>
      </c>
      <c r="AZ568" t="s">
        <v>91</v>
      </c>
      <c r="BA568" t="s">
        <v>91</v>
      </c>
      <c r="BB568" s="2">
        <v>44862.597604166665</v>
      </c>
      <c r="BC568" s="2"/>
      <c r="BD568" t="s">
        <v>91</v>
      </c>
      <c r="BF568" s="1" t="s">
        <v>75</v>
      </c>
      <c r="BI568" s="1" t="s">
        <v>88</v>
      </c>
      <c r="BJ568">
        <v>1</v>
      </c>
      <c r="BK568" s="1" t="s">
        <v>89</v>
      </c>
      <c r="BL568" t="s">
        <v>91</v>
      </c>
      <c r="BM568" s="1" t="s">
        <v>91</v>
      </c>
      <c r="BN568" s="1" t="s">
        <v>91</v>
      </c>
      <c r="BO568" s="1" t="s">
        <v>91</v>
      </c>
      <c r="BP568" s="1" t="s">
        <v>91</v>
      </c>
      <c r="BQ568" t="s">
        <v>91</v>
      </c>
      <c r="BR568" s="3">
        <v>44862</v>
      </c>
      <c r="BS568" s="3"/>
      <c r="BT568" t="s">
        <v>91</v>
      </c>
      <c r="BU568" t="s">
        <v>91</v>
      </c>
      <c r="BW568" s="1" t="s">
        <v>295</v>
      </c>
    </row>
    <row r="569" spans="1:75" hidden="1" x14ac:dyDescent="0.35">
      <c r="A569">
        <v>120534</v>
      </c>
      <c r="B569" s="1" t="s">
        <v>75</v>
      </c>
      <c r="C569">
        <v>80</v>
      </c>
      <c r="D569">
        <v>11121002</v>
      </c>
      <c r="E569">
        <v>121002</v>
      </c>
      <c r="F569" s="1" t="s">
        <v>2915</v>
      </c>
      <c r="G569" s="1" t="s">
        <v>3353</v>
      </c>
      <c r="H569">
        <v>0</v>
      </c>
      <c r="I569" s="1" t="s">
        <v>78</v>
      </c>
      <c r="J569" s="1" t="s">
        <v>3354</v>
      </c>
      <c r="K569" s="1" t="s">
        <v>3355</v>
      </c>
      <c r="L569" t="s">
        <v>91</v>
      </c>
      <c r="M569" t="s">
        <v>91</v>
      </c>
      <c r="N569" s="1" t="s">
        <v>3356</v>
      </c>
      <c r="O569" t="s">
        <v>91</v>
      </c>
      <c r="P569" s="1" t="s">
        <v>3357</v>
      </c>
      <c r="Q569" s="1" t="s">
        <v>1394</v>
      </c>
      <c r="R569" s="1" t="s">
        <v>1411</v>
      </c>
      <c r="S569">
        <v>1268</v>
      </c>
      <c r="T569">
        <v>88790000</v>
      </c>
      <c r="U569" s="1" t="s">
        <v>3358</v>
      </c>
      <c r="V569" s="1" t="s">
        <v>2971</v>
      </c>
      <c r="W569" s="1" t="s">
        <v>87</v>
      </c>
      <c r="X569">
        <v>48</v>
      </c>
      <c r="Y569">
        <v>36441657</v>
      </c>
      <c r="Z569" t="s">
        <v>91</v>
      </c>
      <c r="AA569" t="s">
        <v>91</v>
      </c>
      <c r="AB569" t="s">
        <v>91</v>
      </c>
      <c r="AC569" t="s">
        <v>91</v>
      </c>
      <c r="AD569" t="s">
        <v>91</v>
      </c>
      <c r="AE569" t="s">
        <v>91</v>
      </c>
      <c r="AF569" t="s">
        <v>91</v>
      </c>
      <c r="AG569" s="1" t="s">
        <v>91</v>
      </c>
      <c r="AH569" s="1" t="s">
        <v>91</v>
      </c>
      <c r="AI569" t="s">
        <v>91</v>
      </c>
      <c r="AM569" t="s">
        <v>91</v>
      </c>
      <c r="AN569" t="s">
        <v>91</v>
      </c>
      <c r="AO569" t="s">
        <v>91</v>
      </c>
      <c r="AP569" t="s">
        <v>91</v>
      </c>
      <c r="AQ569" s="1" t="s">
        <v>91</v>
      </c>
      <c r="AR569" s="1" t="s">
        <v>91</v>
      </c>
      <c r="AS569" s="1" t="s">
        <v>91</v>
      </c>
      <c r="AT569" s="1" t="s">
        <v>91</v>
      </c>
      <c r="AU569" s="1" t="s">
        <v>91</v>
      </c>
      <c r="AV569" t="s">
        <v>91</v>
      </c>
      <c r="AW569" t="s">
        <v>91</v>
      </c>
      <c r="AX569" t="s">
        <v>91</v>
      </c>
      <c r="AY569" t="s">
        <v>91</v>
      </c>
      <c r="AZ569" t="s">
        <v>91</v>
      </c>
      <c r="BA569" t="s">
        <v>91</v>
      </c>
      <c r="BB569" s="2">
        <v>44096.645520833335</v>
      </c>
      <c r="BC569" s="2"/>
      <c r="BD569" t="s">
        <v>91</v>
      </c>
      <c r="BF569" s="1" t="s">
        <v>75</v>
      </c>
      <c r="BI569" s="1" t="s">
        <v>88</v>
      </c>
      <c r="BJ569">
        <v>1</v>
      </c>
      <c r="BK569" s="1" t="s">
        <v>89</v>
      </c>
      <c r="BL569" t="s">
        <v>91</v>
      </c>
      <c r="BM569" s="1" t="s">
        <v>109</v>
      </c>
      <c r="BN569" s="1" t="s">
        <v>110</v>
      </c>
      <c r="BO569" s="1" t="s">
        <v>165</v>
      </c>
      <c r="BP569" s="1" t="s">
        <v>91</v>
      </c>
      <c r="BQ569" t="s">
        <v>91</v>
      </c>
      <c r="BR569" s="3">
        <v>44096</v>
      </c>
      <c r="BS569" s="3"/>
      <c r="BT569" t="s">
        <v>91</v>
      </c>
      <c r="BU569" t="s">
        <v>91</v>
      </c>
      <c r="BV569">
        <v>6</v>
      </c>
      <c r="BW569" s="1" t="s">
        <v>90</v>
      </c>
    </row>
    <row r="570" spans="1:75" hidden="1" x14ac:dyDescent="0.35">
      <c r="A570">
        <v>306</v>
      </c>
      <c r="B570" s="1" t="s">
        <v>75</v>
      </c>
      <c r="C570">
        <v>80</v>
      </c>
      <c r="D570">
        <v>11121002</v>
      </c>
      <c r="E570">
        <v>121002</v>
      </c>
      <c r="F570" s="1" t="s">
        <v>2915</v>
      </c>
      <c r="G570" s="1" t="s">
        <v>3359</v>
      </c>
      <c r="I570" s="1" t="s">
        <v>78</v>
      </c>
      <c r="J570" s="1" t="s">
        <v>3360</v>
      </c>
      <c r="K570" s="1" t="s">
        <v>3361</v>
      </c>
      <c r="L570" t="s">
        <v>91</v>
      </c>
      <c r="M570" t="s">
        <v>91</v>
      </c>
      <c r="N570" s="1" t="s">
        <v>3362</v>
      </c>
      <c r="O570" t="s">
        <v>91</v>
      </c>
      <c r="P570" s="1" t="s">
        <v>3363</v>
      </c>
      <c r="Q570" s="1" t="s">
        <v>974</v>
      </c>
      <c r="R570" s="1" t="s">
        <v>3364</v>
      </c>
      <c r="S570">
        <v>1255</v>
      </c>
      <c r="T570">
        <v>88015900</v>
      </c>
      <c r="U570" s="1" t="s">
        <v>108</v>
      </c>
      <c r="V570" s="1" t="s">
        <v>3102</v>
      </c>
      <c r="W570" s="1" t="s">
        <v>87</v>
      </c>
      <c r="X570">
        <v>48</v>
      </c>
      <c r="Y570">
        <v>30245501</v>
      </c>
      <c r="Z570" t="s">
        <v>91</v>
      </c>
      <c r="AA570" t="s">
        <v>91</v>
      </c>
      <c r="AB570" t="s">
        <v>91</v>
      </c>
      <c r="AC570" t="s">
        <v>91</v>
      </c>
      <c r="AD570" t="s">
        <v>91</v>
      </c>
      <c r="AE570" t="s">
        <v>91</v>
      </c>
      <c r="AF570" t="s">
        <v>91</v>
      </c>
      <c r="AG570" s="1" t="s">
        <v>91</v>
      </c>
      <c r="AH570" s="1" t="s">
        <v>91</v>
      </c>
      <c r="AI570" t="s">
        <v>91</v>
      </c>
      <c r="AJ570">
        <v>0</v>
      </c>
      <c r="AK570">
        <v>0</v>
      </c>
      <c r="AL570">
        <v>0</v>
      </c>
      <c r="AM570" t="s">
        <v>91</v>
      </c>
      <c r="AN570" t="s">
        <v>91</v>
      </c>
      <c r="AO570" t="s">
        <v>91</v>
      </c>
      <c r="AP570" t="s">
        <v>91</v>
      </c>
      <c r="AQ570" s="1" t="s">
        <v>91</v>
      </c>
      <c r="AR570" s="1" t="s">
        <v>91</v>
      </c>
      <c r="AS570" s="1" t="s">
        <v>91</v>
      </c>
      <c r="AT570" s="1" t="s">
        <v>91</v>
      </c>
      <c r="AU570" s="1" t="s">
        <v>91</v>
      </c>
      <c r="AV570" t="s">
        <v>91</v>
      </c>
      <c r="AW570" t="s">
        <v>91</v>
      </c>
      <c r="AX570" t="s">
        <v>91</v>
      </c>
      <c r="AY570" t="s">
        <v>91</v>
      </c>
      <c r="AZ570" t="s">
        <v>91</v>
      </c>
      <c r="BA570" t="s">
        <v>91</v>
      </c>
      <c r="BB570" s="2">
        <v>43308.392789351848</v>
      </c>
      <c r="BC570" s="2"/>
      <c r="BD570" t="s">
        <v>91</v>
      </c>
      <c r="BE570">
        <v>306</v>
      </c>
      <c r="BF570" s="1" t="s">
        <v>75</v>
      </c>
      <c r="BG570">
        <v>0</v>
      </c>
      <c r="BH570">
        <v>0</v>
      </c>
      <c r="BI570" s="1" t="s">
        <v>88</v>
      </c>
      <c r="BJ570">
        <v>1</v>
      </c>
      <c r="BK570" s="1" t="s">
        <v>89</v>
      </c>
      <c r="BL570" t="s">
        <v>91</v>
      </c>
      <c r="BM570" s="1" t="s">
        <v>197</v>
      </c>
      <c r="BN570" s="1" t="s">
        <v>110</v>
      </c>
      <c r="BO570" s="1" t="s">
        <v>165</v>
      </c>
      <c r="BP570" s="1" t="s">
        <v>91</v>
      </c>
      <c r="BQ570" t="s">
        <v>91</v>
      </c>
      <c r="BR570" s="3">
        <v>43308</v>
      </c>
      <c r="BS570" s="3"/>
      <c r="BT570" t="s">
        <v>91</v>
      </c>
      <c r="BU570" t="s">
        <v>91</v>
      </c>
      <c r="BV570">
        <v>1</v>
      </c>
      <c r="BW570" s="1" t="s">
        <v>90</v>
      </c>
    </row>
    <row r="571" spans="1:75" hidden="1" x14ac:dyDescent="0.35">
      <c r="A571">
        <v>134240</v>
      </c>
      <c r="B571" s="1" t="s">
        <v>75</v>
      </c>
      <c r="C571">
        <v>80</v>
      </c>
      <c r="D571">
        <v>11121002</v>
      </c>
      <c r="E571">
        <v>121002</v>
      </c>
      <c r="F571" s="1" t="s">
        <v>2915</v>
      </c>
      <c r="G571" s="1" t="s">
        <v>3365</v>
      </c>
      <c r="I571" s="1" t="s">
        <v>78</v>
      </c>
      <c r="J571" s="1" t="s">
        <v>3366</v>
      </c>
      <c r="K571" s="1" t="s">
        <v>3367</v>
      </c>
      <c r="L571" t="s">
        <v>91</v>
      </c>
      <c r="M571" t="s">
        <v>91</v>
      </c>
      <c r="N571" s="1" t="s">
        <v>3368</v>
      </c>
      <c r="O571" t="s">
        <v>91</v>
      </c>
      <c r="P571" s="1" t="s">
        <v>2920</v>
      </c>
      <c r="Q571" s="1" t="s">
        <v>1912</v>
      </c>
      <c r="R571" s="1" t="s">
        <v>254</v>
      </c>
      <c r="S571">
        <v>1254</v>
      </c>
      <c r="T571">
        <v>88010020</v>
      </c>
      <c r="U571" s="1" t="s">
        <v>108</v>
      </c>
      <c r="V571" s="1" t="s">
        <v>3102</v>
      </c>
      <c r="W571" s="1" t="s">
        <v>87</v>
      </c>
      <c r="X571">
        <v>48</v>
      </c>
      <c r="Y571">
        <v>30245502</v>
      </c>
      <c r="Z571" t="s">
        <v>91</v>
      </c>
      <c r="AA571" t="s">
        <v>91</v>
      </c>
      <c r="AB571" t="s">
        <v>91</v>
      </c>
      <c r="AC571" t="s">
        <v>91</v>
      </c>
      <c r="AD571" t="s">
        <v>91</v>
      </c>
      <c r="AE571" t="s">
        <v>91</v>
      </c>
      <c r="AF571" t="s">
        <v>91</v>
      </c>
      <c r="AG571" s="1" t="s">
        <v>146</v>
      </c>
      <c r="AH571" s="1" t="s">
        <v>91</v>
      </c>
      <c r="AI571" t="s">
        <v>91</v>
      </c>
      <c r="AJ571">
        <v>0</v>
      </c>
      <c r="AK571">
        <v>0</v>
      </c>
      <c r="AL571">
        <v>0</v>
      </c>
      <c r="AM571" t="s">
        <v>91</v>
      </c>
      <c r="AN571" t="s">
        <v>91</v>
      </c>
      <c r="AO571" t="s">
        <v>91</v>
      </c>
      <c r="AP571" t="s">
        <v>91</v>
      </c>
      <c r="AQ571" s="1" t="s">
        <v>147</v>
      </c>
      <c r="AR571" s="1" t="s">
        <v>147</v>
      </c>
      <c r="AS571" s="1" t="s">
        <v>147</v>
      </c>
      <c r="AT571" s="1" t="s">
        <v>147</v>
      </c>
      <c r="AU571" s="1" t="s">
        <v>147</v>
      </c>
      <c r="AV571" t="s">
        <v>91</v>
      </c>
      <c r="AW571" t="s">
        <v>91</v>
      </c>
      <c r="AX571" t="s">
        <v>91</v>
      </c>
      <c r="AY571" t="s">
        <v>91</v>
      </c>
      <c r="AZ571" t="s">
        <v>91</v>
      </c>
      <c r="BA571" t="s">
        <v>91</v>
      </c>
      <c r="BB571" s="2"/>
      <c r="BC571" s="2">
        <v>44557.671041666668</v>
      </c>
      <c r="BD571" t="s">
        <v>91</v>
      </c>
      <c r="BF571" s="1" t="s">
        <v>75</v>
      </c>
      <c r="BG571">
        <v>0</v>
      </c>
      <c r="BH571">
        <v>0</v>
      </c>
      <c r="BI571" s="1" t="s">
        <v>88</v>
      </c>
      <c r="BJ571">
        <v>1</v>
      </c>
      <c r="BK571" s="1" t="s">
        <v>89</v>
      </c>
      <c r="BL571" t="s">
        <v>91</v>
      </c>
      <c r="BM571" s="1" t="s">
        <v>109</v>
      </c>
      <c r="BN571" s="1" t="s">
        <v>110</v>
      </c>
      <c r="BO571" s="1" t="s">
        <v>165</v>
      </c>
      <c r="BP571" s="1" t="s">
        <v>91</v>
      </c>
      <c r="BQ571" t="s">
        <v>91</v>
      </c>
      <c r="BR571" s="3"/>
      <c r="BS571" s="3">
        <v>44557</v>
      </c>
      <c r="BT571" t="s">
        <v>91</v>
      </c>
      <c r="BU571" t="s">
        <v>91</v>
      </c>
      <c r="BV571">
        <v>1</v>
      </c>
      <c r="BW571" s="1" t="s">
        <v>3369</v>
      </c>
    </row>
    <row r="572" spans="1:75" hidden="1" x14ac:dyDescent="0.35">
      <c r="A572">
        <v>151774</v>
      </c>
      <c r="B572" s="1" t="s">
        <v>75</v>
      </c>
      <c r="C572">
        <v>80</v>
      </c>
      <c r="D572">
        <v>11121002</v>
      </c>
      <c r="E572">
        <v>121002</v>
      </c>
      <c r="F572" s="1" t="s">
        <v>2915</v>
      </c>
      <c r="G572" s="1" t="s">
        <v>3370</v>
      </c>
      <c r="H572">
        <v>0</v>
      </c>
      <c r="I572" s="1" t="s">
        <v>78</v>
      </c>
      <c r="J572" s="1" t="s">
        <v>3371</v>
      </c>
      <c r="K572" s="1" t="s">
        <v>3372</v>
      </c>
      <c r="L572" t="s">
        <v>91</v>
      </c>
      <c r="M572" t="s">
        <v>91</v>
      </c>
      <c r="N572" s="1" t="s">
        <v>3373</v>
      </c>
      <c r="O572" t="s">
        <v>91</v>
      </c>
      <c r="P572" s="1" t="s">
        <v>3374</v>
      </c>
      <c r="Q572" s="1" t="s">
        <v>3375</v>
      </c>
      <c r="R572" s="1" t="s">
        <v>3376</v>
      </c>
      <c r="S572">
        <v>1269</v>
      </c>
      <c r="T572">
        <v>88801505</v>
      </c>
      <c r="U572" s="1" t="s">
        <v>108</v>
      </c>
      <c r="V572" s="1" t="s">
        <v>3231</v>
      </c>
      <c r="W572" s="1" t="s">
        <v>87</v>
      </c>
      <c r="X572">
        <v>48</v>
      </c>
      <c r="Y572">
        <v>991229977</v>
      </c>
      <c r="Z572" t="s">
        <v>91</v>
      </c>
      <c r="AA572" t="s">
        <v>91</v>
      </c>
      <c r="AB572" t="s">
        <v>91</v>
      </c>
      <c r="AC572" t="s">
        <v>91</v>
      </c>
      <c r="AD572" t="s">
        <v>91</v>
      </c>
      <c r="AE572" t="s">
        <v>91</v>
      </c>
      <c r="AF572" t="s">
        <v>91</v>
      </c>
      <c r="AG572" s="1" t="s">
        <v>91</v>
      </c>
      <c r="AH572" s="1" t="s">
        <v>91</v>
      </c>
      <c r="AI572" t="s">
        <v>91</v>
      </c>
      <c r="AJ572">
        <v>0</v>
      </c>
      <c r="AK572">
        <v>0</v>
      </c>
      <c r="AL572">
        <v>0</v>
      </c>
      <c r="AM572" t="s">
        <v>91</v>
      </c>
      <c r="AN572" t="s">
        <v>91</v>
      </c>
      <c r="AO572" t="s">
        <v>91</v>
      </c>
      <c r="AP572" t="s">
        <v>91</v>
      </c>
      <c r="AQ572" s="1" t="s">
        <v>91</v>
      </c>
      <c r="AR572" s="1" t="s">
        <v>91</v>
      </c>
      <c r="AS572" s="1" t="s">
        <v>91</v>
      </c>
      <c r="AT572" s="1" t="s">
        <v>91</v>
      </c>
      <c r="AU572" s="1" t="s">
        <v>91</v>
      </c>
      <c r="AV572" t="s">
        <v>91</v>
      </c>
      <c r="AW572" t="s">
        <v>91</v>
      </c>
      <c r="AX572" t="s">
        <v>91</v>
      </c>
      <c r="AY572" t="s">
        <v>91</v>
      </c>
      <c r="AZ572" t="s">
        <v>91</v>
      </c>
      <c r="BA572" t="s">
        <v>91</v>
      </c>
      <c r="BB572" s="2">
        <v>44952.603854166664</v>
      </c>
      <c r="BC572" s="2"/>
      <c r="BD572" t="s">
        <v>91</v>
      </c>
      <c r="BF572" s="1" t="s">
        <v>75</v>
      </c>
      <c r="BG572">
        <v>0</v>
      </c>
      <c r="BH572">
        <v>0</v>
      </c>
      <c r="BI572" s="1" t="s">
        <v>88</v>
      </c>
      <c r="BJ572">
        <v>1</v>
      </c>
      <c r="BK572" s="1" t="s">
        <v>89</v>
      </c>
      <c r="BL572" t="s">
        <v>91</v>
      </c>
      <c r="BM572" s="1" t="s">
        <v>109</v>
      </c>
      <c r="BN572" s="1" t="s">
        <v>91</v>
      </c>
      <c r="BO572" s="1" t="s">
        <v>91</v>
      </c>
      <c r="BP572" s="1" t="s">
        <v>91</v>
      </c>
      <c r="BQ572" t="s">
        <v>91</v>
      </c>
      <c r="BR572" s="3">
        <v>44952</v>
      </c>
      <c r="BS572" s="3"/>
      <c r="BT572" t="s">
        <v>91</v>
      </c>
      <c r="BU572" t="s">
        <v>91</v>
      </c>
      <c r="BW572" s="1" t="s">
        <v>90</v>
      </c>
    </row>
    <row r="573" spans="1:75" hidden="1" x14ac:dyDescent="0.35">
      <c r="A573">
        <v>134286</v>
      </c>
      <c r="B573" s="1" t="s">
        <v>75</v>
      </c>
      <c r="C573">
        <v>80</v>
      </c>
      <c r="D573">
        <v>11121002</v>
      </c>
      <c r="E573">
        <v>121002</v>
      </c>
      <c r="F573" s="1" t="s">
        <v>2915</v>
      </c>
      <c r="G573" s="1" t="s">
        <v>3377</v>
      </c>
      <c r="I573" s="1" t="s">
        <v>78</v>
      </c>
      <c r="J573" s="1" t="s">
        <v>3378</v>
      </c>
      <c r="K573" s="1" t="s">
        <v>3379</v>
      </c>
      <c r="L573" t="s">
        <v>91</v>
      </c>
      <c r="M573" t="s">
        <v>91</v>
      </c>
      <c r="N573" s="1" t="s">
        <v>3380</v>
      </c>
      <c r="O573" t="s">
        <v>91</v>
      </c>
      <c r="P573" s="1" t="s">
        <v>3381</v>
      </c>
      <c r="Q573" s="1" t="s">
        <v>3382</v>
      </c>
      <c r="R573" s="1" t="s">
        <v>3383</v>
      </c>
      <c r="S573">
        <v>1259</v>
      </c>
      <c r="T573">
        <v>88130301</v>
      </c>
      <c r="U573" s="1" t="s">
        <v>3249</v>
      </c>
      <c r="V573" s="1" t="s">
        <v>3165</v>
      </c>
      <c r="W573" s="1" t="s">
        <v>87</v>
      </c>
      <c r="X573">
        <v>48</v>
      </c>
      <c r="Y573">
        <v>30335566</v>
      </c>
      <c r="Z573" t="s">
        <v>91</v>
      </c>
      <c r="AA573" t="s">
        <v>91</v>
      </c>
      <c r="AB573" t="s">
        <v>91</v>
      </c>
      <c r="AC573" t="s">
        <v>91</v>
      </c>
      <c r="AD573" t="s">
        <v>91</v>
      </c>
      <c r="AE573" t="s">
        <v>91</v>
      </c>
      <c r="AF573" t="s">
        <v>91</v>
      </c>
      <c r="AG573" s="1" t="s">
        <v>146</v>
      </c>
      <c r="AH573" s="1" t="s">
        <v>91</v>
      </c>
      <c r="AI573" t="s">
        <v>91</v>
      </c>
      <c r="AJ573">
        <v>0</v>
      </c>
      <c r="AK573">
        <v>0</v>
      </c>
      <c r="AL573">
        <v>0</v>
      </c>
      <c r="AM573" t="s">
        <v>91</v>
      </c>
      <c r="AN573" t="s">
        <v>91</v>
      </c>
      <c r="AO573" t="s">
        <v>91</v>
      </c>
      <c r="AP573" t="s">
        <v>91</v>
      </c>
      <c r="AQ573" s="1" t="s">
        <v>147</v>
      </c>
      <c r="AR573" s="1" t="s">
        <v>147</v>
      </c>
      <c r="AS573" s="1" t="s">
        <v>147</v>
      </c>
      <c r="AT573" s="1" t="s">
        <v>147</v>
      </c>
      <c r="AU573" s="1" t="s">
        <v>147</v>
      </c>
      <c r="AV573" t="s">
        <v>91</v>
      </c>
      <c r="AW573" t="s">
        <v>91</v>
      </c>
      <c r="AX573" t="s">
        <v>91</v>
      </c>
      <c r="AY573" t="s">
        <v>91</v>
      </c>
      <c r="AZ573" t="s">
        <v>91</v>
      </c>
      <c r="BA573" t="s">
        <v>91</v>
      </c>
      <c r="BB573" s="2"/>
      <c r="BC573" s="2">
        <v>44685.378564814811</v>
      </c>
      <c r="BD573" t="s">
        <v>91</v>
      </c>
      <c r="BF573" s="1" t="s">
        <v>75</v>
      </c>
      <c r="BG573">
        <v>0</v>
      </c>
      <c r="BH573">
        <v>0</v>
      </c>
      <c r="BI573" s="1" t="s">
        <v>88</v>
      </c>
      <c r="BJ573">
        <v>1</v>
      </c>
      <c r="BK573" s="1" t="s">
        <v>89</v>
      </c>
      <c r="BL573" t="s">
        <v>91</v>
      </c>
      <c r="BM573" s="1" t="s">
        <v>329</v>
      </c>
      <c r="BN573" s="1" t="s">
        <v>110</v>
      </c>
      <c r="BO573" s="1" t="s">
        <v>165</v>
      </c>
      <c r="BP573" s="1" t="s">
        <v>91</v>
      </c>
      <c r="BQ573" t="s">
        <v>91</v>
      </c>
      <c r="BR573" s="3"/>
      <c r="BS573" s="3">
        <v>44685</v>
      </c>
      <c r="BT573" t="s">
        <v>91</v>
      </c>
      <c r="BU573" t="s">
        <v>91</v>
      </c>
      <c r="BV573">
        <v>1</v>
      </c>
      <c r="BW573" s="1" t="s">
        <v>589</v>
      </c>
    </row>
    <row r="574" spans="1:75" hidden="1" x14ac:dyDescent="0.35">
      <c r="A574">
        <v>152768</v>
      </c>
      <c r="B574" s="1" t="s">
        <v>75</v>
      </c>
      <c r="C574">
        <v>80</v>
      </c>
      <c r="D574">
        <v>11121002</v>
      </c>
      <c r="E574">
        <v>121002</v>
      </c>
      <c r="F574" s="1" t="s">
        <v>2915</v>
      </c>
      <c r="G574" s="1" t="s">
        <v>3384</v>
      </c>
      <c r="H574">
        <v>0</v>
      </c>
      <c r="I574" s="1" t="s">
        <v>78</v>
      </c>
      <c r="J574" s="1" t="s">
        <v>3385</v>
      </c>
      <c r="K574" s="1" t="s">
        <v>3386</v>
      </c>
      <c r="L574" t="s">
        <v>91</v>
      </c>
      <c r="M574" t="s">
        <v>91</v>
      </c>
      <c r="N574" s="1" t="s">
        <v>3387</v>
      </c>
      <c r="O574" t="s">
        <v>91</v>
      </c>
      <c r="P574" s="1" t="s">
        <v>3388</v>
      </c>
      <c r="Q574" s="1" t="s">
        <v>3389</v>
      </c>
      <c r="R574" s="1" t="s">
        <v>3390</v>
      </c>
      <c r="S574">
        <v>1258</v>
      </c>
      <c r="T574">
        <v>88075301</v>
      </c>
      <c r="U574" s="1" t="s">
        <v>3391</v>
      </c>
      <c r="V574" s="1" t="s">
        <v>2922</v>
      </c>
      <c r="W574" s="1" t="s">
        <v>87</v>
      </c>
      <c r="Z574" t="s">
        <v>91</v>
      </c>
      <c r="AA574" t="s">
        <v>91</v>
      </c>
      <c r="AB574" t="s">
        <v>91</v>
      </c>
      <c r="AC574" t="s">
        <v>91</v>
      </c>
      <c r="AD574" t="s">
        <v>91</v>
      </c>
      <c r="AE574" t="s">
        <v>91</v>
      </c>
      <c r="AF574" t="s">
        <v>91</v>
      </c>
      <c r="AG574" s="1" t="s">
        <v>91</v>
      </c>
      <c r="AH574" s="1" t="s">
        <v>91</v>
      </c>
      <c r="AI574" t="s">
        <v>91</v>
      </c>
      <c r="AM574" t="s">
        <v>91</v>
      </c>
      <c r="AN574" t="s">
        <v>91</v>
      </c>
      <c r="AO574" t="s">
        <v>91</v>
      </c>
      <c r="AP574" t="s">
        <v>91</v>
      </c>
      <c r="AQ574" s="1" t="s">
        <v>91</v>
      </c>
      <c r="AR574" s="1" t="s">
        <v>91</v>
      </c>
      <c r="AS574" s="1" t="s">
        <v>91</v>
      </c>
      <c r="AT574" s="1" t="s">
        <v>91</v>
      </c>
      <c r="AU574" s="1" t="s">
        <v>91</v>
      </c>
      <c r="AV574" t="s">
        <v>91</v>
      </c>
      <c r="AW574" t="s">
        <v>91</v>
      </c>
      <c r="AX574" t="s">
        <v>91</v>
      </c>
      <c r="AY574" t="s">
        <v>91</v>
      </c>
      <c r="AZ574" t="s">
        <v>91</v>
      </c>
      <c r="BA574" t="s">
        <v>91</v>
      </c>
      <c r="BB574" s="2">
        <v>45019.565613425926</v>
      </c>
      <c r="BC574" s="2"/>
      <c r="BD574" t="s">
        <v>91</v>
      </c>
      <c r="BF574" s="1" t="s">
        <v>75</v>
      </c>
      <c r="BI574" s="1" t="s">
        <v>88</v>
      </c>
      <c r="BJ574">
        <v>1</v>
      </c>
      <c r="BK574" s="1" t="s">
        <v>89</v>
      </c>
      <c r="BL574" t="s">
        <v>91</v>
      </c>
      <c r="BM574" s="1" t="s">
        <v>91</v>
      </c>
      <c r="BN574" s="1" t="s">
        <v>91</v>
      </c>
      <c r="BO574" s="1" t="s">
        <v>91</v>
      </c>
      <c r="BP574" s="1" t="s">
        <v>91</v>
      </c>
      <c r="BQ574" t="s">
        <v>91</v>
      </c>
      <c r="BR574" s="3">
        <v>45019</v>
      </c>
      <c r="BS574" s="3"/>
      <c r="BT574" t="s">
        <v>91</v>
      </c>
      <c r="BU574" t="s">
        <v>91</v>
      </c>
      <c r="BW574" s="1" t="s">
        <v>1899</v>
      </c>
    </row>
    <row r="575" spans="1:75" hidden="1" x14ac:dyDescent="0.35">
      <c r="A575">
        <v>157682</v>
      </c>
      <c r="B575" s="1" t="s">
        <v>75</v>
      </c>
      <c r="C575">
        <v>80</v>
      </c>
      <c r="D575">
        <v>11121002</v>
      </c>
      <c r="E575">
        <v>121002</v>
      </c>
      <c r="F575" s="1" t="s">
        <v>2915</v>
      </c>
      <c r="G575" s="1" t="s">
        <v>3392</v>
      </c>
      <c r="H575">
        <v>0</v>
      </c>
      <c r="I575" s="1" t="s">
        <v>78</v>
      </c>
      <c r="J575" s="1" t="s">
        <v>3393</v>
      </c>
      <c r="K575" s="1" t="s">
        <v>3394</v>
      </c>
      <c r="L575" t="s">
        <v>91</v>
      </c>
      <c r="M575" t="s">
        <v>91</v>
      </c>
      <c r="N575" s="1" t="s">
        <v>3395</v>
      </c>
      <c r="O575" t="s">
        <v>91</v>
      </c>
      <c r="P575" s="1" t="s">
        <v>3396</v>
      </c>
      <c r="Q575" s="1" t="s">
        <v>3397</v>
      </c>
      <c r="R575" s="1" t="s">
        <v>3398</v>
      </c>
      <c r="S575">
        <v>1258</v>
      </c>
      <c r="T575">
        <v>88085480</v>
      </c>
      <c r="U575" s="1" t="s">
        <v>3399</v>
      </c>
      <c r="V575" s="1" t="s">
        <v>2922</v>
      </c>
      <c r="W575" s="1" t="s">
        <v>87</v>
      </c>
      <c r="X575">
        <v>48</v>
      </c>
      <c r="Y575">
        <v>32070398</v>
      </c>
      <c r="Z575" t="s">
        <v>91</v>
      </c>
      <c r="AA575" t="s">
        <v>91</v>
      </c>
      <c r="AB575" t="s">
        <v>91</v>
      </c>
      <c r="AC575" t="s">
        <v>91</v>
      </c>
      <c r="AD575" t="s">
        <v>91</v>
      </c>
      <c r="AE575" t="s">
        <v>91</v>
      </c>
      <c r="AF575" t="s">
        <v>91</v>
      </c>
      <c r="AG575" s="1" t="s">
        <v>91</v>
      </c>
      <c r="AH575" s="1" t="s">
        <v>91</v>
      </c>
      <c r="AI575" t="s">
        <v>91</v>
      </c>
      <c r="AM575" t="s">
        <v>91</v>
      </c>
      <c r="AN575" t="s">
        <v>91</v>
      </c>
      <c r="AO575" t="s">
        <v>91</v>
      </c>
      <c r="AP575" t="s">
        <v>91</v>
      </c>
      <c r="AQ575" s="1" t="s">
        <v>91</v>
      </c>
      <c r="AR575" s="1" t="s">
        <v>91</v>
      </c>
      <c r="AS575" s="1" t="s">
        <v>91</v>
      </c>
      <c r="AT575" s="1" t="s">
        <v>91</v>
      </c>
      <c r="AU575" s="1" t="s">
        <v>91</v>
      </c>
      <c r="AV575" t="s">
        <v>91</v>
      </c>
      <c r="AW575" t="s">
        <v>91</v>
      </c>
      <c r="AX575" t="s">
        <v>91</v>
      </c>
      <c r="AY575" t="s">
        <v>91</v>
      </c>
      <c r="AZ575" t="s">
        <v>91</v>
      </c>
      <c r="BA575" t="s">
        <v>91</v>
      </c>
      <c r="BB575" s="2">
        <v>45118.097175925926</v>
      </c>
      <c r="BC575" s="2"/>
      <c r="BD575" t="s">
        <v>91</v>
      </c>
      <c r="BF575" s="1" t="s">
        <v>75</v>
      </c>
      <c r="BI575" s="1" t="s">
        <v>88</v>
      </c>
      <c r="BJ575">
        <v>1</v>
      </c>
      <c r="BK575" s="1" t="s">
        <v>89</v>
      </c>
      <c r="BL575" t="s">
        <v>91</v>
      </c>
      <c r="BM575" s="1" t="s">
        <v>91</v>
      </c>
      <c r="BN575" s="1" t="s">
        <v>91</v>
      </c>
      <c r="BO575" s="1" t="s">
        <v>91</v>
      </c>
      <c r="BP575" s="1" t="s">
        <v>91</v>
      </c>
      <c r="BQ575" t="s">
        <v>91</v>
      </c>
      <c r="BR575" s="3">
        <v>45118</v>
      </c>
      <c r="BS575" s="3"/>
      <c r="BT575" t="s">
        <v>91</v>
      </c>
      <c r="BU575" t="s">
        <v>91</v>
      </c>
      <c r="BW575" s="1" t="s">
        <v>90</v>
      </c>
    </row>
    <row r="576" spans="1:75" hidden="1" x14ac:dyDescent="0.35">
      <c r="A576">
        <v>157705</v>
      </c>
      <c r="B576" s="1" t="s">
        <v>75</v>
      </c>
      <c r="C576">
        <v>80</v>
      </c>
      <c r="D576">
        <v>11121002</v>
      </c>
      <c r="E576">
        <v>121002</v>
      </c>
      <c r="F576" s="1" t="s">
        <v>2915</v>
      </c>
      <c r="G576" s="1" t="s">
        <v>3400</v>
      </c>
      <c r="H576">
        <v>0</v>
      </c>
      <c r="I576" s="1" t="s">
        <v>78</v>
      </c>
      <c r="J576" s="1" t="s">
        <v>3401</v>
      </c>
      <c r="K576" s="1" t="s">
        <v>3402</v>
      </c>
      <c r="L576" t="s">
        <v>91</v>
      </c>
      <c r="M576" t="s">
        <v>91</v>
      </c>
      <c r="N576" s="1" t="s">
        <v>3030</v>
      </c>
      <c r="O576" t="s">
        <v>91</v>
      </c>
      <c r="P576" s="1" t="s">
        <v>3403</v>
      </c>
      <c r="Q576" s="1" t="s">
        <v>456</v>
      </c>
      <c r="R576" s="1" t="s">
        <v>3404</v>
      </c>
      <c r="S576">
        <v>1259</v>
      </c>
      <c r="T576">
        <v>88104800</v>
      </c>
      <c r="U576" s="1" t="s">
        <v>3405</v>
      </c>
      <c r="V576" s="1" t="s">
        <v>2958</v>
      </c>
      <c r="W576" s="1" t="s">
        <v>87</v>
      </c>
      <c r="X576">
        <v>48</v>
      </c>
      <c r="Y576">
        <v>30949213</v>
      </c>
      <c r="Z576" t="s">
        <v>91</v>
      </c>
      <c r="AA576" t="s">
        <v>91</v>
      </c>
      <c r="AB576" t="s">
        <v>91</v>
      </c>
      <c r="AC576" t="s">
        <v>91</v>
      </c>
      <c r="AD576" t="s">
        <v>91</v>
      </c>
      <c r="AE576" t="s">
        <v>91</v>
      </c>
      <c r="AF576" t="s">
        <v>91</v>
      </c>
      <c r="AG576" s="1" t="s">
        <v>91</v>
      </c>
      <c r="AH576" s="1" t="s">
        <v>91</v>
      </c>
      <c r="AI576" t="s">
        <v>91</v>
      </c>
      <c r="AM576" t="s">
        <v>91</v>
      </c>
      <c r="AN576" t="s">
        <v>91</v>
      </c>
      <c r="AO576" t="s">
        <v>91</v>
      </c>
      <c r="AP576" t="s">
        <v>91</v>
      </c>
      <c r="AQ576" s="1" t="s">
        <v>91</v>
      </c>
      <c r="AR576" s="1" t="s">
        <v>91</v>
      </c>
      <c r="AS576" s="1" t="s">
        <v>91</v>
      </c>
      <c r="AT576" s="1" t="s">
        <v>91</v>
      </c>
      <c r="AU576" s="1" t="s">
        <v>91</v>
      </c>
      <c r="AV576" t="s">
        <v>91</v>
      </c>
      <c r="AW576" t="s">
        <v>91</v>
      </c>
      <c r="AX576" t="s">
        <v>91</v>
      </c>
      <c r="AY576" t="s">
        <v>91</v>
      </c>
      <c r="AZ576" t="s">
        <v>91</v>
      </c>
      <c r="BA576" t="s">
        <v>91</v>
      </c>
      <c r="BB576" s="2">
        <v>45118.097175925926</v>
      </c>
      <c r="BC576" s="2"/>
      <c r="BD576" t="s">
        <v>91</v>
      </c>
      <c r="BF576" s="1" t="s">
        <v>75</v>
      </c>
      <c r="BI576" s="1" t="s">
        <v>88</v>
      </c>
      <c r="BJ576">
        <v>1</v>
      </c>
      <c r="BK576" s="1" t="s">
        <v>89</v>
      </c>
      <c r="BL576" t="s">
        <v>91</v>
      </c>
      <c r="BM576" s="1" t="s">
        <v>91</v>
      </c>
      <c r="BN576" s="1" t="s">
        <v>91</v>
      </c>
      <c r="BO576" s="1" t="s">
        <v>91</v>
      </c>
      <c r="BP576" s="1" t="s">
        <v>91</v>
      </c>
      <c r="BQ576" t="s">
        <v>91</v>
      </c>
      <c r="BR576" s="3">
        <v>45118</v>
      </c>
      <c r="BS576" s="3"/>
      <c r="BT576" t="s">
        <v>91</v>
      </c>
      <c r="BU576" t="s">
        <v>91</v>
      </c>
      <c r="BW576" s="1" t="s">
        <v>3406</v>
      </c>
    </row>
    <row r="577" spans="1:75" hidden="1" x14ac:dyDescent="0.35">
      <c r="A577">
        <v>144380</v>
      </c>
      <c r="B577" s="1" t="s">
        <v>75</v>
      </c>
      <c r="C577">
        <v>80</v>
      </c>
      <c r="D577">
        <v>11121002</v>
      </c>
      <c r="E577">
        <v>121002</v>
      </c>
      <c r="F577" s="1" t="s">
        <v>2915</v>
      </c>
      <c r="G577" s="1" t="s">
        <v>3407</v>
      </c>
      <c r="I577" s="1" t="s">
        <v>78</v>
      </c>
      <c r="J577" s="1" t="s">
        <v>3408</v>
      </c>
      <c r="K577" s="1" t="s">
        <v>3409</v>
      </c>
      <c r="L577" t="s">
        <v>91</v>
      </c>
      <c r="M577" t="s">
        <v>91</v>
      </c>
      <c r="N577" s="1" t="s">
        <v>3410</v>
      </c>
      <c r="O577" t="s">
        <v>91</v>
      </c>
      <c r="P577" s="1" t="s">
        <v>3411</v>
      </c>
      <c r="Q577" s="1" t="s">
        <v>1102</v>
      </c>
      <c r="R577" s="1" t="s">
        <v>3412</v>
      </c>
      <c r="S577">
        <v>1269</v>
      </c>
      <c r="T577">
        <v>88815060</v>
      </c>
      <c r="U577" s="1" t="s">
        <v>3230</v>
      </c>
      <c r="V577" s="1" t="s">
        <v>3231</v>
      </c>
      <c r="W577" s="1" t="s">
        <v>87</v>
      </c>
      <c r="X577">
        <v>48</v>
      </c>
      <c r="Y577">
        <v>34627580</v>
      </c>
      <c r="Z577" t="s">
        <v>91</v>
      </c>
      <c r="AA577" t="s">
        <v>91</v>
      </c>
      <c r="AB577" t="s">
        <v>91</v>
      </c>
      <c r="AC577" t="s">
        <v>91</v>
      </c>
      <c r="AD577" t="s">
        <v>91</v>
      </c>
      <c r="AE577" t="s">
        <v>91</v>
      </c>
      <c r="AF577" t="s">
        <v>91</v>
      </c>
      <c r="AG577" s="1" t="s">
        <v>91</v>
      </c>
      <c r="AH577" s="1" t="s">
        <v>91</v>
      </c>
      <c r="AI577" t="s">
        <v>91</v>
      </c>
      <c r="AJ577">
        <v>0</v>
      </c>
      <c r="AK577">
        <v>0</v>
      </c>
      <c r="AL577">
        <v>0</v>
      </c>
      <c r="AM577" t="s">
        <v>91</v>
      </c>
      <c r="AN577" t="s">
        <v>91</v>
      </c>
      <c r="AO577" t="s">
        <v>91</v>
      </c>
      <c r="AP577" t="s">
        <v>91</v>
      </c>
      <c r="AQ577" s="1" t="s">
        <v>91</v>
      </c>
      <c r="AR577" s="1" t="s">
        <v>91</v>
      </c>
      <c r="AS577" s="1" t="s">
        <v>91</v>
      </c>
      <c r="AT577" s="1" t="s">
        <v>91</v>
      </c>
      <c r="AU577" s="1" t="s">
        <v>91</v>
      </c>
      <c r="AV577" t="s">
        <v>91</v>
      </c>
      <c r="AW577" t="s">
        <v>91</v>
      </c>
      <c r="AX577" t="s">
        <v>91</v>
      </c>
      <c r="AY577" t="s">
        <v>91</v>
      </c>
      <c r="AZ577" t="s">
        <v>91</v>
      </c>
      <c r="BA577" t="s">
        <v>91</v>
      </c>
      <c r="BB577" s="2"/>
      <c r="BC577" s="2"/>
      <c r="BD577" t="s">
        <v>91</v>
      </c>
      <c r="BF577" s="1" t="s">
        <v>75</v>
      </c>
      <c r="BG577">
        <v>0</v>
      </c>
      <c r="BH577">
        <v>0</v>
      </c>
      <c r="BI577" s="1" t="s">
        <v>88</v>
      </c>
      <c r="BJ577">
        <v>1</v>
      </c>
      <c r="BK577" s="1" t="s">
        <v>89</v>
      </c>
      <c r="BL577" t="s">
        <v>91</v>
      </c>
      <c r="BM577" s="1" t="s">
        <v>109</v>
      </c>
      <c r="BN577" s="1" t="s">
        <v>110</v>
      </c>
      <c r="BO577" s="1" t="s">
        <v>165</v>
      </c>
      <c r="BP577" s="1" t="s">
        <v>91</v>
      </c>
      <c r="BQ577" t="s">
        <v>91</v>
      </c>
      <c r="BR577" s="3"/>
      <c r="BS577" s="3"/>
      <c r="BT577" t="s">
        <v>91</v>
      </c>
      <c r="BU577" t="s">
        <v>91</v>
      </c>
      <c r="BV577">
        <v>9</v>
      </c>
      <c r="BW577" s="1" t="s">
        <v>912</v>
      </c>
    </row>
    <row r="578" spans="1:75" hidden="1" x14ac:dyDescent="0.35">
      <c r="A578">
        <v>134309</v>
      </c>
      <c r="B578" s="1" t="s">
        <v>75</v>
      </c>
      <c r="C578">
        <v>80</v>
      </c>
      <c r="D578">
        <v>11121002</v>
      </c>
      <c r="E578">
        <v>121002</v>
      </c>
      <c r="F578" s="1" t="s">
        <v>2915</v>
      </c>
      <c r="G578" s="1" t="s">
        <v>3413</v>
      </c>
      <c r="I578" s="1" t="s">
        <v>78</v>
      </c>
      <c r="J578" s="1" t="s">
        <v>3414</v>
      </c>
      <c r="K578" s="1" t="s">
        <v>3415</v>
      </c>
      <c r="L578" t="s">
        <v>91</v>
      </c>
      <c r="M578" t="s">
        <v>91</v>
      </c>
      <c r="N578" s="1" t="s">
        <v>3416</v>
      </c>
      <c r="O578" t="s">
        <v>91</v>
      </c>
      <c r="P578" s="1" t="s">
        <v>3417</v>
      </c>
      <c r="Q578" s="1" t="s">
        <v>3418</v>
      </c>
      <c r="R578" s="1" t="s">
        <v>3419</v>
      </c>
      <c r="S578">
        <v>1259</v>
      </c>
      <c r="T578">
        <v>88132149</v>
      </c>
      <c r="U578" s="1" t="s">
        <v>3420</v>
      </c>
      <c r="V578" s="1" t="s">
        <v>3165</v>
      </c>
      <c r="W578" s="1" t="s">
        <v>87</v>
      </c>
      <c r="X578">
        <v>48</v>
      </c>
      <c r="Y578">
        <v>30658227</v>
      </c>
      <c r="Z578" t="s">
        <v>91</v>
      </c>
      <c r="AA578" t="s">
        <v>91</v>
      </c>
      <c r="AB578" t="s">
        <v>91</v>
      </c>
      <c r="AC578" t="s">
        <v>91</v>
      </c>
      <c r="AD578" t="s">
        <v>91</v>
      </c>
      <c r="AE578" t="s">
        <v>91</v>
      </c>
      <c r="AF578" t="s">
        <v>91</v>
      </c>
      <c r="AG578" s="1" t="s">
        <v>146</v>
      </c>
      <c r="AH578" s="1" t="s">
        <v>91</v>
      </c>
      <c r="AI578" t="s">
        <v>91</v>
      </c>
      <c r="AJ578">
        <v>0</v>
      </c>
      <c r="AK578">
        <v>0</v>
      </c>
      <c r="AL578">
        <v>0</v>
      </c>
      <c r="AM578" t="s">
        <v>91</v>
      </c>
      <c r="AN578" t="s">
        <v>91</v>
      </c>
      <c r="AO578" t="s">
        <v>91</v>
      </c>
      <c r="AP578" t="s">
        <v>91</v>
      </c>
      <c r="AQ578" s="1" t="s">
        <v>147</v>
      </c>
      <c r="AR578" s="1" t="s">
        <v>147</v>
      </c>
      <c r="AS578" s="1" t="s">
        <v>147</v>
      </c>
      <c r="AT578" s="1" t="s">
        <v>147</v>
      </c>
      <c r="AU578" s="1" t="s">
        <v>147</v>
      </c>
      <c r="AV578" t="s">
        <v>91</v>
      </c>
      <c r="AW578" t="s">
        <v>91</v>
      </c>
      <c r="AX578" t="s">
        <v>91</v>
      </c>
      <c r="AY578" t="s">
        <v>91</v>
      </c>
      <c r="AZ578" t="s">
        <v>91</v>
      </c>
      <c r="BA578" t="s">
        <v>91</v>
      </c>
      <c r="BB578" s="2"/>
      <c r="BC578" s="2">
        <v>44456.63821759259</v>
      </c>
      <c r="BD578" t="s">
        <v>91</v>
      </c>
      <c r="BF578" s="1" t="s">
        <v>75</v>
      </c>
      <c r="BG578">
        <v>0</v>
      </c>
      <c r="BH578">
        <v>0</v>
      </c>
      <c r="BI578" s="1" t="s">
        <v>88</v>
      </c>
      <c r="BJ578">
        <v>1</v>
      </c>
      <c r="BK578" s="1" t="s">
        <v>89</v>
      </c>
      <c r="BL578" t="s">
        <v>91</v>
      </c>
      <c r="BM578" s="1" t="s">
        <v>329</v>
      </c>
      <c r="BN578" s="1" t="s">
        <v>110</v>
      </c>
      <c r="BO578" s="1" t="s">
        <v>165</v>
      </c>
      <c r="BP578" s="1" t="s">
        <v>91</v>
      </c>
      <c r="BQ578" t="s">
        <v>91</v>
      </c>
      <c r="BR578" s="3"/>
      <c r="BS578" s="3">
        <v>44456</v>
      </c>
      <c r="BT578" t="s">
        <v>91</v>
      </c>
      <c r="BU578" t="s">
        <v>91</v>
      </c>
      <c r="BV578">
        <v>5</v>
      </c>
      <c r="BW578" s="1" t="s">
        <v>3421</v>
      </c>
    </row>
    <row r="579" spans="1:75" hidden="1" x14ac:dyDescent="0.35">
      <c r="A579">
        <v>134269</v>
      </c>
      <c r="B579" s="1" t="s">
        <v>75</v>
      </c>
      <c r="C579">
        <v>80</v>
      </c>
      <c r="D579">
        <v>11121002</v>
      </c>
      <c r="E579">
        <v>121002</v>
      </c>
      <c r="F579" s="1" t="s">
        <v>2915</v>
      </c>
      <c r="G579" s="1" t="s">
        <v>3422</v>
      </c>
      <c r="I579" s="1" t="s">
        <v>78</v>
      </c>
      <c r="J579" s="1" t="s">
        <v>3423</v>
      </c>
      <c r="K579" s="1" t="s">
        <v>3424</v>
      </c>
      <c r="L579" t="s">
        <v>91</v>
      </c>
      <c r="M579" t="s">
        <v>91</v>
      </c>
      <c r="N579" s="1" t="s">
        <v>3425</v>
      </c>
      <c r="O579" t="s">
        <v>91</v>
      </c>
      <c r="P579" s="1" t="s">
        <v>3426</v>
      </c>
      <c r="Q579" s="1" t="s">
        <v>1949</v>
      </c>
      <c r="R579" s="1" t="s">
        <v>3427</v>
      </c>
      <c r="S579">
        <v>1257</v>
      </c>
      <c r="T579">
        <v>88025320</v>
      </c>
      <c r="U579" s="1" t="s">
        <v>3428</v>
      </c>
      <c r="V579" s="1" t="s">
        <v>3102</v>
      </c>
      <c r="W579" s="1" t="s">
        <v>87</v>
      </c>
      <c r="X579">
        <v>48</v>
      </c>
      <c r="Y579">
        <v>38796090</v>
      </c>
      <c r="Z579" t="s">
        <v>91</v>
      </c>
      <c r="AA579" t="s">
        <v>91</v>
      </c>
      <c r="AB579" t="s">
        <v>91</v>
      </c>
      <c r="AC579" t="s">
        <v>91</v>
      </c>
      <c r="AD579" t="s">
        <v>91</v>
      </c>
      <c r="AE579" t="s">
        <v>91</v>
      </c>
      <c r="AF579" t="s">
        <v>91</v>
      </c>
      <c r="AG579" s="1" t="s">
        <v>146</v>
      </c>
      <c r="AH579" s="1" t="s">
        <v>91</v>
      </c>
      <c r="AI579" t="s">
        <v>91</v>
      </c>
      <c r="AJ579">
        <v>0</v>
      </c>
      <c r="AK579">
        <v>0</v>
      </c>
      <c r="AL579">
        <v>0</v>
      </c>
      <c r="AM579" t="s">
        <v>91</v>
      </c>
      <c r="AN579" t="s">
        <v>91</v>
      </c>
      <c r="AO579" t="s">
        <v>91</v>
      </c>
      <c r="AP579" t="s">
        <v>91</v>
      </c>
      <c r="AQ579" s="1" t="s">
        <v>147</v>
      </c>
      <c r="AR579" s="1" t="s">
        <v>147</v>
      </c>
      <c r="AS579" s="1" t="s">
        <v>147</v>
      </c>
      <c r="AT579" s="1" t="s">
        <v>147</v>
      </c>
      <c r="AU579" s="1" t="s">
        <v>147</v>
      </c>
      <c r="AV579" t="s">
        <v>91</v>
      </c>
      <c r="AW579" t="s">
        <v>91</v>
      </c>
      <c r="AX579" t="s">
        <v>91</v>
      </c>
      <c r="AY579" t="s">
        <v>91</v>
      </c>
      <c r="AZ579" t="s">
        <v>91</v>
      </c>
      <c r="BA579" t="s">
        <v>91</v>
      </c>
      <c r="BB579" s="2"/>
      <c r="BC579" s="2">
        <v>44655.377245370371</v>
      </c>
      <c r="BD579" t="s">
        <v>91</v>
      </c>
      <c r="BF579" s="1" t="s">
        <v>75</v>
      </c>
      <c r="BG579">
        <v>0</v>
      </c>
      <c r="BH579">
        <v>0</v>
      </c>
      <c r="BI579" s="1" t="s">
        <v>88</v>
      </c>
      <c r="BJ579">
        <v>1</v>
      </c>
      <c r="BK579" s="1" t="s">
        <v>89</v>
      </c>
      <c r="BL579" t="s">
        <v>91</v>
      </c>
      <c r="BM579" s="1" t="s">
        <v>109</v>
      </c>
      <c r="BN579" s="1" t="s">
        <v>148</v>
      </c>
      <c r="BO579" s="1" t="s">
        <v>180</v>
      </c>
      <c r="BP579" s="1" t="s">
        <v>91</v>
      </c>
      <c r="BQ579" t="s">
        <v>91</v>
      </c>
      <c r="BR579" s="3"/>
      <c r="BS579" s="3">
        <v>44655</v>
      </c>
      <c r="BT579" t="s">
        <v>91</v>
      </c>
      <c r="BU579" t="s">
        <v>91</v>
      </c>
      <c r="BV579">
        <v>9</v>
      </c>
      <c r="BW579" s="1" t="s">
        <v>532</v>
      </c>
    </row>
    <row r="580" spans="1:75" hidden="1" x14ac:dyDescent="0.35">
      <c r="A580">
        <v>134540</v>
      </c>
      <c r="B580" s="1" t="s">
        <v>75</v>
      </c>
      <c r="C580">
        <v>80</v>
      </c>
      <c r="D580">
        <v>11121002</v>
      </c>
      <c r="E580">
        <v>121002</v>
      </c>
      <c r="F580" s="1" t="s">
        <v>2915</v>
      </c>
      <c r="G580" s="1" t="s">
        <v>3429</v>
      </c>
      <c r="I580" s="1" t="s">
        <v>78</v>
      </c>
      <c r="J580" s="1" t="s">
        <v>3430</v>
      </c>
      <c r="K580" s="1" t="s">
        <v>3431</v>
      </c>
      <c r="L580" t="s">
        <v>91</v>
      </c>
      <c r="M580" t="s">
        <v>91</v>
      </c>
      <c r="N580" s="1" t="s">
        <v>2842</v>
      </c>
      <c r="O580" t="s">
        <v>91</v>
      </c>
      <c r="P580" s="1" t="s">
        <v>3432</v>
      </c>
      <c r="Q580" s="1" t="s">
        <v>3433</v>
      </c>
      <c r="R580" s="1" t="s">
        <v>3434</v>
      </c>
      <c r="T580">
        <v>88015380</v>
      </c>
      <c r="U580" s="1" t="s">
        <v>108</v>
      </c>
      <c r="V580" s="1" t="s">
        <v>3102</v>
      </c>
      <c r="W580" s="1" t="s">
        <v>87</v>
      </c>
      <c r="X580">
        <v>48</v>
      </c>
      <c r="Y580">
        <v>30252376</v>
      </c>
      <c r="Z580" t="s">
        <v>91</v>
      </c>
      <c r="AA580" t="s">
        <v>91</v>
      </c>
      <c r="AB580" t="s">
        <v>91</v>
      </c>
      <c r="AC580" t="s">
        <v>91</v>
      </c>
      <c r="AD580" t="s">
        <v>91</v>
      </c>
      <c r="AE580" t="s">
        <v>91</v>
      </c>
      <c r="AF580" t="s">
        <v>91</v>
      </c>
      <c r="AG580" s="1" t="s">
        <v>146</v>
      </c>
      <c r="AH580" s="1" t="s">
        <v>91</v>
      </c>
      <c r="AI580" t="s">
        <v>91</v>
      </c>
      <c r="AM580" t="s">
        <v>91</v>
      </c>
      <c r="AN580" t="s">
        <v>91</v>
      </c>
      <c r="AO580" t="s">
        <v>91</v>
      </c>
      <c r="AP580" t="s">
        <v>91</v>
      </c>
      <c r="AQ580" s="1" t="s">
        <v>147</v>
      </c>
      <c r="AR580" s="1" t="s">
        <v>147</v>
      </c>
      <c r="AS580" s="1" t="s">
        <v>147</v>
      </c>
      <c r="AT580" s="1" t="s">
        <v>147</v>
      </c>
      <c r="AU580" s="1" t="s">
        <v>147</v>
      </c>
      <c r="AV580" t="s">
        <v>91</v>
      </c>
      <c r="AW580" t="s">
        <v>91</v>
      </c>
      <c r="AX580" t="s">
        <v>91</v>
      </c>
      <c r="AY580" t="s">
        <v>91</v>
      </c>
      <c r="AZ580" t="s">
        <v>91</v>
      </c>
      <c r="BA580" t="s">
        <v>91</v>
      </c>
      <c r="BB580" s="2"/>
      <c r="BC580" s="2">
        <v>44655.378379629627</v>
      </c>
      <c r="BD580" t="s">
        <v>91</v>
      </c>
      <c r="BF580" s="1" t="s">
        <v>75</v>
      </c>
      <c r="BH580">
        <v>0</v>
      </c>
      <c r="BI580" s="1" t="s">
        <v>88</v>
      </c>
      <c r="BJ580">
        <v>1</v>
      </c>
      <c r="BK580" s="1" t="s">
        <v>89</v>
      </c>
      <c r="BL580" t="s">
        <v>91</v>
      </c>
      <c r="BM580" s="1" t="s">
        <v>109</v>
      </c>
      <c r="BN580" s="1" t="s">
        <v>148</v>
      </c>
      <c r="BO580" s="1" t="s">
        <v>91</v>
      </c>
      <c r="BP580" s="1" t="s">
        <v>91</v>
      </c>
      <c r="BQ580" t="s">
        <v>91</v>
      </c>
      <c r="BR580" s="3"/>
      <c r="BS580" s="3">
        <v>44655</v>
      </c>
      <c r="BT580" t="s">
        <v>91</v>
      </c>
      <c r="BU580" t="s">
        <v>91</v>
      </c>
      <c r="BW580" s="1" t="s">
        <v>1211</v>
      </c>
    </row>
    <row r="581" spans="1:75" hidden="1" x14ac:dyDescent="0.35">
      <c r="A581">
        <v>157608</v>
      </c>
      <c r="B581" s="1" t="s">
        <v>75</v>
      </c>
      <c r="C581">
        <v>80</v>
      </c>
      <c r="D581">
        <v>11121002</v>
      </c>
      <c r="E581">
        <v>121002</v>
      </c>
      <c r="F581" s="1" t="s">
        <v>2915</v>
      </c>
      <c r="G581" s="1" t="s">
        <v>3435</v>
      </c>
      <c r="H581">
        <v>0</v>
      </c>
      <c r="I581" s="1" t="s">
        <v>78</v>
      </c>
      <c r="J581" s="1" t="s">
        <v>3436</v>
      </c>
      <c r="K581" s="1" t="s">
        <v>3437</v>
      </c>
      <c r="L581" t="s">
        <v>91</v>
      </c>
      <c r="M581" t="s">
        <v>91</v>
      </c>
      <c r="N581" s="1" t="s">
        <v>1232</v>
      </c>
      <c r="O581" t="s">
        <v>91</v>
      </c>
      <c r="P581" s="1" t="s">
        <v>3438</v>
      </c>
      <c r="Q581" s="1" t="s">
        <v>3439</v>
      </c>
      <c r="R581" s="1" t="s">
        <v>3440</v>
      </c>
      <c r="S581">
        <v>1257</v>
      </c>
      <c r="T581">
        <v>88058001</v>
      </c>
      <c r="U581" s="1" t="s">
        <v>3441</v>
      </c>
      <c r="V581" s="1" t="s">
        <v>2922</v>
      </c>
      <c r="W581" s="1" t="s">
        <v>87</v>
      </c>
      <c r="X581">
        <v>48</v>
      </c>
      <c r="Y581">
        <v>30677570</v>
      </c>
      <c r="Z581" t="s">
        <v>91</v>
      </c>
      <c r="AA581" t="s">
        <v>91</v>
      </c>
      <c r="AB581" t="s">
        <v>91</v>
      </c>
      <c r="AC581" t="s">
        <v>91</v>
      </c>
      <c r="AD581" t="s">
        <v>91</v>
      </c>
      <c r="AE581" t="s">
        <v>91</v>
      </c>
      <c r="AF581" t="s">
        <v>91</v>
      </c>
      <c r="AG581" s="1" t="s">
        <v>91</v>
      </c>
      <c r="AH581" s="1" t="s">
        <v>91</v>
      </c>
      <c r="AI581" t="s">
        <v>91</v>
      </c>
      <c r="AM581" t="s">
        <v>91</v>
      </c>
      <c r="AN581" t="s">
        <v>91</v>
      </c>
      <c r="AO581" t="s">
        <v>91</v>
      </c>
      <c r="AP581" t="s">
        <v>91</v>
      </c>
      <c r="AQ581" s="1" t="s">
        <v>91</v>
      </c>
      <c r="AR581" s="1" t="s">
        <v>91</v>
      </c>
      <c r="AS581" s="1" t="s">
        <v>91</v>
      </c>
      <c r="AT581" s="1" t="s">
        <v>91</v>
      </c>
      <c r="AU581" s="1" t="s">
        <v>91</v>
      </c>
      <c r="AV581" t="s">
        <v>91</v>
      </c>
      <c r="AW581" t="s">
        <v>91</v>
      </c>
      <c r="AX581" t="s">
        <v>91</v>
      </c>
      <c r="AY581" t="s">
        <v>91</v>
      </c>
      <c r="AZ581" t="s">
        <v>91</v>
      </c>
      <c r="BA581" t="s">
        <v>91</v>
      </c>
      <c r="BB581" s="2">
        <v>45118.097175925926</v>
      </c>
      <c r="BC581" s="2"/>
      <c r="BD581" t="s">
        <v>91</v>
      </c>
      <c r="BF581" s="1" t="s">
        <v>75</v>
      </c>
      <c r="BI581" s="1" t="s">
        <v>88</v>
      </c>
      <c r="BJ581">
        <v>1</v>
      </c>
      <c r="BK581" s="1" t="s">
        <v>89</v>
      </c>
      <c r="BL581" t="s">
        <v>91</v>
      </c>
      <c r="BM581" s="1" t="s">
        <v>91</v>
      </c>
      <c r="BN581" s="1" t="s">
        <v>91</v>
      </c>
      <c r="BO581" s="1" t="s">
        <v>91</v>
      </c>
      <c r="BP581" s="1" t="s">
        <v>91</v>
      </c>
      <c r="BQ581" t="s">
        <v>91</v>
      </c>
      <c r="BR581" s="3">
        <v>45118</v>
      </c>
      <c r="BS581" s="3"/>
      <c r="BT581" t="s">
        <v>91</v>
      </c>
      <c r="BU581" t="s">
        <v>91</v>
      </c>
      <c r="BW581" s="1" t="s">
        <v>804</v>
      </c>
    </row>
    <row r="582" spans="1:75" hidden="1" x14ac:dyDescent="0.35">
      <c r="A582">
        <v>134560</v>
      </c>
      <c r="B582" s="1" t="s">
        <v>75</v>
      </c>
      <c r="C582">
        <v>80</v>
      </c>
      <c r="D582">
        <v>11121002</v>
      </c>
      <c r="E582">
        <v>121002</v>
      </c>
      <c r="F582" s="1" t="s">
        <v>2915</v>
      </c>
      <c r="G582" s="1" t="s">
        <v>3442</v>
      </c>
      <c r="I582" s="1" t="s">
        <v>78</v>
      </c>
      <c r="J582" s="1" t="s">
        <v>3443</v>
      </c>
      <c r="K582" s="1" t="s">
        <v>3444</v>
      </c>
      <c r="L582" t="s">
        <v>91</v>
      </c>
      <c r="M582" t="s">
        <v>91</v>
      </c>
      <c r="N582" s="1" t="s">
        <v>3445</v>
      </c>
      <c r="O582" t="s">
        <v>91</v>
      </c>
      <c r="P582" s="1" t="s">
        <v>3446</v>
      </c>
      <c r="Q582" s="1" t="s">
        <v>3112</v>
      </c>
      <c r="R582" s="1" t="s">
        <v>3447</v>
      </c>
      <c r="S582">
        <v>1257</v>
      </c>
      <c r="T582">
        <v>88036500</v>
      </c>
      <c r="U582" s="1" t="s">
        <v>3137</v>
      </c>
      <c r="V582" s="1" t="s">
        <v>3102</v>
      </c>
      <c r="W582" s="1" t="s">
        <v>87</v>
      </c>
      <c r="X582">
        <v>51</v>
      </c>
      <c r="Y582">
        <v>984229620</v>
      </c>
      <c r="Z582" t="s">
        <v>91</v>
      </c>
      <c r="AA582" t="s">
        <v>91</v>
      </c>
      <c r="AB582" t="s">
        <v>91</v>
      </c>
      <c r="AC582" t="s">
        <v>91</v>
      </c>
      <c r="AD582" t="s">
        <v>91</v>
      </c>
      <c r="AE582" t="s">
        <v>91</v>
      </c>
      <c r="AF582" t="s">
        <v>91</v>
      </c>
      <c r="AG582" s="1" t="s">
        <v>146</v>
      </c>
      <c r="AH582" s="1" t="s">
        <v>91</v>
      </c>
      <c r="AI582" t="s">
        <v>91</v>
      </c>
      <c r="AJ582">
        <v>0</v>
      </c>
      <c r="AK582">
        <v>0</v>
      </c>
      <c r="AL582">
        <v>0</v>
      </c>
      <c r="AM582" t="s">
        <v>91</v>
      </c>
      <c r="AN582" t="s">
        <v>91</v>
      </c>
      <c r="AO582" t="s">
        <v>91</v>
      </c>
      <c r="AP582" t="s">
        <v>91</v>
      </c>
      <c r="AQ582" s="1" t="s">
        <v>147</v>
      </c>
      <c r="AR582" s="1" t="s">
        <v>147</v>
      </c>
      <c r="AS582" s="1" t="s">
        <v>147</v>
      </c>
      <c r="AT582" s="1" t="s">
        <v>147</v>
      </c>
      <c r="AU582" s="1" t="s">
        <v>147</v>
      </c>
      <c r="AV582" t="s">
        <v>91</v>
      </c>
      <c r="AW582" t="s">
        <v>91</v>
      </c>
      <c r="AX582" t="s">
        <v>91</v>
      </c>
      <c r="AY582" t="s">
        <v>91</v>
      </c>
      <c r="AZ582" t="s">
        <v>91</v>
      </c>
      <c r="BA582" t="s">
        <v>91</v>
      </c>
      <c r="BB582" s="2"/>
      <c r="BC582" s="2">
        <v>44453.395949074074</v>
      </c>
      <c r="BD582" t="s">
        <v>91</v>
      </c>
      <c r="BF582" s="1" t="s">
        <v>75</v>
      </c>
      <c r="BG582">
        <v>0</v>
      </c>
      <c r="BH582">
        <v>0</v>
      </c>
      <c r="BI582" s="1" t="s">
        <v>88</v>
      </c>
      <c r="BJ582">
        <v>1</v>
      </c>
      <c r="BK582" s="1" t="s">
        <v>89</v>
      </c>
      <c r="BL582" t="s">
        <v>91</v>
      </c>
      <c r="BM582" s="1" t="s">
        <v>197</v>
      </c>
      <c r="BN582" s="1" t="s">
        <v>110</v>
      </c>
      <c r="BO582" s="1" t="s">
        <v>165</v>
      </c>
      <c r="BP582" s="1" t="s">
        <v>91</v>
      </c>
      <c r="BQ582" t="s">
        <v>91</v>
      </c>
      <c r="BR582" s="3"/>
      <c r="BS582" s="3">
        <v>44453</v>
      </c>
      <c r="BT582" t="s">
        <v>91</v>
      </c>
      <c r="BU582" t="s">
        <v>91</v>
      </c>
      <c r="BW582" s="1" t="s">
        <v>3448</v>
      </c>
    </row>
    <row r="583" spans="1:75" hidden="1" x14ac:dyDescent="0.35">
      <c r="A583">
        <v>134422</v>
      </c>
      <c r="B583" s="1" t="s">
        <v>75</v>
      </c>
      <c r="C583">
        <v>80</v>
      </c>
      <c r="D583">
        <v>11121002</v>
      </c>
      <c r="E583">
        <v>121002</v>
      </c>
      <c r="F583" s="1" t="s">
        <v>2915</v>
      </c>
      <c r="G583" s="1" t="s">
        <v>3449</v>
      </c>
      <c r="I583" s="1" t="s">
        <v>78</v>
      </c>
      <c r="J583" s="1" t="s">
        <v>3450</v>
      </c>
      <c r="K583" s="1" t="s">
        <v>3451</v>
      </c>
      <c r="L583" t="s">
        <v>91</v>
      </c>
      <c r="M583" t="s">
        <v>91</v>
      </c>
      <c r="N583" s="1" t="s">
        <v>2812</v>
      </c>
      <c r="O583" t="s">
        <v>91</v>
      </c>
      <c r="P583" s="1" t="s">
        <v>3452</v>
      </c>
      <c r="Q583" s="1" t="s">
        <v>3032</v>
      </c>
      <c r="R583" s="1" t="s">
        <v>3453</v>
      </c>
      <c r="S583">
        <v>1255</v>
      </c>
      <c r="T583">
        <v>88015902</v>
      </c>
      <c r="U583" s="1" t="s">
        <v>108</v>
      </c>
      <c r="V583" s="1" t="s">
        <v>2922</v>
      </c>
      <c r="W583" s="1" t="s">
        <v>87</v>
      </c>
      <c r="X583">
        <v>48</v>
      </c>
      <c r="Y583">
        <v>33336916</v>
      </c>
      <c r="Z583" t="s">
        <v>91</v>
      </c>
      <c r="AA583" t="s">
        <v>91</v>
      </c>
      <c r="AB583" t="s">
        <v>91</v>
      </c>
      <c r="AC583" t="s">
        <v>91</v>
      </c>
      <c r="AD583" t="s">
        <v>91</v>
      </c>
      <c r="AE583" t="s">
        <v>91</v>
      </c>
      <c r="AF583" t="s">
        <v>91</v>
      </c>
      <c r="AG583" s="1" t="s">
        <v>91</v>
      </c>
      <c r="AH583" s="1" t="s">
        <v>91</v>
      </c>
      <c r="AI583" t="s">
        <v>91</v>
      </c>
      <c r="AM583" t="s">
        <v>91</v>
      </c>
      <c r="AN583" t="s">
        <v>91</v>
      </c>
      <c r="AO583" t="s">
        <v>91</v>
      </c>
      <c r="AP583" t="s">
        <v>91</v>
      </c>
      <c r="AQ583" s="1" t="s">
        <v>91</v>
      </c>
      <c r="AR583" s="1" t="s">
        <v>91</v>
      </c>
      <c r="AS583" s="1" t="s">
        <v>91</v>
      </c>
      <c r="AT583" s="1" t="s">
        <v>91</v>
      </c>
      <c r="AU583" s="1" t="s">
        <v>91</v>
      </c>
      <c r="AV583" t="s">
        <v>91</v>
      </c>
      <c r="AW583" t="s">
        <v>91</v>
      </c>
      <c r="AX583" t="s">
        <v>91</v>
      </c>
      <c r="AY583" t="s">
        <v>91</v>
      </c>
      <c r="AZ583" t="s">
        <v>91</v>
      </c>
      <c r="BA583" t="s">
        <v>91</v>
      </c>
      <c r="BB583" s="2"/>
      <c r="BC583" s="2"/>
      <c r="BD583" t="s">
        <v>91</v>
      </c>
      <c r="BF583" s="1" t="s">
        <v>75</v>
      </c>
      <c r="BI583" s="1" t="s">
        <v>88</v>
      </c>
      <c r="BJ583">
        <v>1</v>
      </c>
      <c r="BK583" s="1" t="s">
        <v>89</v>
      </c>
      <c r="BL583" t="s">
        <v>91</v>
      </c>
      <c r="BM583" s="1" t="s">
        <v>164</v>
      </c>
      <c r="BN583" s="1" t="s">
        <v>110</v>
      </c>
      <c r="BO583" s="1" t="s">
        <v>165</v>
      </c>
      <c r="BP583" s="1" t="s">
        <v>91</v>
      </c>
      <c r="BQ583" t="s">
        <v>91</v>
      </c>
      <c r="BR583" s="3"/>
      <c r="BS583" s="3"/>
      <c r="BT583" t="s">
        <v>91</v>
      </c>
      <c r="BU583" t="s">
        <v>91</v>
      </c>
      <c r="BV583">
        <v>1</v>
      </c>
      <c r="BW583" s="1" t="s">
        <v>804</v>
      </c>
    </row>
    <row r="584" spans="1:75" hidden="1" x14ac:dyDescent="0.35">
      <c r="A584">
        <v>156887</v>
      </c>
      <c r="B584" s="1" t="s">
        <v>75</v>
      </c>
      <c r="C584">
        <v>80</v>
      </c>
      <c r="D584">
        <v>11121002</v>
      </c>
      <c r="E584">
        <v>121002</v>
      </c>
      <c r="F584" s="1" t="s">
        <v>2915</v>
      </c>
      <c r="G584" s="1" t="s">
        <v>3454</v>
      </c>
      <c r="H584">
        <v>0</v>
      </c>
      <c r="I584" s="1" t="s">
        <v>78</v>
      </c>
      <c r="J584" s="1" t="s">
        <v>3455</v>
      </c>
      <c r="K584" s="1" t="s">
        <v>3456</v>
      </c>
      <c r="L584" t="s">
        <v>91</v>
      </c>
      <c r="M584" t="s">
        <v>91</v>
      </c>
      <c r="N584" s="1" t="s">
        <v>3457</v>
      </c>
      <c r="O584" t="s">
        <v>91</v>
      </c>
      <c r="P584" s="1" t="s">
        <v>3458</v>
      </c>
      <c r="Q584" s="1" t="s">
        <v>3459</v>
      </c>
      <c r="R584" s="1" t="s">
        <v>3460</v>
      </c>
      <c r="S584">
        <v>1259</v>
      </c>
      <c r="T584">
        <v>88132149</v>
      </c>
      <c r="U584" s="1" t="s">
        <v>3461</v>
      </c>
      <c r="V584" s="1" t="s">
        <v>2951</v>
      </c>
      <c r="W584" s="1" t="s">
        <v>87</v>
      </c>
      <c r="X584">
        <v>48</v>
      </c>
      <c r="Y584">
        <v>30869100</v>
      </c>
      <c r="Z584" t="s">
        <v>91</v>
      </c>
      <c r="AA584" t="s">
        <v>91</v>
      </c>
      <c r="AB584" t="s">
        <v>91</v>
      </c>
      <c r="AC584" t="s">
        <v>91</v>
      </c>
      <c r="AD584" t="s">
        <v>91</v>
      </c>
      <c r="AE584" t="s">
        <v>91</v>
      </c>
      <c r="AF584" t="s">
        <v>91</v>
      </c>
      <c r="AG584" s="1" t="s">
        <v>91</v>
      </c>
      <c r="AH584" s="1" t="s">
        <v>91</v>
      </c>
      <c r="AI584" t="s">
        <v>91</v>
      </c>
      <c r="AM584" t="s">
        <v>91</v>
      </c>
      <c r="AN584" t="s">
        <v>91</v>
      </c>
      <c r="AO584" t="s">
        <v>91</v>
      </c>
      <c r="AP584" t="s">
        <v>91</v>
      </c>
      <c r="AQ584" s="1" t="s">
        <v>91</v>
      </c>
      <c r="AR584" s="1" t="s">
        <v>91</v>
      </c>
      <c r="AS584" s="1" t="s">
        <v>91</v>
      </c>
      <c r="AT584" s="1" t="s">
        <v>91</v>
      </c>
      <c r="AU584" s="1" t="s">
        <v>91</v>
      </c>
      <c r="AV584" t="s">
        <v>91</v>
      </c>
      <c r="AW584" t="s">
        <v>91</v>
      </c>
      <c r="AX584" t="s">
        <v>91</v>
      </c>
      <c r="AY584" t="s">
        <v>91</v>
      </c>
      <c r="AZ584" t="s">
        <v>91</v>
      </c>
      <c r="BA584" t="s">
        <v>91</v>
      </c>
      <c r="BB584" s="2">
        <v>45113.505416666667</v>
      </c>
      <c r="BC584" s="2"/>
      <c r="BD584" t="s">
        <v>91</v>
      </c>
      <c r="BF584" s="1" t="s">
        <v>75</v>
      </c>
      <c r="BI584" s="1" t="s">
        <v>88</v>
      </c>
      <c r="BJ584">
        <v>1</v>
      </c>
      <c r="BK584" s="1" t="s">
        <v>89</v>
      </c>
      <c r="BL584" t="s">
        <v>91</v>
      </c>
      <c r="BM584" s="1" t="s">
        <v>91</v>
      </c>
      <c r="BN584" s="1" t="s">
        <v>91</v>
      </c>
      <c r="BO584" s="1" t="s">
        <v>91</v>
      </c>
      <c r="BP584" s="1" t="s">
        <v>91</v>
      </c>
      <c r="BQ584" t="s">
        <v>91</v>
      </c>
      <c r="BR584" s="3">
        <v>45113</v>
      </c>
      <c r="BS584" s="3"/>
      <c r="BT584" t="s">
        <v>91</v>
      </c>
      <c r="BU584" t="s">
        <v>91</v>
      </c>
      <c r="BW584" s="1" t="s">
        <v>90</v>
      </c>
    </row>
    <row r="585" spans="1:75" hidden="1" x14ac:dyDescent="0.35">
      <c r="A585">
        <v>135176</v>
      </c>
      <c r="B585" s="1" t="s">
        <v>75</v>
      </c>
      <c r="C585">
        <v>80</v>
      </c>
      <c r="D585">
        <v>11121002</v>
      </c>
      <c r="E585">
        <v>121002</v>
      </c>
      <c r="F585" s="1" t="s">
        <v>2915</v>
      </c>
      <c r="G585" s="1" t="s">
        <v>3462</v>
      </c>
      <c r="H585">
        <v>0</v>
      </c>
      <c r="I585" s="1" t="s">
        <v>78</v>
      </c>
      <c r="J585" s="1" t="s">
        <v>3463</v>
      </c>
      <c r="K585" s="1" t="s">
        <v>3464</v>
      </c>
      <c r="L585" t="s">
        <v>91</v>
      </c>
      <c r="M585" t="s">
        <v>91</v>
      </c>
      <c r="N585" s="1" t="s">
        <v>3465</v>
      </c>
      <c r="O585" t="s">
        <v>91</v>
      </c>
      <c r="P585" s="1" t="s">
        <v>3466</v>
      </c>
      <c r="Q585" s="1" t="s">
        <v>3467</v>
      </c>
      <c r="R585" s="1" t="s">
        <v>91</v>
      </c>
      <c r="S585">
        <v>1258</v>
      </c>
      <c r="T585">
        <v>88070101</v>
      </c>
      <c r="U585" s="1" t="s">
        <v>3468</v>
      </c>
      <c r="V585" s="1" t="s">
        <v>3102</v>
      </c>
      <c r="W585" s="1" t="s">
        <v>87</v>
      </c>
      <c r="X585">
        <v>48</v>
      </c>
      <c r="Y585">
        <v>996923117</v>
      </c>
      <c r="Z585" t="s">
        <v>91</v>
      </c>
      <c r="AA585" t="s">
        <v>91</v>
      </c>
      <c r="AB585" t="s">
        <v>91</v>
      </c>
      <c r="AC585" t="s">
        <v>91</v>
      </c>
      <c r="AD585" t="s">
        <v>91</v>
      </c>
      <c r="AE585" t="s">
        <v>91</v>
      </c>
      <c r="AF585" t="s">
        <v>91</v>
      </c>
      <c r="AG585" s="1" t="s">
        <v>146</v>
      </c>
      <c r="AH585" s="1" t="s">
        <v>91</v>
      </c>
      <c r="AI585" t="s">
        <v>91</v>
      </c>
      <c r="AM585" t="s">
        <v>91</v>
      </c>
      <c r="AN585" t="s">
        <v>91</v>
      </c>
      <c r="AO585" t="s">
        <v>91</v>
      </c>
      <c r="AP585" t="s">
        <v>91</v>
      </c>
      <c r="AQ585" s="1" t="s">
        <v>147</v>
      </c>
      <c r="AR585" s="1" t="s">
        <v>147</v>
      </c>
      <c r="AS585" s="1" t="s">
        <v>147</v>
      </c>
      <c r="AT585" s="1" t="s">
        <v>147</v>
      </c>
      <c r="AU585" s="1" t="s">
        <v>147</v>
      </c>
      <c r="AV585" t="s">
        <v>91</v>
      </c>
      <c r="AW585" t="s">
        <v>91</v>
      </c>
      <c r="AX585" t="s">
        <v>91</v>
      </c>
      <c r="AY585" t="s">
        <v>91</v>
      </c>
      <c r="AZ585" t="s">
        <v>91</v>
      </c>
      <c r="BA585" t="s">
        <v>91</v>
      </c>
      <c r="BB585" s="2">
        <v>44316.427905092591</v>
      </c>
      <c r="BC585" s="2">
        <v>44652.405057870368</v>
      </c>
      <c r="BD585" t="s">
        <v>91</v>
      </c>
      <c r="BF585" s="1" t="s">
        <v>75</v>
      </c>
      <c r="BH585">
        <v>0</v>
      </c>
      <c r="BI585" s="1" t="s">
        <v>88</v>
      </c>
      <c r="BJ585">
        <v>1</v>
      </c>
      <c r="BK585" s="1" t="s">
        <v>89</v>
      </c>
      <c r="BL585" t="s">
        <v>91</v>
      </c>
      <c r="BM585" s="1" t="s">
        <v>109</v>
      </c>
      <c r="BN585" s="1" t="s">
        <v>110</v>
      </c>
      <c r="BO585" s="1" t="s">
        <v>111</v>
      </c>
      <c r="BP585" s="1" t="s">
        <v>91</v>
      </c>
      <c r="BQ585" t="s">
        <v>91</v>
      </c>
      <c r="BR585" s="3">
        <v>44316</v>
      </c>
      <c r="BS585" s="3">
        <v>44652</v>
      </c>
      <c r="BT585" t="s">
        <v>91</v>
      </c>
      <c r="BU585" t="s">
        <v>91</v>
      </c>
      <c r="BW585" s="1" t="s">
        <v>540</v>
      </c>
    </row>
    <row r="586" spans="1:75" hidden="1" x14ac:dyDescent="0.35">
      <c r="A586">
        <v>157649</v>
      </c>
      <c r="B586" s="1" t="s">
        <v>75</v>
      </c>
      <c r="C586">
        <v>80</v>
      </c>
      <c r="D586">
        <v>11121002</v>
      </c>
      <c r="E586">
        <v>121002</v>
      </c>
      <c r="F586" s="1" t="s">
        <v>2915</v>
      </c>
      <c r="G586" s="1" t="s">
        <v>3469</v>
      </c>
      <c r="H586">
        <v>0</v>
      </c>
      <c r="I586" s="1" t="s">
        <v>78</v>
      </c>
      <c r="J586" s="1" t="s">
        <v>3470</v>
      </c>
      <c r="K586" s="1" t="s">
        <v>3471</v>
      </c>
      <c r="L586" t="s">
        <v>91</v>
      </c>
      <c r="M586" t="s">
        <v>91</v>
      </c>
      <c r="N586" s="1" t="s">
        <v>3472</v>
      </c>
      <c r="O586" t="s">
        <v>91</v>
      </c>
      <c r="P586" s="1" t="s">
        <v>3473</v>
      </c>
      <c r="Q586" s="1" t="s">
        <v>268</v>
      </c>
      <c r="R586" s="1" t="s">
        <v>91</v>
      </c>
      <c r="S586">
        <v>1268</v>
      </c>
      <c r="T586">
        <v>88780000</v>
      </c>
      <c r="U586" s="1" t="s">
        <v>3474</v>
      </c>
      <c r="V586" s="1" t="s">
        <v>2929</v>
      </c>
      <c r="W586" s="1" t="s">
        <v>87</v>
      </c>
      <c r="X586">
        <v>48</v>
      </c>
      <c r="Y586">
        <v>999348184</v>
      </c>
      <c r="Z586" t="s">
        <v>91</v>
      </c>
      <c r="AA586" t="s">
        <v>91</v>
      </c>
      <c r="AB586" t="s">
        <v>91</v>
      </c>
      <c r="AC586" t="s">
        <v>91</v>
      </c>
      <c r="AD586" t="s">
        <v>91</v>
      </c>
      <c r="AE586" t="s">
        <v>91</v>
      </c>
      <c r="AF586" t="s">
        <v>91</v>
      </c>
      <c r="AG586" s="1" t="s">
        <v>91</v>
      </c>
      <c r="AH586" s="1" t="s">
        <v>91</v>
      </c>
      <c r="AI586" t="s">
        <v>91</v>
      </c>
      <c r="AM586" t="s">
        <v>91</v>
      </c>
      <c r="AN586" t="s">
        <v>91</v>
      </c>
      <c r="AO586" t="s">
        <v>91</v>
      </c>
      <c r="AP586" t="s">
        <v>91</v>
      </c>
      <c r="AQ586" s="1" t="s">
        <v>91</v>
      </c>
      <c r="AR586" s="1" t="s">
        <v>91</v>
      </c>
      <c r="AS586" s="1" t="s">
        <v>91</v>
      </c>
      <c r="AT586" s="1" t="s">
        <v>91</v>
      </c>
      <c r="AU586" s="1" t="s">
        <v>91</v>
      </c>
      <c r="AV586" t="s">
        <v>91</v>
      </c>
      <c r="AW586" t="s">
        <v>91</v>
      </c>
      <c r="AX586" t="s">
        <v>91</v>
      </c>
      <c r="AY586" t="s">
        <v>91</v>
      </c>
      <c r="AZ586" t="s">
        <v>91</v>
      </c>
      <c r="BA586" t="s">
        <v>91</v>
      </c>
      <c r="BB586" s="2">
        <v>45118.097175925926</v>
      </c>
      <c r="BC586" s="2"/>
      <c r="BD586" t="s">
        <v>91</v>
      </c>
      <c r="BF586" s="1" t="s">
        <v>75</v>
      </c>
      <c r="BI586" s="1" t="s">
        <v>88</v>
      </c>
      <c r="BJ586">
        <v>1</v>
      </c>
      <c r="BK586" s="1" t="s">
        <v>89</v>
      </c>
      <c r="BL586" t="s">
        <v>91</v>
      </c>
      <c r="BM586" s="1" t="s">
        <v>91</v>
      </c>
      <c r="BN586" s="1" t="s">
        <v>91</v>
      </c>
      <c r="BO586" s="1" t="s">
        <v>91</v>
      </c>
      <c r="BP586" s="1" t="s">
        <v>91</v>
      </c>
      <c r="BQ586" t="s">
        <v>91</v>
      </c>
      <c r="BR586" s="3">
        <v>45118</v>
      </c>
      <c r="BS586" s="3"/>
      <c r="BT586" t="s">
        <v>91</v>
      </c>
      <c r="BU586" t="s">
        <v>91</v>
      </c>
      <c r="BW586" s="1" t="s">
        <v>90</v>
      </c>
    </row>
    <row r="587" spans="1:75" hidden="1" x14ac:dyDescent="0.35">
      <c r="A587">
        <v>144550</v>
      </c>
      <c r="B587" s="1" t="s">
        <v>75</v>
      </c>
      <c r="C587">
        <v>80</v>
      </c>
      <c r="D587">
        <v>11121002</v>
      </c>
      <c r="E587">
        <v>121002</v>
      </c>
      <c r="F587" s="1" t="s">
        <v>2915</v>
      </c>
      <c r="G587" s="1" t="s">
        <v>3475</v>
      </c>
      <c r="I587" s="1" t="s">
        <v>78</v>
      </c>
      <c r="J587" s="1" t="s">
        <v>3476</v>
      </c>
      <c r="K587" s="1" t="s">
        <v>3477</v>
      </c>
      <c r="L587" t="s">
        <v>91</v>
      </c>
      <c r="M587" t="s">
        <v>91</v>
      </c>
      <c r="N587" s="1" t="s">
        <v>3478</v>
      </c>
      <c r="O587" t="s">
        <v>91</v>
      </c>
      <c r="P587" s="1" t="s">
        <v>3479</v>
      </c>
      <c r="Q587" s="1" t="s">
        <v>3480</v>
      </c>
      <c r="R587" s="1" t="s">
        <v>91</v>
      </c>
      <c r="S587">
        <v>1268</v>
      </c>
      <c r="T587">
        <v>88745000</v>
      </c>
      <c r="U587" s="1" t="s">
        <v>3481</v>
      </c>
      <c r="V587" s="1" t="s">
        <v>3217</v>
      </c>
      <c r="W587" s="1" t="s">
        <v>87</v>
      </c>
      <c r="X587">
        <v>48</v>
      </c>
      <c r="Y587">
        <v>36235089</v>
      </c>
      <c r="Z587" t="s">
        <v>91</v>
      </c>
      <c r="AA587" t="s">
        <v>91</v>
      </c>
      <c r="AB587" t="s">
        <v>91</v>
      </c>
      <c r="AC587" t="s">
        <v>91</v>
      </c>
      <c r="AD587" t="s">
        <v>91</v>
      </c>
      <c r="AE587" t="s">
        <v>91</v>
      </c>
      <c r="AF587" t="s">
        <v>91</v>
      </c>
      <c r="AG587" s="1" t="s">
        <v>91</v>
      </c>
      <c r="AH587" s="1" t="s">
        <v>91</v>
      </c>
      <c r="AI587" t="s">
        <v>91</v>
      </c>
      <c r="AJ587">
        <v>0</v>
      </c>
      <c r="AK587">
        <v>0</v>
      </c>
      <c r="AL587">
        <v>0</v>
      </c>
      <c r="AM587" t="s">
        <v>91</v>
      </c>
      <c r="AN587" t="s">
        <v>91</v>
      </c>
      <c r="AO587" t="s">
        <v>91</v>
      </c>
      <c r="AP587" t="s">
        <v>91</v>
      </c>
      <c r="AQ587" s="1" t="s">
        <v>91</v>
      </c>
      <c r="AR587" s="1" t="s">
        <v>91</v>
      </c>
      <c r="AS587" s="1" t="s">
        <v>91</v>
      </c>
      <c r="AT587" s="1" t="s">
        <v>91</v>
      </c>
      <c r="AU587" s="1" t="s">
        <v>91</v>
      </c>
      <c r="AV587" t="s">
        <v>91</v>
      </c>
      <c r="AW587" t="s">
        <v>91</v>
      </c>
      <c r="AX587" t="s">
        <v>91</v>
      </c>
      <c r="AY587" t="s">
        <v>91</v>
      </c>
      <c r="AZ587" t="s">
        <v>91</v>
      </c>
      <c r="BA587" t="s">
        <v>91</v>
      </c>
      <c r="BB587" s="2"/>
      <c r="BC587" s="2"/>
      <c r="BD587" t="s">
        <v>91</v>
      </c>
      <c r="BF587" s="1" t="s">
        <v>75</v>
      </c>
      <c r="BG587">
        <v>0</v>
      </c>
      <c r="BH587">
        <v>0</v>
      </c>
      <c r="BI587" s="1" t="s">
        <v>88</v>
      </c>
      <c r="BJ587">
        <v>1</v>
      </c>
      <c r="BK587" s="1" t="s">
        <v>89</v>
      </c>
      <c r="BL587" t="s">
        <v>91</v>
      </c>
      <c r="BM587" s="1" t="s">
        <v>109</v>
      </c>
      <c r="BN587" s="1" t="s">
        <v>110</v>
      </c>
      <c r="BO587" s="1" t="s">
        <v>180</v>
      </c>
      <c r="BP587" s="1" t="s">
        <v>91</v>
      </c>
      <c r="BQ587" t="s">
        <v>91</v>
      </c>
      <c r="BR587" s="3"/>
      <c r="BS587" s="3"/>
      <c r="BT587" t="s">
        <v>91</v>
      </c>
      <c r="BU587" t="s">
        <v>91</v>
      </c>
      <c r="BV587">
        <v>9</v>
      </c>
      <c r="BW587" s="1" t="s">
        <v>90</v>
      </c>
    </row>
    <row r="588" spans="1:75" hidden="1" x14ac:dyDescent="0.35">
      <c r="A588">
        <v>134481</v>
      </c>
      <c r="B588" s="1" t="s">
        <v>75</v>
      </c>
      <c r="C588">
        <v>80</v>
      </c>
      <c r="D588">
        <v>11121002</v>
      </c>
      <c r="E588">
        <v>121002</v>
      </c>
      <c r="F588" s="1" t="s">
        <v>2915</v>
      </c>
      <c r="G588" s="1" t="s">
        <v>3482</v>
      </c>
      <c r="I588" s="1" t="s">
        <v>78</v>
      </c>
      <c r="J588" s="1" t="s">
        <v>3483</v>
      </c>
      <c r="K588" s="1" t="s">
        <v>3484</v>
      </c>
      <c r="L588" t="s">
        <v>91</v>
      </c>
      <c r="M588" t="s">
        <v>91</v>
      </c>
      <c r="N588" s="1" t="s">
        <v>2812</v>
      </c>
      <c r="O588" t="s">
        <v>91</v>
      </c>
      <c r="P588" s="1" t="s">
        <v>3485</v>
      </c>
      <c r="Q588" s="1" t="s">
        <v>2300</v>
      </c>
      <c r="R588" s="1" t="s">
        <v>3486</v>
      </c>
      <c r="S588">
        <v>1259</v>
      </c>
      <c r="T588">
        <v>88117290</v>
      </c>
      <c r="U588" s="1" t="s">
        <v>2957</v>
      </c>
      <c r="V588" s="1" t="s">
        <v>2958</v>
      </c>
      <c r="W588" s="1" t="s">
        <v>87</v>
      </c>
      <c r="X588">
        <v>48</v>
      </c>
      <c r="Y588">
        <v>30352477</v>
      </c>
      <c r="Z588" t="s">
        <v>91</v>
      </c>
      <c r="AA588" t="s">
        <v>91</v>
      </c>
      <c r="AB588" t="s">
        <v>91</v>
      </c>
      <c r="AC588" t="s">
        <v>91</v>
      </c>
      <c r="AD588" t="s">
        <v>91</v>
      </c>
      <c r="AE588" t="s">
        <v>91</v>
      </c>
      <c r="AF588" t="s">
        <v>91</v>
      </c>
      <c r="AG588" s="1" t="s">
        <v>91</v>
      </c>
      <c r="AH588" s="1" t="s">
        <v>91</v>
      </c>
      <c r="AI588" t="s">
        <v>91</v>
      </c>
      <c r="AM588" t="s">
        <v>91</v>
      </c>
      <c r="AN588" t="s">
        <v>91</v>
      </c>
      <c r="AO588" t="s">
        <v>91</v>
      </c>
      <c r="AP588" t="s">
        <v>91</v>
      </c>
      <c r="AQ588" s="1" t="s">
        <v>91</v>
      </c>
      <c r="AR588" s="1" t="s">
        <v>91</v>
      </c>
      <c r="AS588" s="1" t="s">
        <v>91</v>
      </c>
      <c r="AT588" s="1" t="s">
        <v>91</v>
      </c>
      <c r="AU588" s="1" t="s">
        <v>91</v>
      </c>
      <c r="AV588" t="s">
        <v>91</v>
      </c>
      <c r="AW588" t="s">
        <v>91</v>
      </c>
      <c r="AX588" t="s">
        <v>91</v>
      </c>
      <c r="AY588" t="s">
        <v>91</v>
      </c>
      <c r="AZ588" t="s">
        <v>91</v>
      </c>
      <c r="BA588" t="s">
        <v>91</v>
      </c>
      <c r="BB588" s="2"/>
      <c r="BC588" s="2"/>
      <c r="BD588" t="s">
        <v>91</v>
      </c>
      <c r="BF588" s="1" t="s">
        <v>75</v>
      </c>
      <c r="BI588" s="1" t="s">
        <v>88</v>
      </c>
      <c r="BJ588">
        <v>1</v>
      </c>
      <c r="BK588" s="1" t="s">
        <v>89</v>
      </c>
      <c r="BL588" t="s">
        <v>91</v>
      </c>
      <c r="BM588" s="1" t="s">
        <v>109</v>
      </c>
      <c r="BN588" s="1" t="s">
        <v>110</v>
      </c>
      <c r="BO588" s="1" t="s">
        <v>165</v>
      </c>
      <c r="BP588" s="1" t="s">
        <v>91</v>
      </c>
      <c r="BQ588" t="s">
        <v>91</v>
      </c>
      <c r="BR588" s="3"/>
      <c r="BS588" s="3"/>
      <c r="BT588" t="s">
        <v>91</v>
      </c>
      <c r="BU588" t="s">
        <v>91</v>
      </c>
      <c r="BV588">
        <v>1</v>
      </c>
      <c r="BW588" s="1" t="s">
        <v>3487</v>
      </c>
    </row>
    <row r="589" spans="1:75" hidden="1" x14ac:dyDescent="0.35">
      <c r="A589">
        <v>135253</v>
      </c>
      <c r="B589" s="1" t="s">
        <v>75</v>
      </c>
      <c r="C589">
        <v>80</v>
      </c>
      <c r="D589">
        <v>11121002</v>
      </c>
      <c r="E589">
        <v>121002</v>
      </c>
      <c r="F589" s="1" t="s">
        <v>2915</v>
      </c>
      <c r="G589" s="1" t="s">
        <v>3488</v>
      </c>
      <c r="H589">
        <v>0</v>
      </c>
      <c r="I589" s="1" t="s">
        <v>78</v>
      </c>
      <c r="J589" s="1" t="s">
        <v>3489</v>
      </c>
      <c r="K589" s="1" t="s">
        <v>3490</v>
      </c>
      <c r="L589" t="s">
        <v>91</v>
      </c>
      <c r="M589" t="s">
        <v>91</v>
      </c>
      <c r="N589" s="1" t="s">
        <v>1232</v>
      </c>
      <c r="O589" t="s">
        <v>91</v>
      </c>
      <c r="P589" s="1" t="s">
        <v>3491</v>
      </c>
      <c r="Q589" s="1" t="s">
        <v>3439</v>
      </c>
      <c r="R589" s="1" t="s">
        <v>3492</v>
      </c>
      <c r="S589">
        <v>1257</v>
      </c>
      <c r="T589">
        <v>88058001</v>
      </c>
      <c r="U589" s="1" t="s">
        <v>3311</v>
      </c>
      <c r="V589" s="1" t="s">
        <v>2922</v>
      </c>
      <c r="W589" s="1" t="s">
        <v>87</v>
      </c>
      <c r="X589">
        <v>48</v>
      </c>
      <c r="Y589">
        <v>30677570</v>
      </c>
      <c r="Z589" t="s">
        <v>91</v>
      </c>
      <c r="AA589" t="s">
        <v>91</v>
      </c>
      <c r="AB589" t="s">
        <v>91</v>
      </c>
      <c r="AC589" t="s">
        <v>91</v>
      </c>
      <c r="AD589" t="s">
        <v>91</v>
      </c>
      <c r="AE589" t="s">
        <v>91</v>
      </c>
      <c r="AF589" t="s">
        <v>91</v>
      </c>
      <c r="AG589" s="1" t="s">
        <v>91</v>
      </c>
      <c r="AH589" s="1" t="s">
        <v>91</v>
      </c>
      <c r="AI589" t="s">
        <v>91</v>
      </c>
      <c r="AM589" t="s">
        <v>91</v>
      </c>
      <c r="AN589" t="s">
        <v>91</v>
      </c>
      <c r="AO589" t="s">
        <v>91</v>
      </c>
      <c r="AP589" t="s">
        <v>91</v>
      </c>
      <c r="AQ589" s="1" t="s">
        <v>91</v>
      </c>
      <c r="AR589" s="1" t="s">
        <v>91</v>
      </c>
      <c r="AS589" s="1" t="s">
        <v>91</v>
      </c>
      <c r="AT589" s="1" t="s">
        <v>91</v>
      </c>
      <c r="AU589" s="1" t="s">
        <v>91</v>
      </c>
      <c r="AV589" t="s">
        <v>91</v>
      </c>
      <c r="AW589" t="s">
        <v>91</v>
      </c>
      <c r="AX589" t="s">
        <v>91</v>
      </c>
      <c r="AY589" t="s">
        <v>91</v>
      </c>
      <c r="AZ589" t="s">
        <v>91</v>
      </c>
      <c r="BA589" t="s">
        <v>91</v>
      </c>
      <c r="BB589" s="2">
        <v>44326.512731481482</v>
      </c>
      <c r="BC589" s="2"/>
      <c r="BD589" t="s">
        <v>91</v>
      </c>
      <c r="BF589" s="1" t="s">
        <v>75</v>
      </c>
      <c r="BI589" s="1" t="s">
        <v>88</v>
      </c>
      <c r="BJ589">
        <v>1</v>
      </c>
      <c r="BK589" s="1" t="s">
        <v>89</v>
      </c>
      <c r="BL589" t="s">
        <v>91</v>
      </c>
      <c r="BM589" s="1" t="s">
        <v>197</v>
      </c>
      <c r="BN589" s="1" t="s">
        <v>110</v>
      </c>
      <c r="BO589" s="1" t="s">
        <v>165</v>
      </c>
      <c r="BP589" s="1" t="s">
        <v>91</v>
      </c>
      <c r="BQ589" t="s">
        <v>91</v>
      </c>
      <c r="BR589" s="3">
        <v>44326</v>
      </c>
      <c r="BS589" s="3"/>
      <c r="BT589" t="s">
        <v>91</v>
      </c>
      <c r="BU589" t="s">
        <v>91</v>
      </c>
      <c r="BW589" s="1" t="s">
        <v>804</v>
      </c>
    </row>
    <row r="590" spans="1:75" hidden="1" x14ac:dyDescent="0.35">
      <c r="A590">
        <v>157638</v>
      </c>
      <c r="B590" s="1" t="s">
        <v>75</v>
      </c>
      <c r="C590">
        <v>80</v>
      </c>
      <c r="D590">
        <v>11121002</v>
      </c>
      <c r="E590">
        <v>121002</v>
      </c>
      <c r="F590" s="1" t="s">
        <v>2915</v>
      </c>
      <c r="G590" s="1" t="s">
        <v>3493</v>
      </c>
      <c r="H590">
        <v>0</v>
      </c>
      <c r="I590" s="1" t="s">
        <v>78</v>
      </c>
      <c r="J590" s="1" t="s">
        <v>3494</v>
      </c>
      <c r="K590" s="1" t="s">
        <v>3495</v>
      </c>
      <c r="L590" t="s">
        <v>91</v>
      </c>
      <c r="M590" t="s">
        <v>91</v>
      </c>
      <c r="N590" s="1" t="s">
        <v>3496</v>
      </c>
      <c r="O590" t="s">
        <v>91</v>
      </c>
      <c r="P590" s="1" t="s">
        <v>3497</v>
      </c>
      <c r="Q590" s="1" t="s">
        <v>3498</v>
      </c>
      <c r="R590" s="1" t="s">
        <v>3499</v>
      </c>
      <c r="T590">
        <v>88901004</v>
      </c>
      <c r="U590" s="1" t="s">
        <v>3500</v>
      </c>
      <c r="V590" s="1" t="s">
        <v>3095</v>
      </c>
      <c r="W590" s="1" t="s">
        <v>87</v>
      </c>
      <c r="X590">
        <v>48</v>
      </c>
      <c r="Y590">
        <v>996316601</v>
      </c>
      <c r="Z590" t="s">
        <v>91</v>
      </c>
      <c r="AA590" t="s">
        <v>91</v>
      </c>
      <c r="AB590" t="s">
        <v>91</v>
      </c>
      <c r="AC590" t="s">
        <v>91</v>
      </c>
      <c r="AD590" t="s">
        <v>91</v>
      </c>
      <c r="AE590" t="s">
        <v>91</v>
      </c>
      <c r="AF590" t="s">
        <v>91</v>
      </c>
      <c r="AG590" s="1" t="s">
        <v>91</v>
      </c>
      <c r="AH590" s="1" t="s">
        <v>91</v>
      </c>
      <c r="AI590" t="s">
        <v>91</v>
      </c>
      <c r="AM590" t="s">
        <v>91</v>
      </c>
      <c r="AN590" t="s">
        <v>91</v>
      </c>
      <c r="AO590" t="s">
        <v>91</v>
      </c>
      <c r="AP590" t="s">
        <v>91</v>
      </c>
      <c r="AQ590" s="1" t="s">
        <v>91</v>
      </c>
      <c r="AR590" s="1" t="s">
        <v>91</v>
      </c>
      <c r="AS590" s="1" t="s">
        <v>91</v>
      </c>
      <c r="AT590" s="1" t="s">
        <v>91</v>
      </c>
      <c r="AU590" s="1" t="s">
        <v>91</v>
      </c>
      <c r="AV590" t="s">
        <v>91</v>
      </c>
      <c r="AW590" t="s">
        <v>91</v>
      </c>
      <c r="AX590" t="s">
        <v>91</v>
      </c>
      <c r="AY590" t="s">
        <v>91</v>
      </c>
      <c r="AZ590" t="s">
        <v>91</v>
      </c>
      <c r="BA590" t="s">
        <v>91</v>
      </c>
      <c r="BB590" s="2">
        <v>45118.097175925926</v>
      </c>
      <c r="BC590" s="2"/>
      <c r="BD590" t="s">
        <v>91</v>
      </c>
      <c r="BF590" s="1" t="s">
        <v>75</v>
      </c>
      <c r="BI590" s="1" t="s">
        <v>88</v>
      </c>
      <c r="BJ590">
        <v>1</v>
      </c>
      <c r="BK590" s="1" t="s">
        <v>89</v>
      </c>
      <c r="BL590" t="s">
        <v>91</v>
      </c>
      <c r="BM590" s="1" t="s">
        <v>91</v>
      </c>
      <c r="BN590" s="1" t="s">
        <v>91</v>
      </c>
      <c r="BO590" s="1" t="s">
        <v>91</v>
      </c>
      <c r="BP590" s="1" t="s">
        <v>91</v>
      </c>
      <c r="BQ590" t="s">
        <v>91</v>
      </c>
      <c r="BR590" s="3">
        <v>45118</v>
      </c>
      <c r="BS590" s="3"/>
      <c r="BT590" t="s">
        <v>91</v>
      </c>
      <c r="BU590" t="s">
        <v>91</v>
      </c>
      <c r="BW590" s="1" t="s">
        <v>1205</v>
      </c>
    </row>
    <row r="591" spans="1:75" hidden="1" x14ac:dyDescent="0.35">
      <c r="A591">
        <v>134430</v>
      </c>
      <c r="B591" s="1" t="s">
        <v>75</v>
      </c>
      <c r="C591">
        <v>80</v>
      </c>
      <c r="D591">
        <v>11121002</v>
      </c>
      <c r="E591">
        <v>121002</v>
      </c>
      <c r="F591" s="1" t="s">
        <v>2915</v>
      </c>
      <c r="G591" s="1" t="s">
        <v>3501</v>
      </c>
      <c r="I591" s="1" t="s">
        <v>78</v>
      </c>
      <c r="J591" s="1" t="s">
        <v>3502</v>
      </c>
      <c r="K591" s="1" t="s">
        <v>3503</v>
      </c>
      <c r="L591" t="s">
        <v>91</v>
      </c>
      <c r="M591" t="s">
        <v>91</v>
      </c>
      <c r="N591" s="1" t="s">
        <v>3504</v>
      </c>
      <c r="O591" t="s">
        <v>91</v>
      </c>
      <c r="P591" s="1" t="s">
        <v>3505</v>
      </c>
      <c r="Q591" s="1" t="s">
        <v>3506</v>
      </c>
      <c r="R591" s="1" t="s">
        <v>91</v>
      </c>
      <c r="T591">
        <v>88054150</v>
      </c>
      <c r="U591" s="1" t="s">
        <v>3507</v>
      </c>
      <c r="V591" s="1" t="s">
        <v>3102</v>
      </c>
      <c r="W591" s="1" t="s">
        <v>87</v>
      </c>
      <c r="X591">
        <v>48</v>
      </c>
      <c r="Y591">
        <v>32079026</v>
      </c>
      <c r="Z591" t="s">
        <v>91</v>
      </c>
      <c r="AA591" t="s">
        <v>91</v>
      </c>
      <c r="AB591" t="s">
        <v>91</v>
      </c>
      <c r="AC591" t="s">
        <v>91</v>
      </c>
      <c r="AD591" t="s">
        <v>91</v>
      </c>
      <c r="AE591" t="s">
        <v>91</v>
      </c>
      <c r="AF591" t="s">
        <v>91</v>
      </c>
      <c r="AG591" s="1" t="s">
        <v>146</v>
      </c>
      <c r="AH591" s="1" t="s">
        <v>91</v>
      </c>
      <c r="AI591" t="s">
        <v>91</v>
      </c>
      <c r="AM591" t="s">
        <v>91</v>
      </c>
      <c r="AN591" t="s">
        <v>91</v>
      </c>
      <c r="AO591" t="s">
        <v>91</v>
      </c>
      <c r="AP591" t="s">
        <v>91</v>
      </c>
      <c r="AQ591" s="1" t="s">
        <v>147</v>
      </c>
      <c r="AR591" s="1" t="s">
        <v>147</v>
      </c>
      <c r="AS591" s="1" t="s">
        <v>147</v>
      </c>
      <c r="AT591" s="1" t="s">
        <v>147</v>
      </c>
      <c r="AU591" s="1" t="s">
        <v>147</v>
      </c>
      <c r="AV591" t="s">
        <v>91</v>
      </c>
      <c r="AW591" t="s">
        <v>91</v>
      </c>
      <c r="AX591" t="s">
        <v>91</v>
      </c>
      <c r="AY591" t="s">
        <v>91</v>
      </c>
      <c r="AZ591" t="s">
        <v>91</v>
      </c>
      <c r="BA591" t="s">
        <v>91</v>
      </c>
      <c r="BB591" s="2"/>
      <c r="BC591" s="2">
        <v>44687.59579861111</v>
      </c>
      <c r="BD591" t="s">
        <v>91</v>
      </c>
      <c r="BF591" s="1" t="s">
        <v>75</v>
      </c>
      <c r="BH591">
        <v>0</v>
      </c>
      <c r="BI591" s="1" t="s">
        <v>88</v>
      </c>
      <c r="BJ591">
        <v>1</v>
      </c>
      <c r="BK591" s="1" t="s">
        <v>89</v>
      </c>
      <c r="BL591" t="s">
        <v>91</v>
      </c>
      <c r="BM591" s="1" t="s">
        <v>109</v>
      </c>
      <c r="BN591" s="1" t="s">
        <v>110</v>
      </c>
      <c r="BO591" s="1" t="s">
        <v>180</v>
      </c>
      <c r="BP591" s="1" t="s">
        <v>91</v>
      </c>
      <c r="BQ591" t="s">
        <v>91</v>
      </c>
      <c r="BR591" s="3"/>
      <c r="BS591" s="3">
        <v>44687</v>
      </c>
      <c r="BT591" t="s">
        <v>91</v>
      </c>
      <c r="BU591" t="s">
        <v>91</v>
      </c>
      <c r="BW591" s="1" t="s">
        <v>295</v>
      </c>
    </row>
    <row r="592" spans="1:75" hidden="1" x14ac:dyDescent="0.35">
      <c r="A592">
        <v>156914</v>
      </c>
      <c r="B592" s="1" t="s">
        <v>75</v>
      </c>
      <c r="C592">
        <v>80</v>
      </c>
      <c r="D592">
        <v>11121002</v>
      </c>
      <c r="E592">
        <v>121002</v>
      </c>
      <c r="F592" s="1" t="s">
        <v>2915</v>
      </c>
      <c r="G592" s="1" t="s">
        <v>3508</v>
      </c>
      <c r="H592">
        <v>0</v>
      </c>
      <c r="I592" s="1" t="s">
        <v>78</v>
      </c>
      <c r="J592" s="1" t="s">
        <v>3509</v>
      </c>
      <c r="K592" s="1" t="s">
        <v>3510</v>
      </c>
      <c r="L592" t="s">
        <v>91</v>
      </c>
      <c r="M592" t="s">
        <v>91</v>
      </c>
      <c r="N592" s="1" t="s">
        <v>3511</v>
      </c>
      <c r="O592" t="s">
        <v>91</v>
      </c>
      <c r="P592" s="1" t="s">
        <v>3512</v>
      </c>
      <c r="Q592" s="1" t="s">
        <v>3513</v>
      </c>
      <c r="R592" s="1" t="s">
        <v>91</v>
      </c>
      <c r="S592">
        <v>1269</v>
      </c>
      <c r="T592">
        <v>88830000</v>
      </c>
      <c r="U592" s="1" t="s">
        <v>3514</v>
      </c>
      <c r="V592" s="1" t="s">
        <v>3515</v>
      </c>
      <c r="W592" s="1" t="s">
        <v>87</v>
      </c>
      <c r="X592">
        <v>48</v>
      </c>
      <c r="Y592">
        <v>991846977</v>
      </c>
      <c r="Z592" t="s">
        <v>91</v>
      </c>
      <c r="AA592" t="s">
        <v>91</v>
      </c>
      <c r="AB592" t="s">
        <v>91</v>
      </c>
      <c r="AC592" t="s">
        <v>91</v>
      </c>
      <c r="AD592" t="s">
        <v>91</v>
      </c>
      <c r="AE592" t="s">
        <v>91</v>
      </c>
      <c r="AF592" t="s">
        <v>91</v>
      </c>
      <c r="AG592" s="1" t="s">
        <v>91</v>
      </c>
      <c r="AH592" s="1" t="s">
        <v>91</v>
      </c>
      <c r="AI592" t="s">
        <v>91</v>
      </c>
      <c r="AM592" t="s">
        <v>91</v>
      </c>
      <c r="AN592" t="s">
        <v>91</v>
      </c>
      <c r="AO592" t="s">
        <v>91</v>
      </c>
      <c r="AP592" t="s">
        <v>91</v>
      </c>
      <c r="AQ592" s="1" t="s">
        <v>91</v>
      </c>
      <c r="AR592" s="1" t="s">
        <v>91</v>
      </c>
      <c r="AS592" s="1" t="s">
        <v>91</v>
      </c>
      <c r="AT592" s="1" t="s">
        <v>91</v>
      </c>
      <c r="AU592" s="1" t="s">
        <v>91</v>
      </c>
      <c r="AV592" t="s">
        <v>91</v>
      </c>
      <c r="AW592" t="s">
        <v>91</v>
      </c>
      <c r="AX592" t="s">
        <v>91</v>
      </c>
      <c r="AY592" t="s">
        <v>91</v>
      </c>
      <c r="AZ592" t="s">
        <v>91</v>
      </c>
      <c r="BA592" t="s">
        <v>91</v>
      </c>
      <c r="BB592" s="2">
        <v>45113.505416666667</v>
      </c>
      <c r="BC592" s="2"/>
      <c r="BD592" t="s">
        <v>91</v>
      </c>
      <c r="BF592" s="1" t="s">
        <v>75</v>
      </c>
      <c r="BI592" s="1" t="s">
        <v>88</v>
      </c>
      <c r="BJ592">
        <v>1</v>
      </c>
      <c r="BK592" s="1" t="s">
        <v>89</v>
      </c>
      <c r="BL592" t="s">
        <v>91</v>
      </c>
      <c r="BM592" s="1" t="s">
        <v>91</v>
      </c>
      <c r="BN592" s="1" t="s">
        <v>91</v>
      </c>
      <c r="BO592" s="1" t="s">
        <v>91</v>
      </c>
      <c r="BP592" s="1" t="s">
        <v>91</v>
      </c>
      <c r="BQ592" t="s">
        <v>91</v>
      </c>
      <c r="BR592" s="3">
        <v>45113</v>
      </c>
      <c r="BS592" s="3"/>
      <c r="BT592" t="s">
        <v>91</v>
      </c>
      <c r="BU592" t="s">
        <v>91</v>
      </c>
      <c r="BW592" s="1" t="s">
        <v>90</v>
      </c>
    </row>
    <row r="593" spans="1:75" hidden="1" x14ac:dyDescent="0.35">
      <c r="A593">
        <v>159588</v>
      </c>
      <c r="B593" s="1" t="s">
        <v>75</v>
      </c>
      <c r="C593">
        <v>80</v>
      </c>
      <c r="D593">
        <v>11121002</v>
      </c>
      <c r="E593">
        <v>121002</v>
      </c>
      <c r="F593" s="1" t="s">
        <v>2915</v>
      </c>
      <c r="G593" s="1" t="s">
        <v>3516</v>
      </c>
      <c r="I593" s="1" t="s">
        <v>78</v>
      </c>
      <c r="J593" s="1" t="s">
        <v>3517</v>
      </c>
      <c r="K593" s="1" t="s">
        <v>3518</v>
      </c>
      <c r="L593" t="s">
        <v>91</v>
      </c>
      <c r="M593" t="s">
        <v>91</v>
      </c>
      <c r="N593" s="1" t="s">
        <v>3511</v>
      </c>
      <c r="O593" t="s">
        <v>91</v>
      </c>
      <c r="P593" s="1" t="s">
        <v>3512</v>
      </c>
      <c r="Q593" s="1" t="s">
        <v>3513</v>
      </c>
      <c r="R593" s="1" t="s">
        <v>91</v>
      </c>
      <c r="S593">
        <v>1257</v>
      </c>
      <c r="T593">
        <v>88030000</v>
      </c>
      <c r="U593" s="1" t="s">
        <v>3519</v>
      </c>
      <c r="V593" s="1" t="s">
        <v>3515</v>
      </c>
      <c r="W593" s="1" t="s">
        <v>87</v>
      </c>
      <c r="X593">
        <v>48</v>
      </c>
      <c r="Y593">
        <v>999763094</v>
      </c>
      <c r="Z593" t="s">
        <v>91</v>
      </c>
      <c r="AA593" t="s">
        <v>91</v>
      </c>
      <c r="AB593" t="s">
        <v>91</v>
      </c>
      <c r="AC593" t="s">
        <v>91</v>
      </c>
      <c r="AD593" t="s">
        <v>91</v>
      </c>
      <c r="AE593" t="s">
        <v>91</v>
      </c>
      <c r="AF593" t="s">
        <v>91</v>
      </c>
      <c r="AG593" s="1" t="s">
        <v>91</v>
      </c>
      <c r="AH593" s="1" t="s">
        <v>91</v>
      </c>
      <c r="AI593" t="s">
        <v>91</v>
      </c>
      <c r="AM593" t="s">
        <v>91</v>
      </c>
      <c r="AN593" t="s">
        <v>91</v>
      </c>
      <c r="AO593" t="s">
        <v>91</v>
      </c>
      <c r="AP593" t="s">
        <v>91</v>
      </c>
      <c r="AQ593" s="1" t="s">
        <v>91</v>
      </c>
      <c r="AR593" s="1" t="s">
        <v>91</v>
      </c>
      <c r="AS593" s="1" t="s">
        <v>91</v>
      </c>
      <c r="AT593" s="1" t="s">
        <v>91</v>
      </c>
      <c r="AU593" s="1" t="s">
        <v>91</v>
      </c>
      <c r="AV593" t="s">
        <v>91</v>
      </c>
      <c r="AW593" t="s">
        <v>91</v>
      </c>
      <c r="AX593" t="s">
        <v>91</v>
      </c>
      <c r="AY593" t="s">
        <v>91</v>
      </c>
      <c r="AZ593" t="s">
        <v>91</v>
      </c>
      <c r="BA593" t="s">
        <v>91</v>
      </c>
      <c r="BB593" s="2">
        <v>45194.491122685184</v>
      </c>
      <c r="BC593" s="2"/>
      <c r="BD593" t="s">
        <v>91</v>
      </c>
      <c r="BF593" s="1" t="s">
        <v>75</v>
      </c>
      <c r="BI593" s="1" t="s">
        <v>88</v>
      </c>
      <c r="BJ593">
        <v>1</v>
      </c>
      <c r="BK593" s="1" t="s">
        <v>89</v>
      </c>
      <c r="BL593" t="s">
        <v>91</v>
      </c>
      <c r="BM593" s="1" t="s">
        <v>91</v>
      </c>
      <c r="BN593" s="1" t="s">
        <v>91</v>
      </c>
      <c r="BO593" s="1" t="s">
        <v>91</v>
      </c>
      <c r="BP593" s="1" t="s">
        <v>91</v>
      </c>
      <c r="BQ593" t="s">
        <v>91</v>
      </c>
      <c r="BR593" s="3">
        <v>45194</v>
      </c>
      <c r="BS593" s="3"/>
      <c r="BT593" t="s">
        <v>91</v>
      </c>
      <c r="BU593" t="s">
        <v>91</v>
      </c>
      <c r="BW593" s="1" t="s">
        <v>90</v>
      </c>
    </row>
    <row r="594" spans="1:75" hidden="1" x14ac:dyDescent="0.35">
      <c r="A594">
        <v>156898</v>
      </c>
      <c r="B594" s="1" t="s">
        <v>75</v>
      </c>
      <c r="C594">
        <v>80</v>
      </c>
      <c r="D594">
        <v>11121002</v>
      </c>
      <c r="E594">
        <v>121002</v>
      </c>
      <c r="F594" s="1" t="s">
        <v>2915</v>
      </c>
      <c r="G594" s="1" t="s">
        <v>3520</v>
      </c>
      <c r="H594">
        <v>0</v>
      </c>
      <c r="I594" s="1" t="s">
        <v>78</v>
      </c>
      <c r="J594" s="1" t="s">
        <v>3521</v>
      </c>
      <c r="K594" s="1" t="s">
        <v>3522</v>
      </c>
      <c r="L594" t="s">
        <v>91</v>
      </c>
      <c r="M594" t="s">
        <v>91</v>
      </c>
      <c r="N594" s="1" t="s">
        <v>3511</v>
      </c>
      <c r="O594" t="s">
        <v>91</v>
      </c>
      <c r="P594" s="1" t="s">
        <v>3523</v>
      </c>
      <c r="Q594" s="1" t="s">
        <v>2172</v>
      </c>
      <c r="R594" s="1" t="s">
        <v>91</v>
      </c>
      <c r="S594">
        <v>1268</v>
      </c>
      <c r="T594">
        <v>88710000</v>
      </c>
      <c r="U594" s="1" t="s">
        <v>108</v>
      </c>
      <c r="V594" s="1" t="s">
        <v>3072</v>
      </c>
      <c r="W594" s="1" t="s">
        <v>87</v>
      </c>
      <c r="X594">
        <v>48</v>
      </c>
      <c r="Y594">
        <v>991636276</v>
      </c>
      <c r="Z594" t="s">
        <v>91</v>
      </c>
      <c r="AA594" t="s">
        <v>91</v>
      </c>
      <c r="AB594" t="s">
        <v>91</v>
      </c>
      <c r="AC594" t="s">
        <v>91</v>
      </c>
      <c r="AD594" t="s">
        <v>91</v>
      </c>
      <c r="AE594" t="s">
        <v>91</v>
      </c>
      <c r="AF594" t="s">
        <v>91</v>
      </c>
      <c r="AG594" s="1" t="s">
        <v>91</v>
      </c>
      <c r="AH594" s="1" t="s">
        <v>91</v>
      </c>
      <c r="AI594" t="s">
        <v>91</v>
      </c>
      <c r="AM594" t="s">
        <v>91</v>
      </c>
      <c r="AN594" t="s">
        <v>91</v>
      </c>
      <c r="AO594" t="s">
        <v>91</v>
      </c>
      <c r="AP594" t="s">
        <v>91</v>
      </c>
      <c r="AQ594" s="1" t="s">
        <v>91</v>
      </c>
      <c r="AR594" s="1" t="s">
        <v>91</v>
      </c>
      <c r="AS594" s="1" t="s">
        <v>91</v>
      </c>
      <c r="AT594" s="1" t="s">
        <v>91</v>
      </c>
      <c r="AU594" s="1" t="s">
        <v>91</v>
      </c>
      <c r="AV594" t="s">
        <v>91</v>
      </c>
      <c r="AW594" t="s">
        <v>91</v>
      </c>
      <c r="AX594" t="s">
        <v>91</v>
      </c>
      <c r="AY594" t="s">
        <v>91</v>
      </c>
      <c r="AZ594" t="s">
        <v>91</v>
      </c>
      <c r="BA594" t="s">
        <v>91</v>
      </c>
      <c r="BB594" s="2">
        <v>45113.505416666667</v>
      </c>
      <c r="BC594" s="2"/>
      <c r="BD594" t="s">
        <v>91</v>
      </c>
      <c r="BF594" s="1" t="s">
        <v>75</v>
      </c>
      <c r="BI594" s="1" t="s">
        <v>88</v>
      </c>
      <c r="BJ594">
        <v>1</v>
      </c>
      <c r="BK594" s="1" t="s">
        <v>89</v>
      </c>
      <c r="BL594" t="s">
        <v>91</v>
      </c>
      <c r="BM594" s="1" t="s">
        <v>91</v>
      </c>
      <c r="BN594" s="1" t="s">
        <v>91</v>
      </c>
      <c r="BO594" s="1" t="s">
        <v>91</v>
      </c>
      <c r="BP594" s="1" t="s">
        <v>91</v>
      </c>
      <c r="BQ594" t="s">
        <v>91</v>
      </c>
      <c r="BR594" s="3">
        <v>45113</v>
      </c>
      <c r="BS594" s="3"/>
      <c r="BT594" t="s">
        <v>91</v>
      </c>
      <c r="BU594" t="s">
        <v>91</v>
      </c>
      <c r="BW594" s="1" t="s">
        <v>90</v>
      </c>
    </row>
    <row r="595" spans="1:75" hidden="1" x14ac:dyDescent="0.35">
      <c r="A595">
        <v>144501</v>
      </c>
      <c r="B595" s="1" t="s">
        <v>75</v>
      </c>
      <c r="C595">
        <v>80</v>
      </c>
      <c r="D595">
        <v>11121002</v>
      </c>
      <c r="E595">
        <v>121002</v>
      </c>
      <c r="F595" s="1" t="s">
        <v>2915</v>
      </c>
      <c r="G595" s="1" t="s">
        <v>3524</v>
      </c>
      <c r="I595" s="1" t="s">
        <v>78</v>
      </c>
      <c r="J595" s="1" t="s">
        <v>3525</v>
      </c>
      <c r="K595" s="1" t="s">
        <v>3526</v>
      </c>
      <c r="L595" t="s">
        <v>91</v>
      </c>
      <c r="M595" t="s">
        <v>91</v>
      </c>
      <c r="N595" s="1" t="s">
        <v>3356</v>
      </c>
      <c r="O595" t="s">
        <v>91</v>
      </c>
      <c r="P595" s="1" t="s">
        <v>3357</v>
      </c>
      <c r="Q595" s="1" t="s">
        <v>1394</v>
      </c>
      <c r="R595" s="1" t="s">
        <v>1411</v>
      </c>
      <c r="S595">
        <v>1268</v>
      </c>
      <c r="T595">
        <v>88790000</v>
      </c>
      <c r="U595" s="1" t="s">
        <v>3358</v>
      </c>
      <c r="V595" s="1" t="s">
        <v>2971</v>
      </c>
      <c r="W595" s="1" t="s">
        <v>87</v>
      </c>
      <c r="X595">
        <v>48</v>
      </c>
      <c r="Y595">
        <v>36441657</v>
      </c>
      <c r="Z595" t="s">
        <v>91</v>
      </c>
      <c r="AA595" t="s">
        <v>91</v>
      </c>
      <c r="AB595" t="s">
        <v>91</v>
      </c>
      <c r="AC595" t="s">
        <v>91</v>
      </c>
      <c r="AD595" t="s">
        <v>91</v>
      </c>
      <c r="AE595" t="s">
        <v>91</v>
      </c>
      <c r="AF595" t="s">
        <v>91</v>
      </c>
      <c r="AG595" s="1" t="s">
        <v>91</v>
      </c>
      <c r="AH595" s="1" t="s">
        <v>91</v>
      </c>
      <c r="AI595" t="s">
        <v>91</v>
      </c>
      <c r="AJ595">
        <v>0</v>
      </c>
      <c r="AK595">
        <v>0</v>
      </c>
      <c r="AL595">
        <v>0</v>
      </c>
      <c r="AM595" t="s">
        <v>91</v>
      </c>
      <c r="AN595" t="s">
        <v>91</v>
      </c>
      <c r="AO595" t="s">
        <v>91</v>
      </c>
      <c r="AP595" t="s">
        <v>91</v>
      </c>
      <c r="AQ595" s="1" t="s">
        <v>91</v>
      </c>
      <c r="AR595" s="1" t="s">
        <v>91</v>
      </c>
      <c r="AS595" s="1" t="s">
        <v>91</v>
      </c>
      <c r="AT595" s="1" t="s">
        <v>91</v>
      </c>
      <c r="AU595" s="1" t="s">
        <v>91</v>
      </c>
      <c r="AV595" t="s">
        <v>91</v>
      </c>
      <c r="AW595" t="s">
        <v>91</v>
      </c>
      <c r="AX595" t="s">
        <v>91</v>
      </c>
      <c r="AY595" t="s">
        <v>91</v>
      </c>
      <c r="AZ595" t="s">
        <v>91</v>
      </c>
      <c r="BA595" t="s">
        <v>91</v>
      </c>
      <c r="BB595" s="2"/>
      <c r="BC595" s="2"/>
      <c r="BD595" t="s">
        <v>91</v>
      </c>
      <c r="BF595" s="1" t="s">
        <v>75</v>
      </c>
      <c r="BG595">
        <v>0</v>
      </c>
      <c r="BH595">
        <v>0</v>
      </c>
      <c r="BI595" s="1" t="s">
        <v>88</v>
      </c>
      <c r="BJ595">
        <v>1</v>
      </c>
      <c r="BK595" s="1" t="s">
        <v>89</v>
      </c>
      <c r="BL595" t="s">
        <v>91</v>
      </c>
      <c r="BM595" s="1" t="s">
        <v>197</v>
      </c>
      <c r="BN595" s="1" t="s">
        <v>148</v>
      </c>
      <c r="BO595" s="1" t="s">
        <v>165</v>
      </c>
      <c r="BP595" s="1" t="s">
        <v>91</v>
      </c>
      <c r="BQ595" t="s">
        <v>91</v>
      </c>
      <c r="BR595" s="3"/>
      <c r="BS595" s="3"/>
      <c r="BT595" t="s">
        <v>91</v>
      </c>
      <c r="BU595" t="s">
        <v>91</v>
      </c>
      <c r="BV595">
        <v>1</v>
      </c>
      <c r="BW595" s="1" t="s">
        <v>295</v>
      </c>
    </row>
    <row r="596" spans="1:75" hidden="1" x14ac:dyDescent="0.35">
      <c r="A596">
        <v>134476</v>
      </c>
      <c r="B596" s="1" t="s">
        <v>75</v>
      </c>
      <c r="C596">
        <v>80</v>
      </c>
      <c r="D596">
        <v>11121002</v>
      </c>
      <c r="E596">
        <v>121002</v>
      </c>
      <c r="F596" s="1" t="s">
        <v>2915</v>
      </c>
      <c r="G596" s="1" t="s">
        <v>3527</v>
      </c>
      <c r="I596" s="1" t="s">
        <v>78</v>
      </c>
      <c r="J596" s="1" t="s">
        <v>3528</v>
      </c>
      <c r="K596" s="1" t="s">
        <v>3529</v>
      </c>
      <c r="L596" t="s">
        <v>91</v>
      </c>
      <c r="M596" t="s">
        <v>91</v>
      </c>
      <c r="N596" s="1" t="s">
        <v>2812</v>
      </c>
      <c r="O596" t="s">
        <v>91</v>
      </c>
      <c r="P596" s="1" t="s">
        <v>311</v>
      </c>
      <c r="Q596" s="1" t="s">
        <v>2762</v>
      </c>
      <c r="R596" s="1" t="s">
        <v>3530</v>
      </c>
      <c r="S596">
        <v>1254</v>
      </c>
      <c r="T596">
        <v>88010000</v>
      </c>
      <c r="U596" s="1" t="s">
        <v>108</v>
      </c>
      <c r="V596" s="1" t="s">
        <v>3102</v>
      </c>
      <c r="W596" s="1" t="s">
        <v>87</v>
      </c>
      <c r="X596">
        <v>48</v>
      </c>
      <c r="Y596">
        <v>32129037</v>
      </c>
      <c r="Z596" t="s">
        <v>91</v>
      </c>
      <c r="AA596" t="s">
        <v>91</v>
      </c>
      <c r="AB596" t="s">
        <v>91</v>
      </c>
      <c r="AC596" t="s">
        <v>91</v>
      </c>
      <c r="AD596" t="s">
        <v>91</v>
      </c>
      <c r="AE596" t="s">
        <v>91</v>
      </c>
      <c r="AF596" t="s">
        <v>91</v>
      </c>
      <c r="AG596" s="1" t="s">
        <v>146</v>
      </c>
      <c r="AH596" s="1" t="s">
        <v>91</v>
      </c>
      <c r="AI596" t="s">
        <v>91</v>
      </c>
      <c r="AM596" t="s">
        <v>91</v>
      </c>
      <c r="AN596" t="s">
        <v>91</v>
      </c>
      <c r="AO596" t="s">
        <v>91</v>
      </c>
      <c r="AP596" t="s">
        <v>91</v>
      </c>
      <c r="AQ596" s="1" t="s">
        <v>147</v>
      </c>
      <c r="AR596" s="1" t="s">
        <v>147</v>
      </c>
      <c r="AS596" s="1" t="s">
        <v>147</v>
      </c>
      <c r="AT596" s="1" t="s">
        <v>147</v>
      </c>
      <c r="AU596" s="1" t="s">
        <v>147</v>
      </c>
      <c r="AV596" t="s">
        <v>91</v>
      </c>
      <c r="AW596" t="s">
        <v>91</v>
      </c>
      <c r="AX596" t="s">
        <v>91</v>
      </c>
      <c r="AY596" t="s">
        <v>91</v>
      </c>
      <c r="AZ596" t="s">
        <v>91</v>
      </c>
      <c r="BA596" t="s">
        <v>91</v>
      </c>
      <c r="BB596" s="2"/>
      <c r="BC596" s="2">
        <v>44351.471990740742</v>
      </c>
      <c r="BD596" t="s">
        <v>91</v>
      </c>
      <c r="BF596" s="1" t="s">
        <v>75</v>
      </c>
      <c r="BH596">
        <v>0</v>
      </c>
      <c r="BI596" s="1" t="s">
        <v>88</v>
      </c>
      <c r="BJ596">
        <v>1</v>
      </c>
      <c r="BK596" s="1" t="s">
        <v>89</v>
      </c>
      <c r="BL596" t="s">
        <v>91</v>
      </c>
      <c r="BM596" s="1" t="s">
        <v>164</v>
      </c>
      <c r="BN596" s="1" t="s">
        <v>110</v>
      </c>
      <c r="BO596" s="1" t="s">
        <v>165</v>
      </c>
      <c r="BP596" s="1" t="s">
        <v>91</v>
      </c>
      <c r="BQ596" t="s">
        <v>91</v>
      </c>
      <c r="BR596" s="3"/>
      <c r="BS596" s="3">
        <v>44351</v>
      </c>
      <c r="BT596" t="s">
        <v>91</v>
      </c>
      <c r="BU596" t="s">
        <v>91</v>
      </c>
      <c r="BV596">
        <v>1</v>
      </c>
      <c r="BW596" s="1" t="s">
        <v>804</v>
      </c>
    </row>
    <row r="597" spans="1:75" hidden="1" x14ac:dyDescent="0.35">
      <c r="A597">
        <v>157623</v>
      </c>
      <c r="B597" s="1" t="s">
        <v>75</v>
      </c>
      <c r="C597">
        <v>80</v>
      </c>
      <c r="D597">
        <v>11121002</v>
      </c>
      <c r="E597">
        <v>121002</v>
      </c>
      <c r="F597" s="1" t="s">
        <v>2915</v>
      </c>
      <c r="G597" s="1" t="s">
        <v>3531</v>
      </c>
      <c r="H597">
        <v>0</v>
      </c>
      <c r="I597" s="1" t="s">
        <v>78</v>
      </c>
      <c r="J597" s="1" t="s">
        <v>3528</v>
      </c>
      <c r="K597" s="1" t="s">
        <v>3532</v>
      </c>
      <c r="L597" t="s">
        <v>91</v>
      </c>
      <c r="M597" t="s">
        <v>91</v>
      </c>
      <c r="N597" s="1" t="s">
        <v>2812</v>
      </c>
      <c r="O597" t="s">
        <v>91</v>
      </c>
      <c r="P597" s="1" t="s">
        <v>311</v>
      </c>
      <c r="Q597" s="1" t="s">
        <v>1846</v>
      </c>
      <c r="R597" s="1" t="s">
        <v>954</v>
      </c>
      <c r="S597">
        <v>1254</v>
      </c>
      <c r="T597">
        <v>88010001</v>
      </c>
      <c r="U597" s="1" t="s">
        <v>108</v>
      </c>
      <c r="V597" s="1" t="s">
        <v>2922</v>
      </c>
      <c r="W597" s="1" t="s">
        <v>87</v>
      </c>
      <c r="X597">
        <v>48</v>
      </c>
      <c r="Y597">
        <v>33339992</v>
      </c>
      <c r="Z597" t="s">
        <v>91</v>
      </c>
      <c r="AA597" t="s">
        <v>91</v>
      </c>
      <c r="AB597" t="s">
        <v>91</v>
      </c>
      <c r="AC597" t="s">
        <v>91</v>
      </c>
      <c r="AD597" t="s">
        <v>91</v>
      </c>
      <c r="AE597" t="s">
        <v>91</v>
      </c>
      <c r="AF597" t="s">
        <v>91</v>
      </c>
      <c r="AG597" s="1" t="s">
        <v>91</v>
      </c>
      <c r="AH597" s="1" t="s">
        <v>91</v>
      </c>
      <c r="AI597" t="s">
        <v>91</v>
      </c>
      <c r="AM597" t="s">
        <v>91</v>
      </c>
      <c r="AN597" t="s">
        <v>91</v>
      </c>
      <c r="AO597" t="s">
        <v>91</v>
      </c>
      <c r="AP597" t="s">
        <v>91</v>
      </c>
      <c r="AQ597" s="1" t="s">
        <v>91</v>
      </c>
      <c r="AR597" s="1" t="s">
        <v>91</v>
      </c>
      <c r="AS597" s="1" t="s">
        <v>91</v>
      </c>
      <c r="AT597" s="1" t="s">
        <v>91</v>
      </c>
      <c r="AU597" s="1" t="s">
        <v>91</v>
      </c>
      <c r="AV597" t="s">
        <v>91</v>
      </c>
      <c r="AW597" t="s">
        <v>91</v>
      </c>
      <c r="AX597" t="s">
        <v>91</v>
      </c>
      <c r="AY597" t="s">
        <v>91</v>
      </c>
      <c r="AZ597" t="s">
        <v>91</v>
      </c>
      <c r="BA597" t="s">
        <v>91</v>
      </c>
      <c r="BB597" s="2">
        <v>45118.097175925926</v>
      </c>
      <c r="BC597" s="2"/>
      <c r="BD597" t="s">
        <v>91</v>
      </c>
      <c r="BF597" s="1" t="s">
        <v>75</v>
      </c>
      <c r="BI597" s="1" t="s">
        <v>88</v>
      </c>
      <c r="BJ597">
        <v>1</v>
      </c>
      <c r="BK597" s="1" t="s">
        <v>89</v>
      </c>
      <c r="BL597" t="s">
        <v>91</v>
      </c>
      <c r="BM597" s="1" t="s">
        <v>91</v>
      </c>
      <c r="BN597" s="1" t="s">
        <v>91</v>
      </c>
      <c r="BO597" s="1" t="s">
        <v>91</v>
      </c>
      <c r="BP597" s="1" t="s">
        <v>91</v>
      </c>
      <c r="BQ597" t="s">
        <v>91</v>
      </c>
      <c r="BR597" s="3">
        <v>45118</v>
      </c>
      <c r="BS597" s="3"/>
      <c r="BT597" t="s">
        <v>91</v>
      </c>
      <c r="BU597" t="s">
        <v>91</v>
      </c>
      <c r="BW597" s="1" t="s">
        <v>90</v>
      </c>
    </row>
    <row r="598" spans="1:75" hidden="1" x14ac:dyDescent="0.35">
      <c r="A598">
        <v>22</v>
      </c>
      <c r="B598" s="1" t="s">
        <v>75</v>
      </c>
      <c r="C598">
        <v>80</v>
      </c>
      <c r="D598">
        <v>11121002</v>
      </c>
      <c r="E598">
        <v>121002</v>
      </c>
      <c r="F598" s="1" t="s">
        <v>2915</v>
      </c>
      <c r="G598" s="1" t="s">
        <v>3533</v>
      </c>
      <c r="I598" s="1" t="s">
        <v>78</v>
      </c>
      <c r="J598" s="1" t="s">
        <v>3534</v>
      </c>
      <c r="K598" s="1" t="s">
        <v>3535</v>
      </c>
      <c r="L598" t="s">
        <v>91</v>
      </c>
      <c r="M598" t="s">
        <v>91</v>
      </c>
      <c r="N598" s="1" t="s">
        <v>3536</v>
      </c>
      <c r="O598" t="s">
        <v>91</v>
      </c>
      <c r="P598" s="1" t="s">
        <v>3537</v>
      </c>
      <c r="Q598" s="1" t="s">
        <v>312</v>
      </c>
      <c r="R598" s="1" t="s">
        <v>91</v>
      </c>
      <c r="S598">
        <v>1269</v>
      </c>
      <c r="T598">
        <v>88811503</v>
      </c>
      <c r="U598" s="1" t="s">
        <v>108</v>
      </c>
      <c r="V598" s="1" t="s">
        <v>3231</v>
      </c>
      <c r="W598" s="1" t="s">
        <v>87</v>
      </c>
      <c r="X598">
        <v>48</v>
      </c>
      <c r="Y598">
        <v>34331001</v>
      </c>
      <c r="Z598" t="s">
        <v>91</v>
      </c>
      <c r="AA598" t="s">
        <v>91</v>
      </c>
      <c r="AB598" t="s">
        <v>91</v>
      </c>
      <c r="AC598" t="s">
        <v>91</v>
      </c>
      <c r="AD598" t="s">
        <v>91</v>
      </c>
      <c r="AE598" t="s">
        <v>91</v>
      </c>
      <c r="AF598" t="s">
        <v>91</v>
      </c>
      <c r="AG598" s="1" t="s">
        <v>91</v>
      </c>
      <c r="AH598" s="1" t="s">
        <v>91</v>
      </c>
      <c r="AI598" t="s">
        <v>91</v>
      </c>
      <c r="AJ598">
        <v>0</v>
      </c>
      <c r="AK598">
        <v>0</v>
      </c>
      <c r="AL598">
        <v>0</v>
      </c>
      <c r="AM598" t="s">
        <v>91</v>
      </c>
      <c r="AN598" t="s">
        <v>91</v>
      </c>
      <c r="AO598" t="s">
        <v>91</v>
      </c>
      <c r="AP598" t="s">
        <v>91</v>
      </c>
      <c r="AQ598" s="1" t="s">
        <v>91</v>
      </c>
      <c r="AR598" s="1" t="s">
        <v>91</v>
      </c>
      <c r="AS598" s="1" t="s">
        <v>91</v>
      </c>
      <c r="AT598" s="1" t="s">
        <v>91</v>
      </c>
      <c r="AU598" s="1" t="s">
        <v>91</v>
      </c>
      <c r="AV598" t="s">
        <v>91</v>
      </c>
      <c r="AW598" t="s">
        <v>91</v>
      </c>
      <c r="AX598" t="s">
        <v>91</v>
      </c>
      <c r="AY598" t="s">
        <v>91</v>
      </c>
      <c r="AZ598" t="s">
        <v>91</v>
      </c>
      <c r="BA598" t="s">
        <v>91</v>
      </c>
      <c r="BB598" s="2">
        <v>43308.39271990741</v>
      </c>
      <c r="BC598" s="2"/>
      <c r="BD598" t="s">
        <v>91</v>
      </c>
      <c r="BE598">
        <v>22</v>
      </c>
      <c r="BF598" s="1" t="s">
        <v>75</v>
      </c>
      <c r="BG598">
        <v>0</v>
      </c>
      <c r="BH598">
        <v>0</v>
      </c>
      <c r="BI598" s="1" t="s">
        <v>88</v>
      </c>
      <c r="BJ598">
        <v>1</v>
      </c>
      <c r="BK598" s="1" t="s">
        <v>89</v>
      </c>
      <c r="BL598" t="s">
        <v>91</v>
      </c>
      <c r="BM598" s="1" t="s">
        <v>109</v>
      </c>
      <c r="BN598" s="1" t="s">
        <v>110</v>
      </c>
      <c r="BO598" s="1" t="s">
        <v>180</v>
      </c>
      <c r="BP598" s="1" t="s">
        <v>91</v>
      </c>
      <c r="BQ598" t="s">
        <v>91</v>
      </c>
      <c r="BR598" s="3">
        <v>43308</v>
      </c>
      <c r="BS598" s="3"/>
      <c r="BT598" t="s">
        <v>91</v>
      </c>
      <c r="BU598" t="s">
        <v>91</v>
      </c>
      <c r="BV598">
        <v>9</v>
      </c>
      <c r="BW598" s="1" t="s">
        <v>90</v>
      </c>
    </row>
    <row r="599" spans="1:75" hidden="1" x14ac:dyDescent="0.35">
      <c r="A599">
        <v>157679</v>
      </c>
      <c r="B599" s="1" t="s">
        <v>75</v>
      </c>
      <c r="C599">
        <v>80</v>
      </c>
      <c r="D599">
        <v>11121002</v>
      </c>
      <c r="E599">
        <v>121002</v>
      </c>
      <c r="F599" s="1" t="s">
        <v>2915</v>
      </c>
      <c r="G599" s="1" t="s">
        <v>3538</v>
      </c>
      <c r="H599">
        <v>0</v>
      </c>
      <c r="I599" s="1" t="s">
        <v>78</v>
      </c>
      <c r="J599" s="1" t="s">
        <v>3539</v>
      </c>
      <c r="K599" s="1" t="s">
        <v>3540</v>
      </c>
      <c r="L599" t="s">
        <v>91</v>
      </c>
      <c r="M599" t="s">
        <v>91</v>
      </c>
      <c r="N599" s="1" t="s">
        <v>91</v>
      </c>
      <c r="O599" t="s">
        <v>91</v>
      </c>
      <c r="P599" s="1" t="s">
        <v>1094</v>
      </c>
      <c r="Q599" s="1" t="s">
        <v>149</v>
      </c>
      <c r="R599" s="1" t="s">
        <v>91</v>
      </c>
      <c r="S599">
        <v>1268</v>
      </c>
      <c r="T599">
        <v>88770000</v>
      </c>
      <c r="U599" s="1" t="s">
        <v>343</v>
      </c>
      <c r="V599" s="1" t="s">
        <v>3541</v>
      </c>
      <c r="W599" s="1" t="s">
        <v>87</v>
      </c>
      <c r="X599">
        <v>48</v>
      </c>
      <c r="Y599">
        <v>36430470</v>
      </c>
      <c r="Z599" t="s">
        <v>91</v>
      </c>
      <c r="AA599" t="s">
        <v>91</v>
      </c>
      <c r="AB599" t="s">
        <v>91</v>
      </c>
      <c r="AC599" t="s">
        <v>91</v>
      </c>
      <c r="AD599" t="s">
        <v>91</v>
      </c>
      <c r="AE599" t="s">
        <v>91</v>
      </c>
      <c r="AF599" t="s">
        <v>91</v>
      </c>
      <c r="AG599" s="1" t="s">
        <v>91</v>
      </c>
      <c r="AH599" s="1" t="s">
        <v>91</v>
      </c>
      <c r="AI599" t="s">
        <v>91</v>
      </c>
      <c r="AM599" t="s">
        <v>91</v>
      </c>
      <c r="AN599" t="s">
        <v>91</v>
      </c>
      <c r="AO599" t="s">
        <v>91</v>
      </c>
      <c r="AP599" t="s">
        <v>91</v>
      </c>
      <c r="AQ599" s="1" t="s">
        <v>91</v>
      </c>
      <c r="AR599" s="1" t="s">
        <v>91</v>
      </c>
      <c r="AS599" s="1" t="s">
        <v>91</v>
      </c>
      <c r="AT599" s="1" t="s">
        <v>91</v>
      </c>
      <c r="AU599" s="1" t="s">
        <v>91</v>
      </c>
      <c r="AV599" t="s">
        <v>91</v>
      </c>
      <c r="AW599" t="s">
        <v>91</v>
      </c>
      <c r="AX599" t="s">
        <v>91</v>
      </c>
      <c r="AY599" t="s">
        <v>91</v>
      </c>
      <c r="AZ599" t="s">
        <v>91</v>
      </c>
      <c r="BA599" t="s">
        <v>91</v>
      </c>
      <c r="BB599" s="2">
        <v>45118.097175925926</v>
      </c>
      <c r="BC599" s="2"/>
      <c r="BD599" t="s">
        <v>91</v>
      </c>
      <c r="BF599" s="1" t="s">
        <v>75</v>
      </c>
      <c r="BI599" s="1" t="s">
        <v>88</v>
      </c>
      <c r="BJ599">
        <v>1</v>
      </c>
      <c r="BK599" s="1" t="s">
        <v>89</v>
      </c>
      <c r="BL599" t="s">
        <v>91</v>
      </c>
      <c r="BM599" s="1" t="s">
        <v>91</v>
      </c>
      <c r="BN599" s="1" t="s">
        <v>91</v>
      </c>
      <c r="BO599" s="1" t="s">
        <v>91</v>
      </c>
      <c r="BP599" s="1" t="s">
        <v>91</v>
      </c>
      <c r="BQ599" t="s">
        <v>91</v>
      </c>
      <c r="BR599" s="3">
        <v>45118</v>
      </c>
      <c r="BS599" s="3"/>
      <c r="BT599" t="s">
        <v>91</v>
      </c>
      <c r="BU599" t="s">
        <v>91</v>
      </c>
      <c r="BW599" s="1" t="s">
        <v>90</v>
      </c>
    </row>
    <row r="600" spans="1:75" hidden="1" x14ac:dyDescent="0.35">
      <c r="A600">
        <v>157673</v>
      </c>
      <c r="B600" s="1" t="s">
        <v>75</v>
      </c>
      <c r="C600">
        <v>80</v>
      </c>
      <c r="D600">
        <v>11121002</v>
      </c>
      <c r="E600">
        <v>121002</v>
      </c>
      <c r="F600" s="1" t="s">
        <v>2915</v>
      </c>
      <c r="G600" s="1" t="s">
        <v>3542</v>
      </c>
      <c r="H600">
        <v>0</v>
      </c>
      <c r="I600" s="1" t="s">
        <v>78</v>
      </c>
      <c r="J600" s="1" t="s">
        <v>3543</v>
      </c>
      <c r="K600" s="1" t="s">
        <v>3544</v>
      </c>
      <c r="L600" t="s">
        <v>91</v>
      </c>
      <c r="M600" t="s">
        <v>91</v>
      </c>
      <c r="N600" s="1" t="s">
        <v>3545</v>
      </c>
      <c r="O600" t="s">
        <v>91</v>
      </c>
      <c r="P600" s="1" t="s">
        <v>364</v>
      </c>
      <c r="Q600" s="1" t="s">
        <v>3546</v>
      </c>
      <c r="R600" s="1" t="s">
        <v>91</v>
      </c>
      <c r="S600">
        <v>1288</v>
      </c>
      <c r="T600">
        <v>89830000</v>
      </c>
      <c r="U600" s="1" t="s">
        <v>343</v>
      </c>
      <c r="V600" s="1" t="s">
        <v>3547</v>
      </c>
      <c r="W600" s="1" t="s">
        <v>87</v>
      </c>
      <c r="X600">
        <v>49</v>
      </c>
      <c r="Y600">
        <v>34454097</v>
      </c>
      <c r="Z600" t="s">
        <v>91</v>
      </c>
      <c r="AA600" t="s">
        <v>91</v>
      </c>
      <c r="AB600" t="s">
        <v>91</v>
      </c>
      <c r="AC600" t="s">
        <v>91</v>
      </c>
      <c r="AD600" t="s">
        <v>91</v>
      </c>
      <c r="AE600" t="s">
        <v>91</v>
      </c>
      <c r="AF600" t="s">
        <v>91</v>
      </c>
      <c r="AG600" s="1" t="s">
        <v>91</v>
      </c>
      <c r="AH600" s="1" t="s">
        <v>91</v>
      </c>
      <c r="AI600" t="s">
        <v>91</v>
      </c>
      <c r="AM600" t="s">
        <v>91</v>
      </c>
      <c r="AN600" t="s">
        <v>91</v>
      </c>
      <c r="AO600" t="s">
        <v>91</v>
      </c>
      <c r="AP600" t="s">
        <v>91</v>
      </c>
      <c r="AQ600" s="1" t="s">
        <v>91</v>
      </c>
      <c r="AR600" s="1" t="s">
        <v>91</v>
      </c>
      <c r="AS600" s="1" t="s">
        <v>91</v>
      </c>
      <c r="AT600" s="1" t="s">
        <v>91</v>
      </c>
      <c r="AU600" s="1" t="s">
        <v>91</v>
      </c>
      <c r="AV600" t="s">
        <v>91</v>
      </c>
      <c r="AW600" t="s">
        <v>91</v>
      </c>
      <c r="AX600" t="s">
        <v>91</v>
      </c>
      <c r="AY600" t="s">
        <v>91</v>
      </c>
      <c r="AZ600" t="s">
        <v>91</v>
      </c>
      <c r="BA600" t="s">
        <v>91</v>
      </c>
      <c r="BB600" s="2">
        <v>45118.097175925926</v>
      </c>
      <c r="BC600" s="2"/>
      <c r="BD600" t="s">
        <v>91</v>
      </c>
      <c r="BF600" s="1" t="s">
        <v>75</v>
      </c>
      <c r="BI600" s="1" t="s">
        <v>88</v>
      </c>
      <c r="BJ600">
        <v>1</v>
      </c>
      <c r="BK600" s="1" t="s">
        <v>89</v>
      </c>
      <c r="BL600" t="s">
        <v>91</v>
      </c>
      <c r="BM600" s="1" t="s">
        <v>91</v>
      </c>
      <c r="BN600" s="1" t="s">
        <v>91</v>
      </c>
      <c r="BO600" s="1" t="s">
        <v>91</v>
      </c>
      <c r="BP600" s="1" t="s">
        <v>91</v>
      </c>
      <c r="BQ600" t="s">
        <v>91</v>
      </c>
      <c r="BR600" s="3">
        <v>45118</v>
      </c>
      <c r="BS600" s="3"/>
      <c r="BT600" t="s">
        <v>91</v>
      </c>
      <c r="BU600" t="s">
        <v>91</v>
      </c>
      <c r="BW600" s="1" t="s">
        <v>90</v>
      </c>
    </row>
    <row r="601" spans="1:75" hidden="1" x14ac:dyDescent="0.35">
      <c r="A601">
        <v>79</v>
      </c>
      <c r="B601" s="1" t="s">
        <v>75</v>
      </c>
      <c r="C601">
        <v>80</v>
      </c>
      <c r="D601">
        <v>11121002</v>
      </c>
      <c r="E601">
        <v>121002</v>
      </c>
      <c r="F601" s="1" t="s">
        <v>2915</v>
      </c>
      <c r="G601" s="1" t="s">
        <v>3548</v>
      </c>
      <c r="I601" s="1" t="s">
        <v>78</v>
      </c>
      <c r="J601" s="1" t="s">
        <v>3549</v>
      </c>
      <c r="K601" s="1" t="s">
        <v>3550</v>
      </c>
      <c r="L601" t="s">
        <v>91</v>
      </c>
      <c r="M601" t="s">
        <v>91</v>
      </c>
      <c r="N601" s="1" t="s">
        <v>3551</v>
      </c>
      <c r="O601" t="s">
        <v>91</v>
      </c>
      <c r="P601" s="1" t="s">
        <v>3552</v>
      </c>
      <c r="Q601" s="1" t="s">
        <v>1319</v>
      </c>
      <c r="R601" s="1" t="s">
        <v>370</v>
      </c>
      <c r="S601">
        <v>1269</v>
      </c>
      <c r="T601">
        <v>88801440</v>
      </c>
      <c r="U601" s="1" t="s">
        <v>108</v>
      </c>
      <c r="V601" s="1" t="s">
        <v>3231</v>
      </c>
      <c r="W601" s="1" t="s">
        <v>87</v>
      </c>
      <c r="X601">
        <v>48</v>
      </c>
      <c r="Y601">
        <v>30452020</v>
      </c>
      <c r="Z601" t="s">
        <v>91</v>
      </c>
      <c r="AA601" t="s">
        <v>91</v>
      </c>
      <c r="AB601" t="s">
        <v>91</v>
      </c>
      <c r="AC601" t="s">
        <v>91</v>
      </c>
      <c r="AD601" t="s">
        <v>91</v>
      </c>
      <c r="AE601" t="s">
        <v>91</v>
      </c>
      <c r="AF601" t="s">
        <v>91</v>
      </c>
      <c r="AG601" s="1" t="s">
        <v>91</v>
      </c>
      <c r="AH601" s="1" t="s">
        <v>91</v>
      </c>
      <c r="AI601" t="s">
        <v>91</v>
      </c>
      <c r="AJ601">
        <v>0</v>
      </c>
      <c r="AK601">
        <v>0</v>
      </c>
      <c r="AL601">
        <v>0</v>
      </c>
      <c r="AM601" t="s">
        <v>91</v>
      </c>
      <c r="AN601" t="s">
        <v>91</v>
      </c>
      <c r="AO601" t="s">
        <v>91</v>
      </c>
      <c r="AP601" t="s">
        <v>91</v>
      </c>
      <c r="AQ601" s="1" t="s">
        <v>91</v>
      </c>
      <c r="AR601" s="1" t="s">
        <v>91</v>
      </c>
      <c r="AS601" s="1" t="s">
        <v>91</v>
      </c>
      <c r="AT601" s="1" t="s">
        <v>91</v>
      </c>
      <c r="AU601" s="1" t="s">
        <v>91</v>
      </c>
      <c r="AV601" t="s">
        <v>91</v>
      </c>
      <c r="AW601" t="s">
        <v>91</v>
      </c>
      <c r="AX601" t="s">
        <v>91</v>
      </c>
      <c r="AY601" t="s">
        <v>91</v>
      </c>
      <c r="AZ601" t="s">
        <v>91</v>
      </c>
      <c r="BA601" t="s">
        <v>91</v>
      </c>
      <c r="BB601" s="2">
        <v>43308.392731481479</v>
      </c>
      <c r="BC601" s="2"/>
      <c r="BD601" t="s">
        <v>91</v>
      </c>
      <c r="BE601">
        <v>79</v>
      </c>
      <c r="BF601" s="1" t="s">
        <v>75</v>
      </c>
      <c r="BG601">
        <v>0</v>
      </c>
      <c r="BH601">
        <v>0</v>
      </c>
      <c r="BI601" s="1" t="s">
        <v>88</v>
      </c>
      <c r="BJ601">
        <v>1</v>
      </c>
      <c r="BK601" s="1" t="s">
        <v>89</v>
      </c>
      <c r="BL601" t="s">
        <v>91</v>
      </c>
      <c r="BM601" s="1" t="s">
        <v>109</v>
      </c>
      <c r="BN601" s="1" t="s">
        <v>110</v>
      </c>
      <c r="BO601" s="1" t="s">
        <v>111</v>
      </c>
      <c r="BP601" s="1" t="s">
        <v>91</v>
      </c>
      <c r="BQ601" t="s">
        <v>91</v>
      </c>
      <c r="BR601" s="3">
        <v>43308</v>
      </c>
      <c r="BS601" s="3"/>
      <c r="BT601" t="s">
        <v>91</v>
      </c>
      <c r="BU601" t="s">
        <v>91</v>
      </c>
      <c r="BV601">
        <v>4</v>
      </c>
      <c r="BW601" s="1" t="s">
        <v>90</v>
      </c>
    </row>
    <row r="602" spans="1:75" hidden="1" x14ac:dyDescent="0.35">
      <c r="A602">
        <v>158703</v>
      </c>
      <c r="B602" s="1" t="s">
        <v>75</v>
      </c>
      <c r="C602">
        <v>80</v>
      </c>
      <c r="D602">
        <v>11121002</v>
      </c>
      <c r="E602">
        <v>121002</v>
      </c>
      <c r="F602" s="1" t="s">
        <v>2915</v>
      </c>
      <c r="G602" s="1" t="s">
        <v>3553</v>
      </c>
      <c r="I602" s="1" t="s">
        <v>78</v>
      </c>
      <c r="J602" s="1" t="s">
        <v>3554</v>
      </c>
      <c r="K602" s="1" t="s">
        <v>3555</v>
      </c>
      <c r="L602" t="s">
        <v>91</v>
      </c>
      <c r="M602" t="s">
        <v>91</v>
      </c>
      <c r="N602" s="1" t="s">
        <v>91</v>
      </c>
      <c r="O602" t="s">
        <v>91</v>
      </c>
      <c r="P602" s="1" t="s">
        <v>3556</v>
      </c>
      <c r="Q602" s="1" t="s">
        <v>3557</v>
      </c>
      <c r="R602" s="1" t="s">
        <v>320</v>
      </c>
      <c r="S602">
        <v>1254</v>
      </c>
      <c r="T602">
        <v>88010300</v>
      </c>
      <c r="U602" s="1" t="s">
        <v>108</v>
      </c>
      <c r="V602" s="1" t="s">
        <v>2922</v>
      </c>
      <c r="W602" s="1" t="s">
        <v>87</v>
      </c>
      <c r="X602">
        <v>48</v>
      </c>
      <c r="Y602">
        <v>30840370</v>
      </c>
      <c r="Z602" t="s">
        <v>91</v>
      </c>
      <c r="AA602" t="s">
        <v>91</v>
      </c>
      <c r="AB602" t="s">
        <v>91</v>
      </c>
      <c r="AC602" t="s">
        <v>91</v>
      </c>
      <c r="AD602" t="s">
        <v>91</v>
      </c>
      <c r="AE602" t="s">
        <v>91</v>
      </c>
      <c r="AF602" t="s">
        <v>91</v>
      </c>
      <c r="AG602" s="1" t="s">
        <v>91</v>
      </c>
      <c r="AH602" s="1" t="s">
        <v>91</v>
      </c>
      <c r="AI602" t="s">
        <v>91</v>
      </c>
      <c r="AM602" t="s">
        <v>91</v>
      </c>
      <c r="AN602" t="s">
        <v>91</v>
      </c>
      <c r="AO602" t="s">
        <v>91</v>
      </c>
      <c r="AP602" t="s">
        <v>91</v>
      </c>
      <c r="AQ602" s="1" t="s">
        <v>91</v>
      </c>
      <c r="AR602" s="1" t="s">
        <v>91</v>
      </c>
      <c r="AS602" s="1" t="s">
        <v>91</v>
      </c>
      <c r="AT602" s="1" t="s">
        <v>91</v>
      </c>
      <c r="AU602" s="1" t="s">
        <v>91</v>
      </c>
      <c r="AV602" t="s">
        <v>91</v>
      </c>
      <c r="AW602" t="s">
        <v>91</v>
      </c>
      <c r="AX602" t="s">
        <v>91</v>
      </c>
      <c r="AY602" t="s">
        <v>91</v>
      </c>
      <c r="AZ602" t="s">
        <v>91</v>
      </c>
      <c r="BA602" t="s">
        <v>91</v>
      </c>
      <c r="BB602" s="2">
        <v>45155.700069444443</v>
      </c>
      <c r="BC602" s="2"/>
      <c r="BD602" t="s">
        <v>91</v>
      </c>
      <c r="BF602" s="1" t="s">
        <v>75</v>
      </c>
      <c r="BI602" s="1" t="s">
        <v>88</v>
      </c>
      <c r="BJ602">
        <v>1</v>
      </c>
      <c r="BK602" s="1" t="s">
        <v>89</v>
      </c>
      <c r="BL602" t="s">
        <v>91</v>
      </c>
      <c r="BM602" s="1" t="s">
        <v>91</v>
      </c>
      <c r="BN602" s="1" t="s">
        <v>91</v>
      </c>
      <c r="BO602" s="1" t="s">
        <v>91</v>
      </c>
      <c r="BP602" s="1" t="s">
        <v>91</v>
      </c>
      <c r="BQ602" t="s">
        <v>91</v>
      </c>
      <c r="BR602" s="3">
        <v>45155</v>
      </c>
      <c r="BS602" s="3"/>
      <c r="BT602" t="s">
        <v>91</v>
      </c>
      <c r="BU602" t="s">
        <v>91</v>
      </c>
      <c r="BW602" s="1" t="s">
        <v>90</v>
      </c>
    </row>
    <row r="603" spans="1:75" hidden="1" x14ac:dyDescent="0.35">
      <c r="A603">
        <v>156884</v>
      </c>
      <c r="B603" s="1" t="s">
        <v>75</v>
      </c>
      <c r="C603">
        <v>80</v>
      </c>
      <c r="D603">
        <v>11121002</v>
      </c>
      <c r="E603">
        <v>121002</v>
      </c>
      <c r="F603" s="1" t="s">
        <v>2915</v>
      </c>
      <c r="G603" s="1" t="s">
        <v>3558</v>
      </c>
      <c r="H603">
        <v>0</v>
      </c>
      <c r="I603" s="1" t="s">
        <v>78</v>
      </c>
      <c r="J603" s="1" t="s">
        <v>3559</v>
      </c>
      <c r="K603" s="1" t="s">
        <v>3560</v>
      </c>
      <c r="L603" t="s">
        <v>91</v>
      </c>
      <c r="M603" t="s">
        <v>91</v>
      </c>
      <c r="N603" s="1" t="s">
        <v>3561</v>
      </c>
      <c r="O603" t="s">
        <v>91</v>
      </c>
      <c r="P603" s="1" t="s">
        <v>3562</v>
      </c>
      <c r="Q603" s="1" t="s">
        <v>1222</v>
      </c>
      <c r="R603" s="1" t="s">
        <v>135</v>
      </c>
      <c r="S603">
        <v>1266</v>
      </c>
      <c r="T603">
        <v>88523000</v>
      </c>
      <c r="U603" s="1" t="s">
        <v>3563</v>
      </c>
      <c r="V603" s="1" t="s">
        <v>3335</v>
      </c>
      <c r="W603" s="1" t="s">
        <v>87</v>
      </c>
      <c r="X603">
        <v>49</v>
      </c>
      <c r="Y603">
        <v>30150549</v>
      </c>
      <c r="Z603" t="s">
        <v>91</v>
      </c>
      <c r="AA603" t="s">
        <v>91</v>
      </c>
      <c r="AB603" t="s">
        <v>91</v>
      </c>
      <c r="AC603" t="s">
        <v>91</v>
      </c>
      <c r="AD603" t="s">
        <v>91</v>
      </c>
      <c r="AE603" t="s">
        <v>91</v>
      </c>
      <c r="AF603" t="s">
        <v>91</v>
      </c>
      <c r="AG603" s="1" t="s">
        <v>91</v>
      </c>
      <c r="AH603" s="1" t="s">
        <v>91</v>
      </c>
      <c r="AI603" t="s">
        <v>91</v>
      </c>
      <c r="AM603" t="s">
        <v>91</v>
      </c>
      <c r="AN603" t="s">
        <v>91</v>
      </c>
      <c r="AO603" t="s">
        <v>91</v>
      </c>
      <c r="AP603" t="s">
        <v>91</v>
      </c>
      <c r="AQ603" s="1" t="s">
        <v>91</v>
      </c>
      <c r="AR603" s="1" t="s">
        <v>91</v>
      </c>
      <c r="AS603" s="1" t="s">
        <v>91</v>
      </c>
      <c r="AT603" s="1" t="s">
        <v>91</v>
      </c>
      <c r="AU603" s="1" t="s">
        <v>91</v>
      </c>
      <c r="AV603" t="s">
        <v>91</v>
      </c>
      <c r="AW603" t="s">
        <v>91</v>
      </c>
      <c r="AX603" t="s">
        <v>91</v>
      </c>
      <c r="AY603" t="s">
        <v>91</v>
      </c>
      <c r="AZ603" t="s">
        <v>91</v>
      </c>
      <c r="BA603" t="s">
        <v>91</v>
      </c>
      <c r="BB603" s="2">
        <v>45113.505416666667</v>
      </c>
      <c r="BC603" s="2"/>
      <c r="BD603" t="s">
        <v>91</v>
      </c>
      <c r="BF603" s="1" t="s">
        <v>75</v>
      </c>
      <c r="BI603" s="1" t="s">
        <v>88</v>
      </c>
      <c r="BJ603">
        <v>1</v>
      </c>
      <c r="BK603" s="1" t="s">
        <v>89</v>
      </c>
      <c r="BL603" t="s">
        <v>91</v>
      </c>
      <c r="BM603" s="1" t="s">
        <v>91</v>
      </c>
      <c r="BN603" s="1" t="s">
        <v>91</v>
      </c>
      <c r="BO603" s="1" t="s">
        <v>91</v>
      </c>
      <c r="BP603" s="1" t="s">
        <v>91</v>
      </c>
      <c r="BQ603" t="s">
        <v>91</v>
      </c>
      <c r="BR603" s="3">
        <v>45113</v>
      </c>
      <c r="BS603" s="3"/>
      <c r="BT603" t="s">
        <v>91</v>
      </c>
      <c r="BU603" t="s">
        <v>91</v>
      </c>
      <c r="BW603" s="1" t="s">
        <v>90</v>
      </c>
    </row>
    <row r="604" spans="1:75" hidden="1" x14ac:dyDescent="0.35">
      <c r="A604">
        <v>134327</v>
      </c>
      <c r="B604" s="1" t="s">
        <v>75</v>
      </c>
      <c r="C604">
        <v>80</v>
      </c>
      <c r="D604">
        <v>11121002</v>
      </c>
      <c r="E604">
        <v>121002</v>
      </c>
      <c r="F604" s="1" t="s">
        <v>2915</v>
      </c>
      <c r="G604" s="1" t="s">
        <v>3564</v>
      </c>
      <c r="I604" s="1" t="s">
        <v>78</v>
      </c>
      <c r="J604" s="1" t="s">
        <v>3565</v>
      </c>
      <c r="K604" s="1" t="s">
        <v>3566</v>
      </c>
      <c r="L604" t="s">
        <v>91</v>
      </c>
      <c r="M604" t="s">
        <v>91</v>
      </c>
      <c r="N604" s="1" t="s">
        <v>3567</v>
      </c>
      <c r="O604" t="s">
        <v>91</v>
      </c>
      <c r="P604" s="1" t="s">
        <v>3568</v>
      </c>
      <c r="Q604" s="1" t="s">
        <v>3569</v>
      </c>
      <c r="R604" s="1" t="s">
        <v>3570</v>
      </c>
      <c r="S604">
        <v>1271</v>
      </c>
      <c r="T604">
        <v>89010207</v>
      </c>
      <c r="U604" s="1" t="s">
        <v>108</v>
      </c>
      <c r="V604" s="1" t="s">
        <v>3571</v>
      </c>
      <c r="W604" s="1" t="s">
        <v>87</v>
      </c>
      <c r="X604">
        <v>48</v>
      </c>
      <c r="Y604">
        <v>30289724</v>
      </c>
      <c r="Z604" t="s">
        <v>91</v>
      </c>
      <c r="AA604" t="s">
        <v>91</v>
      </c>
      <c r="AB604" t="s">
        <v>91</v>
      </c>
      <c r="AC604" t="s">
        <v>91</v>
      </c>
      <c r="AD604" t="s">
        <v>91</v>
      </c>
      <c r="AE604" t="s">
        <v>91</v>
      </c>
      <c r="AF604" t="s">
        <v>91</v>
      </c>
      <c r="AG604" s="1" t="s">
        <v>146</v>
      </c>
      <c r="AH604" s="1" t="s">
        <v>91</v>
      </c>
      <c r="AI604" t="s">
        <v>91</v>
      </c>
      <c r="AJ604">
        <v>0</v>
      </c>
      <c r="AK604">
        <v>0</v>
      </c>
      <c r="AL604">
        <v>0</v>
      </c>
      <c r="AM604" t="s">
        <v>91</v>
      </c>
      <c r="AN604" t="s">
        <v>91</v>
      </c>
      <c r="AO604" t="s">
        <v>91</v>
      </c>
      <c r="AP604" t="s">
        <v>91</v>
      </c>
      <c r="AQ604" s="1" t="s">
        <v>147</v>
      </c>
      <c r="AR604" s="1" t="s">
        <v>147</v>
      </c>
      <c r="AS604" s="1" t="s">
        <v>147</v>
      </c>
      <c r="AT604" s="1" t="s">
        <v>147</v>
      </c>
      <c r="AU604" s="1" t="s">
        <v>147</v>
      </c>
      <c r="AV604" t="s">
        <v>91</v>
      </c>
      <c r="AW604" t="s">
        <v>91</v>
      </c>
      <c r="AX604" t="s">
        <v>91</v>
      </c>
      <c r="AY604" t="s">
        <v>91</v>
      </c>
      <c r="AZ604" t="s">
        <v>91</v>
      </c>
      <c r="BA604" t="s">
        <v>91</v>
      </c>
      <c r="BB604" s="2"/>
      <c r="BC604" s="2">
        <v>44943.717777777776</v>
      </c>
      <c r="BD604" t="s">
        <v>91</v>
      </c>
      <c r="BF604" s="1" t="s">
        <v>75</v>
      </c>
      <c r="BG604">
        <v>0</v>
      </c>
      <c r="BH604">
        <v>0</v>
      </c>
      <c r="BI604" s="1" t="s">
        <v>88</v>
      </c>
      <c r="BJ604">
        <v>1</v>
      </c>
      <c r="BK604" s="1" t="s">
        <v>89</v>
      </c>
      <c r="BL604" t="s">
        <v>91</v>
      </c>
      <c r="BM604" s="1" t="s">
        <v>109</v>
      </c>
      <c r="BN604" s="1" t="s">
        <v>110</v>
      </c>
      <c r="BO604" s="1" t="s">
        <v>165</v>
      </c>
      <c r="BP604" s="1" t="s">
        <v>91</v>
      </c>
      <c r="BQ604" t="s">
        <v>91</v>
      </c>
      <c r="BR604" s="3"/>
      <c r="BS604" s="3">
        <v>44943</v>
      </c>
      <c r="BT604" t="s">
        <v>91</v>
      </c>
      <c r="BU604" t="s">
        <v>91</v>
      </c>
      <c r="BV604">
        <v>1</v>
      </c>
      <c r="BW604" s="1" t="s">
        <v>538</v>
      </c>
    </row>
    <row r="605" spans="1:75" hidden="1" x14ac:dyDescent="0.35">
      <c r="A605">
        <v>134274</v>
      </c>
      <c r="B605" s="1" t="s">
        <v>75</v>
      </c>
      <c r="C605">
        <v>80</v>
      </c>
      <c r="D605">
        <v>11121002</v>
      </c>
      <c r="E605">
        <v>121002</v>
      </c>
      <c r="F605" s="1" t="s">
        <v>2915</v>
      </c>
      <c r="G605" s="1" t="s">
        <v>3572</v>
      </c>
      <c r="I605" s="1" t="s">
        <v>78</v>
      </c>
      <c r="J605" s="1" t="s">
        <v>3573</v>
      </c>
      <c r="K605" s="1" t="s">
        <v>3574</v>
      </c>
      <c r="L605" t="s">
        <v>91</v>
      </c>
      <c r="M605" t="s">
        <v>91</v>
      </c>
      <c r="N605" s="1" t="s">
        <v>3575</v>
      </c>
      <c r="O605" t="s">
        <v>91</v>
      </c>
      <c r="P605" s="1" t="s">
        <v>3576</v>
      </c>
      <c r="Q605" s="1" t="s">
        <v>3577</v>
      </c>
      <c r="R605" s="1" t="s">
        <v>91</v>
      </c>
      <c r="S605">
        <v>1255</v>
      </c>
      <c r="T605">
        <v>88015110</v>
      </c>
      <c r="U605" s="1" t="s">
        <v>108</v>
      </c>
      <c r="V605" s="1" t="s">
        <v>3102</v>
      </c>
      <c r="W605" s="1" t="s">
        <v>87</v>
      </c>
      <c r="X605">
        <v>48</v>
      </c>
      <c r="Y605">
        <v>32234611</v>
      </c>
      <c r="Z605" t="s">
        <v>91</v>
      </c>
      <c r="AA605" t="s">
        <v>91</v>
      </c>
      <c r="AB605" t="s">
        <v>91</v>
      </c>
      <c r="AC605" t="s">
        <v>91</v>
      </c>
      <c r="AD605" t="s">
        <v>91</v>
      </c>
      <c r="AE605" t="s">
        <v>91</v>
      </c>
      <c r="AF605" t="s">
        <v>91</v>
      </c>
      <c r="AG605" s="1" t="s">
        <v>146</v>
      </c>
      <c r="AH605" s="1" t="s">
        <v>91</v>
      </c>
      <c r="AI605" t="s">
        <v>91</v>
      </c>
      <c r="AJ605">
        <v>0</v>
      </c>
      <c r="AK605">
        <v>0</v>
      </c>
      <c r="AL605">
        <v>0</v>
      </c>
      <c r="AM605" t="s">
        <v>91</v>
      </c>
      <c r="AN605" t="s">
        <v>91</v>
      </c>
      <c r="AO605" t="s">
        <v>91</v>
      </c>
      <c r="AP605" t="s">
        <v>91</v>
      </c>
      <c r="AQ605" s="1" t="s">
        <v>147</v>
      </c>
      <c r="AR605" s="1" t="s">
        <v>147</v>
      </c>
      <c r="AS605" s="1" t="s">
        <v>147</v>
      </c>
      <c r="AT605" s="1" t="s">
        <v>147</v>
      </c>
      <c r="AU605" s="1" t="s">
        <v>147</v>
      </c>
      <c r="AV605" t="s">
        <v>91</v>
      </c>
      <c r="AW605" t="s">
        <v>91</v>
      </c>
      <c r="AX605" t="s">
        <v>91</v>
      </c>
      <c r="AY605" t="s">
        <v>91</v>
      </c>
      <c r="AZ605" t="s">
        <v>91</v>
      </c>
      <c r="BA605" t="s">
        <v>91</v>
      </c>
      <c r="BB605" s="2"/>
      <c r="BC605" s="2">
        <v>44687.628032407411</v>
      </c>
      <c r="BD605" t="s">
        <v>91</v>
      </c>
      <c r="BF605" s="1" t="s">
        <v>75</v>
      </c>
      <c r="BG605">
        <v>0</v>
      </c>
      <c r="BH605">
        <v>0</v>
      </c>
      <c r="BI605" s="1" t="s">
        <v>88</v>
      </c>
      <c r="BJ605">
        <v>1</v>
      </c>
      <c r="BK605" s="1" t="s">
        <v>89</v>
      </c>
      <c r="BL605" t="s">
        <v>91</v>
      </c>
      <c r="BM605" s="1" t="s">
        <v>109</v>
      </c>
      <c r="BN605" s="1" t="s">
        <v>110</v>
      </c>
      <c r="BO605" s="1" t="s">
        <v>111</v>
      </c>
      <c r="BP605" s="1" t="s">
        <v>91</v>
      </c>
      <c r="BQ605" t="s">
        <v>91</v>
      </c>
      <c r="BR605" s="3"/>
      <c r="BS605" s="3">
        <v>44687</v>
      </c>
      <c r="BT605" t="s">
        <v>91</v>
      </c>
      <c r="BU605" t="s">
        <v>91</v>
      </c>
      <c r="BV605">
        <v>5</v>
      </c>
      <c r="BW605" s="1" t="s">
        <v>3578</v>
      </c>
    </row>
    <row r="606" spans="1:75" hidden="1" x14ac:dyDescent="0.35">
      <c r="A606">
        <v>134545</v>
      </c>
      <c r="B606" s="1" t="s">
        <v>75</v>
      </c>
      <c r="C606">
        <v>80</v>
      </c>
      <c r="D606">
        <v>11121002</v>
      </c>
      <c r="E606">
        <v>121002</v>
      </c>
      <c r="F606" s="1" t="s">
        <v>2915</v>
      </c>
      <c r="G606" s="1" t="s">
        <v>3579</v>
      </c>
      <c r="I606" s="1" t="s">
        <v>78</v>
      </c>
      <c r="J606" s="1" t="s">
        <v>3580</v>
      </c>
      <c r="K606" s="1" t="s">
        <v>3581</v>
      </c>
      <c r="L606" t="s">
        <v>91</v>
      </c>
      <c r="M606" t="s">
        <v>91</v>
      </c>
      <c r="N606" s="1" t="s">
        <v>3582</v>
      </c>
      <c r="O606" t="s">
        <v>91</v>
      </c>
      <c r="P606" s="1" t="s">
        <v>3485</v>
      </c>
      <c r="Q606" s="1" t="s">
        <v>2300</v>
      </c>
      <c r="R606" s="1" t="s">
        <v>3583</v>
      </c>
      <c r="S606">
        <v>1259</v>
      </c>
      <c r="T606">
        <v>88117900</v>
      </c>
      <c r="U606" s="1" t="s">
        <v>2957</v>
      </c>
      <c r="V606" s="1" t="s">
        <v>3016</v>
      </c>
      <c r="W606" s="1" t="s">
        <v>87</v>
      </c>
      <c r="X606">
        <v>48</v>
      </c>
      <c r="Y606">
        <v>920009316</v>
      </c>
      <c r="Z606" t="s">
        <v>91</v>
      </c>
      <c r="AA606" t="s">
        <v>91</v>
      </c>
      <c r="AB606" t="s">
        <v>91</v>
      </c>
      <c r="AC606" t="s">
        <v>91</v>
      </c>
      <c r="AD606" t="s">
        <v>91</v>
      </c>
      <c r="AE606" t="s">
        <v>91</v>
      </c>
      <c r="AF606" t="s">
        <v>91</v>
      </c>
      <c r="AG606" s="1" t="s">
        <v>146</v>
      </c>
      <c r="AH606" s="1" t="s">
        <v>91</v>
      </c>
      <c r="AI606" t="s">
        <v>91</v>
      </c>
      <c r="AM606" t="s">
        <v>91</v>
      </c>
      <c r="AN606" t="s">
        <v>91</v>
      </c>
      <c r="AO606" t="s">
        <v>91</v>
      </c>
      <c r="AP606" t="s">
        <v>91</v>
      </c>
      <c r="AQ606" s="1" t="s">
        <v>147</v>
      </c>
      <c r="AR606" s="1" t="s">
        <v>147</v>
      </c>
      <c r="AS606" s="1" t="s">
        <v>147</v>
      </c>
      <c r="AT606" s="1" t="s">
        <v>147</v>
      </c>
      <c r="AU606" s="1" t="s">
        <v>147</v>
      </c>
      <c r="AV606" t="s">
        <v>91</v>
      </c>
      <c r="AW606" t="s">
        <v>91</v>
      </c>
      <c r="AX606" t="s">
        <v>91</v>
      </c>
      <c r="AY606" t="s">
        <v>91</v>
      </c>
      <c r="AZ606" t="s">
        <v>91</v>
      </c>
      <c r="BA606" t="s">
        <v>91</v>
      </c>
      <c r="BB606" s="2"/>
      <c r="BC606" s="2">
        <v>44683.471817129626</v>
      </c>
      <c r="BD606" t="s">
        <v>91</v>
      </c>
      <c r="BF606" s="1" t="s">
        <v>75</v>
      </c>
      <c r="BH606">
        <v>0</v>
      </c>
      <c r="BI606" s="1" t="s">
        <v>88</v>
      </c>
      <c r="BJ606">
        <v>1</v>
      </c>
      <c r="BK606" s="1" t="s">
        <v>89</v>
      </c>
      <c r="BL606" t="s">
        <v>91</v>
      </c>
      <c r="BM606" s="1" t="s">
        <v>109</v>
      </c>
      <c r="BN606" s="1" t="s">
        <v>110</v>
      </c>
      <c r="BO606" s="1" t="s">
        <v>111</v>
      </c>
      <c r="BP606" s="1" t="s">
        <v>91</v>
      </c>
      <c r="BQ606" t="s">
        <v>91</v>
      </c>
      <c r="BR606" s="3"/>
      <c r="BS606" s="3">
        <v>44683</v>
      </c>
      <c r="BT606" t="s">
        <v>91</v>
      </c>
      <c r="BU606" t="s">
        <v>91</v>
      </c>
      <c r="BW606" s="1" t="s">
        <v>912</v>
      </c>
    </row>
    <row r="607" spans="1:75" hidden="1" x14ac:dyDescent="0.35">
      <c r="A607">
        <v>134546</v>
      </c>
      <c r="B607" s="1" t="s">
        <v>75</v>
      </c>
      <c r="C607">
        <v>80</v>
      </c>
      <c r="D607">
        <v>11121002</v>
      </c>
      <c r="E607">
        <v>121002</v>
      </c>
      <c r="F607" s="1" t="s">
        <v>2915</v>
      </c>
      <c r="G607" s="1" t="s">
        <v>3584</v>
      </c>
      <c r="I607" s="1" t="s">
        <v>78</v>
      </c>
      <c r="J607" s="1" t="s">
        <v>3585</v>
      </c>
      <c r="K607" s="1" t="s">
        <v>3586</v>
      </c>
      <c r="L607" t="s">
        <v>91</v>
      </c>
      <c r="M607" t="s">
        <v>91</v>
      </c>
      <c r="N607" s="1" t="s">
        <v>3587</v>
      </c>
      <c r="O607" t="s">
        <v>91</v>
      </c>
      <c r="P607" s="1" t="s">
        <v>448</v>
      </c>
      <c r="Q607" s="1" t="s">
        <v>3588</v>
      </c>
      <c r="R607" s="1" t="s">
        <v>3589</v>
      </c>
      <c r="S607">
        <v>1259</v>
      </c>
      <c r="T607">
        <v>88130100</v>
      </c>
      <c r="U607" s="1" t="s">
        <v>108</v>
      </c>
      <c r="V607" s="1" t="s">
        <v>3165</v>
      </c>
      <c r="W607" s="1" t="s">
        <v>87</v>
      </c>
      <c r="X607">
        <v>48</v>
      </c>
      <c r="Y607">
        <v>998220073</v>
      </c>
      <c r="Z607" t="s">
        <v>91</v>
      </c>
      <c r="AA607" t="s">
        <v>91</v>
      </c>
      <c r="AB607" t="s">
        <v>91</v>
      </c>
      <c r="AC607" t="s">
        <v>91</v>
      </c>
      <c r="AD607" t="s">
        <v>91</v>
      </c>
      <c r="AE607" t="s">
        <v>91</v>
      </c>
      <c r="AF607" t="s">
        <v>91</v>
      </c>
      <c r="AG607" s="1" t="s">
        <v>146</v>
      </c>
      <c r="AH607" s="1" t="s">
        <v>91</v>
      </c>
      <c r="AI607" t="s">
        <v>91</v>
      </c>
      <c r="AM607" t="s">
        <v>91</v>
      </c>
      <c r="AN607" t="s">
        <v>91</v>
      </c>
      <c r="AO607" t="s">
        <v>91</v>
      </c>
      <c r="AP607" t="s">
        <v>91</v>
      </c>
      <c r="AQ607" s="1" t="s">
        <v>147</v>
      </c>
      <c r="AR607" s="1" t="s">
        <v>147</v>
      </c>
      <c r="AS607" s="1" t="s">
        <v>147</v>
      </c>
      <c r="AT607" s="1" t="s">
        <v>147</v>
      </c>
      <c r="AU607" s="1" t="s">
        <v>147</v>
      </c>
      <c r="AV607" t="s">
        <v>91</v>
      </c>
      <c r="AW607" t="s">
        <v>91</v>
      </c>
      <c r="AX607" t="s">
        <v>91</v>
      </c>
      <c r="AY607" t="s">
        <v>91</v>
      </c>
      <c r="AZ607" t="s">
        <v>91</v>
      </c>
      <c r="BA607" t="s">
        <v>91</v>
      </c>
      <c r="BB607" s="2"/>
      <c r="BC607" s="2">
        <v>44755.558958333335</v>
      </c>
      <c r="BD607" t="s">
        <v>91</v>
      </c>
      <c r="BF607" s="1" t="s">
        <v>75</v>
      </c>
      <c r="BH607">
        <v>0</v>
      </c>
      <c r="BI607" s="1" t="s">
        <v>88</v>
      </c>
      <c r="BJ607">
        <v>1</v>
      </c>
      <c r="BK607" s="1" t="s">
        <v>89</v>
      </c>
      <c r="BL607" t="s">
        <v>91</v>
      </c>
      <c r="BM607" s="1" t="s">
        <v>109</v>
      </c>
      <c r="BN607" s="1" t="s">
        <v>110</v>
      </c>
      <c r="BO607" s="1" t="s">
        <v>111</v>
      </c>
      <c r="BP607" s="1" t="s">
        <v>91</v>
      </c>
      <c r="BQ607" t="s">
        <v>91</v>
      </c>
      <c r="BR607" s="3"/>
      <c r="BS607" s="3">
        <v>44755</v>
      </c>
      <c r="BT607" t="s">
        <v>91</v>
      </c>
      <c r="BU607" t="s">
        <v>91</v>
      </c>
      <c r="BW607" s="1" t="s">
        <v>419</v>
      </c>
    </row>
    <row r="608" spans="1:75" hidden="1" x14ac:dyDescent="0.35">
      <c r="A608">
        <v>134542</v>
      </c>
      <c r="B608" s="1" t="s">
        <v>75</v>
      </c>
      <c r="C608">
        <v>80</v>
      </c>
      <c r="D608">
        <v>11121002</v>
      </c>
      <c r="E608">
        <v>121002</v>
      </c>
      <c r="F608" s="1" t="s">
        <v>2915</v>
      </c>
      <c r="G608" s="1" t="s">
        <v>3590</v>
      </c>
      <c r="I608" s="1" t="s">
        <v>78</v>
      </c>
      <c r="J608" s="1" t="s">
        <v>3585</v>
      </c>
      <c r="K608" s="1" t="s">
        <v>3591</v>
      </c>
      <c r="L608" t="s">
        <v>91</v>
      </c>
      <c r="M608" t="s">
        <v>91</v>
      </c>
      <c r="N608" s="1" t="s">
        <v>3587</v>
      </c>
      <c r="O608" t="s">
        <v>91</v>
      </c>
      <c r="P608" s="1" t="s">
        <v>3592</v>
      </c>
      <c r="Q608" s="1" t="s">
        <v>3096</v>
      </c>
      <c r="R608" s="1" t="s">
        <v>3593</v>
      </c>
      <c r="S608">
        <v>1254</v>
      </c>
      <c r="T608">
        <v>88010040</v>
      </c>
      <c r="U608" s="1" t="s">
        <v>108</v>
      </c>
      <c r="V608" s="1" t="s">
        <v>3102</v>
      </c>
      <c r="W608" s="1" t="s">
        <v>87</v>
      </c>
      <c r="X608">
        <v>48</v>
      </c>
      <c r="Y608">
        <v>996566206</v>
      </c>
      <c r="Z608" t="s">
        <v>91</v>
      </c>
      <c r="AA608" t="s">
        <v>91</v>
      </c>
      <c r="AB608" t="s">
        <v>91</v>
      </c>
      <c r="AC608" t="s">
        <v>91</v>
      </c>
      <c r="AD608" t="s">
        <v>91</v>
      </c>
      <c r="AE608" t="s">
        <v>91</v>
      </c>
      <c r="AF608" t="s">
        <v>91</v>
      </c>
      <c r="AG608" s="1" t="s">
        <v>146</v>
      </c>
      <c r="AH608" s="1" t="s">
        <v>91</v>
      </c>
      <c r="AI608" t="s">
        <v>91</v>
      </c>
      <c r="AM608" t="s">
        <v>91</v>
      </c>
      <c r="AN608" t="s">
        <v>91</v>
      </c>
      <c r="AO608" t="s">
        <v>91</v>
      </c>
      <c r="AP608" t="s">
        <v>91</v>
      </c>
      <c r="AQ608" s="1" t="s">
        <v>147</v>
      </c>
      <c r="AR608" s="1" t="s">
        <v>147</v>
      </c>
      <c r="AS608" s="1" t="s">
        <v>147</v>
      </c>
      <c r="AT608" s="1" t="s">
        <v>147</v>
      </c>
      <c r="AU608" s="1" t="s">
        <v>147</v>
      </c>
      <c r="AV608" t="s">
        <v>91</v>
      </c>
      <c r="AW608" t="s">
        <v>91</v>
      </c>
      <c r="AX608" t="s">
        <v>91</v>
      </c>
      <c r="AY608" t="s">
        <v>91</v>
      </c>
      <c r="AZ608" t="s">
        <v>91</v>
      </c>
      <c r="BA608" t="s">
        <v>91</v>
      </c>
      <c r="BB608" s="2"/>
      <c r="BC608" s="2">
        <v>45114.723020833335</v>
      </c>
      <c r="BD608" t="s">
        <v>91</v>
      </c>
      <c r="BF608" s="1" t="s">
        <v>75</v>
      </c>
      <c r="BH608">
        <v>0</v>
      </c>
      <c r="BI608" s="1" t="s">
        <v>88</v>
      </c>
      <c r="BJ608">
        <v>1</v>
      </c>
      <c r="BK608" s="1" t="s">
        <v>89</v>
      </c>
      <c r="BL608" t="s">
        <v>91</v>
      </c>
      <c r="BM608" s="1" t="s">
        <v>109</v>
      </c>
      <c r="BN608" s="1" t="s">
        <v>110</v>
      </c>
      <c r="BO608" s="1" t="s">
        <v>111</v>
      </c>
      <c r="BP608" s="1" t="s">
        <v>91</v>
      </c>
      <c r="BQ608" t="s">
        <v>91</v>
      </c>
      <c r="BR608" s="3"/>
      <c r="BS608" s="3">
        <v>45114</v>
      </c>
      <c r="BT608" t="s">
        <v>91</v>
      </c>
      <c r="BU608" t="s">
        <v>91</v>
      </c>
      <c r="BW608" s="1" t="s">
        <v>419</v>
      </c>
    </row>
    <row r="609" spans="1:75" hidden="1" x14ac:dyDescent="0.35">
      <c r="A609">
        <v>134222</v>
      </c>
      <c r="B609" s="1" t="s">
        <v>75</v>
      </c>
      <c r="C609">
        <v>80</v>
      </c>
      <c r="D609">
        <v>11121002</v>
      </c>
      <c r="E609">
        <v>121002</v>
      </c>
      <c r="F609" s="1" t="s">
        <v>2915</v>
      </c>
      <c r="G609" s="1" t="s">
        <v>3594</v>
      </c>
      <c r="I609" s="1" t="s">
        <v>78</v>
      </c>
      <c r="J609" s="1" t="s">
        <v>3595</v>
      </c>
      <c r="K609" s="1" t="s">
        <v>3596</v>
      </c>
      <c r="L609" t="s">
        <v>91</v>
      </c>
      <c r="M609" t="s">
        <v>91</v>
      </c>
      <c r="N609" s="1" t="s">
        <v>3597</v>
      </c>
      <c r="O609" t="s">
        <v>91</v>
      </c>
      <c r="P609" s="1" t="s">
        <v>2976</v>
      </c>
      <c r="Q609" s="1" t="s">
        <v>3598</v>
      </c>
      <c r="R609" s="1" t="s">
        <v>236</v>
      </c>
      <c r="S609">
        <v>1259</v>
      </c>
      <c r="T609">
        <v>88180000</v>
      </c>
      <c r="U609" s="1" t="s">
        <v>108</v>
      </c>
      <c r="V609" s="1" t="s">
        <v>3599</v>
      </c>
      <c r="W609" s="1" t="s">
        <v>87</v>
      </c>
      <c r="X609">
        <v>48</v>
      </c>
      <c r="Y609">
        <v>32721237</v>
      </c>
      <c r="Z609" t="s">
        <v>91</v>
      </c>
      <c r="AA609" t="s">
        <v>91</v>
      </c>
      <c r="AB609" t="s">
        <v>91</v>
      </c>
      <c r="AC609" t="s">
        <v>91</v>
      </c>
      <c r="AD609" t="s">
        <v>91</v>
      </c>
      <c r="AE609" t="s">
        <v>91</v>
      </c>
      <c r="AF609" t="s">
        <v>91</v>
      </c>
      <c r="AG609" s="1" t="s">
        <v>146</v>
      </c>
      <c r="AH609" s="1" t="s">
        <v>91</v>
      </c>
      <c r="AI609" t="s">
        <v>91</v>
      </c>
      <c r="AJ609">
        <v>0</v>
      </c>
      <c r="AK609">
        <v>0</v>
      </c>
      <c r="AL609">
        <v>0</v>
      </c>
      <c r="AM609" t="s">
        <v>91</v>
      </c>
      <c r="AN609" t="s">
        <v>91</v>
      </c>
      <c r="AO609" t="s">
        <v>91</v>
      </c>
      <c r="AP609" t="s">
        <v>91</v>
      </c>
      <c r="AQ609" s="1" t="s">
        <v>147</v>
      </c>
      <c r="AR609" s="1" t="s">
        <v>147</v>
      </c>
      <c r="AS609" s="1" t="s">
        <v>147</v>
      </c>
      <c r="AT609" s="1" t="s">
        <v>147</v>
      </c>
      <c r="AU609" s="1" t="s">
        <v>147</v>
      </c>
      <c r="AV609" t="s">
        <v>91</v>
      </c>
      <c r="AW609" t="s">
        <v>91</v>
      </c>
      <c r="AX609" t="s">
        <v>91</v>
      </c>
      <c r="AY609" t="s">
        <v>91</v>
      </c>
      <c r="AZ609" t="s">
        <v>91</v>
      </c>
      <c r="BA609" t="s">
        <v>91</v>
      </c>
      <c r="BB609" s="2"/>
      <c r="BC609" s="2">
        <v>44774.659120370372</v>
      </c>
      <c r="BD609" t="s">
        <v>91</v>
      </c>
      <c r="BF609" s="1" t="s">
        <v>75</v>
      </c>
      <c r="BG609">
        <v>0</v>
      </c>
      <c r="BH609">
        <v>0</v>
      </c>
      <c r="BI609" s="1" t="s">
        <v>88</v>
      </c>
      <c r="BJ609">
        <v>1</v>
      </c>
      <c r="BK609" s="1" t="s">
        <v>89</v>
      </c>
      <c r="BL609" t="s">
        <v>91</v>
      </c>
      <c r="BM609" s="1" t="s">
        <v>109</v>
      </c>
      <c r="BN609" s="1" t="s">
        <v>110</v>
      </c>
      <c r="BO609" s="1" t="s">
        <v>128</v>
      </c>
      <c r="BP609" s="1" t="s">
        <v>91</v>
      </c>
      <c r="BQ609" t="s">
        <v>91</v>
      </c>
      <c r="BR609" s="3"/>
      <c r="BS609" s="3">
        <v>44774</v>
      </c>
      <c r="BT609" t="s">
        <v>91</v>
      </c>
      <c r="BU609" t="s">
        <v>91</v>
      </c>
      <c r="BV609">
        <v>9</v>
      </c>
      <c r="BW609" s="1" t="s">
        <v>3600</v>
      </c>
    </row>
    <row r="610" spans="1:75" hidden="1" x14ac:dyDescent="0.35">
      <c r="A610">
        <v>157621</v>
      </c>
      <c r="B610" s="1" t="s">
        <v>75</v>
      </c>
      <c r="C610">
        <v>80</v>
      </c>
      <c r="D610">
        <v>11121002</v>
      </c>
      <c r="E610">
        <v>121002</v>
      </c>
      <c r="F610" s="1" t="s">
        <v>2915</v>
      </c>
      <c r="G610" s="1" t="s">
        <v>3601</v>
      </c>
      <c r="H610">
        <v>0</v>
      </c>
      <c r="I610" s="1" t="s">
        <v>78</v>
      </c>
      <c r="J610" s="1" t="s">
        <v>3602</v>
      </c>
      <c r="K610" s="1" t="s">
        <v>3603</v>
      </c>
      <c r="L610" t="s">
        <v>91</v>
      </c>
      <c r="M610" t="s">
        <v>91</v>
      </c>
      <c r="N610" s="1" t="s">
        <v>91</v>
      </c>
      <c r="O610" t="s">
        <v>91</v>
      </c>
      <c r="P610" s="1" t="s">
        <v>3031</v>
      </c>
      <c r="Q610" s="1" t="s">
        <v>3032</v>
      </c>
      <c r="R610" s="1" t="s">
        <v>3604</v>
      </c>
      <c r="S610">
        <v>1255</v>
      </c>
      <c r="T610">
        <v>88015900</v>
      </c>
      <c r="U610" s="1" t="s">
        <v>108</v>
      </c>
      <c r="V610" s="1" t="s">
        <v>2922</v>
      </c>
      <c r="W610" s="1" t="s">
        <v>87</v>
      </c>
      <c r="X610">
        <v>48</v>
      </c>
      <c r="Y610">
        <v>996753809</v>
      </c>
      <c r="Z610" t="s">
        <v>91</v>
      </c>
      <c r="AA610" t="s">
        <v>91</v>
      </c>
      <c r="AB610" t="s">
        <v>91</v>
      </c>
      <c r="AC610" t="s">
        <v>91</v>
      </c>
      <c r="AD610" t="s">
        <v>91</v>
      </c>
      <c r="AE610" t="s">
        <v>91</v>
      </c>
      <c r="AF610" t="s">
        <v>91</v>
      </c>
      <c r="AG610" s="1" t="s">
        <v>91</v>
      </c>
      <c r="AH610" s="1" t="s">
        <v>91</v>
      </c>
      <c r="AI610" t="s">
        <v>91</v>
      </c>
      <c r="AM610" t="s">
        <v>91</v>
      </c>
      <c r="AN610" t="s">
        <v>91</v>
      </c>
      <c r="AO610" t="s">
        <v>91</v>
      </c>
      <c r="AP610" t="s">
        <v>91</v>
      </c>
      <c r="AQ610" s="1" t="s">
        <v>91</v>
      </c>
      <c r="AR610" s="1" t="s">
        <v>91</v>
      </c>
      <c r="AS610" s="1" t="s">
        <v>91</v>
      </c>
      <c r="AT610" s="1" t="s">
        <v>91</v>
      </c>
      <c r="AU610" s="1" t="s">
        <v>91</v>
      </c>
      <c r="AV610" t="s">
        <v>91</v>
      </c>
      <c r="AW610" t="s">
        <v>91</v>
      </c>
      <c r="AX610" t="s">
        <v>91</v>
      </c>
      <c r="AY610" t="s">
        <v>91</v>
      </c>
      <c r="AZ610" t="s">
        <v>91</v>
      </c>
      <c r="BA610" t="s">
        <v>91</v>
      </c>
      <c r="BB610" s="2">
        <v>45118.097175925926</v>
      </c>
      <c r="BC610" s="2"/>
      <c r="BD610" t="s">
        <v>91</v>
      </c>
      <c r="BF610" s="1" t="s">
        <v>75</v>
      </c>
      <c r="BI610" s="1" t="s">
        <v>88</v>
      </c>
      <c r="BJ610">
        <v>1</v>
      </c>
      <c r="BK610" s="1" t="s">
        <v>89</v>
      </c>
      <c r="BL610" t="s">
        <v>91</v>
      </c>
      <c r="BM610" s="1" t="s">
        <v>91</v>
      </c>
      <c r="BN610" s="1" t="s">
        <v>91</v>
      </c>
      <c r="BO610" s="1" t="s">
        <v>91</v>
      </c>
      <c r="BP610" s="1" t="s">
        <v>91</v>
      </c>
      <c r="BQ610" t="s">
        <v>91</v>
      </c>
      <c r="BR610" s="3">
        <v>45118</v>
      </c>
      <c r="BS610" s="3"/>
      <c r="BT610" t="s">
        <v>91</v>
      </c>
      <c r="BU610" t="s">
        <v>91</v>
      </c>
      <c r="BW610" s="1" t="s">
        <v>804</v>
      </c>
    </row>
    <row r="611" spans="1:75" hidden="1" x14ac:dyDescent="0.35">
      <c r="A611">
        <v>134380</v>
      </c>
      <c r="B611" s="1" t="s">
        <v>75</v>
      </c>
      <c r="C611">
        <v>80</v>
      </c>
      <c r="D611">
        <v>11121002</v>
      </c>
      <c r="E611">
        <v>121002</v>
      </c>
      <c r="F611" s="1" t="s">
        <v>2915</v>
      </c>
      <c r="G611" s="1" t="s">
        <v>3605</v>
      </c>
      <c r="I611" s="1" t="s">
        <v>78</v>
      </c>
      <c r="J611" s="1" t="s">
        <v>3606</v>
      </c>
      <c r="K611" s="1" t="s">
        <v>3607</v>
      </c>
      <c r="L611" t="s">
        <v>91</v>
      </c>
      <c r="M611" t="s">
        <v>91</v>
      </c>
      <c r="N611" s="1" t="s">
        <v>3608</v>
      </c>
      <c r="O611" t="s">
        <v>91</v>
      </c>
      <c r="P611" s="1" t="s">
        <v>3609</v>
      </c>
      <c r="Q611" s="1" t="s">
        <v>2928</v>
      </c>
      <c r="R611" s="1" t="s">
        <v>236</v>
      </c>
      <c r="S611">
        <v>1259</v>
      </c>
      <c r="T611">
        <v>88113250</v>
      </c>
      <c r="U611" s="1" t="s">
        <v>3001</v>
      </c>
      <c r="V611" s="1" t="s">
        <v>3016</v>
      </c>
      <c r="W611" s="1" t="s">
        <v>87</v>
      </c>
      <c r="X611">
        <v>48</v>
      </c>
      <c r="Y611">
        <v>33753133</v>
      </c>
      <c r="Z611" t="s">
        <v>91</v>
      </c>
      <c r="AA611" t="s">
        <v>91</v>
      </c>
      <c r="AB611" t="s">
        <v>91</v>
      </c>
      <c r="AC611" t="s">
        <v>91</v>
      </c>
      <c r="AD611" t="s">
        <v>91</v>
      </c>
      <c r="AE611" t="s">
        <v>91</v>
      </c>
      <c r="AF611" t="s">
        <v>91</v>
      </c>
      <c r="AG611" s="1" t="s">
        <v>146</v>
      </c>
      <c r="AH611" s="1" t="s">
        <v>91</v>
      </c>
      <c r="AI611" t="s">
        <v>91</v>
      </c>
      <c r="AM611" t="s">
        <v>91</v>
      </c>
      <c r="AN611" t="s">
        <v>91</v>
      </c>
      <c r="AO611" t="s">
        <v>91</v>
      </c>
      <c r="AP611" t="s">
        <v>91</v>
      </c>
      <c r="AQ611" s="1" t="s">
        <v>147</v>
      </c>
      <c r="AR611" s="1" t="s">
        <v>147</v>
      </c>
      <c r="AS611" s="1" t="s">
        <v>147</v>
      </c>
      <c r="AT611" s="1" t="s">
        <v>147</v>
      </c>
      <c r="AU611" s="1" t="s">
        <v>147</v>
      </c>
      <c r="AV611" t="s">
        <v>91</v>
      </c>
      <c r="AW611" t="s">
        <v>91</v>
      </c>
      <c r="AX611" t="s">
        <v>91</v>
      </c>
      <c r="AY611" t="s">
        <v>91</v>
      </c>
      <c r="AZ611" t="s">
        <v>91</v>
      </c>
      <c r="BA611" t="s">
        <v>91</v>
      </c>
      <c r="BB611" s="2"/>
      <c r="BC611" s="2">
        <v>44658.668634259258</v>
      </c>
      <c r="BD611" t="s">
        <v>91</v>
      </c>
      <c r="BF611" s="1" t="s">
        <v>75</v>
      </c>
      <c r="BH611">
        <v>0</v>
      </c>
      <c r="BI611" s="1" t="s">
        <v>88</v>
      </c>
      <c r="BJ611">
        <v>1</v>
      </c>
      <c r="BK611" s="1" t="s">
        <v>89</v>
      </c>
      <c r="BL611" t="s">
        <v>91</v>
      </c>
      <c r="BM611" s="1" t="s">
        <v>109</v>
      </c>
      <c r="BN611" s="1" t="s">
        <v>110</v>
      </c>
      <c r="BO611" s="1" t="s">
        <v>91</v>
      </c>
      <c r="BP611" s="1" t="s">
        <v>91</v>
      </c>
      <c r="BQ611" t="s">
        <v>91</v>
      </c>
      <c r="BR611" s="3"/>
      <c r="BS611" s="3">
        <v>44658</v>
      </c>
      <c r="BT611" t="s">
        <v>91</v>
      </c>
      <c r="BU611" t="s">
        <v>91</v>
      </c>
      <c r="BW611" s="1" t="s">
        <v>263</v>
      </c>
    </row>
    <row r="612" spans="1:75" hidden="1" x14ac:dyDescent="0.35">
      <c r="A612">
        <v>134248</v>
      </c>
      <c r="B612" s="1" t="s">
        <v>75</v>
      </c>
      <c r="C612">
        <v>80</v>
      </c>
      <c r="D612">
        <v>11121002</v>
      </c>
      <c r="E612">
        <v>121002</v>
      </c>
      <c r="F612" s="1" t="s">
        <v>2915</v>
      </c>
      <c r="G612" s="1" t="s">
        <v>3610</v>
      </c>
      <c r="I612" s="1" t="s">
        <v>78</v>
      </c>
      <c r="J612" s="1" t="s">
        <v>3611</v>
      </c>
      <c r="K612" s="1" t="s">
        <v>3612</v>
      </c>
      <c r="L612" t="s">
        <v>91</v>
      </c>
      <c r="M612" t="s">
        <v>91</v>
      </c>
      <c r="N612" s="1" t="s">
        <v>3613</v>
      </c>
      <c r="O612" t="s">
        <v>91</v>
      </c>
      <c r="P612" s="1" t="s">
        <v>3614</v>
      </c>
      <c r="Q612" s="1" t="s">
        <v>3615</v>
      </c>
      <c r="R612" s="1" t="s">
        <v>91</v>
      </c>
      <c r="S612">
        <v>1259</v>
      </c>
      <c r="T612">
        <v>88130220</v>
      </c>
      <c r="U612" s="1" t="s">
        <v>108</v>
      </c>
      <c r="V612" s="1" t="s">
        <v>3165</v>
      </c>
      <c r="W612" s="1" t="s">
        <v>87</v>
      </c>
      <c r="X612">
        <v>48</v>
      </c>
      <c r="Y612">
        <v>32867016</v>
      </c>
      <c r="Z612" t="s">
        <v>91</v>
      </c>
      <c r="AA612" t="s">
        <v>91</v>
      </c>
      <c r="AB612" t="s">
        <v>91</v>
      </c>
      <c r="AC612" t="s">
        <v>91</v>
      </c>
      <c r="AD612" t="s">
        <v>91</v>
      </c>
      <c r="AE612" t="s">
        <v>91</v>
      </c>
      <c r="AF612" t="s">
        <v>91</v>
      </c>
      <c r="AG612" s="1" t="s">
        <v>146</v>
      </c>
      <c r="AH612" s="1" t="s">
        <v>91</v>
      </c>
      <c r="AI612" t="s">
        <v>91</v>
      </c>
      <c r="AJ612">
        <v>0</v>
      </c>
      <c r="AK612">
        <v>0</v>
      </c>
      <c r="AL612">
        <v>0</v>
      </c>
      <c r="AM612" t="s">
        <v>91</v>
      </c>
      <c r="AN612" t="s">
        <v>91</v>
      </c>
      <c r="AO612" t="s">
        <v>91</v>
      </c>
      <c r="AP612" t="s">
        <v>91</v>
      </c>
      <c r="AQ612" s="1" t="s">
        <v>147</v>
      </c>
      <c r="AR612" s="1" t="s">
        <v>147</v>
      </c>
      <c r="AS612" s="1" t="s">
        <v>147</v>
      </c>
      <c r="AT612" s="1" t="s">
        <v>147</v>
      </c>
      <c r="AU612" s="1" t="s">
        <v>147</v>
      </c>
      <c r="AV612" t="s">
        <v>91</v>
      </c>
      <c r="AW612" t="s">
        <v>91</v>
      </c>
      <c r="AX612" t="s">
        <v>91</v>
      </c>
      <c r="AY612" t="s">
        <v>91</v>
      </c>
      <c r="AZ612" t="s">
        <v>91</v>
      </c>
      <c r="BA612" t="s">
        <v>91</v>
      </c>
      <c r="BB612" s="2"/>
      <c r="BC612" s="2">
        <v>44687.649409722224</v>
      </c>
      <c r="BD612" t="s">
        <v>91</v>
      </c>
      <c r="BF612" s="1" t="s">
        <v>75</v>
      </c>
      <c r="BG612">
        <v>0</v>
      </c>
      <c r="BH612">
        <v>0</v>
      </c>
      <c r="BI612" s="1" t="s">
        <v>88</v>
      </c>
      <c r="BJ612">
        <v>1</v>
      </c>
      <c r="BK612" s="1" t="s">
        <v>89</v>
      </c>
      <c r="BL612" t="s">
        <v>91</v>
      </c>
      <c r="BM612" s="1" t="s">
        <v>197</v>
      </c>
      <c r="BN612" s="1" t="s">
        <v>110</v>
      </c>
      <c r="BO612" s="1" t="s">
        <v>165</v>
      </c>
      <c r="BP612" s="1" t="s">
        <v>91</v>
      </c>
      <c r="BQ612" t="s">
        <v>91</v>
      </c>
      <c r="BR612" s="3"/>
      <c r="BS612" s="3">
        <v>44687</v>
      </c>
      <c r="BT612" t="s">
        <v>91</v>
      </c>
      <c r="BU612" t="s">
        <v>91</v>
      </c>
      <c r="BV612">
        <v>7</v>
      </c>
      <c r="BW612" s="1" t="s">
        <v>2162</v>
      </c>
    </row>
    <row r="613" spans="1:75" hidden="1" x14ac:dyDescent="0.35">
      <c r="A613">
        <v>144340</v>
      </c>
      <c r="B613" s="1" t="s">
        <v>75</v>
      </c>
      <c r="C613">
        <v>80</v>
      </c>
      <c r="D613">
        <v>11121002</v>
      </c>
      <c r="E613">
        <v>121002</v>
      </c>
      <c r="F613" s="1" t="s">
        <v>2915</v>
      </c>
      <c r="G613" s="1" t="s">
        <v>3616</v>
      </c>
      <c r="I613" s="1" t="s">
        <v>78</v>
      </c>
      <c r="J613" s="1" t="s">
        <v>3617</v>
      </c>
      <c r="K613" s="1" t="s">
        <v>3618</v>
      </c>
      <c r="L613" t="s">
        <v>91</v>
      </c>
      <c r="M613" t="s">
        <v>91</v>
      </c>
      <c r="N613" s="1" t="s">
        <v>3619</v>
      </c>
      <c r="O613" t="s">
        <v>91</v>
      </c>
      <c r="P613" s="1" t="s">
        <v>3620</v>
      </c>
      <c r="Q613" s="1" t="s">
        <v>189</v>
      </c>
      <c r="R613" s="1" t="s">
        <v>2250</v>
      </c>
      <c r="S613">
        <v>1270</v>
      </c>
      <c r="T613">
        <v>88930000</v>
      </c>
      <c r="U613" s="1" t="s">
        <v>108</v>
      </c>
      <c r="V613" s="1" t="s">
        <v>3089</v>
      </c>
      <c r="W613" s="1" t="s">
        <v>87</v>
      </c>
      <c r="X613">
        <v>48</v>
      </c>
      <c r="Y613">
        <v>35253120</v>
      </c>
      <c r="Z613" t="s">
        <v>91</v>
      </c>
      <c r="AA613" t="s">
        <v>91</v>
      </c>
      <c r="AB613" t="s">
        <v>91</v>
      </c>
      <c r="AC613" t="s">
        <v>91</v>
      </c>
      <c r="AD613" t="s">
        <v>91</v>
      </c>
      <c r="AE613" t="s">
        <v>91</v>
      </c>
      <c r="AF613" t="s">
        <v>91</v>
      </c>
      <c r="AG613" s="1" t="s">
        <v>91</v>
      </c>
      <c r="AH613" s="1" t="s">
        <v>91</v>
      </c>
      <c r="AI613" t="s">
        <v>91</v>
      </c>
      <c r="AJ613">
        <v>0</v>
      </c>
      <c r="AK613">
        <v>0</v>
      </c>
      <c r="AL613">
        <v>0</v>
      </c>
      <c r="AM613" t="s">
        <v>91</v>
      </c>
      <c r="AN613" t="s">
        <v>91</v>
      </c>
      <c r="AO613" t="s">
        <v>91</v>
      </c>
      <c r="AP613" t="s">
        <v>91</v>
      </c>
      <c r="AQ613" s="1" t="s">
        <v>91</v>
      </c>
      <c r="AR613" s="1" t="s">
        <v>91</v>
      </c>
      <c r="AS613" s="1" t="s">
        <v>91</v>
      </c>
      <c r="AT613" s="1" t="s">
        <v>91</v>
      </c>
      <c r="AU613" s="1" t="s">
        <v>91</v>
      </c>
      <c r="AV613" t="s">
        <v>91</v>
      </c>
      <c r="AW613" t="s">
        <v>91</v>
      </c>
      <c r="AX613" t="s">
        <v>91</v>
      </c>
      <c r="AY613" t="s">
        <v>91</v>
      </c>
      <c r="AZ613" t="s">
        <v>91</v>
      </c>
      <c r="BA613" t="s">
        <v>91</v>
      </c>
      <c r="BB613" s="2"/>
      <c r="BC613" s="2"/>
      <c r="BD613" t="s">
        <v>91</v>
      </c>
      <c r="BF613" s="1" t="s">
        <v>75</v>
      </c>
      <c r="BG613">
        <v>0</v>
      </c>
      <c r="BH613">
        <v>0</v>
      </c>
      <c r="BI613" s="1" t="s">
        <v>88</v>
      </c>
      <c r="BJ613">
        <v>1</v>
      </c>
      <c r="BK613" s="1" t="s">
        <v>89</v>
      </c>
      <c r="BL613" t="s">
        <v>91</v>
      </c>
      <c r="BM613" s="1" t="s">
        <v>109</v>
      </c>
      <c r="BN613" s="1" t="s">
        <v>110</v>
      </c>
      <c r="BO613" s="1" t="s">
        <v>128</v>
      </c>
      <c r="BP613" s="1" t="s">
        <v>91</v>
      </c>
      <c r="BQ613" t="s">
        <v>91</v>
      </c>
      <c r="BR613" s="3"/>
      <c r="BS613" s="3"/>
      <c r="BT613" t="s">
        <v>91</v>
      </c>
      <c r="BU613" t="s">
        <v>91</v>
      </c>
      <c r="BV613">
        <v>9</v>
      </c>
      <c r="BW613" s="1" t="s">
        <v>1089</v>
      </c>
    </row>
    <row r="614" spans="1:75" hidden="1" x14ac:dyDescent="0.35">
      <c r="A614">
        <v>156945</v>
      </c>
      <c r="B614" s="1" t="s">
        <v>75</v>
      </c>
      <c r="C614">
        <v>80</v>
      </c>
      <c r="D614">
        <v>11121002</v>
      </c>
      <c r="E614">
        <v>121002</v>
      </c>
      <c r="F614" s="1" t="s">
        <v>2915</v>
      </c>
      <c r="G614" s="1" t="s">
        <v>3621</v>
      </c>
      <c r="H614">
        <v>0</v>
      </c>
      <c r="I614" s="1" t="s">
        <v>78</v>
      </c>
      <c r="J614" s="1" t="s">
        <v>3622</v>
      </c>
      <c r="K614" s="1" t="s">
        <v>3623</v>
      </c>
      <c r="L614" t="s">
        <v>91</v>
      </c>
      <c r="M614" t="s">
        <v>91</v>
      </c>
      <c r="N614" s="1" t="s">
        <v>3624</v>
      </c>
      <c r="O614" t="s">
        <v>91</v>
      </c>
      <c r="P614" s="1" t="s">
        <v>2992</v>
      </c>
      <c r="Q614" s="1" t="s">
        <v>1156</v>
      </c>
      <c r="R614" s="1" t="s">
        <v>3625</v>
      </c>
      <c r="T614">
        <v>88037000</v>
      </c>
      <c r="U614" s="1" t="s">
        <v>2994</v>
      </c>
      <c r="V614" s="1" t="s">
        <v>2922</v>
      </c>
      <c r="W614" s="1" t="s">
        <v>87</v>
      </c>
      <c r="X614">
        <v>48</v>
      </c>
      <c r="Y614">
        <v>33073110</v>
      </c>
      <c r="Z614" t="s">
        <v>91</v>
      </c>
      <c r="AA614" t="s">
        <v>91</v>
      </c>
      <c r="AB614" t="s">
        <v>91</v>
      </c>
      <c r="AC614" t="s">
        <v>91</v>
      </c>
      <c r="AD614" t="s">
        <v>91</v>
      </c>
      <c r="AE614" t="s">
        <v>91</v>
      </c>
      <c r="AF614" t="s">
        <v>91</v>
      </c>
      <c r="AG614" s="1" t="s">
        <v>91</v>
      </c>
      <c r="AH614" s="1" t="s">
        <v>91</v>
      </c>
      <c r="AI614" t="s">
        <v>91</v>
      </c>
      <c r="AM614" t="s">
        <v>91</v>
      </c>
      <c r="AN614" t="s">
        <v>91</v>
      </c>
      <c r="AO614" t="s">
        <v>91</v>
      </c>
      <c r="AP614" t="s">
        <v>91</v>
      </c>
      <c r="AQ614" s="1" t="s">
        <v>91</v>
      </c>
      <c r="AR614" s="1" t="s">
        <v>91</v>
      </c>
      <c r="AS614" s="1" t="s">
        <v>91</v>
      </c>
      <c r="AT614" s="1" t="s">
        <v>91</v>
      </c>
      <c r="AU614" s="1" t="s">
        <v>91</v>
      </c>
      <c r="AV614" t="s">
        <v>91</v>
      </c>
      <c r="AW614" t="s">
        <v>91</v>
      </c>
      <c r="AX614" t="s">
        <v>91</v>
      </c>
      <c r="AY614" t="s">
        <v>91</v>
      </c>
      <c r="AZ614" t="s">
        <v>91</v>
      </c>
      <c r="BA614" t="s">
        <v>91</v>
      </c>
      <c r="BB614" s="2">
        <v>45113.505416666667</v>
      </c>
      <c r="BC614" s="2"/>
      <c r="BD614" t="s">
        <v>91</v>
      </c>
      <c r="BF614" s="1" t="s">
        <v>75</v>
      </c>
      <c r="BI614" s="1" t="s">
        <v>88</v>
      </c>
      <c r="BJ614">
        <v>1</v>
      </c>
      <c r="BK614" s="1" t="s">
        <v>89</v>
      </c>
      <c r="BL614" t="s">
        <v>91</v>
      </c>
      <c r="BM614" s="1" t="s">
        <v>91</v>
      </c>
      <c r="BN614" s="1" t="s">
        <v>91</v>
      </c>
      <c r="BO614" s="1" t="s">
        <v>91</v>
      </c>
      <c r="BP614" s="1" t="s">
        <v>91</v>
      </c>
      <c r="BQ614" t="s">
        <v>91</v>
      </c>
      <c r="BR614" s="3">
        <v>45113</v>
      </c>
      <c r="BS614" s="3"/>
      <c r="BT614" t="s">
        <v>91</v>
      </c>
      <c r="BU614" t="s">
        <v>91</v>
      </c>
      <c r="BW614" s="1" t="s">
        <v>1563</v>
      </c>
    </row>
    <row r="615" spans="1:75" hidden="1" x14ac:dyDescent="0.35">
      <c r="A615">
        <v>134271</v>
      </c>
      <c r="B615" s="1" t="s">
        <v>75</v>
      </c>
      <c r="C615">
        <v>80</v>
      </c>
      <c r="D615">
        <v>11121002</v>
      </c>
      <c r="E615">
        <v>121002</v>
      </c>
      <c r="F615" s="1" t="s">
        <v>2915</v>
      </c>
      <c r="G615" s="1" t="s">
        <v>3626</v>
      </c>
      <c r="I615" s="1" t="s">
        <v>78</v>
      </c>
      <c r="J615" s="1" t="s">
        <v>3627</v>
      </c>
      <c r="K615" s="1" t="s">
        <v>3628</v>
      </c>
      <c r="L615" t="s">
        <v>91</v>
      </c>
      <c r="M615" t="s">
        <v>91</v>
      </c>
      <c r="N615" s="1" t="s">
        <v>3629</v>
      </c>
      <c r="O615" t="s">
        <v>91</v>
      </c>
      <c r="P615" s="1" t="s">
        <v>3630</v>
      </c>
      <c r="Q615" s="1" t="s">
        <v>2885</v>
      </c>
      <c r="R615" s="1" t="s">
        <v>91</v>
      </c>
      <c r="S615">
        <v>1257</v>
      </c>
      <c r="T615">
        <v>88058600</v>
      </c>
      <c r="U615" s="1" t="s">
        <v>3441</v>
      </c>
      <c r="V615" s="1" t="s">
        <v>3102</v>
      </c>
      <c r="W615" s="1" t="s">
        <v>87</v>
      </c>
      <c r="X615">
        <v>48</v>
      </c>
      <c r="Y615">
        <v>32073697</v>
      </c>
      <c r="Z615" t="s">
        <v>91</v>
      </c>
      <c r="AA615" t="s">
        <v>91</v>
      </c>
      <c r="AB615" t="s">
        <v>91</v>
      </c>
      <c r="AC615" t="s">
        <v>91</v>
      </c>
      <c r="AD615" t="s">
        <v>91</v>
      </c>
      <c r="AE615" t="s">
        <v>91</v>
      </c>
      <c r="AF615" t="s">
        <v>91</v>
      </c>
      <c r="AG615" s="1" t="s">
        <v>146</v>
      </c>
      <c r="AH615" s="1" t="s">
        <v>91</v>
      </c>
      <c r="AI615" t="s">
        <v>91</v>
      </c>
      <c r="AJ615">
        <v>0</v>
      </c>
      <c r="AK615">
        <v>0</v>
      </c>
      <c r="AL615">
        <v>0</v>
      </c>
      <c r="AM615" t="s">
        <v>91</v>
      </c>
      <c r="AN615" t="s">
        <v>91</v>
      </c>
      <c r="AO615" t="s">
        <v>91</v>
      </c>
      <c r="AP615" t="s">
        <v>91</v>
      </c>
      <c r="AQ615" s="1" t="s">
        <v>147</v>
      </c>
      <c r="AR615" s="1" t="s">
        <v>147</v>
      </c>
      <c r="AS615" s="1" t="s">
        <v>147</v>
      </c>
      <c r="AT615" s="1" t="s">
        <v>147</v>
      </c>
      <c r="AU615" s="1" t="s">
        <v>147</v>
      </c>
      <c r="AV615" t="s">
        <v>91</v>
      </c>
      <c r="AW615" t="s">
        <v>91</v>
      </c>
      <c r="AX615" t="s">
        <v>91</v>
      </c>
      <c r="AY615" t="s">
        <v>91</v>
      </c>
      <c r="AZ615" t="s">
        <v>91</v>
      </c>
      <c r="BA615" t="s">
        <v>91</v>
      </c>
      <c r="BB615" s="2"/>
      <c r="BC615" s="2">
        <v>44449.734247685185</v>
      </c>
      <c r="BD615" t="s">
        <v>91</v>
      </c>
      <c r="BF615" s="1" t="s">
        <v>75</v>
      </c>
      <c r="BG615">
        <v>0</v>
      </c>
      <c r="BH615">
        <v>0</v>
      </c>
      <c r="BI615" s="1" t="s">
        <v>88</v>
      </c>
      <c r="BJ615">
        <v>1</v>
      </c>
      <c r="BK615" s="1" t="s">
        <v>89</v>
      </c>
      <c r="BL615" t="s">
        <v>91</v>
      </c>
      <c r="BM615" s="1" t="s">
        <v>109</v>
      </c>
      <c r="BN615" s="1" t="s">
        <v>110</v>
      </c>
      <c r="BO615" s="1" t="s">
        <v>180</v>
      </c>
      <c r="BP615" s="1" t="s">
        <v>91</v>
      </c>
      <c r="BQ615" t="s">
        <v>91</v>
      </c>
      <c r="BR615" s="3"/>
      <c r="BS615" s="3">
        <v>44449</v>
      </c>
      <c r="BT615" t="s">
        <v>91</v>
      </c>
      <c r="BU615" t="s">
        <v>91</v>
      </c>
      <c r="BV615">
        <v>9</v>
      </c>
      <c r="BW615" s="1" t="s">
        <v>419</v>
      </c>
    </row>
    <row r="616" spans="1:75" hidden="1" x14ac:dyDescent="0.35">
      <c r="A616">
        <v>311</v>
      </c>
      <c r="B616" s="1" t="s">
        <v>75</v>
      </c>
      <c r="C616">
        <v>80</v>
      </c>
      <c r="D616">
        <v>11121002</v>
      </c>
      <c r="E616">
        <v>121002</v>
      </c>
      <c r="F616" s="1" t="s">
        <v>2915</v>
      </c>
      <c r="G616" s="1" t="s">
        <v>3631</v>
      </c>
      <c r="I616" s="1" t="s">
        <v>78</v>
      </c>
      <c r="J616" s="1" t="s">
        <v>3632</v>
      </c>
      <c r="K616" s="1" t="s">
        <v>3633</v>
      </c>
      <c r="L616" t="s">
        <v>91</v>
      </c>
      <c r="M616" t="s">
        <v>91</v>
      </c>
      <c r="N616" s="1" t="s">
        <v>3634</v>
      </c>
      <c r="O616" t="s">
        <v>91</v>
      </c>
      <c r="P616" s="1" t="s">
        <v>3635</v>
      </c>
      <c r="Q616" s="1" t="s">
        <v>601</v>
      </c>
      <c r="R616" s="1" t="s">
        <v>3636</v>
      </c>
      <c r="S616">
        <v>1254</v>
      </c>
      <c r="T616">
        <v>88010510</v>
      </c>
      <c r="U616" s="1" t="s">
        <v>108</v>
      </c>
      <c r="V616" s="1" t="s">
        <v>3102</v>
      </c>
      <c r="W616" s="1" t="s">
        <v>87</v>
      </c>
      <c r="X616">
        <v>48</v>
      </c>
      <c r="Y616">
        <v>33220878</v>
      </c>
      <c r="Z616" t="s">
        <v>91</v>
      </c>
      <c r="AA616" t="s">
        <v>91</v>
      </c>
      <c r="AB616" t="s">
        <v>91</v>
      </c>
      <c r="AC616" t="s">
        <v>91</v>
      </c>
      <c r="AD616" t="s">
        <v>91</v>
      </c>
      <c r="AE616" t="s">
        <v>91</v>
      </c>
      <c r="AF616" t="s">
        <v>91</v>
      </c>
      <c r="AG616" s="1" t="s">
        <v>91</v>
      </c>
      <c r="AH616" s="1" t="s">
        <v>91</v>
      </c>
      <c r="AI616" t="s">
        <v>91</v>
      </c>
      <c r="AJ616">
        <v>0</v>
      </c>
      <c r="AK616">
        <v>0</v>
      </c>
      <c r="AL616">
        <v>0</v>
      </c>
      <c r="AM616" t="s">
        <v>91</v>
      </c>
      <c r="AN616" t="s">
        <v>91</v>
      </c>
      <c r="AO616" t="s">
        <v>91</v>
      </c>
      <c r="AP616" t="s">
        <v>91</v>
      </c>
      <c r="AQ616" s="1" t="s">
        <v>91</v>
      </c>
      <c r="AR616" s="1" t="s">
        <v>91</v>
      </c>
      <c r="AS616" s="1" t="s">
        <v>91</v>
      </c>
      <c r="AT616" s="1" t="s">
        <v>91</v>
      </c>
      <c r="AU616" s="1" t="s">
        <v>91</v>
      </c>
      <c r="AV616" t="s">
        <v>91</v>
      </c>
      <c r="AW616" t="s">
        <v>91</v>
      </c>
      <c r="AX616" t="s">
        <v>91</v>
      </c>
      <c r="AY616" t="s">
        <v>91</v>
      </c>
      <c r="AZ616" t="s">
        <v>91</v>
      </c>
      <c r="BA616" t="s">
        <v>91</v>
      </c>
      <c r="BB616" s="2">
        <v>43308.392789351848</v>
      </c>
      <c r="BC616" s="2"/>
      <c r="BD616" t="s">
        <v>91</v>
      </c>
      <c r="BE616">
        <v>311</v>
      </c>
      <c r="BF616" s="1" t="s">
        <v>75</v>
      </c>
      <c r="BG616">
        <v>0</v>
      </c>
      <c r="BH616">
        <v>0</v>
      </c>
      <c r="BI616" s="1" t="s">
        <v>88</v>
      </c>
      <c r="BJ616">
        <v>1</v>
      </c>
      <c r="BK616" s="1" t="s">
        <v>89</v>
      </c>
      <c r="BL616" t="s">
        <v>91</v>
      </c>
      <c r="BM616" s="1" t="s">
        <v>109</v>
      </c>
      <c r="BN616" s="1" t="s">
        <v>110</v>
      </c>
      <c r="BO616" s="1" t="s">
        <v>111</v>
      </c>
      <c r="BP616" s="1" t="s">
        <v>91</v>
      </c>
      <c r="BQ616" t="s">
        <v>91</v>
      </c>
      <c r="BR616" s="3">
        <v>43308</v>
      </c>
      <c r="BS616" s="3"/>
      <c r="BT616" t="s">
        <v>91</v>
      </c>
      <c r="BU616" t="s">
        <v>91</v>
      </c>
      <c r="BV616">
        <v>6</v>
      </c>
      <c r="BW616" s="1" t="s">
        <v>120</v>
      </c>
    </row>
    <row r="617" spans="1:75" hidden="1" x14ac:dyDescent="0.35">
      <c r="A617">
        <v>454</v>
      </c>
      <c r="B617" s="1" t="s">
        <v>75</v>
      </c>
      <c r="C617">
        <v>80</v>
      </c>
      <c r="D617">
        <v>11121002</v>
      </c>
      <c r="E617">
        <v>121002</v>
      </c>
      <c r="F617" s="1" t="s">
        <v>2915</v>
      </c>
      <c r="G617" s="1" t="s">
        <v>3637</v>
      </c>
      <c r="I617" s="1" t="s">
        <v>78</v>
      </c>
      <c r="J617" s="1" t="s">
        <v>3638</v>
      </c>
      <c r="K617" s="1" t="s">
        <v>3639</v>
      </c>
      <c r="L617" t="s">
        <v>91</v>
      </c>
      <c r="M617" t="s">
        <v>91</v>
      </c>
      <c r="N617" s="1" t="s">
        <v>3640</v>
      </c>
      <c r="O617" t="s">
        <v>91</v>
      </c>
      <c r="P617" s="1" t="s">
        <v>946</v>
      </c>
      <c r="Q617" s="1" t="s">
        <v>2814</v>
      </c>
      <c r="R617" s="1" t="s">
        <v>1458</v>
      </c>
      <c r="S617">
        <v>1259</v>
      </c>
      <c r="T617">
        <v>88130101</v>
      </c>
      <c r="U617" s="1" t="s">
        <v>108</v>
      </c>
      <c r="V617" s="1" t="s">
        <v>3165</v>
      </c>
      <c r="W617" s="1" t="s">
        <v>87</v>
      </c>
      <c r="X617">
        <v>48</v>
      </c>
      <c r="Y617">
        <v>32864808</v>
      </c>
      <c r="Z617" t="s">
        <v>91</v>
      </c>
      <c r="AA617" t="s">
        <v>91</v>
      </c>
      <c r="AB617" t="s">
        <v>91</v>
      </c>
      <c r="AC617" t="s">
        <v>91</v>
      </c>
      <c r="AD617" t="s">
        <v>91</v>
      </c>
      <c r="AE617" t="s">
        <v>91</v>
      </c>
      <c r="AF617" t="s">
        <v>91</v>
      </c>
      <c r="AG617" s="1" t="s">
        <v>91</v>
      </c>
      <c r="AH617" s="1" t="s">
        <v>91</v>
      </c>
      <c r="AI617" t="s">
        <v>91</v>
      </c>
      <c r="AJ617">
        <v>0</v>
      </c>
      <c r="AK617">
        <v>0</v>
      </c>
      <c r="AL617">
        <v>0</v>
      </c>
      <c r="AM617" t="s">
        <v>91</v>
      </c>
      <c r="AN617" t="s">
        <v>91</v>
      </c>
      <c r="AO617" t="s">
        <v>91</v>
      </c>
      <c r="AP617" t="s">
        <v>91</v>
      </c>
      <c r="AQ617" s="1" t="s">
        <v>91</v>
      </c>
      <c r="AR617" s="1" t="s">
        <v>91</v>
      </c>
      <c r="AS617" s="1" t="s">
        <v>91</v>
      </c>
      <c r="AT617" s="1" t="s">
        <v>91</v>
      </c>
      <c r="AU617" s="1" t="s">
        <v>91</v>
      </c>
      <c r="AV617" t="s">
        <v>91</v>
      </c>
      <c r="AW617" t="s">
        <v>91</v>
      </c>
      <c r="AX617" t="s">
        <v>91</v>
      </c>
      <c r="AY617" t="s">
        <v>91</v>
      </c>
      <c r="AZ617" t="s">
        <v>91</v>
      </c>
      <c r="BA617" t="s">
        <v>91</v>
      </c>
      <c r="BB617" s="2">
        <v>43308.392858796295</v>
      </c>
      <c r="BC617" s="2"/>
      <c r="BD617" t="s">
        <v>91</v>
      </c>
      <c r="BE617">
        <v>454</v>
      </c>
      <c r="BF617" s="1" t="s">
        <v>75</v>
      </c>
      <c r="BG617">
        <v>0</v>
      </c>
      <c r="BH617">
        <v>0</v>
      </c>
      <c r="BI617" s="1" t="s">
        <v>88</v>
      </c>
      <c r="BJ617">
        <v>1</v>
      </c>
      <c r="BK617" s="1" t="s">
        <v>89</v>
      </c>
      <c r="BL617" t="s">
        <v>91</v>
      </c>
      <c r="BM617" s="1" t="s">
        <v>109</v>
      </c>
      <c r="BN617" s="1" t="s">
        <v>110</v>
      </c>
      <c r="BO617" s="1" t="s">
        <v>165</v>
      </c>
      <c r="BP617" s="1" t="s">
        <v>91</v>
      </c>
      <c r="BQ617" t="s">
        <v>91</v>
      </c>
      <c r="BR617" s="3">
        <v>43308</v>
      </c>
      <c r="BS617" s="3"/>
      <c r="BT617" t="s">
        <v>91</v>
      </c>
      <c r="BU617" t="s">
        <v>91</v>
      </c>
      <c r="BV617">
        <v>9</v>
      </c>
      <c r="BW617" s="1" t="s">
        <v>263</v>
      </c>
    </row>
    <row r="618" spans="1:75" hidden="1" x14ac:dyDescent="0.35">
      <c r="A618">
        <v>156921</v>
      </c>
      <c r="B618" s="1" t="s">
        <v>75</v>
      </c>
      <c r="C618">
        <v>80</v>
      </c>
      <c r="D618">
        <v>11121002</v>
      </c>
      <c r="E618">
        <v>121002</v>
      </c>
      <c r="F618" s="1" t="s">
        <v>2915</v>
      </c>
      <c r="G618" s="1" t="s">
        <v>3641</v>
      </c>
      <c r="H618">
        <v>0</v>
      </c>
      <c r="I618" s="1" t="s">
        <v>78</v>
      </c>
      <c r="J618" s="1" t="s">
        <v>3642</v>
      </c>
      <c r="K618" s="1" t="s">
        <v>3643</v>
      </c>
      <c r="L618" t="s">
        <v>91</v>
      </c>
      <c r="M618" t="s">
        <v>91</v>
      </c>
      <c r="N618" s="1" t="s">
        <v>3644</v>
      </c>
      <c r="O618" t="s">
        <v>91</v>
      </c>
      <c r="P618" s="1" t="s">
        <v>3645</v>
      </c>
      <c r="Q618" s="1" t="s">
        <v>3646</v>
      </c>
      <c r="R618" s="1" t="s">
        <v>91</v>
      </c>
      <c r="S618">
        <v>1269</v>
      </c>
      <c r="T618">
        <v>88820000</v>
      </c>
      <c r="U618" s="1" t="s">
        <v>108</v>
      </c>
      <c r="V618" s="1" t="s">
        <v>3647</v>
      </c>
      <c r="W618" s="1" t="s">
        <v>87</v>
      </c>
      <c r="X618">
        <v>48</v>
      </c>
      <c r="Y618">
        <v>34339953</v>
      </c>
      <c r="Z618" t="s">
        <v>91</v>
      </c>
      <c r="AA618" t="s">
        <v>91</v>
      </c>
      <c r="AB618" t="s">
        <v>91</v>
      </c>
      <c r="AC618" t="s">
        <v>91</v>
      </c>
      <c r="AD618" t="s">
        <v>91</v>
      </c>
      <c r="AE618" t="s">
        <v>91</v>
      </c>
      <c r="AF618" t="s">
        <v>91</v>
      </c>
      <c r="AG618" s="1" t="s">
        <v>91</v>
      </c>
      <c r="AH618" s="1" t="s">
        <v>91</v>
      </c>
      <c r="AI618" t="s">
        <v>91</v>
      </c>
      <c r="AM618" t="s">
        <v>91</v>
      </c>
      <c r="AN618" t="s">
        <v>91</v>
      </c>
      <c r="AO618" t="s">
        <v>91</v>
      </c>
      <c r="AP618" t="s">
        <v>91</v>
      </c>
      <c r="AQ618" s="1" t="s">
        <v>91</v>
      </c>
      <c r="AR618" s="1" t="s">
        <v>91</v>
      </c>
      <c r="AS618" s="1" t="s">
        <v>91</v>
      </c>
      <c r="AT618" s="1" t="s">
        <v>91</v>
      </c>
      <c r="AU618" s="1" t="s">
        <v>91</v>
      </c>
      <c r="AV618" t="s">
        <v>91</v>
      </c>
      <c r="AW618" t="s">
        <v>91</v>
      </c>
      <c r="AX618" t="s">
        <v>91</v>
      </c>
      <c r="AY618" t="s">
        <v>91</v>
      </c>
      <c r="AZ618" t="s">
        <v>91</v>
      </c>
      <c r="BA618" t="s">
        <v>91</v>
      </c>
      <c r="BB618" s="2">
        <v>45113.505416666667</v>
      </c>
      <c r="BC618" s="2"/>
      <c r="BD618" t="s">
        <v>91</v>
      </c>
      <c r="BF618" s="1" t="s">
        <v>75</v>
      </c>
      <c r="BI618" s="1" t="s">
        <v>88</v>
      </c>
      <c r="BJ618">
        <v>1</v>
      </c>
      <c r="BK618" s="1" t="s">
        <v>89</v>
      </c>
      <c r="BL618" t="s">
        <v>91</v>
      </c>
      <c r="BM618" s="1" t="s">
        <v>91</v>
      </c>
      <c r="BN618" s="1" t="s">
        <v>91</v>
      </c>
      <c r="BO618" s="1" t="s">
        <v>91</v>
      </c>
      <c r="BP618" s="1" t="s">
        <v>91</v>
      </c>
      <c r="BQ618" t="s">
        <v>91</v>
      </c>
      <c r="BR618" s="3">
        <v>45113</v>
      </c>
      <c r="BS618" s="3"/>
      <c r="BT618" t="s">
        <v>91</v>
      </c>
      <c r="BU618" t="s">
        <v>91</v>
      </c>
      <c r="BW618" s="1" t="s">
        <v>478</v>
      </c>
    </row>
    <row r="619" spans="1:75" hidden="1" x14ac:dyDescent="0.35">
      <c r="A619">
        <v>134497</v>
      </c>
      <c r="B619" s="1" t="s">
        <v>75</v>
      </c>
      <c r="C619">
        <v>80</v>
      </c>
      <c r="D619">
        <v>11121002</v>
      </c>
      <c r="E619">
        <v>121002</v>
      </c>
      <c r="F619" s="1" t="s">
        <v>2915</v>
      </c>
      <c r="G619" s="1" t="s">
        <v>3648</v>
      </c>
      <c r="I619" s="1" t="s">
        <v>78</v>
      </c>
      <c r="J619" s="1" t="s">
        <v>3649</v>
      </c>
      <c r="K619" s="1" t="s">
        <v>3650</v>
      </c>
      <c r="L619" t="s">
        <v>91</v>
      </c>
      <c r="M619" t="s">
        <v>91</v>
      </c>
      <c r="N619" s="1" t="s">
        <v>3651</v>
      </c>
      <c r="O619" t="s">
        <v>91</v>
      </c>
      <c r="P619" s="1" t="s">
        <v>3652</v>
      </c>
      <c r="Q619" s="1" t="s">
        <v>3653</v>
      </c>
      <c r="R619" s="1" t="s">
        <v>91</v>
      </c>
      <c r="S619">
        <v>1259</v>
      </c>
      <c r="T619">
        <v>88104800</v>
      </c>
      <c r="U619" s="1" t="s">
        <v>3405</v>
      </c>
      <c r="V619" s="1" t="s">
        <v>3016</v>
      </c>
      <c r="W619" s="1" t="s">
        <v>87</v>
      </c>
      <c r="X619">
        <v>48</v>
      </c>
      <c r="Y619">
        <v>30949129</v>
      </c>
      <c r="Z619" t="s">
        <v>91</v>
      </c>
      <c r="AA619" t="s">
        <v>91</v>
      </c>
      <c r="AB619" t="s">
        <v>91</v>
      </c>
      <c r="AC619" t="s">
        <v>91</v>
      </c>
      <c r="AD619" t="s">
        <v>91</v>
      </c>
      <c r="AE619" t="s">
        <v>91</v>
      </c>
      <c r="AF619" t="s">
        <v>91</v>
      </c>
      <c r="AG619" s="1" t="s">
        <v>146</v>
      </c>
      <c r="AH619" s="1" t="s">
        <v>91</v>
      </c>
      <c r="AI619" t="s">
        <v>91</v>
      </c>
      <c r="AM619" t="s">
        <v>91</v>
      </c>
      <c r="AN619" t="s">
        <v>91</v>
      </c>
      <c r="AO619" t="s">
        <v>91</v>
      </c>
      <c r="AP619" t="s">
        <v>91</v>
      </c>
      <c r="AQ619" s="1" t="s">
        <v>147</v>
      </c>
      <c r="AR619" s="1" t="s">
        <v>147</v>
      </c>
      <c r="AS619" s="1" t="s">
        <v>147</v>
      </c>
      <c r="AT619" s="1" t="s">
        <v>147</v>
      </c>
      <c r="AU619" s="1" t="s">
        <v>147</v>
      </c>
      <c r="AV619" t="s">
        <v>91</v>
      </c>
      <c r="AW619" t="s">
        <v>91</v>
      </c>
      <c r="AX619" t="s">
        <v>91</v>
      </c>
      <c r="AY619" t="s">
        <v>91</v>
      </c>
      <c r="AZ619" t="s">
        <v>91</v>
      </c>
      <c r="BA619" t="s">
        <v>91</v>
      </c>
      <c r="BB619" s="2"/>
      <c r="BC619" s="2">
        <v>44692.748472222222</v>
      </c>
      <c r="BD619" t="s">
        <v>91</v>
      </c>
      <c r="BF619" s="1" t="s">
        <v>75</v>
      </c>
      <c r="BH619">
        <v>0</v>
      </c>
      <c r="BI619" s="1" t="s">
        <v>88</v>
      </c>
      <c r="BJ619">
        <v>1</v>
      </c>
      <c r="BK619" s="1" t="s">
        <v>89</v>
      </c>
      <c r="BL619" t="s">
        <v>91</v>
      </c>
      <c r="BM619" s="1" t="s">
        <v>164</v>
      </c>
      <c r="BN619" s="1" t="s">
        <v>110</v>
      </c>
      <c r="BO619" s="1" t="s">
        <v>165</v>
      </c>
      <c r="BP619" s="1" t="s">
        <v>91</v>
      </c>
      <c r="BQ619" t="s">
        <v>91</v>
      </c>
      <c r="BR619" s="3"/>
      <c r="BS619" s="3">
        <v>44692</v>
      </c>
      <c r="BT619" t="s">
        <v>91</v>
      </c>
      <c r="BU619" t="s">
        <v>91</v>
      </c>
      <c r="BV619">
        <v>1</v>
      </c>
      <c r="BW619" s="1" t="s">
        <v>3654</v>
      </c>
    </row>
    <row r="620" spans="1:75" hidden="1" x14ac:dyDescent="0.35">
      <c r="A620">
        <v>157612</v>
      </c>
      <c r="B620" s="1" t="s">
        <v>75</v>
      </c>
      <c r="C620">
        <v>80</v>
      </c>
      <c r="D620">
        <v>11121002</v>
      </c>
      <c r="E620">
        <v>121002</v>
      </c>
      <c r="F620" s="1" t="s">
        <v>2915</v>
      </c>
      <c r="G620" s="1" t="s">
        <v>3655</v>
      </c>
      <c r="H620">
        <v>0</v>
      </c>
      <c r="I620" s="1" t="s">
        <v>78</v>
      </c>
      <c r="J620" s="1" t="s">
        <v>3656</v>
      </c>
      <c r="K620" s="1" t="s">
        <v>3657</v>
      </c>
      <c r="L620" t="s">
        <v>91</v>
      </c>
      <c r="M620" t="s">
        <v>91</v>
      </c>
      <c r="N620" s="1" t="s">
        <v>3658</v>
      </c>
      <c r="O620" t="s">
        <v>91</v>
      </c>
      <c r="P620" s="1" t="s">
        <v>3659</v>
      </c>
      <c r="Q620" s="1" t="s">
        <v>3660</v>
      </c>
      <c r="R620" s="1" t="s">
        <v>3661</v>
      </c>
      <c r="S620">
        <v>1257</v>
      </c>
      <c r="T620">
        <v>88063000</v>
      </c>
      <c r="U620" s="1" t="s">
        <v>2964</v>
      </c>
      <c r="V620" s="1" t="s">
        <v>2922</v>
      </c>
      <c r="W620" s="1" t="s">
        <v>87</v>
      </c>
      <c r="X620">
        <v>48</v>
      </c>
      <c r="Y620">
        <v>32070067</v>
      </c>
      <c r="Z620" t="s">
        <v>91</v>
      </c>
      <c r="AA620" t="s">
        <v>91</v>
      </c>
      <c r="AB620" t="s">
        <v>91</v>
      </c>
      <c r="AC620" t="s">
        <v>91</v>
      </c>
      <c r="AD620" t="s">
        <v>91</v>
      </c>
      <c r="AE620" t="s">
        <v>91</v>
      </c>
      <c r="AF620" t="s">
        <v>91</v>
      </c>
      <c r="AG620" s="1" t="s">
        <v>91</v>
      </c>
      <c r="AH620" s="1" t="s">
        <v>91</v>
      </c>
      <c r="AI620" t="s">
        <v>91</v>
      </c>
      <c r="AM620" t="s">
        <v>91</v>
      </c>
      <c r="AN620" t="s">
        <v>91</v>
      </c>
      <c r="AO620" t="s">
        <v>91</v>
      </c>
      <c r="AP620" t="s">
        <v>91</v>
      </c>
      <c r="AQ620" s="1" t="s">
        <v>91</v>
      </c>
      <c r="AR620" s="1" t="s">
        <v>91</v>
      </c>
      <c r="AS620" s="1" t="s">
        <v>91</v>
      </c>
      <c r="AT620" s="1" t="s">
        <v>91</v>
      </c>
      <c r="AU620" s="1" t="s">
        <v>91</v>
      </c>
      <c r="AV620" t="s">
        <v>91</v>
      </c>
      <c r="AW620" t="s">
        <v>91</v>
      </c>
      <c r="AX620" t="s">
        <v>91</v>
      </c>
      <c r="AY620" t="s">
        <v>91</v>
      </c>
      <c r="AZ620" t="s">
        <v>91</v>
      </c>
      <c r="BA620" t="s">
        <v>91</v>
      </c>
      <c r="BB620" s="2">
        <v>45118.097175925926</v>
      </c>
      <c r="BC620" s="2"/>
      <c r="BD620" t="s">
        <v>91</v>
      </c>
      <c r="BF620" s="1" t="s">
        <v>75</v>
      </c>
      <c r="BI620" s="1" t="s">
        <v>88</v>
      </c>
      <c r="BJ620">
        <v>1</v>
      </c>
      <c r="BK620" s="1" t="s">
        <v>89</v>
      </c>
      <c r="BL620" t="s">
        <v>91</v>
      </c>
      <c r="BM620" s="1" t="s">
        <v>91</v>
      </c>
      <c r="BN620" s="1" t="s">
        <v>91</v>
      </c>
      <c r="BO620" s="1" t="s">
        <v>91</v>
      </c>
      <c r="BP620" s="1" t="s">
        <v>91</v>
      </c>
      <c r="BQ620" t="s">
        <v>91</v>
      </c>
      <c r="BR620" s="3">
        <v>45118</v>
      </c>
      <c r="BS620" s="3"/>
      <c r="BT620" t="s">
        <v>91</v>
      </c>
      <c r="BU620" t="s">
        <v>91</v>
      </c>
      <c r="BW620" s="1" t="s">
        <v>90</v>
      </c>
    </row>
    <row r="621" spans="1:75" hidden="1" x14ac:dyDescent="0.35">
      <c r="A621">
        <v>152766</v>
      </c>
      <c r="B621" s="1" t="s">
        <v>75</v>
      </c>
      <c r="C621">
        <v>80</v>
      </c>
      <c r="D621">
        <v>11121002</v>
      </c>
      <c r="E621">
        <v>121002</v>
      </c>
      <c r="F621" s="1" t="s">
        <v>2915</v>
      </c>
      <c r="G621" s="1" t="s">
        <v>3662</v>
      </c>
      <c r="H621">
        <v>0</v>
      </c>
      <c r="I621" s="1" t="s">
        <v>78</v>
      </c>
      <c r="J621" s="1" t="s">
        <v>3663</v>
      </c>
      <c r="K621" s="1" t="s">
        <v>3664</v>
      </c>
      <c r="L621" t="s">
        <v>91</v>
      </c>
      <c r="M621" t="s">
        <v>91</v>
      </c>
      <c r="N621" s="1" t="s">
        <v>3665</v>
      </c>
      <c r="O621" t="s">
        <v>91</v>
      </c>
      <c r="P621" s="1" t="s">
        <v>3666</v>
      </c>
      <c r="Q621" s="1" t="s">
        <v>3129</v>
      </c>
      <c r="R621" s="1" t="s">
        <v>3667</v>
      </c>
      <c r="S621">
        <v>1257</v>
      </c>
      <c r="T621">
        <v>88050000</v>
      </c>
      <c r="U621" s="1" t="s">
        <v>3668</v>
      </c>
      <c r="V621" s="1" t="s">
        <v>3102</v>
      </c>
      <c r="W621" s="1" t="s">
        <v>87</v>
      </c>
      <c r="Z621" t="s">
        <v>91</v>
      </c>
      <c r="AA621" t="s">
        <v>91</v>
      </c>
      <c r="AB621" t="s">
        <v>91</v>
      </c>
      <c r="AC621" t="s">
        <v>91</v>
      </c>
      <c r="AD621" t="s">
        <v>91</v>
      </c>
      <c r="AE621" t="s">
        <v>91</v>
      </c>
      <c r="AF621" t="s">
        <v>91</v>
      </c>
      <c r="AG621" s="1" t="s">
        <v>146</v>
      </c>
      <c r="AH621" s="1" t="s">
        <v>91</v>
      </c>
      <c r="AI621" t="s">
        <v>91</v>
      </c>
      <c r="AM621" t="s">
        <v>91</v>
      </c>
      <c r="AN621" t="s">
        <v>91</v>
      </c>
      <c r="AO621" t="s">
        <v>91</v>
      </c>
      <c r="AP621" t="s">
        <v>91</v>
      </c>
      <c r="AQ621" s="1" t="s">
        <v>147</v>
      </c>
      <c r="AR621" s="1" t="s">
        <v>147</v>
      </c>
      <c r="AS621" s="1" t="s">
        <v>147</v>
      </c>
      <c r="AT621" s="1" t="s">
        <v>147</v>
      </c>
      <c r="AU621" s="1" t="s">
        <v>147</v>
      </c>
      <c r="AV621" t="s">
        <v>91</v>
      </c>
      <c r="AW621" t="s">
        <v>91</v>
      </c>
      <c r="AX621" t="s">
        <v>91</v>
      </c>
      <c r="AY621" t="s">
        <v>91</v>
      </c>
      <c r="AZ621" t="s">
        <v>91</v>
      </c>
      <c r="BA621" t="s">
        <v>91</v>
      </c>
      <c r="BB621" s="2">
        <v>45019.565613425926</v>
      </c>
      <c r="BC621" s="2">
        <v>45044.636770833335</v>
      </c>
      <c r="BD621" t="s">
        <v>91</v>
      </c>
      <c r="BF621" s="1" t="s">
        <v>75</v>
      </c>
      <c r="BH621">
        <v>0</v>
      </c>
      <c r="BI621" s="1" t="s">
        <v>88</v>
      </c>
      <c r="BJ621">
        <v>1</v>
      </c>
      <c r="BK621" s="1" t="s">
        <v>89</v>
      </c>
      <c r="BL621" t="s">
        <v>91</v>
      </c>
      <c r="BM621" s="1" t="s">
        <v>91</v>
      </c>
      <c r="BN621" s="1" t="s">
        <v>91</v>
      </c>
      <c r="BO621" s="1" t="s">
        <v>91</v>
      </c>
      <c r="BP621" s="1" t="s">
        <v>91</v>
      </c>
      <c r="BQ621" t="s">
        <v>91</v>
      </c>
      <c r="BR621" s="3">
        <v>45019</v>
      </c>
      <c r="BS621" s="3">
        <v>45044</v>
      </c>
      <c r="BT621" t="s">
        <v>91</v>
      </c>
      <c r="BU621" t="s">
        <v>91</v>
      </c>
      <c r="BW621" s="1" t="s">
        <v>540</v>
      </c>
    </row>
    <row r="622" spans="1:75" hidden="1" x14ac:dyDescent="0.35">
      <c r="A622">
        <v>134290</v>
      </c>
      <c r="B622" s="1" t="s">
        <v>75</v>
      </c>
      <c r="C622">
        <v>80</v>
      </c>
      <c r="D622">
        <v>11121002</v>
      </c>
      <c r="E622">
        <v>121002</v>
      </c>
      <c r="F622" s="1" t="s">
        <v>2915</v>
      </c>
      <c r="G622" s="1" t="s">
        <v>3669</v>
      </c>
      <c r="I622" s="1" t="s">
        <v>78</v>
      </c>
      <c r="J622" s="1" t="s">
        <v>3670</v>
      </c>
      <c r="K622" s="1" t="s">
        <v>3671</v>
      </c>
      <c r="L622" t="s">
        <v>91</v>
      </c>
      <c r="M622" t="s">
        <v>91</v>
      </c>
      <c r="N622" s="1" t="s">
        <v>3672</v>
      </c>
      <c r="O622" t="s">
        <v>91</v>
      </c>
      <c r="P622" s="1" t="s">
        <v>3673</v>
      </c>
      <c r="Q622" s="1" t="s">
        <v>3674</v>
      </c>
      <c r="R622" s="1" t="s">
        <v>3675</v>
      </c>
      <c r="S622">
        <v>1255</v>
      </c>
      <c r="T622">
        <v>88015230</v>
      </c>
      <c r="U622" s="1" t="s">
        <v>108</v>
      </c>
      <c r="V622" s="1" t="s">
        <v>3102</v>
      </c>
      <c r="W622" s="1" t="s">
        <v>87</v>
      </c>
      <c r="X622">
        <v>48</v>
      </c>
      <c r="Y622">
        <v>30257200</v>
      </c>
      <c r="Z622" t="s">
        <v>91</v>
      </c>
      <c r="AA622" t="s">
        <v>91</v>
      </c>
      <c r="AB622" t="s">
        <v>91</v>
      </c>
      <c r="AC622" t="s">
        <v>91</v>
      </c>
      <c r="AD622" t="s">
        <v>91</v>
      </c>
      <c r="AE622" t="s">
        <v>91</v>
      </c>
      <c r="AF622" t="s">
        <v>91</v>
      </c>
      <c r="AG622" s="1" t="s">
        <v>146</v>
      </c>
      <c r="AH622" s="1" t="s">
        <v>91</v>
      </c>
      <c r="AI622" t="s">
        <v>91</v>
      </c>
      <c r="AJ622">
        <v>0</v>
      </c>
      <c r="AK622">
        <v>0</v>
      </c>
      <c r="AL622">
        <v>0</v>
      </c>
      <c r="AM622" t="s">
        <v>91</v>
      </c>
      <c r="AN622" t="s">
        <v>91</v>
      </c>
      <c r="AO622" t="s">
        <v>91</v>
      </c>
      <c r="AP622" t="s">
        <v>91</v>
      </c>
      <c r="AQ622" s="1" t="s">
        <v>147</v>
      </c>
      <c r="AR622" s="1" t="s">
        <v>147</v>
      </c>
      <c r="AS622" s="1" t="s">
        <v>147</v>
      </c>
      <c r="AT622" s="1" t="s">
        <v>147</v>
      </c>
      <c r="AU622" s="1" t="s">
        <v>147</v>
      </c>
      <c r="AV622" t="s">
        <v>91</v>
      </c>
      <c r="AW622" t="s">
        <v>91</v>
      </c>
      <c r="AX622" t="s">
        <v>91</v>
      </c>
      <c r="AY622" t="s">
        <v>91</v>
      </c>
      <c r="AZ622" t="s">
        <v>91</v>
      </c>
      <c r="BA622" t="s">
        <v>91</v>
      </c>
      <c r="BB622" s="2"/>
      <c r="BC622" s="2">
        <v>44655.38009259259</v>
      </c>
      <c r="BD622" t="s">
        <v>91</v>
      </c>
      <c r="BF622" s="1" t="s">
        <v>75</v>
      </c>
      <c r="BG622">
        <v>0</v>
      </c>
      <c r="BH622">
        <v>0</v>
      </c>
      <c r="BI622" s="1" t="s">
        <v>88</v>
      </c>
      <c r="BJ622">
        <v>1</v>
      </c>
      <c r="BK622" s="1" t="s">
        <v>89</v>
      </c>
      <c r="BL622" t="s">
        <v>91</v>
      </c>
      <c r="BM622" s="1" t="s">
        <v>109</v>
      </c>
      <c r="BN622" s="1" t="s">
        <v>148</v>
      </c>
      <c r="BO622" s="1" t="s">
        <v>165</v>
      </c>
      <c r="BP622" s="1" t="s">
        <v>91</v>
      </c>
      <c r="BQ622" t="s">
        <v>91</v>
      </c>
      <c r="BR622" s="3"/>
      <c r="BS622" s="3">
        <v>44655</v>
      </c>
      <c r="BT622" t="s">
        <v>91</v>
      </c>
      <c r="BU622" t="s">
        <v>91</v>
      </c>
      <c r="BV622">
        <v>5</v>
      </c>
      <c r="BW622" s="1" t="s">
        <v>3676</v>
      </c>
    </row>
    <row r="623" spans="1:75" hidden="1" x14ac:dyDescent="0.35">
      <c r="A623">
        <v>157656</v>
      </c>
      <c r="B623" s="1" t="s">
        <v>75</v>
      </c>
      <c r="C623">
        <v>80</v>
      </c>
      <c r="D623">
        <v>11121002</v>
      </c>
      <c r="E623">
        <v>121002</v>
      </c>
      <c r="F623" s="1" t="s">
        <v>2915</v>
      </c>
      <c r="G623" s="1" t="s">
        <v>3677</v>
      </c>
      <c r="H623">
        <v>0</v>
      </c>
      <c r="I623" s="1" t="s">
        <v>78</v>
      </c>
      <c r="J623" s="1" t="s">
        <v>3678</v>
      </c>
      <c r="K623" s="1" t="s">
        <v>3679</v>
      </c>
      <c r="L623" t="s">
        <v>91</v>
      </c>
      <c r="M623" t="s">
        <v>91</v>
      </c>
      <c r="N623" s="1" t="s">
        <v>3680</v>
      </c>
      <c r="O623" t="s">
        <v>91</v>
      </c>
      <c r="P623" s="1" t="s">
        <v>3681</v>
      </c>
      <c r="Q623" s="1" t="s">
        <v>3682</v>
      </c>
      <c r="R623" s="1" t="s">
        <v>91</v>
      </c>
      <c r="S623">
        <v>1268</v>
      </c>
      <c r="T623">
        <v>88717000</v>
      </c>
      <c r="U623" s="1" t="s">
        <v>108</v>
      </c>
      <c r="V623" s="1" t="s">
        <v>3683</v>
      </c>
      <c r="W623" s="1" t="s">
        <v>87</v>
      </c>
      <c r="X623">
        <v>48</v>
      </c>
      <c r="Y623">
        <v>36323826</v>
      </c>
      <c r="Z623" t="s">
        <v>91</v>
      </c>
      <c r="AA623" t="s">
        <v>91</v>
      </c>
      <c r="AB623" t="s">
        <v>91</v>
      </c>
      <c r="AC623" t="s">
        <v>91</v>
      </c>
      <c r="AD623" t="s">
        <v>91</v>
      </c>
      <c r="AE623" t="s">
        <v>91</v>
      </c>
      <c r="AF623" t="s">
        <v>91</v>
      </c>
      <c r="AG623" s="1" t="s">
        <v>91</v>
      </c>
      <c r="AH623" s="1" t="s">
        <v>91</v>
      </c>
      <c r="AI623" t="s">
        <v>91</v>
      </c>
      <c r="AM623" t="s">
        <v>91</v>
      </c>
      <c r="AN623" t="s">
        <v>91</v>
      </c>
      <c r="AO623" t="s">
        <v>91</v>
      </c>
      <c r="AP623" t="s">
        <v>91</v>
      </c>
      <c r="AQ623" s="1" t="s">
        <v>91</v>
      </c>
      <c r="AR623" s="1" t="s">
        <v>91</v>
      </c>
      <c r="AS623" s="1" t="s">
        <v>91</v>
      </c>
      <c r="AT623" s="1" t="s">
        <v>91</v>
      </c>
      <c r="AU623" s="1" t="s">
        <v>91</v>
      </c>
      <c r="AV623" t="s">
        <v>91</v>
      </c>
      <c r="AW623" t="s">
        <v>91</v>
      </c>
      <c r="AX623" t="s">
        <v>91</v>
      </c>
      <c r="AY623" t="s">
        <v>91</v>
      </c>
      <c r="AZ623" t="s">
        <v>91</v>
      </c>
      <c r="BA623" t="s">
        <v>91</v>
      </c>
      <c r="BB623" s="2">
        <v>45118.097175925926</v>
      </c>
      <c r="BC623" s="2"/>
      <c r="BD623" t="s">
        <v>91</v>
      </c>
      <c r="BF623" s="1" t="s">
        <v>75</v>
      </c>
      <c r="BI623" s="1" t="s">
        <v>88</v>
      </c>
      <c r="BJ623">
        <v>1</v>
      </c>
      <c r="BK623" s="1" t="s">
        <v>89</v>
      </c>
      <c r="BL623" t="s">
        <v>91</v>
      </c>
      <c r="BM623" s="1" t="s">
        <v>91</v>
      </c>
      <c r="BN623" s="1" t="s">
        <v>91</v>
      </c>
      <c r="BO623" s="1" t="s">
        <v>91</v>
      </c>
      <c r="BP623" s="1" t="s">
        <v>91</v>
      </c>
      <c r="BQ623" t="s">
        <v>91</v>
      </c>
      <c r="BR623" s="3">
        <v>45118</v>
      </c>
      <c r="BS623" s="3"/>
      <c r="BT623" t="s">
        <v>91</v>
      </c>
      <c r="BU623" t="s">
        <v>91</v>
      </c>
      <c r="BW623" s="1" t="s">
        <v>90</v>
      </c>
    </row>
    <row r="624" spans="1:75" hidden="1" x14ac:dyDescent="0.35">
      <c r="A624">
        <v>157614</v>
      </c>
      <c r="B624" s="1" t="s">
        <v>75</v>
      </c>
      <c r="C624">
        <v>80</v>
      </c>
      <c r="D624">
        <v>11121002</v>
      </c>
      <c r="E624">
        <v>121002</v>
      </c>
      <c r="F624" s="1" t="s">
        <v>2915</v>
      </c>
      <c r="G624" s="1" t="s">
        <v>3684</v>
      </c>
      <c r="H624">
        <v>0</v>
      </c>
      <c r="I624" s="1" t="s">
        <v>78</v>
      </c>
      <c r="J624" s="1" t="s">
        <v>3685</v>
      </c>
      <c r="K624" s="1" t="s">
        <v>3686</v>
      </c>
      <c r="L624" t="s">
        <v>91</v>
      </c>
      <c r="M624" t="s">
        <v>91</v>
      </c>
      <c r="N624" s="1" t="s">
        <v>3687</v>
      </c>
      <c r="O624" t="s">
        <v>91</v>
      </c>
      <c r="P624" s="1" t="s">
        <v>3688</v>
      </c>
      <c r="Q624" s="1" t="s">
        <v>930</v>
      </c>
      <c r="R624" s="1" t="s">
        <v>91</v>
      </c>
      <c r="T624">
        <v>88134420</v>
      </c>
      <c r="U624" s="1" t="s">
        <v>3689</v>
      </c>
      <c r="V624" s="1" t="s">
        <v>2951</v>
      </c>
      <c r="W624" s="1" t="s">
        <v>87</v>
      </c>
      <c r="X624">
        <v>48</v>
      </c>
      <c r="Y624">
        <v>41070485</v>
      </c>
      <c r="Z624" t="s">
        <v>91</v>
      </c>
      <c r="AA624" t="s">
        <v>91</v>
      </c>
      <c r="AB624" t="s">
        <v>91</v>
      </c>
      <c r="AC624" t="s">
        <v>91</v>
      </c>
      <c r="AD624" t="s">
        <v>91</v>
      </c>
      <c r="AE624" t="s">
        <v>91</v>
      </c>
      <c r="AF624" t="s">
        <v>91</v>
      </c>
      <c r="AG624" s="1" t="s">
        <v>91</v>
      </c>
      <c r="AH624" s="1" t="s">
        <v>91</v>
      </c>
      <c r="AI624" t="s">
        <v>91</v>
      </c>
      <c r="AM624" t="s">
        <v>91</v>
      </c>
      <c r="AN624" t="s">
        <v>91</v>
      </c>
      <c r="AO624" t="s">
        <v>91</v>
      </c>
      <c r="AP624" t="s">
        <v>91</v>
      </c>
      <c r="AQ624" s="1" t="s">
        <v>91</v>
      </c>
      <c r="AR624" s="1" t="s">
        <v>91</v>
      </c>
      <c r="AS624" s="1" t="s">
        <v>91</v>
      </c>
      <c r="AT624" s="1" t="s">
        <v>91</v>
      </c>
      <c r="AU624" s="1" t="s">
        <v>91</v>
      </c>
      <c r="AV624" t="s">
        <v>91</v>
      </c>
      <c r="AW624" t="s">
        <v>91</v>
      </c>
      <c r="AX624" t="s">
        <v>91</v>
      </c>
      <c r="AY624" t="s">
        <v>91</v>
      </c>
      <c r="AZ624" t="s">
        <v>91</v>
      </c>
      <c r="BA624" t="s">
        <v>91</v>
      </c>
      <c r="BB624" s="2">
        <v>45118.097175925926</v>
      </c>
      <c r="BC624" s="2"/>
      <c r="BD624" t="s">
        <v>91</v>
      </c>
      <c r="BF624" s="1" t="s">
        <v>75</v>
      </c>
      <c r="BI624" s="1" t="s">
        <v>88</v>
      </c>
      <c r="BJ624">
        <v>1</v>
      </c>
      <c r="BK624" s="1" t="s">
        <v>89</v>
      </c>
      <c r="BL624" t="s">
        <v>91</v>
      </c>
      <c r="BM624" s="1" t="s">
        <v>91</v>
      </c>
      <c r="BN624" s="1" t="s">
        <v>91</v>
      </c>
      <c r="BO624" s="1" t="s">
        <v>91</v>
      </c>
      <c r="BP624" s="1" t="s">
        <v>91</v>
      </c>
      <c r="BQ624" t="s">
        <v>91</v>
      </c>
      <c r="BR624" s="3">
        <v>45118</v>
      </c>
      <c r="BS624" s="3"/>
      <c r="BT624" t="s">
        <v>91</v>
      </c>
      <c r="BU624" t="s">
        <v>91</v>
      </c>
      <c r="BW624" s="1" t="s">
        <v>90</v>
      </c>
    </row>
    <row r="625" spans="1:75" hidden="1" x14ac:dyDescent="0.35">
      <c r="A625">
        <v>157637</v>
      </c>
      <c r="B625" s="1" t="s">
        <v>75</v>
      </c>
      <c r="C625">
        <v>80</v>
      </c>
      <c r="D625">
        <v>11121002</v>
      </c>
      <c r="E625">
        <v>121002</v>
      </c>
      <c r="F625" s="1" t="s">
        <v>2915</v>
      </c>
      <c r="G625" s="1" t="s">
        <v>3690</v>
      </c>
      <c r="H625">
        <v>0</v>
      </c>
      <c r="I625" s="1" t="s">
        <v>78</v>
      </c>
      <c r="J625" s="1" t="s">
        <v>3691</v>
      </c>
      <c r="K625" s="1" t="s">
        <v>3692</v>
      </c>
      <c r="L625" t="s">
        <v>91</v>
      </c>
      <c r="M625" t="s">
        <v>91</v>
      </c>
      <c r="N625" s="1" t="s">
        <v>3693</v>
      </c>
      <c r="O625" t="s">
        <v>91</v>
      </c>
      <c r="P625" s="1" t="s">
        <v>364</v>
      </c>
      <c r="Q625" s="1" t="s">
        <v>538</v>
      </c>
      <c r="R625" s="1" t="s">
        <v>370</v>
      </c>
      <c r="S625">
        <v>1270</v>
      </c>
      <c r="T625">
        <v>88960000</v>
      </c>
      <c r="U625" s="1" t="s">
        <v>3474</v>
      </c>
      <c r="V625" s="1" t="s">
        <v>3694</v>
      </c>
      <c r="W625" s="1" t="s">
        <v>87</v>
      </c>
      <c r="X625">
        <v>48</v>
      </c>
      <c r="Y625">
        <v>999327242</v>
      </c>
      <c r="Z625" t="s">
        <v>91</v>
      </c>
      <c r="AA625" t="s">
        <v>91</v>
      </c>
      <c r="AB625" t="s">
        <v>91</v>
      </c>
      <c r="AC625" t="s">
        <v>91</v>
      </c>
      <c r="AD625" t="s">
        <v>91</v>
      </c>
      <c r="AE625" t="s">
        <v>91</v>
      </c>
      <c r="AF625" t="s">
        <v>91</v>
      </c>
      <c r="AG625" s="1" t="s">
        <v>91</v>
      </c>
      <c r="AH625" s="1" t="s">
        <v>91</v>
      </c>
      <c r="AI625" t="s">
        <v>91</v>
      </c>
      <c r="AM625" t="s">
        <v>91</v>
      </c>
      <c r="AN625" t="s">
        <v>91</v>
      </c>
      <c r="AO625" t="s">
        <v>91</v>
      </c>
      <c r="AP625" t="s">
        <v>91</v>
      </c>
      <c r="AQ625" s="1" t="s">
        <v>91</v>
      </c>
      <c r="AR625" s="1" t="s">
        <v>91</v>
      </c>
      <c r="AS625" s="1" t="s">
        <v>91</v>
      </c>
      <c r="AT625" s="1" t="s">
        <v>91</v>
      </c>
      <c r="AU625" s="1" t="s">
        <v>91</v>
      </c>
      <c r="AV625" t="s">
        <v>91</v>
      </c>
      <c r="AW625" t="s">
        <v>91</v>
      </c>
      <c r="AX625" t="s">
        <v>91</v>
      </c>
      <c r="AY625" t="s">
        <v>91</v>
      </c>
      <c r="AZ625" t="s">
        <v>91</v>
      </c>
      <c r="BA625" t="s">
        <v>91</v>
      </c>
      <c r="BB625" s="2">
        <v>45118.097175925926</v>
      </c>
      <c r="BC625" s="2"/>
      <c r="BD625" t="s">
        <v>91</v>
      </c>
      <c r="BF625" s="1" t="s">
        <v>75</v>
      </c>
      <c r="BI625" s="1" t="s">
        <v>88</v>
      </c>
      <c r="BJ625">
        <v>1</v>
      </c>
      <c r="BK625" s="1" t="s">
        <v>89</v>
      </c>
      <c r="BL625" t="s">
        <v>91</v>
      </c>
      <c r="BM625" s="1" t="s">
        <v>91</v>
      </c>
      <c r="BN625" s="1" t="s">
        <v>91</v>
      </c>
      <c r="BO625" s="1" t="s">
        <v>91</v>
      </c>
      <c r="BP625" s="1" t="s">
        <v>91</v>
      </c>
      <c r="BQ625" t="s">
        <v>91</v>
      </c>
      <c r="BR625" s="3">
        <v>45118</v>
      </c>
      <c r="BS625" s="3"/>
      <c r="BT625" t="s">
        <v>91</v>
      </c>
      <c r="BU625" t="s">
        <v>91</v>
      </c>
      <c r="BW625" s="1" t="s">
        <v>90</v>
      </c>
    </row>
    <row r="626" spans="1:75" hidden="1" x14ac:dyDescent="0.35">
      <c r="A626">
        <v>144398</v>
      </c>
      <c r="B626" s="1" t="s">
        <v>75</v>
      </c>
      <c r="C626">
        <v>80</v>
      </c>
      <c r="D626">
        <v>11121002</v>
      </c>
      <c r="E626">
        <v>121002</v>
      </c>
      <c r="F626" s="1" t="s">
        <v>2915</v>
      </c>
      <c r="G626" s="1" t="s">
        <v>3695</v>
      </c>
      <c r="I626" s="1" t="s">
        <v>78</v>
      </c>
      <c r="J626" s="1" t="s">
        <v>3696</v>
      </c>
      <c r="K626" s="1" t="s">
        <v>3697</v>
      </c>
      <c r="L626" t="s">
        <v>91</v>
      </c>
      <c r="M626" t="s">
        <v>91</v>
      </c>
      <c r="N626" s="1" t="s">
        <v>3698</v>
      </c>
      <c r="O626" t="s">
        <v>91</v>
      </c>
      <c r="P626" s="1" t="s">
        <v>3699</v>
      </c>
      <c r="Q626" s="1" t="s">
        <v>3700</v>
      </c>
      <c r="R626" s="1" t="s">
        <v>91</v>
      </c>
      <c r="S626">
        <v>1268</v>
      </c>
      <c r="T626">
        <v>88701001</v>
      </c>
      <c r="U626" s="1" t="s">
        <v>108</v>
      </c>
      <c r="V626" s="1" t="s">
        <v>3059</v>
      </c>
      <c r="W626" s="1" t="s">
        <v>87</v>
      </c>
      <c r="X626">
        <v>48</v>
      </c>
      <c r="Y626">
        <v>36264811</v>
      </c>
      <c r="Z626" t="s">
        <v>91</v>
      </c>
      <c r="AA626" t="s">
        <v>91</v>
      </c>
      <c r="AB626" t="s">
        <v>91</v>
      </c>
      <c r="AC626" t="s">
        <v>91</v>
      </c>
      <c r="AD626" t="s">
        <v>91</v>
      </c>
      <c r="AE626" t="s">
        <v>91</v>
      </c>
      <c r="AF626" t="s">
        <v>91</v>
      </c>
      <c r="AG626" s="1" t="s">
        <v>91</v>
      </c>
      <c r="AH626" s="1" t="s">
        <v>91</v>
      </c>
      <c r="AI626" t="s">
        <v>91</v>
      </c>
      <c r="AJ626">
        <v>0</v>
      </c>
      <c r="AK626">
        <v>0</v>
      </c>
      <c r="AL626">
        <v>0</v>
      </c>
      <c r="AM626" t="s">
        <v>91</v>
      </c>
      <c r="AN626" t="s">
        <v>91</v>
      </c>
      <c r="AO626" t="s">
        <v>91</v>
      </c>
      <c r="AP626" t="s">
        <v>91</v>
      </c>
      <c r="AQ626" s="1" t="s">
        <v>91</v>
      </c>
      <c r="AR626" s="1" t="s">
        <v>91</v>
      </c>
      <c r="AS626" s="1" t="s">
        <v>91</v>
      </c>
      <c r="AT626" s="1" t="s">
        <v>91</v>
      </c>
      <c r="AU626" s="1" t="s">
        <v>91</v>
      </c>
      <c r="AV626" t="s">
        <v>91</v>
      </c>
      <c r="AW626" t="s">
        <v>91</v>
      </c>
      <c r="AX626" t="s">
        <v>91</v>
      </c>
      <c r="AY626" t="s">
        <v>91</v>
      </c>
      <c r="AZ626" t="s">
        <v>91</v>
      </c>
      <c r="BA626" t="s">
        <v>91</v>
      </c>
      <c r="BB626" s="2"/>
      <c r="BC626" s="2"/>
      <c r="BD626" t="s">
        <v>91</v>
      </c>
      <c r="BF626" s="1" t="s">
        <v>75</v>
      </c>
      <c r="BG626">
        <v>0</v>
      </c>
      <c r="BH626">
        <v>0</v>
      </c>
      <c r="BI626" s="1" t="s">
        <v>88</v>
      </c>
      <c r="BJ626">
        <v>1</v>
      </c>
      <c r="BK626" s="1" t="s">
        <v>89</v>
      </c>
      <c r="BL626" t="s">
        <v>91</v>
      </c>
      <c r="BM626" s="1" t="s">
        <v>197</v>
      </c>
      <c r="BN626" s="1" t="s">
        <v>110</v>
      </c>
      <c r="BO626" s="1" t="s">
        <v>165</v>
      </c>
      <c r="BP626" s="1" t="s">
        <v>91</v>
      </c>
      <c r="BQ626" t="s">
        <v>91</v>
      </c>
      <c r="BR626" s="3"/>
      <c r="BS626" s="3"/>
      <c r="BT626" t="s">
        <v>91</v>
      </c>
      <c r="BU626" t="s">
        <v>91</v>
      </c>
      <c r="BV626">
        <v>1</v>
      </c>
      <c r="BW626" s="1" t="s">
        <v>589</v>
      </c>
    </row>
    <row r="627" spans="1:75" hidden="1" x14ac:dyDescent="0.35">
      <c r="A627">
        <v>144494</v>
      </c>
      <c r="B627" s="1" t="s">
        <v>75</v>
      </c>
      <c r="C627">
        <v>80</v>
      </c>
      <c r="D627">
        <v>11121002</v>
      </c>
      <c r="E627">
        <v>121002</v>
      </c>
      <c r="F627" s="1" t="s">
        <v>2915</v>
      </c>
      <c r="G627" s="1" t="s">
        <v>3701</v>
      </c>
      <c r="I627" s="1" t="s">
        <v>78</v>
      </c>
      <c r="J627" s="1" t="s">
        <v>3702</v>
      </c>
      <c r="K627" s="1" t="s">
        <v>3703</v>
      </c>
      <c r="L627" t="s">
        <v>91</v>
      </c>
      <c r="M627" t="s">
        <v>91</v>
      </c>
      <c r="N627" s="1" t="s">
        <v>3704</v>
      </c>
      <c r="O627" t="s">
        <v>91</v>
      </c>
      <c r="P627" s="1" t="s">
        <v>2204</v>
      </c>
      <c r="Q627" s="1" t="s">
        <v>427</v>
      </c>
      <c r="R627" s="1" t="s">
        <v>91</v>
      </c>
      <c r="S627">
        <v>1268</v>
      </c>
      <c r="T627">
        <v>88701010</v>
      </c>
      <c r="U627" s="1" t="s">
        <v>108</v>
      </c>
      <c r="V627" s="1" t="s">
        <v>3059</v>
      </c>
      <c r="W627" s="1" t="s">
        <v>87</v>
      </c>
      <c r="X627">
        <v>48</v>
      </c>
      <c r="Y627">
        <v>36264811</v>
      </c>
      <c r="Z627" t="s">
        <v>91</v>
      </c>
      <c r="AA627" t="s">
        <v>91</v>
      </c>
      <c r="AB627" t="s">
        <v>91</v>
      </c>
      <c r="AC627" t="s">
        <v>91</v>
      </c>
      <c r="AD627" t="s">
        <v>91</v>
      </c>
      <c r="AE627" t="s">
        <v>91</v>
      </c>
      <c r="AF627" t="s">
        <v>91</v>
      </c>
      <c r="AG627" s="1" t="s">
        <v>91</v>
      </c>
      <c r="AH627" s="1" t="s">
        <v>91</v>
      </c>
      <c r="AI627" t="s">
        <v>91</v>
      </c>
      <c r="AJ627">
        <v>0</v>
      </c>
      <c r="AK627">
        <v>0</v>
      </c>
      <c r="AL627">
        <v>0</v>
      </c>
      <c r="AM627" t="s">
        <v>91</v>
      </c>
      <c r="AN627" t="s">
        <v>91</v>
      </c>
      <c r="AO627" t="s">
        <v>91</v>
      </c>
      <c r="AP627" t="s">
        <v>91</v>
      </c>
      <c r="AQ627" s="1" t="s">
        <v>91</v>
      </c>
      <c r="AR627" s="1" t="s">
        <v>91</v>
      </c>
      <c r="AS627" s="1" t="s">
        <v>91</v>
      </c>
      <c r="AT627" s="1" t="s">
        <v>91</v>
      </c>
      <c r="AU627" s="1" t="s">
        <v>91</v>
      </c>
      <c r="AV627" t="s">
        <v>91</v>
      </c>
      <c r="AW627" t="s">
        <v>91</v>
      </c>
      <c r="AX627" t="s">
        <v>91</v>
      </c>
      <c r="AY627" t="s">
        <v>91</v>
      </c>
      <c r="AZ627" t="s">
        <v>91</v>
      </c>
      <c r="BA627" t="s">
        <v>91</v>
      </c>
      <c r="BB627" s="2"/>
      <c r="BC627" s="2"/>
      <c r="BD627" t="s">
        <v>91</v>
      </c>
      <c r="BF627" s="1" t="s">
        <v>75</v>
      </c>
      <c r="BG627">
        <v>0</v>
      </c>
      <c r="BH627">
        <v>0</v>
      </c>
      <c r="BI627" s="1" t="s">
        <v>88</v>
      </c>
      <c r="BJ627">
        <v>1</v>
      </c>
      <c r="BK627" s="1" t="s">
        <v>89</v>
      </c>
      <c r="BL627" t="s">
        <v>91</v>
      </c>
      <c r="BM627" s="1" t="s">
        <v>329</v>
      </c>
      <c r="BN627" s="1" t="s">
        <v>110</v>
      </c>
      <c r="BO627" s="1" t="s">
        <v>165</v>
      </c>
      <c r="BP627" s="1" t="s">
        <v>91</v>
      </c>
      <c r="BQ627" t="s">
        <v>91</v>
      </c>
      <c r="BR627" s="3"/>
      <c r="BS627" s="3"/>
      <c r="BT627" t="s">
        <v>91</v>
      </c>
      <c r="BU627" t="s">
        <v>91</v>
      </c>
      <c r="BV627">
        <v>1</v>
      </c>
      <c r="BW627" s="1" t="s">
        <v>589</v>
      </c>
    </row>
    <row r="628" spans="1:75" hidden="1" x14ac:dyDescent="0.35">
      <c r="A628">
        <v>144397</v>
      </c>
      <c r="B628" s="1" t="s">
        <v>75</v>
      </c>
      <c r="C628">
        <v>80</v>
      </c>
      <c r="D628">
        <v>11121002</v>
      </c>
      <c r="E628">
        <v>121002</v>
      </c>
      <c r="F628" s="1" t="s">
        <v>2915</v>
      </c>
      <c r="G628" s="1" t="s">
        <v>3705</v>
      </c>
      <c r="I628" s="1" t="s">
        <v>78</v>
      </c>
      <c r="J628" s="1" t="s">
        <v>3702</v>
      </c>
      <c r="K628" s="1" t="s">
        <v>3706</v>
      </c>
      <c r="L628" t="s">
        <v>91</v>
      </c>
      <c r="M628" t="s">
        <v>91</v>
      </c>
      <c r="N628" s="1" t="s">
        <v>3698</v>
      </c>
      <c r="O628" t="s">
        <v>91</v>
      </c>
      <c r="P628" s="1" t="s">
        <v>438</v>
      </c>
      <c r="Q628" s="1" t="s">
        <v>3707</v>
      </c>
      <c r="R628" s="1" t="s">
        <v>91</v>
      </c>
      <c r="S628">
        <v>1268</v>
      </c>
      <c r="T628">
        <v>88701010</v>
      </c>
      <c r="U628" s="1" t="s">
        <v>108</v>
      </c>
      <c r="V628" s="1" t="s">
        <v>3059</v>
      </c>
      <c r="W628" s="1" t="s">
        <v>87</v>
      </c>
      <c r="X628">
        <v>48</v>
      </c>
      <c r="Y628">
        <v>36264811</v>
      </c>
      <c r="Z628" t="s">
        <v>91</v>
      </c>
      <c r="AA628" t="s">
        <v>91</v>
      </c>
      <c r="AB628" t="s">
        <v>91</v>
      </c>
      <c r="AC628" t="s">
        <v>91</v>
      </c>
      <c r="AD628" t="s">
        <v>91</v>
      </c>
      <c r="AE628" t="s">
        <v>91</v>
      </c>
      <c r="AF628" t="s">
        <v>91</v>
      </c>
      <c r="AG628" s="1" t="s">
        <v>91</v>
      </c>
      <c r="AH628" s="1" t="s">
        <v>91</v>
      </c>
      <c r="AI628" t="s">
        <v>91</v>
      </c>
      <c r="AJ628">
        <v>0</v>
      </c>
      <c r="AK628">
        <v>0</v>
      </c>
      <c r="AL628">
        <v>0</v>
      </c>
      <c r="AM628" t="s">
        <v>91</v>
      </c>
      <c r="AN628" t="s">
        <v>91</v>
      </c>
      <c r="AO628" t="s">
        <v>91</v>
      </c>
      <c r="AP628" t="s">
        <v>91</v>
      </c>
      <c r="AQ628" s="1" t="s">
        <v>91</v>
      </c>
      <c r="AR628" s="1" t="s">
        <v>91</v>
      </c>
      <c r="AS628" s="1" t="s">
        <v>91</v>
      </c>
      <c r="AT628" s="1" t="s">
        <v>91</v>
      </c>
      <c r="AU628" s="1" t="s">
        <v>91</v>
      </c>
      <c r="AV628" t="s">
        <v>91</v>
      </c>
      <c r="AW628" t="s">
        <v>91</v>
      </c>
      <c r="AX628" t="s">
        <v>91</v>
      </c>
      <c r="AY628" t="s">
        <v>91</v>
      </c>
      <c r="AZ628" t="s">
        <v>91</v>
      </c>
      <c r="BA628" t="s">
        <v>91</v>
      </c>
      <c r="BB628" s="2"/>
      <c r="BC628" s="2"/>
      <c r="BD628" t="s">
        <v>91</v>
      </c>
      <c r="BF628" s="1" t="s">
        <v>75</v>
      </c>
      <c r="BG628">
        <v>0</v>
      </c>
      <c r="BH628">
        <v>0</v>
      </c>
      <c r="BI628" s="1" t="s">
        <v>88</v>
      </c>
      <c r="BJ628">
        <v>1</v>
      </c>
      <c r="BK628" s="1" t="s">
        <v>89</v>
      </c>
      <c r="BL628" t="s">
        <v>91</v>
      </c>
      <c r="BM628" s="1" t="s">
        <v>329</v>
      </c>
      <c r="BN628" s="1" t="s">
        <v>110</v>
      </c>
      <c r="BO628" s="1" t="s">
        <v>165</v>
      </c>
      <c r="BP628" s="1" t="s">
        <v>91</v>
      </c>
      <c r="BQ628" t="s">
        <v>91</v>
      </c>
      <c r="BR628" s="3"/>
      <c r="BS628" s="3"/>
      <c r="BT628" t="s">
        <v>91</v>
      </c>
      <c r="BU628" t="s">
        <v>91</v>
      </c>
      <c r="BV628">
        <v>1</v>
      </c>
      <c r="BW628" s="1" t="s">
        <v>601</v>
      </c>
    </row>
    <row r="629" spans="1:75" hidden="1" x14ac:dyDescent="0.35">
      <c r="A629">
        <v>156930</v>
      </c>
      <c r="B629" s="1" t="s">
        <v>75</v>
      </c>
      <c r="C629">
        <v>80</v>
      </c>
      <c r="D629">
        <v>11121002</v>
      </c>
      <c r="E629">
        <v>121002</v>
      </c>
      <c r="F629" s="1" t="s">
        <v>2915</v>
      </c>
      <c r="G629" s="1" t="s">
        <v>3708</v>
      </c>
      <c r="H629">
        <v>0</v>
      </c>
      <c r="I629" s="1" t="s">
        <v>78</v>
      </c>
      <c r="J629" s="1" t="s">
        <v>3709</v>
      </c>
      <c r="K629" s="1" t="s">
        <v>3710</v>
      </c>
      <c r="L629" t="s">
        <v>91</v>
      </c>
      <c r="M629" t="s">
        <v>91</v>
      </c>
      <c r="N629" s="1" t="s">
        <v>3711</v>
      </c>
      <c r="O629" t="s">
        <v>91</v>
      </c>
      <c r="P629" s="1" t="s">
        <v>3712</v>
      </c>
      <c r="Q629" s="1" t="s">
        <v>3713</v>
      </c>
      <c r="R629" s="1" t="s">
        <v>820</v>
      </c>
      <c r="S629">
        <v>1336</v>
      </c>
      <c r="T629">
        <v>95560000</v>
      </c>
      <c r="U629" s="1" t="s">
        <v>108</v>
      </c>
      <c r="V629" s="1" t="s">
        <v>3038</v>
      </c>
      <c r="W629" s="1" t="s">
        <v>157</v>
      </c>
      <c r="X629">
        <v>51</v>
      </c>
      <c r="Y629">
        <v>36641714</v>
      </c>
      <c r="Z629" t="s">
        <v>91</v>
      </c>
      <c r="AA629" t="s">
        <v>91</v>
      </c>
      <c r="AB629" t="s">
        <v>91</v>
      </c>
      <c r="AC629" t="s">
        <v>91</v>
      </c>
      <c r="AD629" t="s">
        <v>91</v>
      </c>
      <c r="AE629" t="s">
        <v>91</v>
      </c>
      <c r="AF629" t="s">
        <v>91</v>
      </c>
      <c r="AG629" s="1" t="s">
        <v>91</v>
      </c>
      <c r="AH629" s="1" t="s">
        <v>91</v>
      </c>
      <c r="AI629" t="s">
        <v>91</v>
      </c>
      <c r="AM629" t="s">
        <v>91</v>
      </c>
      <c r="AN629" t="s">
        <v>91</v>
      </c>
      <c r="AO629" t="s">
        <v>91</v>
      </c>
      <c r="AP629" t="s">
        <v>91</v>
      </c>
      <c r="AQ629" s="1" t="s">
        <v>91</v>
      </c>
      <c r="AR629" s="1" t="s">
        <v>91</v>
      </c>
      <c r="AS629" s="1" t="s">
        <v>91</v>
      </c>
      <c r="AT629" s="1" t="s">
        <v>91</v>
      </c>
      <c r="AU629" s="1" t="s">
        <v>91</v>
      </c>
      <c r="AV629" t="s">
        <v>91</v>
      </c>
      <c r="AW629" t="s">
        <v>91</v>
      </c>
      <c r="AX629" t="s">
        <v>91</v>
      </c>
      <c r="AY629" t="s">
        <v>91</v>
      </c>
      <c r="AZ629" t="s">
        <v>91</v>
      </c>
      <c r="BA629" t="s">
        <v>91</v>
      </c>
      <c r="BB629" s="2">
        <v>45113.505416666667</v>
      </c>
      <c r="BC629" s="2"/>
      <c r="BD629" t="s">
        <v>91</v>
      </c>
      <c r="BF629" s="1" t="s">
        <v>75</v>
      </c>
      <c r="BI629" s="1" t="s">
        <v>88</v>
      </c>
      <c r="BJ629">
        <v>1</v>
      </c>
      <c r="BK629" s="1" t="s">
        <v>89</v>
      </c>
      <c r="BL629" t="s">
        <v>91</v>
      </c>
      <c r="BM629" s="1" t="s">
        <v>91</v>
      </c>
      <c r="BN629" s="1" t="s">
        <v>91</v>
      </c>
      <c r="BO629" s="1" t="s">
        <v>91</v>
      </c>
      <c r="BP629" s="1" t="s">
        <v>91</v>
      </c>
      <c r="BQ629" t="s">
        <v>91</v>
      </c>
      <c r="BR629" s="3">
        <v>45113</v>
      </c>
      <c r="BS629" s="3"/>
      <c r="BT629" t="s">
        <v>91</v>
      </c>
      <c r="BU629" t="s">
        <v>91</v>
      </c>
      <c r="BW629" s="1" t="s">
        <v>90</v>
      </c>
    </row>
    <row r="630" spans="1:75" hidden="1" x14ac:dyDescent="0.35">
      <c r="A630">
        <v>152745</v>
      </c>
      <c r="B630" s="1" t="s">
        <v>75</v>
      </c>
      <c r="C630">
        <v>80</v>
      </c>
      <c r="D630">
        <v>11121002</v>
      </c>
      <c r="E630">
        <v>121002</v>
      </c>
      <c r="F630" s="1" t="s">
        <v>2915</v>
      </c>
      <c r="G630" s="1" t="s">
        <v>3714</v>
      </c>
      <c r="H630">
        <v>0</v>
      </c>
      <c r="I630" s="1" t="s">
        <v>78</v>
      </c>
      <c r="J630" s="1" t="s">
        <v>3715</v>
      </c>
      <c r="K630" s="1" t="s">
        <v>3716</v>
      </c>
      <c r="L630" t="s">
        <v>91</v>
      </c>
      <c r="M630" t="s">
        <v>91</v>
      </c>
      <c r="N630" s="1" t="s">
        <v>3717</v>
      </c>
      <c r="O630" t="s">
        <v>91</v>
      </c>
      <c r="P630" s="1" t="s">
        <v>3718</v>
      </c>
      <c r="Q630" s="1" t="s">
        <v>1852</v>
      </c>
      <c r="R630" s="1" t="s">
        <v>3434</v>
      </c>
      <c r="S630">
        <v>1259</v>
      </c>
      <c r="T630">
        <v>88102101</v>
      </c>
      <c r="U630" s="1" t="s">
        <v>3015</v>
      </c>
      <c r="V630" s="1" t="s">
        <v>3016</v>
      </c>
      <c r="W630" s="1" t="s">
        <v>87</v>
      </c>
      <c r="Z630" t="s">
        <v>91</v>
      </c>
      <c r="AA630" t="s">
        <v>91</v>
      </c>
      <c r="AB630" t="s">
        <v>91</v>
      </c>
      <c r="AC630" t="s">
        <v>91</v>
      </c>
      <c r="AD630" t="s">
        <v>91</v>
      </c>
      <c r="AE630" t="s">
        <v>91</v>
      </c>
      <c r="AF630" t="s">
        <v>91</v>
      </c>
      <c r="AG630" s="1" t="s">
        <v>146</v>
      </c>
      <c r="AH630" s="1" t="s">
        <v>91</v>
      </c>
      <c r="AI630" t="s">
        <v>91</v>
      </c>
      <c r="AM630" t="s">
        <v>91</v>
      </c>
      <c r="AN630" t="s">
        <v>91</v>
      </c>
      <c r="AO630" t="s">
        <v>91</v>
      </c>
      <c r="AP630" t="s">
        <v>91</v>
      </c>
      <c r="AQ630" s="1" t="s">
        <v>147</v>
      </c>
      <c r="AR630" s="1" t="s">
        <v>147</v>
      </c>
      <c r="AS630" s="1" t="s">
        <v>147</v>
      </c>
      <c r="AT630" s="1" t="s">
        <v>147</v>
      </c>
      <c r="AU630" s="1" t="s">
        <v>147</v>
      </c>
      <c r="AV630" t="s">
        <v>91</v>
      </c>
      <c r="AW630" t="s">
        <v>91</v>
      </c>
      <c r="AX630" t="s">
        <v>91</v>
      </c>
      <c r="AY630" t="s">
        <v>91</v>
      </c>
      <c r="AZ630" t="s">
        <v>91</v>
      </c>
      <c r="BA630" t="s">
        <v>91</v>
      </c>
      <c r="BB630" s="2">
        <v>45019.565613425926</v>
      </c>
      <c r="BC630" s="2">
        <v>45044.432071759256</v>
      </c>
      <c r="BD630" t="s">
        <v>91</v>
      </c>
      <c r="BF630" s="1" t="s">
        <v>75</v>
      </c>
      <c r="BH630">
        <v>0</v>
      </c>
      <c r="BI630" s="1" t="s">
        <v>88</v>
      </c>
      <c r="BJ630">
        <v>1</v>
      </c>
      <c r="BK630" s="1" t="s">
        <v>89</v>
      </c>
      <c r="BL630" t="s">
        <v>91</v>
      </c>
      <c r="BM630" s="1" t="s">
        <v>91</v>
      </c>
      <c r="BN630" s="1" t="s">
        <v>91</v>
      </c>
      <c r="BO630" s="1" t="s">
        <v>91</v>
      </c>
      <c r="BP630" s="1" t="s">
        <v>91</v>
      </c>
      <c r="BQ630" t="s">
        <v>91</v>
      </c>
      <c r="BR630" s="3">
        <v>45019</v>
      </c>
      <c r="BS630" s="3">
        <v>45044</v>
      </c>
      <c r="BT630" t="s">
        <v>91</v>
      </c>
      <c r="BU630" t="s">
        <v>91</v>
      </c>
      <c r="BW630" s="1" t="s">
        <v>144</v>
      </c>
    </row>
    <row r="631" spans="1:75" hidden="1" x14ac:dyDescent="0.35">
      <c r="A631">
        <v>156877</v>
      </c>
      <c r="B631" s="1" t="s">
        <v>75</v>
      </c>
      <c r="C631">
        <v>80</v>
      </c>
      <c r="D631">
        <v>11121002</v>
      </c>
      <c r="E631">
        <v>121002</v>
      </c>
      <c r="F631" s="1" t="s">
        <v>2915</v>
      </c>
      <c r="G631" s="1" t="s">
        <v>3719</v>
      </c>
      <c r="H631">
        <v>0</v>
      </c>
      <c r="I631" s="1" t="s">
        <v>78</v>
      </c>
      <c r="J631" s="1" t="s">
        <v>3720</v>
      </c>
      <c r="K631" s="1" t="s">
        <v>3721</v>
      </c>
      <c r="L631" t="s">
        <v>91</v>
      </c>
      <c r="M631" t="s">
        <v>91</v>
      </c>
      <c r="N631" s="1" t="s">
        <v>3307</v>
      </c>
      <c r="O631" t="s">
        <v>91</v>
      </c>
      <c r="P631" s="1" t="s">
        <v>3722</v>
      </c>
      <c r="Q631" s="1" t="s">
        <v>3723</v>
      </c>
      <c r="R631" s="1" t="s">
        <v>434</v>
      </c>
      <c r="S631">
        <v>1259</v>
      </c>
      <c r="T631">
        <v>88131000</v>
      </c>
      <c r="U631" s="1" t="s">
        <v>108</v>
      </c>
      <c r="V631" s="1" t="s">
        <v>3165</v>
      </c>
      <c r="W631" s="1" t="s">
        <v>87</v>
      </c>
      <c r="X631">
        <v>48</v>
      </c>
      <c r="Y631">
        <v>30625125</v>
      </c>
      <c r="Z631" t="s">
        <v>91</v>
      </c>
      <c r="AA631" t="s">
        <v>91</v>
      </c>
      <c r="AB631" t="s">
        <v>91</v>
      </c>
      <c r="AC631" t="s">
        <v>91</v>
      </c>
      <c r="AD631" t="s">
        <v>91</v>
      </c>
      <c r="AE631" t="s">
        <v>91</v>
      </c>
      <c r="AF631" t="s">
        <v>91</v>
      </c>
      <c r="AG631" s="1" t="s">
        <v>146</v>
      </c>
      <c r="AH631" s="1" t="s">
        <v>91</v>
      </c>
      <c r="AI631" t="s">
        <v>91</v>
      </c>
      <c r="AM631" t="s">
        <v>91</v>
      </c>
      <c r="AN631" t="s">
        <v>91</v>
      </c>
      <c r="AO631" t="s">
        <v>91</v>
      </c>
      <c r="AP631" t="s">
        <v>91</v>
      </c>
      <c r="AQ631" s="1" t="s">
        <v>147</v>
      </c>
      <c r="AR631" s="1" t="s">
        <v>147</v>
      </c>
      <c r="AS631" s="1" t="s">
        <v>147</v>
      </c>
      <c r="AT631" s="1" t="s">
        <v>147</v>
      </c>
      <c r="AU631" s="1" t="s">
        <v>147</v>
      </c>
      <c r="AV631" t="s">
        <v>91</v>
      </c>
      <c r="AW631" t="s">
        <v>91</v>
      </c>
      <c r="AX631" t="s">
        <v>91</v>
      </c>
      <c r="AY631" t="s">
        <v>91</v>
      </c>
      <c r="AZ631" t="s">
        <v>91</v>
      </c>
      <c r="BA631" t="s">
        <v>91</v>
      </c>
      <c r="BB631" s="2">
        <v>45113.505416666667</v>
      </c>
      <c r="BC631" s="2">
        <v>45113.640266203707</v>
      </c>
      <c r="BD631" t="s">
        <v>91</v>
      </c>
      <c r="BF631" s="1" t="s">
        <v>75</v>
      </c>
      <c r="BH631">
        <v>0</v>
      </c>
      <c r="BI631" s="1" t="s">
        <v>88</v>
      </c>
      <c r="BJ631">
        <v>1</v>
      </c>
      <c r="BK631" s="1" t="s">
        <v>89</v>
      </c>
      <c r="BL631" t="s">
        <v>91</v>
      </c>
      <c r="BM631" s="1" t="s">
        <v>91</v>
      </c>
      <c r="BN631" s="1" t="s">
        <v>91</v>
      </c>
      <c r="BO631" s="1" t="s">
        <v>91</v>
      </c>
      <c r="BP631" s="1" t="s">
        <v>91</v>
      </c>
      <c r="BQ631" t="s">
        <v>91</v>
      </c>
      <c r="BR631" s="3">
        <v>45113</v>
      </c>
      <c r="BS631" s="3">
        <v>45113</v>
      </c>
      <c r="BT631" t="s">
        <v>91</v>
      </c>
      <c r="BU631" t="s">
        <v>91</v>
      </c>
      <c r="BW631" s="1" t="s">
        <v>255</v>
      </c>
    </row>
    <row r="632" spans="1:75" hidden="1" x14ac:dyDescent="0.35">
      <c r="A632">
        <v>5</v>
      </c>
      <c r="B632" s="1" t="s">
        <v>75</v>
      </c>
      <c r="C632">
        <v>80</v>
      </c>
      <c r="D632">
        <v>11121002</v>
      </c>
      <c r="E632">
        <v>121002</v>
      </c>
      <c r="F632" s="1" t="s">
        <v>2915</v>
      </c>
      <c r="G632" s="1" t="s">
        <v>3724</v>
      </c>
      <c r="I632" s="1" t="s">
        <v>78</v>
      </c>
      <c r="J632" s="1" t="s">
        <v>3725</v>
      </c>
      <c r="K632" s="1" t="s">
        <v>3726</v>
      </c>
      <c r="L632" t="s">
        <v>91</v>
      </c>
      <c r="M632" t="s">
        <v>91</v>
      </c>
      <c r="N632" s="1" t="s">
        <v>3727</v>
      </c>
      <c r="O632" t="s">
        <v>91</v>
      </c>
      <c r="P632" s="1" t="s">
        <v>3728</v>
      </c>
      <c r="Q632" s="1" t="s">
        <v>2072</v>
      </c>
      <c r="R632" s="1" t="s">
        <v>91</v>
      </c>
      <c r="S632">
        <v>1269</v>
      </c>
      <c r="T632">
        <v>88840000</v>
      </c>
      <c r="U632" s="1" t="s">
        <v>108</v>
      </c>
      <c r="V632" s="1" t="s">
        <v>3729</v>
      </c>
      <c r="W632" s="1" t="s">
        <v>87</v>
      </c>
      <c r="X632">
        <v>48</v>
      </c>
      <c r="Y632">
        <v>34652346</v>
      </c>
      <c r="Z632" t="s">
        <v>91</v>
      </c>
      <c r="AA632" t="s">
        <v>91</v>
      </c>
      <c r="AB632" t="s">
        <v>91</v>
      </c>
      <c r="AC632" t="s">
        <v>91</v>
      </c>
      <c r="AD632" t="s">
        <v>91</v>
      </c>
      <c r="AE632" t="s">
        <v>91</v>
      </c>
      <c r="AF632" t="s">
        <v>91</v>
      </c>
      <c r="AG632" s="1" t="s">
        <v>91</v>
      </c>
      <c r="AH632" s="1" t="s">
        <v>91</v>
      </c>
      <c r="AI632" t="s">
        <v>91</v>
      </c>
      <c r="AJ632">
        <v>0</v>
      </c>
      <c r="AK632">
        <v>0</v>
      </c>
      <c r="AL632">
        <v>0</v>
      </c>
      <c r="AM632" t="s">
        <v>91</v>
      </c>
      <c r="AN632" t="s">
        <v>91</v>
      </c>
      <c r="AO632" t="s">
        <v>91</v>
      </c>
      <c r="AP632" t="s">
        <v>91</v>
      </c>
      <c r="AQ632" s="1" t="s">
        <v>91</v>
      </c>
      <c r="AR632" s="1" t="s">
        <v>91</v>
      </c>
      <c r="AS632" s="1" t="s">
        <v>91</v>
      </c>
      <c r="AT632" s="1" t="s">
        <v>91</v>
      </c>
      <c r="AU632" s="1" t="s">
        <v>91</v>
      </c>
      <c r="AV632" t="s">
        <v>91</v>
      </c>
      <c r="AW632" t="s">
        <v>91</v>
      </c>
      <c r="AX632" t="s">
        <v>91</v>
      </c>
      <c r="AY632" t="s">
        <v>91</v>
      </c>
      <c r="AZ632" t="s">
        <v>91</v>
      </c>
      <c r="BA632" t="s">
        <v>91</v>
      </c>
      <c r="BB632" s="2">
        <v>43308.392708333333</v>
      </c>
      <c r="BC632" s="2"/>
      <c r="BD632" t="s">
        <v>91</v>
      </c>
      <c r="BE632">
        <v>5</v>
      </c>
      <c r="BF632" s="1" t="s">
        <v>75</v>
      </c>
      <c r="BG632">
        <v>0</v>
      </c>
      <c r="BH632">
        <v>0</v>
      </c>
      <c r="BI632" s="1" t="s">
        <v>88</v>
      </c>
      <c r="BJ632">
        <v>1</v>
      </c>
      <c r="BK632" s="1" t="s">
        <v>89</v>
      </c>
      <c r="BL632" t="s">
        <v>91</v>
      </c>
      <c r="BM632" s="1" t="s">
        <v>109</v>
      </c>
      <c r="BN632" s="1" t="s">
        <v>110</v>
      </c>
      <c r="BO632" s="1" t="s">
        <v>180</v>
      </c>
      <c r="BP632" s="1" t="s">
        <v>91</v>
      </c>
      <c r="BQ632" t="s">
        <v>91</v>
      </c>
      <c r="BR632" s="3">
        <v>43308</v>
      </c>
      <c r="BS632" s="3"/>
      <c r="BT632" t="s">
        <v>91</v>
      </c>
      <c r="BU632" t="s">
        <v>91</v>
      </c>
      <c r="BV632">
        <v>6</v>
      </c>
      <c r="BW632" s="1" t="s">
        <v>295</v>
      </c>
    </row>
    <row r="633" spans="1:75" hidden="1" x14ac:dyDescent="0.35">
      <c r="A633">
        <v>6</v>
      </c>
      <c r="B633" s="1" t="s">
        <v>75</v>
      </c>
      <c r="C633">
        <v>80</v>
      </c>
      <c r="D633">
        <v>11121002</v>
      </c>
      <c r="E633">
        <v>121002</v>
      </c>
      <c r="F633" s="1" t="s">
        <v>2915</v>
      </c>
      <c r="G633" s="1" t="s">
        <v>3730</v>
      </c>
      <c r="I633" s="1" t="s">
        <v>78</v>
      </c>
      <c r="J633" s="1" t="s">
        <v>3725</v>
      </c>
      <c r="K633" s="1" t="s">
        <v>3731</v>
      </c>
      <c r="L633" t="s">
        <v>91</v>
      </c>
      <c r="M633" t="s">
        <v>91</v>
      </c>
      <c r="N633" s="1" t="s">
        <v>3732</v>
      </c>
      <c r="O633" t="s">
        <v>91</v>
      </c>
      <c r="P633" s="1" t="s">
        <v>1794</v>
      </c>
      <c r="Q633" s="1" t="s">
        <v>2509</v>
      </c>
      <c r="R633" s="1" t="s">
        <v>236</v>
      </c>
      <c r="S633">
        <v>1269</v>
      </c>
      <c r="T633">
        <v>88801530</v>
      </c>
      <c r="U633" s="1" t="s">
        <v>108</v>
      </c>
      <c r="V633" s="1" t="s">
        <v>3231</v>
      </c>
      <c r="W633" s="1" t="s">
        <v>87</v>
      </c>
      <c r="X633">
        <v>48</v>
      </c>
      <c r="Y633">
        <v>30452343</v>
      </c>
      <c r="Z633" t="s">
        <v>91</v>
      </c>
      <c r="AA633" t="s">
        <v>91</v>
      </c>
      <c r="AB633" t="s">
        <v>91</v>
      </c>
      <c r="AC633" t="s">
        <v>91</v>
      </c>
      <c r="AD633" t="s">
        <v>91</v>
      </c>
      <c r="AE633" t="s">
        <v>91</v>
      </c>
      <c r="AF633" t="s">
        <v>91</v>
      </c>
      <c r="AG633" s="1" t="s">
        <v>91</v>
      </c>
      <c r="AH633" s="1" t="s">
        <v>91</v>
      </c>
      <c r="AI633" t="s">
        <v>91</v>
      </c>
      <c r="AJ633">
        <v>0</v>
      </c>
      <c r="AK633">
        <v>0</v>
      </c>
      <c r="AL633">
        <v>0</v>
      </c>
      <c r="AM633" t="s">
        <v>91</v>
      </c>
      <c r="AN633" t="s">
        <v>91</v>
      </c>
      <c r="AO633" t="s">
        <v>91</v>
      </c>
      <c r="AP633" t="s">
        <v>91</v>
      </c>
      <c r="AQ633" s="1" t="s">
        <v>91</v>
      </c>
      <c r="AR633" s="1" t="s">
        <v>91</v>
      </c>
      <c r="AS633" s="1" t="s">
        <v>91</v>
      </c>
      <c r="AT633" s="1" t="s">
        <v>91</v>
      </c>
      <c r="AU633" s="1" t="s">
        <v>91</v>
      </c>
      <c r="AV633" t="s">
        <v>91</v>
      </c>
      <c r="AW633" t="s">
        <v>91</v>
      </c>
      <c r="AX633" t="s">
        <v>91</v>
      </c>
      <c r="AY633" t="s">
        <v>91</v>
      </c>
      <c r="AZ633" t="s">
        <v>91</v>
      </c>
      <c r="BA633" t="s">
        <v>91</v>
      </c>
      <c r="BB633" s="2">
        <v>43308.392708333333</v>
      </c>
      <c r="BC633" s="2"/>
      <c r="BD633" t="s">
        <v>91</v>
      </c>
      <c r="BE633">
        <v>6</v>
      </c>
      <c r="BF633" s="1" t="s">
        <v>75</v>
      </c>
      <c r="BG633">
        <v>0</v>
      </c>
      <c r="BH633">
        <v>0</v>
      </c>
      <c r="BI633" s="1" t="s">
        <v>88</v>
      </c>
      <c r="BJ633">
        <v>1</v>
      </c>
      <c r="BK633" s="1" t="s">
        <v>89</v>
      </c>
      <c r="BL633" t="s">
        <v>91</v>
      </c>
      <c r="BM633" s="1" t="s">
        <v>109</v>
      </c>
      <c r="BN633" s="1" t="s">
        <v>110</v>
      </c>
      <c r="BO633" s="1" t="s">
        <v>128</v>
      </c>
      <c r="BP633" s="1" t="s">
        <v>91</v>
      </c>
      <c r="BQ633" t="s">
        <v>91</v>
      </c>
      <c r="BR633" s="3">
        <v>43308</v>
      </c>
      <c r="BS633" s="3"/>
      <c r="BT633" t="s">
        <v>91</v>
      </c>
      <c r="BU633" t="s">
        <v>91</v>
      </c>
      <c r="BV633">
        <v>5</v>
      </c>
      <c r="BW633" s="1" t="s">
        <v>228</v>
      </c>
    </row>
    <row r="634" spans="1:75" hidden="1" x14ac:dyDescent="0.35">
      <c r="A634">
        <v>134515</v>
      </c>
      <c r="B634" s="1" t="s">
        <v>75</v>
      </c>
      <c r="C634">
        <v>80</v>
      </c>
      <c r="D634">
        <v>11121002</v>
      </c>
      <c r="E634">
        <v>121002</v>
      </c>
      <c r="F634" s="1" t="s">
        <v>2915</v>
      </c>
      <c r="G634" s="1" t="s">
        <v>3733</v>
      </c>
      <c r="I634" s="1" t="s">
        <v>78</v>
      </c>
      <c r="J634" s="1" t="s">
        <v>3734</v>
      </c>
      <c r="K634" s="1" t="s">
        <v>3735</v>
      </c>
      <c r="L634" t="s">
        <v>91</v>
      </c>
      <c r="M634" t="s">
        <v>91</v>
      </c>
      <c r="N634" s="1" t="s">
        <v>3736</v>
      </c>
      <c r="O634" t="s">
        <v>91</v>
      </c>
      <c r="P634" s="1" t="s">
        <v>3737</v>
      </c>
      <c r="Q634" s="1" t="s">
        <v>1865</v>
      </c>
      <c r="R634" s="1" t="s">
        <v>3304</v>
      </c>
      <c r="S634">
        <v>1254</v>
      </c>
      <c r="T634">
        <v>88010200</v>
      </c>
      <c r="U634" s="1" t="s">
        <v>108</v>
      </c>
      <c r="V634" s="1" t="s">
        <v>3102</v>
      </c>
      <c r="W634" s="1" t="s">
        <v>87</v>
      </c>
      <c r="X634">
        <v>48</v>
      </c>
      <c r="Y634">
        <v>30289698</v>
      </c>
      <c r="Z634" t="s">
        <v>91</v>
      </c>
      <c r="AA634" t="s">
        <v>91</v>
      </c>
      <c r="AB634" t="s">
        <v>91</v>
      </c>
      <c r="AC634" t="s">
        <v>91</v>
      </c>
      <c r="AD634" t="s">
        <v>91</v>
      </c>
      <c r="AE634" t="s">
        <v>91</v>
      </c>
      <c r="AF634" t="s">
        <v>91</v>
      </c>
      <c r="AG634" s="1" t="s">
        <v>146</v>
      </c>
      <c r="AH634" s="1" t="s">
        <v>91</v>
      </c>
      <c r="AI634" t="s">
        <v>91</v>
      </c>
      <c r="AM634" t="s">
        <v>91</v>
      </c>
      <c r="AN634" t="s">
        <v>91</v>
      </c>
      <c r="AO634" t="s">
        <v>91</v>
      </c>
      <c r="AP634" t="s">
        <v>91</v>
      </c>
      <c r="AQ634" s="1" t="s">
        <v>147</v>
      </c>
      <c r="AR634" s="1" t="s">
        <v>147</v>
      </c>
      <c r="AS634" s="1" t="s">
        <v>147</v>
      </c>
      <c r="AT634" s="1" t="s">
        <v>147</v>
      </c>
      <c r="AU634" s="1" t="s">
        <v>147</v>
      </c>
      <c r="AV634" t="s">
        <v>91</v>
      </c>
      <c r="AW634" t="s">
        <v>91</v>
      </c>
      <c r="AX634" t="s">
        <v>91</v>
      </c>
      <c r="AY634" t="s">
        <v>91</v>
      </c>
      <c r="AZ634" t="s">
        <v>91</v>
      </c>
      <c r="BA634" t="s">
        <v>91</v>
      </c>
      <c r="BB634" s="2"/>
      <c r="BC634" s="2">
        <v>44635.59888888889</v>
      </c>
      <c r="BD634" t="s">
        <v>91</v>
      </c>
      <c r="BF634" s="1" t="s">
        <v>75</v>
      </c>
      <c r="BH634">
        <v>0</v>
      </c>
      <c r="BI634" s="1" t="s">
        <v>88</v>
      </c>
      <c r="BJ634">
        <v>1</v>
      </c>
      <c r="BK634" s="1" t="s">
        <v>89</v>
      </c>
      <c r="BL634" t="s">
        <v>91</v>
      </c>
      <c r="BM634" s="1" t="s">
        <v>109</v>
      </c>
      <c r="BN634" s="1" t="s">
        <v>110</v>
      </c>
      <c r="BO634" s="1" t="s">
        <v>180</v>
      </c>
      <c r="BP634" s="1" t="s">
        <v>91</v>
      </c>
      <c r="BQ634" t="s">
        <v>91</v>
      </c>
      <c r="BR634" s="3"/>
      <c r="BS634" s="3">
        <v>44635</v>
      </c>
      <c r="BT634" t="s">
        <v>91</v>
      </c>
      <c r="BU634" t="s">
        <v>91</v>
      </c>
      <c r="BV634">
        <v>9</v>
      </c>
      <c r="BW634" s="1" t="s">
        <v>3738</v>
      </c>
    </row>
    <row r="635" spans="1:75" hidden="1" x14ac:dyDescent="0.35">
      <c r="A635">
        <v>134263</v>
      </c>
      <c r="B635" s="1" t="s">
        <v>75</v>
      </c>
      <c r="C635">
        <v>80</v>
      </c>
      <c r="D635">
        <v>11121002</v>
      </c>
      <c r="E635">
        <v>121002</v>
      </c>
      <c r="F635" s="1" t="s">
        <v>2915</v>
      </c>
      <c r="G635" s="1" t="s">
        <v>3739</v>
      </c>
      <c r="I635" s="1" t="s">
        <v>78</v>
      </c>
      <c r="J635" s="1" t="s">
        <v>3740</v>
      </c>
      <c r="K635" s="1" t="s">
        <v>3741</v>
      </c>
      <c r="L635" t="s">
        <v>91</v>
      </c>
      <c r="M635" t="s">
        <v>91</v>
      </c>
      <c r="N635" s="1" t="s">
        <v>3742</v>
      </c>
      <c r="O635" t="s">
        <v>91</v>
      </c>
      <c r="P635" s="1" t="s">
        <v>3381</v>
      </c>
      <c r="Q635" s="1" t="s">
        <v>3743</v>
      </c>
      <c r="R635" s="1" t="s">
        <v>91</v>
      </c>
      <c r="S635">
        <v>1259</v>
      </c>
      <c r="T635">
        <v>88130300</v>
      </c>
      <c r="U635" s="1" t="s">
        <v>3249</v>
      </c>
      <c r="V635" s="1" t="s">
        <v>3165</v>
      </c>
      <c r="W635" s="1" t="s">
        <v>87</v>
      </c>
      <c r="X635">
        <v>48</v>
      </c>
      <c r="Y635">
        <v>30938088</v>
      </c>
      <c r="Z635" t="s">
        <v>91</v>
      </c>
      <c r="AA635" t="s">
        <v>91</v>
      </c>
      <c r="AB635" t="s">
        <v>91</v>
      </c>
      <c r="AC635" t="s">
        <v>91</v>
      </c>
      <c r="AD635" t="s">
        <v>91</v>
      </c>
      <c r="AE635" t="s">
        <v>91</v>
      </c>
      <c r="AF635" t="s">
        <v>91</v>
      </c>
      <c r="AG635" s="1" t="s">
        <v>146</v>
      </c>
      <c r="AH635" s="1" t="s">
        <v>91</v>
      </c>
      <c r="AI635" t="s">
        <v>91</v>
      </c>
      <c r="AJ635">
        <v>0</v>
      </c>
      <c r="AK635">
        <v>0</v>
      </c>
      <c r="AL635">
        <v>0</v>
      </c>
      <c r="AM635" t="s">
        <v>91</v>
      </c>
      <c r="AN635" t="s">
        <v>91</v>
      </c>
      <c r="AO635" t="s">
        <v>91</v>
      </c>
      <c r="AP635" t="s">
        <v>91</v>
      </c>
      <c r="AQ635" s="1" t="s">
        <v>147</v>
      </c>
      <c r="AR635" s="1" t="s">
        <v>147</v>
      </c>
      <c r="AS635" s="1" t="s">
        <v>147</v>
      </c>
      <c r="AT635" s="1" t="s">
        <v>147</v>
      </c>
      <c r="AU635" s="1" t="s">
        <v>147</v>
      </c>
      <c r="AV635" t="s">
        <v>91</v>
      </c>
      <c r="AW635" t="s">
        <v>91</v>
      </c>
      <c r="AX635" t="s">
        <v>91</v>
      </c>
      <c r="AY635" t="s">
        <v>91</v>
      </c>
      <c r="AZ635" t="s">
        <v>91</v>
      </c>
      <c r="BA635" t="s">
        <v>91</v>
      </c>
      <c r="BB635" s="2"/>
      <c r="BC635" s="2">
        <v>44425.393518518518</v>
      </c>
      <c r="BD635" t="s">
        <v>91</v>
      </c>
      <c r="BF635" s="1" t="s">
        <v>75</v>
      </c>
      <c r="BG635">
        <v>0</v>
      </c>
      <c r="BH635">
        <v>0</v>
      </c>
      <c r="BI635" s="1" t="s">
        <v>88</v>
      </c>
      <c r="BJ635">
        <v>1</v>
      </c>
      <c r="BK635" s="1" t="s">
        <v>89</v>
      </c>
      <c r="BL635" t="s">
        <v>91</v>
      </c>
      <c r="BM635" s="1" t="s">
        <v>109</v>
      </c>
      <c r="BN635" s="1" t="s">
        <v>110</v>
      </c>
      <c r="BO635" s="1" t="s">
        <v>180</v>
      </c>
      <c r="BP635" s="1" t="s">
        <v>91</v>
      </c>
      <c r="BQ635" t="s">
        <v>91</v>
      </c>
      <c r="BR635" s="3"/>
      <c r="BS635" s="3">
        <v>44425</v>
      </c>
      <c r="BT635" t="s">
        <v>91</v>
      </c>
      <c r="BU635" t="s">
        <v>91</v>
      </c>
      <c r="BV635">
        <v>9</v>
      </c>
      <c r="BW635" s="1" t="s">
        <v>3744</v>
      </c>
    </row>
    <row r="636" spans="1:75" hidden="1" x14ac:dyDescent="0.35">
      <c r="A636">
        <v>134482</v>
      </c>
      <c r="B636" s="1" t="s">
        <v>75</v>
      </c>
      <c r="C636">
        <v>80</v>
      </c>
      <c r="D636">
        <v>11121002</v>
      </c>
      <c r="E636">
        <v>121002</v>
      </c>
      <c r="F636" s="1" t="s">
        <v>2915</v>
      </c>
      <c r="G636" s="1" t="s">
        <v>3745</v>
      </c>
      <c r="I636" s="1" t="s">
        <v>78</v>
      </c>
      <c r="J636" s="1" t="s">
        <v>3746</v>
      </c>
      <c r="K636" s="1" t="s">
        <v>3747</v>
      </c>
      <c r="L636" t="s">
        <v>91</v>
      </c>
      <c r="M636" t="s">
        <v>91</v>
      </c>
      <c r="N636" s="1" t="s">
        <v>3297</v>
      </c>
      <c r="O636" t="s">
        <v>91</v>
      </c>
      <c r="P636" s="1" t="s">
        <v>3748</v>
      </c>
      <c r="Q636" s="1" t="s">
        <v>3749</v>
      </c>
      <c r="R636" s="1" t="s">
        <v>954</v>
      </c>
      <c r="S636">
        <v>1259</v>
      </c>
      <c r="T636">
        <v>88102000</v>
      </c>
      <c r="U636" s="1" t="s">
        <v>3015</v>
      </c>
      <c r="V636" s="1" t="s">
        <v>3016</v>
      </c>
      <c r="W636" s="1" t="s">
        <v>87</v>
      </c>
      <c r="X636">
        <v>48</v>
      </c>
      <c r="Y636">
        <v>34626111</v>
      </c>
      <c r="Z636" t="s">
        <v>91</v>
      </c>
      <c r="AA636" t="s">
        <v>91</v>
      </c>
      <c r="AB636" t="s">
        <v>91</v>
      </c>
      <c r="AC636" t="s">
        <v>91</v>
      </c>
      <c r="AD636" t="s">
        <v>91</v>
      </c>
      <c r="AE636" t="s">
        <v>91</v>
      </c>
      <c r="AF636" t="s">
        <v>91</v>
      </c>
      <c r="AG636" s="1" t="s">
        <v>146</v>
      </c>
      <c r="AH636" s="1" t="s">
        <v>91</v>
      </c>
      <c r="AI636" t="s">
        <v>91</v>
      </c>
      <c r="AM636" t="s">
        <v>91</v>
      </c>
      <c r="AN636" t="s">
        <v>91</v>
      </c>
      <c r="AO636" t="s">
        <v>91</v>
      </c>
      <c r="AP636" t="s">
        <v>91</v>
      </c>
      <c r="AQ636" s="1" t="s">
        <v>147</v>
      </c>
      <c r="AR636" s="1" t="s">
        <v>147</v>
      </c>
      <c r="AS636" s="1" t="s">
        <v>147</v>
      </c>
      <c r="AT636" s="1" t="s">
        <v>147</v>
      </c>
      <c r="AU636" s="1" t="s">
        <v>147</v>
      </c>
      <c r="AV636" t="s">
        <v>91</v>
      </c>
      <c r="AW636" t="s">
        <v>91</v>
      </c>
      <c r="AX636" t="s">
        <v>91</v>
      </c>
      <c r="AY636" t="s">
        <v>91</v>
      </c>
      <c r="AZ636" t="s">
        <v>91</v>
      </c>
      <c r="BA636" t="s">
        <v>91</v>
      </c>
      <c r="BB636" s="2"/>
      <c r="BC636" s="2">
        <v>44655.569351851853</v>
      </c>
      <c r="BD636" t="s">
        <v>91</v>
      </c>
      <c r="BF636" s="1" t="s">
        <v>75</v>
      </c>
      <c r="BH636">
        <v>0</v>
      </c>
      <c r="BI636" s="1" t="s">
        <v>88</v>
      </c>
      <c r="BJ636">
        <v>1</v>
      </c>
      <c r="BK636" s="1" t="s">
        <v>89</v>
      </c>
      <c r="BL636" t="s">
        <v>91</v>
      </c>
      <c r="BM636" s="1" t="s">
        <v>329</v>
      </c>
      <c r="BN636" s="1" t="s">
        <v>110</v>
      </c>
      <c r="BO636" s="1" t="s">
        <v>165</v>
      </c>
      <c r="BP636" s="1" t="s">
        <v>91</v>
      </c>
      <c r="BQ636" t="s">
        <v>91</v>
      </c>
      <c r="BR636" s="3"/>
      <c r="BS636" s="3">
        <v>44655</v>
      </c>
      <c r="BT636" t="s">
        <v>91</v>
      </c>
      <c r="BU636" t="s">
        <v>91</v>
      </c>
      <c r="BV636">
        <v>2</v>
      </c>
      <c r="BW636" s="1" t="s">
        <v>120</v>
      </c>
    </row>
    <row r="637" spans="1:75" hidden="1" x14ac:dyDescent="0.35">
      <c r="A637">
        <v>156889</v>
      </c>
      <c r="B637" s="1" t="s">
        <v>75</v>
      </c>
      <c r="C637">
        <v>80</v>
      </c>
      <c r="D637">
        <v>11121002</v>
      </c>
      <c r="E637">
        <v>121002</v>
      </c>
      <c r="F637" s="1" t="s">
        <v>2915</v>
      </c>
      <c r="G637" s="1" t="s">
        <v>3750</v>
      </c>
      <c r="H637">
        <v>0</v>
      </c>
      <c r="I637" s="1" t="s">
        <v>78</v>
      </c>
      <c r="J637" s="1" t="s">
        <v>3746</v>
      </c>
      <c r="K637" s="1" t="s">
        <v>3751</v>
      </c>
      <c r="L637" t="s">
        <v>91</v>
      </c>
      <c r="M637" t="s">
        <v>91</v>
      </c>
      <c r="N637" s="1" t="s">
        <v>3297</v>
      </c>
      <c r="O637" t="s">
        <v>91</v>
      </c>
      <c r="P637" s="1" t="s">
        <v>3752</v>
      </c>
      <c r="Q637" s="1" t="s">
        <v>3753</v>
      </c>
      <c r="R637" s="1" t="s">
        <v>3754</v>
      </c>
      <c r="S637">
        <v>1259</v>
      </c>
      <c r="T637">
        <v>88117000</v>
      </c>
      <c r="U637" s="1" t="s">
        <v>2957</v>
      </c>
      <c r="V637" s="1" t="s">
        <v>2958</v>
      </c>
      <c r="W637" s="1" t="s">
        <v>87</v>
      </c>
      <c r="X637">
        <v>48</v>
      </c>
      <c r="Y637">
        <v>30625110</v>
      </c>
      <c r="Z637" t="s">
        <v>91</v>
      </c>
      <c r="AA637" t="s">
        <v>91</v>
      </c>
      <c r="AB637" t="s">
        <v>91</v>
      </c>
      <c r="AC637" t="s">
        <v>91</v>
      </c>
      <c r="AD637" t="s">
        <v>91</v>
      </c>
      <c r="AE637" t="s">
        <v>91</v>
      </c>
      <c r="AF637" t="s">
        <v>91</v>
      </c>
      <c r="AG637" s="1" t="s">
        <v>91</v>
      </c>
      <c r="AH637" s="1" t="s">
        <v>91</v>
      </c>
      <c r="AI637" t="s">
        <v>91</v>
      </c>
      <c r="AM637" t="s">
        <v>91</v>
      </c>
      <c r="AN637" t="s">
        <v>91</v>
      </c>
      <c r="AO637" t="s">
        <v>91</v>
      </c>
      <c r="AP637" t="s">
        <v>91</v>
      </c>
      <c r="AQ637" s="1" t="s">
        <v>91</v>
      </c>
      <c r="AR637" s="1" t="s">
        <v>91</v>
      </c>
      <c r="AS637" s="1" t="s">
        <v>91</v>
      </c>
      <c r="AT637" s="1" t="s">
        <v>91</v>
      </c>
      <c r="AU637" s="1" t="s">
        <v>91</v>
      </c>
      <c r="AV637" t="s">
        <v>91</v>
      </c>
      <c r="AW637" t="s">
        <v>91</v>
      </c>
      <c r="AX637" t="s">
        <v>91</v>
      </c>
      <c r="AY637" t="s">
        <v>91</v>
      </c>
      <c r="AZ637" t="s">
        <v>91</v>
      </c>
      <c r="BA637" t="s">
        <v>91</v>
      </c>
      <c r="BB637" s="2">
        <v>45113.505416666667</v>
      </c>
      <c r="BC637" s="2"/>
      <c r="BD637" t="s">
        <v>91</v>
      </c>
      <c r="BF637" s="1" t="s">
        <v>75</v>
      </c>
      <c r="BI637" s="1" t="s">
        <v>88</v>
      </c>
      <c r="BJ637">
        <v>1</v>
      </c>
      <c r="BK637" s="1" t="s">
        <v>89</v>
      </c>
      <c r="BL637" t="s">
        <v>91</v>
      </c>
      <c r="BM637" s="1" t="s">
        <v>91</v>
      </c>
      <c r="BN637" s="1" t="s">
        <v>91</v>
      </c>
      <c r="BO637" s="1" t="s">
        <v>91</v>
      </c>
      <c r="BP637" s="1" t="s">
        <v>91</v>
      </c>
      <c r="BQ637" t="s">
        <v>91</v>
      </c>
      <c r="BR637" s="3">
        <v>45113</v>
      </c>
      <c r="BS637" s="3"/>
      <c r="BT637" t="s">
        <v>91</v>
      </c>
      <c r="BU637" t="s">
        <v>91</v>
      </c>
      <c r="BW637" s="1" t="s">
        <v>90</v>
      </c>
    </row>
    <row r="638" spans="1:75" hidden="1" x14ac:dyDescent="0.35">
      <c r="A638">
        <v>118688</v>
      </c>
      <c r="B638" s="1" t="s">
        <v>75</v>
      </c>
      <c r="C638">
        <v>80</v>
      </c>
      <c r="D638">
        <v>11121002</v>
      </c>
      <c r="E638">
        <v>121002</v>
      </c>
      <c r="F638" s="1" t="s">
        <v>2915</v>
      </c>
      <c r="G638" s="1" t="s">
        <v>3755</v>
      </c>
      <c r="I638" s="1" t="s">
        <v>78</v>
      </c>
      <c r="J638" s="1" t="s">
        <v>3756</v>
      </c>
      <c r="K638" s="1" t="s">
        <v>3757</v>
      </c>
      <c r="L638" t="s">
        <v>91</v>
      </c>
      <c r="M638" t="s">
        <v>91</v>
      </c>
      <c r="N638" s="1" t="s">
        <v>3758</v>
      </c>
      <c r="O638" t="s">
        <v>91</v>
      </c>
      <c r="P638" s="1" t="s">
        <v>3056</v>
      </c>
      <c r="Q638" s="1" t="s">
        <v>3759</v>
      </c>
      <c r="R638" s="1" t="s">
        <v>236</v>
      </c>
      <c r="S638">
        <v>1268</v>
      </c>
      <c r="T638">
        <v>88705001</v>
      </c>
      <c r="U638" s="1" t="s">
        <v>3760</v>
      </c>
      <c r="V638" s="1" t="s">
        <v>3059</v>
      </c>
      <c r="W638" s="1" t="s">
        <v>87</v>
      </c>
      <c r="X638">
        <v>48</v>
      </c>
      <c r="Y638">
        <v>36223846</v>
      </c>
      <c r="Z638" t="s">
        <v>91</v>
      </c>
      <c r="AA638" t="s">
        <v>91</v>
      </c>
      <c r="AB638" t="s">
        <v>91</v>
      </c>
      <c r="AC638" t="s">
        <v>91</v>
      </c>
      <c r="AD638" t="s">
        <v>91</v>
      </c>
      <c r="AE638" t="s">
        <v>91</v>
      </c>
      <c r="AF638" t="s">
        <v>91</v>
      </c>
      <c r="AG638" s="1" t="s">
        <v>91</v>
      </c>
      <c r="AH638" s="1" t="s">
        <v>91</v>
      </c>
      <c r="AI638" t="s">
        <v>91</v>
      </c>
      <c r="AJ638">
        <v>0</v>
      </c>
      <c r="AK638">
        <v>0</v>
      </c>
      <c r="AL638">
        <v>0</v>
      </c>
      <c r="AM638" t="s">
        <v>91</v>
      </c>
      <c r="AN638" t="s">
        <v>91</v>
      </c>
      <c r="AO638" t="s">
        <v>91</v>
      </c>
      <c r="AP638" t="s">
        <v>91</v>
      </c>
      <c r="AQ638" s="1" t="s">
        <v>91</v>
      </c>
      <c r="AR638" s="1" t="s">
        <v>91</v>
      </c>
      <c r="AS638" s="1" t="s">
        <v>91</v>
      </c>
      <c r="AT638" s="1" t="s">
        <v>91</v>
      </c>
      <c r="AU638" s="1" t="s">
        <v>91</v>
      </c>
      <c r="AV638" t="s">
        <v>91</v>
      </c>
      <c r="AW638" t="s">
        <v>91</v>
      </c>
      <c r="AX638" t="s">
        <v>91</v>
      </c>
      <c r="AY638" t="s">
        <v>91</v>
      </c>
      <c r="AZ638" t="s">
        <v>91</v>
      </c>
      <c r="BA638" t="s">
        <v>91</v>
      </c>
      <c r="BB638" s="2"/>
      <c r="BC638" s="2"/>
      <c r="BD638" t="s">
        <v>91</v>
      </c>
      <c r="BF638" s="1" t="s">
        <v>75</v>
      </c>
      <c r="BG638">
        <v>0</v>
      </c>
      <c r="BH638">
        <v>0</v>
      </c>
      <c r="BI638" s="1" t="s">
        <v>88</v>
      </c>
      <c r="BJ638">
        <v>1</v>
      </c>
      <c r="BK638" s="1" t="s">
        <v>89</v>
      </c>
      <c r="BL638" t="s">
        <v>91</v>
      </c>
      <c r="BM638" s="1" t="s">
        <v>109</v>
      </c>
      <c r="BN638" s="1" t="s">
        <v>110</v>
      </c>
      <c r="BO638" s="1" t="s">
        <v>128</v>
      </c>
      <c r="BP638" s="1" t="s">
        <v>91</v>
      </c>
      <c r="BQ638" t="s">
        <v>91</v>
      </c>
      <c r="BR638" s="3"/>
      <c r="BS638" s="3"/>
      <c r="BT638" t="s">
        <v>91</v>
      </c>
      <c r="BU638" t="s">
        <v>91</v>
      </c>
      <c r="BV638">
        <v>7</v>
      </c>
      <c r="BW638" s="1" t="s">
        <v>1089</v>
      </c>
    </row>
    <row r="639" spans="1:75" hidden="1" x14ac:dyDescent="0.35">
      <c r="A639">
        <v>156857</v>
      </c>
      <c r="B639" s="1" t="s">
        <v>75</v>
      </c>
      <c r="C639">
        <v>80</v>
      </c>
      <c r="D639">
        <v>11121002</v>
      </c>
      <c r="E639">
        <v>121002</v>
      </c>
      <c r="F639" s="1" t="s">
        <v>2915</v>
      </c>
      <c r="G639" s="1" t="s">
        <v>3761</v>
      </c>
      <c r="H639">
        <v>0</v>
      </c>
      <c r="I639" s="1" t="s">
        <v>78</v>
      </c>
      <c r="J639" s="1" t="s">
        <v>3762</v>
      </c>
      <c r="K639" s="1" t="s">
        <v>3763</v>
      </c>
      <c r="L639" t="s">
        <v>91</v>
      </c>
      <c r="M639" t="s">
        <v>91</v>
      </c>
      <c r="N639" s="1" t="s">
        <v>3764</v>
      </c>
      <c r="O639" t="s">
        <v>91</v>
      </c>
      <c r="P639" s="1" t="s">
        <v>3765</v>
      </c>
      <c r="Q639" s="1" t="s">
        <v>708</v>
      </c>
      <c r="R639" s="1" t="s">
        <v>820</v>
      </c>
      <c r="T639">
        <v>88122200</v>
      </c>
      <c r="U639" s="1" t="s">
        <v>3766</v>
      </c>
      <c r="V639" s="1" t="s">
        <v>2958</v>
      </c>
      <c r="W639" s="1" t="s">
        <v>87</v>
      </c>
      <c r="X639">
        <v>48</v>
      </c>
      <c r="Y639">
        <v>996411056</v>
      </c>
      <c r="Z639" t="s">
        <v>91</v>
      </c>
      <c r="AA639" t="s">
        <v>91</v>
      </c>
      <c r="AB639" t="s">
        <v>91</v>
      </c>
      <c r="AC639" t="s">
        <v>91</v>
      </c>
      <c r="AD639" t="s">
        <v>91</v>
      </c>
      <c r="AE639" t="s">
        <v>91</v>
      </c>
      <c r="AF639" t="s">
        <v>91</v>
      </c>
      <c r="AG639" s="1" t="s">
        <v>91</v>
      </c>
      <c r="AH639" s="1" t="s">
        <v>91</v>
      </c>
      <c r="AI639" t="s">
        <v>91</v>
      </c>
      <c r="AM639" t="s">
        <v>91</v>
      </c>
      <c r="AN639" t="s">
        <v>91</v>
      </c>
      <c r="AO639" t="s">
        <v>91</v>
      </c>
      <c r="AP639" t="s">
        <v>91</v>
      </c>
      <c r="AQ639" s="1" t="s">
        <v>91</v>
      </c>
      <c r="AR639" s="1" t="s">
        <v>91</v>
      </c>
      <c r="AS639" s="1" t="s">
        <v>91</v>
      </c>
      <c r="AT639" s="1" t="s">
        <v>91</v>
      </c>
      <c r="AU639" s="1" t="s">
        <v>91</v>
      </c>
      <c r="AV639" t="s">
        <v>91</v>
      </c>
      <c r="AW639" t="s">
        <v>91</v>
      </c>
      <c r="AX639" t="s">
        <v>91</v>
      </c>
      <c r="AY639" t="s">
        <v>91</v>
      </c>
      <c r="AZ639" t="s">
        <v>91</v>
      </c>
      <c r="BA639" t="s">
        <v>91</v>
      </c>
      <c r="BB639" s="2">
        <v>45113.505416666667</v>
      </c>
      <c r="BC639" s="2"/>
      <c r="BD639" t="s">
        <v>91</v>
      </c>
      <c r="BF639" s="1" t="s">
        <v>75</v>
      </c>
      <c r="BI639" s="1" t="s">
        <v>88</v>
      </c>
      <c r="BJ639">
        <v>1</v>
      </c>
      <c r="BK639" s="1" t="s">
        <v>89</v>
      </c>
      <c r="BL639" t="s">
        <v>91</v>
      </c>
      <c r="BM639" s="1" t="s">
        <v>91</v>
      </c>
      <c r="BN639" s="1" t="s">
        <v>91</v>
      </c>
      <c r="BO639" s="1" t="s">
        <v>91</v>
      </c>
      <c r="BP639" s="1" t="s">
        <v>91</v>
      </c>
      <c r="BQ639" t="s">
        <v>91</v>
      </c>
      <c r="BR639" s="3">
        <v>45113</v>
      </c>
      <c r="BS639" s="3"/>
      <c r="BT639" t="s">
        <v>91</v>
      </c>
      <c r="BU639" t="s">
        <v>91</v>
      </c>
      <c r="BW639" s="1" t="s">
        <v>90</v>
      </c>
    </row>
    <row r="640" spans="1:75" hidden="1" x14ac:dyDescent="0.35">
      <c r="A640">
        <v>134288</v>
      </c>
      <c r="B640" s="1" t="s">
        <v>75</v>
      </c>
      <c r="C640">
        <v>80</v>
      </c>
      <c r="D640">
        <v>11121002</v>
      </c>
      <c r="E640">
        <v>121002</v>
      </c>
      <c r="F640" s="1" t="s">
        <v>2915</v>
      </c>
      <c r="G640" s="1" t="s">
        <v>3767</v>
      </c>
      <c r="I640" s="1" t="s">
        <v>78</v>
      </c>
      <c r="J640" s="1" t="s">
        <v>3768</v>
      </c>
      <c r="K640" s="1" t="s">
        <v>3769</v>
      </c>
      <c r="L640" t="s">
        <v>91</v>
      </c>
      <c r="M640" t="s">
        <v>91</v>
      </c>
      <c r="N640" s="1" t="s">
        <v>3770</v>
      </c>
      <c r="O640" t="s">
        <v>91</v>
      </c>
      <c r="P640" s="1" t="s">
        <v>311</v>
      </c>
      <c r="Q640" s="1" t="s">
        <v>3064</v>
      </c>
      <c r="R640" s="1" t="s">
        <v>1522</v>
      </c>
      <c r="S640">
        <v>1254</v>
      </c>
      <c r="T640">
        <v>88010902</v>
      </c>
      <c r="U640" s="1" t="s">
        <v>108</v>
      </c>
      <c r="V640" s="1" t="s">
        <v>3102</v>
      </c>
      <c r="W640" s="1" t="s">
        <v>87</v>
      </c>
      <c r="X640">
        <v>48</v>
      </c>
      <c r="Y640">
        <v>32223734</v>
      </c>
      <c r="Z640" t="s">
        <v>91</v>
      </c>
      <c r="AA640" t="s">
        <v>91</v>
      </c>
      <c r="AB640" t="s">
        <v>91</v>
      </c>
      <c r="AC640" t="s">
        <v>91</v>
      </c>
      <c r="AD640" t="s">
        <v>91</v>
      </c>
      <c r="AE640" t="s">
        <v>91</v>
      </c>
      <c r="AF640" t="s">
        <v>91</v>
      </c>
      <c r="AG640" s="1" t="s">
        <v>146</v>
      </c>
      <c r="AH640" s="1" t="s">
        <v>91</v>
      </c>
      <c r="AI640" t="s">
        <v>91</v>
      </c>
      <c r="AJ640">
        <v>0</v>
      </c>
      <c r="AK640">
        <v>0</v>
      </c>
      <c r="AL640">
        <v>0</v>
      </c>
      <c r="AM640" t="s">
        <v>91</v>
      </c>
      <c r="AN640" t="s">
        <v>91</v>
      </c>
      <c r="AO640" t="s">
        <v>91</v>
      </c>
      <c r="AP640" t="s">
        <v>91</v>
      </c>
      <c r="AQ640" s="1" t="s">
        <v>147</v>
      </c>
      <c r="AR640" s="1" t="s">
        <v>147</v>
      </c>
      <c r="AS640" s="1" t="s">
        <v>147</v>
      </c>
      <c r="AT640" s="1" t="s">
        <v>147</v>
      </c>
      <c r="AU640" s="1" t="s">
        <v>147</v>
      </c>
      <c r="AV640" t="s">
        <v>91</v>
      </c>
      <c r="AW640" t="s">
        <v>91</v>
      </c>
      <c r="AX640" t="s">
        <v>91</v>
      </c>
      <c r="AY640" t="s">
        <v>91</v>
      </c>
      <c r="AZ640" t="s">
        <v>91</v>
      </c>
      <c r="BA640" t="s">
        <v>91</v>
      </c>
      <c r="BB640" s="2"/>
      <c r="BC640" s="2">
        <v>44684.406342592592</v>
      </c>
      <c r="BD640" t="s">
        <v>91</v>
      </c>
      <c r="BF640" s="1" t="s">
        <v>75</v>
      </c>
      <c r="BG640">
        <v>0</v>
      </c>
      <c r="BH640">
        <v>0</v>
      </c>
      <c r="BI640" s="1" t="s">
        <v>88</v>
      </c>
      <c r="BJ640">
        <v>1</v>
      </c>
      <c r="BK640" s="1" t="s">
        <v>89</v>
      </c>
      <c r="BL640" t="s">
        <v>91</v>
      </c>
      <c r="BM640" s="1" t="s">
        <v>164</v>
      </c>
      <c r="BN640" s="1" t="s">
        <v>110</v>
      </c>
      <c r="BO640" s="1" t="s">
        <v>165</v>
      </c>
      <c r="BP640" s="1" t="s">
        <v>91</v>
      </c>
      <c r="BQ640" t="s">
        <v>91</v>
      </c>
      <c r="BR640" s="3"/>
      <c r="BS640" s="3">
        <v>44684</v>
      </c>
      <c r="BT640" t="s">
        <v>91</v>
      </c>
      <c r="BU640" t="s">
        <v>91</v>
      </c>
      <c r="BV640">
        <v>1</v>
      </c>
      <c r="BW640" s="1" t="s">
        <v>735</v>
      </c>
    </row>
    <row r="641" spans="1:75" hidden="1" x14ac:dyDescent="0.35">
      <c r="A641">
        <v>156883</v>
      </c>
      <c r="B641" s="1" t="s">
        <v>75</v>
      </c>
      <c r="C641">
        <v>80</v>
      </c>
      <c r="D641">
        <v>11121002</v>
      </c>
      <c r="E641">
        <v>121002</v>
      </c>
      <c r="F641" s="1" t="s">
        <v>2915</v>
      </c>
      <c r="G641" s="1" t="s">
        <v>3771</v>
      </c>
      <c r="H641">
        <v>0</v>
      </c>
      <c r="I641" s="1" t="s">
        <v>78</v>
      </c>
      <c r="J641" s="1" t="s">
        <v>3772</v>
      </c>
      <c r="K641" s="1" t="s">
        <v>3773</v>
      </c>
      <c r="L641" t="s">
        <v>91</v>
      </c>
      <c r="M641" t="s">
        <v>91</v>
      </c>
      <c r="N641" s="1" t="s">
        <v>3774</v>
      </c>
      <c r="O641" t="s">
        <v>91</v>
      </c>
      <c r="P641" s="1" t="s">
        <v>3135</v>
      </c>
      <c r="Q641" s="1" t="s">
        <v>3112</v>
      </c>
      <c r="R641" s="1" t="s">
        <v>3447</v>
      </c>
      <c r="S641">
        <v>1257</v>
      </c>
      <c r="T641">
        <v>88035970</v>
      </c>
      <c r="U641" s="1" t="s">
        <v>3137</v>
      </c>
      <c r="V641" s="1" t="s">
        <v>2922</v>
      </c>
      <c r="W641" s="1" t="s">
        <v>87</v>
      </c>
      <c r="X641">
        <v>48</v>
      </c>
      <c r="Y641">
        <v>32066630</v>
      </c>
      <c r="Z641" t="s">
        <v>91</v>
      </c>
      <c r="AA641" t="s">
        <v>91</v>
      </c>
      <c r="AB641" t="s">
        <v>91</v>
      </c>
      <c r="AC641" t="s">
        <v>91</v>
      </c>
      <c r="AD641" t="s">
        <v>91</v>
      </c>
      <c r="AE641" t="s">
        <v>91</v>
      </c>
      <c r="AF641" t="s">
        <v>91</v>
      </c>
      <c r="AG641" s="1" t="s">
        <v>91</v>
      </c>
      <c r="AH641" s="1" t="s">
        <v>91</v>
      </c>
      <c r="AI641" t="s">
        <v>91</v>
      </c>
      <c r="AM641" t="s">
        <v>91</v>
      </c>
      <c r="AN641" t="s">
        <v>91</v>
      </c>
      <c r="AO641" t="s">
        <v>91</v>
      </c>
      <c r="AP641" t="s">
        <v>91</v>
      </c>
      <c r="AQ641" s="1" t="s">
        <v>91</v>
      </c>
      <c r="AR641" s="1" t="s">
        <v>91</v>
      </c>
      <c r="AS641" s="1" t="s">
        <v>91</v>
      </c>
      <c r="AT641" s="1" t="s">
        <v>91</v>
      </c>
      <c r="AU641" s="1" t="s">
        <v>91</v>
      </c>
      <c r="AV641" t="s">
        <v>91</v>
      </c>
      <c r="AW641" t="s">
        <v>91</v>
      </c>
      <c r="AX641" t="s">
        <v>91</v>
      </c>
      <c r="AY641" t="s">
        <v>91</v>
      </c>
      <c r="AZ641" t="s">
        <v>91</v>
      </c>
      <c r="BA641" t="s">
        <v>91</v>
      </c>
      <c r="BB641" s="2">
        <v>45113.505416666667</v>
      </c>
      <c r="BC641" s="2"/>
      <c r="BD641" t="s">
        <v>91</v>
      </c>
      <c r="BF641" s="1" t="s">
        <v>75</v>
      </c>
      <c r="BI641" s="1" t="s">
        <v>88</v>
      </c>
      <c r="BJ641">
        <v>1</v>
      </c>
      <c r="BK641" s="1" t="s">
        <v>89</v>
      </c>
      <c r="BL641" t="s">
        <v>91</v>
      </c>
      <c r="BM641" s="1" t="s">
        <v>91</v>
      </c>
      <c r="BN641" s="1" t="s">
        <v>91</v>
      </c>
      <c r="BO641" s="1" t="s">
        <v>91</v>
      </c>
      <c r="BP641" s="1" t="s">
        <v>91</v>
      </c>
      <c r="BQ641" t="s">
        <v>91</v>
      </c>
      <c r="BR641" s="3">
        <v>45113</v>
      </c>
      <c r="BS641" s="3"/>
      <c r="BT641" t="s">
        <v>91</v>
      </c>
      <c r="BU641" t="s">
        <v>91</v>
      </c>
      <c r="BW641" s="1" t="s">
        <v>90</v>
      </c>
    </row>
    <row r="642" spans="1:75" hidden="1" x14ac:dyDescent="0.35">
      <c r="A642">
        <v>156915</v>
      </c>
      <c r="B642" s="1" t="s">
        <v>75</v>
      </c>
      <c r="C642">
        <v>80</v>
      </c>
      <c r="D642">
        <v>11121002</v>
      </c>
      <c r="E642">
        <v>121002</v>
      </c>
      <c r="F642" s="1" t="s">
        <v>2915</v>
      </c>
      <c r="G642" s="1" t="s">
        <v>3775</v>
      </c>
      <c r="H642">
        <v>0</v>
      </c>
      <c r="I642" s="1" t="s">
        <v>78</v>
      </c>
      <c r="J642" s="1" t="s">
        <v>3776</v>
      </c>
      <c r="K642" s="1" t="s">
        <v>3777</v>
      </c>
      <c r="L642" t="s">
        <v>91</v>
      </c>
      <c r="M642" t="s">
        <v>91</v>
      </c>
      <c r="N642" s="1" t="s">
        <v>3778</v>
      </c>
      <c r="O642" t="s">
        <v>91</v>
      </c>
      <c r="P642" s="1" t="s">
        <v>3779</v>
      </c>
      <c r="Q642" s="1" t="s">
        <v>3780</v>
      </c>
      <c r="R642" s="1" t="s">
        <v>91</v>
      </c>
      <c r="S642">
        <v>1268</v>
      </c>
      <c r="T642">
        <v>88730000</v>
      </c>
      <c r="U642" s="1" t="s">
        <v>108</v>
      </c>
      <c r="V642" s="1" t="s">
        <v>3781</v>
      </c>
      <c r="W642" s="1" t="s">
        <v>87</v>
      </c>
      <c r="X642">
        <v>48</v>
      </c>
      <c r="Y642">
        <v>988108860</v>
      </c>
      <c r="Z642" t="s">
        <v>91</v>
      </c>
      <c r="AA642" t="s">
        <v>91</v>
      </c>
      <c r="AB642" t="s">
        <v>91</v>
      </c>
      <c r="AC642" t="s">
        <v>91</v>
      </c>
      <c r="AD642" t="s">
        <v>91</v>
      </c>
      <c r="AE642" t="s">
        <v>91</v>
      </c>
      <c r="AF642" t="s">
        <v>91</v>
      </c>
      <c r="AG642" s="1" t="s">
        <v>91</v>
      </c>
      <c r="AH642" s="1" t="s">
        <v>91</v>
      </c>
      <c r="AI642" t="s">
        <v>91</v>
      </c>
      <c r="AM642" t="s">
        <v>91</v>
      </c>
      <c r="AN642" t="s">
        <v>91</v>
      </c>
      <c r="AO642" t="s">
        <v>91</v>
      </c>
      <c r="AP642" t="s">
        <v>91</v>
      </c>
      <c r="AQ642" s="1" t="s">
        <v>91</v>
      </c>
      <c r="AR642" s="1" t="s">
        <v>91</v>
      </c>
      <c r="AS642" s="1" t="s">
        <v>91</v>
      </c>
      <c r="AT642" s="1" t="s">
        <v>91</v>
      </c>
      <c r="AU642" s="1" t="s">
        <v>91</v>
      </c>
      <c r="AV642" t="s">
        <v>91</v>
      </c>
      <c r="AW642" t="s">
        <v>91</v>
      </c>
      <c r="AX642" t="s">
        <v>91</v>
      </c>
      <c r="AY642" t="s">
        <v>91</v>
      </c>
      <c r="AZ642" t="s">
        <v>91</v>
      </c>
      <c r="BA642" t="s">
        <v>91</v>
      </c>
      <c r="BB642" s="2">
        <v>45113.505416666667</v>
      </c>
      <c r="BC642" s="2"/>
      <c r="BD642" t="s">
        <v>91</v>
      </c>
      <c r="BF642" s="1" t="s">
        <v>75</v>
      </c>
      <c r="BI642" s="1" t="s">
        <v>88</v>
      </c>
      <c r="BJ642">
        <v>1</v>
      </c>
      <c r="BK642" s="1" t="s">
        <v>89</v>
      </c>
      <c r="BL642" t="s">
        <v>91</v>
      </c>
      <c r="BM642" s="1" t="s">
        <v>91</v>
      </c>
      <c r="BN642" s="1" t="s">
        <v>91</v>
      </c>
      <c r="BO642" s="1" t="s">
        <v>91</v>
      </c>
      <c r="BP642" s="1" t="s">
        <v>91</v>
      </c>
      <c r="BQ642" t="s">
        <v>91</v>
      </c>
      <c r="BR642" s="3">
        <v>45113</v>
      </c>
      <c r="BS642" s="3"/>
      <c r="BT642" t="s">
        <v>91</v>
      </c>
      <c r="BU642" t="s">
        <v>91</v>
      </c>
      <c r="BW642" s="1" t="s">
        <v>90</v>
      </c>
    </row>
    <row r="643" spans="1:75" hidden="1" x14ac:dyDescent="0.35">
      <c r="A643">
        <v>134273</v>
      </c>
      <c r="B643" s="1" t="s">
        <v>75</v>
      </c>
      <c r="C643">
        <v>80</v>
      </c>
      <c r="D643">
        <v>11121002</v>
      </c>
      <c r="E643">
        <v>121002</v>
      </c>
      <c r="F643" s="1" t="s">
        <v>2915</v>
      </c>
      <c r="G643" s="1" t="s">
        <v>3782</v>
      </c>
      <c r="I643" s="1" t="s">
        <v>78</v>
      </c>
      <c r="J643" s="1" t="s">
        <v>3783</v>
      </c>
      <c r="K643" s="1" t="s">
        <v>3784</v>
      </c>
      <c r="L643" t="s">
        <v>91</v>
      </c>
      <c r="M643" t="s">
        <v>91</v>
      </c>
      <c r="N643" s="1" t="s">
        <v>3785</v>
      </c>
      <c r="O643" t="s">
        <v>91</v>
      </c>
      <c r="P643" s="1" t="s">
        <v>3120</v>
      </c>
      <c r="Q643" s="1" t="s">
        <v>3271</v>
      </c>
      <c r="R643" s="1" t="s">
        <v>91</v>
      </c>
      <c r="S643">
        <v>1259</v>
      </c>
      <c r="T643">
        <v>88140000</v>
      </c>
      <c r="U643" s="1" t="s">
        <v>108</v>
      </c>
      <c r="V643" s="1" t="s">
        <v>3123</v>
      </c>
      <c r="W643" s="1" t="s">
        <v>87</v>
      </c>
      <c r="X643">
        <v>48</v>
      </c>
      <c r="Y643">
        <v>32451142</v>
      </c>
      <c r="Z643" t="s">
        <v>91</v>
      </c>
      <c r="AA643" t="s">
        <v>91</v>
      </c>
      <c r="AB643" t="s">
        <v>91</v>
      </c>
      <c r="AC643" t="s">
        <v>91</v>
      </c>
      <c r="AD643" t="s">
        <v>91</v>
      </c>
      <c r="AE643" t="s">
        <v>91</v>
      </c>
      <c r="AF643" t="s">
        <v>91</v>
      </c>
      <c r="AG643" s="1" t="s">
        <v>91</v>
      </c>
      <c r="AH643" s="1" t="s">
        <v>91</v>
      </c>
      <c r="AI643" t="s">
        <v>91</v>
      </c>
      <c r="AJ643">
        <v>0</v>
      </c>
      <c r="AK643">
        <v>0</v>
      </c>
      <c r="AL643">
        <v>0</v>
      </c>
      <c r="AM643" t="s">
        <v>91</v>
      </c>
      <c r="AN643" t="s">
        <v>91</v>
      </c>
      <c r="AO643" t="s">
        <v>91</v>
      </c>
      <c r="AP643" t="s">
        <v>91</v>
      </c>
      <c r="AQ643" s="1" t="s">
        <v>91</v>
      </c>
      <c r="AR643" s="1" t="s">
        <v>91</v>
      </c>
      <c r="AS643" s="1" t="s">
        <v>91</v>
      </c>
      <c r="AT643" s="1" t="s">
        <v>91</v>
      </c>
      <c r="AU643" s="1" t="s">
        <v>91</v>
      </c>
      <c r="AV643" t="s">
        <v>91</v>
      </c>
      <c r="AW643" t="s">
        <v>91</v>
      </c>
      <c r="AX643" t="s">
        <v>91</v>
      </c>
      <c r="AY643" t="s">
        <v>91</v>
      </c>
      <c r="AZ643" t="s">
        <v>91</v>
      </c>
      <c r="BA643" t="s">
        <v>91</v>
      </c>
      <c r="BB643" s="2"/>
      <c r="BC643" s="2"/>
      <c r="BD643" t="s">
        <v>91</v>
      </c>
      <c r="BF643" s="1" t="s">
        <v>75</v>
      </c>
      <c r="BG643">
        <v>0</v>
      </c>
      <c r="BH643">
        <v>0</v>
      </c>
      <c r="BI643" s="1" t="s">
        <v>88</v>
      </c>
      <c r="BJ643">
        <v>1</v>
      </c>
      <c r="BK643" s="1" t="s">
        <v>89</v>
      </c>
      <c r="BL643" t="s">
        <v>91</v>
      </c>
      <c r="BM643" s="1" t="s">
        <v>109</v>
      </c>
      <c r="BN643" s="1" t="s">
        <v>110</v>
      </c>
      <c r="BO643" s="1" t="s">
        <v>128</v>
      </c>
      <c r="BP643" s="1" t="s">
        <v>91</v>
      </c>
      <c r="BQ643" t="s">
        <v>91</v>
      </c>
      <c r="BR643" s="3"/>
      <c r="BS643" s="3"/>
      <c r="BT643" t="s">
        <v>91</v>
      </c>
      <c r="BU643" t="s">
        <v>91</v>
      </c>
      <c r="BV643">
        <v>8</v>
      </c>
      <c r="BW643" s="1" t="s">
        <v>90</v>
      </c>
    </row>
    <row r="644" spans="1:75" hidden="1" x14ac:dyDescent="0.35">
      <c r="A644">
        <v>134477</v>
      </c>
      <c r="B644" s="1" t="s">
        <v>75</v>
      </c>
      <c r="C644">
        <v>80</v>
      </c>
      <c r="D644">
        <v>11121002</v>
      </c>
      <c r="E644">
        <v>121002</v>
      </c>
      <c r="F644" s="1" t="s">
        <v>2915</v>
      </c>
      <c r="G644" s="1" t="s">
        <v>3786</v>
      </c>
      <c r="I644" s="1" t="s">
        <v>78</v>
      </c>
      <c r="J644" s="1" t="s">
        <v>3787</v>
      </c>
      <c r="K644" s="1" t="s">
        <v>3788</v>
      </c>
      <c r="L644" t="s">
        <v>91</v>
      </c>
      <c r="M644" t="s">
        <v>91</v>
      </c>
      <c r="N644" s="1" t="s">
        <v>3789</v>
      </c>
      <c r="O644" t="s">
        <v>91</v>
      </c>
      <c r="P644" s="1" t="s">
        <v>3790</v>
      </c>
      <c r="Q644" s="1" t="s">
        <v>3791</v>
      </c>
      <c r="R644" s="1" t="s">
        <v>820</v>
      </c>
      <c r="S644">
        <v>1259</v>
      </c>
      <c r="T644">
        <v>88135100</v>
      </c>
      <c r="U644" s="1" t="s">
        <v>3792</v>
      </c>
      <c r="V644" s="1" t="s">
        <v>2951</v>
      </c>
      <c r="W644" s="1" t="s">
        <v>87</v>
      </c>
      <c r="X644">
        <v>48</v>
      </c>
      <c r="Y644">
        <v>33412849</v>
      </c>
      <c r="Z644" t="s">
        <v>91</v>
      </c>
      <c r="AA644" t="s">
        <v>91</v>
      </c>
      <c r="AB644" t="s">
        <v>91</v>
      </c>
      <c r="AC644" t="s">
        <v>91</v>
      </c>
      <c r="AD644" t="s">
        <v>91</v>
      </c>
      <c r="AE644" t="s">
        <v>91</v>
      </c>
      <c r="AF644" t="s">
        <v>91</v>
      </c>
      <c r="AG644" s="1" t="s">
        <v>91</v>
      </c>
      <c r="AH644" s="1" t="s">
        <v>91</v>
      </c>
      <c r="AI644" t="s">
        <v>91</v>
      </c>
      <c r="AM644" t="s">
        <v>91</v>
      </c>
      <c r="AN644" t="s">
        <v>91</v>
      </c>
      <c r="AO644" t="s">
        <v>91</v>
      </c>
      <c r="AP644" t="s">
        <v>91</v>
      </c>
      <c r="AQ644" s="1" t="s">
        <v>91</v>
      </c>
      <c r="AR644" s="1" t="s">
        <v>91</v>
      </c>
      <c r="AS644" s="1" t="s">
        <v>91</v>
      </c>
      <c r="AT644" s="1" t="s">
        <v>91</v>
      </c>
      <c r="AU644" s="1" t="s">
        <v>91</v>
      </c>
      <c r="AV644" t="s">
        <v>91</v>
      </c>
      <c r="AW644" t="s">
        <v>91</v>
      </c>
      <c r="AX644" t="s">
        <v>91</v>
      </c>
      <c r="AY644" t="s">
        <v>91</v>
      </c>
      <c r="AZ644" t="s">
        <v>91</v>
      </c>
      <c r="BA644" t="s">
        <v>91</v>
      </c>
      <c r="BB644" s="2"/>
      <c r="BC644" s="2"/>
      <c r="BD644" t="s">
        <v>91</v>
      </c>
      <c r="BF644" s="1" t="s">
        <v>75</v>
      </c>
      <c r="BI644" s="1" t="s">
        <v>88</v>
      </c>
      <c r="BJ644">
        <v>1</v>
      </c>
      <c r="BK644" s="1" t="s">
        <v>89</v>
      </c>
      <c r="BL644" t="s">
        <v>91</v>
      </c>
      <c r="BM644" s="1" t="s">
        <v>109</v>
      </c>
      <c r="BN644" s="1" t="s">
        <v>110</v>
      </c>
      <c r="BO644" s="1" t="s">
        <v>180</v>
      </c>
      <c r="BP644" s="1" t="s">
        <v>91</v>
      </c>
      <c r="BQ644" t="s">
        <v>91</v>
      </c>
      <c r="BR644" s="3"/>
      <c r="BS644" s="3"/>
      <c r="BT644" t="s">
        <v>91</v>
      </c>
      <c r="BU644" t="s">
        <v>91</v>
      </c>
      <c r="BV644">
        <v>9</v>
      </c>
      <c r="BW644" s="1" t="s">
        <v>3166</v>
      </c>
    </row>
    <row r="645" spans="1:75" hidden="1" x14ac:dyDescent="0.35">
      <c r="A645">
        <v>157699</v>
      </c>
      <c r="B645" s="1" t="s">
        <v>75</v>
      </c>
      <c r="C645">
        <v>80</v>
      </c>
      <c r="D645">
        <v>11121002</v>
      </c>
      <c r="E645">
        <v>121002</v>
      </c>
      <c r="F645" s="1" t="s">
        <v>2915</v>
      </c>
      <c r="G645" s="1" t="s">
        <v>3793</v>
      </c>
      <c r="H645">
        <v>0</v>
      </c>
      <c r="I645" s="1" t="s">
        <v>78</v>
      </c>
      <c r="J645" s="1" t="s">
        <v>3794</v>
      </c>
      <c r="K645" s="1" t="s">
        <v>3795</v>
      </c>
      <c r="L645" t="s">
        <v>91</v>
      </c>
      <c r="M645" t="s">
        <v>91</v>
      </c>
      <c r="N645" s="1" t="s">
        <v>3796</v>
      </c>
      <c r="O645" t="s">
        <v>91</v>
      </c>
      <c r="P645" s="1" t="s">
        <v>3797</v>
      </c>
      <c r="Q645" s="1" t="s">
        <v>3798</v>
      </c>
      <c r="R645" s="1" t="s">
        <v>135</v>
      </c>
      <c r="S645">
        <v>1257</v>
      </c>
      <c r="T645">
        <v>88058300</v>
      </c>
      <c r="U645" s="1" t="s">
        <v>3441</v>
      </c>
      <c r="V645" s="1" t="s">
        <v>2922</v>
      </c>
      <c r="W645" s="1" t="s">
        <v>87</v>
      </c>
      <c r="X645">
        <v>48</v>
      </c>
      <c r="Y645">
        <v>32079375</v>
      </c>
      <c r="Z645" t="s">
        <v>91</v>
      </c>
      <c r="AA645" t="s">
        <v>91</v>
      </c>
      <c r="AB645" t="s">
        <v>91</v>
      </c>
      <c r="AC645" t="s">
        <v>91</v>
      </c>
      <c r="AD645" t="s">
        <v>91</v>
      </c>
      <c r="AE645" t="s">
        <v>91</v>
      </c>
      <c r="AF645" t="s">
        <v>91</v>
      </c>
      <c r="AG645" s="1" t="s">
        <v>91</v>
      </c>
      <c r="AH645" s="1" t="s">
        <v>91</v>
      </c>
      <c r="AI645" t="s">
        <v>91</v>
      </c>
      <c r="AM645" t="s">
        <v>91</v>
      </c>
      <c r="AN645" t="s">
        <v>91</v>
      </c>
      <c r="AO645" t="s">
        <v>91</v>
      </c>
      <c r="AP645" t="s">
        <v>91</v>
      </c>
      <c r="AQ645" s="1" t="s">
        <v>91</v>
      </c>
      <c r="AR645" s="1" t="s">
        <v>91</v>
      </c>
      <c r="AS645" s="1" t="s">
        <v>91</v>
      </c>
      <c r="AT645" s="1" t="s">
        <v>91</v>
      </c>
      <c r="AU645" s="1" t="s">
        <v>91</v>
      </c>
      <c r="AV645" t="s">
        <v>91</v>
      </c>
      <c r="AW645" t="s">
        <v>91</v>
      </c>
      <c r="AX645" t="s">
        <v>91</v>
      </c>
      <c r="AY645" t="s">
        <v>91</v>
      </c>
      <c r="AZ645" t="s">
        <v>91</v>
      </c>
      <c r="BA645" t="s">
        <v>91</v>
      </c>
      <c r="BB645" s="2">
        <v>45118.097175925926</v>
      </c>
      <c r="BC645" s="2"/>
      <c r="BD645" t="s">
        <v>91</v>
      </c>
      <c r="BF645" s="1" t="s">
        <v>75</v>
      </c>
      <c r="BI645" s="1" t="s">
        <v>88</v>
      </c>
      <c r="BJ645">
        <v>1</v>
      </c>
      <c r="BK645" s="1" t="s">
        <v>89</v>
      </c>
      <c r="BL645" t="s">
        <v>91</v>
      </c>
      <c r="BM645" s="1" t="s">
        <v>91</v>
      </c>
      <c r="BN645" s="1" t="s">
        <v>91</v>
      </c>
      <c r="BO645" s="1" t="s">
        <v>91</v>
      </c>
      <c r="BP645" s="1" t="s">
        <v>91</v>
      </c>
      <c r="BQ645" t="s">
        <v>91</v>
      </c>
      <c r="BR645" s="3">
        <v>45118</v>
      </c>
      <c r="BS645" s="3"/>
      <c r="BT645" t="s">
        <v>91</v>
      </c>
      <c r="BU645" t="s">
        <v>91</v>
      </c>
      <c r="BW645" s="1" t="s">
        <v>90</v>
      </c>
    </row>
    <row r="646" spans="1:75" hidden="1" x14ac:dyDescent="0.35">
      <c r="A646">
        <v>134385</v>
      </c>
      <c r="B646" s="1" t="s">
        <v>75</v>
      </c>
      <c r="C646">
        <v>80</v>
      </c>
      <c r="D646">
        <v>11121002</v>
      </c>
      <c r="E646">
        <v>121002</v>
      </c>
      <c r="F646" s="1" t="s">
        <v>2915</v>
      </c>
      <c r="G646" s="1" t="s">
        <v>3799</v>
      </c>
      <c r="I646" s="1" t="s">
        <v>78</v>
      </c>
      <c r="J646" s="1" t="s">
        <v>3800</v>
      </c>
      <c r="K646" s="1" t="s">
        <v>3801</v>
      </c>
      <c r="L646" t="s">
        <v>91</v>
      </c>
      <c r="M646" t="s">
        <v>91</v>
      </c>
      <c r="N646" s="1" t="s">
        <v>3297</v>
      </c>
      <c r="O646" t="s">
        <v>91</v>
      </c>
      <c r="P646" s="1" t="s">
        <v>3802</v>
      </c>
      <c r="Q646" s="1" t="s">
        <v>3653</v>
      </c>
      <c r="R646" s="1" t="s">
        <v>3299</v>
      </c>
      <c r="T646">
        <v>88106115</v>
      </c>
      <c r="U646" s="1" t="s">
        <v>3803</v>
      </c>
      <c r="V646" s="1" t="s">
        <v>3016</v>
      </c>
      <c r="W646" s="1" t="s">
        <v>87</v>
      </c>
      <c r="X646">
        <v>48</v>
      </c>
      <c r="Y646">
        <v>30625114</v>
      </c>
      <c r="Z646" t="s">
        <v>91</v>
      </c>
      <c r="AA646" t="s">
        <v>91</v>
      </c>
      <c r="AB646" t="s">
        <v>91</v>
      </c>
      <c r="AC646" t="s">
        <v>91</v>
      </c>
      <c r="AD646" t="s">
        <v>91</v>
      </c>
      <c r="AE646" t="s">
        <v>91</v>
      </c>
      <c r="AF646" t="s">
        <v>91</v>
      </c>
      <c r="AG646" s="1" t="s">
        <v>146</v>
      </c>
      <c r="AH646" s="1" t="s">
        <v>91</v>
      </c>
      <c r="AI646" t="s">
        <v>91</v>
      </c>
      <c r="AM646" t="s">
        <v>91</v>
      </c>
      <c r="AN646" t="s">
        <v>91</v>
      </c>
      <c r="AO646" t="s">
        <v>91</v>
      </c>
      <c r="AP646" t="s">
        <v>91</v>
      </c>
      <c r="AQ646" s="1" t="s">
        <v>147</v>
      </c>
      <c r="AR646" s="1" t="s">
        <v>147</v>
      </c>
      <c r="AS646" s="1" t="s">
        <v>147</v>
      </c>
      <c r="AT646" s="1" t="s">
        <v>147</v>
      </c>
      <c r="AU646" s="1" t="s">
        <v>147</v>
      </c>
      <c r="AV646" t="s">
        <v>91</v>
      </c>
      <c r="AW646" t="s">
        <v>91</v>
      </c>
      <c r="AX646" t="s">
        <v>91</v>
      </c>
      <c r="AY646" t="s">
        <v>91</v>
      </c>
      <c r="AZ646" t="s">
        <v>91</v>
      </c>
      <c r="BA646" t="s">
        <v>91</v>
      </c>
      <c r="BB646" s="2"/>
      <c r="BC646" s="2">
        <v>44670.744502314818</v>
      </c>
      <c r="BD646" t="s">
        <v>91</v>
      </c>
      <c r="BF646" s="1" t="s">
        <v>75</v>
      </c>
      <c r="BH646">
        <v>0</v>
      </c>
      <c r="BI646" s="1" t="s">
        <v>88</v>
      </c>
      <c r="BJ646">
        <v>1</v>
      </c>
      <c r="BK646" s="1" t="s">
        <v>89</v>
      </c>
      <c r="BL646" t="s">
        <v>91</v>
      </c>
      <c r="BM646" s="1" t="s">
        <v>109</v>
      </c>
      <c r="BN646" s="1" t="s">
        <v>110</v>
      </c>
      <c r="BO646" s="1" t="s">
        <v>111</v>
      </c>
      <c r="BP646" s="1" t="s">
        <v>91</v>
      </c>
      <c r="BQ646" t="s">
        <v>91</v>
      </c>
      <c r="BR646" s="3"/>
      <c r="BS646" s="3">
        <v>44670</v>
      </c>
      <c r="BT646" t="s">
        <v>91</v>
      </c>
      <c r="BU646" t="s">
        <v>91</v>
      </c>
      <c r="BW646" s="1" t="s">
        <v>120</v>
      </c>
    </row>
    <row r="647" spans="1:75" hidden="1" x14ac:dyDescent="0.35">
      <c r="A647">
        <v>134489</v>
      </c>
      <c r="B647" s="1" t="s">
        <v>75</v>
      </c>
      <c r="C647">
        <v>80</v>
      </c>
      <c r="D647">
        <v>11121002</v>
      </c>
      <c r="E647">
        <v>121002</v>
      </c>
      <c r="F647" s="1" t="s">
        <v>2915</v>
      </c>
      <c r="G647" s="1" t="s">
        <v>3804</v>
      </c>
      <c r="I647" s="1" t="s">
        <v>78</v>
      </c>
      <c r="J647" s="1" t="s">
        <v>3805</v>
      </c>
      <c r="K647" s="1" t="s">
        <v>3806</v>
      </c>
      <c r="L647" t="s">
        <v>91</v>
      </c>
      <c r="M647" t="s">
        <v>91</v>
      </c>
      <c r="N647" s="1" t="s">
        <v>3807</v>
      </c>
      <c r="O647" t="s">
        <v>91</v>
      </c>
      <c r="P647" s="1" t="s">
        <v>873</v>
      </c>
      <c r="Q647" s="1" t="s">
        <v>3211</v>
      </c>
      <c r="R647" s="1" t="s">
        <v>91</v>
      </c>
      <c r="S647">
        <v>1259</v>
      </c>
      <c r="T647">
        <v>88160128</v>
      </c>
      <c r="U647" s="1" t="s">
        <v>108</v>
      </c>
      <c r="V647" s="1" t="s">
        <v>3255</v>
      </c>
      <c r="W647" s="1" t="s">
        <v>87</v>
      </c>
      <c r="X647">
        <v>48</v>
      </c>
      <c r="Y647">
        <v>30625105</v>
      </c>
      <c r="Z647" t="s">
        <v>91</v>
      </c>
      <c r="AA647" t="s">
        <v>91</v>
      </c>
      <c r="AB647" t="s">
        <v>91</v>
      </c>
      <c r="AC647" t="s">
        <v>91</v>
      </c>
      <c r="AD647" t="s">
        <v>91</v>
      </c>
      <c r="AE647" t="s">
        <v>91</v>
      </c>
      <c r="AF647" t="s">
        <v>91</v>
      </c>
      <c r="AG647" s="1" t="s">
        <v>146</v>
      </c>
      <c r="AH647" s="1" t="s">
        <v>91</v>
      </c>
      <c r="AI647" t="s">
        <v>91</v>
      </c>
      <c r="AM647" t="s">
        <v>91</v>
      </c>
      <c r="AN647" t="s">
        <v>91</v>
      </c>
      <c r="AO647" t="s">
        <v>91</v>
      </c>
      <c r="AP647" t="s">
        <v>91</v>
      </c>
      <c r="AQ647" s="1" t="s">
        <v>147</v>
      </c>
      <c r="AR647" s="1" t="s">
        <v>147</v>
      </c>
      <c r="AS647" s="1" t="s">
        <v>147</v>
      </c>
      <c r="AT647" s="1" t="s">
        <v>147</v>
      </c>
      <c r="AU647" s="1" t="s">
        <v>147</v>
      </c>
      <c r="AV647" t="s">
        <v>91</v>
      </c>
      <c r="AW647" t="s">
        <v>91</v>
      </c>
      <c r="AX647" t="s">
        <v>91</v>
      </c>
      <c r="AY647" t="s">
        <v>91</v>
      </c>
      <c r="AZ647" t="s">
        <v>91</v>
      </c>
      <c r="BA647" t="s">
        <v>91</v>
      </c>
      <c r="BB647" s="2"/>
      <c r="BC647" s="2">
        <v>44508.454317129632</v>
      </c>
      <c r="BD647" t="s">
        <v>91</v>
      </c>
      <c r="BF647" s="1" t="s">
        <v>75</v>
      </c>
      <c r="BH647">
        <v>0</v>
      </c>
      <c r="BI647" s="1" t="s">
        <v>88</v>
      </c>
      <c r="BJ647">
        <v>1</v>
      </c>
      <c r="BK647" s="1" t="s">
        <v>89</v>
      </c>
      <c r="BL647" t="s">
        <v>91</v>
      </c>
      <c r="BM647" s="1" t="s">
        <v>109</v>
      </c>
      <c r="BN647" s="1" t="s">
        <v>110</v>
      </c>
      <c r="BO647" s="1" t="s">
        <v>111</v>
      </c>
      <c r="BP647" s="1" t="s">
        <v>91</v>
      </c>
      <c r="BQ647" t="s">
        <v>91</v>
      </c>
      <c r="BR647" s="3"/>
      <c r="BS647" s="3">
        <v>44508</v>
      </c>
      <c r="BT647" t="s">
        <v>91</v>
      </c>
      <c r="BU647" t="s">
        <v>91</v>
      </c>
      <c r="BV647">
        <v>4</v>
      </c>
      <c r="BW647" s="1" t="s">
        <v>728</v>
      </c>
    </row>
    <row r="648" spans="1:75" hidden="1" x14ac:dyDescent="0.35">
      <c r="A648">
        <v>134233</v>
      </c>
      <c r="B648" s="1" t="s">
        <v>75</v>
      </c>
      <c r="C648">
        <v>80</v>
      </c>
      <c r="D648">
        <v>11121002</v>
      </c>
      <c r="E648">
        <v>121002</v>
      </c>
      <c r="F648" s="1" t="s">
        <v>2915</v>
      </c>
      <c r="G648" s="1" t="s">
        <v>3808</v>
      </c>
      <c r="I648" s="1" t="s">
        <v>78</v>
      </c>
      <c r="J648" s="1" t="s">
        <v>3809</v>
      </c>
      <c r="K648" s="1" t="s">
        <v>3810</v>
      </c>
      <c r="L648" t="s">
        <v>91</v>
      </c>
      <c r="M648" t="s">
        <v>91</v>
      </c>
      <c r="N648" s="1" t="s">
        <v>3811</v>
      </c>
      <c r="O648" t="s">
        <v>91</v>
      </c>
      <c r="P648" s="1" t="s">
        <v>3812</v>
      </c>
      <c r="Q648" s="1" t="s">
        <v>3813</v>
      </c>
      <c r="R648" s="1" t="s">
        <v>173</v>
      </c>
      <c r="S648">
        <v>1257</v>
      </c>
      <c r="T648">
        <v>88058100</v>
      </c>
      <c r="U648" s="1" t="s">
        <v>3441</v>
      </c>
      <c r="V648" s="1" t="s">
        <v>3102</v>
      </c>
      <c r="W648" s="1" t="s">
        <v>87</v>
      </c>
      <c r="X648">
        <v>48</v>
      </c>
      <c r="Y648">
        <v>32692318</v>
      </c>
      <c r="Z648" t="s">
        <v>91</v>
      </c>
      <c r="AA648" t="s">
        <v>91</v>
      </c>
      <c r="AB648" t="s">
        <v>91</v>
      </c>
      <c r="AC648" t="s">
        <v>91</v>
      </c>
      <c r="AD648" t="s">
        <v>91</v>
      </c>
      <c r="AE648" t="s">
        <v>91</v>
      </c>
      <c r="AF648" t="s">
        <v>91</v>
      </c>
      <c r="AG648" s="1" t="s">
        <v>146</v>
      </c>
      <c r="AH648" s="1" t="s">
        <v>91</v>
      </c>
      <c r="AI648" t="s">
        <v>91</v>
      </c>
      <c r="AJ648">
        <v>0</v>
      </c>
      <c r="AK648">
        <v>0</v>
      </c>
      <c r="AL648">
        <v>0</v>
      </c>
      <c r="AM648" t="s">
        <v>91</v>
      </c>
      <c r="AN648" t="s">
        <v>91</v>
      </c>
      <c r="AO648" t="s">
        <v>91</v>
      </c>
      <c r="AP648" t="s">
        <v>91</v>
      </c>
      <c r="AQ648" s="1" t="s">
        <v>147</v>
      </c>
      <c r="AR648" s="1" t="s">
        <v>147</v>
      </c>
      <c r="AS648" s="1" t="s">
        <v>147</v>
      </c>
      <c r="AT648" s="1" t="s">
        <v>147</v>
      </c>
      <c r="AU648" s="1" t="s">
        <v>147</v>
      </c>
      <c r="AV648" t="s">
        <v>91</v>
      </c>
      <c r="AW648" t="s">
        <v>91</v>
      </c>
      <c r="AX648" t="s">
        <v>91</v>
      </c>
      <c r="AY648" t="s">
        <v>91</v>
      </c>
      <c r="AZ648" t="s">
        <v>91</v>
      </c>
      <c r="BA648" t="s">
        <v>91</v>
      </c>
      <c r="BB648" s="2"/>
      <c r="BC648" s="2">
        <v>45114.666145833333</v>
      </c>
      <c r="BD648" t="s">
        <v>91</v>
      </c>
      <c r="BF648" s="1" t="s">
        <v>75</v>
      </c>
      <c r="BG648">
        <v>0</v>
      </c>
      <c r="BH648">
        <v>0</v>
      </c>
      <c r="BI648" s="1" t="s">
        <v>88</v>
      </c>
      <c r="BJ648">
        <v>1</v>
      </c>
      <c r="BK648" s="1" t="s">
        <v>89</v>
      </c>
      <c r="BL648" t="s">
        <v>91</v>
      </c>
      <c r="BM648" s="1" t="s">
        <v>329</v>
      </c>
      <c r="BN648" s="1" t="s">
        <v>110</v>
      </c>
      <c r="BO648" s="1" t="s">
        <v>165</v>
      </c>
      <c r="BP648" s="1" t="s">
        <v>91</v>
      </c>
      <c r="BQ648" t="s">
        <v>91</v>
      </c>
      <c r="BR648" s="3"/>
      <c r="BS648" s="3">
        <v>45114</v>
      </c>
      <c r="BT648" t="s">
        <v>91</v>
      </c>
      <c r="BU648" t="s">
        <v>91</v>
      </c>
      <c r="BV648">
        <v>5</v>
      </c>
      <c r="BW648" s="1" t="s">
        <v>735</v>
      </c>
    </row>
    <row r="649" spans="1:75" hidden="1" x14ac:dyDescent="0.35">
      <c r="A649">
        <v>3</v>
      </c>
      <c r="B649" s="1" t="s">
        <v>75</v>
      </c>
      <c r="C649">
        <v>80</v>
      </c>
      <c r="D649">
        <v>11121002</v>
      </c>
      <c r="E649">
        <v>121002</v>
      </c>
      <c r="F649" s="1" t="s">
        <v>2915</v>
      </c>
      <c r="G649" s="1" t="s">
        <v>3814</v>
      </c>
      <c r="I649" s="1" t="s">
        <v>78</v>
      </c>
      <c r="J649" s="1" t="s">
        <v>3815</v>
      </c>
      <c r="K649" s="1" t="s">
        <v>3816</v>
      </c>
      <c r="L649" t="s">
        <v>91</v>
      </c>
      <c r="M649" t="s">
        <v>91</v>
      </c>
      <c r="N649" s="1" t="s">
        <v>3817</v>
      </c>
      <c r="O649" t="s">
        <v>91</v>
      </c>
      <c r="P649" s="1" t="s">
        <v>873</v>
      </c>
      <c r="Q649" s="1" t="s">
        <v>1259</v>
      </c>
      <c r="R649" s="1" t="s">
        <v>370</v>
      </c>
      <c r="S649">
        <v>1270</v>
      </c>
      <c r="T649">
        <v>88960000</v>
      </c>
      <c r="U649" s="1" t="s">
        <v>108</v>
      </c>
      <c r="V649" s="1" t="s">
        <v>3694</v>
      </c>
      <c r="W649" s="1" t="s">
        <v>87</v>
      </c>
      <c r="X649">
        <v>48</v>
      </c>
      <c r="Y649">
        <v>35330259</v>
      </c>
      <c r="Z649" t="s">
        <v>91</v>
      </c>
      <c r="AA649" t="s">
        <v>91</v>
      </c>
      <c r="AB649" t="s">
        <v>91</v>
      </c>
      <c r="AC649" t="s">
        <v>91</v>
      </c>
      <c r="AD649" t="s">
        <v>91</v>
      </c>
      <c r="AE649" t="s">
        <v>91</v>
      </c>
      <c r="AF649" t="s">
        <v>91</v>
      </c>
      <c r="AG649" s="1" t="s">
        <v>91</v>
      </c>
      <c r="AH649" s="1" t="s">
        <v>91</v>
      </c>
      <c r="AI649" t="s">
        <v>91</v>
      </c>
      <c r="AJ649">
        <v>0</v>
      </c>
      <c r="AK649">
        <v>0</v>
      </c>
      <c r="AL649">
        <v>0</v>
      </c>
      <c r="AM649" t="s">
        <v>91</v>
      </c>
      <c r="AN649" t="s">
        <v>91</v>
      </c>
      <c r="AO649" t="s">
        <v>91</v>
      </c>
      <c r="AP649" t="s">
        <v>91</v>
      </c>
      <c r="AQ649" s="1" t="s">
        <v>91</v>
      </c>
      <c r="AR649" s="1" t="s">
        <v>91</v>
      </c>
      <c r="AS649" s="1" t="s">
        <v>91</v>
      </c>
      <c r="AT649" s="1" t="s">
        <v>91</v>
      </c>
      <c r="AU649" s="1" t="s">
        <v>91</v>
      </c>
      <c r="AV649" t="s">
        <v>91</v>
      </c>
      <c r="AW649" t="s">
        <v>91</v>
      </c>
      <c r="AX649" t="s">
        <v>91</v>
      </c>
      <c r="AY649" t="s">
        <v>91</v>
      </c>
      <c r="AZ649" t="s">
        <v>91</v>
      </c>
      <c r="BA649" t="s">
        <v>91</v>
      </c>
      <c r="BB649" s="2">
        <v>43308.392708333333</v>
      </c>
      <c r="BC649" s="2"/>
      <c r="BD649" t="s">
        <v>91</v>
      </c>
      <c r="BE649">
        <v>3</v>
      </c>
      <c r="BF649" s="1" t="s">
        <v>75</v>
      </c>
      <c r="BG649">
        <v>0</v>
      </c>
      <c r="BH649">
        <v>0</v>
      </c>
      <c r="BI649" s="1" t="s">
        <v>88</v>
      </c>
      <c r="BJ649">
        <v>1</v>
      </c>
      <c r="BK649" s="1" t="s">
        <v>89</v>
      </c>
      <c r="BL649" t="s">
        <v>91</v>
      </c>
      <c r="BM649" s="1" t="s">
        <v>109</v>
      </c>
      <c r="BN649" s="1" t="s">
        <v>110</v>
      </c>
      <c r="BO649" s="1" t="s">
        <v>165</v>
      </c>
      <c r="BP649" s="1" t="s">
        <v>91</v>
      </c>
      <c r="BQ649" t="s">
        <v>91</v>
      </c>
      <c r="BR649" s="3">
        <v>43308</v>
      </c>
      <c r="BS649" s="3"/>
      <c r="BT649" t="s">
        <v>91</v>
      </c>
      <c r="BU649" t="s">
        <v>91</v>
      </c>
      <c r="BV649">
        <v>1</v>
      </c>
      <c r="BW649" s="1" t="s">
        <v>90</v>
      </c>
    </row>
    <row r="650" spans="1:75" hidden="1" x14ac:dyDescent="0.35">
      <c r="A650">
        <v>138020</v>
      </c>
      <c r="B650" s="1" t="s">
        <v>75</v>
      </c>
      <c r="C650">
        <v>80</v>
      </c>
      <c r="D650">
        <v>11121002</v>
      </c>
      <c r="E650">
        <v>121002</v>
      </c>
      <c r="F650" s="1" t="s">
        <v>2915</v>
      </c>
      <c r="G650" s="1" t="s">
        <v>3818</v>
      </c>
      <c r="H650">
        <v>0</v>
      </c>
      <c r="I650" s="1" t="s">
        <v>78</v>
      </c>
      <c r="J650" s="1" t="s">
        <v>3819</v>
      </c>
      <c r="K650" s="1" t="s">
        <v>3820</v>
      </c>
      <c r="L650" t="s">
        <v>91</v>
      </c>
      <c r="M650" t="s">
        <v>91</v>
      </c>
      <c r="N650" s="1" t="s">
        <v>3821</v>
      </c>
      <c r="O650" t="s">
        <v>91</v>
      </c>
      <c r="P650" s="1" t="s">
        <v>3822</v>
      </c>
      <c r="Q650" s="1" t="s">
        <v>728</v>
      </c>
      <c r="R650" s="1" t="s">
        <v>173</v>
      </c>
      <c r="S650">
        <v>1270</v>
      </c>
      <c r="T650">
        <v>88960000</v>
      </c>
      <c r="U650" s="1" t="s">
        <v>108</v>
      </c>
      <c r="V650" s="1" t="s">
        <v>3694</v>
      </c>
      <c r="W650" s="1" t="s">
        <v>87</v>
      </c>
      <c r="X650">
        <v>55</v>
      </c>
      <c r="Y650">
        <v>981703243</v>
      </c>
      <c r="Z650" t="s">
        <v>91</v>
      </c>
      <c r="AA650" t="s">
        <v>91</v>
      </c>
      <c r="AB650" t="s">
        <v>91</v>
      </c>
      <c r="AC650" t="s">
        <v>91</v>
      </c>
      <c r="AD650" t="s">
        <v>91</v>
      </c>
      <c r="AE650" t="s">
        <v>91</v>
      </c>
      <c r="AF650" t="s">
        <v>91</v>
      </c>
      <c r="AG650" s="1" t="s">
        <v>146</v>
      </c>
      <c r="AH650" s="1" t="s">
        <v>91</v>
      </c>
      <c r="AI650" t="s">
        <v>91</v>
      </c>
      <c r="AM650" t="s">
        <v>91</v>
      </c>
      <c r="AN650" t="s">
        <v>91</v>
      </c>
      <c r="AO650" t="s">
        <v>91</v>
      </c>
      <c r="AP650" t="s">
        <v>91</v>
      </c>
      <c r="AQ650" s="1" t="s">
        <v>147</v>
      </c>
      <c r="AR650" s="1" t="s">
        <v>147</v>
      </c>
      <c r="AS650" s="1" t="s">
        <v>147</v>
      </c>
      <c r="AT650" s="1" t="s">
        <v>147</v>
      </c>
      <c r="AU650" s="1" t="s">
        <v>147</v>
      </c>
      <c r="AV650" t="s">
        <v>91</v>
      </c>
      <c r="AW650" t="s">
        <v>91</v>
      </c>
      <c r="AX650" t="s">
        <v>91</v>
      </c>
      <c r="AY650" t="s">
        <v>91</v>
      </c>
      <c r="AZ650" t="s">
        <v>91</v>
      </c>
      <c r="BA650" t="s">
        <v>91</v>
      </c>
      <c r="BB650" s="2">
        <v>44378.578518518516</v>
      </c>
      <c r="BC650" s="2">
        <v>44568.495520833334</v>
      </c>
      <c r="BD650" t="s">
        <v>91</v>
      </c>
      <c r="BF650" s="1" t="s">
        <v>75</v>
      </c>
      <c r="BH650">
        <v>0</v>
      </c>
      <c r="BI650" s="1" t="s">
        <v>88</v>
      </c>
      <c r="BJ650">
        <v>1</v>
      </c>
      <c r="BK650" s="1" t="s">
        <v>89</v>
      </c>
      <c r="BL650" t="s">
        <v>91</v>
      </c>
      <c r="BM650" s="1" t="s">
        <v>109</v>
      </c>
      <c r="BN650" s="1" t="s">
        <v>110</v>
      </c>
      <c r="BO650" s="1" t="s">
        <v>128</v>
      </c>
      <c r="BP650" s="1" t="s">
        <v>91</v>
      </c>
      <c r="BQ650" t="s">
        <v>91</v>
      </c>
      <c r="BR650" s="3">
        <v>44378</v>
      </c>
      <c r="BS650" s="3">
        <v>44568</v>
      </c>
      <c r="BT650" t="s">
        <v>91</v>
      </c>
      <c r="BU650" t="s">
        <v>91</v>
      </c>
      <c r="BW650" s="1" t="s">
        <v>90</v>
      </c>
    </row>
    <row r="651" spans="1:75" hidden="1" x14ac:dyDescent="0.35">
      <c r="A651">
        <v>134547</v>
      </c>
      <c r="B651" s="1" t="s">
        <v>75</v>
      </c>
      <c r="C651">
        <v>80</v>
      </c>
      <c r="D651">
        <v>11121002</v>
      </c>
      <c r="E651">
        <v>121002</v>
      </c>
      <c r="F651" s="1" t="s">
        <v>2915</v>
      </c>
      <c r="G651" s="1" t="s">
        <v>3823</v>
      </c>
      <c r="I651" s="1" t="s">
        <v>78</v>
      </c>
      <c r="J651" s="1" t="s">
        <v>3824</v>
      </c>
      <c r="K651" s="1" t="s">
        <v>3825</v>
      </c>
      <c r="L651" t="s">
        <v>91</v>
      </c>
      <c r="M651" t="s">
        <v>91</v>
      </c>
      <c r="N651" s="1" t="s">
        <v>3826</v>
      </c>
      <c r="O651" t="s">
        <v>91</v>
      </c>
      <c r="P651" s="1" t="s">
        <v>3827</v>
      </c>
      <c r="Q651" s="1" t="s">
        <v>2260</v>
      </c>
      <c r="R651" s="1" t="s">
        <v>3828</v>
      </c>
      <c r="T651">
        <v>88161732</v>
      </c>
      <c r="U651" s="1" t="s">
        <v>3829</v>
      </c>
      <c r="V651" s="1" t="s">
        <v>3255</v>
      </c>
      <c r="W651" s="1" t="s">
        <v>87</v>
      </c>
      <c r="X651">
        <v>48</v>
      </c>
      <c r="Y651">
        <v>991828171</v>
      </c>
      <c r="Z651" t="s">
        <v>91</v>
      </c>
      <c r="AA651" t="s">
        <v>91</v>
      </c>
      <c r="AB651" t="s">
        <v>91</v>
      </c>
      <c r="AC651" t="s">
        <v>91</v>
      </c>
      <c r="AD651" t="s">
        <v>91</v>
      </c>
      <c r="AE651" t="s">
        <v>91</v>
      </c>
      <c r="AF651" t="s">
        <v>91</v>
      </c>
      <c r="AG651" s="1" t="s">
        <v>146</v>
      </c>
      <c r="AH651" s="1" t="s">
        <v>91</v>
      </c>
      <c r="AI651" t="s">
        <v>91</v>
      </c>
      <c r="AM651" t="s">
        <v>91</v>
      </c>
      <c r="AN651" t="s">
        <v>91</v>
      </c>
      <c r="AO651" t="s">
        <v>91</v>
      </c>
      <c r="AP651" t="s">
        <v>91</v>
      </c>
      <c r="AQ651" s="1" t="s">
        <v>147</v>
      </c>
      <c r="AR651" s="1" t="s">
        <v>147</v>
      </c>
      <c r="AS651" s="1" t="s">
        <v>147</v>
      </c>
      <c r="AT651" s="1" t="s">
        <v>147</v>
      </c>
      <c r="AU651" s="1" t="s">
        <v>147</v>
      </c>
      <c r="AV651" t="s">
        <v>91</v>
      </c>
      <c r="AW651" t="s">
        <v>91</v>
      </c>
      <c r="AX651" t="s">
        <v>91</v>
      </c>
      <c r="AY651" t="s">
        <v>91</v>
      </c>
      <c r="AZ651" t="s">
        <v>91</v>
      </c>
      <c r="BA651" t="s">
        <v>91</v>
      </c>
      <c r="BB651" s="2"/>
      <c r="BC651" s="2">
        <v>44662.395416666666</v>
      </c>
      <c r="BD651" t="s">
        <v>91</v>
      </c>
      <c r="BF651" s="1" t="s">
        <v>75</v>
      </c>
      <c r="BH651">
        <v>0</v>
      </c>
      <c r="BI651" s="1" t="s">
        <v>88</v>
      </c>
      <c r="BJ651">
        <v>1</v>
      </c>
      <c r="BK651" s="1" t="s">
        <v>89</v>
      </c>
      <c r="BL651" t="s">
        <v>91</v>
      </c>
      <c r="BM651" s="1" t="s">
        <v>109</v>
      </c>
      <c r="BN651" s="1" t="s">
        <v>110</v>
      </c>
      <c r="BO651" s="1" t="s">
        <v>111</v>
      </c>
      <c r="BP651" s="1" t="s">
        <v>91</v>
      </c>
      <c r="BQ651" t="s">
        <v>91</v>
      </c>
      <c r="BR651" s="3"/>
      <c r="BS651" s="3">
        <v>44662</v>
      </c>
      <c r="BT651" t="s">
        <v>91</v>
      </c>
      <c r="BU651" t="s">
        <v>91</v>
      </c>
      <c r="BW651" s="1" t="s">
        <v>3600</v>
      </c>
    </row>
    <row r="652" spans="1:75" hidden="1" x14ac:dyDescent="0.35">
      <c r="A652">
        <v>159571</v>
      </c>
      <c r="B652" s="1" t="s">
        <v>75</v>
      </c>
      <c r="C652">
        <v>80</v>
      </c>
      <c r="D652">
        <v>11121002</v>
      </c>
      <c r="E652">
        <v>121002</v>
      </c>
      <c r="F652" s="1" t="s">
        <v>2915</v>
      </c>
      <c r="G652" s="1" t="s">
        <v>3830</v>
      </c>
      <c r="I652" s="1" t="s">
        <v>78</v>
      </c>
      <c r="J652" s="1" t="s">
        <v>3831</v>
      </c>
      <c r="K652" s="1" t="s">
        <v>3832</v>
      </c>
      <c r="L652" t="s">
        <v>91</v>
      </c>
      <c r="M652" t="s">
        <v>91</v>
      </c>
      <c r="N652" s="1" t="s">
        <v>408</v>
      </c>
      <c r="O652" t="s">
        <v>91</v>
      </c>
      <c r="P652" s="1" t="s">
        <v>3833</v>
      </c>
      <c r="Q652" s="1" t="s">
        <v>2300</v>
      </c>
      <c r="R652" s="1" t="s">
        <v>3834</v>
      </c>
      <c r="S652">
        <v>1259</v>
      </c>
      <c r="T652">
        <v>88117900</v>
      </c>
      <c r="U652" s="1" t="s">
        <v>2957</v>
      </c>
      <c r="V652" s="1" t="s">
        <v>2958</v>
      </c>
      <c r="W652" s="1" t="s">
        <v>87</v>
      </c>
      <c r="X652">
        <v>42</v>
      </c>
      <c r="Y652">
        <v>998585101</v>
      </c>
      <c r="Z652" t="s">
        <v>91</v>
      </c>
      <c r="AA652" t="s">
        <v>91</v>
      </c>
      <c r="AB652" t="s">
        <v>91</v>
      </c>
      <c r="AC652" t="s">
        <v>91</v>
      </c>
      <c r="AD652" t="s">
        <v>91</v>
      </c>
      <c r="AE652" t="s">
        <v>91</v>
      </c>
      <c r="AF652" t="s">
        <v>91</v>
      </c>
      <c r="AG652" s="1" t="s">
        <v>91</v>
      </c>
      <c r="AH652" s="1" t="s">
        <v>91</v>
      </c>
      <c r="AI652" t="s">
        <v>91</v>
      </c>
      <c r="AM652" t="s">
        <v>91</v>
      </c>
      <c r="AN652" t="s">
        <v>91</v>
      </c>
      <c r="AO652" t="s">
        <v>91</v>
      </c>
      <c r="AP652" t="s">
        <v>91</v>
      </c>
      <c r="AQ652" s="1" t="s">
        <v>91</v>
      </c>
      <c r="AR652" s="1" t="s">
        <v>91</v>
      </c>
      <c r="AS652" s="1" t="s">
        <v>91</v>
      </c>
      <c r="AT652" s="1" t="s">
        <v>91</v>
      </c>
      <c r="AU652" s="1" t="s">
        <v>91</v>
      </c>
      <c r="AV652" t="s">
        <v>91</v>
      </c>
      <c r="AW652" t="s">
        <v>91</v>
      </c>
      <c r="AX652" t="s">
        <v>91</v>
      </c>
      <c r="AY652" t="s">
        <v>91</v>
      </c>
      <c r="AZ652" t="s">
        <v>91</v>
      </c>
      <c r="BA652" t="s">
        <v>91</v>
      </c>
      <c r="BB652" s="2">
        <v>45194.491122685184</v>
      </c>
      <c r="BC652" s="2"/>
      <c r="BD652" t="s">
        <v>91</v>
      </c>
      <c r="BF652" s="1" t="s">
        <v>75</v>
      </c>
      <c r="BI652" s="1" t="s">
        <v>88</v>
      </c>
      <c r="BJ652">
        <v>1</v>
      </c>
      <c r="BK652" s="1" t="s">
        <v>89</v>
      </c>
      <c r="BL652" t="s">
        <v>91</v>
      </c>
      <c r="BM652" s="1" t="s">
        <v>91</v>
      </c>
      <c r="BN652" s="1" t="s">
        <v>91</v>
      </c>
      <c r="BO652" s="1" t="s">
        <v>91</v>
      </c>
      <c r="BP652" s="1" t="s">
        <v>91</v>
      </c>
      <c r="BQ652" t="s">
        <v>91</v>
      </c>
      <c r="BR652" s="3">
        <v>45194</v>
      </c>
      <c r="BS652" s="3"/>
      <c r="BT652" t="s">
        <v>91</v>
      </c>
      <c r="BU652" t="s">
        <v>91</v>
      </c>
      <c r="BW652" s="1" t="s">
        <v>90</v>
      </c>
    </row>
    <row r="653" spans="1:75" hidden="1" x14ac:dyDescent="0.35">
      <c r="A653">
        <v>159573</v>
      </c>
      <c r="B653" s="1" t="s">
        <v>75</v>
      </c>
      <c r="C653">
        <v>80</v>
      </c>
      <c r="D653">
        <v>11121002</v>
      </c>
      <c r="E653">
        <v>121002</v>
      </c>
      <c r="F653" s="1" t="s">
        <v>2915</v>
      </c>
      <c r="G653" s="1" t="s">
        <v>3835</v>
      </c>
      <c r="I653" s="1" t="s">
        <v>78</v>
      </c>
      <c r="J653" s="1" t="s">
        <v>3831</v>
      </c>
      <c r="K653" s="1" t="s">
        <v>3836</v>
      </c>
      <c r="L653" t="s">
        <v>91</v>
      </c>
      <c r="M653" t="s">
        <v>91</v>
      </c>
      <c r="N653" s="1" t="s">
        <v>408</v>
      </c>
      <c r="O653" t="s">
        <v>91</v>
      </c>
      <c r="P653" s="1" t="s">
        <v>3833</v>
      </c>
      <c r="Q653" s="1" t="s">
        <v>2300</v>
      </c>
      <c r="R653" s="1" t="s">
        <v>3837</v>
      </c>
      <c r="S653">
        <v>1259</v>
      </c>
      <c r="T653">
        <v>88117900</v>
      </c>
      <c r="U653" s="1" t="s">
        <v>2957</v>
      </c>
      <c r="V653" s="1" t="s">
        <v>2958</v>
      </c>
      <c r="W653" s="1" t="s">
        <v>87</v>
      </c>
      <c r="X653">
        <v>42</v>
      </c>
      <c r="Y653">
        <v>998585101</v>
      </c>
      <c r="Z653" t="s">
        <v>91</v>
      </c>
      <c r="AA653" t="s">
        <v>91</v>
      </c>
      <c r="AB653" t="s">
        <v>91</v>
      </c>
      <c r="AC653" t="s">
        <v>91</v>
      </c>
      <c r="AD653" t="s">
        <v>91</v>
      </c>
      <c r="AE653" t="s">
        <v>91</v>
      </c>
      <c r="AF653" t="s">
        <v>91</v>
      </c>
      <c r="AG653" s="1" t="s">
        <v>91</v>
      </c>
      <c r="AH653" s="1" t="s">
        <v>91</v>
      </c>
      <c r="AI653" t="s">
        <v>91</v>
      </c>
      <c r="AM653" t="s">
        <v>91</v>
      </c>
      <c r="AN653" t="s">
        <v>91</v>
      </c>
      <c r="AO653" t="s">
        <v>91</v>
      </c>
      <c r="AP653" t="s">
        <v>91</v>
      </c>
      <c r="AQ653" s="1" t="s">
        <v>91</v>
      </c>
      <c r="AR653" s="1" t="s">
        <v>91</v>
      </c>
      <c r="AS653" s="1" t="s">
        <v>91</v>
      </c>
      <c r="AT653" s="1" t="s">
        <v>91</v>
      </c>
      <c r="AU653" s="1" t="s">
        <v>91</v>
      </c>
      <c r="AV653" t="s">
        <v>91</v>
      </c>
      <c r="AW653" t="s">
        <v>91</v>
      </c>
      <c r="AX653" t="s">
        <v>91</v>
      </c>
      <c r="AY653" t="s">
        <v>91</v>
      </c>
      <c r="AZ653" t="s">
        <v>91</v>
      </c>
      <c r="BA653" t="s">
        <v>91</v>
      </c>
      <c r="BB653" s="2">
        <v>45194.491122685184</v>
      </c>
      <c r="BC653" s="2"/>
      <c r="BD653" t="s">
        <v>91</v>
      </c>
      <c r="BF653" s="1" t="s">
        <v>75</v>
      </c>
      <c r="BI653" s="1" t="s">
        <v>88</v>
      </c>
      <c r="BJ653">
        <v>1</v>
      </c>
      <c r="BK653" s="1" t="s">
        <v>89</v>
      </c>
      <c r="BL653" t="s">
        <v>91</v>
      </c>
      <c r="BM653" s="1" t="s">
        <v>91</v>
      </c>
      <c r="BN653" s="1" t="s">
        <v>91</v>
      </c>
      <c r="BO653" s="1" t="s">
        <v>91</v>
      </c>
      <c r="BP653" s="1" t="s">
        <v>91</v>
      </c>
      <c r="BQ653" t="s">
        <v>91</v>
      </c>
      <c r="BR653" s="3">
        <v>45194</v>
      </c>
      <c r="BS653" s="3"/>
      <c r="BT653" t="s">
        <v>91</v>
      </c>
      <c r="BU653" t="s">
        <v>91</v>
      </c>
      <c r="BW653" s="1" t="s">
        <v>90</v>
      </c>
    </row>
    <row r="654" spans="1:75" hidden="1" x14ac:dyDescent="0.35">
      <c r="A654">
        <v>157665</v>
      </c>
      <c r="B654" s="1" t="s">
        <v>75</v>
      </c>
      <c r="C654">
        <v>80</v>
      </c>
      <c r="D654">
        <v>11121002</v>
      </c>
      <c r="E654">
        <v>121002</v>
      </c>
      <c r="F654" s="1" t="s">
        <v>2915</v>
      </c>
      <c r="G654" s="1" t="s">
        <v>3838</v>
      </c>
      <c r="H654">
        <v>0</v>
      </c>
      <c r="I654" s="1" t="s">
        <v>78</v>
      </c>
      <c r="J654" s="1" t="s">
        <v>3839</v>
      </c>
      <c r="K654" s="1" t="s">
        <v>3840</v>
      </c>
      <c r="L654" t="s">
        <v>91</v>
      </c>
      <c r="M654" t="s">
        <v>91</v>
      </c>
      <c r="N654" s="1" t="s">
        <v>91</v>
      </c>
      <c r="O654" t="s">
        <v>91</v>
      </c>
      <c r="P654" s="1" t="s">
        <v>3201</v>
      </c>
      <c r="Q654" s="1" t="s">
        <v>3841</v>
      </c>
      <c r="R654" s="1" t="s">
        <v>370</v>
      </c>
      <c r="S654">
        <v>1270</v>
      </c>
      <c r="T654">
        <v>88950000</v>
      </c>
      <c r="U654" s="1" t="s">
        <v>108</v>
      </c>
      <c r="V654" s="1" t="s">
        <v>3203</v>
      </c>
      <c r="W654" s="1" t="s">
        <v>87</v>
      </c>
      <c r="X654">
        <v>48</v>
      </c>
      <c r="Y654">
        <v>98165828</v>
      </c>
      <c r="Z654" t="s">
        <v>91</v>
      </c>
      <c r="AA654" t="s">
        <v>91</v>
      </c>
      <c r="AB654" t="s">
        <v>91</v>
      </c>
      <c r="AC654" t="s">
        <v>91</v>
      </c>
      <c r="AD654" t="s">
        <v>91</v>
      </c>
      <c r="AE654" t="s">
        <v>91</v>
      </c>
      <c r="AF654" t="s">
        <v>91</v>
      </c>
      <c r="AG654" s="1" t="s">
        <v>91</v>
      </c>
      <c r="AH654" s="1" t="s">
        <v>91</v>
      </c>
      <c r="AI654" t="s">
        <v>91</v>
      </c>
      <c r="AM654" t="s">
        <v>91</v>
      </c>
      <c r="AN654" t="s">
        <v>91</v>
      </c>
      <c r="AO654" t="s">
        <v>91</v>
      </c>
      <c r="AP654" t="s">
        <v>91</v>
      </c>
      <c r="AQ654" s="1" t="s">
        <v>91</v>
      </c>
      <c r="AR654" s="1" t="s">
        <v>91</v>
      </c>
      <c r="AS654" s="1" t="s">
        <v>91</v>
      </c>
      <c r="AT654" s="1" t="s">
        <v>91</v>
      </c>
      <c r="AU654" s="1" t="s">
        <v>91</v>
      </c>
      <c r="AV654" t="s">
        <v>91</v>
      </c>
      <c r="AW654" t="s">
        <v>91</v>
      </c>
      <c r="AX654" t="s">
        <v>91</v>
      </c>
      <c r="AY654" t="s">
        <v>91</v>
      </c>
      <c r="AZ654" t="s">
        <v>91</v>
      </c>
      <c r="BA654" t="s">
        <v>91</v>
      </c>
      <c r="BB654" s="2">
        <v>45118.097175925926</v>
      </c>
      <c r="BC654" s="2"/>
      <c r="BD654" t="s">
        <v>91</v>
      </c>
      <c r="BF654" s="1" t="s">
        <v>75</v>
      </c>
      <c r="BI654" s="1" t="s">
        <v>88</v>
      </c>
      <c r="BJ654">
        <v>1</v>
      </c>
      <c r="BK654" s="1" t="s">
        <v>89</v>
      </c>
      <c r="BL654" t="s">
        <v>91</v>
      </c>
      <c r="BM654" s="1" t="s">
        <v>91</v>
      </c>
      <c r="BN654" s="1" t="s">
        <v>91</v>
      </c>
      <c r="BO654" s="1" t="s">
        <v>91</v>
      </c>
      <c r="BP654" s="1" t="s">
        <v>91</v>
      </c>
      <c r="BQ654" t="s">
        <v>91</v>
      </c>
      <c r="BR654" s="3">
        <v>45118</v>
      </c>
      <c r="BS654" s="3"/>
      <c r="BT654" t="s">
        <v>91</v>
      </c>
      <c r="BU654" t="s">
        <v>91</v>
      </c>
      <c r="BW654" s="1" t="s">
        <v>478</v>
      </c>
    </row>
    <row r="655" spans="1:75" hidden="1" x14ac:dyDescent="0.35">
      <c r="A655">
        <v>134221</v>
      </c>
      <c r="B655" s="1" t="s">
        <v>75</v>
      </c>
      <c r="C655">
        <v>80</v>
      </c>
      <c r="D655">
        <v>11121002</v>
      </c>
      <c r="E655">
        <v>121002</v>
      </c>
      <c r="F655" s="1" t="s">
        <v>2915</v>
      </c>
      <c r="G655" s="1" t="s">
        <v>3842</v>
      </c>
      <c r="I655" s="1" t="s">
        <v>78</v>
      </c>
      <c r="J655" s="1" t="s">
        <v>3843</v>
      </c>
      <c r="K655" s="1" t="s">
        <v>3844</v>
      </c>
      <c r="L655" t="s">
        <v>91</v>
      </c>
      <c r="M655" t="s">
        <v>91</v>
      </c>
      <c r="N655" s="1" t="s">
        <v>3845</v>
      </c>
      <c r="O655" t="s">
        <v>91</v>
      </c>
      <c r="P655" s="1" t="s">
        <v>3797</v>
      </c>
      <c r="Q655" s="1" t="s">
        <v>2331</v>
      </c>
      <c r="R655" s="1" t="s">
        <v>3846</v>
      </c>
      <c r="S655">
        <v>1257</v>
      </c>
      <c r="T655">
        <v>88058300</v>
      </c>
      <c r="U655" s="1" t="s">
        <v>3441</v>
      </c>
      <c r="V655" s="1" t="s">
        <v>3102</v>
      </c>
      <c r="W655" s="1" t="s">
        <v>87</v>
      </c>
      <c r="X655">
        <v>48</v>
      </c>
      <c r="Y655">
        <v>32660346</v>
      </c>
      <c r="Z655" t="s">
        <v>91</v>
      </c>
      <c r="AA655" t="s">
        <v>91</v>
      </c>
      <c r="AB655" t="s">
        <v>91</v>
      </c>
      <c r="AC655" t="s">
        <v>91</v>
      </c>
      <c r="AD655" t="s">
        <v>91</v>
      </c>
      <c r="AE655" t="s">
        <v>91</v>
      </c>
      <c r="AF655" t="s">
        <v>91</v>
      </c>
      <c r="AG655" s="1" t="s">
        <v>146</v>
      </c>
      <c r="AH655" s="1" t="s">
        <v>91</v>
      </c>
      <c r="AI655" t="s">
        <v>91</v>
      </c>
      <c r="AJ655">
        <v>0</v>
      </c>
      <c r="AK655">
        <v>0</v>
      </c>
      <c r="AL655">
        <v>0</v>
      </c>
      <c r="AM655" t="s">
        <v>91</v>
      </c>
      <c r="AN655" t="s">
        <v>91</v>
      </c>
      <c r="AO655" t="s">
        <v>91</v>
      </c>
      <c r="AP655" t="s">
        <v>91</v>
      </c>
      <c r="AQ655" s="1" t="s">
        <v>147</v>
      </c>
      <c r="AR655" s="1" t="s">
        <v>147</v>
      </c>
      <c r="AS655" s="1" t="s">
        <v>147</v>
      </c>
      <c r="AT655" s="1" t="s">
        <v>147</v>
      </c>
      <c r="AU655" s="1" t="s">
        <v>147</v>
      </c>
      <c r="AV655" t="s">
        <v>91</v>
      </c>
      <c r="AW655" t="s">
        <v>91</v>
      </c>
      <c r="AX655" t="s">
        <v>91</v>
      </c>
      <c r="AY655" t="s">
        <v>91</v>
      </c>
      <c r="AZ655" t="s">
        <v>91</v>
      </c>
      <c r="BA655" t="s">
        <v>91</v>
      </c>
      <c r="BB655" s="2"/>
      <c r="BC655" s="2">
        <v>45114.617650462962</v>
      </c>
      <c r="BD655" t="s">
        <v>91</v>
      </c>
      <c r="BF655" s="1" t="s">
        <v>75</v>
      </c>
      <c r="BG655">
        <v>0</v>
      </c>
      <c r="BH655">
        <v>0</v>
      </c>
      <c r="BI655" s="1" t="s">
        <v>88</v>
      </c>
      <c r="BJ655">
        <v>1</v>
      </c>
      <c r="BK655" s="1" t="s">
        <v>89</v>
      </c>
      <c r="BL655" t="s">
        <v>91</v>
      </c>
      <c r="BM655" s="1" t="s">
        <v>109</v>
      </c>
      <c r="BN655" s="1" t="s">
        <v>110</v>
      </c>
      <c r="BO655" s="1" t="s">
        <v>165</v>
      </c>
      <c r="BP655" s="1" t="s">
        <v>91</v>
      </c>
      <c r="BQ655" t="s">
        <v>91</v>
      </c>
      <c r="BR655" s="3"/>
      <c r="BS655" s="3">
        <v>45114</v>
      </c>
      <c r="BT655" t="s">
        <v>91</v>
      </c>
      <c r="BU655" t="s">
        <v>91</v>
      </c>
      <c r="BV655">
        <v>9</v>
      </c>
      <c r="BW655" s="1" t="s">
        <v>419</v>
      </c>
    </row>
    <row r="656" spans="1:75" hidden="1" x14ac:dyDescent="0.35">
      <c r="A656">
        <v>157661</v>
      </c>
      <c r="B656" s="1" t="s">
        <v>75</v>
      </c>
      <c r="C656">
        <v>80</v>
      </c>
      <c r="D656">
        <v>11121002</v>
      </c>
      <c r="E656">
        <v>121002</v>
      </c>
      <c r="F656" s="1" t="s">
        <v>2915</v>
      </c>
      <c r="G656" s="1" t="s">
        <v>3847</v>
      </c>
      <c r="H656">
        <v>0</v>
      </c>
      <c r="I656" s="1" t="s">
        <v>78</v>
      </c>
      <c r="J656" s="1" t="s">
        <v>3848</v>
      </c>
      <c r="K656" s="1" t="s">
        <v>3849</v>
      </c>
      <c r="L656" t="s">
        <v>91</v>
      </c>
      <c r="M656" t="s">
        <v>91</v>
      </c>
      <c r="N656" s="1" t="s">
        <v>3850</v>
      </c>
      <c r="O656" t="s">
        <v>91</v>
      </c>
      <c r="P656" s="1" t="s">
        <v>3851</v>
      </c>
      <c r="Q656" s="1" t="s">
        <v>456</v>
      </c>
      <c r="R656" s="1" t="s">
        <v>236</v>
      </c>
      <c r="S656">
        <v>1265</v>
      </c>
      <c r="T656">
        <v>88495000</v>
      </c>
      <c r="U656" s="1" t="s">
        <v>3852</v>
      </c>
      <c r="V656" s="1" t="s">
        <v>3853</v>
      </c>
      <c r="W656" s="1" t="s">
        <v>87</v>
      </c>
      <c r="X656">
        <v>48</v>
      </c>
      <c r="Y656">
        <v>32547600</v>
      </c>
      <c r="Z656" t="s">
        <v>91</v>
      </c>
      <c r="AA656" t="s">
        <v>91</v>
      </c>
      <c r="AB656" t="s">
        <v>91</v>
      </c>
      <c r="AC656" t="s">
        <v>91</v>
      </c>
      <c r="AD656" t="s">
        <v>91</v>
      </c>
      <c r="AE656" t="s">
        <v>91</v>
      </c>
      <c r="AF656" t="s">
        <v>91</v>
      </c>
      <c r="AG656" s="1" t="s">
        <v>91</v>
      </c>
      <c r="AH656" s="1" t="s">
        <v>91</v>
      </c>
      <c r="AI656" t="s">
        <v>91</v>
      </c>
      <c r="AM656" t="s">
        <v>91</v>
      </c>
      <c r="AN656" t="s">
        <v>91</v>
      </c>
      <c r="AO656" t="s">
        <v>91</v>
      </c>
      <c r="AP656" t="s">
        <v>91</v>
      </c>
      <c r="AQ656" s="1" t="s">
        <v>91</v>
      </c>
      <c r="AR656" s="1" t="s">
        <v>91</v>
      </c>
      <c r="AS656" s="1" t="s">
        <v>91</v>
      </c>
      <c r="AT656" s="1" t="s">
        <v>91</v>
      </c>
      <c r="AU656" s="1" t="s">
        <v>91</v>
      </c>
      <c r="AV656" t="s">
        <v>91</v>
      </c>
      <c r="AW656" t="s">
        <v>91</v>
      </c>
      <c r="AX656" t="s">
        <v>91</v>
      </c>
      <c r="AY656" t="s">
        <v>91</v>
      </c>
      <c r="AZ656" t="s">
        <v>91</v>
      </c>
      <c r="BA656" t="s">
        <v>91</v>
      </c>
      <c r="BB656" s="2">
        <v>45118.097175925926</v>
      </c>
      <c r="BC656" s="2"/>
      <c r="BD656" t="s">
        <v>91</v>
      </c>
      <c r="BF656" s="1" t="s">
        <v>75</v>
      </c>
      <c r="BI656" s="1" t="s">
        <v>88</v>
      </c>
      <c r="BJ656">
        <v>1</v>
      </c>
      <c r="BK656" s="1" t="s">
        <v>89</v>
      </c>
      <c r="BL656" t="s">
        <v>91</v>
      </c>
      <c r="BM656" s="1" t="s">
        <v>91</v>
      </c>
      <c r="BN656" s="1" t="s">
        <v>91</v>
      </c>
      <c r="BO656" s="1" t="s">
        <v>91</v>
      </c>
      <c r="BP656" s="1" t="s">
        <v>91</v>
      </c>
      <c r="BQ656" t="s">
        <v>91</v>
      </c>
      <c r="BR656" s="3">
        <v>45118</v>
      </c>
      <c r="BS656" s="3"/>
      <c r="BT656" t="s">
        <v>91</v>
      </c>
      <c r="BU656" t="s">
        <v>91</v>
      </c>
      <c r="BW656" s="1" t="s">
        <v>90</v>
      </c>
    </row>
    <row r="657" spans="1:75" hidden="1" x14ac:dyDescent="0.35">
      <c r="A657">
        <v>152758</v>
      </c>
      <c r="B657" s="1" t="s">
        <v>75</v>
      </c>
      <c r="C657">
        <v>80</v>
      </c>
      <c r="D657">
        <v>11121002</v>
      </c>
      <c r="E657">
        <v>121002</v>
      </c>
      <c r="F657" s="1" t="s">
        <v>2915</v>
      </c>
      <c r="G657" s="1" t="s">
        <v>3854</v>
      </c>
      <c r="H657">
        <v>0</v>
      </c>
      <c r="I657" s="1" t="s">
        <v>78</v>
      </c>
      <c r="J657" s="1" t="s">
        <v>3855</v>
      </c>
      <c r="K657" s="1" t="s">
        <v>3856</v>
      </c>
      <c r="L657" t="s">
        <v>91</v>
      </c>
      <c r="M657" t="s">
        <v>91</v>
      </c>
      <c r="N657" s="1" t="s">
        <v>3857</v>
      </c>
      <c r="O657" t="s">
        <v>91</v>
      </c>
      <c r="P657" s="1" t="s">
        <v>3858</v>
      </c>
      <c r="Q657" s="1" t="s">
        <v>601</v>
      </c>
      <c r="R657" s="1" t="s">
        <v>370</v>
      </c>
      <c r="T657">
        <v>88106602</v>
      </c>
      <c r="U657" s="1" t="s">
        <v>2987</v>
      </c>
      <c r="V657" s="1" t="s">
        <v>2958</v>
      </c>
      <c r="W657" s="1" t="s">
        <v>87</v>
      </c>
      <c r="Z657" t="s">
        <v>91</v>
      </c>
      <c r="AA657" t="s">
        <v>91</v>
      </c>
      <c r="AB657" t="s">
        <v>91</v>
      </c>
      <c r="AC657" t="s">
        <v>91</v>
      </c>
      <c r="AD657" t="s">
        <v>91</v>
      </c>
      <c r="AE657" t="s">
        <v>91</v>
      </c>
      <c r="AF657" t="s">
        <v>91</v>
      </c>
      <c r="AG657" s="1" t="s">
        <v>91</v>
      </c>
      <c r="AH657" s="1" t="s">
        <v>91</v>
      </c>
      <c r="AI657" t="s">
        <v>91</v>
      </c>
      <c r="AM657" t="s">
        <v>91</v>
      </c>
      <c r="AN657" t="s">
        <v>91</v>
      </c>
      <c r="AO657" t="s">
        <v>91</v>
      </c>
      <c r="AP657" t="s">
        <v>91</v>
      </c>
      <c r="AQ657" s="1" t="s">
        <v>91</v>
      </c>
      <c r="AR657" s="1" t="s">
        <v>91</v>
      </c>
      <c r="AS657" s="1" t="s">
        <v>91</v>
      </c>
      <c r="AT657" s="1" t="s">
        <v>91</v>
      </c>
      <c r="AU657" s="1" t="s">
        <v>91</v>
      </c>
      <c r="AV657" t="s">
        <v>91</v>
      </c>
      <c r="AW657" t="s">
        <v>91</v>
      </c>
      <c r="AX657" t="s">
        <v>91</v>
      </c>
      <c r="AY657" t="s">
        <v>91</v>
      </c>
      <c r="AZ657" t="s">
        <v>91</v>
      </c>
      <c r="BA657" t="s">
        <v>91</v>
      </c>
      <c r="BB657" s="2">
        <v>45019.565613425926</v>
      </c>
      <c r="BC657" s="2"/>
      <c r="BD657" t="s">
        <v>91</v>
      </c>
      <c r="BF657" s="1" t="s">
        <v>75</v>
      </c>
      <c r="BI657" s="1" t="s">
        <v>88</v>
      </c>
      <c r="BJ657">
        <v>1</v>
      </c>
      <c r="BK657" s="1" t="s">
        <v>89</v>
      </c>
      <c r="BL657" t="s">
        <v>91</v>
      </c>
      <c r="BM657" s="1" t="s">
        <v>91</v>
      </c>
      <c r="BN657" s="1" t="s">
        <v>91</v>
      </c>
      <c r="BO657" s="1" t="s">
        <v>91</v>
      </c>
      <c r="BP657" s="1" t="s">
        <v>91</v>
      </c>
      <c r="BQ657" t="s">
        <v>91</v>
      </c>
      <c r="BR657" s="3">
        <v>45019</v>
      </c>
      <c r="BS657" s="3"/>
      <c r="BT657" t="s">
        <v>91</v>
      </c>
      <c r="BU657" t="s">
        <v>91</v>
      </c>
      <c r="BW657" s="1" t="s">
        <v>90</v>
      </c>
    </row>
    <row r="658" spans="1:75" hidden="1" x14ac:dyDescent="0.35">
      <c r="A658">
        <v>127718</v>
      </c>
      <c r="B658" s="1" t="s">
        <v>75</v>
      </c>
      <c r="C658">
        <v>80</v>
      </c>
      <c r="D658">
        <v>11121002</v>
      </c>
      <c r="E658">
        <v>121002</v>
      </c>
      <c r="F658" s="1" t="s">
        <v>2915</v>
      </c>
      <c r="G658" s="1" t="s">
        <v>3859</v>
      </c>
      <c r="H658">
        <v>0</v>
      </c>
      <c r="I658" s="1" t="s">
        <v>78</v>
      </c>
      <c r="J658" s="1" t="s">
        <v>3860</v>
      </c>
      <c r="K658" s="1" t="s">
        <v>3861</v>
      </c>
      <c r="L658" t="s">
        <v>91</v>
      </c>
      <c r="M658" t="s">
        <v>91</v>
      </c>
      <c r="N658" s="1" t="s">
        <v>91</v>
      </c>
      <c r="O658" t="s">
        <v>91</v>
      </c>
      <c r="P658" s="1" t="s">
        <v>3862</v>
      </c>
      <c r="Q658" s="1" t="s">
        <v>3863</v>
      </c>
      <c r="R658" s="1" t="s">
        <v>91</v>
      </c>
      <c r="S658">
        <v>1270</v>
      </c>
      <c r="T658">
        <v>88955000</v>
      </c>
      <c r="U658" s="1" t="s">
        <v>3864</v>
      </c>
      <c r="V658" s="1" t="s">
        <v>3865</v>
      </c>
      <c r="W658" s="1" t="s">
        <v>87</v>
      </c>
      <c r="X658">
        <v>48</v>
      </c>
      <c r="Y658">
        <v>35830027</v>
      </c>
      <c r="Z658" t="s">
        <v>91</v>
      </c>
      <c r="AA658" t="s">
        <v>91</v>
      </c>
      <c r="AB658" t="s">
        <v>91</v>
      </c>
      <c r="AC658" t="s">
        <v>91</v>
      </c>
      <c r="AD658" t="s">
        <v>91</v>
      </c>
      <c r="AE658" t="s">
        <v>91</v>
      </c>
      <c r="AF658" t="s">
        <v>91</v>
      </c>
      <c r="AG658" s="1" t="s">
        <v>91</v>
      </c>
      <c r="AH658" s="1" t="s">
        <v>91</v>
      </c>
      <c r="AI658" t="s">
        <v>91</v>
      </c>
      <c r="AM658" t="s">
        <v>91</v>
      </c>
      <c r="AN658" t="s">
        <v>91</v>
      </c>
      <c r="AO658" t="s">
        <v>91</v>
      </c>
      <c r="AP658" t="s">
        <v>91</v>
      </c>
      <c r="AQ658" s="1" t="s">
        <v>91</v>
      </c>
      <c r="AR658" s="1" t="s">
        <v>91</v>
      </c>
      <c r="AS658" s="1" t="s">
        <v>91</v>
      </c>
      <c r="AT658" s="1" t="s">
        <v>91</v>
      </c>
      <c r="AU658" s="1" t="s">
        <v>91</v>
      </c>
      <c r="AV658" t="s">
        <v>91</v>
      </c>
      <c r="AW658" t="s">
        <v>91</v>
      </c>
      <c r="AX658" t="s">
        <v>91</v>
      </c>
      <c r="AY658" t="s">
        <v>91</v>
      </c>
      <c r="AZ658" t="s">
        <v>91</v>
      </c>
      <c r="BA658" t="s">
        <v>91</v>
      </c>
      <c r="BB658" s="2">
        <v>44111.380995370368</v>
      </c>
      <c r="BC658" s="2"/>
      <c r="BD658" t="s">
        <v>91</v>
      </c>
      <c r="BF658" s="1" t="s">
        <v>75</v>
      </c>
      <c r="BI658" s="1" t="s">
        <v>88</v>
      </c>
      <c r="BJ658">
        <v>1</v>
      </c>
      <c r="BK658" s="1" t="s">
        <v>89</v>
      </c>
      <c r="BL658" t="s">
        <v>91</v>
      </c>
      <c r="BM658" s="1" t="s">
        <v>109</v>
      </c>
      <c r="BN658" s="1" t="s">
        <v>110</v>
      </c>
      <c r="BO658" s="1" t="s">
        <v>180</v>
      </c>
      <c r="BP658" s="1" t="s">
        <v>91</v>
      </c>
      <c r="BQ658" t="s">
        <v>91</v>
      </c>
      <c r="BR658" s="3">
        <v>44111</v>
      </c>
      <c r="BS658" s="3"/>
      <c r="BT658" t="s">
        <v>91</v>
      </c>
      <c r="BU658" t="s">
        <v>91</v>
      </c>
      <c r="BV658">
        <v>9</v>
      </c>
      <c r="BW658" s="1" t="s">
        <v>90</v>
      </c>
    </row>
    <row r="659" spans="1:75" hidden="1" x14ac:dyDescent="0.35">
      <c r="A659">
        <v>118681</v>
      </c>
      <c r="B659" s="1" t="s">
        <v>75</v>
      </c>
      <c r="C659">
        <v>80</v>
      </c>
      <c r="D659">
        <v>11121002</v>
      </c>
      <c r="E659">
        <v>121002</v>
      </c>
      <c r="F659" s="1" t="s">
        <v>2915</v>
      </c>
      <c r="G659" s="1" t="s">
        <v>3866</v>
      </c>
      <c r="I659" s="1" t="s">
        <v>78</v>
      </c>
      <c r="J659" s="1" t="s">
        <v>3867</v>
      </c>
      <c r="K659" s="1" t="s">
        <v>3868</v>
      </c>
      <c r="L659" t="s">
        <v>91</v>
      </c>
      <c r="M659" t="s">
        <v>91</v>
      </c>
      <c r="N659" s="1" t="s">
        <v>3869</v>
      </c>
      <c r="O659" t="s">
        <v>91</v>
      </c>
      <c r="P659" s="1" t="s">
        <v>3870</v>
      </c>
      <c r="Q659" s="1" t="s">
        <v>1058</v>
      </c>
      <c r="R659" s="1" t="s">
        <v>236</v>
      </c>
      <c r="S659">
        <v>1270</v>
      </c>
      <c r="T659">
        <v>88960000</v>
      </c>
      <c r="U659" s="1" t="s">
        <v>108</v>
      </c>
      <c r="V659" s="1" t="s">
        <v>3694</v>
      </c>
      <c r="W659" s="1" t="s">
        <v>87</v>
      </c>
      <c r="X659">
        <v>48</v>
      </c>
      <c r="Y659">
        <v>35333958</v>
      </c>
      <c r="Z659" t="s">
        <v>91</v>
      </c>
      <c r="AA659" t="s">
        <v>91</v>
      </c>
      <c r="AB659" t="s">
        <v>91</v>
      </c>
      <c r="AC659" t="s">
        <v>91</v>
      </c>
      <c r="AD659" t="s">
        <v>91</v>
      </c>
      <c r="AE659" t="s">
        <v>91</v>
      </c>
      <c r="AF659" t="s">
        <v>91</v>
      </c>
      <c r="AG659" s="1" t="s">
        <v>91</v>
      </c>
      <c r="AH659" s="1" t="s">
        <v>91</v>
      </c>
      <c r="AI659" t="s">
        <v>91</v>
      </c>
      <c r="AJ659">
        <v>0</v>
      </c>
      <c r="AK659">
        <v>0</v>
      </c>
      <c r="AL659">
        <v>0</v>
      </c>
      <c r="AM659" t="s">
        <v>91</v>
      </c>
      <c r="AN659" t="s">
        <v>91</v>
      </c>
      <c r="AO659" t="s">
        <v>91</v>
      </c>
      <c r="AP659" t="s">
        <v>91</v>
      </c>
      <c r="AQ659" s="1" t="s">
        <v>91</v>
      </c>
      <c r="AR659" s="1" t="s">
        <v>91</v>
      </c>
      <c r="AS659" s="1" t="s">
        <v>91</v>
      </c>
      <c r="AT659" s="1" t="s">
        <v>91</v>
      </c>
      <c r="AU659" s="1" t="s">
        <v>91</v>
      </c>
      <c r="AV659" t="s">
        <v>91</v>
      </c>
      <c r="AW659" t="s">
        <v>91</v>
      </c>
      <c r="AX659" t="s">
        <v>91</v>
      </c>
      <c r="AY659" t="s">
        <v>91</v>
      </c>
      <c r="AZ659" t="s">
        <v>91</v>
      </c>
      <c r="BA659" t="s">
        <v>91</v>
      </c>
      <c r="BB659" s="2"/>
      <c r="BC659" s="2"/>
      <c r="BD659" t="s">
        <v>91</v>
      </c>
      <c r="BF659" s="1" t="s">
        <v>75</v>
      </c>
      <c r="BG659">
        <v>0</v>
      </c>
      <c r="BH659">
        <v>0</v>
      </c>
      <c r="BI659" s="1" t="s">
        <v>88</v>
      </c>
      <c r="BJ659">
        <v>1</v>
      </c>
      <c r="BK659" s="1" t="s">
        <v>89</v>
      </c>
      <c r="BL659" t="s">
        <v>91</v>
      </c>
      <c r="BM659" s="1" t="s">
        <v>109</v>
      </c>
      <c r="BN659" s="1" t="s">
        <v>110</v>
      </c>
      <c r="BO659" s="1" t="s">
        <v>128</v>
      </c>
      <c r="BP659" s="1" t="s">
        <v>91</v>
      </c>
      <c r="BQ659" t="s">
        <v>91</v>
      </c>
      <c r="BR659" s="3"/>
      <c r="BS659" s="3"/>
      <c r="BT659" t="s">
        <v>91</v>
      </c>
      <c r="BU659" t="s">
        <v>91</v>
      </c>
      <c r="BV659">
        <v>9</v>
      </c>
      <c r="BW659" s="1" t="s">
        <v>470</v>
      </c>
    </row>
    <row r="660" spans="1:75" hidden="1" x14ac:dyDescent="0.35">
      <c r="A660">
        <v>134308</v>
      </c>
      <c r="B660" s="1" t="s">
        <v>75</v>
      </c>
      <c r="C660">
        <v>80</v>
      </c>
      <c r="D660">
        <v>11121002</v>
      </c>
      <c r="E660">
        <v>121002</v>
      </c>
      <c r="F660" s="1" t="s">
        <v>2915</v>
      </c>
      <c r="G660" s="1" t="s">
        <v>3871</v>
      </c>
      <c r="I660" s="1" t="s">
        <v>78</v>
      </c>
      <c r="J660" s="1" t="s">
        <v>3872</v>
      </c>
      <c r="K660" s="1" t="s">
        <v>3873</v>
      </c>
      <c r="L660" t="s">
        <v>91</v>
      </c>
      <c r="M660" t="s">
        <v>91</v>
      </c>
      <c r="N660" s="1" t="s">
        <v>3874</v>
      </c>
      <c r="O660" t="s">
        <v>91</v>
      </c>
      <c r="P660" s="1" t="s">
        <v>3875</v>
      </c>
      <c r="Q660" s="1" t="s">
        <v>3876</v>
      </c>
      <c r="R660" s="1" t="s">
        <v>3877</v>
      </c>
      <c r="S660">
        <v>1259</v>
      </c>
      <c r="T660">
        <v>88107350</v>
      </c>
      <c r="U660" s="1" t="s">
        <v>3210</v>
      </c>
      <c r="V660" s="1" t="s">
        <v>3016</v>
      </c>
      <c r="W660" s="1" t="s">
        <v>87</v>
      </c>
      <c r="X660">
        <v>48</v>
      </c>
      <c r="Y660">
        <v>33729519</v>
      </c>
      <c r="Z660" t="s">
        <v>91</v>
      </c>
      <c r="AA660" t="s">
        <v>91</v>
      </c>
      <c r="AB660" t="s">
        <v>91</v>
      </c>
      <c r="AC660" t="s">
        <v>91</v>
      </c>
      <c r="AD660" t="s">
        <v>91</v>
      </c>
      <c r="AE660" t="s">
        <v>91</v>
      </c>
      <c r="AF660" t="s">
        <v>91</v>
      </c>
      <c r="AG660" s="1" t="s">
        <v>146</v>
      </c>
      <c r="AH660" s="1" t="s">
        <v>91</v>
      </c>
      <c r="AI660" t="s">
        <v>91</v>
      </c>
      <c r="AJ660">
        <v>0</v>
      </c>
      <c r="AK660">
        <v>0</v>
      </c>
      <c r="AL660">
        <v>0</v>
      </c>
      <c r="AM660" t="s">
        <v>91</v>
      </c>
      <c r="AN660" t="s">
        <v>91</v>
      </c>
      <c r="AO660" t="s">
        <v>91</v>
      </c>
      <c r="AP660" t="s">
        <v>91</v>
      </c>
      <c r="AQ660" s="1" t="s">
        <v>147</v>
      </c>
      <c r="AR660" s="1" t="s">
        <v>147</v>
      </c>
      <c r="AS660" s="1" t="s">
        <v>147</v>
      </c>
      <c r="AT660" s="1" t="s">
        <v>147</v>
      </c>
      <c r="AU660" s="1" t="s">
        <v>147</v>
      </c>
      <c r="AV660" t="s">
        <v>91</v>
      </c>
      <c r="AW660" t="s">
        <v>91</v>
      </c>
      <c r="AX660" t="s">
        <v>91</v>
      </c>
      <c r="AY660" t="s">
        <v>91</v>
      </c>
      <c r="AZ660" t="s">
        <v>91</v>
      </c>
      <c r="BA660" t="s">
        <v>91</v>
      </c>
      <c r="BB660" s="2"/>
      <c r="BC660" s="2">
        <v>45114.421851851854</v>
      </c>
      <c r="BD660" t="s">
        <v>91</v>
      </c>
      <c r="BF660" s="1" t="s">
        <v>75</v>
      </c>
      <c r="BG660">
        <v>0</v>
      </c>
      <c r="BH660">
        <v>0</v>
      </c>
      <c r="BI660" s="1" t="s">
        <v>88</v>
      </c>
      <c r="BJ660">
        <v>1</v>
      </c>
      <c r="BK660" s="1" t="s">
        <v>89</v>
      </c>
      <c r="BL660" t="s">
        <v>91</v>
      </c>
      <c r="BM660" s="1" t="s">
        <v>109</v>
      </c>
      <c r="BN660" s="1" t="s">
        <v>110</v>
      </c>
      <c r="BO660" s="1" t="s">
        <v>180</v>
      </c>
      <c r="BP660" s="1" t="s">
        <v>91</v>
      </c>
      <c r="BQ660" t="s">
        <v>91</v>
      </c>
      <c r="BR660" s="3"/>
      <c r="BS660" s="3">
        <v>45114</v>
      </c>
      <c r="BT660" t="s">
        <v>91</v>
      </c>
      <c r="BU660" t="s">
        <v>91</v>
      </c>
      <c r="BV660">
        <v>9</v>
      </c>
      <c r="BW660" s="1" t="s">
        <v>189</v>
      </c>
    </row>
    <row r="661" spans="1:75" hidden="1" x14ac:dyDescent="0.35">
      <c r="A661">
        <v>120547</v>
      </c>
      <c r="B661" s="1" t="s">
        <v>75</v>
      </c>
      <c r="C661">
        <v>80</v>
      </c>
      <c r="D661">
        <v>11121002</v>
      </c>
      <c r="E661">
        <v>121002</v>
      </c>
      <c r="F661" s="1" t="s">
        <v>2915</v>
      </c>
      <c r="G661" s="1" t="s">
        <v>3878</v>
      </c>
      <c r="H661">
        <v>0</v>
      </c>
      <c r="I661" s="1" t="s">
        <v>78</v>
      </c>
      <c r="J661" s="1" t="s">
        <v>3879</v>
      </c>
      <c r="K661" s="1" t="s">
        <v>3880</v>
      </c>
      <c r="L661" t="s">
        <v>91</v>
      </c>
      <c r="M661" t="s">
        <v>91</v>
      </c>
      <c r="N661" s="1" t="s">
        <v>3881</v>
      </c>
      <c r="O661" t="s">
        <v>91</v>
      </c>
      <c r="P661" s="1" t="s">
        <v>3882</v>
      </c>
      <c r="Q661" s="1" t="s">
        <v>924</v>
      </c>
      <c r="R661" s="1" t="s">
        <v>370</v>
      </c>
      <c r="S661">
        <v>1259</v>
      </c>
      <c r="T661">
        <v>88130300</v>
      </c>
      <c r="U661" s="1" t="s">
        <v>108</v>
      </c>
      <c r="V661" s="1" t="s">
        <v>2951</v>
      </c>
      <c r="W661" s="1" t="s">
        <v>87</v>
      </c>
      <c r="X661">
        <v>48</v>
      </c>
      <c r="Y661">
        <v>30332411</v>
      </c>
      <c r="Z661" t="s">
        <v>91</v>
      </c>
      <c r="AA661" t="s">
        <v>91</v>
      </c>
      <c r="AB661" t="s">
        <v>91</v>
      </c>
      <c r="AC661" t="s">
        <v>91</v>
      </c>
      <c r="AD661" t="s">
        <v>91</v>
      </c>
      <c r="AE661" t="s">
        <v>91</v>
      </c>
      <c r="AF661" t="s">
        <v>91</v>
      </c>
      <c r="AG661" s="1" t="s">
        <v>91</v>
      </c>
      <c r="AH661" s="1" t="s">
        <v>91</v>
      </c>
      <c r="AI661" t="s">
        <v>91</v>
      </c>
      <c r="AM661" t="s">
        <v>91</v>
      </c>
      <c r="AN661" t="s">
        <v>91</v>
      </c>
      <c r="AO661" t="s">
        <v>91</v>
      </c>
      <c r="AP661" t="s">
        <v>91</v>
      </c>
      <c r="AQ661" s="1" t="s">
        <v>91</v>
      </c>
      <c r="AR661" s="1" t="s">
        <v>91</v>
      </c>
      <c r="AS661" s="1" t="s">
        <v>91</v>
      </c>
      <c r="AT661" s="1" t="s">
        <v>91</v>
      </c>
      <c r="AU661" s="1" t="s">
        <v>91</v>
      </c>
      <c r="AV661" t="s">
        <v>91</v>
      </c>
      <c r="AW661" t="s">
        <v>91</v>
      </c>
      <c r="AX661" t="s">
        <v>91</v>
      </c>
      <c r="AY661" t="s">
        <v>91</v>
      </c>
      <c r="AZ661" t="s">
        <v>91</v>
      </c>
      <c r="BA661" t="s">
        <v>91</v>
      </c>
      <c r="BB661" s="2">
        <v>44096.645520833335</v>
      </c>
      <c r="BC661" s="2"/>
      <c r="BD661" t="s">
        <v>91</v>
      </c>
      <c r="BF661" s="1" t="s">
        <v>75</v>
      </c>
      <c r="BI661" s="1" t="s">
        <v>88</v>
      </c>
      <c r="BJ661">
        <v>1</v>
      </c>
      <c r="BK661" s="1" t="s">
        <v>89</v>
      </c>
      <c r="BL661" t="s">
        <v>91</v>
      </c>
      <c r="BM661" s="1" t="s">
        <v>109</v>
      </c>
      <c r="BN661" s="1" t="s">
        <v>110</v>
      </c>
      <c r="BO661" s="1" t="s">
        <v>180</v>
      </c>
      <c r="BP661" s="1" t="s">
        <v>91</v>
      </c>
      <c r="BQ661" t="s">
        <v>91</v>
      </c>
      <c r="BR661" s="3">
        <v>44096</v>
      </c>
      <c r="BS661" s="3"/>
      <c r="BT661" t="s">
        <v>91</v>
      </c>
      <c r="BU661" t="s">
        <v>91</v>
      </c>
      <c r="BV661">
        <v>9</v>
      </c>
      <c r="BW661" s="1" t="s">
        <v>90</v>
      </c>
    </row>
    <row r="662" spans="1:75" hidden="1" x14ac:dyDescent="0.35">
      <c r="A662">
        <v>144374</v>
      </c>
      <c r="B662" s="1" t="s">
        <v>75</v>
      </c>
      <c r="C662">
        <v>80</v>
      </c>
      <c r="D662">
        <v>11121002</v>
      </c>
      <c r="E662">
        <v>121002</v>
      </c>
      <c r="F662" s="1" t="s">
        <v>2915</v>
      </c>
      <c r="G662" s="1" t="s">
        <v>3883</v>
      </c>
      <c r="I662" s="1" t="s">
        <v>78</v>
      </c>
      <c r="J662" s="1" t="s">
        <v>3884</v>
      </c>
      <c r="K662" s="1" t="s">
        <v>3885</v>
      </c>
      <c r="L662" t="s">
        <v>91</v>
      </c>
      <c r="M662" t="s">
        <v>91</v>
      </c>
      <c r="N662" s="1" t="s">
        <v>3886</v>
      </c>
      <c r="O662" t="s">
        <v>91</v>
      </c>
      <c r="P662" s="1" t="s">
        <v>3887</v>
      </c>
      <c r="Q662" s="1" t="s">
        <v>3888</v>
      </c>
      <c r="R662" s="1" t="s">
        <v>173</v>
      </c>
      <c r="S662">
        <v>1269</v>
      </c>
      <c r="T662">
        <v>88850000</v>
      </c>
      <c r="U662" s="1" t="s">
        <v>108</v>
      </c>
      <c r="V662" s="1" t="s">
        <v>2987</v>
      </c>
      <c r="W662" s="1" t="s">
        <v>87</v>
      </c>
      <c r="X662">
        <v>48</v>
      </c>
      <c r="Y662">
        <v>34631321</v>
      </c>
      <c r="Z662" t="s">
        <v>91</v>
      </c>
      <c r="AA662" t="s">
        <v>91</v>
      </c>
      <c r="AB662" t="s">
        <v>91</v>
      </c>
      <c r="AC662" t="s">
        <v>91</v>
      </c>
      <c r="AD662" t="s">
        <v>91</v>
      </c>
      <c r="AE662" t="s">
        <v>91</v>
      </c>
      <c r="AF662" t="s">
        <v>91</v>
      </c>
      <c r="AG662" s="1" t="s">
        <v>91</v>
      </c>
      <c r="AH662" s="1" t="s">
        <v>91</v>
      </c>
      <c r="AI662" t="s">
        <v>91</v>
      </c>
      <c r="AJ662">
        <v>0</v>
      </c>
      <c r="AK662">
        <v>0</v>
      </c>
      <c r="AL662">
        <v>0</v>
      </c>
      <c r="AM662" t="s">
        <v>91</v>
      </c>
      <c r="AN662" t="s">
        <v>91</v>
      </c>
      <c r="AO662" t="s">
        <v>91</v>
      </c>
      <c r="AP662" t="s">
        <v>91</v>
      </c>
      <c r="AQ662" s="1" t="s">
        <v>91</v>
      </c>
      <c r="AR662" s="1" t="s">
        <v>91</v>
      </c>
      <c r="AS662" s="1" t="s">
        <v>91</v>
      </c>
      <c r="AT662" s="1" t="s">
        <v>91</v>
      </c>
      <c r="AU662" s="1" t="s">
        <v>91</v>
      </c>
      <c r="AV662" t="s">
        <v>91</v>
      </c>
      <c r="AW662" t="s">
        <v>91</v>
      </c>
      <c r="AX662" t="s">
        <v>91</v>
      </c>
      <c r="AY662" t="s">
        <v>91</v>
      </c>
      <c r="AZ662" t="s">
        <v>91</v>
      </c>
      <c r="BA662" t="s">
        <v>91</v>
      </c>
      <c r="BB662" s="2"/>
      <c r="BC662" s="2"/>
      <c r="BD662" t="s">
        <v>91</v>
      </c>
      <c r="BF662" s="1" t="s">
        <v>75</v>
      </c>
      <c r="BG662">
        <v>0</v>
      </c>
      <c r="BH662">
        <v>0</v>
      </c>
      <c r="BI662" s="1" t="s">
        <v>88</v>
      </c>
      <c r="BJ662">
        <v>1</v>
      </c>
      <c r="BK662" s="1" t="s">
        <v>89</v>
      </c>
      <c r="BL662" t="s">
        <v>91</v>
      </c>
      <c r="BM662" s="1" t="s">
        <v>109</v>
      </c>
      <c r="BN662" s="1" t="s">
        <v>110</v>
      </c>
      <c r="BO662" s="1" t="s">
        <v>128</v>
      </c>
      <c r="BP662" s="1" t="s">
        <v>91</v>
      </c>
      <c r="BQ662" t="s">
        <v>91</v>
      </c>
      <c r="BR662" s="3"/>
      <c r="BS662" s="3"/>
      <c r="BT662" t="s">
        <v>91</v>
      </c>
      <c r="BU662" t="s">
        <v>91</v>
      </c>
      <c r="BV662">
        <v>9</v>
      </c>
      <c r="BW662" s="1" t="s">
        <v>1325</v>
      </c>
    </row>
    <row r="663" spans="1:75" hidden="1" x14ac:dyDescent="0.35">
      <c r="A663">
        <v>144794</v>
      </c>
      <c r="B663" s="1" t="s">
        <v>75</v>
      </c>
      <c r="C663">
        <v>80</v>
      </c>
      <c r="D663">
        <v>11121002</v>
      </c>
      <c r="E663">
        <v>121002</v>
      </c>
      <c r="F663" s="1" t="s">
        <v>2915</v>
      </c>
      <c r="G663" s="1" t="s">
        <v>3889</v>
      </c>
      <c r="I663" s="1" t="s">
        <v>78</v>
      </c>
      <c r="J663" s="1" t="s">
        <v>3890</v>
      </c>
      <c r="K663" s="1" t="s">
        <v>3891</v>
      </c>
      <c r="L663" t="s">
        <v>91</v>
      </c>
      <c r="M663" t="s">
        <v>91</v>
      </c>
      <c r="N663" s="1" t="s">
        <v>3892</v>
      </c>
      <c r="O663" t="s">
        <v>91</v>
      </c>
      <c r="P663" s="1" t="s">
        <v>3893</v>
      </c>
      <c r="Q663" s="1" t="s">
        <v>3894</v>
      </c>
      <c r="R663" s="1" t="s">
        <v>855</v>
      </c>
      <c r="S663">
        <v>1269</v>
      </c>
      <c r="T663">
        <v>88801050</v>
      </c>
      <c r="U663" s="1" t="s">
        <v>108</v>
      </c>
      <c r="V663" s="1" t="s">
        <v>3231</v>
      </c>
      <c r="W663" s="1" t="s">
        <v>87</v>
      </c>
      <c r="X663">
        <v>48</v>
      </c>
      <c r="Y663">
        <v>996308727</v>
      </c>
      <c r="Z663" t="s">
        <v>91</v>
      </c>
      <c r="AA663" t="s">
        <v>91</v>
      </c>
      <c r="AB663" t="s">
        <v>91</v>
      </c>
      <c r="AC663" t="s">
        <v>91</v>
      </c>
      <c r="AD663" t="s">
        <v>91</v>
      </c>
      <c r="AE663" t="s">
        <v>91</v>
      </c>
      <c r="AF663" t="s">
        <v>91</v>
      </c>
      <c r="AG663" s="1" t="s">
        <v>91</v>
      </c>
      <c r="AH663" s="1" t="s">
        <v>91</v>
      </c>
      <c r="AI663" t="s">
        <v>91</v>
      </c>
      <c r="AJ663">
        <v>0</v>
      </c>
      <c r="AK663">
        <v>0</v>
      </c>
      <c r="AL663">
        <v>0</v>
      </c>
      <c r="AM663" t="s">
        <v>91</v>
      </c>
      <c r="AN663" t="s">
        <v>91</v>
      </c>
      <c r="AO663" t="s">
        <v>91</v>
      </c>
      <c r="AP663" t="s">
        <v>91</v>
      </c>
      <c r="AQ663" s="1" t="s">
        <v>91</v>
      </c>
      <c r="AR663" s="1" t="s">
        <v>91</v>
      </c>
      <c r="AS663" s="1" t="s">
        <v>91</v>
      </c>
      <c r="AT663" s="1" t="s">
        <v>91</v>
      </c>
      <c r="AU663" s="1" t="s">
        <v>91</v>
      </c>
      <c r="AV663" t="s">
        <v>91</v>
      </c>
      <c r="AW663" t="s">
        <v>91</v>
      </c>
      <c r="AX663" t="s">
        <v>91</v>
      </c>
      <c r="AY663" t="s">
        <v>91</v>
      </c>
      <c r="AZ663" t="s">
        <v>91</v>
      </c>
      <c r="BA663" t="s">
        <v>91</v>
      </c>
      <c r="BB663" s="2"/>
      <c r="BC663" s="2"/>
      <c r="BD663" t="s">
        <v>91</v>
      </c>
      <c r="BF663" s="1" t="s">
        <v>75</v>
      </c>
      <c r="BG663">
        <v>0</v>
      </c>
      <c r="BH663">
        <v>0</v>
      </c>
      <c r="BI663" s="1" t="s">
        <v>88</v>
      </c>
      <c r="BJ663">
        <v>1</v>
      </c>
      <c r="BK663" s="1" t="s">
        <v>89</v>
      </c>
      <c r="BL663" t="s">
        <v>91</v>
      </c>
      <c r="BM663" s="1" t="s">
        <v>109</v>
      </c>
      <c r="BN663" s="1" t="s">
        <v>110</v>
      </c>
      <c r="BO663" s="1" t="s">
        <v>111</v>
      </c>
      <c r="BP663" s="1" t="s">
        <v>91</v>
      </c>
      <c r="BQ663" t="s">
        <v>91</v>
      </c>
      <c r="BR663" s="3"/>
      <c r="BS663" s="3"/>
      <c r="BT663" t="s">
        <v>91</v>
      </c>
      <c r="BU663" t="s">
        <v>91</v>
      </c>
      <c r="BV663">
        <v>9</v>
      </c>
      <c r="BW663" s="1" t="s">
        <v>90</v>
      </c>
    </row>
    <row r="664" spans="1:75" hidden="1" x14ac:dyDescent="0.35">
      <c r="A664">
        <v>156912</v>
      </c>
      <c r="B664" s="1" t="s">
        <v>75</v>
      </c>
      <c r="C664">
        <v>80</v>
      </c>
      <c r="D664">
        <v>11121002</v>
      </c>
      <c r="E664">
        <v>121002</v>
      </c>
      <c r="F664" s="1" t="s">
        <v>2915</v>
      </c>
      <c r="G664" s="1" t="s">
        <v>3895</v>
      </c>
      <c r="H664">
        <v>0</v>
      </c>
      <c r="I664" s="1" t="s">
        <v>78</v>
      </c>
      <c r="J664" s="1" t="s">
        <v>3896</v>
      </c>
      <c r="K664" s="1" t="s">
        <v>3897</v>
      </c>
      <c r="L664" t="s">
        <v>91</v>
      </c>
      <c r="M664" t="s">
        <v>91</v>
      </c>
      <c r="N664" s="1" t="s">
        <v>3898</v>
      </c>
      <c r="O664" t="s">
        <v>91</v>
      </c>
      <c r="P664" s="1" t="s">
        <v>3899</v>
      </c>
      <c r="Q664" s="1" t="s">
        <v>1892</v>
      </c>
      <c r="R664" s="1" t="s">
        <v>370</v>
      </c>
      <c r="T664">
        <v>88706003</v>
      </c>
      <c r="U664" s="1" t="s">
        <v>3760</v>
      </c>
      <c r="V664" s="1" t="s">
        <v>3900</v>
      </c>
      <c r="W664" s="1" t="s">
        <v>87</v>
      </c>
      <c r="X664">
        <v>48</v>
      </c>
      <c r="Y664">
        <v>996313947</v>
      </c>
      <c r="Z664" t="s">
        <v>91</v>
      </c>
      <c r="AA664" t="s">
        <v>91</v>
      </c>
      <c r="AB664" t="s">
        <v>91</v>
      </c>
      <c r="AC664" t="s">
        <v>91</v>
      </c>
      <c r="AD664" t="s">
        <v>91</v>
      </c>
      <c r="AE664" t="s">
        <v>91</v>
      </c>
      <c r="AF664" t="s">
        <v>91</v>
      </c>
      <c r="AG664" s="1" t="s">
        <v>91</v>
      </c>
      <c r="AH664" s="1" t="s">
        <v>91</v>
      </c>
      <c r="AI664" t="s">
        <v>91</v>
      </c>
      <c r="AM664" t="s">
        <v>91</v>
      </c>
      <c r="AN664" t="s">
        <v>91</v>
      </c>
      <c r="AO664" t="s">
        <v>91</v>
      </c>
      <c r="AP664" t="s">
        <v>91</v>
      </c>
      <c r="AQ664" s="1" t="s">
        <v>91</v>
      </c>
      <c r="AR664" s="1" t="s">
        <v>91</v>
      </c>
      <c r="AS664" s="1" t="s">
        <v>91</v>
      </c>
      <c r="AT664" s="1" t="s">
        <v>91</v>
      </c>
      <c r="AU664" s="1" t="s">
        <v>91</v>
      </c>
      <c r="AV664" t="s">
        <v>91</v>
      </c>
      <c r="AW664" t="s">
        <v>91</v>
      </c>
      <c r="AX664" t="s">
        <v>91</v>
      </c>
      <c r="AY664" t="s">
        <v>91</v>
      </c>
      <c r="AZ664" t="s">
        <v>91</v>
      </c>
      <c r="BA664" t="s">
        <v>91</v>
      </c>
      <c r="BB664" s="2">
        <v>45113.505416666667</v>
      </c>
      <c r="BC664" s="2"/>
      <c r="BD664" t="s">
        <v>91</v>
      </c>
      <c r="BF664" s="1" t="s">
        <v>75</v>
      </c>
      <c r="BI664" s="1" t="s">
        <v>88</v>
      </c>
      <c r="BJ664">
        <v>1</v>
      </c>
      <c r="BK664" s="1" t="s">
        <v>89</v>
      </c>
      <c r="BL664" t="s">
        <v>91</v>
      </c>
      <c r="BM664" s="1" t="s">
        <v>91</v>
      </c>
      <c r="BN664" s="1" t="s">
        <v>91</v>
      </c>
      <c r="BO664" s="1" t="s">
        <v>91</v>
      </c>
      <c r="BP664" s="1" t="s">
        <v>91</v>
      </c>
      <c r="BQ664" t="s">
        <v>91</v>
      </c>
      <c r="BR664" s="3">
        <v>45113</v>
      </c>
      <c r="BS664" s="3"/>
      <c r="BT664" t="s">
        <v>91</v>
      </c>
      <c r="BU664" t="s">
        <v>91</v>
      </c>
      <c r="BW664" s="1" t="s">
        <v>3578</v>
      </c>
    </row>
    <row r="665" spans="1:75" hidden="1" x14ac:dyDescent="0.35">
      <c r="A665">
        <v>118679</v>
      </c>
      <c r="B665" s="1" t="s">
        <v>75</v>
      </c>
      <c r="C665">
        <v>80</v>
      </c>
      <c r="D665">
        <v>11121002</v>
      </c>
      <c r="E665">
        <v>121002</v>
      </c>
      <c r="F665" s="1" t="s">
        <v>2915</v>
      </c>
      <c r="G665" s="1" t="s">
        <v>3901</v>
      </c>
      <c r="I665" s="1" t="s">
        <v>78</v>
      </c>
      <c r="J665" s="1" t="s">
        <v>3902</v>
      </c>
      <c r="K665" s="1" t="s">
        <v>3903</v>
      </c>
      <c r="L665" t="s">
        <v>91</v>
      </c>
      <c r="M665" t="s">
        <v>91</v>
      </c>
      <c r="N665" s="1" t="s">
        <v>3904</v>
      </c>
      <c r="O665" t="s">
        <v>91</v>
      </c>
      <c r="P665" s="1" t="s">
        <v>438</v>
      </c>
      <c r="Q665" s="1" t="s">
        <v>3600</v>
      </c>
      <c r="R665" s="1" t="s">
        <v>3636</v>
      </c>
      <c r="S665">
        <v>1268</v>
      </c>
      <c r="T665">
        <v>88701010</v>
      </c>
      <c r="U665" s="1" t="s">
        <v>108</v>
      </c>
      <c r="V665" s="1" t="s">
        <v>3059</v>
      </c>
      <c r="W665" s="1" t="s">
        <v>87</v>
      </c>
      <c r="X665">
        <v>48</v>
      </c>
      <c r="Y665">
        <v>30536988</v>
      </c>
      <c r="Z665" t="s">
        <v>91</v>
      </c>
      <c r="AA665" t="s">
        <v>91</v>
      </c>
      <c r="AB665" t="s">
        <v>91</v>
      </c>
      <c r="AC665" t="s">
        <v>91</v>
      </c>
      <c r="AD665" t="s">
        <v>91</v>
      </c>
      <c r="AE665" t="s">
        <v>91</v>
      </c>
      <c r="AF665" t="s">
        <v>91</v>
      </c>
      <c r="AG665" s="1" t="s">
        <v>91</v>
      </c>
      <c r="AH665" s="1" t="s">
        <v>91</v>
      </c>
      <c r="AI665" t="s">
        <v>91</v>
      </c>
      <c r="AJ665">
        <v>0</v>
      </c>
      <c r="AK665">
        <v>0</v>
      </c>
      <c r="AL665">
        <v>0</v>
      </c>
      <c r="AM665" t="s">
        <v>91</v>
      </c>
      <c r="AN665" t="s">
        <v>91</v>
      </c>
      <c r="AO665" t="s">
        <v>91</v>
      </c>
      <c r="AP665" t="s">
        <v>91</v>
      </c>
      <c r="AQ665" s="1" t="s">
        <v>91</v>
      </c>
      <c r="AR665" s="1" t="s">
        <v>91</v>
      </c>
      <c r="AS665" s="1" t="s">
        <v>91</v>
      </c>
      <c r="AT665" s="1" t="s">
        <v>91</v>
      </c>
      <c r="AU665" s="1" t="s">
        <v>91</v>
      </c>
      <c r="AV665" t="s">
        <v>91</v>
      </c>
      <c r="AW665" t="s">
        <v>91</v>
      </c>
      <c r="AX665" t="s">
        <v>91</v>
      </c>
      <c r="AY665" t="s">
        <v>91</v>
      </c>
      <c r="AZ665" t="s">
        <v>91</v>
      </c>
      <c r="BA665" t="s">
        <v>91</v>
      </c>
      <c r="BB665" s="2"/>
      <c r="BC665" s="2"/>
      <c r="BD665" t="s">
        <v>91</v>
      </c>
      <c r="BF665" s="1" t="s">
        <v>75</v>
      </c>
      <c r="BG665">
        <v>0</v>
      </c>
      <c r="BH665">
        <v>0</v>
      </c>
      <c r="BI665" s="1" t="s">
        <v>88</v>
      </c>
      <c r="BJ665">
        <v>1</v>
      </c>
      <c r="BK665" s="1" t="s">
        <v>89</v>
      </c>
      <c r="BL665" t="s">
        <v>91</v>
      </c>
      <c r="BM665" s="1" t="s">
        <v>109</v>
      </c>
      <c r="BN665" s="1" t="s">
        <v>110</v>
      </c>
      <c r="BO665" s="1" t="s">
        <v>128</v>
      </c>
      <c r="BP665" s="1" t="s">
        <v>91</v>
      </c>
      <c r="BQ665" t="s">
        <v>91</v>
      </c>
      <c r="BR665" s="3"/>
      <c r="BS665" s="3"/>
      <c r="BT665" t="s">
        <v>91</v>
      </c>
      <c r="BU665" t="s">
        <v>91</v>
      </c>
      <c r="BV665">
        <v>9</v>
      </c>
      <c r="BW665" s="1" t="s">
        <v>665</v>
      </c>
    </row>
    <row r="666" spans="1:75" hidden="1" x14ac:dyDescent="0.35">
      <c r="A666">
        <v>157710</v>
      </c>
      <c r="B666" s="1" t="s">
        <v>75</v>
      </c>
      <c r="C666">
        <v>80</v>
      </c>
      <c r="D666">
        <v>11121002</v>
      </c>
      <c r="E666">
        <v>121002</v>
      </c>
      <c r="F666" s="1" t="s">
        <v>2915</v>
      </c>
      <c r="G666" s="1" t="s">
        <v>3905</v>
      </c>
      <c r="H666">
        <v>0</v>
      </c>
      <c r="I666" s="1" t="s">
        <v>78</v>
      </c>
      <c r="J666" s="1" t="s">
        <v>3906</v>
      </c>
      <c r="K666" s="1" t="s">
        <v>3907</v>
      </c>
      <c r="L666" t="s">
        <v>91</v>
      </c>
      <c r="M666" t="s">
        <v>91</v>
      </c>
      <c r="N666" s="1" t="s">
        <v>3908</v>
      </c>
      <c r="O666" t="s">
        <v>91</v>
      </c>
      <c r="P666" s="1" t="s">
        <v>3909</v>
      </c>
      <c r="Q666" s="1" t="s">
        <v>204</v>
      </c>
      <c r="R666" s="1" t="s">
        <v>3910</v>
      </c>
      <c r="S666">
        <v>1256</v>
      </c>
      <c r="T666">
        <v>88020010</v>
      </c>
      <c r="U666" s="1" t="s">
        <v>108</v>
      </c>
      <c r="V666" s="1" t="s">
        <v>2922</v>
      </c>
      <c r="W666" s="1" t="s">
        <v>87</v>
      </c>
      <c r="X666">
        <v>48</v>
      </c>
      <c r="Y666">
        <v>33656003</v>
      </c>
      <c r="Z666" t="s">
        <v>91</v>
      </c>
      <c r="AA666" t="s">
        <v>91</v>
      </c>
      <c r="AB666" t="s">
        <v>91</v>
      </c>
      <c r="AC666" t="s">
        <v>91</v>
      </c>
      <c r="AD666" t="s">
        <v>91</v>
      </c>
      <c r="AE666" t="s">
        <v>91</v>
      </c>
      <c r="AF666" t="s">
        <v>91</v>
      </c>
      <c r="AG666" s="1" t="s">
        <v>91</v>
      </c>
      <c r="AH666" s="1" t="s">
        <v>91</v>
      </c>
      <c r="AI666" t="s">
        <v>91</v>
      </c>
      <c r="AM666" t="s">
        <v>91</v>
      </c>
      <c r="AN666" t="s">
        <v>91</v>
      </c>
      <c r="AO666" t="s">
        <v>91</v>
      </c>
      <c r="AP666" t="s">
        <v>91</v>
      </c>
      <c r="AQ666" s="1" t="s">
        <v>91</v>
      </c>
      <c r="AR666" s="1" t="s">
        <v>91</v>
      </c>
      <c r="AS666" s="1" t="s">
        <v>91</v>
      </c>
      <c r="AT666" s="1" t="s">
        <v>91</v>
      </c>
      <c r="AU666" s="1" t="s">
        <v>91</v>
      </c>
      <c r="AV666" t="s">
        <v>91</v>
      </c>
      <c r="AW666" t="s">
        <v>91</v>
      </c>
      <c r="AX666" t="s">
        <v>91</v>
      </c>
      <c r="AY666" t="s">
        <v>91</v>
      </c>
      <c r="AZ666" t="s">
        <v>91</v>
      </c>
      <c r="BA666" t="s">
        <v>91</v>
      </c>
      <c r="BB666" s="2">
        <v>45118.097175925926</v>
      </c>
      <c r="BC666" s="2"/>
      <c r="BD666" t="s">
        <v>91</v>
      </c>
      <c r="BF666" s="1" t="s">
        <v>75</v>
      </c>
      <c r="BI666" s="1" t="s">
        <v>88</v>
      </c>
      <c r="BJ666">
        <v>1</v>
      </c>
      <c r="BK666" s="1" t="s">
        <v>89</v>
      </c>
      <c r="BL666" t="s">
        <v>91</v>
      </c>
      <c r="BM666" s="1" t="s">
        <v>91</v>
      </c>
      <c r="BN666" s="1" t="s">
        <v>91</v>
      </c>
      <c r="BO666" s="1" t="s">
        <v>91</v>
      </c>
      <c r="BP666" s="1" t="s">
        <v>91</v>
      </c>
      <c r="BQ666" t="s">
        <v>91</v>
      </c>
      <c r="BR666" s="3">
        <v>45118</v>
      </c>
      <c r="BS666" s="3"/>
      <c r="BT666" t="s">
        <v>91</v>
      </c>
      <c r="BU666" t="s">
        <v>91</v>
      </c>
      <c r="BW666" s="1" t="s">
        <v>90</v>
      </c>
    </row>
    <row r="667" spans="1:75" hidden="1" x14ac:dyDescent="0.35">
      <c r="A667">
        <v>134279</v>
      </c>
      <c r="B667" s="1" t="s">
        <v>75</v>
      </c>
      <c r="C667">
        <v>80</v>
      </c>
      <c r="D667">
        <v>11121002</v>
      </c>
      <c r="E667">
        <v>121002</v>
      </c>
      <c r="F667" s="1" t="s">
        <v>2915</v>
      </c>
      <c r="G667" s="1" t="s">
        <v>3911</v>
      </c>
      <c r="I667" s="1" t="s">
        <v>78</v>
      </c>
      <c r="J667" s="1" t="s">
        <v>3912</v>
      </c>
      <c r="K667" s="1" t="s">
        <v>3913</v>
      </c>
      <c r="L667" t="s">
        <v>91</v>
      </c>
      <c r="M667" t="s">
        <v>91</v>
      </c>
      <c r="N667" s="1" t="s">
        <v>3914</v>
      </c>
      <c r="O667" t="s">
        <v>91</v>
      </c>
      <c r="P667" s="1" t="s">
        <v>3609</v>
      </c>
      <c r="Q667" s="1" t="s">
        <v>3915</v>
      </c>
      <c r="R667" s="1" t="s">
        <v>91</v>
      </c>
      <c r="S667">
        <v>1259</v>
      </c>
      <c r="T667">
        <v>88113250</v>
      </c>
      <c r="U667" s="1" t="s">
        <v>3001</v>
      </c>
      <c r="V667" s="1" t="s">
        <v>3016</v>
      </c>
      <c r="W667" s="1" t="s">
        <v>87</v>
      </c>
      <c r="X667">
        <v>48</v>
      </c>
      <c r="Y667">
        <v>32464104</v>
      </c>
      <c r="Z667" t="s">
        <v>91</v>
      </c>
      <c r="AA667" t="s">
        <v>91</v>
      </c>
      <c r="AB667" t="s">
        <v>91</v>
      </c>
      <c r="AC667" t="s">
        <v>91</v>
      </c>
      <c r="AD667" t="s">
        <v>91</v>
      </c>
      <c r="AE667" t="s">
        <v>91</v>
      </c>
      <c r="AF667" t="s">
        <v>91</v>
      </c>
      <c r="AG667" s="1" t="s">
        <v>146</v>
      </c>
      <c r="AH667" s="1" t="s">
        <v>91</v>
      </c>
      <c r="AI667" t="s">
        <v>91</v>
      </c>
      <c r="AJ667">
        <v>0</v>
      </c>
      <c r="AK667">
        <v>0</v>
      </c>
      <c r="AL667">
        <v>0</v>
      </c>
      <c r="AM667" t="s">
        <v>91</v>
      </c>
      <c r="AN667" t="s">
        <v>91</v>
      </c>
      <c r="AO667" t="s">
        <v>91</v>
      </c>
      <c r="AP667" t="s">
        <v>91</v>
      </c>
      <c r="AQ667" s="1" t="s">
        <v>147</v>
      </c>
      <c r="AR667" s="1" t="s">
        <v>147</v>
      </c>
      <c r="AS667" s="1" t="s">
        <v>147</v>
      </c>
      <c r="AT667" s="1" t="s">
        <v>147</v>
      </c>
      <c r="AU667" s="1" t="s">
        <v>147</v>
      </c>
      <c r="AV667" t="s">
        <v>91</v>
      </c>
      <c r="AW667" t="s">
        <v>91</v>
      </c>
      <c r="AX667" t="s">
        <v>91</v>
      </c>
      <c r="AY667" t="s">
        <v>91</v>
      </c>
      <c r="AZ667" t="s">
        <v>91</v>
      </c>
      <c r="BA667" t="s">
        <v>91</v>
      </c>
      <c r="BB667" s="2"/>
      <c r="BC667" s="2">
        <v>44511.6171412037</v>
      </c>
      <c r="BD667" t="s">
        <v>91</v>
      </c>
      <c r="BF667" s="1" t="s">
        <v>75</v>
      </c>
      <c r="BG667">
        <v>0</v>
      </c>
      <c r="BH667">
        <v>0</v>
      </c>
      <c r="BI667" s="1" t="s">
        <v>88</v>
      </c>
      <c r="BJ667">
        <v>1</v>
      </c>
      <c r="BK667" s="1" t="s">
        <v>89</v>
      </c>
      <c r="BL667" t="s">
        <v>91</v>
      </c>
      <c r="BM667" s="1" t="s">
        <v>109</v>
      </c>
      <c r="BN667" s="1" t="s">
        <v>110</v>
      </c>
      <c r="BO667" s="1" t="s">
        <v>128</v>
      </c>
      <c r="BP667" s="1" t="s">
        <v>91</v>
      </c>
      <c r="BQ667" t="s">
        <v>91</v>
      </c>
      <c r="BR667" s="3"/>
      <c r="BS667" s="3">
        <v>44511</v>
      </c>
      <c r="BT667" t="s">
        <v>91</v>
      </c>
      <c r="BU667" t="s">
        <v>91</v>
      </c>
      <c r="BV667">
        <v>9</v>
      </c>
      <c r="BW667" s="1" t="s">
        <v>3578</v>
      </c>
    </row>
    <row r="668" spans="1:75" hidden="1" x14ac:dyDescent="0.35">
      <c r="A668">
        <v>156923</v>
      </c>
      <c r="B668" s="1" t="s">
        <v>75</v>
      </c>
      <c r="C668">
        <v>80</v>
      </c>
      <c r="D668">
        <v>11121002</v>
      </c>
      <c r="E668">
        <v>121002</v>
      </c>
      <c r="F668" s="1" t="s">
        <v>2915</v>
      </c>
      <c r="G668" s="1" t="s">
        <v>3916</v>
      </c>
      <c r="H668">
        <v>0</v>
      </c>
      <c r="I668" s="1" t="s">
        <v>78</v>
      </c>
      <c r="J668" s="1" t="s">
        <v>3917</v>
      </c>
      <c r="K668" s="1" t="s">
        <v>3918</v>
      </c>
      <c r="L668" t="s">
        <v>91</v>
      </c>
      <c r="M668" t="s">
        <v>91</v>
      </c>
      <c r="N668" s="1" t="s">
        <v>3192</v>
      </c>
      <c r="O668" t="s">
        <v>91</v>
      </c>
      <c r="P668" s="1" t="s">
        <v>3919</v>
      </c>
      <c r="Q668" s="1" t="s">
        <v>933</v>
      </c>
      <c r="R668" s="1" t="s">
        <v>3920</v>
      </c>
      <c r="S668">
        <v>1269</v>
      </c>
      <c r="T668">
        <v>88813390</v>
      </c>
      <c r="U668" s="1" t="s">
        <v>3921</v>
      </c>
      <c r="V668" s="1" t="s">
        <v>2943</v>
      </c>
      <c r="W668" s="1" t="s">
        <v>87</v>
      </c>
      <c r="X668">
        <v>48</v>
      </c>
      <c r="Y668">
        <v>991012525</v>
      </c>
      <c r="Z668" t="s">
        <v>91</v>
      </c>
      <c r="AA668" t="s">
        <v>91</v>
      </c>
      <c r="AB668" t="s">
        <v>91</v>
      </c>
      <c r="AC668" t="s">
        <v>91</v>
      </c>
      <c r="AD668" t="s">
        <v>91</v>
      </c>
      <c r="AE668" t="s">
        <v>91</v>
      </c>
      <c r="AF668" t="s">
        <v>91</v>
      </c>
      <c r="AG668" s="1" t="s">
        <v>91</v>
      </c>
      <c r="AH668" s="1" t="s">
        <v>91</v>
      </c>
      <c r="AI668" t="s">
        <v>91</v>
      </c>
      <c r="AM668" t="s">
        <v>91</v>
      </c>
      <c r="AN668" t="s">
        <v>91</v>
      </c>
      <c r="AO668" t="s">
        <v>91</v>
      </c>
      <c r="AP668" t="s">
        <v>91</v>
      </c>
      <c r="AQ668" s="1" t="s">
        <v>91</v>
      </c>
      <c r="AR668" s="1" t="s">
        <v>91</v>
      </c>
      <c r="AS668" s="1" t="s">
        <v>91</v>
      </c>
      <c r="AT668" s="1" t="s">
        <v>91</v>
      </c>
      <c r="AU668" s="1" t="s">
        <v>91</v>
      </c>
      <c r="AV668" t="s">
        <v>91</v>
      </c>
      <c r="AW668" t="s">
        <v>91</v>
      </c>
      <c r="AX668" t="s">
        <v>91</v>
      </c>
      <c r="AY668" t="s">
        <v>91</v>
      </c>
      <c r="AZ668" t="s">
        <v>91</v>
      </c>
      <c r="BA668" t="s">
        <v>91</v>
      </c>
      <c r="BB668" s="2">
        <v>45113.505416666667</v>
      </c>
      <c r="BC668" s="2"/>
      <c r="BD668" t="s">
        <v>91</v>
      </c>
      <c r="BF668" s="1" t="s">
        <v>75</v>
      </c>
      <c r="BI668" s="1" t="s">
        <v>88</v>
      </c>
      <c r="BJ668">
        <v>1</v>
      </c>
      <c r="BK668" s="1" t="s">
        <v>89</v>
      </c>
      <c r="BL668" t="s">
        <v>91</v>
      </c>
      <c r="BM668" s="1" t="s">
        <v>91</v>
      </c>
      <c r="BN668" s="1" t="s">
        <v>91</v>
      </c>
      <c r="BO668" s="1" t="s">
        <v>91</v>
      </c>
      <c r="BP668" s="1" t="s">
        <v>91</v>
      </c>
      <c r="BQ668" t="s">
        <v>91</v>
      </c>
      <c r="BR668" s="3">
        <v>45113</v>
      </c>
      <c r="BS668" s="3"/>
      <c r="BT668" t="s">
        <v>91</v>
      </c>
      <c r="BU668" t="s">
        <v>91</v>
      </c>
      <c r="BW668" s="1" t="s">
        <v>804</v>
      </c>
    </row>
    <row r="669" spans="1:75" hidden="1" x14ac:dyDescent="0.35">
      <c r="A669">
        <v>134260</v>
      </c>
      <c r="B669" s="1" t="s">
        <v>75</v>
      </c>
      <c r="C669">
        <v>80</v>
      </c>
      <c r="D669">
        <v>11121002</v>
      </c>
      <c r="E669">
        <v>121002</v>
      </c>
      <c r="F669" s="1" t="s">
        <v>2915</v>
      </c>
      <c r="G669" s="1" t="s">
        <v>3922</v>
      </c>
      <c r="I669" s="1" t="s">
        <v>78</v>
      </c>
      <c r="J669" s="1" t="s">
        <v>3923</v>
      </c>
      <c r="K669" s="1" t="s">
        <v>3924</v>
      </c>
      <c r="L669" t="s">
        <v>91</v>
      </c>
      <c r="M669" t="s">
        <v>91</v>
      </c>
      <c r="N669" s="1" t="s">
        <v>3925</v>
      </c>
      <c r="O669" t="s">
        <v>91</v>
      </c>
      <c r="P669" s="1" t="s">
        <v>3007</v>
      </c>
      <c r="Q669" s="1" t="s">
        <v>3926</v>
      </c>
      <c r="R669" s="1" t="s">
        <v>91</v>
      </c>
      <c r="S669">
        <v>1259</v>
      </c>
      <c r="T669">
        <v>88106501</v>
      </c>
      <c r="U669" s="1" t="s">
        <v>2987</v>
      </c>
      <c r="V669" s="1" t="s">
        <v>3016</v>
      </c>
      <c r="W669" s="1" t="s">
        <v>87</v>
      </c>
      <c r="X669">
        <v>48</v>
      </c>
      <c r="Y669">
        <v>30581002</v>
      </c>
      <c r="Z669" t="s">
        <v>91</v>
      </c>
      <c r="AA669" t="s">
        <v>91</v>
      </c>
      <c r="AB669" t="s">
        <v>91</v>
      </c>
      <c r="AC669" t="s">
        <v>91</v>
      </c>
      <c r="AD669" t="s">
        <v>91</v>
      </c>
      <c r="AE669" t="s">
        <v>91</v>
      </c>
      <c r="AF669" t="s">
        <v>91</v>
      </c>
      <c r="AG669" s="1" t="s">
        <v>146</v>
      </c>
      <c r="AH669" s="1" t="s">
        <v>91</v>
      </c>
      <c r="AI669" t="s">
        <v>91</v>
      </c>
      <c r="AJ669">
        <v>0</v>
      </c>
      <c r="AK669">
        <v>0</v>
      </c>
      <c r="AL669">
        <v>0</v>
      </c>
      <c r="AM669" t="s">
        <v>91</v>
      </c>
      <c r="AN669" t="s">
        <v>91</v>
      </c>
      <c r="AO669" t="s">
        <v>91</v>
      </c>
      <c r="AP669" t="s">
        <v>91</v>
      </c>
      <c r="AQ669" s="1" t="s">
        <v>147</v>
      </c>
      <c r="AR669" s="1" t="s">
        <v>147</v>
      </c>
      <c r="AS669" s="1" t="s">
        <v>147</v>
      </c>
      <c r="AT669" s="1" t="s">
        <v>147</v>
      </c>
      <c r="AU669" s="1" t="s">
        <v>147</v>
      </c>
      <c r="AV669" t="s">
        <v>91</v>
      </c>
      <c r="AW669" t="s">
        <v>91</v>
      </c>
      <c r="AX669" t="s">
        <v>91</v>
      </c>
      <c r="AY669" t="s">
        <v>91</v>
      </c>
      <c r="AZ669" t="s">
        <v>91</v>
      </c>
      <c r="BA669" t="s">
        <v>91</v>
      </c>
      <c r="BB669" s="2"/>
      <c r="BC669" s="2">
        <v>44943.715057870373</v>
      </c>
      <c r="BD669" t="s">
        <v>91</v>
      </c>
      <c r="BF669" s="1" t="s">
        <v>75</v>
      </c>
      <c r="BG669">
        <v>0</v>
      </c>
      <c r="BH669">
        <v>0</v>
      </c>
      <c r="BI669" s="1" t="s">
        <v>88</v>
      </c>
      <c r="BJ669">
        <v>1</v>
      </c>
      <c r="BK669" s="1" t="s">
        <v>89</v>
      </c>
      <c r="BL669" t="s">
        <v>91</v>
      </c>
      <c r="BM669" s="1" t="s">
        <v>109</v>
      </c>
      <c r="BN669" s="1" t="s">
        <v>110</v>
      </c>
      <c r="BO669" s="1" t="s">
        <v>180</v>
      </c>
      <c r="BP669" s="1" t="s">
        <v>91</v>
      </c>
      <c r="BQ669" t="s">
        <v>91</v>
      </c>
      <c r="BR669" s="3"/>
      <c r="BS669" s="3">
        <v>44943</v>
      </c>
      <c r="BT669" t="s">
        <v>91</v>
      </c>
      <c r="BU669" t="s">
        <v>91</v>
      </c>
      <c r="BV669">
        <v>3</v>
      </c>
      <c r="BW669" s="1" t="s">
        <v>862</v>
      </c>
    </row>
    <row r="670" spans="1:75" hidden="1" x14ac:dyDescent="0.35">
      <c r="A670">
        <v>144332</v>
      </c>
      <c r="B670" s="1" t="s">
        <v>75</v>
      </c>
      <c r="C670">
        <v>80</v>
      </c>
      <c r="D670">
        <v>11121002</v>
      </c>
      <c r="E670">
        <v>121002</v>
      </c>
      <c r="F670" s="1" t="s">
        <v>2915</v>
      </c>
      <c r="G670" s="1" t="s">
        <v>3927</v>
      </c>
      <c r="I670" s="1" t="s">
        <v>78</v>
      </c>
      <c r="J670" s="1" t="s">
        <v>3928</v>
      </c>
      <c r="K670" s="1" t="s">
        <v>3929</v>
      </c>
      <c r="L670" t="s">
        <v>91</v>
      </c>
      <c r="M670" t="s">
        <v>91</v>
      </c>
      <c r="N670" s="1" t="s">
        <v>3930</v>
      </c>
      <c r="O670" t="s">
        <v>91</v>
      </c>
      <c r="P670" s="1" t="s">
        <v>3931</v>
      </c>
      <c r="Q670" s="1" t="s">
        <v>1234</v>
      </c>
      <c r="R670" s="1" t="s">
        <v>91</v>
      </c>
      <c r="S670">
        <v>1270</v>
      </c>
      <c r="T670">
        <v>88900005</v>
      </c>
      <c r="U670" s="1" t="s">
        <v>108</v>
      </c>
      <c r="V670" s="1" t="s">
        <v>3266</v>
      </c>
      <c r="W670" s="1" t="s">
        <v>87</v>
      </c>
      <c r="X670">
        <v>48</v>
      </c>
      <c r="Y670">
        <v>35240957</v>
      </c>
      <c r="Z670" t="s">
        <v>91</v>
      </c>
      <c r="AA670" t="s">
        <v>91</v>
      </c>
      <c r="AB670" t="s">
        <v>91</v>
      </c>
      <c r="AC670" t="s">
        <v>91</v>
      </c>
      <c r="AD670" t="s">
        <v>91</v>
      </c>
      <c r="AE670" t="s">
        <v>91</v>
      </c>
      <c r="AF670" t="s">
        <v>91</v>
      </c>
      <c r="AG670" s="1" t="s">
        <v>91</v>
      </c>
      <c r="AH670" s="1" t="s">
        <v>91</v>
      </c>
      <c r="AI670" t="s">
        <v>91</v>
      </c>
      <c r="AJ670">
        <v>0</v>
      </c>
      <c r="AK670">
        <v>0</v>
      </c>
      <c r="AL670">
        <v>0</v>
      </c>
      <c r="AM670" t="s">
        <v>91</v>
      </c>
      <c r="AN670" t="s">
        <v>91</v>
      </c>
      <c r="AO670" t="s">
        <v>91</v>
      </c>
      <c r="AP670" t="s">
        <v>91</v>
      </c>
      <c r="AQ670" s="1" t="s">
        <v>91</v>
      </c>
      <c r="AR670" s="1" t="s">
        <v>91</v>
      </c>
      <c r="AS670" s="1" t="s">
        <v>91</v>
      </c>
      <c r="AT670" s="1" t="s">
        <v>91</v>
      </c>
      <c r="AU670" s="1" t="s">
        <v>91</v>
      </c>
      <c r="AV670" t="s">
        <v>91</v>
      </c>
      <c r="AW670" t="s">
        <v>91</v>
      </c>
      <c r="AX670" t="s">
        <v>91</v>
      </c>
      <c r="AY670" t="s">
        <v>91</v>
      </c>
      <c r="AZ670" t="s">
        <v>91</v>
      </c>
      <c r="BA670" t="s">
        <v>91</v>
      </c>
      <c r="BB670" s="2"/>
      <c r="BC670" s="2"/>
      <c r="BD670" t="s">
        <v>91</v>
      </c>
      <c r="BF670" s="1" t="s">
        <v>75</v>
      </c>
      <c r="BG670">
        <v>0</v>
      </c>
      <c r="BH670">
        <v>0</v>
      </c>
      <c r="BI670" s="1" t="s">
        <v>88</v>
      </c>
      <c r="BJ670">
        <v>1</v>
      </c>
      <c r="BK670" s="1" t="s">
        <v>89</v>
      </c>
      <c r="BL670" t="s">
        <v>91</v>
      </c>
      <c r="BM670" s="1" t="s">
        <v>197</v>
      </c>
      <c r="BN670" s="1" t="s">
        <v>148</v>
      </c>
      <c r="BO670" s="1" t="s">
        <v>165</v>
      </c>
      <c r="BP670" s="1" t="s">
        <v>91</v>
      </c>
      <c r="BQ670" t="s">
        <v>91</v>
      </c>
      <c r="BR670" s="3"/>
      <c r="BS670" s="3"/>
      <c r="BT670" t="s">
        <v>91</v>
      </c>
      <c r="BU670" t="s">
        <v>91</v>
      </c>
      <c r="BV670">
        <v>5</v>
      </c>
      <c r="BW670" s="1" t="s">
        <v>90</v>
      </c>
    </row>
    <row r="671" spans="1:75" hidden="1" x14ac:dyDescent="0.35">
      <c r="A671">
        <v>127667</v>
      </c>
      <c r="B671" s="1" t="s">
        <v>75</v>
      </c>
      <c r="C671">
        <v>80</v>
      </c>
      <c r="D671">
        <v>11121002</v>
      </c>
      <c r="E671">
        <v>121002</v>
      </c>
      <c r="F671" s="1" t="s">
        <v>2915</v>
      </c>
      <c r="G671" s="1" t="s">
        <v>3932</v>
      </c>
      <c r="H671">
        <v>0</v>
      </c>
      <c r="I671" s="1" t="s">
        <v>78</v>
      </c>
      <c r="J671" s="1" t="s">
        <v>3933</v>
      </c>
      <c r="K671" s="1" t="s">
        <v>3934</v>
      </c>
      <c r="L671" t="s">
        <v>91</v>
      </c>
      <c r="M671" t="s">
        <v>91</v>
      </c>
      <c r="N671" s="1" t="s">
        <v>3935</v>
      </c>
      <c r="O671" t="s">
        <v>91</v>
      </c>
      <c r="P671" s="1" t="s">
        <v>3936</v>
      </c>
      <c r="Q671" s="1" t="s">
        <v>3937</v>
      </c>
      <c r="R671" s="1" t="s">
        <v>3938</v>
      </c>
      <c r="S671">
        <v>1258</v>
      </c>
      <c r="T671">
        <v>88070800</v>
      </c>
      <c r="U671" s="1" t="s">
        <v>3468</v>
      </c>
      <c r="V671" s="1" t="s">
        <v>2922</v>
      </c>
      <c r="W671" s="1" t="s">
        <v>87</v>
      </c>
      <c r="X671">
        <v>48</v>
      </c>
      <c r="Y671">
        <v>33042306</v>
      </c>
      <c r="Z671" t="s">
        <v>91</v>
      </c>
      <c r="AA671" t="s">
        <v>91</v>
      </c>
      <c r="AB671" t="s">
        <v>91</v>
      </c>
      <c r="AC671" t="s">
        <v>91</v>
      </c>
      <c r="AD671" t="s">
        <v>91</v>
      </c>
      <c r="AE671" t="s">
        <v>91</v>
      </c>
      <c r="AF671" t="s">
        <v>91</v>
      </c>
      <c r="AG671" s="1" t="s">
        <v>91</v>
      </c>
      <c r="AH671" s="1" t="s">
        <v>91</v>
      </c>
      <c r="AI671" t="s">
        <v>91</v>
      </c>
      <c r="AM671" t="s">
        <v>91</v>
      </c>
      <c r="AN671" t="s">
        <v>91</v>
      </c>
      <c r="AO671" t="s">
        <v>91</v>
      </c>
      <c r="AP671" t="s">
        <v>91</v>
      </c>
      <c r="AQ671" s="1" t="s">
        <v>91</v>
      </c>
      <c r="AR671" s="1" t="s">
        <v>91</v>
      </c>
      <c r="AS671" s="1" t="s">
        <v>91</v>
      </c>
      <c r="AT671" s="1" t="s">
        <v>91</v>
      </c>
      <c r="AU671" s="1" t="s">
        <v>91</v>
      </c>
      <c r="AV671" t="s">
        <v>91</v>
      </c>
      <c r="AW671" t="s">
        <v>91</v>
      </c>
      <c r="AX671" t="s">
        <v>91</v>
      </c>
      <c r="AY671" t="s">
        <v>91</v>
      </c>
      <c r="AZ671" t="s">
        <v>91</v>
      </c>
      <c r="BA671" t="s">
        <v>91</v>
      </c>
      <c r="BB671" s="2">
        <v>44111.380995370368</v>
      </c>
      <c r="BC671" s="2"/>
      <c r="BD671" t="s">
        <v>91</v>
      </c>
      <c r="BF671" s="1" t="s">
        <v>75</v>
      </c>
      <c r="BI671" s="1" t="s">
        <v>88</v>
      </c>
      <c r="BJ671">
        <v>1</v>
      </c>
      <c r="BK671" s="1" t="s">
        <v>89</v>
      </c>
      <c r="BL671" t="s">
        <v>91</v>
      </c>
      <c r="BM671" s="1" t="s">
        <v>109</v>
      </c>
      <c r="BN671" s="1" t="s">
        <v>110</v>
      </c>
      <c r="BO671" s="1" t="s">
        <v>165</v>
      </c>
      <c r="BP671" s="1" t="s">
        <v>91</v>
      </c>
      <c r="BQ671" t="s">
        <v>91</v>
      </c>
      <c r="BR671" s="3">
        <v>44111</v>
      </c>
      <c r="BS671" s="3"/>
      <c r="BT671" t="s">
        <v>91</v>
      </c>
      <c r="BU671" t="s">
        <v>91</v>
      </c>
      <c r="BV671">
        <v>1</v>
      </c>
      <c r="BW671" s="1" t="s">
        <v>3323</v>
      </c>
    </row>
    <row r="672" spans="1:75" hidden="1" x14ac:dyDescent="0.35">
      <c r="A672">
        <v>134401</v>
      </c>
      <c r="B672" s="1" t="s">
        <v>75</v>
      </c>
      <c r="C672">
        <v>80</v>
      </c>
      <c r="D672">
        <v>11121002</v>
      </c>
      <c r="E672">
        <v>121002</v>
      </c>
      <c r="F672" s="1" t="s">
        <v>2915</v>
      </c>
      <c r="G672" s="1" t="s">
        <v>3939</v>
      </c>
      <c r="I672" s="1" t="s">
        <v>78</v>
      </c>
      <c r="J672" s="1" t="s">
        <v>3940</v>
      </c>
      <c r="K672" s="1" t="s">
        <v>3941</v>
      </c>
      <c r="L672" t="s">
        <v>91</v>
      </c>
      <c r="M672" t="s">
        <v>91</v>
      </c>
      <c r="N672" s="1" t="s">
        <v>3935</v>
      </c>
      <c r="O672" t="s">
        <v>91</v>
      </c>
      <c r="P672" s="1" t="s">
        <v>3942</v>
      </c>
      <c r="Q672" s="1" t="s">
        <v>3323</v>
      </c>
      <c r="R672" s="1" t="s">
        <v>954</v>
      </c>
      <c r="S672">
        <v>1257</v>
      </c>
      <c r="T672">
        <v>88062020</v>
      </c>
      <c r="U672" s="1" t="s">
        <v>3943</v>
      </c>
      <c r="V672" s="1" t="s">
        <v>3102</v>
      </c>
      <c r="W672" s="1" t="s">
        <v>87</v>
      </c>
      <c r="X672">
        <v>48</v>
      </c>
      <c r="Y672">
        <v>32067992</v>
      </c>
      <c r="Z672" t="s">
        <v>91</v>
      </c>
      <c r="AA672" t="s">
        <v>91</v>
      </c>
      <c r="AB672" t="s">
        <v>91</v>
      </c>
      <c r="AC672" t="s">
        <v>91</v>
      </c>
      <c r="AD672" t="s">
        <v>91</v>
      </c>
      <c r="AE672" t="s">
        <v>91</v>
      </c>
      <c r="AF672" t="s">
        <v>91</v>
      </c>
      <c r="AG672" s="1" t="s">
        <v>146</v>
      </c>
      <c r="AH672" s="1" t="s">
        <v>91</v>
      </c>
      <c r="AI672" t="s">
        <v>91</v>
      </c>
      <c r="AM672" t="s">
        <v>91</v>
      </c>
      <c r="AN672" t="s">
        <v>91</v>
      </c>
      <c r="AO672" t="s">
        <v>91</v>
      </c>
      <c r="AP672" t="s">
        <v>91</v>
      </c>
      <c r="AQ672" s="1" t="s">
        <v>147</v>
      </c>
      <c r="AR672" s="1" t="s">
        <v>147</v>
      </c>
      <c r="AS672" s="1" t="s">
        <v>147</v>
      </c>
      <c r="AT672" s="1" t="s">
        <v>147</v>
      </c>
      <c r="AU672" s="1" t="s">
        <v>147</v>
      </c>
      <c r="AV672" t="s">
        <v>91</v>
      </c>
      <c r="AW672" t="s">
        <v>91</v>
      </c>
      <c r="AX672" t="s">
        <v>91</v>
      </c>
      <c r="AY672" t="s">
        <v>91</v>
      </c>
      <c r="AZ672" t="s">
        <v>91</v>
      </c>
      <c r="BA672" t="s">
        <v>91</v>
      </c>
      <c r="BB672" s="2"/>
      <c r="BC672" s="2">
        <v>44578.640173611115</v>
      </c>
      <c r="BD672" t="s">
        <v>91</v>
      </c>
      <c r="BF672" s="1" t="s">
        <v>75</v>
      </c>
      <c r="BH672">
        <v>0</v>
      </c>
      <c r="BI672" s="1" t="s">
        <v>88</v>
      </c>
      <c r="BJ672">
        <v>1</v>
      </c>
      <c r="BK672" s="1" t="s">
        <v>89</v>
      </c>
      <c r="BL672" t="s">
        <v>91</v>
      </c>
      <c r="BM672" s="1" t="s">
        <v>329</v>
      </c>
      <c r="BN672" s="1" t="s">
        <v>110</v>
      </c>
      <c r="BO672" s="1" t="s">
        <v>165</v>
      </c>
      <c r="BP672" s="1" t="s">
        <v>91</v>
      </c>
      <c r="BQ672" t="s">
        <v>91</v>
      </c>
      <c r="BR672" s="3"/>
      <c r="BS672" s="3">
        <v>44578</v>
      </c>
      <c r="BT672" t="s">
        <v>91</v>
      </c>
      <c r="BU672" t="s">
        <v>91</v>
      </c>
      <c r="BV672">
        <v>1</v>
      </c>
      <c r="BW672" s="1" t="s">
        <v>804</v>
      </c>
    </row>
    <row r="673" spans="1:75" hidden="1" x14ac:dyDescent="0.35">
      <c r="A673">
        <v>135178</v>
      </c>
      <c r="B673" s="1" t="s">
        <v>75</v>
      </c>
      <c r="C673">
        <v>80</v>
      </c>
      <c r="D673">
        <v>11121002</v>
      </c>
      <c r="E673">
        <v>121002</v>
      </c>
      <c r="F673" s="1" t="s">
        <v>2915</v>
      </c>
      <c r="G673" s="1" t="s">
        <v>3944</v>
      </c>
      <c r="H673">
        <v>0</v>
      </c>
      <c r="I673" s="1" t="s">
        <v>78</v>
      </c>
      <c r="J673" s="1" t="s">
        <v>3945</v>
      </c>
      <c r="K673" s="1" t="s">
        <v>3946</v>
      </c>
      <c r="L673" t="s">
        <v>91</v>
      </c>
      <c r="M673" t="s">
        <v>91</v>
      </c>
      <c r="N673" s="1" t="s">
        <v>3658</v>
      </c>
      <c r="O673" t="s">
        <v>91</v>
      </c>
      <c r="P673" s="1" t="s">
        <v>3936</v>
      </c>
      <c r="Q673" s="1" t="s">
        <v>3937</v>
      </c>
      <c r="R673" s="1" t="s">
        <v>3938</v>
      </c>
      <c r="S673">
        <v>1258</v>
      </c>
      <c r="T673">
        <v>88070800</v>
      </c>
      <c r="U673" s="1" t="s">
        <v>3468</v>
      </c>
      <c r="V673" s="1" t="s">
        <v>2922</v>
      </c>
      <c r="W673" s="1" t="s">
        <v>87</v>
      </c>
      <c r="X673">
        <v>48</v>
      </c>
      <c r="Y673">
        <v>33042306</v>
      </c>
      <c r="Z673" t="s">
        <v>91</v>
      </c>
      <c r="AA673" t="s">
        <v>91</v>
      </c>
      <c r="AB673" t="s">
        <v>91</v>
      </c>
      <c r="AC673" t="s">
        <v>91</v>
      </c>
      <c r="AD673" t="s">
        <v>91</v>
      </c>
      <c r="AE673" t="s">
        <v>91</v>
      </c>
      <c r="AF673" t="s">
        <v>91</v>
      </c>
      <c r="AG673" s="1" t="s">
        <v>91</v>
      </c>
      <c r="AH673" s="1" t="s">
        <v>91</v>
      </c>
      <c r="AI673" t="s">
        <v>91</v>
      </c>
      <c r="AM673" t="s">
        <v>91</v>
      </c>
      <c r="AN673" t="s">
        <v>91</v>
      </c>
      <c r="AO673" t="s">
        <v>91</v>
      </c>
      <c r="AP673" t="s">
        <v>91</v>
      </c>
      <c r="AQ673" s="1" t="s">
        <v>91</v>
      </c>
      <c r="AR673" s="1" t="s">
        <v>91</v>
      </c>
      <c r="AS673" s="1" t="s">
        <v>91</v>
      </c>
      <c r="AT673" s="1" t="s">
        <v>91</v>
      </c>
      <c r="AU673" s="1" t="s">
        <v>91</v>
      </c>
      <c r="AV673" t="s">
        <v>91</v>
      </c>
      <c r="AW673" t="s">
        <v>91</v>
      </c>
      <c r="AX673" t="s">
        <v>91</v>
      </c>
      <c r="AY673" t="s">
        <v>91</v>
      </c>
      <c r="AZ673" t="s">
        <v>91</v>
      </c>
      <c r="BA673" t="s">
        <v>91</v>
      </c>
      <c r="BB673" s="2">
        <v>44316.427905092591</v>
      </c>
      <c r="BC673" s="2"/>
      <c r="BD673" t="s">
        <v>91</v>
      </c>
      <c r="BF673" s="1" t="s">
        <v>75</v>
      </c>
      <c r="BI673" s="1" t="s">
        <v>88</v>
      </c>
      <c r="BJ673">
        <v>1</v>
      </c>
      <c r="BK673" s="1" t="s">
        <v>89</v>
      </c>
      <c r="BL673" t="s">
        <v>91</v>
      </c>
      <c r="BM673" s="1" t="s">
        <v>164</v>
      </c>
      <c r="BN673" s="1" t="s">
        <v>110</v>
      </c>
      <c r="BO673" s="1" t="s">
        <v>165</v>
      </c>
      <c r="BP673" s="1" t="s">
        <v>91</v>
      </c>
      <c r="BQ673" t="s">
        <v>91</v>
      </c>
      <c r="BR673" s="3">
        <v>44316</v>
      </c>
      <c r="BS673" s="3"/>
      <c r="BT673" t="s">
        <v>91</v>
      </c>
      <c r="BU673" t="s">
        <v>91</v>
      </c>
      <c r="BW673" s="1" t="s">
        <v>1661</v>
      </c>
    </row>
    <row r="674" spans="1:75" hidden="1" x14ac:dyDescent="0.35">
      <c r="A674">
        <v>152756</v>
      </c>
      <c r="B674" s="1" t="s">
        <v>75</v>
      </c>
      <c r="C674">
        <v>80</v>
      </c>
      <c r="D674">
        <v>11121002</v>
      </c>
      <c r="E674">
        <v>121002</v>
      </c>
      <c r="F674" s="1" t="s">
        <v>2915</v>
      </c>
      <c r="G674" s="1" t="s">
        <v>3947</v>
      </c>
      <c r="H674">
        <v>0</v>
      </c>
      <c r="I674" s="1" t="s">
        <v>78</v>
      </c>
      <c r="J674" s="1" t="s">
        <v>3948</v>
      </c>
      <c r="K674" s="1" t="s">
        <v>3949</v>
      </c>
      <c r="L674" t="s">
        <v>91</v>
      </c>
      <c r="M674" t="s">
        <v>91</v>
      </c>
      <c r="N674" s="1" t="s">
        <v>3950</v>
      </c>
      <c r="O674" t="s">
        <v>91</v>
      </c>
      <c r="P674" s="1" t="s">
        <v>3936</v>
      </c>
      <c r="Q674" s="1" t="s">
        <v>3951</v>
      </c>
      <c r="R674" s="1" t="s">
        <v>3952</v>
      </c>
      <c r="S674">
        <v>1258</v>
      </c>
      <c r="T674">
        <v>88070800</v>
      </c>
      <c r="U674" s="1" t="s">
        <v>3953</v>
      </c>
      <c r="V674" s="1" t="s">
        <v>2922</v>
      </c>
      <c r="W674" s="1" t="s">
        <v>87</v>
      </c>
      <c r="Z674" t="s">
        <v>91</v>
      </c>
      <c r="AA674" t="s">
        <v>91</v>
      </c>
      <c r="AB674" t="s">
        <v>91</v>
      </c>
      <c r="AC674" t="s">
        <v>91</v>
      </c>
      <c r="AD674" t="s">
        <v>91</v>
      </c>
      <c r="AE674" t="s">
        <v>91</v>
      </c>
      <c r="AF674" t="s">
        <v>91</v>
      </c>
      <c r="AG674" s="1" t="s">
        <v>91</v>
      </c>
      <c r="AH674" s="1" t="s">
        <v>91</v>
      </c>
      <c r="AI674" t="s">
        <v>91</v>
      </c>
      <c r="AM674" t="s">
        <v>91</v>
      </c>
      <c r="AN674" t="s">
        <v>91</v>
      </c>
      <c r="AO674" t="s">
        <v>91</v>
      </c>
      <c r="AP674" t="s">
        <v>91</v>
      </c>
      <c r="AQ674" s="1" t="s">
        <v>91</v>
      </c>
      <c r="AR674" s="1" t="s">
        <v>91</v>
      </c>
      <c r="AS674" s="1" t="s">
        <v>91</v>
      </c>
      <c r="AT674" s="1" t="s">
        <v>91</v>
      </c>
      <c r="AU674" s="1" t="s">
        <v>91</v>
      </c>
      <c r="AV674" t="s">
        <v>91</v>
      </c>
      <c r="AW674" t="s">
        <v>91</v>
      </c>
      <c r="AX674" t="s">
        <v>91</v>
      </c>
      <c r="AY674" t="s">
        <v>91</v>
      </c>
      <c r="AZ674" t="s">
        <v>91</v>
      </c>
      <c r="BA674" t="s">
        <v>91</v>
      </c>
      <c r="BB674" s="2">
        <v>45019.565613425926</v>
      </c>
      <c r="BC674" s="2"/>
      <c r="BD674" t="s">
        <v>91</v>
      </c>
      <c r="BF674" s="1" t="s">
        <v>75</v>
      </c>
      <c r="BI674" s="1" t="s">
        <v>88</v>
      </c>
      <c r="BJ674">
        <v>1</v>
      </c>
      <c r="BK674" s="1" t="s">
        <v>89</v>
      </c>
      <c r="BL674" t="s">
        <v>91</v>
      </c>
      <c r="BM674" s="1" t="s">
        <v>91</v>
      </c>
      <c r="BN674" s="1" t="s">
        <v>91</v>
      </c>
      <c r="BO674" s="1" t="s">
        <v>91</v>
      </c>
      <c r="BP674" s="1" t="s">
        <v>91</v>
      </c>
      <c r="BQ674" t="s">
        <v>91</v>
      </c>
      <c r="BR674" s="3">
        <v>45019</v>
      </c>
      <c r="BS674" s="3"/>
      <c r="BT674" t="s">
        <v>91</v>
      </c>
      <c r="BU674" t="s">
        <v>91</v>
      </c>
      <c r="BW674" s="1" t="s">
        <v>90</v>
      </c>
    </row>
    <row r="675" spans="1:75" hidden="1" x14ac:dyDescent="0.35">
      <c r="A675">
        <v>156856</v>
      </c>
      <c r="B675" s="1" t="s">
        <v>75</v>
      </c>
      <c r="C675">
        <v>80</v>
      </c>
      <c r="D675">
        <v>11121002</v>
      </c>
      <c r="E675">
        <v>121002</v>
      </c>
      <c r="F675" s="1" t="s">
        <v>2915</v>
      </c>
      <c r="G675" s="1" t="s">
        <v>3954</v>
      </c>
      <c r="H675">
        <v>0</v>
      </c>
      <c r="I675" s="1" t="s">
        <v>78</v>
      </c>
      <c r="J675" s="1" t="s">
        <v>3955</v>
      </c>
      <c r="K675" s="1" t="s">
        <v>3956</v>
      </c>
      <c r="L675" t="s">
        <v>91</v>
      </c>
      <c r="M675" t="s">
        <v>91</v>
      </c>
      <c r="N675" s="1" t="s">
        <v>3957</v>
      </c>
      <c r="O675" t="s">
        <v>91</v>
      </c>
      <c r="P675" s="1" t="s">
        <v>3958</v>
      </c>
      <c r="Q675" s="1" t="s">
        <v>3959</v>
      </c>
      <c r="R675" s="1" t="s">
        <v>434</v>
      </c>
      <c r="T675">
        <v>88133400</v>
      </c>
      <c r="U675" s="1" t="s">
        <v>3164</v>
      </c>
      <c r="V675" s="1" t="s">
        <v>2951</v>
      </c>
      <c r="W675" s="1" t="s">
        <v>87</v>
      </c>
      <c r="X675">
        <v>48</v>
      </c>
      <c r="Y675">
        <v>999130289</v>
      </c>
      <c r="Z675" t="s">
        <v>91</v>
      </c>
      <c r="AA675" t="s">
        <v>91</v>
      </c>
      <c r="AB675" t="s">
        <v>91</v>
      </c>
      <c r="AC675" t="s">
        <v>91</v>
      </c>
      <c r="AD675" t="s">
        <v>91</v>
      </c>
      <c r="AE675" t="s">
        <v>91</v>
      </c>
      <c r="AF675" t="s">
        <v>91</v>
      </c>
      <c r="AG675" s="1" t="s">
        <v>91</v>
      </c>
      <c r="AH675" s="1" t="s">
        <v>91</v>
      </c>
      <c r="AI675" t="s">
        <v>91</v>
      </c>
      <c r="AM675" t="s">
        <v>91</v>
      </c>
      <c r="AN675" t="s">
        <v>91</v>
      </c>
      <c r="AO675" t="s">
        <v>91</v>
      </c>
      <c r="AP675" t="s">
        <v>91</v>
      </c>
      <c r="AQ675" s="1" t="s">
        <v>91</v>
      </c>
      <c r="AR675" s="1" t="s">
        <v>91</v>
      </c>
      <c r="AS675" s="1" t="s">
        <v>91</v>
      </c>
      <c r="AT675" s="1" t="s">
        <v>91</v>
      </c>
      <c r="AU675" s="1" t="s">
        <v>91</v>
      </c>
      <c r="AV675" t="s">
        <v>91</v>
      </c>
      <c r="AW675" t="s">
        <v>91</v>
      </c>
      <c r="AX675" t="s">
        <v>91</v>
      </c>
      <c r="AY675" t="s">
        <v>91</v>
      </c>
      <c r="AZ675" t="s">
        <v>91</v>
      </c>
      <c r="BA675" t="s">
        <v>91</v>
      </c>
      <c r="BB675" s="2">
        <v>45113.505416666667</v>
      </c>
      <c r="BC675" s="2"/>
      <c r="BD675" t="s">
        <v>91</v>
      </c>
      <c r="BF675" s="1" t="s">
        <v>75</v>
      </c>
      <c r="BI675" s="1" t="s">
        <v>88</v>
      </c>
      <c r="BJ675">
        <v>1</v>
      </c>
      <c r="BK675" s="1" t="s">
        <v>89</v>
      </c>
      <c r="BL675" t="s">
        <v>91</v>
      </c>
      <c r="BM675" s="1" t="s">
        <v>91</v>
      </c>
      <c r="BN675" s="1" t="s">
        <v>91</v>
      </c>
      <c r="BO675" s="1" t="s">
        <v>91</v>
      </c>
      <c r="BP675" s="1" t="s">
        <v>91</v>
      </c>
      <c r="BQ675" t="s">
        <v>91</v>
      </c>
      <c r="BR675" s="3">
        <v>45113</v>
      </c>
      <c r="BS675" s="3"/>
      <c r="BT675" t="s">
        <v>91</v>
      </c>
      <c r="BU675" t="s">
        <v>91</v>
      </c>
      <c r="BW675" s="1" t="s">
        <v>665</v>
      </c>
    </row>
    <row r="676" spans="1:75" hidden="1" x14ac:dyDescent="0.35">
      <c r="A676">
        <v>144811</v>
      </c>
      <c r="B676" s="1" t="s">
        <v>75</v>
      </c>
      <c r="C676">
        <v>80</v>
      </c>
      <c r="D676">
        <v>11121002</v>
      </c>
      <c r="E676">
        <v>121002</v>
      </c>
      <c r="F676" s="1" t="s">
        <v>2915</v>
      </c>
      <c r="G676" s="1" t="s">
        <v>3960</v>
      </c>
      <c r="I676" s="1" t="s">
        <v>78</v>
      </c>
      <c r="J676" s="1" t="s">
        <v>3961</v>
      </c>
      <c r="K676" s="1" t="s">
        <v>3962</v>
      </c>
      <c r="L676" t="s">
        <v>91</v>
      </c>
      <c r="M676" t="s">
        <v>91</v>
      </c>
      <c r="N676" s="1" t="s">
        <v>3963</v>
      </c>
      <c r="O676" t="s">
        <v>91</v>
      </c>
      <c r="P676" s="1" t="s">
        <v>3964</v>
      </c>
      <c r="Q676" s="1" t="s">
        <v>3965</v>
      </c>
      <c r="R676" s="1" t="s">
        <v>91</v>
      </c>
      <c r="T676">
        <v>88802502</v>
      </c>
      <c r="U676" s="1" t="s">
        <v>499</v>
      </c>
      <c r="V676" s="1" t="s">
        <v>3231</v>
      </c>
      <c r="W676" s="1" t="s">
        <v>87</v>
      </c>
      <c r="X676">
        <v>48</v>
      </c>
      <c r="Y676">
        <v>31988392</v>
      </c>
      <c r="Z676" t="s">
        <v>91</v>
      </c>
      <c r="AA676" t="s">
        <v>91</v>
      </c>
      <c r="AB676" t="s">
        <v>91</v>
      </c>
      <c r="AC676" t="s">
        <v>91</v>
      </c>
      <c r="AD676" t="s">
        <v>91</v>
      </c>
      <c r="AE676" t="s">
        <v>91</v>
      </c>
      <c r="AF676" t="s">
        <v>91</v>
      </c>
      <c r="AG676" s="1" t="s">
        <v>91</v>
      </c>
      <c r="AH676" s="1" t="s">
        <v>91</v>
      </c>
      <c r="AI676" t="s">
        <v>91</v>
      </c>
      <c r="AJ676">
        <v>0</v>
      </c>
      <c r="AK676">
        <v>0</v>
      </c>
      <c r="AL676">
        <v>0</v>
      </c>
      <c r="AM676" t="s">
        <v>91</v>
      </c>
      <c r="AN676" t="s">
        <v>91</v>
      </c>
      <c r="AO676" t="s">
        <v>91</v>
      </c>
      <c r="AP676" t="s">
        <v>91</v>
      </c>
      <c r="AQ676" s="1" t="s">
        <v>91</v>
      </c>
      <c r="AR676" s="1" t="s">
        <v>91</v>
      </c>
      <c r="AS676" s="1" t="s">
        <v>91</v>
      </c>
      <c r="AT676" s="1" t="s">
        <v>91</v>
      </c>
      <c r="AU676" s="1" t="s">
        <v>91</v>
      </c>
      <c r="AV676" t="s">
        <v>91</v>
      </c>
      <c r="AW676" t="s">
        <v>91</v>
      </c>
      <c r="AX676" t="s">
        <v>91</v>
      </c>
      <c r="AY676" t="s">
        <v>91</v>
      </c>
      <c r="AZ676" t="s">
        <v>91</v>
      </c>
      <c r="BA676" t="s">
        <v>91</v>
      </c>
      <c r="BB676" s="2"/>
      <c r="BC676" s="2"/>
      <c r="BD676" t="s">
        <v>91</v>
      </c>
      <c r="BF676" s="1" t="s">
        <v>75</v>
      </c>
      <c r="BG676">
        <v>0</v>
      </c>
      <c r="BH676">
        <v>0</v>
      </c>
      <c r="BI676" s="1" t="s">
        <v>88</v>
      </c>
      <c r="BJ676">
        <v>1</v>
      </c>
      <c r="BK676" s="1" t="s">
        <v>89</v>
      </c>
      <c r="BL676" t="s">
        <v>91</v>
      </c>
      <c r="BM676" s="1" t="s">
        <v>109</v>
      </c>
      <c r="BN676" s="1" t="s">
        <v>110</v>
      </c>
      <c r="BO676" s="1" t="s">
        <v>91</v>
      </c>
      <c r="BP676" s="1" t="s">
        <v>91</v>
      </c>
      <c r="BQ676" t="s">
        <v>91</v>
      </c>
      <c r="BR676" s="3"/>
      <c r="BS676" s="3"/>
      <c r="BT676" t="s">
        <v>91</v>
      </c>
      <c r="BU676" t="s">
        <v>91</v>
      </c>
      <c r="BW676" s="1" t="s">
        <v>2162</v>
      </c>
    </row>
    <row r="677" spans="1:75" hidden="1" x14ac:dyDescent="0.35">
      <c r="A677">
        <v>144648</v>
      </c>
      <c r="B677" s="1" t="s">
        <v>75</v>
      </c>
      <c r="C677">
        <v>80</v>
      </c>
      <c r="D677">
        <v>11121002</v>
      </c>
      <c r="E677">
        <v>121002</v>
      </c>
      <c r="F677" s="1" t="s">
        <v>2915</v>
      </c>
      <c r="G677" s="1" t="s">
        <v>3966</v>
      </c>
      <c r="I677" s="1" t="s">
        <v>78</v>
      </c>
      <c r="J677" s="1" t="s">
        <v>3967</v>
      </c>
      <c r="K677" s="1" t="s">
        <v>3968</v>
      </c>
      <c r="L677" t="s">
        <v>91</v>
      </c>
      <c r="M677" t="s">
        <v>91</v>
      </c>
      <c r="N677" s="1" t="s">
        <v>3969</v>
      </c>
      <c r="O677" t="s">
        <v>91</v>
      </c>
      <c r="P677" s="1" t="s">
        <v>3970</v>
      </c>
      <c r="Q677" s="1" t="s">
        <v>3971</v>
      </c>
      <c r="R677" s="1" t="s">
        <v>173</v>
      </c>
      <c r="S677">
        <v>1268</v>
      </c>
      <c r="T677">
        <v>88750000</v>
      </c>
      <c r="U677" s="1" t="s">
        <v>108</v>
      </c>
      <c r="V677" s="1" t="s">
        <v>3972</v>
      </c>
      <c r="W677" s="1" t="s">
        <v>87</v>
      </c>
      <c r="X677">
        <v>48</v>
      </c>
      <c r="Y677">
        <v>36600958</v>
      </c>
      <c r="Z677" t="s">
        <v>91</v>
      </c>
      <c r="AA677" t="s">
        <v>91</v>
      </c>
      <c r="AB677" t="s">
        <v>91</v>
      </c>
      <c r="AC677" t="s">
        <v>91</v>
      </c>
      <c r="AD677" t="s">
        <v>91</v>
      </c>
      <c r="AE677" t="s">
        <v>91</v>
      </c>
      <c r="AF677" t="s">
        <v>91</v>
      </c>
      <c r="AG677" s="1" t="s">
        <v>91</v>
      </c>
      <c r="AH677" s="1" t="s">
        <v>91</v>
      </c>
      <c r="AI677" t="s">
        <v>91</v>
      </c>
      <c r="AJ677">
        <v>0</v>
      </c>
      <c r="AK677">
        <v>0</v>
      </c>
      <c r="AL677">
        <v>0</v>
      </c>
      <c r="AM677" t="s">
        <v>91</v>
      </c>
      <c r="AN677" t="s">
        <v>91</v>
      </c>
      <c r="AO677" t="s">
        <v>91</v>
      </c>
      <c r="AP677" t="s">
        <v>91</v>
      </c>
      <c r="AQ677" s="1" t="s">
        <v>91</v>
      </c>
      <c r="AR677" s="1" t="s">
        <v>91</v>
      </c>
      <c r="AS677" s="1" t="s">
        <v>91</v>
      </c>
      <c r="AT677" s="1" t="s">
        <v>91</v>
      </c>
      <c r="AU677" s="1" t="s">
        <v>91</v>
      </c>
      <c r="AV677" t="s">
        <v>91</v>
      </c>
      <c r="AW677" t="s">
        <v>91</v>
      </c>
      <c r="AX677" t="s">
        <v>91</v>
      </c>
      <c r="AY677" t="s">
        <v>91</v>
      </c>
      <c r="AZ677" t="s">
        <v>91</v>
      </c>
      <c r="BA677" t="s">
        <v>91</v>
      </c>
      <c r="BB677" s="2"/>
      <c r="BC677" s="2"/>
      <c r="BD677" t="s">
        <v>91</v>
      </c>
      <c r="BF677" s="1" t="s">
        <v>75</v>
      </c>
      <c r="BG677">
        <v>0</v>
      </c>
      <c r="BH677">
        <v>0</v>
      </c>
      <c r="BI677" s="1" t="s">
        <v>88</v>
      </c>
      <c r="BJ677">
        <v>1</v>
      </c>
      <c r="BK677" s="1" t="s">
        <v>89</v>
      </c>
      <c r="BL677" t="s">
        <v>91</v>
      </c>
      <c r="BM677" s="1" t="s">
        <v>109</v>
      </c>
      <c r="BN677" s="1" t="s">
        <v>110</v>
      </c>
      <c r="BO677" s="1" t="s">
        <v>180</v>
      </c>
      <c r="BP677" s="1" t="s">
        <v>91</v>
      </c>
      <c r="BQ677" t="s">
        <v>91</v>
      </c>
      <c r="BR677" s="3"/>
      <c r="BS677" s="3"/>
      <c r="BT677" t="s">
        <v>91</v>
      </c>
      <c r="BU677" t="s">
        <v>91</v>
      </c>
      <c r="BV677">
        <v>9</v>
      </c>
      <c r="BW677" s="1" t="s">
        <v>396</v>
      </c>
    </row>
    <row r="678" spans="1:75" hidden="1" x14ac:dyDescent="0.35">
      <c r="A678">
        <v>156881</v>
      </c>
      <c r="B678" s="1" t="s">
        <v>75</v>
      </c>
      <c r="C678">
        <v>80</v>
      </c>
      <c r="D678">
        <v>11121002</v>
      </c>
      <c r="E678">
        <v>121002</v>
      </c>
      <c r="F678" s="1" t="s">
        <v>2915</v>
      </c>
      <c r="G678" s="1" t="s">
        <v>3973</v>
      </c>
      <c r="H678">
        <v>0</v>
      </c>
      <c r="I678" s="1" t="s">
        <v>78</v>
      </c>
      <c r="J678" s="1" t="s">
        <v>3974</v>
      </c>
      <c r="K678" s="1" t="s">
        <v>3975</v>
      </c>
      <c r="L678" t="s">
        <v>91</v>
      </c>
      <c r="M678" t="s">
        <v>91</v>
      </c>
      <c r="N678" s="1" t="s">
        <v>3976</v>
      </c>
      <c r="O678" t="s">
        <v>91</v>
      </c>
      <c r="P678" s="1" t="s">
        <v>2920</v>
      </c>
      <c r="Q678" s="1" t="s">
        <v>905</v>
      </c>
      <c r="R678" s="1" t="s">
        <v>91</v>
      </c>
      <c r="S678">
        <v>1254</v>
      </c>
      <c r="T678">
        <v>88010020</v>
      </c>
      <c r="U678" s="1" t="s">
        <v>108</v>
      </c>
      <c r="V678" s="1" t="s">
        <v>2922</v>
      </c>
      <c r="W678" s="1" t="s">
        <v>87</v>
      </c>
      <c r="X678">
        <v>48</v>
      </c>
      <c r="Y678">
        <v>30850593</v>
      </c>
      <c r="Z678" t="s">
        <v>91</v>
      </c>
      <c r="AA678" t="s">
        <v>91</v>
      </c>
      <c r="AB678" t="s">
        <v>91</v>
      </c>
      <c r="AC678" t="s">
        <v>91</v>
      </c>
      <c r="AD678" t="s">
        <v>91</v>
      </c>
      <c r="AE678" t="s">
        <v>91</v>
      </c>
      <c r="AF678" t="s">
        <v>91</v>
      </c>
      <c r="AG678" s="1" t="s">
        <v>91</v>
      </c>
      <c r="AH678" s="1" t="s">
        <v>91</v>
      </c>
      <c r="AI678" t="s">
        <v>91</v>
      </c>
      <c r="AM678" t="s">
        <v>91</v>
      </c>
      <c r="AN678" t="s">
        <v>91</v>
      </c>
      <c r="AO678" t="s">
        <v>91</v>
      </c>
      <c r="AP678" t="s">
        <v>91</v>
      </c>
      <c r="AQ678" s="1" t="s">
        <v>91</v>
      </c>
      <c r="AR678" s="1" t="s">
        <v>91</v>
      </c>
      <c r="AS678" s="1" t="s">
        <v>91</v>
      </c>
      <c r="AT678" s="1" t="s">
        <v>91</v>
      </c>
      <c r="AU678" s="1" t="s">
        <v>91</v>
      </c>
      <c r="AV678" t="s">
        <v>91</v>
      </c>
      <c r="AW678" t="s">
        <v>91</v>
      </c>
      <c r="AX678" t="s">
        <v>91</v>
      </c>
      <c r="AY678" t="s">
        <v>91</v>
      </c>
      <c r="AZ678" t="s">
        <v>91</v>
      </c>
      <c r="BA678" t="s">
        <v>91</v>
      </c>
      <c r="BB678" s="2">
        <v>45113.505416666667</v>
      </c>
      <c r="BC678" s="2"/>
      <c r="BD678" t="s">
        <v>91</v>
      </c>
      <c r="BF678" s="1" t="s">
        <v>75</v>
      </c>
      <c r="BI678" s="1" t="s">
        <v>88</v>
      </c>
      <c r="BJ678">
        <v>1</v>
      </c>
      <c r="BK678" s="1" t="s">
        <v>89</v>
      </c>
      <c r="BL678" t="s">
        <v>91</v>
      </c>
      <c r="BM678" s="1" t="s">
        <v>91</v>
      </c>
      <c r="BN678" s="1" t="s">
        <v>91</v>
      </c>
      <c r="BO678" s="1" t="s">
        <v>91</v>
      </c>
      <c r="BP678" s="1" t="s">
        <v>91</v>
      </c>
      <c r="BQ678" t="s">
        <v>91</v>
      </c>
      <c r="BR678" s="3">
        <v>45113</v>
      </c>
      <c r="BS678" s="3"/>
      <c r="BT678" t="s">
        <v>91</v>
      </c>
      <c r="BU678" t="s">
        <v>91</v>
      </c>
      <c r="BW678" s="1" t="s">
        <v>90</v>
      </c>
    </row>
    <row r="679" spans="1:75" hidden="1" x14ac:dyDescent="0.35">
      <c r="A679">
        <v>134314</v>
      </c>
      <c r="B679" s="1" t="s">
        <v>75</v>
      </c>
      <c r="C679">
        <v>80</v>
      </c>
      <c r="D679">
        <v>11121002</v>
      </c>
      <c r="E679">
        <v>121002</v>
      </c>
      <c r="F679" s="1" t="s">
        <v>2915</v>
      </c>
      <c r="G679" s="1" t="s">
        <v>3977</v>
      </c>
      <c r="I679" s="1" t="s">
        <v>78</v>
      </c>
      <c r="J679" s="1" t="s">
        <v>3974</v>
      </c>
      <c r="K679" s="1" t="s">
        <v>3978</v>
      </c>
      <c r="L679" t="s">
        <v>91</v>
      </c>
      <c r="M679" t="s">
        <v>91</v>
      </c>
      <c r="N679" s="1" t="s">
        <v>3979</v>
      </c>
      <c r="O679" t="s">
        <v>91</v>
      </c>
      <c r="P679" s="1" t="s">
        <v>311</v>
      </c>
      <c r="Q679" s="1" t="s">
        <v>3980</v>
      </c>
      <c r="R679" s="1" t="s">
        <v>3981</v>
      </c>
      <c r="S679">
        <v>1254</v>
      </c>
      <c r="T679">
        <v>88010000</v>
      </c>
      <c r="U679" s="1" t="s">
        <v>108</v>
      </c>
      <c r="V679" s="1" t="s">
        <v>2922</v>
      </c>
      <c r="W679" s="1" t="s">
        <v>87</v>
      </c>
      <c r="X679">
        <v>48</v>
      </c>
      <c r="Y679">
        <v>33330493</v>
      </c>
      <c r="Z679" t="s">
        <v>91</v>
      </c>
      <c r="AA679" t="s">
        <v>91</v>
      </c>
      <c r="AB679" t="s">
        <v>91</v>
      </c>
      <c r="AC679" t="s">
        <v>91</v>
      </c>
      <c r="AD679" t="s">
        <v>91</v>
      </c>
      <c r="AE679" t="s">
        <v>91</v>
      </c>
      <c r="AF679" t="s">
        <v>91</v>
      </c>
      <c r="AG679" s="1" t="s">
        <v>91</v>
      </c>
      <c r="AH679" s="1" t="s">
        <v>91</v>
      </c>
      <c r="AI679" t="s">
        <v>91</v>
      </c>
      <c r="AJ679">
        <v>0</v>
      </c>
      <c r="AK679">
        <v>0</v>
      </c>
      <c r="AL679">
        <v>0</v>
      </c>
      <c r="AM679" t="s">
        <v>91</v>
      </c>
      <c r="AN679" t="s">
        <v>91</v>
      </c>
      <c r="AO679" t="s">
        <v>91</v>
      </c>
      <c r="AP679" t="s">
        <v>91</v>
      </c>
      <c r="AQ679" s="1" t="s">
        <v>91</v>
      </c>
      <c r="AR679" s="1" t="s">
        <v>91</v>
      </c>
      <c r="AS679" s="1" t="s">
        <v>91</v>
      </c>
      <c r="AT679" s="1" t="s">
        <v>91</v>
      </c>
      <c r="AU679" s="1" t="s">
        <v>91</v>
      </c>
      <c r="AV679" t="s">
        <v>91</v>
      </c>
      <c r="AW679" t="s">
        <v>91</v>
      </c>
      <c r="AX679" t="s">
        <v>91</v>
      </c>
      <c r="AY679" t="s">
        <v>91</v>
      </c>
      <c r="AZ679" t="s">
        <v>91</v>
      </c>
      <c r="BA679" t="s">
        <v>91</v>
      </c>
      <c r="BB679" s="2"/>
      <c r="BC679" s="2"/>
      <c r="BD679" t="s">
        <v>91</v>
      </c>
      <c r="BF679" s="1" t="s">
        <v>75</v>
      </c>
      <c r="BG679">
        <v>0</v>
      </c>
      <c r="BH679">
        <v>0</v>
      </c>
      <c r="BI679" s="1" t="s">
        <v>88</v>
      </c>
      <c r="BJ679">
        <v>1</v>
      </c>
      <c r="BK679" s="1" t="s">
        <v>89</v>
      </c>
      <c r="BL679" t="s">
        <v>91</v>
      </c>
      <c r="BM679" s="1" t="s">
        <v>109</v>
      </c>
      <c r="BN679" s="1" t="s">
        <v>110</v>
      </c>
      <c r="BO679" s="1" t="s">
        <v>128</v>
      </c>
      <c r="BP679" s="1" t="s">
        <v>91</v>
      </c>
      <c r="BQ679" t="s">
        <v>91</v>
      </c>
      <c r="BR679" s="3"/>
      <c r="BS679" s="3"/>
      <c r="BT679" t="s">
        <v>91</v>
      </c>
      <c r="BU679" t="s">
        <v>91</v>
      </c>
      <c r="BV679">
        <v>9</v>
      </c>
      <c r="BW679" s="1" t="s">
        <v>3982</v>
      </c>
    </row>
    <row r="680" spans="1:75" hidden="1" x14ac:dyDescent="0.35">
      <c r="A680">
        <v>134473</v>
      </c>
      <c r="B680" s="1" t="s">
        <v>75</v>
      </c>
      <c r="C680">
        <v>80</v>
      </c>
      <c r="D680">
        <v>11121002</v>
      </c>
      <c r="E680">
        <v>121002</v>
      </c>
      <c r="F680" s="1" t="s">
        <v>2915</v>
      </c>
      <c r="G680" s="1" t="s">
        <v>3983</v>
      </c>
      <c r="I680" s="1" t="s">
        <v>78</v>
      </c>
      <c r="J680" s="1" t="s">
        <v>3984</v>
      </c>
      <c r="K680" s="1" t="s">
        <v>3985</v>
      </c>
      <c r="L680" t="s">
        <v>91</v>
      </c>
      <c r="M680" t="s">
        <v>91</v>
      </c>
      <c r="N680" s="1" t="s">
        <v>2812</v>
      </c>
      <c r="O680" t="s">
        <v>91</v>
      </c>
      <c r="P680" s="1" t="s">
        <v>3722</v>
      </c>
      <c r="Q680" s="1" t="s">
        <v>3986</v>
      </c>
      <c r="R680" s="1" t="s">
        <v>91</v>
      </c>
      <c r="S680">
        <v>1259</v>
      </c>
      <c r="T680">
        <v>88131000</v>
      </c>
      <c r="U680" s="1" t="s">
        <v>108</v>
      </c>
      <c r="V680" s="1" t="s">
        <v>2951</v>
      </c>
      <c r="W680" s="1" t="s">
        <v>87</v>
      </c>
      <c r="X680">
        <v>48</v>
      </c>
      <c r="Y680">
        <v>30937718</v>
      </c>
      <c r="Z680" t="s">
        <v>91</v>
      </c>
      <c r="AA680" t="s">
        <v>91</v>
      </c>
      <c r="AB680" t="s">
        <v>91</v>
      </c>
      <c r="AC680" t="s">
        <v>91</v>
      </c>
      <c r="AD680" t="s">
        <v>91</v>
      </c>
      <c r="AE680" t="s">
        <v>91</v>
      </c>
      <c r="AF680" t="s">
        <v>91</v>
      </c>
      <c r="AG680" s="1" t="s">
        <v>91</v>
      </c>
      <c r="AH680" s="1" t="s">
        <v>91</v>
      </c>
      <c r="AI680" t="s">
        <v>91</v>
      </c>
      <c r="AM680" t="s">
        <v>91</v>
      </c>
      <c r="AN680" t="s">
        <v>91</v>
      </c>
      <c r="AO680" t="s">
        <v>91</v>
      </c>
      <c r="AP680" t="s">
        <v>91</v>
      </c>
      <c r="AQ680" s="1" t="s">
        <v>91</v>
      </c>
      <c r="AR680" s="1" t="s">
        <v>91</v>
      </c>
      <c r="AS680" s="1" t="s">
        <v>91</v>
      </c>
      <c r="AT680" s="1" t="s">
        <v>91</v>
      </c>
      <c r="AU680" s="1" t="s">
        <v>91</v>
      </c>
      <c r="AV680" t="s">
        <v>91</v>
      </c>
      <c r="AW680" t="s">
        <v>91</v>
      </c>
      <c r="AX680" t="s">
        <v>91</v>
      </c>
      <c r="AY680" t="s">
        <v>91</v>
      </c>
      <c r="AZ680" t="s">
        <v>91</v>
      </c>
      <c r="BA680" t="s">
        <v>91</v>
      </c>
      <c r="BB680" s="2"/>
      <c r="BC680" s="2"/>
      <c r="BD680" t="s">
        <v>91</v>
      </c>
      <c r="BF680" s="1" t="s">
        <v>75</v>
      </c>
      <c r="BI680" s="1" t="s">
        <v>88</v>
      </c>
      <c r="BJ680">
        <v>1</v>
      </c>
      <c r="BK680" s="1" t="s">
        <v>89</v>
      </c>
      <c r="BL680" t="s">
        <v>91</v>
      </c>
      <c r="BM680" s="1" t="s">
        <v>164</v>
      </c>
      <c r="BN680" s="1" t="s">
        <v>110</v>
      </c>
      <c r="BO680" s="1" t="s">
        <v>165</v>
      </c>
      <c r="BP680" s="1" t="s">
        <v>91</v>
      </c>
      <c r="BQ680" t="s">
        <v>91</v>
      </c>
      <c r="BR680" s="3"/>
      <c r="BS680" s="3"/>
      <c r="BT680" t="s">
        <v>91</v>
      </c>
      <c r="BU680" t="s">
        <v>91</v>
      </c>
      <c r="BV680">
        <v>1</v>
      </c>
      <c r="BW680" s="1" t="s">
        <v>90</v>
      </c>
    </row>
    <row r="681" spans="1:75" hidden="1" x14ac:dyDescent="0.35">
      <c r="A681">
        <v>134251</v>
      </c>
      <c r="B681" s="1" t="s">
        <v>75</v>
      </c>
      <c r="C681">
        <v>80</v>
      </c>
      <c r="D681">
        <v>11121002</v>
      </c>
      <c r="E681">
        <v>121002</v>
      </c>
      <c r="F681" s="1" t="s">
        <v>2915</v>
      </c>
      <c r="G681" s="1" t="s">
        <v>3987</v>
      </c>
      <c r="I681" s="1" t="s">
        <v>78</v>
      </c>
      <c r="J681" s="1" t="s">
        <v>3984</v>
      </c>
      <c r="K681" s="1" t="s">
        <v>3988</v>
      </c>
      <c r="L681" t="s">
        <v>91</v>
      </c>
      <c r="M681" t="s">
        <v>91</v>
      </c>
      <c r="N681" s="1" t="s">
        <v>2812</v>
      </c>
      <c r="O681" t="s">
        <v>91</v>
      </c>
      <c r="P681" s="1" t="s">
        <v>946</v>
      </c>
      <c r="Q681" s="1" t="s">
        <v>1156</v>
      </c>
      <c r="R681" s="1" t="s">
        <v>3434</v>
      </c>
      <c r="S681">
        <v>1259</v>
      </c>
      <c r="T681">
        <v>88130100</v>
      </c>
      <c r="U681" s="1" t="s">
        <v>108</v>
      </c>
      <c r="V681" s="1" t="s">
        <v>2922</v>
      </c>
      <c r="W681" s="1" t="s">
        <v>87</v>
      </c>
      <c r="X681">
        <v>48</v>
      </c>
      <c r="Y681">
        <v>30863290</v>
      </c>
      <c r="Z681" t="s">
        <v>91</v>
      </c>
      <c r="AA681" t="s">
        <v>91</v>
      </c>
      <c r="AB681" t="s">
        <v>91</v>
      </c>
      <c r="AC681" t="s">
        <v>91</v>
      </c>
      <c r="AD681" t="s">
        <v>91</v>
      </c>
      <c r="AE681" t="s">
        <v>91</v>
      </c>
      <c r="AF681" t="s">
        <v>91</v>
      </c>
      <c r="AG681" s="1" t="s">
        <v>91</v>
      </c>
      <c r="AH681" s="1" t="s">
        <v>91</v>
      </c>
      <c r="AI681" t="s">
        <v>91</v>
      </c>
      <c r="AJ681">
        <v>0</v>
      </c>
      <c r="AK681">
        <v>0</v>
      </c>
      <c r="AL681">
        <v>0</v>
      </c>
      <c r="AM681" t="s">
        <v>91</v>
      </c>
      <c r="AN681" t="s">
        <v>91</v>
      </c>
      <c r="AO681" t="s">
        <v>91</v>
      </c>
      <c r="AP681" t="s">
        <v>91</v>
      </c>
      <c r="AQ681" s="1" t="s">
        <v>91</v>
      </c>
      <c r="AR681" s="1" t="s">
        <v>91</v>
      </c>
      <c r="AS681" s="1" t="s">
        <v>91</v>
      </c>
      <c r="AT681" s="1" t="s">
        <v>91</v>
      </c>
      <c r="AU681" s="1" t="s">
        <v>91</v>
      </c>
      <c r="AV681" t="s">
        <v>91</v>
      </c>
      <c r="AW681" t="s">
        <v>91</v>
      </c>
      <c r="AX681" t="s">
        <v>91</v>
      </c>
      <c r="AY681" t="s">
        <v>91</v>
      </c>
      <c r="AZ681" t="s">
        <v>91</v>
      </c>
      <c r="BA681" t="s">
        <v>91</v>
      </c>
      <c r="BB681" s="2"/>
      <c r="BC681" s="2"/>
      <c r="BD681" t="s">
        <v>91</v>
      </c>
      <c r="BF681" s="1" t="s">
        <v>75</v>
      </c>
      <c r="BG681">
        <v>0</v>
      </c>
      <c r="BH681">
        <v>0</v>
      </c>
      <c r="BI681" s="1" t="s">
        <v>88</v>
      </c>
      <c r="BJ681">
        <v>1</v>
      </c>
      <c r="BK681" s="1" t="s">
        <v>89</v>
      </c>
      <c r="BL681" t="s">
        <v>91</v>
      </c>
      <c r="BM681" s="1" t="s">
        <v>164</v>
      </c>
      <c r="BN681" s="1" t="s">
        <v>110</v>
      </c>
      <c r="BO681" s="1" t="s">
        <v>165</v>
      </c>
      <c r="BP681" s="1" t="s">
        <v>91</v>
      </c>
      <c r="BQ681" t="s">
        <v>91</v>
      </c>
      <c r="BR681" s="3"/>
      <c r="BS681" s="3"/>
      <c r="BT681" t="s">
        <v>91</v>
      </c>
      <c r="BU681" t="s">
        <v>91</v>
      </c>
      <c r="BV681">
        <v>1</v>
      </c>
      <c r="BW681" s="1" t="s">
        <v>90</v>
      </c>
    </row>
    <row r="682" spans="1:75" hidden="1" x14ac:dyDescent="0.35">
      <c r="A682">
        <v>134480</v>
      </c>
      <c r="B682" s="1" t="s">
        <v>75</v>
      </c>
      <c r="C682">
        <v>80</v>
      </c>
      <c r="D682">
        <v>11121002</v>
      </c>
      <c r="E682">
        <v>121002</v>
      </c>
      <c r="F682" s="1" t="s">
        <v>2915</v>
      </c>
      <c r="G682" s="1" t="s">
        <v>3989</v>
      </c>
      <c r="I682" s="1" t="s">
        <v>78</v>
      </c>
      <c r="J682" s="1" t="s">
        <v>3990</v>
      </c>
      <c r="K682" s="1" t="s">
        <v>3991</v>
      </c>
      <c r="L682" t="s">
        <v>91</v>
      </c>
      <c r="M682" t="s">
        <v>91</v>
      </c>
      <c r="N682" s="1" t="s">
        <v>3992</v>
      </c>
      <c r="O682" t="s">
        <v>91</v>
      </c>
      <c r="P682" s="1" t="s">
        <v>3993</v>
      </c>
      <c r="Q682" s="1" t="s">
        <v>3129</v>
      </c>
      <c r="R682" s="1" t="s">
        <v>3994</v>
      </c>
      <c r="S682">
        <v>1257</v>
      </c>
      <c r="T682">
        <v>88030000</v>
      </c>
      <c r="U682" s="1" t="s">
        <v>3131</v>
      </c>
      <c r="V682" s="1" t="s">
        <v>3102</v>
      </c>
      <c r="W682" s="1" t="s">
        <v>87</v>
      </c>
      <c r="X682">
        <v>48</v>
      </c>
      <c r="Y682">
        <v>33380131</v>
      </c>
      <c r="Z682" t="s">
        <v>91</v>
      </c>
      <c r="AA682" t="s">
        <v>91</v>
      </c>
      <c r="AB682" t="s">
        <v>91</v>
      </c>
      <c r="AC682" t="s">
        <v>91</v>
      </c>
      <c r="AD682" t="s">
        <v>91</v>
      </c>
      <c r="AE682" t="s">
        <v>91</v>
      </c>
      <c r="AF682" t="s">
        <v>91</v>
      </c>
      <c r="AG682" s="1" t="s">
        <v>146</v>
      </c>
      <c r="AH682" s="1" t="s">
        <v>91</v>
      </c>
      <c r="AI682" t="s">
        <v>91</v>
      </c>
      <c r="AM682" t="s">
        <v>91</v>
      </c>
      <c r="AN682" t="s">
        <v>91</v>
      </c>
      <c r="AO682" t="s">
        <v>91</v>
      </c>
      <c r="AP682" t="s">
        <v>91</v>
      </c>
      <c r="AQ682" s="1" t="s">
        <v>147</v>
      </c>
      <c r="AR682" s="1" t="s">
        <v>147</v>
      </c>
      <c r="AS682" s="1" t="s">
        <v>147</v>
      </c>
      <c r="AT682" s="1" t="s">
        <v>147</v>
      </c>
      <c r="AU682" s="1" t="s">
        <v>147</v>
      </c>
      <c r="AV682" t="s">
        <v>91</v>
      </c>
      <c r="AW682" t="s">
        <v>91</v>
      </c>
      <c r="AX682" t="s">
        <v>91</v>
      </c>
      <c r="AY682" t="s">
        <v>91</v>
      </c>
      <c r="AZ682" t="s">
        <v>91</v>
      </c>
      <c r="BA682" t="s">
        <v>91</v>
      </c>
      <c r="BB682" s="2"/>
      <c r="BC682" s="2">
        <v>44431.742939814816</v>
      </c>
      <c r="BD682" t="s">
        <v>91</v>
      </c>
      <c r="BF682" s="1" t="s">
        <v>75</v>
      </c>
      <c r="BH682">
        <v>0</v>
      </c>
      <c r="BI682" s="1" t="s">
        <v>88</v>
      </c>
      <c r="BJ682">
        <v>1</v>
      </c>
      <c r="BK682" s="1" t="s">
        <v>89</v>
      </c>
      <c r="BL682" t="s">
        <v>91</v>
      </c>
      <c r="BM682" s="1" t="s">
        <v>109</v>
      </c>
      <c r="BN682" s="1" t="s">
        <v>110</v>
      </c>
      <c r="BO682" s="1" t="s">
        <v>128</v>
      </c>
      <c r="BP682" s="1" t="s">
        <v>91</v>
      </c>
      <c r="BQ682" t="s">
        <v>91</v>
      </c>
      <c r="BR682" s="3"/>
      <c r="BS682" s="3">
        <v>44431</v>
      </c>
      <c r="BT682" t="s">
        <v>91</v>
      </c>
      <c r="BU682" t="s">
        <v>91</v>
      </c>
      <c r="BV682">
        <v>1</v>
      </c>
      <c r="BW682" s="1" t="s">
        <v>847</v>
      </c>
    </row>
    <row r="683" spans="1:75" hidden="1" x14ac:dyDescent="0.35">
      <c r="A683">
        <v>156951</v>
      </c>
      <c r="B683" s="1" t="s">
        <v>75</v>
      </c>
      <c r="C683">
        <v>80</v>
      </c>
      <c r="D683">
        <v>11121002</v>
      </c>
      <c r="E683">
        <v>121002</v>
      </c>
      <c r="F683" s="1" t="s">
        <v>2915</v>
      </c>
      <c r="G683" s="1" t="s">
        <v>3995</v>
      </c>
      <c r="H683">
        <v>0</v>
      </c>
      <c r="I683" s="1" t="s">
        <v>78</v>
      </c>
      <c r="J683" s="1" t="s">
        <v>3996</v>
      </c>
      <c r="K683" s="1" t="s">
        <v>3997</v>
      </c>
      <c r="L683" t="s">
        <v>91</v>
      </c>
      <c r="M683" t="s">
        <v>91</v>
      </c>
      <c r="N683" s="1" t="s">
        <v>3998</v>
      </c>
      <c r="O683" t="s">
        <v>91</v>
      </c>
      <c r="P683" s="1" t="s">
        <v>3999</v>
      </c>
      <c r="Q683" s="1" t="s">
        <v>862</v>
      </c>
      <c r="R683" s="1" t="s">
        <v>434</v>
      </c>
      <c r="S683">
        <v>1259</v>
      </c>
      <c r="T683">
        <v>88102100</v>
      </c>
      <c r="U683" s="1" t="s">
        <v>3015</v>
      </c>
      <c r="V683" s="1" t="s">
        <v>2958</v>
      </c>
      <c r="W683" s="1" t="s">
        <v>87</v>
      </c>
      <c r="X683">
        <v>48</v>
      </c>
      <c r="Y683">
        <v>30582040</v>
      </c>
      <c r="Z683" t="s">
        <v>91</v>
      </c>
      <c r="AA683" t="s">
        <v>91</v>
      </c>
      <c r="AB683" t="s">
        <v>91</v>
      </c>
      <c r="AC683" t="s">
        <v>91</v>
      </c>
      <c r="AD683" t="s">
        <v>91</v>
      </c>
      <c r="AE683" t="s">
        <v>91</v>
      </c>
      <c r="AF683" t="s">
        <v>91</v>
      </c>
      <c r="AG683" s="1" t="s">
        <v>91</v>
      </c>
      <c r="AH683" s="1" t="s">
        <v>91</v>
      </c>
      <c r="AI683" t="s">
        <v>91</v>
      </c>
      <c r="AM683" t="s">
        <v>91</v>
      </c>
      <c r="AN683" t="s">
        <v>91</v>
      </c>
      <c r="AO683" t="s">
        <v>91</v>
      </c>
      <c r="AP683" t="s">
        <v>91</v>
      </c>
      <c r="AQ683" s="1" t="s">
        <v>91</v>
      </c>
      <c r="AR683" s="1" t="s">
        <v>91</v>
      </c>
      <c r="AS683" s="1" t="s">
        <v>91</v>
      </c>
      <c r="AT683" s="1" t="s">
        <v>91</v>
      </c>
      <c r="AU683" s="1" t="s">
        <v>91</v>
      </c>
      <c r="AV683" t="s">
        <v>91</v>
      </c>
      <c r="AW683" t="s">
        <v>91</v>
      </c>
      <c r="AX683" t="s">
        <v>91</v>
      </c>
      <c r="AY683" t="s">
        <v>91</v>
      </c>
      <c r="AZ683" t="s">
        <v>91</v>
      </c>
      <c r="BA683" t="s">
        <v>91</v>
      </c>
      <c r="BB683" s="2">
        <v>45113.505416666667</v>
      </c>
      <c r="BC683" s="2"/>
      <c r="BD683" t="s">
        <v>91</v>
      </c>
      <c r="BF683" s="1" t="s">
        <v>75</v>
      </c>
      <c r="BI683" s="1" t="s">
        <v>88</v>
      </c>
      <c r="BJ683">
        <v>1</v>
      </c>
      <c r="BK683" s="1" t="s">
        <v>89</v>
      </c>
      <c r="BL683" t="s">
        <v>91</v>
      </c>
      <c r="BM683" s="1" t="s">
        <v>91</v>
      </c>
      <c r="BN683" s="1" t="s">
        <v>91</v>
      </c>
      <c r="BO683" s="1" t="s">
        <v>91</v>
      </c>
      <c r="BP683" s="1" t="s">
        <v>91</v>
      </c>
      <c r="BQ683" t="s">
        <v>91</v>
      </c>
      <c r="BR683" s="3">
        <v>45113</v>
      </c>
      <c r="BS683" s="3"/>
      <c r="BT683" t="s">
        <v>91</v>
      </c>
      <c r="BU683" t="s">
        <v>91</v>
      </c>
      <c r="BW683" s="1" t="s">
        <v>1089</v>
      </c>
    </row>
    <row r="684" spans="1:75" hidden="1" x14ac:dyDescent="0.35">
      <c r="A684">
        <v>134445</v>
      </c>
      <c r="B684" s="1" t="s">
        <v>75</v>
      </c>
      <c r="C684">
        <v>80</v>
      </c>
      <c r="D684">
        <v>11121002</v>
      </c>
      <c r="E684">
        <v>121002</v>
      </c>
      <c r="F684" s="1" t="s">
        <v>2915</v>
      </c>
      <c r="G684" s="1" t="s">
        <v>4000</v>
      </c>
      <c r="I684" s="1" t="s">
        <v>78</v>
      </c>
      <c r="J684" s="1" t="s">
        <v>4001</v>
      </c>
      <c r="K684" s="1" t="s">
        <v>4002</v>
      </c>
      <c r="L684" t="s">
        <v>91</v>
      </c>
      <c r="M684" t="s">
        <v>91</v>
      </c>
      <c r="N684" s="1" t="s">
        <v>4003</v>
      </c>
      <c r="O684" t="s">
        <v>91</v>
      </c>
      <c r="P684" s="1" t="s">
        <v>4004</v>
      </c>
      <c r="Q684" s="1" t="s">
        <v>404</v>
      </c>
      <c r="R684" s="1" t="s">
        <v>4005</v>
      </c>
      <c r="S684">
        <v>1255</v>
      </c>
      <c r="T684">
        <v>88015100</v>
      </c>
      <c r="U684" s="1" t="s">
        <v>108</v>
      </c>
      <c r="V684" s="1" t="s">
        <v>2922</v>
      </c>
      <c r="W684" s="1" t="s">
        <v>87</v>
      </c>
      <c r="X684">
        <v>48</v>
      </c>
      <c r="Y684">
        <v>999106479</v>
      </c>
      <c r="Z684" t="s">
        <v>91</v>
      </c>
      <c r="AA684" t="s">
        <v>91</v>
      </c>
      <c r="AB684" t="s">
        <v>91</v>
      </c>
      <c r="AC684" t="s">
        <v>91</v>
      </c>
      <c r="AD684" t="s">
        <v>91</v>
      </c>
      <c r="AE684" t="s">
        <v>91</v>
      </c>
      <c r="AF684" t="s">
        <v>91</v>
      </c>
      <c r="AG684" s="1" t="s">
        <v>91</v>
      </c>
      <c r="AH684" s="1" t="s">
        <v>91</v>
      </c>
      <c r="AI684" t="s">
        <v>91</v>
      </c>
      <c r="AM684" t="s">
        <v>91</v>
      </c>
      <c r="AN684" t="s">
        <v>91</v>
      </c>
      <c r="AO684" t="s">
        <v>91</v>
      </c>
      <c r="AP684" t="s">
        <v>91</v>
      </c>
      <c r="AQ684" s="1" t="s">
        <v>91</v>
      </c>
      <c r="AR684" s="1" t="s">
        <v>91</v>
      </c>
      <c r="AS684" s="1" t="s">
        <v>91</v>
      </c>
      <c r="AT684" s="1" t="s">
        <v>91</v>
      </c>
      <c r="AU684" s="1" t="s">
        <v>91</v>
      </c>
      <c r="AV684" t="s">
        <v>91</v>
      </c>
      <c r="AW684" t="s">
        <v>91</v>
      </c>
      <c r="AX684" t="s">
        <v>91</v>
      </c>
      <c r="AY684" t="s">
        <v>91</v>
      </c>
      <c r="AZ684" t="s">
        <v>91</v>
      </c>
      <c r="BA684" t="s">
        <v>91</v>
      </c>
      <c r="BB684" s="2"/>
      <c r="BC684" s="2"/>
      <c r="BD684" t="s">
        <v>91</v>
      </c>
      <c r="BF684" s="1" t="s">
        <v>75</v>
      </c>
      <c r="BI684" s="1" t="s">
        <v>88</v>
      </c>
      <c r="BJ684">
        <v>1</v>
      </c>
      <c r="BK684" s="1" t="s">
        <v>89</v>
      </c>
      <c r="BL684" t="s">
        <v>91</v>
      </c>
      <c r="BM684" s="1" t="s">
        <v>329</v>
      </c>
      <c r="BN684" s="1" t="s">
        <v>110</v>
      </c>
      <c r="BO684" s="1" t="s">
        <v>165</v>
      </c>
      <c r="BP684" s="1" t="s">
        <v>91</v>
      </c>
      <c r="BQ684" t="s">
        <v>91</v>
      </c>
      <c r="BR684" s="3"/>
      <c r="BS684" s="3"/>
      <c r="BT684" t="s">
        <v>91</v>
      </c>
      <c r="BU684" t="s">
        <v>91</v>
      </c>
      <c r="BV684">
        <v>9</v>
      </c>
      <c r="BW684" s="1" t="s">
        <v>90</v>
      </c>
    </row>
    <row r="685" spans="1:75" hidden="1" x14ac:dyDescent="0.35">
      <c r="A685">
        <v>134425</v>
      </c>
      <c r="B685" s="1" t="s">
        <v>75</v>
      </c>
      <c r="C685">
        <v>80</v>
      </c>
      <c r="D685">
        <v>11121002</v>
      </c>
      <c r="E685">
        <v>121002</v>
      </c>
      <c r="F685" s="1" t="s">
        <v>2915</v>
      </c>
      <c r="G685" s="1" t="s">
        <v>4006</v>
      </c>
      <c r="I685" s="1" t="s">
        <v>78</v>
      </c>
      <c r="J685" s="1" t="s">
        <v>4001</v>
      </c>
      <c r="K685" s="1" t="s">
        <v>4007</v>
      </c>
      <c r="L685" t="s">
        <v>91</v>
      </c>
      <c r="M685" t="s">
        <v>91</v>
      </c>
      <c r="N685" s="1" t="s">
        <v>4008</v>
      </c>
      <c r="O685" t="s">
        <v>91</v>
      </c>
      <c r="P685" s="1" t="s">
        <v>4004</v>
      </c>
      <c r="Q685" s="1" t="s">
        <v>974</v>
      </c>
      <c r="R685" s="1" t="s">
        <v>91</v>
      </c>
      <c r="S685">
        <v>1255</v>
      </c>
      <c r="T685">
        <v>88015100</v>
      </c>
      <c r="U685" s="1" t="s">
        <v>108</v>
      </c>
      <c r="V685" s="1" t="s">
        <v>2922</v>
      </c>
      <c r="W685" s="1" t="s">
        <v>87</v>
      </c>
      <c r="X685">
        <v>48</v>
      </c>
      <c r="Y685">
        <v>33713996</v>
      </c>
      <c r="Z685" t="s">
        <v>91</v>
      </c>
      <c r="AA685" t="s">
        <v>91</v>
      </c>
      <c r="AB685" t="s">
        <v>91</v>
      </c>
      <c r="AC685" t="s">
        <v>91</v>
      </c>
      <c r="AD685" t="s">
        <v>91</v>
      </c>
      <c r="AE685" t="s">
        <v>91</v>
      </c>
      <c r="AF685" t="s">
        <v>91</v>
      </c>
      <c r="AG685" s="1" t="s">
        <v>91</v>
      </c>
      <c r="AH685" s="1" t="s">
        <v>91</v>
      </c>
      <c r="AI685" t="s">
        <v>91</v>
      </c>
      <c r="AM685" t="s">
        <v>91</v>
      </c>
      <c r="AN685" t="s">
        <v>91</v>
      </c>
      <c r="AO685" t="s">
        <v>91</v>
      </c>
      <c r="AP685" t="s">
        <v>91</v>
      </c>
      <c r="AQ685" s="1" t="s">
        <v>91</v>
      </c>
      <c r="AR685" s="1" t="s">
        <v>91</v>
      </c>
      <c r="AS685" s="1" t="s">
        <v>91</v>
      </c>
      <c r="AT685" s="1" t="s">
        <v>91</v>
      </c>
      <c r="AU685" s="1" t="s">
        <v>91</v>
      </c>
      <c r="AV685" t="s">
        <v>91</v>
      </c>
      <c r="AW685" t="s">
        <v>91</v>
      </c>
      <c r="AX685" t="s">
        <v>91</v>
      </c>
      <c r="AY685" t="s">
        <v>91</v>
      </c>
      <c r="AZ685" t="s">
        <v>91</v>
      </c>
      <c r="BA685" t="s">
        <v>91</v>
      </c>
      <c r="BB685" s="2"/>
      <c r="BC685" s="2"/>
      <c r="BD685" t="s">
        <v>91</v>
      </c>
      <c r="BF685" s="1" t="s">
        <v>75</v>
      </c>
      <c r="BI685" s="1" t="s">
        <v>88</v>
      </c>
      <c r="BJ685">
        <v>1</v>
      </c>
      <c r="BK685" s="1" t="s">
        <v>89</v>
      </c>
      <c r="BL685" t="s">
        <v>91</v>
      </c>
      <c r="BM685" s="1" t="s">
        <v>329</v>
      </c>
      <c r="BN685" s="1" t="s">
        <v>110</v>
      </c>
      <c r="BO685" s="1" t="s">
        <v>165</v>
      </c>
      <c r="BP685" s="1" t="s">
        <v>91</v>
      </c>
      <c r="BQ685" t="s">
        <v>91</v>
      </c>
      <c r="BR685" s="3"/>
      <c r="BS685" s="3"/>
      <c r="BT685" t="s">
        <v>91</v>
      </c>
      <c r="BU685" t="s">
        <v>91</v>
      </c>
      <c r="BV685">
        <v>9</v>
      </c>
      <c r="BW685" s="1" t="s">
        <v>90</v>
      </c>
    </row>
    <row r="686" spans="1:75" hidden="1" x14ac:dyDescent="0.35">
      <c r="A686">
        <v>144358</v>
      </c>
      <c r="B686" s="1" t="s">
        <v>75</v>
      </c>
      <c r="C686">
        <v>80</v>
      </c>
      <c r="D686">
        <v>11121002</v>
      </c>
      <c r="E686">
        <v>121002</v>
      </c>
      <c r="F686" s="1" t="s">
        <v>2915</v>
      </c>
      <c r="G686" s="1" t="s">
        <v>4009</v>
      </c>
      <c r="I686" s="1" t="s">
        <v>78</v>
      </c>
      <c r="J686" s="1" t="s">
        <v>4010</v>
      </c>
      <c r="K686" s="1" t="s">
        <v>4011</v>
      </c>
      <c r="L686" t="s">
        <v>91</v>
      </c>
      <c r="M686" t="s">
        <v>91</v>
      </c>
      <c r="N686" s="1" t="s">
        <v>4012</v>
      </c>
      <c r="O686" t="s">
        <v>91</v>
      </c>
      <c r="P686" s="1" t="s">
        <v>4013</v>
      </c>
      <c r="Q686" s="1" t="s">
        <v>1496</v>
      </c>
      <c r="R686" s="1" t="s">
        <v>4014</v>
      </c>
      <c r="S686">
        <v>1270</v>
      </c>
      <c r="T686">
        <v>88940000</v>
      </c>
      <c r="U686" s="1" t="s">
        <v>108</v>
      </c>
      <c r="V686" s="1" t="s">
        <v>4015</v>
      </c>
      <c r="W686" s="1" t="s">
        <v>87</v>
      </c>
      <c r="X686">
        <v>48</v>
      </c>
      <c r="Y686">
        <v>35361271</v>
      </c>
      <c r="Z686" t="s">
        <v>91</v>
      </c>
      <c r="AA686" t="s">
        <v>91</v>
      </c>
      <c r="AB686" t="s">
        <v>91</v>
      </c>
      <c r="AC686" t="s">
        <v>91</v>
      </c>
      <c r="AD686" t="s">
        <v>91</v>
      </c>
      <c r="AE686" t="s">
        <v>91</v>
      </c>
      <c r="AF686" t="s">
        <v>91</v>
      </c>
      <c r="AG686" s="1" t="s">
        <v>91</v>
      </c>
      <c r="AH686" s="1" t="s">
        <v>91</v>
      </c>
      <c r="AI686" t="s">
        <v>91</v>
      </c>
      <c r="AJ686">
        <v>0</v>
      </c>
      <c r="AK686">
        <v>0</v>
      </c>
      <c r="AL686">
        <v>0</v>
      </c>
      <c r="AM686" t="s">
        <v>91</v>
      </c>
      <c r="AN686" t="s">
        <v>91</v>
      </c>
      <c r="AO686" t="s">
        <v>91</v>
      </c>
      <c r="AP686" t="s">
        <v>91</v>
      </c>
      <c r="AQ686" s="1" t="s">
        <v>91</v>
      </c>
      <c r="AR686" s="1" t="s">
        <v>91</v>
      </c>
      <c r="AS686" s="1" t="s">
        <v>91</v>
      </c>
      <c r="AT686" s="1" t="s">
        <v>91</v>
      </c>
      <c r="AU686" s="1" t="s">
        <v>91</v>
      </c>
      <c r="AV686" t="s">
        <v>91</v>
      </c>
      <c r="AW686" t="s">
        <v>91</v>
      </c>
      <c r="AX686" t="s">
        <v>91</v>
      </c>
      <c r="AY686" t="s">
        <v>91</v>
      </c>
      <c r="AZ686" t="s">
        <v>91</v>
      </c>
      <c r="BA686" t="s">
        <v>91</v>
      </c>
      <c r="BB686" s="2"/>
      <c r="BC686" s="2"/>
      <c r="BD686" t="s">
        <v>91</v>
      </c>
      <c r="BF686" s="1" t="s">
        <v>75</v>
      </c>
      <c r="BG686">
        <v>0</v>
      </c>
      <c r="BH686">
        <v>0</v>
      </c>
      <c r="BI686" s="1" t="s">
        <v>88</v>
      </c>
      <c r="BJ686">
        <v>1</v>
      </c>
      <c r="BK686" s="1" t="s">
        <v>89</v>
      </c>
      <c r="BL686" t="s">
        <v>91</v>
      </c>
      <c r="BM686" s="1" t="s">
        <v>109</v>
      </c>
      <c r="BN686" s="1" t="s">
        <v>110</v>
      </c>
      <c r="BO686" s="1" t="s">
        <v>180</v>
      </c>
      <c r="BP686" s="1" t="s">
        <v>91</v>
      </c>
      <c r="BQ686" t="s">
        <v>91</v>
      </c>
      <c r="BR686" s="3"/>
      <c r="BS686" s="3"/>
      <c r="BT686" t="s">
        <v>91</v>
      </c>
      <c r="BU686" t="s">
        <v>91</v>
      </c>
      <c r="BV686">
        <v>9</v>
      </c>
      <c r="BW686" s="1" t="s">
        <v>4016</v>
      </c>
    </row>
    <row r="687" spans="1:75" hidden="1" x14ac:dyDescent="0.35">
      <c r="A687">
        <v>139957</v>
      </c>
      <c r="B687" s="1" t="s">
        <v>75</v>
      </c>
      <c r="C687">
        <v>80</v>
      </c>
      <c r="D687">
        <v>11121002</v>
      </c>
      <c r="E687">
        <v>121002</v>
      </c>
      <c r="F687" s="1" t="s">
        <v>2915</v>
      </c>
      <c r="G687" s="1" t="s">
        <v>4017</v>
      </c>
      <c r="H687">
        <v>0</v>
      </c>
      <c r="I687" s="1" t="s">
        <v>78</v>
      </c>
      <c r="J687" s="1" t="s">
        <v>4018</v>
      </c>
      <c r="K687" s="1" t="s">
        <v>4019</v>
      </c>
      <c r="L687" t="s">
        <v>91</v>
      </c>
      <c r="M687" t="s">
        <v>91</v>
      </c>
      <c r="N687" s="1" t="s">
        <v>4020</v>
      </c>
      <c r="O687" t="s">
        <v>91</v>
      </c>
      <c r="P687" s="1" t="s">
        <v>3737</v>
      </c>
      <c r="Q687" s="1" t="s">
        <v>1865</v>
      </c>
      <c r="R687" s="1" t="s">
        <v>4021</v>
      </c>
      <c r="T687">
        <v>88010913</v>
      </c>
      <c r="U687" s="1" t="s">
        <v>108</v>
      </c>
      <c r="V687" s="1" t="s">
        <v>3102</v>
      </c>
      <c r="W687" s="1" t="s">
        <v>87</v>
      </c>
      <c r="X687">
        <v>48</v>
      </c>
      <c r="Y687">
        <v>991113370</v>
      </c>
      <c r="Z687" t="s">
        <v>91</v>
      </c>
      <c r="AA687" t="s">
        <v>91</v>
      </c>
      <c r="AB687" t="s">
        <v>91</v>
      </c>
      <c r="AC687" t="s">
        <v>91</v>
      </c>
      <c r="AD687" t="s">
        <v>91</v>
      </c>
      <c r="AE687" t="s">
        <v>91</v>
      </c>
      <c r="AF687" t="s">
        <v>91</v>
      </c>
      <c r="AG687" s="1" t="s">
        <v>91</v>
      </c>
      <c r="AH687" s="1" t="s">
        <v>91</v>
      </c>
      <c r="AI687" t="s">
        <v>91</v>
      </c>
      <c r="AJ687">
        <v>0</v>
      </c>
      <c r="AK687">
        <v>0</v>
      </c>
      <c r="AL687">
        <v>0</v>
      </c>
      <c r="AM687" t="s">
        <v>91</v>
      </c>
      <c r="AN687" t="s">
        <v>91</v>
      </c>
      <c r="AO687" t="s">
        <v>91</v>
      </c>
      <c r="AP687" t="s">
        <v>91</v>
      </c>
      <c r="AQ687" s="1" t="s">
        <v>91</v>
      </c>
      <c r="AR687" s="1" t="s">
        <v>91</v>
      </c>
      <c r="AS687" s="1" t="s">
        <v>91</v>
      </c>
      <c r="AT687" s="1" t="s">
        <v>91</v>
      </c>
      <c r="AU687" s="1" t="s">
        <v>91</v>
      </c>
      <c r="AV687" t="s">
        <v>91</v>
      </c>
      <c r="AW687" t="s">
        <v>91</v>
      </c>
      <c r="AX687" t="s">
        <v>91</v>
      </c>
      <c r="AY687" t="s">
        <v>91</v>
      </c>
      <c r="AZ687" t="s">
        <v>91</v>
      </c>
      <c r="BA687" t="s">
        <v>91</v>
      </c>
      <c r="BB687" s="2">
        <v>44426.365486111114</v>
      </c>
      <c r="BC687" s="2"/>
      <c r="BD687" t="s">
        <v>91</v>
      </c>
      <c r="BF687" s="1" t="s">
        <v>75</v>
      </c>
      <c r="BG687">
        <v>0</v>
      </c>
      <c r="BH687">
        <v>0</v>
      </c>
      <c r="BI687" s="1" t="s">
        <v>88</v>
      </c>
      <c r="BJ687">
        <v>1</v>
      </c>
      <c r="BK687" s="1" t="s">
        <v>89</v>
      </c>
      <c r="BL687" t="s">
        <v>91</v>
      </c>
      <c r="BM687" s="1" t="s">
        <v>109</v>
      </c>
      <c r="BN687" s="1" t="s">
        <v>110</v>
      </c>
      <c r="BO687" s="1" t="s">
        <v>180</v>
      </c>
      <c r="BP687" s="1" t="s">
        <v>91</v>
      </c>
      <c r="BQ687" t="s">
        <v>91</v>
      </c>
      <c r="BR687" s="3">
        <v>44426</v>
      </c>
      <c r="BS687" s="3"/>
      <c r="BT687" t="s">
        <v>91</v>
      </c>
      <c r="BU687" t="s">
        <v>91</v>
      </c>
      <c r="BW687" s="1" t="s">
        <v>90</v>
      </c>
    </row>
    <row r="688" spans="1:75" hidden="1" x14ac:dyDescent="0.35">
      <c r="A688">
        <v>157680</v>
      </c>
      <c r="B688" s="1" t="s">
        <v>75</v>
      </c>
      <c r="C688">
        <v>80</v>
      </c>
      <c r="D688">
        <v>11121002</v>
      </c>
      <c r="E688">
        <v>121002</v>
      </c>
      <c r="F688" s="1" t="s">
        <v>2915</v>
      </c>
      <c r="G688" s="1" t="s">
        <v>4022</v>
      </c>
      <c r="H688">
        <v>0</v>
      </c>
      <c r="I688" s="1" t="s">
        <v>78</v>
      </c>
      <c r="J688" s="1" t="s">
        <v>4023</v>
      </c>
      <c r="K688" s="1" t="s">
        <v>4024</v>
      </c>
      <c r="L688" t="s">
        <v>91</v>
      </c>
      <c r="M688" t="s">
        <v>91</v>
      </c>
      <c r="N688" s="1" t="s">
        <v>91</v>
      </c>
      <c r="O688" t="s">
        <v>91</v>
      </c>
      <c r="P688" s="1" t="s">
        <v>4025</v>
      </c>
      <c r="Q688" s="1" t="s">
        <v>2774</v>
      </c>
      <c r="R688" s="1" t="s">
        <v>4026</v>
      </c>
      <c r="T688">
        <v>88101290</v>
      </c>
      <c r="U688" s="1" t="s">
        <v>4027</v>
      </c>
      <c r="V688" s="1" t="s">
        <v>2958</v>
      </c>
      <c r="W688" s="1" t="s">
        <v>87</v>
      </c>
      <c r="X688">
        <v>48</v>
      </c>
      <c r="Y688">
        <v>2427659</v>
      </c>
      <c r="Z688" t="s">
        <v>91</v>
      </c>
      <c r="AA688" t="s">
        <v>91</v>
      </c>
      <c r="AB688" t="s">
        <v>91</v>
      </c>
      <c r="AC688" t="s">
        <v>91</v>
      </c>
      <c r="AD688" t="s">
        <v>91</v>
      </c>
      <c r="AE688" t="s">
        <v>91</v>
      </c>
      <c r="AF688" t="s">
        <v>91</v>
      </c>
      <c r="AG688" s="1" t="s">
        <v>91</v>
      </c>
      <c r="AH688" s="1" t="s">
        <v>91</v>
      </c>
      <c r="AI688" t="s">
        <v>91</v>
      </c>
      <c r="AM688" t="s">
        <v>91</v>
      </c>
      <c r="AN688" t="s">
        <v>91</v>
      </c>
      <c r="AO688" t="s">
        <v>91</v>
      </c>
      <c r="AP688" t="s">
        <v>91</v>
      </c>
      <c r="AQ688" s="1" t="s">
        <v>91</v>
      </c>
      <c r="AR688" s="1" t="s">
        <v>91</v>
      </c>
      <c r="AS688" s="1" t="s">
        <v>91</v>
      </c>
      <c r="AT688" s="1" t="s">
        <v>91</v>
      </c>
      <c r="AU688" s="1" t="s">
        <v>91</v>
      </c>
      <c r="AV688" t="s">
        <v>91</v>
      </c>
      <c r="AW688" t="s">
        <v>91</v>
      </c>
      <c r="AX688" t="s">
        <v>91</v>
      </c>
      <c r="AY688" t="s">
        <v>91</v>
      </c>
      <c r="AZ688" t="s">
        <v>91</v>
      </c>
      <c r="BA688" t="s">
        <v>91</v>
      </c>
      <c r="BB688" s="2">
        <v>45118.097175925926</v>
      </c>
      <c r="BC688" s="2"/>
      <c r="BD688" t="s">
        <v>91</v>
      </c>
      <c r="BF688" s="1" t="s">
        <v>75</v>
      </c>
      <c r="BI688" s="1" t="s">
        <v>88</v>
      </c>
      <c r="BJ688">
        <v>1</v>
      </c>
      <c r="BK688" s="1" t="s">
        <v>89</v>
      </c>
      <c r="BL688" t="s">
        <v>91</v>
      </c>
      <c r="BM688" s="1" t="s">
        <v>91</v>
      </c>
      <c r="BN688" s="1" t="s">
        <v>91</v>
      </c>
      <c r="BO688" s="1" t="s">
        <v>91</v>
      </c>
      <c r="BP688" s="1" t="s">
        <v>91</v>
      </c>
      <c r="BQ688" t="s">
        <v>91</v>
      </c>
      <c r="BR688" s="3">
        <v>45118</v>
      </c>
      <c r="BS688" s="3"/>
      <c r="BT688" t="s">
        <v>91</v>
      </c>
      <c r="BU688" t="s">
        <v>91</v>
      </c>
      <c r="BW688" s="1" t="s">
        <v>90</v>
      </c>
    </row>
    <row r="689" spans="1:75" hidden="1" x14ac:dyDescent="0.35">
      <c r="A689">
        <v>136656</v>
      </c>
      <c r="B689" s="1" t="s">
        <v>75</v>
      </c>
      <c r="C689">
        <v>80</v>
      </c>
      <c r="D689">
        <v>11121002</v>
      </c>
      <c r="E689">
        <v>121002</v>
      </c>
      <c r="F689" s="1" t="s">
        <v>2915</v>
      </c>
      <c r="G689" s="1" t="s">
        <v>4028</v>
      </c>
      <c r="H689">
        <v>0</v>
      </c>
      <c r="I689" s="1" t="s">
        <v>78</v>
      </c>
      <c r="J689" s="1" t="s">
        <v>4029</v>
      </c>
      <c r="K689" s="1" t="s">
        <v>4030</v>
      </c>
      <c r="L689" t="s">
        <v>91</v>
      </c>
      <c r="M689" t="s">
        <v>91</v>
      </c>
      <c r="N689" s="1" t="s">
        <v>4031</v>
      </c>
      <c r="O689" t="s">
        <v>91</v>
      </c>
      <c r="P689" s="1" t="s">
        <v>4032</v>
      </c>
      <c r="Q689" s="1" t="s">
        <v>4033</v>
      </c>
      <c r="R689" s="1" t="s">
        <v>4005</v>
      </c>
      <c r="S689">
        <v>1257</v>
      </c>
      <c r="T689">
        <v>88054010</v>
      </c>
      <c r="U689" s="1" t="s">
        <v>3507</v>
      </c>
      <c r="V689" s="1" t="s">
        <v>3102</v>
      </c>
      <c r="W689" s="1" t="s">
        <v>87</v>
      </c>
      <c r="X689">
        <v>48</v>
      </c>
      <c r="Y689">
        <v>999406654</v>
      </c>
      <c r="Z689" t="s">
        <v>91</v>
      </c>
      <c r="AA689" t="s">
        <v>91</v>
      </c>
      <c r="AB689" t="s">
        <v>91</v>
      </c>
      <c r="AC689" t="s">
        <v>91</v>
      </c>
      <c r="AD689" t="s">
        <v>91</v>
      </c>
      <c r="AE689" t="s">
        <v>91</v>
      </c>
      <c r="AF689" t="s">
        <v>91</v>
      </c>
      <c r="AG689" s="1" t="s">
        <v>146</v>
      </c>
      <c r="AH689" s="1" t="s">
        <v>91</v>
      </c>
      <c r="AI689" t="s">
        <v>91</v>
      </c>
      <c r="AM689" t="s">
        <v>91</v>
      </c>
      <c r="AN689" t="s">
        <v>91</v>
      </c>
      <c r="AO689" t="s">
        <v>91</v>
      </c>
      <c r="AP689" t="s">
        <v>91</v>
      </c>
      <c r="AQ689" s="1" t="s">
        <v>147</v>
      </c>
      <c r="AR689" s="1" t="s">
        <v>147</v>
      </c>
      <c r="AS689" s="1" t="s">
        <v>147</v>
      </c>
      <c r="AT689" s="1" t="s">
        <v>147</v>
      </c>
      <c r="AU689" s="1" t="s">
        <v>147</v>
      </c>
      <c r="AV689" t="s">
        <v>91</v>
      </c>
      <c r="AW689" t="s">
        <v>91</v>
      </c>
      <c r="AX689" t="s">
        <v>91</v>
      </c>
      <c r="AY689" t="s">
        <v>91</v>
      </c>
      <c r="AZ689" t="s">
        <v>91</v>
      </c>
      <c r="BA689" t="s">
        <v>91</v>
      </c>
      <c r="BB689" s="2">
        <v>44369.449745370373</v>
      </c>
      <c r="BC689" s="2">
        <v>44687.581828703704</v>
      </c>
      <c r="BD689" t="s">
        <v>91</v>
      </c>
      <c r="BF689" s="1" t="s">
        <v>75</v>
      </c>
      <c r="BH689">
        <v>0</v>
      </c>
      <c r="BI689" s="1" t="s">
        <v>88</v>
      </c>
      <c r="BJ689">
        <v>1</v>
      </c>
      <c r="BK689" s="1" t="s">
        <v>89</v>
      </c>
      <c r="BL689" t="s">
        <v>91</v>
      </c>
      <c r="BM689" s="1" t="s">
        <v>109</v>
      </c>
      <c r="BN689" s="1" t="s">
        <v>110</v>
      </c>
      <c r="BO689" s="1" t="s">
        <v>111</v>
      </c>
      <c r="BP689" s="1" t="s">
        <v>91</v>
      </c>
      <c r="BQ689" t="s">
        <v>91</v>
      </c>
      <c r="BR689" s="3">
        <v>44369</v>
      </c>
      <c r="BS689" s="3">
        <v>44687</v>
      </c>
      <c r="BT689" t="s">
        <v>91</v>
      </c>
      <c r="BU689" t="s">
        <v>91</v>
      </c>
      <c r="BW689" s="1" t="s">
        <v>274</v>
      </c>
    </row>
    <row r="690" spans="1:75" hidden="1" x14ac:dyDescent="0.35">
      <c r="A690">
        <v>120536</v>
      </c>
      <c r="B690" s="1" t="s">
        <v>75</v>
      </c>
      <c r="C690">
        <v>80</v>
      </c>
      <c r="D690">
        <v>11121002</v>
      </c>
      <c r="E690">
        <v>121002</v>
      </c>
      <c r="F690" s="1" t="s">
        <v>2915</v>
      </c>
      <c r="G690" s="1" t="s">
        <v>4034</v>
      </c>
      <c r="H690">
        <v>0</v>
      </c>
      <c r="I690" s="1" t="s">
        <v>78</v>
      </c>
      <c r="J690" s="1" t="s">
        <v>4035</v>
      </c>
      <c r="K690" s="1" t="s">
        <v>4036</v>
      </c>
      <c r="L690" t="s">
        <v>91</v>
      </c>
      <c r="M690" t="s">
        <v>91</v>
      </c>
      <c r="N690" s="1" t="s">
        <v>4037</v>
      </c>
      <c r="O690" t="s">
        <v>91</v>
      </c>
      <c r="P690" s="1" t="s">
        <v>3388</v>
      </c>
      <c r="Q690" s="1" t="s">
        <v>4038</v>
      </c>
      <c r="R690" s="1" t="s">
        <v>91</v>
      </c>
      <c r="S690">
        <v>1258</v>
      </c>
      <c r="T690">
        <v>88075300</v>
      </c>
      <c r="U690" s="1" t="s">
        <v>3391</v>
      </c>
      <c r="V690" s="1" t="s">
        <v>2922</v>
      </c>
      <c r="W690" s="1" t="s">
        <v>87</v>
      </c>
      <c r="Z690" t="s">
        <v>91</v>
      </c>
      <c r="AA690" t="s">
        <v>91</v>
      </c>
      <c r="AB690" t="s">
        <v>91</v>
      </c>
      <c r="AC690" t="s">
        <v>91</v>
      </c>
      <c r="AD690" t="s">
        <v>91</v>
      </c>
      <c r="AE690" t="s">
        <v>91</v>
      </c>
      <c r="AF690" t="s">
        <v>91</v>
      </c>
      <c r="AG690" s="1" t="s">
        <v>91</v>
      </c>
      <c r="AH690" s="1" t="s">
        <v>91</v>
      </c>
      <c r="AI690" t="s">
        <v>91</v>
      </c>
      <c r="AM690" t="s">
        <v>91</v>
      </c>
      <c r="AN690" t="s">
        <v>91</v>
      </c>
      <c r="AO690" t="s">
        <v>91</v>
      </c>
      <c r="AP690" t="s">
        <v>91</v>
      </c>
      <c r="AQ690" s="1" t="s">
        <v>91</v>
      </c>
      <c r="AR690" s="1" t="s">
        <v>91</v>
      </c>
      <c r="AS690" s="1" t="s">
        <v>91</v>
      </c>
      <c r="AT690" s="1" t="s">
        <v>91</v>
      </c>
      <c r="AU690" s="1" t="s">
        <v>91</v>
      </c>
      <c r="AV690" t="s">
        <v>91</v>
      </c>
      <c r="AW690" t="s">
        <v>91</v>
      </c>
      <c r="AX690" t="s">
        <v>91</v>
      </c>
      <c r="AY690" t="s">
        <v>91</v>
      </c>
      <c r="AZ690" t="s">
        <v>91</v>
      </c>
      <c r="BA690" t="s">
        <v>91</v>
      </c>
      <c r="BB690" s="2">
        <v>44096.645520833335</v>
      </c>
      <c r="BC690" s="2"/>
      <c r="BD690" t="s">
        <v>91</v>
      </c>
      <c r="BF690" s="1" t="s">
        <v>75</v>
      </c>
      <c r="BI690" s="1" t="s">
        <v>88</v>
      </c>
      <c r="BJ690">
        <v>1</v>
      </c>
      <c r="BK690" s="1" t="s">
        <v>89</v>
      </c>
      <c r="BL690" t="s">
        <v>91</v>
      </c>
      <c r="BM690" s="1" t="s">
        <v>109</v>
      </c>
      <c r="BN690" s="1" t="s">
        <v>110</v>
      </c>
      <c r="BO690" s="1" t="s">
        <v>180</v>
      </c>
      <c r="BP690" s="1" t="s">
        <v>91</v>
      </c>
      <c r="BQ690" t="s">
        <v>91</v>
      </c>
      <c r="BR690" s="3">
        <v>44096</v>
      </c>
      <c r="BS690" s="3"/>
      <c r="BT690" t="s">
        <v>91</v>
      </c>
      <c r="BU690" t="s">
        <v>91</v>
      </c>
      <c r="BV690">
        <v>9</v>
      </c>
      <c r="BW690" s="1" t="s">
        <v>90</v>
      </c>
    </row>
    <row r="691" spans="1:75" hidden="1" x14ac:dyDescent="0.35">
      <c r="A691">
        <v>614</v>
      </c>
      <c r="B691" s="1" t="s">
        <v>75</v>
      </c>
      <c r="C691">
        <v>80</v>
      </c>
      <c r="D691">
        <v>11121002</v>
      </c>
      <c r="E691">
        <v>121002</v>
      </c>
      <c r="F691" s="1" t="s">
        <v>2915</v>
      </c>
      <c r="G691" s="1" t="s">
        <v>4039</v>
      </c>
      <c r="I691" s="1" t="s">
        <v>78</v>
      </c>
      <c r="J691" s="1" t="s">
        <v>4040</v>
      </c>
      <c r="K691" s="1" t="s">
        <v>4041</v>
      </c>
      <c r="L691" t="s">
        <v>91</v>
      </c>
      <c r="M691" t="s">
        <v>91</v>
      </c>
      <c r="N691" s="1" t="s">
        <v>4042</v>
      </c>
      <c r="O691" t="s">
        <v>91</v>
      </c>
      <c r="P691" s="1" t="s">
        <v>4043</v>
      </c>
      <c r="Q691" s="1" t="s">
        <v>4044</v>
      </c>
      <c r="R691" s="1" t="s">
        <v>954</v>
      </c>
      <c r="S691">
        <v>1259</v>
      </c>
      <c r="T691">
        <v>88117001</v>
      </c>
      <c r="U691" s="1" t="s">
        <v>2957</v>
      </c>
      <c r="V691" s="1" t="s">
        <v>3016</v>
      </c>
      <c r="W691" s="1" t="s">
        <v>87</v>
      </c>
      <c r="X691">
        <v>48</v>
      </c>
      <c r="Y691">
        <v>30352505</v>
      </c>
      <c r="Z691" t="s">
        <v>91</v>
      </c>
      <c r="AA691" t="s">
        <v>91</v>
      </c>
      <c r="AB691" t="s">
        <v>91</v>
      </c>
      <c r="AC691" t="s">
        <v>91</v>
      </c>
      <c r="AD691" t="s">
        <v>91</v>
      </c>
      <c r="AE691" t="s">
        <v>91</v>
      </c>
      <c r="AF691" t="s">
        <v>91</v>
      </c>
      <c r="AG691" s="1" t="s">
        <v>146</v>
      </c>
      <c r="AH691" s="1" t="s">
        <v>91</v>
      </c>
      <c r="AI691" t="s">
        <v>91</v>
      </c>
      <c r="AJ691">
        <v>0</v>
      </c>
      <c r="AK691">
        <v>0</v>
      </c>
      <c r="AL691">
        <v>0</v>
      </c>
      <c r="AM691" t="s">
        <v>91</v>
      </c>
      <c r="AN691" t="s">
        <v>91</v>
      </c>
      <c r="AO691" t="s">
        <v>91</v>
      </c>
      <c r="AP691" t="s">
        <v>91</v>
      </c>
      <c r="AQ691" s="1" t="s">
        <v>147</v>
      </c>
      <c r="AR691" s="1" t="s">
        <v>147</v>
      </c>
      <c r="AS691" s="1" t="s">
        <v>147</v>
      </c>
      <c r="AT691" s="1" t="s">
        <v>147</v>
      </c>
      <c r="AU691" s="1" t="s">
        <v>147</v>
      </c>
      <c r="AV691" t="s">
        <v>91</v>
      </c>
      <c r="AW691" t="s">
        <v>91</v>
      </c>
      <c r="AX691" t="s">
        <v>91</v>
      </c>
      <c r="AY691" t="s">
        <v>91</v>
      </c>
      <c r="AZ691" t="s">
        <v>91</v>
      </c>
      <c r="BA691" t="s">
        <v>91</v>
      </c>
      <c r="BB691" s="2">
        <v>43308.392905092594</v>
      </c>
      <c r="BC691" s="2">
        <v>44658.631828703707</v>
      </c>
      <c r="BD691" t="s">
        <v>91</v>
      </c>
      <c r="BE691">
        <v>614</v>
      </c>
      <c r="BF691" s="1" t="s">
        <v>75</v>
      </c>
      <c r="BG691">
        <v>0</v>
      </c>
      <c r="BH691">
        <v>0</v>
      </c>
      <c r="BI691" s="1" t="s">
        <v>88</v>
      </c>
      <c r="BJ691">
        <v>1</v>
      </c>
      <c r="BK691" s="1" t="s">
        <v>89</v>
      </c>
      <c r="BL691" t="s">
        <v>91</v>
      </c>
      <c r="BM691" s="1" t="s">
        <v>109</v>
      </c>
      <c r="BN691" s="1" t="s">
        <v>110</v>
      </c>
      <c r="BO691" s="1" t="s">
        <v>165</v>
      </c>
      <c r="BP691" s="1" t="s">
        <v>91</v>
      </c>
      <c r="BQ691" t="s">
        <v>91</v>
      </c>
      <c r="BR691" s="3">
        <v>43308</v>
      </c>
      <c r="BS691" s="3">
        <v>44658</v>
      </c>
      <c r="BT691" t="s">
        <v>91</v>
      </c>
      <c r="BU691" t="s">
        <v>91</v>
      </c>
      <c r="BV691">
        <v>9</v>
      </c>
      <c r="BW691" s="1" t="s">
        <v>1330</v>
      </c>
    </row>
    <row r="692" spans="1:75" hidden="1" x14ac:dyDescent="0.35">
      <c r="A692">
        <v>556</v>
      </c>
      <c r="B692" s="1" t="s">
        <v>75</v>
      </c>
      <c r="C692">
        <v>80</v>
      </c>
      <c r="D692">
        <v>11121002</v>
      </c>
      <c r="E692">
        <v>121002</v>
      </c>
      <c r="F692" s="1" t="s">
        <v>2915</v>
      </c>
      <c r="G692" s="1" t="s">
        <v>4045</v>
      </c>
      <c r="I692" s="1" t="s">
        <v>78</v>
      </c>
      <c r="J692" s="1" t="s">
        <v>4046</v>
      </c>
      <c r="K692" s="1" t="s">
        <v>4047</v>
      </c>
      <c r="L692" t="s">
        <v>91</v>
      </c>
      <c r="M692" t="s">
        <v>91</v>
      </c>
      <c r="N692" s="1" t="s">
        <v>4048</v>
      </c>
      <c r="O692" t="s">
        <v>91</v>
      </c>
      <c r="P692" s="1" t="s">
        <v>4049</v>
      </c>
      <c r="Q692" s="1" t="s">
        <v>3653</v>
      </c>
      <c r="R692" s="1" t="s">
        <v>91</v>
      </c>
      <c r="S692">
        <v>1259</v>
      </c>
      <c r="T692">
        <v>88160118</v>
      </c>
      <c r="U692" s="1" t="s">
        <v>108</v>
      </c>
      <c r="V692" s="1" t="s">
        <v>3255</v>
      </c>
      <c r="W692" s="1" t="s">
        <v>87</v>
      </c>
      <c r="X692">
        <v>48</v>
      </c>
      <c r="Y692">
        <v>32781197</v>
      </c>
      <c r="Z692" t="s">
        <v>91</v>
      </c>
      <c r="AA692" t="s">
        <v>91</v>
      </c>
      <c r="AB692" t="s">
        <v>91</v>
      </c>
      <c r="AC692" t="s">
        <v>91</v>
      </c>
      <c r="AD692" t="s">
        <v>91</v>
      </c>
      <c r="AE692" t="s">
        <v>91</v>
      </c>
      <c r="AF692" t="s">
        <v>91</v>
      </c>
      <c r="AG692" s="1" t="s">
        <v>146</v>
      </c>
      <c r="AH692" s="1" t="s">
        <v>91</v>
      </c>
      <c r="AI692" t="s">
        <v>91</v>
      </c>
      <c r="AJ692">
        <v>0</v>
      </c>
      <c r="AK692">
        <v>0</v>
      </c>
      <c r="AL692">
        <v>0</v>
      </c>
      <c r="AM692" t="s">
        <v>91</v>
      </c>
      <c r="AN692" t="s">
        <v>91</v>
      </c>
      <c r="AO692" t="s">
        <v>91</v>
      </c>
      <c r="AP692" t="s">
        <v>91</v>
      </c>
      <c r="AQ692" s="1" t="s">
        <v>147</v>
      </c>
      <c r="AR692" s="1" t="s">
        <v>147</v>
      </c>
      <c r="AS692" s="1" t="s">
        <v>147</v>
      </c>
      <c r="AT692" s="1" t="s">
        <v>147</v>
      </c>
      <c r="AU692" s="1" t="s">
        <v>147</v>
      </c>
      <c r="AV692" t="s">
        <v>91</v>
      </c>
      <c r="AW692" t="s">
        <v>91</v>
      </c>
      <c r="AX692" t="s">
        <v>91</v>
      </c>
      <c r="AY692" t="s">
        <v>91</v>
      </c>
      <c r="AZ692" t="s">
        <v>91</v>
      </c>
      <c r="BA692" t="s">
        <v>91</v>
      </c>
      <c r="BB692" s="2">
        <v>43308.392893518518</v>
      </c>
      <c r="BC692" s="2">
        <v>44656.463078703702</v>
      </c>
      <c r="BD692" t="s">
        <v>91</v>
      </c>
      <c r="BE692">
        <v>556</v>
      </c>
      <c r="BF692" s="1" t="s">
        <v>75</v>
      </c>
      <c r="BG692">
        <v>0</v>
      </c>
      <c r="BH692">
        <v>0</v>
      </c>
      <c r="BI692" s="1" t="s">
        <v>88</v>
      </c>
      <c r="BJ692">
        <v>1</v>
      </c>
      <c r="BK692" s="1" t="s">
        <v>89</v>
      </c>
      <c r="BL692" t="s">
        <v>91</v>
      </c>
      <c r="BM692" s="1" t="s">
        <v>109</v>
      </c>
      <c r="BN692" s="1" t="s">
        <v>110</v>
      </c>
      <c r="BO692" s="1" t="s">
        <v>111</v>
      </c>
      <c r="BP692" s="1" t="s">
        <v>91</v>
      </c>
      <c r="BQ692" t="s">
        <v>91</v>
      </c>
      <c r="BR692" s="3">
        <v>43308</v>
      </c>
      <c r="BS692" s="3">
        <v>44656</v>
      </c>
      <c r="BT692" t="s">
        <v>91</v>
      </c>
      <c r="BU692" t="s">
        <v>91</v>
      </c>
      <c r="BV692">
        <v>9</v>
      </c>
      <c r="BW692" s="1" t="s">
        <v>295</v>
      </c>
    </row>
    <row r="693" spans="1:75" hidden="1" x14ac:dyDescent="0.35">
      <c r="A693">
        <v>159577</v>
      </c>
      <c r="B693" s="1" t="s">
        <v>75</v>
      </c>
      <c r="C693">
        <v>80</v>
      </c>
      <c r="D693">
        <v>11121002</v>
      </c>
      <c r="E693">
        <v>121002</v>
      </c>
      <c r="F693" s="1" t="s">
        <v>2915</v>
      </c>
      <c r="G693" s="1" t="s">
        <v>4050</v>
      </c>
      <c r="I693" s="1" t="s">
        <v>78</v>
      </c>
      <c r="J693" s="1" t="s">
        <v>4051</v>
      </c>
      <c r="K693" s="1" t="s">
        <v>4052</v>
      </c>
      <c r="L693" t="s">
        <v>91</v>
      </c>
      <c r="M693" t="s">
        <v>91</v>
      </c>
      <c r="N693" s="1" t="s">
        <v>4053</v>
      </c>
      <c r="O693" t="s">
        <v>91</v>
      </c>
      <c r="P693" s="1" t="s">
        <v>3007</v>
      </c>
      <c r="Q693" s="1" t="s">
        <v>4054</v>
      </c>
      <c r="R693" s="1" t="s">
        <v>91</v>
      </c>
      <c r="S693">
        <v>1259</v>
      </c>
      <c r="T693">
        <v>88106501</v>
      </c>
      <c r="U693" s="1" t="s">
        <v>4055</v>
      </c>
      <c r="V693" s="1" t="s">
        <v>2958</v>
      </c>
      <c r="W693" s="1" t="s">
        <v>87</v>
      </c>
      <c r="X693">
        <v>48</v>
      </c>
      <c r="Y693">
        <v>31120789</v>
      </c>
      <c r="Z693" t="s">
        <v>91</v>
      </c>
      <c r="AA693" t="s">
        <v>91</v>
      </c>
      <c r="AB693" t="s">
        <v>91</v>
      </c>
      <c r="AC693" t="s">
        <v>91</v>
      </c>
      <c r="AD693" t="s">
        <v>91</v>
      </c>
      <c r="AE693" t="s">
        <v>91</v>
      </c>
      <c r="AF693" t="s">
        <v>91</v>
      </c>
      <c r="AG693" s="1" t="s">
        <v>91</v>
      </c>
      <c r="AH693" s="1" t="s">
        <v>91</v>
      </c>
      <c r="AI693" t="s">
        <v>91</v>
      </c>
      <c r="AM693" t="s">
        <v>91</v>
      </c>
      <c r="AN693" t="s">
        <v>91</v>
      </c>
      <c r="AO693" t="s">
        <v>91</v>
      </c>
      <c r="AP693" t="s">
        <v>91</v>
      </c>
      <c r="AQ693" s="1" t="s">
        <v>91</v>
      </c>
      <c r="AR693" s="1" t="s">
        <v>91</v>
      </c>
      <c r="AS693" s="1" t="s">
        <v>91</v>
      </c>
      <c r="AT693" s="1" t="s">
        <v>91</v>
      </c>
      <c r="AU693" s="1" t="s">
        <v>91</v>
      </c>
      <c r="AV693" t="s">
        <v>91</v>
      </c>
      <c r="AW693" t="s">
        <v>91</v>
      </c>
      <c r="AX693" t="s">
        <v>91</v>
      </c>
      <c r="AY693" t="s">
        <v>91</v>
      </c>
      <c r="AZ693" t="s">
        <v>91</v>
      </c>
      <c r="BA693" t="s">
        <v>91</v>
      </c>
      <c r="BB693" s="2">
        <v>45194.491122685184</v>
      </c>
      <c r="BC693" s="2"/>
      <c r="BD693" t="s">
        <v>91</v>
      </c>
      <c r="BF693" s="1" t="s">
        <v>75</v>
      </c>
      <c r="BI693" s="1" t="s">
        <v>88</v>
      </c>
      <c r="BJ693">
        <v>1</v>
      </c>
      <c r="BK693" s="1" t="s">
        <v>89</v>
      </c>
      <c r="BL693" t="s">
        <v>91</v>
      </c>
      <c r="BM693" s="1" t="s">
        <v>91</v>
      </c>
      <c r="BN693" s="1" t="s">
        <v>91</v>
      </c>
      <c r="BO693" s="1" t="s">
        <v>91</v>
      </c>
      <c r="BP693" s="1" t="s">
        <v>91</v>
      </c>
      <c r="BQ693" t="s">
        <v>91</v>
      </c>
      <c r="BR693" s="3">
        <v>45194</v>
      </c>
      <c r="BS693" s="3"/>
      <c r="BT693" t="s">
        <v>91</v>
      </c>
      <c r="BU693" t="s">
        <v>91</v>
      </c>
      <c r="BW693" s="1" t="s">
        <v>1171</v>
      </c>
    </row>
    <row r="694" spans="1:75" hidden="1" x14ac:dyDescent="0.35">
      <c r="A694">
        <v>157590</v>
      </c>
      <c r="B694" s="1" t="s">
        <v>75</v>
      </c>
      <c r="C694">
        <v>80</v>
      </c>
      <c r="D694">
        <v>11121002</v>
      </c>
      <c r="E694">
        <v>121002</v>
      </c>
      <c r="F694" s="1" t="s">
        <v>2915</v>
      </c>
      <c r="G694" s="1" t="s">
        <v>4056</v>
      </c>
      <c r="H694">
        <v>0</v>
      </c>
      <c r="I694" s="1" t="s">
        <v>78</v>
      </c>
      <c r="J694" s="1" t="s">
        <v>4057</v>
      </c>
      <c r="K694" s="1" t="s">
        <v>4058</v>
      </c>
      <c r="L694" t="s">
        <v>91</v>
      </c>
      <c r="M694" t="s">
        <v>91</v>
      </c>
      <c r="N694" s="1" t="s">
        <v>4059</v>
      </c>
      <c r="O694" t="s">
        <v>91</v>
      </c>
      <c r="P694" s="1" t="s">
        <v>2204</v>
      </c>
      <c r="Q694" s="1" t="s">
        <v>3304</v>
      </c>
      <c r="R694" s="1" t="s">
        <v>91</v>
      </c>
      <c r="S694">
        <v>1268</v>
      </c>
      <c r="T694">
        <v>88701100</v>
      </c>
      <c r="U694" s="1" t="s">
        <v>108</v>
      </c>
      <c r="V694" s="1" t="s">
        <v>3900</v>
      </c>
      <c r="W694" s="1" t="s">
        <v>87</v>
      </c>
      <c r="X694">
        <v>48</v>
      </c>
      <c r="Y694">
        <v>36266155</v>
      </c>
      <c r="Z694" t="s">
        <v>91</v>
      </c>
      <c r="AA694" t="s">
        <v>91</v>
      </c>
      <c r="AB694" t="s">
        <v>91</v>
      </c>
      <c r="AC694" t="s">
        <v>91</v>
      </c>
      <c r="AD694" t="s">
        <v>91</v>
      </c>
      <c r="AE694" t="s">
        <v>91</v>
      </c>
      <c r="AF694" t="s">
        <v>91</v>
      </c>
      <c r="AG694" s="1" t="s">
        <v>91</v>
      </c>
      <c r="AH694" s="1" t="s">
        <v>91</v>
      </c>
      <c r="AI694" t="s">
        <v>91</v>
      </c>
      <c r="AM694" t="s">
        <v>91</v>
      </c>
      <c r="AN694" t="s">
        <v>91</v>
      </c>
      <c r="AO694" t="s">
        <v>91</v>
      </c>
      <c r="AP694" t="s">
        <v>91</v>
      </c>
      <c r="AQ694" s="1" t="s">
        <v>91</v>
      </c>
      <c r="AR694" s="1" t="s">
        <v>91</v>
      </c>
      <c r="AS694" s="1" t="s">
        <v>91</v>
      </c>
      <c r="AT694" s="1" t="s">
        <v>91</v>
      </c>
      <c r="AU694" s="1" t="s">
        <v>91</v>
      </c>
      <c r="AV694" t="s">
        <v>91</v>
      </c>
      <c r="AW694" t="s">
        <v>91</v>
      </c>
      <c r="AX694" t="s">
        <v>91</v>
      </c>
      <c r="AY694" t="s">
        <v>91</v>
      </c>
      <c r="AZ694" t="s">
        <v>91</v>
      </c>
      <c r="BA694" t="s">
        <v>91</v>
      </c>
      <c r="BB694" s="2">
        <v>45118.097175925926</v>
      </c>
      <c r="BC694" s="2"/>
      <c r="BD694" t="s">
        <v>91</v>
      </c>
      <c r="BF694" s="1" t="s">
        <v>75</v>
      </c>
      <c r="BI694" s="1" t="s">
        <v>88</v>
      </c>
      <c r="BJ694">
        <v>1</v>
      </c>
      <c r="BK694" s="1" t="s">
        <v>89</v>
      </c>
      <c r="BL694" t="s">
        <v>91</v>
      </c>
      <c r="BM694" s="1" t="s">
        <v>91</v>
      </c>
      <c r="BN694" s="1" t="s">
        <v>91</v>
      </c>
      <c r="BO694" s="1" t="s">
        <v>91</v>
      </c>
      <c r="BP694" s="1" t="s">
        <v>91</v>
      </c>
      <c r="BQ694" t="s">
        <v>91</v>
      </c>
      <c r="BR694" s="3">
        <v>45118</v>
      </c>
      <c r="BS694" s="3"/>
      <c r="BT694" t="s">
        <v>91</v>
      </c>
      <c r="BU694" t="s">
        <v>91</v>
      </c>
      <c r="BW694" s="1" t="s">
        <v>1254</v>
      </c>
    </row>
    <row r="695" spans="1:75" hidden="1" x14ac:dyDescent="0.35">
      <c r="A695">
        <v>48</v>
      </c>
      <c r="B695" s="1" t="s">
        <v>75</v>
      </c>
      <c r="C695">
        <v>80</v>
      </c>
      <c r="D695">
        <v>11121002</v>
      </c>
      <c r="E695">
        <v>121002</v>
      </c>
      <c r="F695" s="1" t="s">
        <v>2915</v>
      </c>
      <c r="G695" s="1" t="s">
        <v>4060</v>
      </c>
      <c r="I695" s="1" t="s">
        <v>78</v>
      </c>
      <c r="J695" s="1" t="s">
        <v>4061</v>
      </c>
      <c r="K695" s="1" t="s">
        <v>4062</v>
      </c>
      <c r="L695" t="s">
        <v>91</v>
      </c>
      <c r="M695" t="s">
        <v>91</v>
      </c>
      <c r="N695" s="1" t="s">
        <v>3817</v>
      </c>
      <c r="O695" t="s">
        <v>91</v>
      </c>
      <c r="P695" s="1" t="s">
        <v>4063</v>
      </c>
      <c r="Q695" s="1" t="s">
        <v>3375</v>
      </c>
      <c r="R695" s="1" t="s">
        <v>320</v>
      </c>
      <c r="S695">
        <v>1269</v>
      </c>
      <c r="T695">
        <v>88801500</v>
      </c>
      <c r="U695" s="1" t="s">
        <v>108</v>
      </c>
      <c r="V695" s="1" t="s">
        <v>3231</v>
      </c>
      <c r="W695" s="1" t="s">
        <v>87</v>
      </c>
      <c r="X695">
        <v>48</v>
      </c>
      <c r="Y695">
        <v>34334813</v>
      </c>
      <c r="Z695" t="s">
        <v>91</v>
      </c>
      <c r="AA695" t="s">
        <v>91</v>
      </c>
      <c r="AB695" t="s">
        <v>91</v>
      </c>
      <c r="AC695" t="s">
        <v>91</v>
      </c>
      <c r="AD695" t="s">
        <v>91</v>
      </c>
      <c r="AE695" t="s">
        <v>91</v>
      </c>
      <c r="AF695" t="s">
        <v>91</v>
      </c>
      <c r="AG695" s="1" t="s">
        <v>91</v>
      </c>
      <c r="AH695" s="1" t="s">
        <v>91</v>
      </c>
      <c r="AI695" t="s">
        <v>91</v>
      </c>
      <c r="AJ695">
        <v>0</v>
      </c>
      <c r="AK695">
        <v>0</v>
      </c>
      <c r="AL695">
        <v>0</v>
      </c>
      <c r="AM695" t="s">
        <v>91</v>
      </c>
      <c r="AN695" t="s">
        <v>91</v>
      </c>
      <c r="AO695" t="s">
        <v>91</v>
      </c>
      <c r="AP695" t="s">
        <v>91</v>
      </c>
      <c r="AQ695" s="1" t="s">
        <v>91</v>
      </c>
      <c r="AR695" s="1" t="s">
        <v>91</v>
      </c>
      <c r="AS695" s="1" t="s">
        <v>91</v>
      </c>
      <c r="AT695" s="1" t="s">
        <v>91</v>
      </c>
      <c r="AU695" s="1" t="s">
        <v>91</v>
      </c>
      <c r="AV695" t="s">
        <v>91</v>
      </c>
      <c r="AW695" t="s">
        <v>91</v>
      </c>
      <c r="AX695" t="s">
        <v>91</v>
      </c>
      <c r="AY695" t="s">
        <v>91</v>
      </c>
      <c r="AZ695" t="s">
        <v>91</v>
      </c>
      <c r="BA695" t="s">
        <v>91</v>
      </c>
      <c r="BB695" s="2">
        <v>43308.39271990741</v>
      </c>
      <c r="BC695" s="2"/>
      <c r="BD695" t="s">
        <v>91</v>
      </c>
      <c r="BE695">
        <v>48</v>
      </c>
      <c r="BF695" s="1" t="s">
        <v>75</v>
      </c>
      <c r="BG695">
        <v>0</v>
      </c>
      <c r="BH695">
        <v>0</v>
      </c>
      <c r="BI695" s="1" t="s">
        <v>88</v>
      </c>
      <c r="BJ695">
        <v>1</v>
      </c>
      <c r="BK695" s="1" t="s">
        <v>89</v>
      </c>
      <c r="BL695" t="s">
        <v>91</v>
      </c>
      <c r="BM695" s="1" t="s">
        <v>109</v>
      </c>
      <c r="BN695" s="1" t="s">
        <v>110</v>
      </c>
      <c r="BO695" s="1" t="s">
        <v>165</v>
      </c>
      <c r="BP695" s="1" t="s">
        <v>91</v>
      </c>
      <c r="BQ695" t="s">
        <v>91</v>
      </c>
      <c r="BR695" s="3">
        <v>43308</v>
      </c>
      <c r="BS695" s="3"/>
      <c r="BT695" t="s">
        <v>91</v>
      </c>
      <c r="BU695" t="s">
        <v>91</v>
      </c>
      <c r="BV695">
        <v>9</v>
      </c>
      <c r="BW695" s="1" t="s">
        <v>295</v>
      </c>
    </row>
    <row r="696" spans="1:75" hidden="1" x14ac:dyDescent="0.35">
      <c r="A696">
        <v>159583</v>
      </c>
      <c r="B696" s="1" t="s">
        <v>75</v>
      </c>
      <c r="C696">
        <v>80</v>
      </c>
      <c r="D696">
        <v>11121002</v>
      </c>
      <c r="E696">
        <v>121002</v>
      </c>
      <c r="F696" s="1" t="s">
        <v>2915</v>
      </c>
      <c r="G696" s="1" t="s">
        <v>4064</v>
      </c>
      <c r="I696" s="1" t="s">
        <v>78</v>
      </c>
      <c r="J696" s="1" t="s">
        <v>4065</v>
      </c>
      <c r="K696" s="1" t="s">
        <v>4066</v>
      </c>
      <c r="L696" t="s">
        <v>91</v>
      </c>
      <c r="M696" t="s">
        <v>91</v>
      </c>
      <c r="N696" s="1" t="s">
        <v>4067</v>
      </c>
      <c r="O696" t="s">
        <v>91</v>
      </c>
      <c r="P696" s="1" t="s">
        <v>4068</v>
      </c>
      <c r="Q696" s="1" t="s">
        <v>4069</v>
      </c>
      <c r="R696" s="1" t="s">
        <v>91</v>
      </c>
      <c r="S696">
        <v>1259</v>
      </c>
      <c r="T696">
        <v>88130301</v>
      </c>
      <c r="U696" s="1" t="s">
        <v>4070</v>
      </c>
      <c r="V696" s="1" t="s">
        <v>2951</v>
      </c>
      <c r="W696" s="1" t="s">
        <v>87</v>
      </c>
      <c r="X696">
        <v>48</v>
      </c>
      <c r="Y696">
        <v>991502857</v>
      </c>
      <c r="Z696" t="s">
        <v>91</v>
      </c>
      <c r="AA696" t="s">
        <v>91</v>
      </c>
      <c r="AB696" t="s">
        <v>91</v>
      </c>
      <c r="AC696" t="s">
        <v>91</v>
      </c>
      <c r="AD696" t="s">
        <v>91</v>
      </c>
      <c r="AE696" t="s">
        <v>91</v>
      </c>
      <c r="AF696" t="s">
        <v>91</v>
      </c>
      <c r="AG696" s="1" t="s">
        <v>91</v>
      </c>
      <c r="AH696" s="1" t="s">
        <v>91</v>
      </c>
      <c r="AI696" t="s">
        <v>91</v>
      </c>
      <c r="AM696" t="s">
        <v>91</v>
      </c>
      <c r="AN696" t="s">
        <v>91</v>
      </c>
      <c r="AO696" t="s">
        <v>91</v>
      </c>
      <c r="AP696" t="s">
        <v>91</v>
      </c>
      <c r="AQ696" s="1" t="s">
        <v>91</v>
      </c>
      <c r="AR696" s="1" t="s">
        <v>91</v>
      </c>
      <c r="AS696" s="1" t="s">
        <v>91</v>
      </c>
      <c r="AT696" s="1" t="s">
        <v>91</v>
      </c>
      <c r="AU696" s="1" t="s">
        <v>91</v>
      </c>
      <c r="AV696" t="s">
        <v>91</v>
      </c>
      <c r="AW696" t="s">
        <v>91</v>
      </c>
      <c r="AX696" t="s">
        <v>91</v>
      </c>
      <c r="AY696" t="s">
        <v>91</v>
      </c>
      <c r="AZ696" t="s">
        <v>91</v>
      </c>
      <c r="BA696" t="s">
        <v>91</v>
      </c>
      <c r="BB696" s="2">
        <v>45194.491122685184</v>
      </c>
      <c r="BC696" s="2"/>
      <c r="BD696" t="s">
        <v>91</v>
      </c>
      <c r="BF696" s="1" t="s">
        <v>75</v>
      </c>
      <c r="BI696" s="1" t="s">
        <v>88</v>
      </c>
      <c r="BJ696">
        <v>1</v>
      </c>
      <c r="BK696" s="1" t="s">
        <v>89</v>
      </c>
      <c r="BL696" t="s">
        <v>91</v>
      </c>
      <c r="BM696" s="1" t="s">
        <v>91</v>
      </c>
      <c r="BN696" s="1" t="s">
        <v>91</v>
      </c>
      <c r="BO696" s="1" t="s">
        <v>91</v>
      </c>
      <c r="BP696" s="1" t="s">
        <v>91</v>
      </c>
      <c r="BQ696" t="s">
        <v>91</v>
      </c>
      <c r="BR696" s="3">
        <v>45194</v>
      </c>
      <c r="BS696" s="3"/>
      <c r="BT696" t="s">
        <v>91</v>
      </c>
      <c r="BU696" t="s">
        <v>91</v>
      </c>
      <c r="BW696" s="1" t="s">
        <v>90</v>
      </c>
    </row>
    <row r="697" spans="1:75" hidden="1" x14ac:dyDescent="0.35">
      <c r="A697">
        <v>144499</v>
      </c>
      <c r="B697" s="1" t="s">
        <v>75</v>
      </c>
      <c r="C697">
        <v>80</v>
      </c>
      <c r="D697">
        <v>11121002</v>
      </c>
      <c r="E697">
        <v>121002</v>
      </c>
      <c r="F697" s="1" t="s">
        <v>2915</v>
      </c>
      <c r="G697" s="1" t="s">
        <v>4071</v>
      </c>
      <c r="I697" s="1" t="s">
        <v>78</v>
      </c>
      <c r="J697" s="1" t="s">
        <v>4072</v>
      </c>
      <c r="K697" s="1" t="s">
        <v>4073</v>
      </c>
      <c r="L697" t="s">
        <v>91</v>
      </c>
      <c r="M697" t="s">
        <v>91</v>
      </c>
      <c r="N697" s="1" t="s">
        <v>4074</v>
      </c>
      <c r="O697" t="s">
        <v>91</v>
      </c>
      <c r="P697" s="1" t="s">
        <v>4075</v>
      </c>
      <c r="Q697" s="1" t="s">
        <v>4076</v>
      </c>
      <c r="R697" s="1" t="s">
        <v>491</v>
      </c>
      <c r="T697">
        <v>88817600</v>
      </c>
      <c r="U697" s="1" t="s">
        <v>4077</v>
      </c>
      <c r="V697" s="1" t="s">
        <v>3231</v>
      </c>
      <c r="W697" s="1" t="s">
        <v>87</v>
      </c>
      <c r="X697">
        <v>48</v>
      </c>
      <c r="Y697">
        <v>34428347</v>
      </c>
      <c r="Z697" t="s">
        <v>91</v>
      </c>
      <c r="AA697" t="s">
        <v>91</v>
      </c>
      <c r="AB697" t="s">
        <v>91</v>
      </c>
      <c r="AC697" t="s">
        <v>91</v>
      </c>
      <c r="AD697" t="s">
        <v>91</v>
      </c>
      <c r="AE697" t="s">
        <v>91</v>
      </c>
      <c r="AF697" t="s">
        <v>91</v>
      </c>
      <c r="AG697" s="1" t="s">
        <v>91</v>
      </c>
      <c r="AH697" s="1" t="s">
        <v>91</v>
      </c>
      <c r="AI697" t="s">
        <v>91</v>
      </c>
      <c r="AJ697">
        <v>0</v>
      </c>
      <c r="AK697">
        <v>0</v>
      </c>
      <c r="AL697">
        <v>0</v>
      </c>
      <c r="AM697" t="s">
        <v>91</v>
      </c>
      <c r="AN697" t="s">
        <v>91</v>
      </c>
      <c r="AO697" t="s">
        <v>91</v>
      </c>
      <c r="AP697" t="s">
        <v>91</v>
      </c>
      <c r="AQ697" s="1" t="s">
        <v>91</v>
      </c>
      <c r="AR697" s="1" t="s">
        <v>91</v>
      </c>
      <c r="AS697" s="1" t="s">
        <v>91</v>
      </c>
      <c r="AT697" s="1" t="s">
        <v>91</v>
      </c>
      <c r="AU697" s="1" t="s">
        <v>91</v>
      </c>
      <c r="AV697" t="s">
        <v>91</v>
      </c>
      <c r="AW697" t="s">
        <v>91</v>
      </c>
      <c r="AX697" t="s">
        <v>91</v>
      </c>
      <c r="AY697" t="s">
        <v>91</v>
      </c>
      <c r="AZ697" t="s">
        <v>91</v>
      </c>
      <c r="BA697" t="s">
        <v>91</v>
      </c>
      <c r="BB697" s="2"/>
      <c r="BC697" s="2"/>
      <c r="BD697" t="s">
        <v>91</v>
      </c>
      <c r="BF697" s="1" t="s">
        <v>75</v>
      </c>
      <c r="BG697">
        <v>0</v>
      </c>
      <c r="BH697">
        <v>0</v>
      </c>
      <c r="BI697" s="1" t="s">
        <v>88</v>
      </c>
      <c r="BJ697">
        <v>1</v>
      </c>
      <c r="BK697" s="1" t="s">
        <v>89</v>
      </c>
      <c r="BL697" t="s">
        <v>91</v>
      </c>
      <c r="BM697" s="1" t="s">
        <v>109</v>
      </c>
      <c r="BN697" s="1" t="s">
        <v>110</v>
      </c>
      <c r="BO697" s="1" t="s">
        <v>180</v>
      </c>
      <c r="BP697" s="1" t="s">
        <v>91</v>
      </c>
      <c r="BQ697" t="s">
        <v>91</v>
      </c>
      <c r="BR697" s="3"/>
      <c r="BS697" s="3"/>
      <c r="BT697" t="s">
        <v>91</v>
      </c>
      <c r="BU697" t="s">
        <v>91</v>
      </c>
      <c r="BV697">
        <v>9</v>
      </c>
      <c r="BW697" s="1" t="s">
        <v>90</v>
      </c>
    </row>
    <row r="698" spans="1:75" hidden="1" x14ac:dyDescent="0.35">
      <c r="A698">
        <v>134272</v>
      </c>
      <c r="B698" s="1" t="s">
        <v>75</v>
      </c>
      <c r="C698">
        <v>80</v>
      </c>
      <c r="D698">
        <v>11121002</v>
      </c>
      <c r="E698">
        <v>121002</v>
      </c>
      <c r="F698" s="1" t="s">
        <v>2915</v>
      </c>
      <c r="G698" s="1" t="s">
        <v>4078</v>
      </c>
      <c r="I698" s="1" t="s">
        <v>78</v>
      </c>
      <c r="J698" s="1" t="s">
        <v>4079</v>
      </c>
      <c r="K698" s="1" t="s">
        <v>4080</v>
      </c>
      <c r="L698" t="s">
        <v>91</v>
      </c>
      <c r="M698" t="s">
        <v>91</v>
      </c>
      <c r="N698" s="1" t="s">
        <v>4081</v>
      </c>
      <c r="O698" t="s">
        <v>91</v>
      </c>
      <c r="P698" s="1" t="s">
        <v>4082</v>
      </c>
      <c r="Q698" s="1" t="s">
        <v>4083</v>
      </c>
      <c r="R698" s="1" t="s">
        <v>91</v>
      </c>
      <c r="S698">
        <v>1258</v>
      </c>
      <c r="T698">
        <v>88075001</v>
      </c>
      <c r="U698" s="1" t="s">
        <v>3468</v>
      </c>
      <c r="V698" s="1" t="s">
        <v>3102</v>
      </c>
      <c r="W698" s="1" t="s">
        <v>87</v>
      </c>
      <c r="X698">
        <v>48</v>
      </c>
      <c r="Y698">
        <v>30679464</v>
      </c>
      <c r="Z698" t="s">
        <v>91</v>
      </c>
      <c r="AA698" t="s">
        <v>91</v>
      </c>
      <c r="AB698" t="s">
        <v>91</v>
      </c>
      <c r="AC698" t="s">
        <v>91</v>
      </c>
      <c r="AD698" t="s">
        <v>91</v>
      </c>
      <c r="AE698" t="s">
        <v>91</v>
      </c>
      <c r="AF698" t="s">
        <v>91</v>
      </c>
      <c r="AG698" s="1" t="s">
        <v>146</v>
      </c>
      <c r="AH698" s="1" t="s">
        <v>91</v>
      </c>
      <c r="AI698" t="s">
        <v>91</v>
      </c>
      <c r="AJ698">
        <v>0</v>
      </c>
      <c r="AK698">
        <v>0</v>
      </c>
      <c r="AL698">
        <v>0</v>
      </c>
      <c r="AM698" t="s">
        <v>91</v>
      </c>
      <c r="AN698" t="s">
        <v>91</v>
      </c>
      <c r="AO698" t="s">
        <v>91</v>
      </c>
      <c r="AP698" t="s">
        <v>91</v>
      </c>
      <c r="AQ698" s="1" t="s">
        <v>147</v>
      </c>
      <c r="AR698" s="1" t="s">
        <v>147</v>
      </c>
      <c r="AS698" s="1" t="s">
        <v>147</v>
      </c>
      <c r="AT698" s="1" t="s">
        <v>147</v>
      </c>
      <c r="AU698" s="1" t="s">
        <v>147</v>
      </c>
      <c r="AV698" t="s">
        <v>91</v>
      </c>
      <c r="AW698" t="s">
        <v>91</v>
      </c>
      <c r="AX698" t="s">
        <v>91</v>
      </c>
      <c r="AY698" t="s">
        <v>91</v>
      </c>
      <c r="AZ698" t="s">
        <v>91</v>
      </c>
      <c r="BA698" t="s">
        <v>91</v>
      </c>
      <c r="BB698" s="2"/>
      <c r="BC698" s="2">
        <v>44670.410034722219</v>
      </c>
      <c r="BD698" t="s">
        <v>91</v>
      </c>
      <c r="BF698" s="1" t="s">
        <v>75</v>
      </c>
      <c r="BG698">
        <v>0</v>
      </c>
      <c r="BH698">
        <v>0</v>
      </c>
      <c r="BI698" s="1" t="s">
        <v>88</v>
      </c>
      <c r="BJ698">
        <v>1</v>
      </c>
      <c r="BK698" s="1" t="s">
        <v>89</v>
      </c>
      <c r="BL698" t="s">
        <v>91</v>
      </c>
      <c r="BM698" s="1" t="s">
        <v>109</v>
      </c>
      <c r="BN698" s="1" t="s">
        <v>110</v>
      </c>
      <c r="BO698" s="1" t="s">
        <v>180</v>
      </c>
      <c r="BP698" s="1" t="s">
        <v>91</v>
      </c>
      <c r="BQ698" t="s">
        <v>91</v>
      </c>
      <c r="BR698" s="3"/>
      <c r="BS698" s="3">
        <v>44670</v>
      </c>
      <c r="BT698" t="s">
        <v>91</v>
      </c>
      <c r="BU698" t="s">
        <v>91</v>
      </c>
      <c r="BV698">
        <v>9</v>
      </c>
      <c r="BW698" s="1" t="s">
        <v>263</v>
      </c>
    </row>
    <row r="699" spans="1:75" hidden="1" x14ac:dyDescent="0.35">
      <c r="A699">
        <v>157687</v>
      </c>
      <c r="B699" s="1" t="s">
        <v>75</v>
      </c>
      <c r="C699">
        <v>80</v>
      </c>
      <c r="D699">
        <v>11121002</v>
      </c>
      <c r="E699">
        <v>121002</v>
      </c>
      <c r="F699" s="1" t="s">
        <v>2915</v>
      </c>
      <c r="G699" s="1" t="s">
        <v>4084</v>
      </c>
      <c r="H699">
        <v>0</v>
      </c>
      <c r="I699" s="1" t="s">
        <v>78</v>
      </c>
      <c r="J699" s="1" t="s">
        <v>4085</v>
      </c>
      <c r="K699" s="1" t="s">
        <v>4086</v>
      </c>
      <c r="L699" t="s">
        <v>91</v>
      </c>
      <c r="M699" t="s">
        <v>91</v>
      </c>
      <c r="N699" s="1" t="s">
        <v>4087</v>
      </c>
      <c r="O699" t="s">
        <v>91</v>
      </c>
      <c r="P699" s="1" t="s">
        <v>3556</v>
      </c>
      <c r="Q699" s="1" t="s">
        <v>862</v>
      </c>
      <c r="R699" s="1" t="s">
        <v>4088</v>
      </c>
      <c r="S699">
        <v>1254</v>
      </c>
      <c r="T699">
        <v>88010300</v>
      </c>
      <c r="U699" s="1" t="s">
        <v>108</v>
      </c>
      <c r="V699" s="1" t="s">
        <v>2922</v>
      </c>
      <c r="W699" s="1" t="s">
        <v>87</v>
      </c>
      <c r="X699">
        <v>51</v>
      </c>
      <c r="Y699">
        <v>30541723</v>
      </c>
      <c r="Z699" t="s">
        <v>91</v>
      </c>
      <c r="AA699" t="s">
        <v>91</v>
      </c>
      <c r="AB699" t="s">
        <v>91</v>
      </c>
      <c r="AC699" t="s">
        <v>91</v>
      </c>
      <c r="AD699" t="s">
        <v>91</v>
      </c>
      <c r="AE699" t="s">
        <v>91</v>
      </c>
      <c r="AF699" t="s">
        <v>91</v>
      </c>
      <c r="AG699" s="1" t="s">
        <v>91</v>
      </c>
      <c r="AH699" s="1" t="s">
        <v>91</v>
      </c>
      <c r="AI699" t="s">
        <v>91</v>
      </c>
      <c r="AM699" t="s">
        <v>91</v>
      </c>
      <c r="AN699" t="s">
        <v>91</v>
      </c>
      <c r="AO699" t="s">
        <v>91</v>
      </c>
      <c r="AP699" t="s">
        <v>91</v>
      </c>
      <c r="AQ699" s="1" t="s">
        <v>91</v>
      </c>
      <c r="AR699" s="1" t="s">
        <v>91</v>
      </c>
      <c r="AS699" s="1" t="s">
        <v>91</v>
      </c>
      <c r="AT699" s="1" t="s">
        <v>91</v>
      </c>
      <c r="AU699" s="1" t="s">
        <v>91</v>
      </c>
      <c r="AV699" t="s">
        <v>91</v>
      </c>
      <c r="AW699" t="s">
        <v>91</v>
      </c>
      <c r="AX699" t="s">
        <v>91</v>
      </c>
      <c r="AY699" t="s">
        <v>91</v>
      </c>
      <c r="AZ699" t="s">
        <v>91</v>
      </c>
      <c r="BA699" t="s">
        <v>91</v>
      </c>
      <c r="BB699" s="2">
        <v>45118.097175925926</v>
      </c>
      <c r="BC699" s="2"/>
      <c r="BD699" t="s">
        <v>91</v>
      </c>
      <c r="BF699" s="1" t="s">
        <v>75</v>
      </c>
      <c r="BI699" s="1" t="s">
        <v>88</v>
      </c>
      <c r="BJ699">
        <v>1</v>
      </c>
      <c r="BK699" s="1" t="s">
        <v>89</v>
      </c>
      <c r="BL699" t="s">
        <v>91</v>
      </c>
      <c r="BM699" s="1" t="s">
        <v>91</v>
      </c>
      <c r="BN699" s="1" t="s">
        <v>91</v>
      </c>
      <c r="BO699" s="1" t="s">
        <v>91</v>
      </c>
      <c r="BP699" s="1" t="s">
        <v>91</v>
      </c>
      <c r="BQ699" t="s">
        <v>91</v>
      </c>
      <c r="BR699" s="3">
        <v>45118</v>
      </c>
      <c r="BS699" s="3"/>
      <c r="BT699" t="s">
        <v>91</v>
      </c>
      <c r="BU699" t="s">
        <v>91</v>
      </c>
      <c r="BW699" s="1" t="s">
        <v>1575</v>
      </c>
    </row>
    <row r="700" spans="1:75" hidden="1" x14ac:dyDescent="0.35">
      <c r="A700">
        <v>144507</v>
      </c>
      <c r="B700" s="1" t="s">
        <v>75</v>
      </c>
      <c r="C700">
        <v>80</v>
      </c>
      <c r="D700">
        <v>11121002</v>
      </c>
      <c r="E700">
        <v>121002</v>
      </c>
      <c r="F700" s="1" t="s">
        <v>2915</v>
      </c>
      <c r="G700" s="1" t="s">
        <v>4089</v>
      </c>
      <c r="I700" s="1" t="s">
        <v>78</v>
      </c>
      <c r="J700" s="1" t="s">
        <v>4090</v>
      </c>
      <c r="K700" s="1" t="s">
        <v>4091</v>
      </c>
      <c r="L700" t="s">
        <v>91</v>
      </c>
      <c r="M700" t="s">
        <v>91</v>
      </c>
      <c r="N700" s="1" t="s">
        <v>4092</v>
      </c>
      <c r="O700" t="s">
        <v>91</v>
      </c>
      <c r="P700" s="1" t="s">
        <v>3699</v>
      </c>
      <c r="Q700" s="1" t="s">
        <v>4093</v>
      </c>
      <c r="R700" s="1" t="s">
        <v>245</v>
      </c>
      <c r="S700">
        <v>1268</v>
      </c>
      <c r="T700">
        <v>88701001</v>
      </c>
      <c r="U700" s="1" t="s">
        <v>108</v>
      </c>
      <c r="V700" s="1" t="s">
        <v>3059</v>
      </c>
      <c r="W700" s="1" t="s">
        <v>87</v>
      </c>
      <c r="X700">
        <v>48</v>
      </c>
      <c r="Y700">
        <v>30455818</v>
      </c>
      <c r="Z700" t="s">
        <v>91</v>
      </c>
      <c r="AA700" t="s">
        <v>91</v>
      </c>
      <c r="AB700" t="s">
        <v>91</v>
      </c>
      <c r="AC700" t="s">
        <v>91</v>
      </c>
      <c r="AD700" t="s">
        <v>91</v>
      </c>
      <c r="AE700" t="s">
        <v>91</v>
      </c>
      <c r="AF700" t="s">
        <v>91</v>
      </c>
      <c r="AG700" s="1" t="s">
        <v>91</v>
      </c>
      <c r="AH700" s="1" t="s">
        <v>91</v>
      </c>
      <c r="AI700" t="s">
        <v>91</v>
      </c>
      <c r="AJ700">
        <v>0</v>
      </c>
      <c r="AK700">
        <v>0</v>
      </c>
      <c r="AL700">
        <v>0</v>
      </c>
      <c r="AM700" t="s">
        <v>91</v>
      </c>
      <c r="AN700" t="s">
        <v>91</v>
      </c>
      <c r="AO700" t="s">
        <v>91</v>
      </c>
      <c r="AP700" t="s">
        <v>91</v>
      </c>
      <c r="AQ700" s="1" t="s">
        <v>91</v>
      </c>
      <c r="AR700" s="1" t="s">
        <v>91</v>
      </c>
      <c r="AS700" s="1" t="s">
        <v>91</v>
      </c>
      <c r="AT700" s="1" t="s">
        <v>91</v>
      </c>
      <c r="AU700" s="1" t="s">
        <v>91</v>
      </c>
      <c r="AV700" t="s">
        <v>91</v>
      </c>
      <c r="AW700" t="s">
        <v>91</v>
      </c>
      <c r="AX700" t="s">
        <v>91</v>
      </c>
      <c r="AY700" t="s">
        <v>91</v>
      </c>
      <c r="AZ700" t="s">
        <v>91</v>
      </c>
      <c r="BA700" t="s">
        <v>91</v>
      </c>
      <c r="BB700" s="2"/>
      <c r="BC700" s="2"/>
      <c r="BD700" t="s">
        <v>91</v>
      </c>
      <c r="BF700" s="1" t="s">
        <v>75</v>
      </c>
      <c r="BG700">
        <v>0</v>
      </c>
      <c r="BH700">
        <v>0</v>
      </c>
      <c r="BI700" s="1" t="s">
        <v>88</v>
      </c>
      <c r="BJ700">
        <v>1</v>
      </c>
      <c r="BK700" s="1" t="s">
        <v>89</v>
      </c>
      <c r="BL700" t="s">
        <v>91</v>
      </c>
      <c r="BM700" s="1" t="s">
        <v>109</v>
      </c>
      <c r="BN700" s="1" t="s">
        <v>110</v>
      </c>
      <c r="BO700" s="1" t="s">
        <v>180</v>
      </c>
      <c r="BP700" s="1" t="s">
        <v>91</v>
      </c>
      <c r="BQ700" t="s">
        <v>91</v>
      </c>
      <c r="BR700" s="3"/>
      <c r="BS700" s="3"/>
      <c r="BT700" t="s">
        <v>91</v>
      </c>
      <c r="BU700" t="s">
        <v>91</v>
      </c>
      <c r="BV700">
        <v>9</v>
      </c>
      <c r="BW700" s="1" t="s">
        <v>90</v>
      </c>
    </row>
    <row r="701" spans="1:75" hidden="1" x14ac:dyDescent="0.35">
      <c r="A701">
        <v>134322</v>
      </c>
      <c r="B701" s="1" t="s">
        <v>75</v>
      </c>
      <c r="C701">
        <v>80</v>
      </c>
      <c r="D701">
        <v>11121002</v>
      </c>
      <c r="E701">
        <v>121002</v>
      </c>
      <c r="F701" s="1" t="s">
        <v>2915</v>
      </c>
      <c r="G701" s="1" t="s">
        <v>4094</v>
      </c>
      <c r="I701" s="1" t="s">
        <v>78</v>
      </c>
      <c r="J701" s="1" t="s">
        <v>4095</v>
      </c>
      <c r="K701" s="1" t="s">
        <v>4096</v>
      </c>
      <c r="L701" t="s">
        <v>91</v>
      </c>
      <c r="M701" t="s">
        <v>91</v>
      </c>
      <c r="N701" s="1" t="s">
        <v>4097</v>
      </c>
      <c r="O701" t="s">
        <v>91</v>
      </c>
      <c r="P701" s="1" t="s">
        <v>4098</v>
      </c>
      <c r="Q701" s="1" t="s">
        <v>4099</v>
      </c>
      <c r="R701" s="1" t="s">
        <v>98</v>
      </c>
      <c r="S701">
        <v>1257</v>
      </c>
      <c r="T701">
        <v>88063000</v>
      </c>
      <c r="U701" s="1" t="s">
        <v>2964</v>
      </c>
      <c r="V701" s="1" t="s">
        <v>3102</v>
      </c>
      <c r="W701" s="1" t="s">
        <v>87</v>
      </c>
      <c r="X701">
        <v>48</v>
      </c>
      <c r="Y701">
        <v>988369361</v>
      </c>
      <c r="Z701" t="s">
        <v>91</v>
      </c>
      <c r="AA701" t="s">
        <v>91</v>
      </c>
      <c r="AB701" t="s">
        <v>91</v>
      </c>
      <c r="AC701" t="s">
        <v>91</v>
      </c>
      <c r="AD701" t="s">
        <v>91</v>
      </c>
      <c r="AE701" t="s">
        <v>91</v>
      </c>
      <c r="AF701" t="s">
        <v>91</v>
      </c>
      <c r="AG701" s="1" t="s">
        <v>146</v>
      </c>
      <c r="AH701" s="1" t="s">
        <v>91</v>
      </c>
      <c r="AI701" t="s">
        <v>91</v>
      </c>
      <c r="AJ701">
        <v>0</v>
      </c>
      <c r="AK701">
        <v>0</v>
      </c>
      <c r="AL701">
        <v>0</v>
      </c>
      <c r="AM701" t="s">
        <v>91</v>
      </c>
      <c r="AN701" t="s">
        <v>91</v>
      </c>
      <c r="AO701" t="s">
        <v>91</v>
      </c>
      <c r="AP701" t="s">
        <v>91</v>
      </c>
      <c r="AQ701" s="1" t="s">
        <v>147</v>
      </c>
      <c r="AR701" s="1" t="s">
        <v>147</v>
      </c>
      <c r="AS701" s="1" t="s">
        <v>147</v>
      </c>
      <c r="AT701" s="1" t="s">
        <v>147</v>
      </c>
      <c r="AU701" s="1" t="s">
        <v>147</v>
      </c>
      <c r="AV701" t="s">
        <v>91</v>
      </c>
      <c r="AW701" t="s">
        <v>91</v>
      </c>
      <c r="AX701" t="s">
        <v>91</v>
      </c>
      <c r="AY701" t="s">
        <v>91</v>
      </c>
      <c r="AZ701" t="s">
        <v>91</v>
      </c>
      <c r="BA701" t="s">
        <v>91</v>
      </c>
      <c r="BB701" s="2"/>
      <c r="BC701" s="2">
        <v>44607.420069444444</v>
      </c>
      <c r="BD701" t="s">
        <v>91</v>
      </c>
      <c r="BF701" s="1" t="s">
        <v>75</v>
      </c>
      <c r="BG701">
        <v>0</v>
      </c>
      <c r="BH701">
        <v>0</v>
      </c>
      <c r="BI701" s="1" t="s">
        <v>88</v>
      </c>
      <c r="BJ701">
        <v>1</v>
      </c>
      <c r="BK701" s="1" t="s">
        <v>89</v>
      </c>
      <c r="BL701" t="s">
        <v>91</v>
      </c>
      <c r="BM701" s="1" t="s">
        <v>109</v>
      </c>
      <c r="BN701" s="1" t="s">
        <v>110</v>
      </c>
      <c r="BO701" s="1" t="s">
        <v>128</v>
      </c>
      <c r="BP701" s="1" t="s">
        <v>91</v>
      </c>
      <c r="BQ701" t="s">
        <v>91</v>
      </c>
      <c r="BR701" s="3"/>
      <c r="BS701" s="3">
        <v>44607</v>
      </c>
      <c r="BT701" t="s">
        <v>91</v>
      </c>
      <c r="BU701" t="s">
        <v>91</v>
      </c>
      <c r="BV701">
        <v>6</v>
      </c>
      <c r="BW701" s="1" t="s">
        <v>390</v>
      </c>
    </row>
    <row r="702" spans="1:75" hidden="1" x14ac:dyDescent="0.35">
      <c r="A702">
        <v>134236</v>
      </c>
      <c r="B702" s="1" t="s">
        <v>75</v>
      </c>
      <c r="C702">
        <v>80</v>
      </c>
      <c r="D702">
        <v>11121002</v>
      </c>
      <c r="E702">
        <v>121002</v>
      </c>
      <c r="F702" s="1" t="s">
        <v>2915</v>
      </c>
      <c r="G702" s="1" t="s">
        <v>4100</v>
      </c>
      <c r="I702" s="1" t="s">
        <v>78</v>
      </c>
      <c r="J702" s="1" t="s">
        <v>4101</v>
      </c>
      <c r="K702" s="1" t="s">
        <v>4102</v>
      </c>
      <c r="L702" t="s">
        <v>91</v>
      </c>
      <c r="M702" t="s">
        <v>91</v>
      </c>
      <c r="N702" s="1" t="s">
        <v>4103</v>
      </c>
      <c r="O702" t="s">
        <v>91</v>
      </c>
      <c r="P702" s="1" t="s">
        <v>3485</v>
      </c>
      <c r="Q702" s="1" t="s">
        <v>2300</v>
      </c>
      <c r="R702" s="1" t="s">
        <v>4104</v>
      </c>
      <c r="S702">
        <v>1259</v>
      </c>
      <c r="T702">
        <v>88117900</v>
      </c>
      <c r="U702" s="1" t="s">
        <v>2957</v>
      </c>
      <c r="V702" s="1" t="s">
        <v>3016</v>
      </c>
      <c r="W702" s="1" t="s">
        <v>87</v>
      </c>
      <c r="X702">
        <v>48</v>
      </c>
      <c r="Y702">
        <v>30343790</v>
      </c>
      <c r="Z702" t="s">
        <v>91</v>
      </c>
      <c r="AA702" t="s">
        <v>91</v>
      </c>
      <c r="AB702" t="s">
        <v>91</v>
      </c>
      <c r="AC702" t="s">
        <v>91</v>
      </c>
      <c r="AD702" t="s">
        <v>91</v>
      </c>
      <c r="AE702" t="s">
        <v>91</v>
      </c>
      <c r="AF702" t="s">
        <v>91</v>
      </c>
      <c r="AG702" s="1" t="s">
        <v>146</v>
      </c>
      <c r="AH702" s="1" t="s">
        <v>91</v>
      </c>
      <c r="AI702" t="s">
        <v>91</v>
      </c>
      <c r="AJ702">
        <v>0</v>
      </c>
      <c r="AK702">
        <v>0</v>
      </c>
      <c r="AL702">
        <v>0</v>
      </c>
      <c r="AM702" t="s">
        <v>91</v>
      </c>
      <c r="AN702" t="s">
        <v>91</v>
      </c>
      <c r="AO702" t="s">
        <v>91</v>
      </c>
      <c r="AP702" t="s">
        <v>91</v>
      </c>
      <c r="AQ702" s="1" t="s">
        <v>147</v>
      </c>
      <c r="AR702" s="1" t="s">
        <v>147</v>
      </c>
      <c r="AS702" s="1" t="s">
        <v>147</v>
      </c>
      <c r="AT702" s="1" t="s">
        <v>147</v>
      </c>
      <c r="AU702" s="1" t="s">
        <v>147</v>
      </c>
      <c r="AV702" t="s">
        <v>91</v>
      </c>
      <c r="AW702" t="s">
        <v>91</v>
      </c>
      <c r="AX702" t="s">
        <v>91</v>
      </c>
      <c r="AY702" t="s">
        <v>91</v>
      </c>
      <c r="AZ702" t="s">
        <v>91</v>
      </c>
      <c r="BA702" t="s">
        <v>91</v>
      </c>
      <c r="BB702" s="2"/>
      <c r="BC702" s="2">
        <v>44449.720277777778</v>
      </c>
      <c r="BD702" t="s">
        <v>91</v>
      </c>
      <c r="BF702" s="1" t="s">
        <v>75</v>
      </c>
      <c r="BG702">
        <v>0</v>
      </c>
      <c r="BH702">
        <v>0</v>
      </c>
      <c r="BI702" s="1" t="s">
        <v>88</v>
      </c>
      <c r="BJ702">
        <v>1</v>
      </c>
      <c r="BK702" s="1" t="s">
        <v>89</v>
      </c>
      <c r="BL702" t="s">
        <v>91</v>
      </c>
      <c r="BM702" s="1" t="s">
        <v>197</v>
      </c>
      <c r="BN702" s="1" t="s">
        <v>110</v>
      </c>
      <c r="BO702" s="1" t="s">
        <v>165</v>
      </c>
      <c r="BP702" s="1" t="s">
        <v>91</v>
      </c>
      <c r="BQ702" t="s">
        <v>91</v>
      </c>
      <c r="BR702" s="3"/>
      <c r="BS702" s="3">
        <v>44449</v>
      </c>
      <c r="BT702" t="s">
        <v>91</v>
      </c>
      <c r="BU702" t="s">
        <v>91</v>
      </c>
      <c r="BV702">
        <v>1</v>
      </c>
      <c r="BW702" s="1" t="s">
        <v>4105</v>
      </c>
    </row>
    <row r="703" spans="1:75" hidden="1" x14ac:dyDescent="0.35">
      <c r="A703">
        <v>157703</v>
      </c>
      <c r="B703" s="1" t="s">
        <v>75</v>
      </c>
      <c r="C703">
        <v>80</v>
      </c>
      <c r="D703">
        <v>11121002</v>
      </c>
      <c r="E703">
        <v>121002</v>
      </c>
      <c r="F703" s="1" t="s">
        <v>2915</v>
      </c>
      <c r="G703" s="1" t="s">
        <v>4106</v>
      </c>
      <c r="H703">
        <v>0</v>
      </c>
      <c r="I703" s="1" t="s">
        <v>78</v>
      </c>
      <c r="J703" s="1" t="s">
        <v>4107</v>
      </c>
      <c r="K703" s="1" t="s">
        <v>4108</v>
      </c>
      <c r="L703" t="s">
        <v>91</v>
      </c>
      <c r="M703" t="s">
        <v>91</v>
      </c>
      <c r="N703" s="1" t="s">
        <v>4109</v>
      </c>
      <c r="O703" t="s">
        <v>91</v>
      </c>
      <c r="P703" s="1" t="s">
        <v>726</v>
      </c>
      <c r="Q703" s="1" t="s">
        <v>3064</v>
      </c>
      <c r="R703" s="1" t="s">
        <v>3828</v>
      </c>
      <c r="S703">
        <v>1254</v>
      </c>
      <c r="T703">
        <v>88010100</v>
      </c>
      <c r="U703" s="1" t="s">
        <v>108</v>
      </c>
      <c r="V703" s="1" t="s">
        <v>2922</v>
      </c>
      <c r="W703" s="1" t="s">
        <v>87</v>
      </c>
      <c r="X703">
        <v>48</v>
      </c>
      <c r="Y703">
        <v>32075165</v>
      </c>
      <c r="Z703" t="s">
        <v>91</v>
      </c>
      <c r="AA703" t="s">
        <v>91</v>
      </c>
      <c r="AB703" t="s">
        <v>91</v>
      </c>
      <c r="AC703" t="s">
        <v>91</v>
      </c>
      <c r="AD703" t="s">
        <v>91</v>
      </c>
      <c r="AE703" t="s">
        <v>91</v>
      </c>
      <c r="AF703" t="s">
        <v>91</v>
      </c>
      <c r="AG703" s="1" t="s">
        <v>91</v>
      </c>
      <c r="AH703" s="1" t="s">
        <v>91</v>
      </c>
      <c r="AI703" t="s">
        <v>91</v>
      </c>
      <c r="AM703" t="s">
        <v>91</v>
      </c>
      <c r="AN703" t="s">
        <v>91</v>
      </c>
      <c r="AO703" t="s">
        <v>91</v>
      </c>
      <c r="AP703" t="s">
        <v>91</v>
      </c>
      <c r="AQ703" s="1" t="s">
        <v>91</v>
      </c>
      <c r="AR703" s="1" t="s">
        <v>91</v>
      </c>
      <c r="AS703" s="1" t="s">
        <v>91</v>
      </c>
      <c r="AT703" s="1" t="s">
        <v>91</v>
      </c>
      <c r="AU703" s="1" t="s">
        <v>91</v>
      </c>
      <c r="AV703" t="s">
        <v>91</v>
      </c>
      <c r="AW703" t="s">
        <v>91</v>
      </c>
      <c r="AX703" t="s">
        <v>91</v>
      </c>
      <c r="AY703" t="s">
        <v>91</v>
      </c>
      <c r="AZ703" t="s">
        <v>91</v>
      </c>
      <c r="BA703" t="s">
        <v>91</v>
      </c>
      <c r="BB703" s="2">
        <v>45118.097175925926</v>
      </c>
      <c r="BC703" s="2"/>
      <c r="BD703" t="s">
        <v>91</v>
      </c>
      <c r="BF703" s="1" t="s">
        <v>75</v>
      </c>
      <c r="BI703" s="1" t="s">
        <v>88</v>
      </c>
      <c r="BJ703">
        <v>1</v>
      </c>
      <c r="BK703" s="1" t="s">
        <v>89</v>
      </c>
      <c r="BL703" t="s">
        <v>91</v>
      </c>
      <c r="BM703" s="1" t="s">
        <v>91</v>
      </c>
      <c r="BN703" s="1" t="s">
        <v>91</v>
      </c>
      <c r="BO703" s="1" t="s">
        <v>91</v>
      </c>
      <c r="BP703" s="1" t="s">
        <v>91</v>
      </c>
      <c r="BQ703" t="s">
        <v>91</v>
      </c>
      <c r="BR703" s="3">
        <v>45118</v>
      </c>
      <c r="BS703" s="3"/>
      <c r="BT703" t="s">
        <v>91</v>
      </c>
      <c r="BU703" t="s">
        <v>91</v>
      </c>
      <c r="BW703" s="1" t="s">
        <v>90</v>
      </c>
    </row>
    <row r="704" spans="1:75" hidden="1" x14ac:dyDescent="0.35">
      <c r="A704">
        <v>157597</v>
      </c>
      <c r="B704" s="1" t="s">
        <v>75</v>
      </c>
      <c r="C704">
        <v>80</v>
      </c>
      <c r="D704">
        <v>11121002</v>
      </c>
      <c r="E704">
        <v>121002</v>
      </c>
      <c r="F704" s="1" t="s">
        <v>2915</v>
      </c>
      <c r="G704" s="1" t="s">
        <v>4110</v>
      </c>
      <c r="H704">
        <v>0</v>
      </c>
      <c r="I704" s="1" t="s">
        <v>78</v>
      </c>
      <c r="J704" s="1" t="s">
        <v>4111</v>
      </c>
      <c r="K704" s="1" t="s">
        <v>4112</v>
      </c>
      <c r="L704" t="s">
        <v>91</v>
      </c>
      <c r="M704" t="s">
        <v>91</v>
      </c>
      <c r="N704" s="1" t="s">
        <v>91</v>
      </c>
      <c r="O704" t="s">
        <v>91</v>
      </c>
      <c r="P704" s="1" t="s">
        <v>4113</v>
      </c>
      <c r="Q704" s="1" t="s">
        <v>4114</v>
      </c>
      <c r="R704" s="1" t="s">
        <v>4115</v>
      </c>
      <c r="T704">
        <v>88053760</v>
      </c>
      <c r="U704" s="1" t="s">
        <v>4116</v>
      </c>
      <c r="V704" s="1" t="s">
        <v>2922</v>
      </c>
      <c r="W704" s="1" t="s">
        <v>87</v>
      </c>
      <c r="X704">
        <v>48</v>
      </c>
      <c r="Y704">
        <v>32322250</v>
      </c>
      <c r="Z704" t="s">
        <v>91</v>
      </c>
      <c r="AA704" t="s">
        <v>91</v>
      </c>
      <c r="AB704" t="s">
        <v>91</v>
      </c>
      <c r="AC704" t="s">
        <v>91</v>
      </c>
      <c r="AD704" t="s">
        <v>91</v>
      </c>
      <c r="AE704" t="s">
        <v>91</v>
      </c>
      <c r="AF704" t="s">
        <v>91</v>
      </c>
      <c r="AG704" s="1" t="s">
        <v>91</v>
      </c>
      <c r="AH704" s="1" t="s">
        <v>91</v>
      </c>
      <c r="AI704" t="s">
        <v>91</v>
      </c>
      <c r="AM704" t="s">
        <v>91</v>
      </c>
      <c r="AN704" t="s">
        <v>91</v>
      </c>
      <c r="AO704" t="s">
        <v>91</v>
      </c>
      <c r="AP704" t="s">
        <v>91</v>
      </c>
      <c r="AQ704" s="1" t="s">
        <v>91</v>
      </c>
      <c r="AR704" s="1" t="s">
        <v>91</v>
      </c>
      <c r="AS704" s="1" t="s">
        <v>91</v>
      </c>
      <c r="AT704" s="1" t="s">
        <v>91</v>
      </c>
      <c r="AU704" s="1" t="s">
        <v>91</v>
      </c>
      <c r="AV704" t="s">
        <v>91</v>
      </c>
      <c r="AW704" t="s">
        <v>91</v>
      </c>
      <c r="AX704" t="s">
        <v>91</v>
      </c>
      <c r="AY704" t="s">
        <v>91</v>
      </c>
      <c r="AZ704" t="s">
        <v>91</v>
      </c>
      <c r="BA704" t="s">
        <v>91</v>
      </c>
      <c r="BB704" s="2">
        <v>45118.097175925926</v>
      </c>
      <c r="BC704" s="2"/>
      <c r="BD704" t="s">
        <v>91</v>
      </c>
      <c r="BF704" s="1" t="s">
        <v>75</v>
      </c>
      <c r="BI704" s="1" t="s">
        <v>88</v>
      </c>
      <c r="BJ704">
        <v>1</v>
      </c>
      <c r="BK704" s="1" t="s">
        <v>89</v>
      </c>
      <c r="BL704" t="s">
        <v>91</v>
      </c>
      <c r="BM704" s="1" t="s">
        <v>91</v>
      </c>
      <c r="BN704" s="1" t="s">
        <v>91</v>
      </c>
      <c r="BO704" s="1" t="s">
        <v>91</v>
      </c>
      <c r="BP704" s="1" t="s">
        <v>91</v>
      </c>
      <c r="BQ704" t="s">
        <v>91</v>
      </c>
      <c r="BR704" s="3">
        <v>45118</v>
      </c>
      <c r="BS704" s="3"/>
      <c r="BT704" t="s">
        <v>91</v>
      </c>
      <c r="BU704" t="s">
        <v>91</v>
      </c>
      <c r="BW704" s="1" t="s">
        <v>149</v>
      </c>
    </row>
    <row r="705" spans="1:75" hidden="1" x14ac:dyDescent="0.35">
      <c r="A705">
        <v>156913</v>
      </c>
      <c r="B705" s="1" t="s">
        <v>75</v>
      </c>
      <c r="C705">
        <v>80</v>
      </c>
      <c r="D705">
        <v>11121002</v>
      </c>
      <c r="E705">
        <v>121002</v>
      </c>
      <c r="F705" s="1" t="s">
        <v>2915</v>
      </c>
      <c r="G705" s="1" t="s">
        <v>4117</v>
      </c>
      <c r="H705">
        <v>0</v>
      </c>
      <c r="I705" s="1" t="s">
        <v>78</v>
      </c>
      <c r="J705" s="1" t="s">
        <v>4118</v>
      </c>
      <c r="K705" s="1" t="s">
        <v>4119</v>
      </c>
      <c r="L705" t="s">
        <v>91</v>
      </c>
      <c r="M705" t="s">
        <v>91</v>
      </c>
      <c r="N705" s="1" t="s">
        <v>4120</v>
      </c>
      <c r="O705" t="s">
        <v>91</v>
      </c>
      <c r="P705" s="1" t="s">
        <v>1094</v>
      </c>
      <c r="Q705" s="1" t="s">
        <v>4121</v>
      </c>
      <c r="R705" s="1" t="s">
        <v>91</v>
      </c>
      <c r="S705">
        <v>1268</v>
      </c>
      <c r="T705">
        <v>88780000</v>
      </c>
      <c r="U705" s="1" t="s">
        <v>108</v>
      </c>
      <c r="V705" s="1" t="s">
        <v>2929</v>
      </c>
      <c r="W705" s="1" t="s">
        <v>87</v>
      </c>
      <c r="X705">
        <v>48</v>
      </c>
      <c r="Y705">
        <v>999732078</v>
      </c>
      <c r="Z705" t="s">
        <v>91</v>
      </c>
      <c r="AA705" t="s">
        <v>91</v>
      </c>
      <c r="AB705" t="s">
        <v>91</v>
      </c>
      <c r="AC705" t="s">
        <v>91</v>
      </c>
      <c r="AD705" t="s">
        <v>91</v>
      </c>
      <c r="AE705" t="s">
        <v>91</v>
      </c>
      <c r="AF705" t="s">
        <v>91</v>
      </c>
      <c r="AG705" s="1" t="s">
        <v>91</v>
      </c>
      <c r="AH705" s="1" t="s">
        <v>91</v>
      </c>
      <c r="AI705" t="s">
        <v>91</v>
      </c>
      <c r="AM705" t="s">
        <v>91</v>
      </c>
      <c r="AN705" t="s">
        <v>91</v>
      </c>
      <c r="AO705" t="s">
        <v>91</v>
      </c>
      <c r="AP705" t="s">
        <v>91</v>
      </c>
      <c r="AQ705" s="1" t="s">
        <v>91</v>
      </c>
      <c r="AR705" s="1" t="s">
        <v>91</v>
      </c>
      <c r="AS705" s="1" t="s">
        <v>91</v>
      </c>
      <c r="AT705" s="1" t="s">
        <v>91</v>
      </c>
      <c r="AU705" s="1" t="s">
        <v>91</v>
      </c>
      <c r="AV705" t="s">
        <v>91</v>
      </c>
      <c r="AW705" t="s">
        <v>91</v>
      </c>
      <c r="AX705" t="s">
        <v>91</v>
      </c>
      <c r="AY705" t="s">
        <v>91</v>
      </c>
      <c r="AZ705" t="s">
        <v>91</v>
      </c>
      <c r="BA705" t="s">
        <v>91</v>
      </c>
      <c r="BB705" s="2">
        <v>45113.505416666667</v>
      </c>
      <c r="BC705" s="2"/>
      <c r="BD705" t="s">
        <v>91</v>
      </c>
      <c r="BF705" s="1" t="s">
        <v>75</v>
      </c>
      <c r="BI705" s="1" t="s">
        <v>88</v>
      </c>
      <c r="BJ705">
        <v>1</v>
      </c>
      <c r="BK705" s="1" t="s">
        <v>89</v>
      </c>
      <c r="BL705" t="s">
        <v>91</v>
      </c>
      <c r="BM705" s="1" t="s">
        <v>91</v>
      </c>
      <c r="BN705" s="1" t="s">
        <v>91</v>
      </c>
      <c r="BO705" s="1" t="s">
        <v>91</v>
      </c>
      <c r="BP705" s="1" t="s">
        <v>91</v>
      </c>
      <c r="BQ705" t="s">
        <v>91</v>
      </c>
      <c r="BR705" s="3">
        <v>45113</v>
      </c>
      <c r="BS705" s="3"/>
      <c r="BT705" t="s">
        <v>91</v>
      </c>
      <c r="BU705" t="s">
        <v>91</v>
      </c>
      <c r="BW705" s="1" t="s">
        <v>90</v>
      </c>
    </row>
    <row r="706" spans="1:75" hidden="1" x14ac:dyDescent="0.35">
      <c r="A706">
        <v>120554</v>
      </c>
      <c r="B706" s="1" t="s">
        <v>75</v>
      </c>
      <c r="C706">
        <v>80</v>
      </c>
      <c r="D706">
        <v>11121002</v>
      </c>
      <c r="E706">
        <v>121002</v>
      </c>
      <c r="F706" s="1" t="s">
        <v>2915</v>
      </c>
      <c r="G706" s="1" t="s">
        <v>4122</v>
      </c>
      <c r="H706">
        <v>0</v>
      </c>
      <c r="I706" s="1" t="s">
        <v>78</v>
      </c>
      <c r="J706" s="1" t="s">
        <v>4123</v>
      </c>
      <c r="K706" s="1" t="s">
        <v>4124</v>
      </c>
      <c r="L706" t="s">
        <v>91</v>
      </c>
      <c r="M706" t="s">
        <v>91</v>
      </c>
      <c r="N706" s="1" t="s">
        <v>4125</v>
      </c>
      <c r="O706" t="s">
        <v>91</v>
      </c>
      <c r="P706" s="1" t="s">
        <v>475</v>
      </c>
      <c r="Q706" s="1" t="s">
        <v>4126</v>
      </c>
      <c r="R706" s="1" t="s">
        <v>434</v>
      </c>
      <c r="S706">
        <v>1259</v>
      </c>
      <c r="T706">
        <v>88110500</v>
      </c>
      <c r="U706" s="1" t="s">
        <v>2950</v>
      </c>
      <c r="V706" s="1" t="s">
        <v>2958</v>
      </c>
      <c r="W706" s="1" t="s">
        <v>87</v>
      </c>
      <c r="X706">
        <v>48</v>
      </c>
      <c r="Y706">
        <v>33468385</v>
      </c>
      <c r="Z706" t="s">
        <v>91</v>
      </c>
      <c r="AA706" t="s">
        <v>91</v>
      </c>
      <c r="AB706" t="s">
        <v>91</v>
      </c>
      <c r="AC706" t="s">
        <v>91</v>
      </c>
      <c r="AD706" t="s">
        <v>91</v>
      </c>
      <c r="AE706" t="s">
        <v>91</v>
      </c>
      <c r="AF706" t="s">
        <v>91</v>
      </c>
      <c r="AG706" s="1" t="s">
        <v>91</v>
      </c>
      <c r="AH706" s="1" t="s">
        <v>91</v>
      </c>
      <c r="AI706" t="s">
        <v>91</v>
      </c>
      <c r="AM706" t="s">
        <v>91</v>
      </c>
      <c r="AN706" t="s">
        <v>91</v>
      </c>
      <c r="AO706" t="s">
        <v>91</v>
      </c>
      <c r="AP706" t="s">
        <v>91</v>
      </c>
      <c r="AQ706" s="1" t="s">
        <v>91</v>
      </c>
      <c r="AR706" s="1" t="s">
        <v>91</v>
      </c>
      <c r="AS706" s="1" t="s">
        <v>91</v>
      </c>
      <c r="AT706" s="1" t="s">
        <v>91</v>
      </c>
      <c r="AU706" s="1" t="s">
        <v>91</v>
      </c>
      <c r="AV706" t="s">
        <v>91</v>
      </c>
      <c r="AW706" t="s">
        <v>91</v>
      </c>
      <c r="AX706" t="s">
        <v>91</v>
      </c>
      <c r="AY706" t="s">
        <v>91</v>
      </c>
      <c r="AZ706" t="s">
        <v>91</v>
      </c>
      <c r="BA706" t="s">
        <v>91</v>
      </c>
      <c r="BB706" s="2">
        <v>44096.645520833335</v>
      </c>
      <c r="BC706" s="2"/>
      <c r="BD706" t="s">
        <v>91</v>
      </c>
      <c r="BF706" s="1" t="s">
        <v>75</v>
      </c>
      <c r="BI706" s="1" t="s">
        <v>88</v>
      </c>
      <c r="BJ706">
        <v>1</v>
      </c>
      <c r="BK706" s="1" t="s">
        <v>89</v>
      </c>
      <c r="BL706" t="s">
        <v>91</v>
      </c>
      <c r="BM706" s="1" t="s">
        <v>109</v>
      </c>
      <c r="BN706" s="1" t="s">
        <v>110</v>
      </c>
      <c r="BO706" s="1" t="s">
        <v>180</v>
      </c>
      <c r="BP706" s="1" t="s">
        <v>91</v>
      </c>
      <c r="BQ706" t="s">
        <v>91</v>
      </c>
      <c r="BR706" s="3">
        <v>44096</v>
      </c>
      <c r="BS706" s="3"/>
      <c r="BT706" t="s">
        <v>91</v>
      </c>
      <c r="BU706" t="s">
        <v>91</v>
      </c>
      <c r="BV706">
        <v>9</v>
      </c>
      <c r="BW706" s="1" t="s">
        <v>90</v>
      </c>
    </row>
    <row r="707" spans="1:75" hidden="1" x14ac:dyDescent="0.35">
      <c r="A707">
        <v>134255</v>
      </c>
      <c r="B707" s="1" t="s">
        <v>75</v>
      </c>
      <c r="C707">
        <v>80</v>
      </c>
      <c r="D707">
        <v>11121002</v>
      </c>
      <c r="E707">
        <v>121002</v>
      </c>
      <c r="F707" s="1" t="s">
        <v>2915</v>
      </c>
      <c r="G707" s="1" t="s">
        <v>4127</v>
      </c>
      <c r="I707" s="1" t="s">
        <v>78</v>
      </c>
      <c r="J707" s="1" t="s">
        <v>4128</v>
      </c>
      <c r="K707" s="1" t="s">
        <v>4129</v>
      </c>
      <c r="L707" t="s">
        <v>91</v>
      </c>
      <c r="M707" t="s">
        <v>91</v>
      </c>
      <c r="N707" s="1" t="s">
        <v>4130</v>
      </c>
      <c r="O707" t="s">
        <v>91</v>
      </c>
      <c r="P707" s="1" t="s">
        <v>4131</v>
      </c>
      <c r="Q707" s="1" t="s">
        <v>4132</v>
      </c>
      <c r="R707" s="1" t="s">
        <v>3122</v>
      </c>
      <c r="S707">
        <v>1259</v>
      </c>
      <c r="T707">
        <v>88140000</v>
      </c>
      <c r="U707" s="1" t="s">
        <v>108</v>
      </c>
      <c r="V707" s="1" t="s">
        <v>3123</v>
      </c>
      <c r="W707" s="1" t="s">
        <v>87</v>
      </c>
      <c r="X707">
        <v>48</v>
      </c>
      <c r="Y707">
        <v>32451804</v>
      </c>
      <c r="Z707" t="s">
        <v>91</v>
      </c>
      <c r="AA707" t="s">
        <v>91</v>
      </c>
      <c r="AB707" t="s">
        <v>91</v>
      </c>
      <c r="AC707" t="s">
        <v>91</v>
      </c>
      <c r="AD707" t="s">
        <v>91</v>
      </c>
      <c r="AE707" t="s">
        <v>91</v>
      </c>
      <c r="AF707" t="s">
        <v>91</v>
      </c>
      <c r="AG707" s="1" t="s">
        <v>146</v>
      </c>
      <c r="AH707" s="1" t="s">
        <v>91</v>
      </c>
      <c r="AI707" t="s">
        <v>91</v>
      </c>
      <c r="AJ707">
        <v>0</v>
      </c>
      <c r="AK707">
        <v>0</v>
      </c>
      <c r="AL707">
        <v>0</v>
      </c>
      <c r="AM707" t="s">
        <v>91</v>
      </c>
      <c r="AN707" t="s">
        <v>91</v>
      </c>
      <c r="AO707" t="s">
        <v>91</v>
      </c>
      <c r="AP707" t="s">
        <v>91</v>
      </c>
      <c r="AQ707" s="1" t="s">
        <v>147</v>
      </c>
      <c r="AR707" s="1" t="s">
        <v>147</v>
      </c>
      <c r="AS707" s="1" t="s">
        <v>147</v>
      </c>
      <c r="AT707" s="1" t="s">
        <v>147</v>
      </c>
      <c r="AU707" s="1" t="s">
        <v>147</v>
      </c>
      <c r="AV707" t="s">
        <v>91</v>
      </c>
      <c r="AW707" t="s">
        <v>91</v>
      </c>
      <c r="AX707" t="s">
        <v>91</v>
      </c>
      <c r="AY707" t="s">
        <v>91</v>
      </c>
      <c r="AZ707" t="s">
        <v>91</v>
      </c>
      <c r="BA707" t="s">
        <v>91</v>
      </c>
      <c r="BB707" s="2"/>
      <c r="BC707" s="2">
        <v>44510.568229166667</v>
      </c>
      <c r="BD707" t="s">
        <v>91</v>
      </c>
      <c r="BF707" s="1" t="s">
        <v>75</v>
      </c>
      <c r="BG707">
        <v>0</v>
      </c>
      <c r="BH707">
        <v>0</v>
      </c>
      <c r="BI707" s="1" t="s">
        <v>88</v>
      </c>
      <c r="BJ707">
        <v>1</v>
      </c>
      <c r="BK707" s="1" t="s">
        <v>89</v>
      </c>
      <c r="BL707" t="s">
        <v>91</v>
      </c>
      <c r="BM707" s="1" t="s">
        <v>109</v>
      </c>
      <c r="BN707" s="1" t="s">
        <v>110</v>
      </c>
      <c r="BO707" s="1" t="s">
        <v>180</v>
      </c>
      <c r="BP707" s="1" t="s">
        <v>91</v>
      </c>
      <c r="BQ707" t="s">
        <v>91</v>
      </c>
      <c r="BR707" s="3"/>
      <c r="BS707" s="3">
        <v>44510</v>
      </c>
      <c r="BT707" t="s">
        <v>91</v>
      </c>
      <c r="BU707" t="s">
        <v>91</v>
      </c>
      <c r="BV707">
        <v>8</v>
      </c>
      <c r="BW707" s="1" t="s">
        <v>1170</v>
      </c>
    </row>
    <row r="708" spans="1:75" hidden="1" x14ac:dyDescent="0.35">
      <c r="A708">
        <v>134323</v>
      </c>
      <c r="B708" s="1" t="s">
        <v>75</v>
      </c>
      <c r="C708">
        <v>80</v>
      </c>
      <c r="D708">
        <v>11121002</v>
      </c>
      <c r="E708">
        <v>121002</v>
      </c>
      <c r="F708" s="1" t="s">
        <v>2915</v>
      </c>
      <c r="G708" s="1" t="s">
        <v>4133</v>
      </c>
      <c r="I708" s="1" t="s">
        <v>78</v>
      </c>
      <c r="J708" s="1" t="s">
        <v>4134</v>
      </c>
      <c r="K708" s="1" t="s">
        <v>4135</v>
      </c>
      <c r="L708" t="s">
        <v>91</v>
      </c>
      <c r="M708" t="s">
        <v>91</v>
      </c>
      <c r="N708" s="1" t="s">
        <v>4136</v>
      </c>
      <c r="O708" t="s">
        <v>91</v>
      </c>
      <c r="P708" s="1" t="s">
        <v>311</v>
      </c>
      <c r="Q708" s="1" t="s">
        <v>1846</v>
      </c>
      <c r="R708" s="1" t="s">
        <v>954</v>
      </c>
      <c r="S708">
        <v>1254</v>
      </c>
      <c r="T708">
        <v>88010001</v>
      </c>
      <c r="U708" s="1" t="s">
        <v>108</v>
      </c>
      <c r="V708" s="1" t="s">
        <v>2922</v>
      </c>
      <c r="W708" s="1" t="s">
        <v>87</v>
      </c>
      <c r="X708">
        <v>48</v>
      </c>
      <c r="Y708">
        <v>33339992</v>
      </c>
      <c r="Z708" t="s">
        <v>91</v>
      </c>
      <c r="AA708" t="s">
        <v>91</v>
      </c>
      <c r="AB708" t="s">
        <v>91</v>
      </c>
      <c r="AC708" t="s">
        <v>91</v>
      </c>
      <c r="AD708" t="s">
        <v>91</v>
      </c>
      <c r="AE708" t="s">
        <v>91</v>
      </c>
      <c r="AF708" t="s">
        <v>91</v>
      </c>
      <c r="AG708" s="1" t="s">
        <v>91</v>
      </c>
      <c r="AH708" s="1" t="s">
        <v>91</v>
      </c>
      <c r="AI708" t="s">
        <v>91</v>
      </c>
      <c r="AM708" t="s">
        <v>91</v>
      </c>
      <c r="AN708" t="s">
        <v>91</v>
      </c>
      <c r="AO708" t="s">
        <v>91</v>
      </c>
      <c r="AP708" t="s">
        <v>91</v>
      </c>
      <c r="AQ708" s="1" t="s">
        <v>91</v>
      </c>
      <c r="AR708" s="1" t="s">
        <v>91</v>
      </c>
      <c r="AS708" s="1" t="s">
        <v>91</v>
      </c>
      <c r="AT708" s="1" t="s">
        <v>91</v>
      </c>
      <c r="AU708" s="1" t="s">
        <v>91</v>
      </c>
      <c r="AV708" t="s">
        <v>91</v>
      </c>
      <c r="AW708" t="s">
        <v>91</v>
      </c>
      <c r="AX708" t="s">
        <v>91</v>
      </c>
      <c r="AY708" t="s">
        <v>91</v>
      </c>
      <c r="AZ708" t="s">
        <v>91</v>
      </c>
      <c r="BA708" t="s">
        <v>91</v>
      </c>
      <c r="BB708" s="2"/>
      <c r="BC708" s="2"/>
      <c r="BD708" t="s">
        <v>91</v>
      </c>
      <c r="BF708" s="1" t="s">
        <v>75</v>
      </c>
      <c r="BI708" s="1" t="s">
        <v>88</v>
      </c>
      <c r="BJ708">
        <v>1</v>
      </c>
      <c r="BK708" s="1" t="s">
        <v>89</v>
      </c>
      <c r="BL708" t="s">
        <v>91</v>
      </c>
      <c r="BM708" s="1" t="s">
        <v>329</v>
      </c>
      <c r="BN708" s="1" t="s">
        <v>110</v>
      </c>
      <c r="BO708" s="1" t="s">
        <v>165</v>
      </c>
      <c r="BP708" s="1" t="s">
        <v>91</v>
      </c>
      <c r="BQ708" t="s">
        <v>91</v>
      </c>
      <c r="BR708" s="3"/>
      <c r="BS708" s="3"/>
      <c r="BT708" t="s">
        <v>91</v>
      </c>
      <c r="BU708" t="s">
        <v>91</v>
      </c>
      <c r="BV708">
        <v>9</v>
      </c>
      <c r="BW708" s="1" t="s">
        <v>90</v>
      </c>
    </row>
    <row r="709" spans="1:75" hidden="1" x14ac:dyDescent="0.35">
      <c r="A709">
        <v>134417</v>
      </c>
      <c r="B709" s="1" t="s">
        <v>75</v>
      </c>
      <c r="C709">
        <v>80</v>
      </c>
      <c r="D709">
        <v>11121002</v>
      </c>
      <c r="E709">
        <v>121002</v>
      </c>
      <c r="F709" s="1" t="s">
        <v>2915</v>
      </c>
      <c r="G709" s="1" t="s">
        <v>4137</v>
      </c>
      <c r="I709" s="1" t="s">
        <v>78</v>
      </c>
      <c r="J709" s="1" t="s">
        <v>4138</v>
      </c>
      <c r="K709" s="1" t="s">
        <v>4139</v>
      </c>
      <c r="L709" t="s">
        <v>91</v>
      </c>
      <c r="M709" t="s">
        <v>91</v>
      </c>
      <c r="N709" s="1" t="s">
        <v>4140</v>
      </c>
      <c r="O709" t="s">
        <v>91</v>
      </c>
      <c r="P709" s="1" t="s">
        <v>3748</v>
      </c>
      <c r="Q709" s="1" t="s">
        <v>2556</v>
      </c>
      <c r="R709" s="1" t="s">
        <v>4141</v>
      </c>
      <c r="S709">
        <v>1259</v>
      </c>
      <c r="T709">
        <v>88102001</v>
      </c>
      <c r="U709" s="1" t="s">
        <v>3015</v>
      </c>
      <c r="V709" s="1" t="s">
        <v>2958</v>
      </c>
      <c r="W709" s="1" t="s">
        <v>87</v>
      </c>
      <c r="X709">
        <v>48</v>
      </c>
      <c r="Y709">
        <v>30471588</v>
      </c>
      <c r="Z709" t="s">
        <v>91</v>
      </c>
      <c r="AA709" t="s">
        <v>91</v>
      </c>
      <c r="AB709" t="s">
        <v>91</v>
      </c>
      <c r="AC709" t="s">
        <v>91</v>
      </c>
      <c r="AD709" t="s">
        <v>91</v>
      </c>
      <c r="AE709" t="s">
        <v>91</v>
      </c>
      <c r="AF709" t="s">
        <v>91</v>
      </c>
      <c r="AG709" s="1" t="s">
        <v>91</v>
      </c>
      <c r="AH709" s="1" t="s">
        <v>91</v>
      </c>
      <c r="AI709" t="s">
        <v>91</v>
      </c>
      <c r="AM709" t="s">
        <v>91</v>
      </c>
      <c r="AN709" t="s">
        <v>91</v>
      </c>
      <c r="AO709" t="s">
        <v>91</v>
      </c>
      <c r="AP709" t="s">
        <v>91</v>
      </c>
      <c r="AQ709" s="1" t="s">
        <v>91</v>
      </c>
      <c r="AR709" s="1" t="s">
        <v>91</v>
      </c>
      <c r="AS709" s="1" t="s">
        <v>91</v>
      </c>
      <c r="AT709" s="1" t="s">
        <v>91</v>
      </c>
      <c r="AU709" s="1" t="s">
        <v>91</v>
      </c>
      <c r="AV709" t="s">
        <v>91</v>
      </c>
      <c r="AW709" t="s">
        <v>91</v>
      </c>
      <c r="AX709" t="s">
        <v>91</v>
      </c>
      <c r="AY709" t="s">
        <v>91</v>
      </c>
      <c r="AZ709" t="s">
        <v>91</v>
      </c>
      <c r="BA709" t="s">
        <v>91</v>
      </c>
      <c r="BB709" s="2"/>
      <c r="BC709" s="2"/>
      <c r="BD709" t="s">
        <v>91</v>
      </c>
      <c r="BF709" s="1" t="s">
        <v>75</v>
      </c>
      <c r="BI709" s="1" t="s">
        <v>88</v>
      </c>
      <c r="BJ709">
        <v>1</v>
      </c>
      <c r="BK709" s="1" t="s">
        <v>89</v>
      </c>
      <c r="BL709" t="s">
        <v>91</v>
      </c>
      <c r="BM709" s="1" t="s">
        <v>164</v>
      </c>
      <c r="BN709" s="1" t="s">
        <v>110</v>
      </c>
      <c r="BO709" s="1" t="s">
        <v>165</v>
      </c>
      <c r="BP709" s="1" t="s">
        <v>91</v>
      </c>
      <c r="BQ709" t="s">
        <v>91</v>
      </c>
      <c r="BR709" s="3"/>
      <c r="BS709" s="3"/>
      <c r="BT709" t="s">
        <v>91</v>
      </c>
      <c r="BU709" t="s">
        <v>91</v>
      </c>
      <c r="BV709">
        <v>1</v>
      </c>
      <c r="BW709" s="1" t="s">
        <v>90</v>
      </c>
    </row>
    <row r="710" spans="1:75" hidden="1" x14ac:dyDescent="0.35">
      <c r="A710">
        <v>152754</v>
      </c>
      <c r="B710" s="1" t="s">
        <v>75</v>
      </c>
      <c r="C710">
        <v>80</v>
      </c>
      <c r="D710">
        <v>11121002</v>
      </c>
      <c r="E710">
        <v>121002</v>
      </c>
      <c r="F710" s="1" t="s">
        <v>2915</v>
      </c>
      <c r="G710" s="1" t="s">
        <v>4142</v>
      </c>
      <c r="H710">
        <v>0</v>
      </c>
      <c r="I710" s="1" t="s">
        <v>78</v>
      </c>
      <c r="J710" s="1" t="s">
        <v>4143</v>
      </c>
      <c r="K710" s="1" t="s">
        <v>4144</v>
      </c>
      <c r="L710" t="s">
        <v>91</v>
      </c>
      <c r="M710" t="s">
        <v>91</v>
      </c>
      <c r="N710" s="1" t="s">
        <v>4145</v>
      </c>
      <c r="O710" t="s">
        <v>91</v>
      </c>
      <c r="P710" s="1" t="s">
        <v>4146</v>
      </c>
      <c r="Q710" s="1" t="s">
        <v>2674</v>
      </c>
      <c r="R710" s="1" t="s">
        <v>4147</v>
      </c>
      <c r="S710">
        <v>1259</v>
      </c>
      <c r="T710">
        <v>88101010</v>
      </c>
      <c r="U710" s="1" t="s">
        <v>4027</v>
      </c>
      <c r="V710" s="1" t="s">
        <v>2958</v>
      </c>
      <c r="W710" s="1" t="s">
        <v>87</v>
      </c>
      <c r="Z710" t="s">
        <v>91</v>
      </c>
      <c r="AA710" t="s">
        <v>91</v>
      </c>
      <c r="AB710" t="s">
        <v>91</v>
      </c>
      <c r="AC710" t="s">
        <v>91</v>
      </c>
      <c r="AD710" t="s">
        <v>91</v>
      </c>
      <c r="AE710" t="s">
        <v>91</v>
      </c>
      <c r="AF710" t="s">
        <v>91</v>
      </c>
      <c r="AG710" s="1" t="s">
        <v>91</v>
      </c>
      <c r="AH710" s="1" t="s">
        <v>91</v>
      </c>
      <c r="AI710" t="s">
        <v>91</v>
      </c>
      <c r="AM710" t="s">
        <v>91</v>
      </c>
      <c r="AN710" t="s">
        <v>91</v>
      </c>
      <c r="AO710" t="s">
        <v>91</v>
      </c>
      <c r="AP710" t="s">
        <v>91</v>
      </c>
      <c r="AQ710" s="1" t="s">
        <v>91</v>
      </c>
      <c r="AR710" s="1" t="s">
        <v>91</v>
      </c>
      <c r="AS710" s="1" t="s">
        <v>91</v>
      </c>
      <c r="AT710" s="1" t="s">
        <v>91</v>
      </c>
      <c r="AU710" s="1" t="s">
        <v>91</v>
      </c>
      <c r="AV710" t="s">
        <v>91</v>
      </c>
      <c r="AW710" t="s">
        <v>91</v>
      </c>
      <c r="AX710" t="s">
        <v>91</v>
      </c>
      <c r="AY710" t="s">
        <v>91</v>
      </c>
      <c r="AZ710" t="s">
        <v>91</v>
      </c>
      <c r="BA710" t="s">
        <v>91</v>
      </c>
      <c r="BB710" s="2">
        <v>45019.565613425926</v>
      </c>
      <c r="BC710" s="2"/>
      <c r="BD710" t="s">
        <v>91</v>
      </c>
      <c r="BF710" s="1" t="s">
        <v>75</v>
      </c>
      <c r="BI710" s="1" t="s">
        <v>88</v>
      </c>
      <c r="BJ710">
        <v>1</v>
      </c>
      <c r="BK710" s="1" t="s">
        <v>89</v>
      </c>
      <c r="BL710" t="s">
        <v>91</v>
      </c>
      <c r="BM710" s="1" t="s">
        <v>91</v>
      </c>
      <c r="BN710" s="1" t="s">
        <v>91</v>
      </c>
      <c r="BO710" s="1" t="s">
        <v>91</v>
      </c>
      <c r="BP710" s="1" t="s">
        <v>91</v>
      </c>
      <c r="BQ710" t="s">
        <v>91</v>
      </c>
      <c r="BR710" s="3">
        <v>45019</v>
      </c>
      <c r="BS710" s="3"/>
      <c r="BT710" t="s">
        <v>91</v>
      </c>
      <c r="BU710" t="s">
        <v>91</v>
      </c>
      <c r="BW710" s="1" t="s">
        <v>1778</v>
      </c>
    </row>
    <row r="711" spans="1:75" hidden="1" x14ac:dyDescent="0.35">
      <c r="A711">
        <v>156907</v>
      </c>
      <c r="B711" s="1" t="s">
        <v>75</v>
      </c>
      <c r="C711">
        <v>80</v>
      </c>
      <c r="D711">
        <v>11121002</v>
      </c>
      <c r="E711">
        <v>121002</v>
      </c>
      <c r="F711" s="1" t="s">
        <v>2915</v>
      </c>
      <c r="G711" s="1" t="s">
        <v>4148</v>
      </c>
      <c r="H711">
        <v>0</v>
      </c>
      <c r="I711" s="1" t="s">
        <v>78</v>
      </c>
      <c r="J711" s="1" t="s">
        <v>4149</v>
      </c>
      <c r="K711" s="1" t="s">
        <v>4150</v>
      </c>
      <c r="L711" t="s">
        <v>91</v>
      </c>
      <c r="M711" t="s">
        <v>91</v>
      </c>
      <c r="N711" s="1" t="s">
        <v>4151</v>
      </c>
      <c r="O711" t="s">
        <v>91</v>
      </c>
      <c r="P711" s="1" t="s">
        <v>3919</v>
      </c>
      <c r="Q711" s="1" t="s">
        <v>933</v>
      </c>
      <c r="R711" s="1" t="s">
        <v>4152</v>
      </c>
      <c r="S711">
        <v>1269</v>
      </c>
      <c r="T711">
        <v>88813390</v>
      </c>
      <c r="U711" s="1" t="s">
        <v>3921</v>
      </c>
      <c r="V711" s="1" t="s">
        <v>2943</v>
      </c>
      <c r="W711" s="1" t="s">
        <v>87</v>
      </c>
      <c r="X711">
        <v>48</v>
      </c>
      <c r="Y711">
        <v>996197954</v>
      </c>
      <c r="Z711" t="s">
        <v>91</v>
      </c>
      <c r="AA711" t="s">
        <v>91</v>
      </c>
      <c r="AB711" t="s">
        <v>91</v>
      </c>
      <c r="AC711" t="s">
        <v>91</v>
      </c>
      <c r="AD711" t="s">
        <v>91</v>
      </c>
      <c r="AE711" t="s">
        <v>91</v>
      </c>
      <c r="AF711" t="s">
        <v>91</v>
      </c>
      <c r="AG711" s="1" t="s">
        <v>91</v>
      </c>
      <c r="AH711" s="1" t="s">
        <v>91</v>
      </c>
      <c r="AI711" t="s">
        <v>91</v>
      </c>
      <c r="AM711" t="s">
        <v>91</v>
      </c>
      <c r="AN711" t="s">
        <v>91</v>
      </c>
      <c r="AO711" t="s">
        <v>91</v>
      </c>
      <c r="AP711" t="s">
        <v>91</v>
      </c>
      <c r="AQ711" s="1" t="s">
        <v>91</v>
      </c>
      <c r="AR711" s="1" t="s">
        <v>91</v>
      </c>
      <c r="AS711" s="1" t="s">
        <v>91</v>
      </c>
      <c r="AT711" s="1" t="s">
        <v>91</v>
      </c>
      <c r="AU711" s="1" t="s">
        <v>91</v>
      </c>
      <c r="AV711" t="s">
        <v>91</v>
      </c>
      <c r="AW711" t="s">
        <v>91</v>
      </c>
      <c r="AX711" t="s">
        <v>91</v>
      </c>
      <c r="AY711" t="s">
        <v>91</v>
      </c>
      <c r="AZ711" t="s">
        <v>91</v>
      </c>
      <c r="BA711" t="s">
        <v>91</v>
      </c>
      <c r="BB711" s="2">
        <v>45113.505416666667</v>
      </c>
      <c r="BC711" s="2"/>
      <c r="BD711" t="s">
        <v>91</v>
      </c>
      <c r="BF711" s="1" t="s">
        <v>75</v>
      </c>
      <c r="BI711" s="1" t="s">
        <v>88</v>
      </c>
      <c r="BJ711">
        <v>1</v>
      </c>
      <c r="BK711" s="1" t="s">
        <v>89</v>
      </c>
      <c r="BL711" t="s">
        <v>91</v>
      </c>
      <c r="BM711" s="1" t="s">
        <v>91</v>
      </c>
      <c r="BN711" s="1" t="s">
        <v>91</v>
      </c>
      <c r="BO711" s="1" t="s">
        <v>91</v>
      </c>
      <c r="BP711" s="1" t="s">
        <v>91</v>
      </c>
      <c r="BQ711" t="s">
        <v>91</v>
      </c>
      <c r="BR711" s="3">
        <v>45113</v>
      </c>
      <c r="BS711" s="3"/>
      <c r="BT711" t="s">
        <v>91</v>
      </c>
      <c r="BU711" t="s">
        <v>91</v>
      </c>
      <c r="BW711" s="1" t="s">
        <v>90</v>
      </c>
    </row>
    <row r="712" spans="1:75" hidden="1" x14ac:dyDescent="0.35">
      <c r="A712">
        <v>157727</v>
      </c>
      <c r="B712" s="1" t="s">
        <v>75</v>
      </c>
      <c r="C712">
        <v>80</v>
      </c>
      <c r="D712">
        <v>11121002</v>
      </c>
      <c r="E712">
        <v>121002</v>
      </c>
      <c r="F712" s="1" t="s">
        <v>2915</v>
      </c>
      <c r="G712" s="1" t="s">
        <v>4153</v>
      </c>
      <c r="H712">
        <v>0</v>
      </c>
      <c r="I712" s="1" t="s">
        <v>78</v>
      </c>
      <c r="J712" s="1" t="s">
        <v>4154</v>
      </c>
      <c r="K712" s="1" t="s">
        <v>4155</v>
      </c>
      <c r="L712" t="s">
        <v>91</v>
      </c>
      <c r="M712" t="s">
        <v>91</v>
      </c>
      <c r="N712" s="1" t="s">
        <v>91</v>
      </c>
      <c r="O712" t="s">
        <v>91</v>
      </c>
      <c r="P712" s="1" t="s">
        <v>3388</v>
      </c>
      <c r="Q712" s="1" t="s">
        <v>4038</v>
      </c>
      <c r="R712" s="1" t="s">
        <v>91</v>
      </c>
      <c r="S712">
        <v>1258</v>
      </c>
      <c r="T712">
        <v>88075300</v>
      </c>
      <c r="U712" s="1" t="s">
        <v>3391</v>
      </c>
      <c r="V712" s="1" t="s">
        <v>2922</v>
      </c>
      <c r="W712" s="1" t="s">
        <v>87</v>
      </c>
      <c r="Z712" t="s">
        <v>91</v>
      </c>
      <c r="AA712" t="s">
        <v>91</v>
      </c>
      <c r="AB712" t="s">
        <v>91</v>
      </c>
      <c r="AC712" t="s">
        <v>91</v>
      </c>
      <c r="AD712" t="s">
        <v>91</v>
      </c>
      <c r="AE712" t="s">
        <v>91</v>
      </c>
      <c r="AF712" t="s">
        <v>91</v>
      </c>
      <c r="AG712" s="1" t="s">
        <v>91</v>
      </c>
      <c r="AH712" s="1" t="s">
        <v>91</v>
      </c>
      <c r="AI712" t="s">
        <v>91</v>
      </c>
      <c r="AM712" t="s">
        <v>91</v>
      </c>
      <c r="AN712" t="s">
        <v>91</v>
      </c>
      <c r="AO712" t="s">
        <v>91</v>
      </c>
      <c r="AP712" t="s">
        <v>91</v>
      </c>
      <c r="AQ712" s="1" t="s">
        <v>91</v>
      </c>
      <c r="AR712" s="1" t="s">
        <v>91</v>
      </c>
      <c r="AS712" s="1" t="s">
        <v>91</v>
      </c>
      <c r="AT712" s="1" t="s">
        <v>91</v>
      </c>
      <c r="AU712" s="1" t="s">
        <v>91</v>
      </c>
      <c r="AV712" t="s">
        <v>91</v>
      </c>
      <c r="AW712" t="s">
        <v>91</v>
      </c>
      <c r="AX712" t="s">
        <v>91</v>
      </c>
      <c r="AY712" t="s">
        <v>91</v>
      </c>
      <c r="AZ712" t="s">
        <v>91</v>
      </c>
      <c r="BA712" t="s">
        <v>91</v>
      </c>
      <c r="BB712" s="2">
        <v>45118.097175925926</v>
      </c>
      <c r="BC712" s="2"/>
      <c r="BD712" t="s">
        <v>91</v>
      </c>
      <c r="BF712" s="1" t="s">
        <v>75</v>
      </c>
      <c r="BI712" s="1" t="s">
        <v>88</v>
      </c>
      <c r="BJ712">
        <v>1</v>
      </c>
      <c r="BK712" s="1" t="s">
        <v>89</v>
      </c>
      <c r="BL712" t="s">
        <v>91</v>
      </c>
      <c r="BM712" s="1" t="s">
        <v>91</v>
      </c>
      <c r="BN712" s="1" t="s">
        <v>91</v>
      </c>
      <c r="BO712" s="1" t="s">
        <v>91</v>
      </c>
      <c r="BP712" s="1" t="s">
        <v>91</v>
      </c>
      <c r="BQ712" t="s">
        <v>91</v>
      </c>
      <c r="BR712" s="3">
        <v>45118</v>
      </c>
      <c r="BS712" s="3"/>
      <c r="BT712" t="s">
        <v>91</v>
      </c>
      <c r="BU712" t="s">
        <v>91</v>
      </c>
      <c r="BW712" s="1" t="s">
        <v>90</v>
      </c>
    </row>
    <row r="713" spans="1:75" hidden="1" x14ac:dyDescent="0.35">
      <c r="A713">
        <v>144395</v>
      </c>
      <c r="B713" s="1" t="s">
        <v>75</v>
      </c>
      <c r="C713">
        <v>80</v>
      </c>
      <c r="D713">
        <v>11121002</v>
      </c>
      <c r="E713">
        <v>121002</v>
      </c>
      <c r="F713" s="1" t="s">
        <v>2915</v>
      </c>
      <c r="G713" s="1" t="s">
        <v>4156</v>
      </c>
      <c r="I713" s="1" t="s">
        <v>78</v>
      </c>
      <c r="J713" s="1" t="s">
        <v>4157</v>
      </c>
      <c r="K713" s="1" t="s">
        <v>4158</v>
      </c>
      <c r="L713" t="s">
        <v>91</v>
      </c>
      <c r="M713" t="s">
        <v>91</v>
      </c>
      <c r="N713" s="1" t="s">
        <v>4159</v>
      </c>
      <c r="O713" t="s">
        <v>91</v>
      </c>
      <c r="P713" s="1" t="s">
        <v>4160</v>
      </c>
      <c r="Q713" s="1" t="s">
        <v>3071</v>
      </c>
      <c r="R713" s="1" t="s">
        <v>91</v>
      </c>
      <c r="S713">
        <v>1269</v>
      </c>
      <c r="T713">
        <v>88860000</v>
      </c>
      <c r="U713" s="1" t="s">
        <v>343</v>
      </c>
      <c r="V713" s="1" t="s">
        <v>4161</v>
      </c>
      <c r="W713" s="1" t="s">
        <v>87</v>
      </c>
      <c r="X713">
        <v>48</v>
      </c>
      <c r="Y713">
        <v>34353069</v>
      </c>
      <c r="Z713" t="s">
        <v>91</v>
      </c>
      <c r="AA713" t="s">
        <v>91</v>
      </c>
      <c r="AB713" t="s">
        <v>91</v>
      </c>
      <c r="AC713" t="s">
        <v>91</v>
      </c>
      <c r="AD713" t="s">
        <v>91</v>
      </c>
      <c r="AE713" t="s">
        <v>91</v>
      </c>
      <c r="AF713" t="s">
        <v>91</v>
      </c>
      <c r="AG713" s="1" t="s">
        <v>91</v>
      </c>
      <c r="AH713" s="1" t="s">
        <v>91</v>
      </c>
      <c r="AI713" t="s">
        <v>91</v>
      </c>
      <c r="AJ713">
        <v>0</v>
      </c>
      <c r="AK713">
        <v>0</v>
      </c>
      <c r="AL713">
        <v>0</v>
      </c>
      <c r="AM713" t="s">
        <v>91</v>
      </c>
      <c r="AN713" t="s">
        <v>91</v>
      </c>
      <c r="AO713" t="s">
        <v>91</v>
      </c>
      <c r="AP713" t="s">
        <v>91</v>
      </c>
      <c r="AQ713" s="1" t="s">
        <v>91</v>
      </c>
      <c r="AR713" s="1" t="s">
        <v>91</v>
      </c>
      <c r="AS713" s="1" t="s">
        <v>91</v>
      </c>
      <c r="AT713" s="1" t="s">
        <v>91</v>
      </c>
      <c r="AU713" s="1" t="s">
        <v>91</v>
      </c>
      <c r="AV713" t="s">
        <v>91</v>
      </c>
      <c r="AW713" t="s">
        <v>91</v>
      </c>
      <c r="AX713" t="s">
        <v>91</v>
      </c>
      <c r="AY713" t="s">
        <v>91</v>
      </c>
      <c r="AZ713" t="s">
        <v>91</v>
      </c>
      <c r="BA713" t="s">
        <v>91</v>
      </c>
      <c r="BB713" s="2"/>
      <c r="BC713" s="2"/>
      <c r="BD713" t="s">
        <v>91</v>
      </c>
      <c r="BF713" s="1" t="s">
        <v>75</v>
      </c>
      <c r="BG713">
        <v>0</v>
      </c>
      <c r="BH713">
        <v>0</v>
      </c>
      <c r="BI713" s="1" t="s">
        <v>88</v>
      </c>
      <c r="BJ713">
        <v>1</v>
      </c>
      <c r="BK713" s="1" t="s">
        <v>89</v>
      </c>
      <c r="BL713" t="s">
        <v>91</v>
      </c>
      <c r="BM713" s="1" t="s">
        <v>109</v>
      </c>
      <c r="BN713" s="1" t="s">
        <v>110</v>
      </c>
      <c r="BO713" s="1" t="s">
        <v>128</v>
      </c>
      <c r="BP713" s="1" t="s">
        <v>91</v>
      </c>
      <c r="BQ713" t="s">
        <v>91</v>
      </c>
      <c r="BR713" s="3"/>
      <c r="BS713" s="3"/>
      <c r="BT713" t="s">
        <v>91</v>
      </c>
      <c r="BU713" t="s">
        <v>91</v>
      </c>
      <c r="BV713">
        <v>9</v>
      </c>
      <c r="BW713" s="1" t="s">
        <v>4162</v>
      </c>
    </row>
    <row r="714" spans="1:75" hidden="1" x14ac:dyDescent="0.35">
      <c r="A714">
        <v>134280</v>
      </c>
      <c r="B714" s="1" t="s">
        <v>75</v>
      </c>
      <c r="C714">
        <v>80</v>
      </c>
      <c r="D714">
        <v>11121002</v>
      </c>
      <c r="E714">
        <v>121002</v>
      </c>
      <c r="F714" s="1" t="s">
        <v>2915</v>
      </c>
      <c r="G714" s="1" t="s">
        <v>4163</v>
      </c>
      <c r="I714" s="1" t="s">
        <v>78</v>
      </c>
      <c r="J714" s="1" t="s">
        <v>4164</v>
      </c>
      <c r="K714" s="1" t="s">
        <v>4165</v>
      </c>
      <c r="L714" t="s">
        <v>91</v>
      </c>
      <c r="M714" t="s">
        <v>91</v>
      </c>
      <c r="N714" s="1" t="s">
        <v>4166</v>
      </c>
      <c r="O714" t="s">
        <v>91</v>
      </c>
      <c r="P714" s="1" t="s">
        <v>4167</v>
      </c>
      <c r="Q714" s="1" t="s">
        <v>4168</v>
      </c>
      <c r="R714" s="1" t="s">
        <v>4169</v>
      </c>
      <c r="S714">
        <v>1259</v>
      </c>
      <c r="T714">
        <v>88140000</v>
      </c>
      <c r="U714" s="1" t="s">
        <v>108</v>
      </c>
      <c r="V714" s="1" t="s">
        <v>3123</v>
      </c>
      <c r="W714" s="1" t="s">
        <v>87</v>
      </c>
      <c r="X714">
        <v>48</v>
      </c>
      <c r="Y714">
        <v>32451559</v>
      </c>
      <c r="Z714" t="s">
        <v>91</v>
      </c>
      <c r="AA714" t="s">
        <v>91</v>
      </c>
      <c r="AB714" t="s">
        <v>91</v>
      </c>
      <c r="AC714" t="s">
        <v>91</v>
      </c>
      <c r="AD714" t="s">
        <v>91</v>
      </c>
      <c r="AE714" t="s">
        <v>91</v>
      </c>
      <c r="AF714" t="s">
        <v>91</v>
      </c>
      <c r="AG714" s="1" t="s">
        <v>146</v>
      </c>
      <c r="AH714" s="1" t="s">
        <v>91</v>
      </c>
      <c r="AI714" t="s">
        <v>91</v>
      </c>
      <c r="AJ714">
        <v>0</v>
      </c>
      <c r="AK714">
        <v>0</v>
      </c>
      <c r="AL714">
        <v>0</v>
      </c>
      <c r="AM714" t="s">
        <v>91</v>
      </c>
      <c r="AN714" t="s">
        <v>91</v>
      </c>
      <c r="AO714" t="s">
        <v>91</v>
      </c>
      <c r="AP714" t="s">
        <v>91</v>
      </c>
      <c r="AQ714" s="1" t="s">
        <v>147</v>
      </c>
      <c r="AR714" s="1" t="s">
        <v>147</v>
      </c>
      <c r="AS714" s="1" t="s">
        <v>147</v>
      </c>
      <c r="AT714" s="1" t="s">
        <v>147</v>
      </c>
      <c r="AU714" s="1" t="s">
        <v>147</v>
      </c>
      <c r="AV714" t="s">
        <v>91</v>
      </c>
      <c r="AW714" t="s">
        <v>91</v>
      </c>
      <c r="AX714" t="s">
        <v>91</v>
      </c>
      <c r="AY714" t="s">
        <v>91</v>
      </c>
      <c r="AZ714" t="s">
        <v>91</v>
      </c>
      <c r="BA714" t="s">
        <v>91</v>
      </c>
      <c r="BB714" s="2"/>
      <c r="BC714" s="2">
        <v>44686.375231481485</v>
      </c>
      <c r="BD714" t="s">
        <v>91</v>
      </c>
      <c r="BF714" s="1" t="s">
        <v>75</v>
      </c>
      <c r="BG714">
        <v>0</v>
      </c>
      <c r="BH714">
        <v>0</v>
      </c>
      <c r="BI714" s="1" t="s">
        <v>88</v>
      </c>
      <c r="BJ714">
        <v>1</v>
      </c>
      <c r="BK714" s="1" t="s">
        <v>89</v>
      </c>
      <c r="BL714" t="s">
        <v>91</v>
      </c>
      <c r="BM714" s="1" t="s">
        <v>329</v>
      </c>
      <c r="BN714" s="1" t="s">
        <v>110</v>
      </c>
      <c r="BO714" s="1" t="s">
        <v>165</v>
      </c>
      <c r="BP714" s="1" t="s">
        <v>91</v>
      </c>
      <c r="BQ714" t="s">
        <v>91</v>
      </c>
      <c r="BR714" s="3"/>
      <c r="BS714" s="3">
        <v>44686</v>
      </c>
      <c r="BT714" t="s">
        <v>91</v>
      </c>
      <c r="BU714" t="s">
        <v>91</v>
      </c>
      <c r="BV714">
        <v>1</v>
      </c>
      <c r="BW714" s="1" t="s">
        <v>263</v>
      </c>
    </row>
    <row r="715" spans="1:75" hidden="1" x14ac:dyDescent="0.35">
      <c r="A715">
        <v>134302</v>
      </c>
      <c r="B715" s="1" t="s">
        <v>75</v>
      </c>
      <c r="C715">
        <v>80</v>
      </c>
      <c r="D715">
        <v>11121002</v>
      </c>
      <c r="E715">
        <v>121002</v>
      </c>
      <c r="F715" s="1" t="s">
        <v>2915</v>
      </c>
      <c r="G715" s="1" t="s">
        <v>4170</v>
      </c>
      <c r="I715" s="1" t="s">
        <v>78</v>
      </c>
      <c r="J715" s="1" t="s">
        <v>4171</v>
      </c>
      <c r="K715" s="1" t="s">
        <v>4172</v>
      </c>
      <c r="L715" t="s">
        <v>91</v>
      </c>
      <c r="M715" t="s">
        <v>91</v>
      </c>
      <c r="N715" s="1" t="s">
        <v>4173</v>
      </c>
      <c r="O715" t="s">
        <v>91</v>
      </c>
      <c r="P715" s="1" t="s">
        <v>4174</v>
      </c>
      <c r="Q715" s="1" t="s">
        <v>2479</v>
      </c>
      <c r="R715" s="1" t="s">
        <v>4175</v>
      </c>
      <c r="S715">
        <v>1266</v>
      </c>
      <c r="T715">
        <v>88502170</v>
      </c>
      <c r="U715" s="1" t="s">
        <v>108</v>
      </c>
      <c r="V715" s="1" t="s">
        <v>3335</v>
      </c>
      <c r="W715" s="1" t="s">
        <v>87</v>
      </c>
      <c r="X715">
        <v>49</v>
      </c>
      <c r="Y715">
        <v>998320832</v>
      </c>
      <c r="Z715" t="s">
        <v>91</v>
      </c>
      <c r="AA715" t="s">
        <v>91</v>
      </c>
      <c r="AB715" t="s">
        <v>91</v>
      </c>
      <c r="AC715" t="s">
        <v>91</v>
      </c>
      <c r="AD715" t="s">
        <v>91</v>
      </c>
      <c r="AE715" t="s">
        <v>91</v>
      </c>
      <c r="AF715" t="s">
        <v>91</v>
      </c>
      <c r="AG715" s="1" t="s">
        <v>91</v>
      </c>
      <c r="AH715" s="1" t="s">
        <v>91</v>
      </c>
      <c r="AI715" t="s">
        <v>91</v>
      </c>
      <c r="AJ715">
        <v>0</v>
      </c>
      <c r="AK715">
        <v>0</v>
      </c>
      <c r="AL715">
        <v>0</v>
      </c>
      <c r="AM715" t="s">
        <v>91</v>
      </c>
      <c r="AN715" t="s">
        <v>91</v>
      </c>
      <c r="AO715" t="s">
        <v>91</v>
      </c>
      <c r="AP715" t="s">
        <v>91</v>
      </c>
      <c r="AQ715" s="1" t="s">
        <v>91</v>
      </c>
      <c r="AR715" s="1" t="s">
        <v>91</v>
      </c>
      <c r="AS715" s="1" t="s">
        <v>91</v>
      </c>
      <c r="AT715" s="1" t="s">
        <v>91</v>
      </c>
      <c r="AU715" s="1" t="s">
        <v>91</v>
      </c>
      <c r="AV715" t="s">
        <v>91</v>
      </c>
      <c r="AW715" t="s">
        <v>91</v>
      </c>
      <c r="AX715" t="s">
        <v>91</v>
      </c>
      <c r="AY715" t="s">
        <v>91</v>
      </c>
      <c r="AZ715" t="s">
        <v>91</v>
      </c>
      <c r="BA715" t="s">
        <v>91</v>
      </c>
      <c r="BB715" s="2"/>
      <c r="BC715" s="2"/>
      <c r="BD715" t="s">
        <v>91</v>
      </c>
      <c r="BF715" s="1" t="s">
        <v>75</v>
      </c>
      <c r="BG715">
        <v>0</v>
      </c>
      <c r="BH715">
        <v>0</v>
      </c>
      <c r="BI715" s="1" t="s">
        <v>88</v>
      </c>
      <c r="BJ715">
        <v>1</v>
      </c>
      <c r="BK715" s="1" t="s">
        <v>89</v>
      </c>
      <c r="BL715" t="s">
        <v>91</v>
      </c>
      <c r="BM715" s="1" t="s">
        <v>109</v>
      </c>
      <c r="BN715" s="1" t="s">
        <v>110</v>
      </c>
      <c r="BO715" s="1" t="s">
        <v>180</v>
      </c>
      <c r="BP715" s="1" t="s">
        <v>91</v>
      </c>
      <c r="BQ715" t="s">
        <v>91</v>
      </c>
      <c r="BR715" s="3"/>
      <c r="BS715" s="3"/>
      <c r="BT715" t="s">
        <v>91</v>
      </c>
      <c r="BU715" t="s">
        <v>91</v>
      </c>
      <c r="BV715">
        <v>4</v>
      </c>
      <c r="BW715" s="1" t="s">
        <v>4176</v>
      </c>
    </row>
    <row r="716" spans="1:75" hidden="1" x14ac:dyDescent="0.35">
      <c r="A716">
        <v>157604</v>
      </c>
      <c r="B716" s="1" t="s">
        <v>75</v>
      </c>
      <c r="C716">
        <v>80</v>
      </c>
      <c r="D716">
        <v>11121002</v>
      </c>
      <c r="E716">
        <v>121002</v>
      </c>
      <c r="F716" s="1" t="s">
        <v>2915</v>
      </c>
      <c r="G716" s="1" t="s">
        <v>4177</v>
      </c>
      <c r="H716">
        <v>0</v>
      </c>
      <c r="I716" s="1" t="s">
        <v>78</v>
      </c>
      <c r="J716" s="1" t="s">
        <v>4178</v>
      </c>
      <c r="K716" s="1" t="s">
        <v>4179</v>
      </c>
      <c r="L716" t="s">
        <v>91</v>
      </c>
      <c r="M716" t="s">
        <v>91</v>
      </c>
      <c r="N716" s="1" t="s">
        <v>4180</v>
      </c>
      <c r="O716" t="s">
        <v>91</v>
      </c>
      <c r="P716" s="1" t="s">
        <v>4181</v>
      </c>
      <c r="Q716" s="1" t="s">
        <v>4182</v>
      </c>
      <c r="R716" s="1" t="s">
        <v>4183</v>
      </c>
      <c r="T716">
        <v>88015300</v>
      </c>
      <c r="U716" s="1" t="s">
        <v>108</v>
      </c>
      <c r="V716" s="1" t="s">
        <v>2922</v>
      </c>
      <c r="W716" s="1" t="s">
        <v>87</v>
      </c>
      <c r="X716">
        <v>48</v>
      </c>
      <c r="Y716">
        <v>991497761</v>
      </c>
      <c r="Z716" t="s">
        <v>91</v>
      </c>
      <c r="AA716" t="s">
        <v>91</v>
      </c>
      <c r="AB716" t="s">
        <v>91</v>
      </c>
      <c r="AC716" t="s">
        <v>91</v>
      </c>
      <c r="AD716" t="s">
        <v>91</v>
      </c>
      <c r="AE716" t="s">
        <v>91</v>
      </c>
      <c r="AF716" t="s">
        <v>91</v>
      </c>
      <c r="AG716" s="1" t="s">
        <v>91</v>
      </c>
      <c r="AH716" s="1" t="s">
        <v>91</v>
      </c>
      <c r="AI716" t="s">
        <v>91</v>
      </c>
      <c r="AM716" t="s">
        <v>91</v>
      </c>
      <c r="AN716" t="s">
        <v>91</v>
      </c>
      <c r="AO716" t="s">
        <v>91</v>
      </c>
      <c r="AP716" t="s">
        <v>91</v>
      </c>
      <c r="AQ716" s="1" t="s">
        <v>91</v>
      </c>
      <c r="AR716" s="1" t="s">
        <v>91</v>
      </c>
      <c r="AS716" s="1" t="s">
        <v>91</v>
      </c>
      <c r="AT716" s="1" t="s">
        <v>91</v>
      </c>
      <c r="AU716" s="1" t="s">
        <v>91</v>
      </c>
      <c r="AV716" t="s">
        <v>91</v>
      </c>
      <c r="AW716" t="s">
        <v>91</v>
      </c>
      <c r="AX716" t="s">
        <v>91</v>
      </c>
      <c r="AY716" t="s">
        <v>91</v>
      </c>
      <c r="AZ716" t="s">
        <v>91</v>
      </c>
      <c r="BA716" t="s">
        <v>91</v>
      </c>
      <c r="BB716" s="2">
        <v>45118.097175925926</v>
      </c>
      <c r="BC716" s="2"/>
      <c r="BD716" t="s">
        <v>91</v>
      </c>
      <c r="BF716" s="1" t="s">
        <v>75</v>
      </c>
      <c r="BI716" s="1" t="s">
        <v>88</v>
      </c>
      <c r="BJ716">
        <v>1</v>
      </c>
      <c r="BK716" s="1" t="s">
        <v>89</v>
      </c>
      <c r="BL716" t="s">
        <v>91</v>
      </c>
      <c r="BM716" s="1" t="s">
        <v>91</v>
      </c>
      <c r="BN716" s="1" t="s">
        <v>91</v>
      </c>
      <c r="BO716" s="1" t="s">
        <v>91</v>
      </c>
      <c r="BP716" s="1" t="s">
        <v>91</v>
      </c>
      <c r="BQ716" t="s">
        <v>91</v>
      </c>
      <c r="BR716" s="3">
        <v>45118</v>
      </c>
      <c r="BS716" s="3"/>
      <c r="BT716" t="s">
        <v>91</v>
      </c>
      <c r="BU716" t="s">
        <v>91</v>
      </c>
      <c r="BW716" s="1" t="s">
        <v>2596</v>
      </c>
    </row>
    <row r="717" spans="1:75" hidden="1" x14ac:dyDescent="0.35">
      <c r="A717">
        <v>144553</v>
      </c>
      <c r="B717" s="1" t="s">
        <v>75</v>
      </c>
      <c r="C717">
        <v>80</v>
      </c>
      <c r="D717">
        <v>11121002</v>
      </c>
      <c r="E717">
        <v>121002</v>
      </c>
      <c r="F717" s="1" t="s">
        <v>2915</v>
      </c>
      <c r="G717" s="1" t="s">
        <v>4184</v>
      </c>
      <c r="I717" s="1" t="s">
        <v>78</v>
      </c>
      <c r="J717" s="1" t="s">
        <v>4185</v>
      </c>
      <c r="K717" s="1" t="s">
        <v>4186</v>
      </c>
      <c r="L717" t="s">
        <v>91</v>
      </c>
      <c r="M717" t="s">
        <v>91</v>
      </c>
      <c r="N717" s="1" t="s">
        <v>4187</v>
      </c>
      <c r="O717" t="s">
        <v>91</v>
      </c>
      <c r="P717" s="1" t="s">
        <v>873</v>
      </c>
      <c r="Q717" s="1" t="s">
        <v>961</v>
      </c>
      <c r="R717" s="1" t="s">
        <v>91</v>
      </c>
      <c r="S717">
        <v>1269</v>
      </c>
      <c r="T717">
        <v>88801500</v>
      </c>
      <c r="U717" s="1" t="s">
        <v>108</v>
      </c>
      <c r="V717" s="1" t="s">
        <v>3231</v>
      </c>
      <c r="W717" s="1" t="s">
        <v>87</v>
      </c>
      <c r="X717">
        <v>48</v>
      </c>
      <c r="Y717">
        <v>34336156</v>
      </c>
      <c r="Z717" t="s">
        <v>91</v>
      </c>
      <c r="AA717" t="s">
        <v>91</v>
      </c>
      <c r="AB717" t="s">
        <v>91</v>
      </c>
      <c r="AC717" t="s">
        <v>91</v>
      </c>
      <c r="AD717" t="s">
        <v>91</v>
      </c>
      <c r="AE717" t="s">
        <v>91</v>
      </c>
      <c r="AF717" t="s">
        <v>91</v>
      </c>
      <c r="AG717" s="1" t="s">
        <v>91</v>
      </c>
      <c r="AH717" s="1" t="s">
        <v>91</v>
      </c>
      <c r="AI717" t="s">
        <v>91</v>
      </c>
      <c r="AJ717">
        <v>0</v>
      </c>
      <c r="AK717">
        <v>0</v>
      </c>
      <c r="AL717">
        <v>0</v>
      </c>
      <c r="AM717" t="s">
        <v>91</v>
      </c>
      <c r="AN717" t="s">
        <v>91</v>
      </c>
      <c r="AO717" t="s">
        <v>91</v>
      </c>
      <c r="AP717" t="s">
        <v>91</v>
      </c>
      <c r="AQ717" s="1" t="s">
        <v>91</v>
      </c>
      <c r="AR717" s="1" t="s">
        <v>91</v>
      </c>
      <c r="AS717" s="1" t="s">
        <v>91</v>
      </c>
      <c r="AT717" s="1" t="s">
        <v>91</v>
      </c>
      <c r="AU717" s="1" t="s">
        <v>91</v>
      </c>
      <c r="AV717" t="s">
        <v>91</v>
      </c>
      <c r="AW717" t="s">
        <v>91</v>
      </c>
      <c r="AX717" t="s">
        <v>91</v>
      </c>
      <c r="AY717" t="s">
        <v>91</v>
      </c>
      <c r="AZ717" t="s">
        <v>91</v>
      </c>
      <c r="BA717" t="s">
        <v>91</v>
      </c>
      <c r="BB717" s="2"/>
      <c r="BC717" s="2"/>
      <c r="BD717" t="s">
        <v>91</v>
      </c>
      <c r="BF717" s="1" t="s">
        <v>75</v>
      </c>
      <c r="BG717">
        <v>0</v>
      </c>
      <c r="BH717">
        <v>0</v>
      </c>
      <c r="BI717" s="1" t="s">
        <v>88</v>
      </c>
      <c r="BJ717">
        <v>1</v>
      </c>
      <c r="BK717" s="1" t="s">
        <v>89</v>
      </c>
      <c r="BL717" t="s">
        <v>91</v>
      </c>
      <c r="BM717" s="1" t="s">
        <v>109</v>
      </c>
      <c r="BN717" s="1" t="s">
        <v>148</v>
      </c>
      <c r="BO717" s="1" t="s">
        <v>128</v>
      </c>
      <c r="BP717" s="1" t="s">
        <v>91</v>
      </c>
      <c r="BQ717" t="s">
        <v>91</v>
      </c>
      <c r="BR717" s="3"/>
      <c r="BS717" s="3"/>
      <c r="BT717" t="s">
        <v>91</v>
      </c>
      <c r="BU717" t="s">
        <v>91</v>
      </c>
      <c r="BV717">
        <v>9</v>
      </c>
      <c r="BW717" s="1" t="s">
        <v>390</v>
      </c>
    </row>
    <row r="718" spans="1:75" hidden="1" x14ac:dyDescent="0.35">
      <c r="A718">
        <v>134321</v>
      </c>
      <c r="B718" s="1" t="s">
        <v>75</v>
      </c>
      <c r="C718">
        <v>80</v>
      </c>
      <c r="D718">
        <v>11121002</v>
      </c>
      <c r="E718">
        <v>121002</v>
      </c>
      <c r="F718" s="1" t="s">
        <v>2915</v>
      </c>
      <c r="G718" s="1" t="s">
        <v>4188</v>
      </c>
      <c r="I718" s="1" t="s">
        <v>78</v>
      </c>
      <c r="J718" s="1" t="s">
        <v>4189</v>
      </c>
      <c r="K718" s="1" t="s">
        <v>4190</v>
      </c>
      <c r="L718" t="s">
        <v>91</v>
      </c>
      <c r="M718" t="s">
        <v>91</v>
      </c>
      <c r="N718" s="1" t="s">
        <v>4191</v>
      </c>
      <c r="O718" t="s">
        <v>91</v>
      </c>
      <c r="P718" s="1" t="s">
        <v>311</v>
      </c>
      <c r="Q718" s="1" t="s">
        <v>3064</v>
      </c>
      <c r="R718" s="1" t="s">
        <v>4192</v>
      </c>
      <c r="S718">
        <v>1254</v>
      </c>
      <c r="T718">
        <v>88010001</v>
      </c>
      <c r="U718" s="1" t="s">
        <v>108</v>
      </c>
      <c r="V718" s="1" t="s">
        <v>2922</v>
      </c>
      <c r="W718" s="1" t="s">
        <v>87</v>
      </c>
      <c r="X718">
        <v>48</v>
      </c>
      <c r="Y718">
        <v>30283088</v>
      </c>
      <c r="Z718" t="s">
        <v>91</v>
      </c>
      <c r="AA718" t="s">
        <v>91</v>
      </c>
      <c r="AB718" t="s">
        <v>91</v>
      </c>
      <c r="AC718" t="s">
        <v>91</v>
      </c>
      <c r="AD718" t="s">
        <v>91</v>
      </c>
      <c r="AE718" t="s">
        <v>91</v>
      </c>
      <c r="AF718" t="s">
        <v>91</v>
      </c>
      <c r="AG718" s="1" t="s">
        <v>91</v>
      </c>
      <c r="AH718" s="1" t="s">
        <v>91</v>
      </c>
      <c r="AI718" t="s">
        <v>91</v>
      </c>
      <c r="AJ718">
        <v>0</v>
      </c>
      <c r="AK718">
        <v>0</v>
      </c>
      <c r="AL718">
        <v>0</v>
      </c>
      <c r="AM718" t="s">
        <v>91</v>
      </c>
      <c r="AN718" t="s">
        <v>91</v>
      </c>
      <c r="AO718" t="s">
        <v>91</v>
      </c>
      <c r="AP718" t="s">
        <v>91</v>
      </c>
      <c r="AQ718" s="1" t="s">
        <v>91</v>
      </c>
      <c r="AR718" s="1" t="s">
        <v>91</v>
      </c>
      <c r="AS718" s="1" t="s">
        <v>91</v>
      </c>
      <c r="AT718" s="1" t="s">
        <v>91</v>
      </c>
      <c r="AU718" s="1" t="s">
        <v>91</v>
      </c>
      <c r="AV718" t="s">
        <v>91</v>
      </c>
      <c r="AW718" t="s">
        <v>91</v>
      </c>
      <c r="AX718" t="s">
        <v>91</v>
      </c>
      <c r="AY718" t="s">
        <v>91</v>
      </c>
      <c r="AZ718" t="s">
        <v>91</v>
      </c>
      <c r="BA718" t="s">
        <v>91</v>
      </c>
      <c r="BB718" s="2"/>
      <c r="BC718" s="2"/>
      <c r="BD718" t="s">
        <v>91</v>
      </c>
      <c r="BF718" s="1" t="s">
        <v>75</v>
      </c>
      <c r="BG718">
        <v>0</v>
      </c>
      <c r="BH718">
        <v>0</v>
      </c>
      <c r="BI718" s="1" t="s">
        <v>88</v>
      </c>
      <c r="BJ718">
        <v>1</v>
      </c>
      <c r="BK718" s="1" t="s">
        <v>89</v>
      </c>
      <c r="BL718" t="s">
        <v>91</v>
      </c>
      <c r="BM718" s="1" t="s">
        <v>109</v>
      </c>
      <c r="BN718" s="1" t="s">
        <v>110</v>
      </c>
      <c r="BO718" s="1" t="s">
        <v>128</v>
      </c>
      <c r="BP718" s="1" t="s">
        <v>91</v>
      </c>
      <c r="BQ718" t="s">
        <v>91</v>
      </c>
      <c r="BR718" s="3"/>
      <c r="BS718" s="3"/>
      <c r="BT718" t="s">
        <v>91</v>
      </c>
      <c r="BU718" t="s">
        <v>91</v>
      </c>
      <c r="BV718">
        <v>1</v>
      </c>
      <c r="BW718" s="1" t="s">
        <v>4193</v>
      </c>
    </row>
    <row r="719" spans="1:75" hidden="1" x14ac:dyDescent="0.35">
      <c r="A719">
        <v>152723</v>
      </c>
      <c r="B719" s="1" t="s">
        <v>75</v>
      </c>
      <c r="C719">
        <v>80</v>
      </c>
      <c r="D719">
        <v>11121002</v>
      </c>
      <c r="E719">
        <v>121002</v>
      </c>
      <c r="F719" s="1" t="s">
        <v>2915</v>
      </c>
      <c r="G719" s="1" t="s">
        <v>4194</v>
      </c>
      <c r="H719">
        <v>0</v>
      </c>
      <c r="I719" s="1" t="s">
        <v>78</v>
      </c>
      <c r="J719" s="1" t="s">
        <v>4195</v>
      </c>
      <c r="K719" s="1" t="s">
        <v>4196</v>
      </c>
      <c r="L719" t="s">
        <v>91</v>
      </c>
      <c r="M719" t="s">
        <v>91</v>
      </c>
      <c r="N719" s="1" t="s">
        <v>917</v>
      </c>
      <c r="O719" t="s">
        <v>91</v>
      </c>
      <c r="P719" s="1" t="s">
        <v>438</v>
      </c>
      <c r="Q719" s="1" t="s">
        <v>826</v>
      </c>
      <c r="R719" s="1" t="s">
        <v>4197</v>
      </c>
      <c r="S719">
        <v>1266</v>
      </c>
      <c r="T719">
        <v>88501000</v>
      </c>
      <c r="U719" s="1" t="s">
        <v>108</v>
      </c>
      <c r="V719" s="1" t="s">
        <v>3335</v>
      </c>
      <c r="W719" s="1" t="s">
        <v>87</v>
      </c>
      <c r="Z719" t="s">
        <v>91</v>
      </c>
      <c r="AA719" t="s">
        <v>91</v>
      </c>
      <c r="AB719" t="s">
        <v>91</v>
      </c>
      <c r="AC719" t="s">
        <v>91</v>
      </c>
      <c r="AD719" t="s">
        <v>91</v>
      </c>
      <c r="AE719" t="s">
        <v>91</v>
      </c>
      <c r="AF719" t="s">
        <v>91</v>
      </c>
      <c r="AG719" s="1" t="s">
        <v>91</v>
      </c>
      <c r="AH719" s="1" t="s">
        <v>91</v>
      </c>
      <c r="AI719" t="s">
        <v>91</v>
      </c>
      <c r="AM719" t="s">
        <v>91</v>
      </c>
      <c r="AN719" t="s">
        <v>91</v>
      </c>
      <c r="AO719" t="s">
        <v>91</v>
      </c>
      <c r="AP719" t="s">
        <v>91</v>
      </c>
      <c r="AQ719" s="1" t="s">
        <v>91</v>
      </c>
      <c r="AR719" s="1" t="s">
        <v>91</v>
      </c>
      <c r="AS719" s="1" t="s">
        <v>91</v>
      </c>
      <c r="AT719" s="1" t="s">
        <v>91</v>
      </c>
      <c r="AU719" s="1" t="s">
        <v>91</v>
      </c>
      <c r="AV719" t="s">
        <v>91</v>
      </c>
      <c r="AW719" t="s">
        <v>91</v>
      </c>
      <c r="AX719" t="s">
        <v>91</v>
      </c>
      <c r="AY719" t="s">
        <v>91</v>
      </c>
      <c r="AZ719" t="s">
        <v>91</v>
      </c>
      <c r="BA719" t="s">
        <v>91</v>
      </c>
      <c r="BB719" s="2">
        <v>45019.565613425926</v>
      </c>
      <c r="BC719" s="2"/>
      <c r="BD719" t="s">
        <v>91</v>
      </c>
      <c r="BF719" s="1" t="s">
        <v>75</v>
      </c>
      <c r="BI719" s="1" t="s">
        <v>88</v>
      </c>
      <c r="BJ719">
        <v>1</v>
      </c>
      <c r="BK719" s="1" t="s">
        <v>89</v>
      </c>
      <c r="BL719" t="s">
        <v>91</v>
      </c>
      <c r="BM719" s="1" t="s">
        <v>91</v>
      </c>
      <c r="BN719" s="1" t="s">
        <v>91</v>
      </c>
      <c r="BO719" s="1" t="s">
        <v>91</v>
      </c>
      <c r="BP719" s="1" t="s">
        <v>91</v>
      </c>
      <c r="BQ719" t="s">
        <v>91</v>
      </c>
      <c r="BR719" s="3">
        <v>45019</v>
      </c>
      <c r="BS719" s="3"/>
      <c r="BT719" t="s">
        <v>91</v>
      </c>
      <c r="BU719" t="s">
        <v>91</v>
      </c>
      <c r="BW719" s="1" t="s">
        <v>90</v>
      </c>
    </row>
    <row r="720" spans="1:75" hidden="1" x14ac:dyDescent="0.35">
      <c r="A720">
        <v>134561</v>
      </c>
      <c r="B720" s="1" t="s">
        <v>75</v>
      </c>
      <c r="C720">
        <v>80</v>
      </c>
      <c r="D720">
        <v>11121002</v>
      </c>
      <c r="E720">
        <v>121002</v>
      </c>
      <c r="F720" s="1" t="s">
        <v>2915</v>
      </c>
      <c r="G720" s="1" t="s">
        <v>4198</v>
      </c>
      <c r="I720" s="1" t="s">
        <v>78</v>
      </c>
      <c r="J720" s="1" t="s">
        <v>4199</v>
      </c>
      <c r="K720" s="1" t="s">
        <v>4200</v>
      </c>
      <c r="L720" t="s">
        <v>91</v>
      </c>
      <c r="M720" t="s">
        <v>91</v>
      </c>
      <c r="N720" s="1" t="s">
        <v>4201</v>
      </c>
      <c r="O720" t="s">
        <v>91</v>
      </c>
      <c r="P720" s="1" t="s">
        <v>4202</v>
      </c>
      <c r="Q720" s="1" t="s">
        <v>4203</v>
      </c>
      <c r="R720" s="1" t="s">
        <v>91</v>
      </c>
      <c r="S720">
        <v>1257</v>
      </c>
      <c r="T720">
        <v>88036002</v>
      </c>
      <c r="U720" s="1" t="s">
        <v>4204</v>
      </c>
      <c r="V720" s="1" t="s">
        <v>3102</v>
      </c>
      <c r="W720" s="1" t="s">
        <v>87</v>
      </c>
      <c r="X720">
        <v>48</v>
      </c>
      <c r="Y720">
        <v>999462043</v>
      </c>
      <c r="Z720" t="s">
        <v>91</v>
      </c>
      <c r="AA720" t="s">
        <v>91</v>
      </c>
      <c r="AB720" t="s">
        <v>91</v>
      </c>
      <c r="AC720" t="s">
        <v>91</v>
      </c>
      <c r="AD720" t="s">
        <v>91</v>
      </c>
      <c r="AE720" t="s">
        <v>91</v>
      </c>
      <c r="AF720" t="s">
        <v>91</v>
      </c>
      <c r="AG720" s="1" t="s">
        <v>146</v>
      </c>
      <c r="AH720" s="1" t="s">
        <v>91</v>
      </c>
      <c r="AI720" t="s">
        <v>91</v>
      </c>
      <c r="AM720" t="s">
        <v>91</v>
      </c>
      <c r="AN720" t="s">
        <v>91</v>
      </c>
      <c r="AO720" t="s">
        <v>91</v>
      </c>
      <c r="AP720" t="s">
        <v>91</v>
      </c>
      <c r="AQ720" s="1" t="s">
        <v>147</v>
      </c>
      <c r="AR720" s="1" t="s">
        <v>147</v>
      </c>
      <c r="AS720" s="1" t="s">
        <v>147</v>
      </c>
      <c r="AT720" s="1" t="s">
        <v>147</v>
      </c>
      <c r="AU720" s="1" t="s">
        <v>147</v>
      </c>
      <c r="AV720" t="s">
        <v>91</v>
      </c>
      <c r="AW720" t="s">
        <v>91</v>
      </c>
      <c r="AX720" t="s">
        <v>91</v>
      </c>
      <c r="AY720" t="s">
        <v>91</v>
      </c>
      <c r="AZ720" t="s">
        <v>91</v>
      </c>
      <c r="BA720" t="s">
        <v>91</v>
      </c>
      <c r="BB720" s="2"/>
      <c r="BC720" s="2">
        <v>44655.587106481478</v>
      </c>
      <c r="BD720" t="s">
        <v>91</v>
      </c>
      <c r="BF720" s="1" t="s">
        <v>75</v>
      </c>
      <c r="BH720">
        <v>0</v>
      </c>
      <c r="BI720" s="1" t="s">
        <v>88</v>
      </c>
      <c r="BJ720">
        <v>1</v>
      </c>
      <c r="BK720" s="1" t="s">
        <v>89</v>
      </c>
      <c r="BL720" t="s">
        <v>91</v>
      </c>
      <c r="BM720" s="1" t="s">
        <v>109</v>
      </c>
      <c r="BN720" s="1" t="s">
        <v>110</v>
      </c>
      <c r="BO720" s="1" t="s">
        <v>91</v>
      </c>
      <c r="BP720" s="1" t="s">
        <v>91</v>
      </c>
      <c r="BQ720" t="s">
        <v>91</v>
      </c>
      <c r="BR720" s="3"/>
      <c r="BS720" s="3">
        <v>44655</v>
      </c>
      <c r="BT720" t="s">
        <v>91</v>
      </c>
      <c r="BU720" t="s">
        <v>91</v>
      </c>
      <c r="BW720" s="1" t="s">
        <v>1234</v>
      </c>
    </row>
    <row r="721" spans="1:75" hidden="1" x14ac:dyDescent="0.35">
      <c r="A721">
        <v>144623</v>
      </c>
      <c r="B721" s="1" t="s">
        <v>75</v>
      </c>
      <c r="C721">
        <v>80</v>
      </c>
      <c r="D721">
        <v>11121002</v>
      </c>
      <c r="E721">
        <v>121002</v>
      </c>
      <c r="F721" s="1" t="s">
        <v>2915</v>
      </c>
      <c r="G721" s="1" t="s">
        <v>4205</v>
      </c>
      <c r="I721" s="1" t="s">
        <v>78</v>
      </c>
      <c r="J721" s="1" t="s">
        <v>4206</v>
      </c>
      <c r="K721" s="1" t="s">
        <v>4207</v>
      </c>
      <c r="L721" t="s">
        <v>91</v>
      </c>
      <c r="M721" t="s">
        <v>91</v>
      </c>
      <c r="N721" s="1" t="s">
        <v>4208</v>
      </c>
      <c r="O721" t="s">
        <v>91</v>
      </c>
      <c r="P721" s="1" t="s">
        <v>4209</v>
      </c>
      <c r="Q721" s="1" t="s">
        <v>1912</v>
      </c>
      <c r="R721" s="1" t="s">
        <v>91</v>
      </c>
      <c r="T721">
        <v>88815150</v>
      </c>
      <c r="U721" s="1" t="s">
        <v>4210</v>
      </c>
      <c r="V721" s="1" t="s">
        <v>3231</v>
      </c>
      <c r="W721" s="1" t="s">
        <v>87</v>
      </c>
      <c r="X721">
        <v>48</v>
      </c>
      <c r="Y721">
        <v>34622742</v>
      </c>
      <c r="Z721" t="s">
        <v>91</v>
      </c>
      <c r="AA721" t="s">
        <v>91</v>
      </c>
      <c r="AB721" t="s">
        <v>91</v>
      </c>
      <c r="AC721" t="s">
        <v>91</v>
      </c>
      <c r="AD721" t="s">
        <v>91</v>
      </c>
      <c r="AE721" t="s">
        <v>91</v>
      </c>
      <c r="AF721" t="s">
        <v>91</v>
      </c>
      <c r="AG721" s="1" t="s">
        <v>91</v>
      </c>
      <c r="AH721" s="1" t="s">
        <v>91</v>
      </c>
      <c r="AI721" t="s">
        <v>91</v>
      </c>
      <c r="AJ721">
        <v>0</v>
      </c>
      <c r="AK721">
        <v>0</v>
      </c>
      <c r="AL721">
        <v>0</v>
      </c>
      <c r="AM721" t="s">
        <v>91</v>
      </c>
      <c r="AN721" t="s">
        <v>91</v>
      </c>
      <c r="AO721" t="s">
        <v>91</v>
      </c>
      <c r="AP721" t="s">
        <v>91</v>
      </c>
      <c r="AQ721" s="1" t="s">
        <v>91</v>
      </c>
      <c r="AR721" s="1" t="s">
        <v>91</v>
      </c>
      <c r="AS721" s="1" t="s">
        <v>91</v>
      </c>
      <c r="AT721" s="1" t="s">
        <v>91</v>
      </c>
      <c r="AU721" s="1" t="s">
        <v>91</v>
      </c>
      <c r="AV721" t="s">
        <v>91</v>
      </c>
      <c r="AW721" t="s">
        <v>91</v>
      </c>
      <c r="AX721" t="s">
        <v>91</v>
      </c>
      <c r="AY721" t="s">
        <v>91</v>
      </c>
      <c r="AZ721" t="s">
        <v>91</v>
      </c>
      <c r="BA721" t="s">
        <v>91</v>
      </c>
      <c r="BB721" s="2"/>
      <c r="BC721" s="2"/>
      <c r="BD721" t="s">
        <v>91</v>
      </c>
      <c r="BF721" s="1" t="s">
        <v>75</v>
      </c>
      <c r="BG721">
        <v>0</v>
      </c>
      <c r="BH721">
        <v>0</v>
      </c>
      <c r="BI721" s="1" t="s">
        <v>88</v>
      </c>
      <c r="BJ721">
        <v>1</v>
      </c>
      <c r="BK721" s="1" t="s">
        <v>89</v>
      </c>
      <c r="BL721" t="s">
        <v>91</v>
      </c>
      <c r="BM721" s="1" t="s">
        <v>109</v>
      </c>
      <c r="BN721" s="1" t="s">
        <v>110</v>
      </c>
      <c r="BO721" s="1" t="s">
        <v>128</v>
      </c>
      <c r="BP721" s="1" t="s">
        <v>91</v>
      </c>
      <c r="BQ721" t="s">
        <v>91</v>
      </c>
      <c r="BR721" s="3"/>
      <c r="BS721" s="3"/>
      <c r="BT721" t="s">
        <v>91</v>
      </c>
      <c r="BU721" t="s">
        <v>91</v>
      </c>
      <c r="BV721">
        <v>9</v>
      </c>
      <c r="BW721" s="1" t="s">
        <v>90</v>
      </c>
    </row>
    <row r="722" spans="1:75" hidden="1" x14ac:dyDescent="0.35">
      <c r="A722">
        <v>157598</v>
      </c>
      <c r="B722" s="1" t="s">
        <v>75</v>
      </c>
      <c r="C722">
        <v>80</v>
      </c>
      <c r="D722">
        <v>11121002</v>
      </c>
      <c r="E722">
        <v>121002</v>
      </c>
      <c r="F722" s="1" t="s">
        <v>2915</v>
      </c>
      <c r="G722" s="1" t="s">
        <v>4211</v>
      </c>
      <c r="H722">
        <v>0</v>
      </c>
      <c r="I722" s="1" t="s">
        <v>78</v>
      </c>
      <c r="J722" s="1" t="s">
        <v>4212</v>
      </c>
      <c r="K722" s="1" t="s">
        <v>4213</v>
      </c>
      <c r="L722" t="s">
        <v>91</v>
      </c>
      <c r="M722" t="s">
        <v>91</v>
      </c>
      <c r="N722" s="1" t="s">
        <v>4214</v>
      </c>
      <c r="O722" t="s">
        <v>91</v>
      </c>
      <c r="P722" s="1" t="s">
        <v>3942</v>
      </c>
      <c r="Q722" s="1" t="s">
        <v>4215</v>
      </c>
      <c r="R722" s="1" t="s">
        <v>254</v>
      </c>
      <c r="S722">
        <v>1257</v>
      </c>
      <c r="T722">
        <v>88062020</v>
      </c>
      <c r="U722" s="1" t="s">
        <v>3943</v>
      </c>
      <c r="V722" s="1" t="s">
        <v>2922</v>
      </c>
      <c r="W722" s="1" t="s">
        <v>87</v>
      </c>
      <c r="X722">
        <v>48</v>
      </c>
      <c r="Y722">
        <v>32321264</v>
      </c>
      <c r="Z722" t="s">
        <v>91</v>
      </c>
      <c r="AA722" t="s">
        <v>91</v>
      </c>
      <c r="AB722" t="s">
        <v>91</v>
      </c>
      <c r="AC722" t="s">
        <v>91</v>
      </c>
      <c r="AD722" t="s">
        <v>91</v>
      </c>
      <c r="AE722" t="s">
        <v>91</v>
      </c>
      <c r="AF722" t="s">
        <v>91</v>
      </c>
      <c r="AG722" s="1" t="s">
        <v>91</v>
      </c>
      <c r="AH722" s="1" t="s">
        <v>91</v>
      </c>
      <c r="AI722" t="s">
        <v>91</v>
      </c>
      <c r="AM722" t="s">
        <v>91</v>
      </c>
      <c r="AN722" t="s">
        <v>91</v>
      </c>
      <c r="AO722" t="s">
        <v>91</v>
      </c>
      <c r="AP722" t="s">
        <v>91</v>
      </c>
      <c r="AQ722" s="1" t="s">
        <v>91</v>
      </c>
      <c r="AR722" s="1" t="s">
        <v>91</v>
      </c>
      <c r="AS722" s="1" t="s">
        <v>91</v>
      </c>
      <c r="AT722" s="1" t="s">
        <v>91</v>
      </c>
      <c r="AU722" s="1" t="s">
        <v>91</v>
      </c>
      <c r="AV722" t="s">
        <v>91</v>
      </c>
      <c r="AW722" t="s">
        <v>91</v>
      </c>
      <c r="AX722" t="s">
        <v>91</v>
      </c>
      <c r="AY722" t="s">
        <v>91</v>
      </c>
      <c r="AZ722" t="s">
        <v>91</v>
      </c>
      <c r="BA722" t="s">
        <v>91</v>
      </c>
      <c r="BB722" s="2">
        <v>45118.097175925926</v>
      </c>
      <c r="BC722" s="2"/>
      <c r="BD722" t="s">
        <v>91</v>
      </c>
      <c r="BF722" s="1" t="s">
        <v>75</v>
      </c>
      <c r="BI722" s="1" t="s">
        <v>88</v>
      </c>
      <c r="BJ722">
        <v>1</v>
      </c>
      <c r="BK722" s="1" t="s">
        <v>89</v>
      </c>
      <c r="BL722" t="s">
        <v>91</v>
      </c>
      <c r="BM722" s="1" t="s">
        <v>91</v>
      </c>
      <c r="BN722" s="1" t="s">
        <v>91</v>
      </c>
      <c r="BO722" s="1" t="s">
        <v>91</v>
      </c>
      <c r="BP722" s="1" t="s">
        <v>91</v>
      </c>
      <c r="BQ722" t="s">
        <v>91</v>
      </c>
      <c r="BR722" s="3">
        <v>45118</v>
      </c>
      <c r="BS722" s="3"/>
      <c r="BT722" t="s">
        <v>91</v>
      </c>
      <c r="BU722" t="s">
        <v>91</v>
      </c>
      <c r="BW722" s="1" t="s">
        <v>247</v>
      </c>
    </row>
    <row r="723" spans="1:75" hidden="1" x14ac:dyDescent="0.35">
      <c r="A723">
        <v>151635</v>
      </c>
      <c r="B723" s="1" t="s">
        <v>75</v>
      </c>
      <c r="C723">
        <v>80</v>
      </c>
      <c r="D723">
        <v>11121002</v>
      </c>
      <c r="E723">
        <v>121002</v>
      </c>
      <c r="F723" s="1" t="s">
        <v>2915</v>
      </c>
      <c r="G723" s="1" t="s">
        <v>4216</v>
      </c>
      <c r="H723">
        <v>0</v>
      </c>
      <c r="I723" s="1" t="s">
        <v>78</v>
      </c>
      <c r="J723" s="1" t="s">
        <v>4212</v>
      </c>
      <c r="K723" s="1" t="s">
        <v>4217</v>
      </c>
      <c r="L723" t="s">
        <v>91</v>
      </c>
      <c r="M723" t="s">
        <v>91</v>
      </c>
      <c r="N723" s="1" t="s">
        <v>4218</v>
      </c>
      <c r="O723" t="s">
        <v>91</v>
      </c>
      <c r="P723" s="1" t="s">
        <v>4219</v>
      </c>
      <c r="Q723" s="1" t="s">
        <v>4220</v>
      </c>
      <c r="R723" s="1" t="s">
        <v>91</v>
      </c>
      <c r="T723">
        <v>88015200</v>
      </c>
      <c r="U723" s="1" t="s">
        <v>108</v>
      </c>
      <c r="V723" s="1" t="s">
        <v>3102</v>
      </c>
      <c r="W723" s="1" t="s">
        <v>87</v>
      </c>
      <c r="X723">
        <v>48</v>
      </c>
      <c r="Y723">
        <v>32070107</v>
      </c>
      <c r="Z723" t="s">
        <v>91</v>
      </c>
      <c r="AA723" t="s">
        <v>91</v>
      </c>
      <c r="AB723" t="s">
        <v>91</v>
      </c>
      <c r="AC723" t="s">
        <v>91</v>
      </c>
      <c r="AD723" t="s">
        <v>91</v>
      </c>
      <c r="AE723" t="s">
        <v>91</v>
      </c>
      <c r="AF723" t="s">
        <v>91</v>
      </c>
      <c r="AG723" s="1" t="s">
        <v>91</v>
      </c>
      <c r="AH723" s="1" t="s">
        <v>91</v>
      </c>
      <c r="AI723" t="s">
        <v>91</v>
      </c>
      <c r="AJ723">
        <v>0</v>
      </c>
      <c r="AK723">
        <v>0</v>
      </c>
      <c r="AL723">
        <v>0</v>
      </c>
      <c r="AM723" t="s">
        <v>91</v>
      </c>
      <c r="AN723" t="s">
        <v>91</v>
      </c>
      <c r="AO723" t="s">
        <v>91</v>
      </c>
      <c r="AP723" t="s">
        <v>91</v>
      </c>
      <c r="AQ723" s="1" t="s">
        <v>91</v>
      </c>
      <c r="AR723" s="1" t="s">
        <v>91</v>
      </c>
      <c r="AS723" s="1" t="s">
        <v>91</v>
      </c>
      <c r="AT723" s="1" t="s">
        <v>91</v>
      </c>
      <c r="AU723" s="1" t="s">
        <v>91</v>
      </c>
      <c r="AV723" t="s">
        <v>91</v>
      </c>
      <c r="AW723" t="s">
        <v>91</v>
      </c>
      <c r="AX723" t="s">
        <v>91</v>
      </c>
      <c r="AY723" t="s">
        <v>91</v>
      </c>
      <c r="AZ723" t="s">
        <v>91</v>
      </c>
      <c r="BA723" t="s">
        <v>91</v>
      </c>
      <c r="BB723" s="2">
        <v>44883.598773148151</v>
      </c>
      <c r="BC723" s="2"/>
      <c r="BD723" t="s">
        <v>91</v>
      </c>
      <c r="BF723" s="1" t="s">
        <v>75</v>
      </c>
      <c r="BG723">
        <v>0</v>
      </c>
      <c r="BH723">
        <v>0</v>
      </c>
      <c r="BI723" s="1" t="s">
        <v>88</v>
      </c>
      <c r="BJ723">
        <v>1</v>
      </c>
      <c r="BK723" s="1" t="s">
        <v>89</v>
      </c>
      <c r="BL723" t="s">
        <v>91</v>
      </c>
      <c r="BM723" s="1" t="s">
        <v>109</v>
      </c>
      <c r="BN723" s="1" t="s">
        <v>91</v>
      </c>
      <c r="BO723" s="1" t="s">
        <v>91</v>
      </c>
      <c r="BP723" s="1" t="s">
        <v>91</v>
      </c>
      <c r="BQ723" t="s">
        <v>91</v>
      </c>
      <c r="BR723" s="3">
        <v>44883</v>
      </c>
      <c r="BS723" s="3"/>
      <c r="BT723" t="s">
        <v>91</v>
      </c>
      <c r="BU723" t="s">
        <v>91</v>
      </c>
      <c r="BW723" s="1" t="s">
        <v>90</v>
      </c>
    </row>
    <row r="724" spans="1:75" hidden="1" x14ac:dyDescent="0.35">
      <c r="A724">
        <v>127736</v>
      </c>
      <c r="B724" s="1" t="s">
        <v>75</v>
      </c>
      <c r="C724">
        <v>80</v>
      </c>
      <c r="D724">
        <v>11121002</v>
      </c>
      <c r="E724">
        <v>121002</v>
      </c>
      <c r="F724" s="1" t="s">
        <v>2915</v>
      </c>
      <c r="G724" s="1" t="s">
        <v>4221</v>
      </c>
      <c r="H724">
        <v>0</v>
      </c>
      <c r="I724" s="1" t="s">
        <v>78</v>
      </c>
      <c r="J724" s="1" t="s">
        <v>4222</v>
      </c>
      <c r="K724" s="1" t="s">
        <v>4223</v>
      </c>
      <c r="L724" t="s">
        <v>91</v>
      </c>
      <c r="M724" t="s">
        <v>91</v>
      </c>
      <c r="N724" s="1" t="s">
        <v>91</v>
      </c>
      <c r="O724" t="s">
        <v>91</v>
      </c>
      <c r="P724" s="1" t="s">
        <v>3568</v>
      </c>
      <c r="Q724" s="1" t="s">
        <v>4220</v>
      </c>
      <c r="R724" s="1" t="s">
        <v>91</v>
      </c>
      <c r="S724">
        <v>1255</v>
      </c>
      <c r="T724">
        <v>88015202</v>
      </c>
      <c r="U724" s="1" t="s">
        <v>108</v>
      </c>
      <c r="V724" s="1" t="s">
        <v>3102</v>
      </c>
      <c r="W724" s="1" t="s">
        <v>87</v>
      </c>
      <c r="X724">
        <v>48</v>
      </c>
      <c r="Y724">
        <v>32070107</v>
      </c>
      <c r="Z724" t="s">
        <v>91</v>
      </c>
      <c r="AA724" t="s">
        <v>91</v>
      </c>
      <c r="AB724" t="s">
        <v>91</v>
      </c>
      <c r="AC724" t="s">
        <v>91</v>
      </c>
      <c r="AD724" t="s">
        <v>91</v>
      </c>
      <c r="AE724" t="s">
        <v>91</v>
      </c>
      <c r="AF724" t="s">
        <v>91</v>
      </c>
      <c r="AG724" s="1" t="s">
        <v>91</v>
      </c>
      <c r="AH724" s="1" t="s">
        <v>91</v>
      </c>
      <c r="AI724" t="s">
        <v>91</v>
      </c>
      <c r="AJ724">
        <v>0</v>
      </c>
      <c r="AK724">
        <v>0</v>
      </c>
      <c r="AL724">
        <v>0</v>
      </c>
      <c r="AM724" t="s">
        <v>91</v>
      </c>
      <c r="AN724" t="s">
        <v>91</v>
      </c>
      <c r="AO724" t="s">
        <v>91</v>
      </c>
      <c r="AP724" t="s">
        <v>91</v>
      </c>
      <c r="AQ724" s="1" t="s">
        <v>91</v>
      </c>
      <c r="AR724" s="1" t="s">
        <v>91</v>
      </c>
      <c r="AS724" s="1" t="s">
        <v>91</v>
      </c>
      <c r="AT724" s="1" t="s">
        <v>91</v>
      </c>
      <c r="AU724" s="1" t="s">
        <v>91</v>
      </c>
      <c r="AV724" t="s">
        <v>91</v>
      </c>
      <c r="AW724" t="s">
        <v>91</v>
      </c>
      <c r="AX724" t="s">
        <v>91</v>
      </c>
      <c r="AY724" t="s">
        <v>91</v>
      </c>
      <c r="AZ724" t="s">
        <v>91</v>
      </c>
      <c r="BA724" t="s">
        <v>91</v>
      </c>
      <c r="BB724" s="2">
        <v>44111.380995370368</v>
      </c>
      <c r="BC724" s="2"/>
      <c r="BD724" t="s">
        <v>91</v>
      </c>
      <c r="BF724" s="1" t="s">
        <v>75</v>
      </c>
      <c r="BG724">
        <v>0</v>
      </c>
      <c r="BH724">
        <v>0</v>
      </c>
      <c r="BI724" s="1" t="s">
        <v>88</v>
      </c>
      <c r="BJ724">
        <v>1</v>
      </c>
      <c r="BK724" s="1" t="s">
        <v>89</v>
      </c>
      <c r="BL724" t="s">
        <v>91</v>
      </c>
      <c r="BM724" s="1" t="s">
        <v>109</v>
      </c>
      <c r="BN724" s="1" t="s">
        <v>110</v>
      </c>
      <c r="BO724" s="1" t="s">
        <v>180</v>
      </c>
      <c r="BP724" s="1" t="s">
        <v>91</v>
      </c>
      <c r="BQ724" t="s">
        <v>91</v>
      </c>
      <c r="BR724" s="3">
        <v>44111</v>
      </c>
      <c r="BS724" s="3"/>
      <c r="BT724" t="s">
        <v>91</v>
      </c>
      <c r="BU724" t="s">
        <v>91</v>
      </c>
      <c r="BV724">
        <v>9</v>
      </c>
      <c r="BW724" s="1" t="s">
        <v>90</v>
      </c>
    </row>
    <row r="725" spans="1:75" hidden="1" x14ac:dyDescent="0.35">
      <c r="A725">
        <v>134501</v>
      </c>
      <c r="B725" s="1" t="s">
        <v>75</v>
      </c>
      <c r="C725">
        <v>80</v>
      </c>
      <c r="D725">
        <v>11121002</v>
      </c>
      <c r="E725">
        <v>121002</v>
      </c>
      <c r="F725" s="1" t="s">
        <v>2915</v>
      </c>
      <c r="G725" s="1" t="s">
        <v>4224</v>
      </c>
      <c r="I725" s="1" t="s">
        <v>78</v>
      </c>
      <c r="J725" s="1" t="s">
        <v>4225</v>
      </c>
      <c r="K725" s="1" t="s">
        <v>4226</v>
      </c>
      <c r="L725" t="s">
        <v>91</v>
      </c>
      <c r="M725" t="s">
        <v>91</v>
      </c>
      <c r="N725" s="1" t="s">
        <v>4227</v>
      </c>
      <c r="O725" t="s">
        <v>91</v>
      </c>
      <c r="P725" s="1" t="s">
        <v>311</v>
      </c>
      <c r="Q725" s="1" t="s">
        <v>4228</v>
      </c>
      <c r="R725" s="1" t="s">
        <v>91</v>
      </c>
      <c r="S725">
        <v>1254</v>
      </c>
      <c r="T725">
        <v>88010000</v>
      </c>
      <c r="U725" s="1" t="s">
        <v>108</v>
      </c>
      <c r="V725" s="1" t="s">
        <v>3102</v>
      </c>
      <c r="W725" s="1" t="s">
        <v>87</v>
      </c>
      <c r="X725">
        <v>48</v>
      </c>
      <c r="Y725">
        <v>32258843</v>
      </c>
      <c r="Z725" t="s">
        <v>91</v>
      </c>
      <c r="AA725" t="s">
        <v>91</v>
      </c>
      <c r="AB725" t="s">
        <v>91</v>
      </c>
      <c r="AC725" t="s">
        <v>91</v>
      </c>
      <c r="AD725" t="s">
        <v>91</v>
      </c>
      <c r="AE725" t="s">
        <v>91</v>
      </c>
      <c r="AF725" t="s">
        <v>91</v>
      </c>
      <c r="AG725" s="1" t="s">
        <v>146</v>
      </c>
      <c r="AH725" s="1" t="s">
        <v>91</v>
      </c>
      <c r="AI725" t="s">
        <v>91</v>
      </c>
      <c r="AM725" t="s">
        <v>91</v>
      </c>
      <c r="AN725" t="s">
        <v>91</v>
      </c>
      <c r="AO725" t="s">
        <v>91</v>
      </c>
      <c r="AP725" t="s">
        <v>91</v>
      </c>
      <c r="AQ725" s="1" t="s">
        <v>147</v>
      </c>
      <c r="AR725" s="1" t="s">
        <v>147</v>
      </c>
      <c r="AS725" s="1" t="s">
        <v>147</v>
      </c>
      <c r="AT725" s="1" t="s">
        <v>147</v>
      </c>
      <c r="AU725" s="1" t="s">
        <v>147</v>
      </c>
      <c r="AV725" t="s">
        <v>91</v>
      </c>
      <c r="AW725" t="s">
        <v>91</v>
      </c>
      <c r="AX725" t="s">
        <v>91</v>
      </c>
      <c r="AY725" t="s">
        <v>91</v>
      </c>
      <c r="AZ725" t="s">
        <v>91</v>
      </c>
      <c r="BA725" t="s">
        <v>91</v>
      </c>
      <c r="BB725" s="2"/>
      <c r="BC725" s="2">
        <v>44655.378831018519</v>
      </c>
      <c r="BD725" t="s">
        <v>91</v>
      </c>
      <c r="BF725" s="1" t="s">
        <v>75</v>
      </c>
      <c r="BH725">
        <v>0</v>
      </c>
      <c r="BI725" s="1" t="s">
        <v>88</v>
      </c>
      <c r="BJ725">
        <v>1</v>
      </c>
      <c r="BK725" s="1" t="s">
        <v>89</v>
      </c>
      <c r="BL725" t="s">
        <v>91</v>
      </c>
      <c r="BM725" s="1" t="s">
        <v>109</v>
      </c>
      <c r="BN725" s="1" t="s">
        <v>148</v>
      </c>
      <c r="BO725" s="1" t="s">
        <v>128</v>
      </c>
      <c r="BP725" s="1" t="s">
        <v>91</v>
      </c>
      <c r="BQ725" t="s">
        <v>91</v>
      </c>
      <c r="BR725" s="3"/>
      <c r="BS725" s="3">
        <v>44655</v>
      </c>
      <c r="BT725" t="s">
        <v>91</v>
      </c>
      <c r="BU725" t="s">
        <v>91</v>
      </c>
      <c r="BV725">
        <v>9</v>
      </c>
      <c r="BW725" s="1" t="s">
        <v>4229</v>
      </c>
    </row>
    <row r="726" spans="1:75" hidden="1" x14ac:dyDescent="0.35">
      <c r="A726">
        <v>127739</v>
      </c>
      <c r="B726" s="1" t="s">
        <v>75</v>
      </c>
      <c r="C726">
        <v>80</v>
      </c>
      <c r="D726">
        <v>11121002</v>
      </c>
      <c r="E726">
        <v>121002</v>
      </c>
      <c r="F726" s="1" t="s">
        <v>2915</v>
      </c>
      <c r="G726" s="1" t="s">
        <v>4230</v>
      </c>
      <c r="H726">
        <v>0</v>
      </c>
      <c r="I726" s="1" t="s">
        <v>78</v>
      </c>
      <c r="J726" s="1" t="s">
        <v>4231</v>
      </c>
      <c r="K726" s="1" t="s">
        <v>4232</v>
      </c>
      <c r="L726" t="s">
        <v>91</v>
      </c>
      <c r="M726" t="s">
        <v>91</v>
      </c>
      <c r="N726" s="1" t="s">
        <v>4233</v>
      </c>
      <c r="O726" t="s">
        <v>91</v>
      </c>
      <c r="P726" s="1" t="s">
        <v>2920</v>
      </c>
      <c r="Q726" s="1" t="s">
        <v>3166</v>
      </c>
      <c r="R726" s="1" t="s">
        <v>91</v>
      </c>
      <c r="S726">
        <v>1254</v>
      </c>
      <c r="T726">
        <v>88010020</v>
      </c>
      <c r="U726" s="1" t="s">
        <v>108</v>
      </c>
      <c r="V726" s="1" t="s">
        <v>3102</v>
      </c>
      <c r="W726" s="1" t="s">
        <v>87</v>
      </c>
      <c r="X726">
        <v>48</v>
      </c>
      <c r="Y726">
        <v>32237004</v>
      </c>
      <c r="Z726" t="s">
        <v>91</v>
      </c>
      <c r="AA726" t="s">
        <v>91</v>
      </c>
      <c r="AB726" t="s">
        <v>91</v>
      </c>
      <c r="AC726" t="s">
        <v>91</v>
      </c>
      <c r="AD726" t="s">
        <v>91</v>
      </c>
      <c r="AE726" t="s">
        <v>91</v>
      </c>
      <c r="AF726" t="s">
        <v>91</v>
      </c>
      <c r="AG726" s="1" t="s">
        <v>91</v>
      </c>
      <c r="AH726" s="1" t="s">
        <v>91</v>
      </c>
      <c r="AI726" t="s">
        <v>91</v>
      </c>
      <c r="AJ726">
        <v>0</v>
      </c>
      <c r="AK726">
        <v>0</v>
      </c>
      <c r="AL726">
        <v>0</v>
      </c>
      <c r="AM726" t="s">
        <v>91</v>
      </c>
      <c r="AN726" t="s">
        <v>91</v>
      </c>
      <c r="AO726" t="s">
        <v>91</v>
      </c>
      <c r="AP726" t="s">
        <v>91</v>
      </c>
      <c r="AQ726" s="1" t="s">
        <v>91</v>
      </c>
      <c r="AR726" s="1" t="s">
        <v>91</v>
      </c>
      <c r="AS726" s="1" t="s">
        <v>91</v>
      </c>
      <c r="AT726" s="1" t="s">
        <v>91</v>
      </c>
      <c r="AU726" s="1" t="s">
        <v>91</v>
      </c>
      <c r="AV726" t="s">
        <v>91</v>
      </c>
      <c r="AW726" t="s">
        <v>91</v>
      </c>
      <c r="AX726" t="s">
        <v>91</v>
      </c>
      <c r="AY726" t="s">
        <v>91</v>
      </c>
      <c r="AZ726" t="s">
        <v>91</v>
      </c>
      <c r="BA726" t="s">
        <v>91</v>
      </c>
      <c r="BB726" s="2">
        <v>44111.380995370368</v>
      </c>
      <c r="BC726" s="2"/>
      <c r="BD726" t="s">
        <v>91</v>
      </c>
      <c r="BF726" s="1" t="s">
        <v>75</v>
      </c>
      <c r="BG726">
        <v>0</v>
      </c>
      <c r="BH726">
        <v>0</v>
      </c>
      <c r="BI726" s="1" t="s">
        <v>88</v>
      </c>
      <c r="BJ726">
        <v>1</v>
      </c>
      <c r="BK726" s="1" t="s">
        <v>89</v>
      </c>
      <c r="BL726" t="s">
        <v>91</v>
      </c>
      <c r="BM726" s="1" t="s">
        <v>109</v>
      </c>
      <c r="BN726" s="1" t="s">
        <v>110</v>
      </c>
      <c r="BO726" s="1" t="s">
        <v>165</v>
      </c>
      <c r="BP726" s="1" t="s">
        <v>91</v>
      </c>
      <c r="BQ726" t="s">
        <v>91</v>
      </c>
      <c r="BR726" s="3">
        <v>44111</v>
      </c>
      <c r="BS726" s="3"/>
      <c r="BT726" t="s">
        <v>91</v>
      </c>
      <c r="BU726" t="s">
        <v>91</v>
      </c>
      <c r="BV726">
        <v>2</v>
      </c>
      <c r="BW726" s="1" t="s">
        <v>90</v>
      </c>
    </row>
    <row r="727" spans="1:75" hidden="1" x14ac:dyDescent="0.35">
      <c r="A727">
        <v>144387</v>
      </c>
      <c r="B727" s="1" t="s">
        <v>75</v>
      </c>
      <c r="C727">
        <v>80</v>
      </c>
      <c r="D727">
        <v>11121002</v>
      </c>
      <c r="E727">
        <v>121002</v>
      </c>
      <c r="F727" s="1" t="s">
        <v>2915</v>
      </c>
      <c r="G727" s="1" t="s">
        <v>4234</v>
      </c>
      <c r="I727" s="1" t="s">
        <v>78</v>
      </c>
      <c r="J727" s="1" t="s">
        <v>4235</v>
      </c>
      <c r="K727" s="1" t="s">
        <v>4236</v>
      </c>
      <c r="L727" t="s">
        <v>91</v>
      </c>
      <c r="M727" t="s">
        <v>91</v>
      </c>
      <c r="N727" s="1" t="s">
        <v>4237</v>
      </c>
      <c r="O727" t="s">
        <v>91</v>
      </c>
      <c r="P727" s="1" t="s">
        <v>3893</v>
      </c>
      <c r="Q727" s="1" t="s">
        <v>4238</v>
      </c>
      <c r="R727" s="1" t="s">
        <v>91</v>
      </c>
      <c r="S727">
        <v>1269</v>
      </c>
      <c r="T727">
        <v>88801050</v>
      </c>
      <c r="U727" s="1" t="s">
        <v>108</v>
      </c>
      <c r="V727" s="1" t="s">
        <v>3231</v>
      </c>
      <c r="W727" s="1" t="s">
        <v>87</v>
      </c>
      <c r="X727">
        <v>48</v>
      </c>
      <c r="Y727">
        <v>34333582</v>
      </c>
      <c r="Z727" t="s">
        <v>91</v>
      </c>
      <c r="AA727" t="s">
        <v>91</v>
      </c>
      <c r="AB727" t="s">
        <v>91</v>
      </c>
      <c r="AC727" t="s">
        <v>91</v>
      </c>
      <c r="AD727" t="s">
        <v>91</v>
      </c>
      <c r="AE727" t="s">
        <v>91</v>
      </c>
      <c r="AF727" t="s">
        <v>91</v>
      </c>
      <c r="AG727" s="1" t="s">
        <v>91</v>
      </c>
      <c r="AH727" s="1" t="s">
        <v>91</v>
      </c>
      <c r="AI727" t="s">
        <v>91</v>
      </c>
      <c r="AJ727">
        <v>0</v>
      </c>
      <c r="AK727">
        <v>0</v>
      </c>
      <c r="AL727">
        <v>0</v>
      </c>
      <c r="AM727" t="s">
        <v>91</v>
      </c>
      <c r="AN727" t="s">
        <v>91</v>
      </c>
      <c r="AO727" t="s">
        <v>91</v>
      </c>
      <c r="AP727" t="s">
        <v>91</v>
      </c>
      <c r="AQ727" s="1" t="s">
        <v>91</v>
      </c>
      <c r="AR727" s="1" t="s">
        <v>91</v>
      </c>
      <c r="AS727" s="1" t="s">
        <v>91</v>
      </c>
      <c r="AT727" s="1" t="s">
        <v>91</v>
      </c>
      <c r="AU727" s="1" t="s">
        <v>91</v>
      </c>
      <c r="AV727" t="s">
        <v>91</v>
      </c>
      <c r="AW727" t="s">
        <v>91</v>
      </c>
      <c r="AX727" t="s">
        <v>91</v>
      </c>
      <c r="AY727" t="s">
        <v>91</v>
      </c>
      <c r="AZ727" t="s">
        <v>91</v>
      </c>
      <c r="BA727" t="s">
        <v>91</v>
      </c>
      <c r="BB727" s="2"/>
      <c r="BC727" s="2"/>
      <c r="BD727" t="s">
        <v>91</v>
      </c>
      <c r="BF727" s="1" t="s">
        <v>75</v>
      </c>
      <c r="BG727">
        <v>0</v>
      </c>
      <c r="BH727">
        <v>0</v>
      </c>
      <c r="BI727" s="1" t="s">
        <v>88</v>
      </c>
      <c r="BJ727">
        <v>1</v>
      </c>
      <c r="BK727" s="1" t="s">
        <v>89</v>
      </c>
      <c r="BL727" t="s">
        <v>91</v>
      </c>
      <c r="BM727" s="1" t="s">
        <v>329</v>
      </c>
      <c r="BN727" s="1" t="s">
        <v>110</v>
      </c>
      <c r="BO727" s="1" t="s">
        <v>165</v>
      </c>
      <c r="BP727" s="1" t="s">
        <v>91</v>
      </c>
      <c r="BQ727" t="s">
        <v>91</v>
      </c>
      <c r="BR727" s="3"/>
      <c r="BS727" s="3"/>
      <c r="BT727" t="s">
        <v>91</v>
      </c>
      <c r="BU727" t="s">
        <v>91</v>
      </c>
      <c r="BV727">
        <v>1</v>
      </c>
      <c r="BW727" s="1" t="s">
        <v>1469</v>
      </c>
    </row>
    <row r="728" spans="1:75" hidden="1" x14ac:dyDescent="0.35">
      <c r="A728">
        <v>157720</v>
      </c>
      <c r="B728" s="1" t="s">
        <v>75</v>
      </c>
      <c r="C728">
        <v>80</v>
      </c>
      <c r="D728">
        <v>11121002</v>
      </c>
      <c r="E728">
        <v>121002</v>
      </c>
      <c r="F728" s="1" t="s">
        <v>2915</v>
      </c>
      <c r="G728" s="1" t="s">
        <v>4239</v>
      </c>
      <c r="H728">
        <v>0</v>
      </c>
      <c r="I728" s="1" t="s">
        <v>78</v>
      </c>
      <c r="J728" s="1" t="s">
        <v>4240</v>
      </c>
      <c r="K728" s="1" t="s">
        <v>4241</v>
      </c>
      <c r="L728" t="s">
        <v>91</v>
      </c>
      <c r="M728" t="s">
        <v>91</v>
      </c>
      <c r="N728" s="1" t="s">
        <v>4242</v>
      </c>
      <c r="O728" t="s">
        <v>91</v>
      </c>
      <c r="P728" s="1" t="s">
        <v>4243</v>
      </c>
      <c r="Q728" s="1" t="s">
        <v>657</v>
      </c>
      <c r="R728" s="1" t="s">
        <v>4244</v>
      </c>
      <c r="S728">
        <v>1258</v>
      </c>
      <c r="T728">
        <v>88095250</v>
      </c>
      <c r="U728" s="1" t="s">
        <v>4245</v>
      </c>
      <c r="V728" s="1" t="s">
        <v>2922</v>
      </c>
      <c r="W728" s="1" t="s">
        <v>87</v>
      </c>
      <c r="X728">
        <v>48</v>
      </c>
      <c r="Y728">
        <v>33696869</v>
      </c>
      <c r="Z728" t="s">
        <v>91</v>
      </c>
      <c r="AA728" t="s">
        <v>91</v>
      </c>
      <c r="AB728" t="s">
        <v>91</v>
      </c>
      <c r="AC728" t="s">
        <v>91</v>
      </c>
      <c r="AD728" t="s">
        <v>91</v>
      </c>
      <c r="AE728" t="s">
        <v>91</v>
      </c>
      <c r="AF728" t="s">
        <v>91</v>
      </c>
      <c r="AG728" s="1" t="s">
        <v>91</v>
      </c>
      <c r="AH728" s="1" t="s">
        <v>91</v>
      </c>
      <c r="AI728" t="s">
        <v>91</v>
      </c>
      <c r="AM728" t="s">
        <v>91</v>
      </c>
      <c r="AN728" t="s">
        <v>91</v>
      </c>
      <c r="AO728" t="s">
        <v>91</v>
      </c>
      <c r="AP728" t="s">
        <v>91</v>
      </c>
      <c r="AQ728" s="1" t="s">
        <v>91</v>
      </c>
      <c r="AR728" s="1" t="s">
        <v>91</v>
      </c>
      <c r="AS728" s="1" t="s">
        <v>91</v>
      </c>
      <c r="AT728" s="1" t="s">
        <v>91</v>
      </c>
      <c r="AU728" s="1" t="s">
        <v>91</v>
      </c>
      <c r="AV728" t="s">
        <v>91</v>
      </c>
      <c r="AW728" t="s">
        <v>91</v>
      </c>
      <c r="AX728" t="s">
        <v>91</v>
      </c>
      <c r="AY728" t="s">
        <v>91</v>
      </c>
      <c r="AZ728" t="s">
        <v>91</v>
      </c>
      <c r="BA728" t="s">
        <v>91</v>
      </c>
      <c r="BB728" s="2">
        <v>45118.097175925926</v>
      </c>
      <c r="BC728" s="2"/>
      <c r="BD728" t="s">
        <v>91</v>
      </c>
      <c r="BF728" s="1" t="s">
        <v>75</v>
      </c>
      <c r="BI728" s="1" t="s">
        <v>88</v>
      </c>
      <c r="BJ728">
        <v>1</v>
      </c>
      <c r="BK728" s="1" t="s">
        <v>89</v>
      </c>
      <c r="BL728" t="s">
        <v>91</v>
      </c>
      <c r="BM728" s="1" t="s">
        <v>91</v>
      </c>
      <c r="BN728" s="1" t="s">
        <v>91</v>
      </c>
      <c r="BO728" s="1" t="s">
        <v>91</v>
      </c>
      <c r="BP728" s="1" t="s">
        <v>91</v>
      </c>
      <c r="BQ728" t="s">
        <v>91</v>
      </c>
      <c r="BR728" s="3">
        <v>45118</v>
      </c>
      <c r="BS728" s="3"/>
      <c r="BT728" t="s">
        <v>91</v>
      </c>
      <c r="BU728" t="s">
        <v>91</v>
      </c>
      <c r="BW728" s="1" t="s">
        <v>90</v>
      </c>
    </row>
    <row r="729" spans="1:75" hidden="1" x14ac:dyDescent="0.35">
      <c r="A729">
        <v>157718</v>
      </c>
      <c r="B729" s="1" t="s">
        <v>75</v>
      </c>
      <c r="C729">
        <v>80</v>
      </c>
      <c r="D729">
        <v>11121002</v>
      </c>
      <c r="E729">
        <v>121002</v>
      </c>
      <c r="F729" s="1" t="s">
        <v>2915</v>
      </c>
      <c r="G729" s="1" t="s">
        <v>4246</v>
      </c>
      <c r="H729">
        <v>0</v>
      </c>
      <c r="I729" s="1" t="s">
        <v>78</v>
      </c>
      <c r="J729" s="1" t="s">
        <v>4247</v>
      </c>
      <c r="K729" s="1" t="s">
        <v>4248</v>
      </c>
      <c r="L729" t="s">
        <v>91</v>
      </c>
      <c r="M729" t="s">
        <v>91</v>
      </c>
      <c r="N729" s="1" t="s">
        <v>91</v>
      </c>
      <c r="O729" t="s">
        <v>91</v>
      </c>
      <c r="P729" s="1" t="s">
        <v>4249</v>
      </c>
      <c r="Q729" s="1" t="s">
        <v>3600</v>
      </c>
      <c r="R729" s="1" t="s">
        <v>820</v>
      </c>
      <c r="S729">
        <v>1257</v>
      </c>
      <c r="T729">
        <v>88058610</v>
      </c>
      <c r="U729" s="1" t="s">
        <v>3311</v>
      </c>
      <c r="V729" s="1" t="s">
        <v>2922</v>
      </c>
      <c r="W729" s="1" t="s">
        <v>87</v>
      </c>
      <c r="X729">
        <v>48</v>
      </c>
      <c r="Y729">
        <v>33696869</v>
      </c>
      <c r="Z729" t="s">
        <v>91</v>
      </c>
      <c r="AA729" t="s">
        <v>91</v>
      </c>
      <c r="AB729" t="s">
        <v>91</v>
      </c>
      <c r="AC729" t="s">
        <v>91</v>
      </c>
      <c r="AD729" t="s">
        <v>91</v>
      </c>
      <c r="AE729" t="s">
        <v>91</v>
      </c>
      <c r="AF729" t="s">
        <v>91</v>
      </c>
      <c r="AG729" s="1" t="s">
        <v>91</v>
      </c>
      <c r="AH729" s="1" t="s">
        <v>91</v>
      </c>
      <c r="AI729" t="s">
        <v>91</v>
      </c>
      <c r="AM729" t="s">
        <v>91</v>
      </c>
      <c r="AN729" t="s">
        <v>91</v>
      </c>
      <c r="AO729" t="s">
        <v>91</v>
      </c>
      <c r="AP729" t="s">
        <v>91</v>
      </c>
      <c r="AQ729" s="1" t="s">
        <v>91</v>
      </c>
      <c r="AR729" s="1" t="s">
        <v>91</v>
      </c>
      <c r="AS729" s="1" t="s">
        <v>91</v>
      </c>
      <c r="AT729" s="1" t="s">
        <v>91</v>
      </c>
      <c r="AU729" s="1" t="s">
        <v>91</v>
      </c>
      <c r="AV729" t="s">
        <v>91</v>
      </c>
      <c r="AW729" t="s">
        <v>91</v>
      </c>
      <c r="AX729" t="s">
        <v>91</v>
      </c>
      <c r="AY729" t="s">
        <v>91</v>
      </c>
      <c r="AZ729" t="s">
        <v>91</v>
      </c>
      <c r="BA729" t="s">
        <v>91</v>
      </c>
      <c r="BB729" s="2">
        <v>45118.097175925926</v>
      </c>
      <c r="BC729" s="2"/>
      <c r="BD729" t="s">
        <v>91</v>
      </c>
      <c r="BF729" s="1" t="s">
        <v>75</v>
      </c>
      <c r="BI729" s="1" t="s">
        <v>88</v>
      </c>
      <c r="BJ729">
        <v>1</v>
      </c>
      <c r="BK729" s="1" t="s">
        <v>89</v>
      </c>
      <c r="BL729" t="s">
        <v>91</v>
      </c>
      <c r="BM729" s="1" t="s">
        <v>91</v>
      </c>
      <c r="BN729" s="1" t="s">
        <v>91</v>
      </c>
      <c r="BO729" s="1" t="s">
        <v>91</v>
      </c>
      <c r="BP729" s="1" t="s">
        <v>91</v>
      </c>
      <c r="BQ729" t="s">
        <v>91</v>
      </c>
      <c r="BR729" s="3">
        <v>45118</v>
      </c>
      <c r="BS729" s="3"/>
      <c r="BT729" t="s">
        <v>91</v>
      </c>
      <c r="BU729" t="s">
        <v>91</v>
      </c>
      <c r="BW729" s="1" t="s">
        <v>90</v>
      </c>
    </row>
    <row r="730" spans="1:75" hidden="1" x14ac:dyDescent="0.35">
      <c r="A730">
        <v>157643</v>
      </c>
      <c r="B730" s="1" t="s">
        <v>75</v>
      </c>
      <c r="C730">
        <v>80</v>
      </c>
      <c r="D730">
        <v>11121002</v>
      </c>
      <c r="E730">
        <v>121002</v>
      </c>
      <c r="F730" s="1" t="s">
        <v>2915</v>
      </c>
      <c r="G730" s="1" t="s">
        <v>4250</v>
      </c>
      <c r="H730">
        <v>0</v>
      </c>
      <c r="I730" s="1" t="s">
        <v>78</v>
      </c>
      <c r="J730" s="1" t="s">
        <v>4251</v>
      </c>
      <c r="K730" s="1" t="s">
        <v>4252</v>
      </c>
      <c r="L730" t="s">
        <v>91</v>
      </c>
      <c r="M730" t="s">
        <v>91</v>
      </c>
      <c r="N730" s="1" t="s">
        <v>4253</v>
      </c>
      <c r="O730" t="s">
        <v>91</v>
      </c>
      <c r="P730" s="1" t="s">
        <v>990</v>
      </c>
      <c r="Q730" s="1" t="s">
        <v>4254</v>
      </c>
      <c r="R730" s="1" t="s">
        <v>91</v>
      </c>
      <c r="S730">
        <v>1270</v>
      </c>
      <c r="T730">
        <v>88930000</v>
      </c>
      <c r="U730" s="1" t="s">
        <v>108</v>
      </c>
      <c r="V730" s="1" t="s">
        <v>3089</v>
      </c>
      <c r="W730" s="1" t="s">
        <v>87</v>
      </c>
      <c r="X730">
        <v>48</v>
      </c>
      <c r="Y730">
        <v>34200932</v>
      </c>
      <c r="Z730" t="s">
        <v>91</v>
      </c>
      <c r="AA730" t="s">
        <v>91</v>
      </c>
      <c r="AB730" t="s">
        <v>91</v>
      </c>
      <c r="AC730" t="s">
        <v>91</v>
      </c>
      <c r="AD730" t="s">
        <v>91</v>
      </c>
      <c r="AE730" t="s">
        <v>91</v>
      </c>
      <c r="AF730" t="s">
        <v>91</v>
      </c>
      <c r="AG730" s="1" t="s">
        <v>91</v>
      </c>
      <c r="AH730" s="1" t="s">
        <v>91</v>
      </c>
      <c r="AI730" t="s">
        <v>91</v>
      </c>
      <c r="AM730" t="s">
        <v>91</v>
      </c>
      <c r="AN730" t="s">
        <v>91</v>
      </c>
      <c r="AO730" t="s">
        <v>91</v>
      </c>
      <c r="AP730" t="s">
        <v>91</v>
      </c>
      <c r="AQ730" s="1" t="s">
        <v>91</v>
      </c>
      <c r="AR730" s="1" t="s">
        <v>91</v>
      </c>
      <c r="AS730" s="1" t="s">
        <v>91</v>
      </c>
      <c r="AT730" s="1" t="s">
        <v>91</v>
      </c>
      <c r="AU730" s="1" t="s">
        <v>91</v>
      </c>
      <c r="AV730" t="s">
        <v>91</v>
      </c>
      <c r="AW730" t="s">
        <v>91</v>
      </c>
      <c r="AX730" t="s">
        <v>91</v>
      </c>
      <c r="AY730" t="s">
        <v>91</v>
      </c>
      <c r="AZ730" t="s">
        <v>91</v>
      </c>
      <c r="BA730" t="s">
        <v>91</v>
      </c>
      <c r="BB730" s="2">
        <v>45118.097175925926</v>
      </c>
      <c r="BC730" s="2"/>
      <c r="BD730" t="s">
        <v>91</v>
      </c>
      <c r="BF730" s="1" t="s">
        <v>75</v>
      </c>
      <c r="BI730" s="1" t="s">
        <v>88</v>
      </c>
      <c r="BJ730">
        <v>1</v>
      </c>
      <c r="BK730" s="1" t="s">
        <v>89</v>
      </c>
      <c r="BL730" t="s">
        <v>91</v>
      </c>
      <c r="BM730" s="1" t="s">
        <v>91</v>
      </c>
      <c r="BN730" s="1" t="s">
        <v>91</v>
      </c>
      <c r="BO730" s="1" t="s">
        <v>91</v>
      </c>
      <c r="BP730" s="1" t="s">
        <v>91</v>
      </c>
      <c r="BQ730" t="s">
        <v>91</v>
      </c>
      <c r="BR730" s="3">
        <v>45118</v>
      </c>
      <c r="BS730" s="3"/>
      <c r="BT730" t="s">
        <v>91</v>
      </c>
      <c r="BU730" t="s">
        <v>91</v>
      </c>
      <c r="BW730" s="1" t="s">
        <v>90</v>
      </c>
    </row>
    <row r="731" spans="1:75" hidden="1" x14ac:dyDescent="0.35">
      <c r="A731">
        <v>134474</v>
      </c>
      <c r="B731" s="1" t="s">
        <v>75</v>
      </c>
      <c r="C731">
        <v>80</v>
      </c>
      <c r="D731">
        <v>11121002</v>
      </c>
      <c r="E731">
        <v>121002</v>
      </c>
      <c r="F731" s="1" t="s">
        <v>2915</v>
      </c>
      <c r="G731" s="1" t="s">
        <v>4255</v>
      </c>
      <c r="I731" s="1" t="s">
        <v>78</v>
      </c>
      <c r="J731" s="1" t="s">
        <v>4256</v>
      </c>
      <c r="K731" s="1" t="s">
        <v>4257</v>
      </c>
      <c r="L731" t="s">
        <v>91</v>
      </c>
      <c r="M731" t="s">
        <v>91</v>
      </c>
      <c r="N731" s="1" t="s">
        <v>2812</v>
      </c>
      <c r="O731" t="s">
        <v>91</v>
      </c>
      <c r="P731" s="1" t="s">
        <v>3446</v>
      </c>
      <c r="Q731" s="1" t="s">
        <v>3112</v>
      </c>
      <c r="R731" s="1" t="s">
        <v>4258</v>
      </c>
      <c r="S731">
        <v>1257</v>
      </c>
      <c r="T731">
        <v>88035000</v>
      </c>
      <c r="U731" s="1" t="s">
        <v>3137</v>
      </c>
      <c r="V731" s="1" t="s">
        <v>2922</v>
      </c>
      <c r="W731" s="1" t="s">
        <v>87</v>
      </c>
      <c r="X731">
        <v>48</v>
      </c>
      <c r="Y731">
        <v>32398611</v>
      </c>
      <c r="Z731" t="s">
        <v>91</v>
      </c>
      <c r="AA731" t="s">
        <v>91</v>
      </c>
      <c r="AB731" t="s">
        <v>91</v>
      </c>
      <c r="AC731" t="s">
        <v>91</v>
      </c>
      <c r="AD731" t="s">
        <v>91</v>
      </c>
      <c r="AE731" t="s">
        <v>91</v>
      </c>
      <c r="AF731" t="s">
        <v>91</v>
      </c>
      <c r="AG731" s="1" t="s">
        <v>91</v>
      </c>
      <c r="AH731" s="1" t="s">
        <v>91</v>
      </c>
      <c r="AI731" t="s">
        <v>91</v>
      </c>
      <c r="AM731" t="s">
        <v>91</v>
      </c>
      <c r="AN731" t="s">
        <v>91</v>
      </c>
      <c r="AO731" t="s">
        <v>91</v>
      </c>
      <c r="AP731" t="s">
        <v>91</v>
      </c>
      <c r="AQ731" s="1" t="s">
        <v>91</v>
      </c>
      <c r="AR731" s="1" t="s">
        <v>91</v>
      </c>
      <c r="AS731" s="1" t="s">
        <v>91</v>
      </c>
      <c r="AT731" s="1" t="s">
        <v>91</v>
      </c>
      <c r="AU731" s="1" t="s">
        <v>91</v>
      </c>
      <c r="AV731" t="s">
        <v>91</v>
      </c>
      <c r="AW731" t="s">
        <v>91</v>
      </c>
      <c r="AX731" t="s">
        <v>91</v>
      </c>
      <c r="AY731" t="s">
        <v>91</v>
      </c>
      <c r="AZ731" t="s">
        <v>91</v>
      </c>
      <c r="BA731" t="s">
        <v>91</v>
      </c>
      <c r="BB731" s="2"/>
      <c r="BC731" s="2"/>
      <c r="BD731" t="s">
        <v>91</v>
      </c>
      <c r="BF731" s="1" t="s">
        <v>75</v>
      </c>
      <c r="BI731" s="1" t="s">
        <v>88</v>
      </c>
      <c r="BJ731">
        <v>1</v>
      </c>
      <c r="BK731" s="1" t="s">
        <v>89</v>
      </c>
      <c r="BL731" t="s">
        <v>91</v>
      </c>
      <c r="BM731" s="1" t="s">
        <v>109</v>
      </c>
      <c r="BN731" s="1" t="s">
        <v>110</v>
      </c>
      <c r="BO731" s="1" t="s">
        <v>165</v>
      </c>
      <c r="BP731" s="1" t="s">
        <v>91</v>
      </c>
      <c r="BQ731" t="s">
        <v>91</v>
      </c>
      <c r="BR731" s="3"/>
      <c r="BS731" s="3"/>
      <c r="BT731" t="s">
        <v>91</v>
      </c>
      <c r="BU731" t="s">
        <v>91</v>
      </c>
      <c r="BV731">
        <v>1</v>
      </c>
      <c r="BW731" s="1" t="s">
        <v>4259</v>
      </c>
    </row>
    <row r="732" spans="1:75" hidden="1" x14ac:dyDescent="0.35">
      <c r="A732">
        <v>134421</v>
      </c>
      <c r="B732" s="1" t="s">
        <v>75</v>
      </c>
      <c r="C732">
        <v>80</v>
      </c>
      <c r="D732">
        <v>11121002</v>
      </c>
      <c r="E732">
        <v>121002</v>
      </c>
      <c r="F732" s="1" t="s">
        <v>2915</v>
      </c>
      <c r="G732" s="1" t="s">
        <v>4260</v>
      </c>
      <c r="I732" s="1" t="s">
        <v>78</v>
      </c>
      <c r="J732" s="1" t="s">
        <v>4261</v>
      </c>
      <c r="K732" s="1" t="s">
        <v>4262</v>
      </c>
      <c r="L732" t="s">
        <v>91</v>
      </c>
      <c r="M732" t="s">
        <v>91</v>
      </c>
      <c r="N732" s="1" t="s">
        <v>2812</v>
      </c>
      <c r="O732" t="s">
        <v>91</v>
      </c>
      <c r="P732" s="1" t="s">
        <v>3446</v>
      </c>
      <c r="Q732" s="1" t="s">
        <v>3112</v>
      </c>
      <c r="R732" s="1" t="s">
        <v>4258</v>
      </c>
      <c r="S732">
        <v>1257</v>
      </c>
      <c r="T732">
        <v>88035000</v>
      </c>
      <c r="U732" s="1" t="s">
        <v>3137</v>
      </c>
      <c r="V732" s="1" t="s">
        <v>2922</v>
      </c>
      <c r="W732" s="1" t="s">
        <v>87</v>
      </c>
      <c r="X732">
        <v>48</v>
      </c>
      <c r="Y732">
        <v>32398611</v>
      </c>
      <c r="Z732" t="s">
        <v>91</v>
      </c>
      <c r="AA732" t="s">
        <v>91</v>
      </c>
      <c r="AB732" t="s">
        <v>91</v>
      </c>
      <c r="AC732" t="s">
        <v>91</v>
      </c>
      <c r="AD732" t="s">
        <v>91</v>
      </c>
      <c r="AE732" t="s">
        <v>91</v>
      </c>
      <c r="AF732" t="s">
        <v>91</v>
      </c>
      <c r="AG732" s="1" t="s">
        <v>91</v>
      </c>
      <c r="AH732" s="1" t="s">
        <v>91</v>
      </c>
      <c r="AI732" t="s">
        <v>91</v>
      </c>
      <c r="AM732" t="s">
        <v>91</v>
      </c>
      <c r="AN732" t="s">
        <v>91</v>
      </c>
      <c r="AO732" t="s">
        <v>91</v>
      </c>
      <c r="AP732" t="s">
        <v>91</v>
      </c>
      <c r="AQ732" s="1" t="s">
        <v>91</v>
      </c>
      <c r="AR732" s="1" t="s">
        <v>91</v>
      </c>
      <c r="AS732" s="1" t="s">
        <v>91</v>
      </c>
      <c r="AT732" s="1" t="s">
        <v>91</v>
      </c>
      <c r="AU732" s="1" t="s">
        <v>91</v>
      </c>
      <c r="AV732" t="s">
        <v>91</v>
      </c>
      <c r="AW732" t="s">
        <v>91</v>
      </c>
      <c r="AX732" t="s">
        <v>91</v>
      </c>
      <c r="AY732" t="s">
        <v>91</v>
      </c>
      <c r="AZ732" t="s">
        <v>91</v>
      </c>
      <c r="BA732" t="s">
        <v>91</v>
      </c>
      <c r="BB732" s="2"/>
      <c r="BC732" s="2"/>
      <c r="BD732" t="s">
        <v>91</v>
      </c>
      <c r="BF732" s="1" t="s">
        <v>75</v>
      </c>
      <c r="BI732" s="1" t="s">
        <v>88</v>
      </c>
      <c r="BJ732">
        <v>1</v>
      </c>
      <c r="BK732" s="1" t="s">
        <v>89</v>
      </c>
      <c r="BL732" t="s">
        <v>91</v>
      </c>
      <c r="BM732" s="1" t="s">
        <v>164</v>
      </c>
      <c r="BN732" s="1" t="s">
        <v>110</v>
      </c>
      <c r="BO732" s="1" t="s">
        <v>165</v>
      </c>
      <c r="BP732" s="1" t="s">
        <v>91</v>
      </c>
      <c r="BQ732" t="s">
        <v>91</v>
      </c>
      <c r="BR732" s="3"/>
      <c r="BS732" s="3"/>
      <c r="BT732" t="s">
        <v>91</v>
      </c>
      <c r="BU732" t="s">
        <v>91</v>
      </c>
      <c r="BV732">
        <v>1</v>
      </c>
      <c r="BW732" s="1" t="s">
        <v>90</v>
      </c>
    </row>
    <row r="733" spans="1:75" hidden="1" x14ac:dyDescent="0.35">
      <c r="A733">
        <v>135179</v>
      </c>
      <c r="B733" s="1" t="s">
        <v>75</v>
      </c>
      <c r="C733">
        <v>80</v>
      </c>
      <c r="D733">
        <v>11121002</v>
      </c>
      <c r="E733">
        <v>121002</v>
      </c>
      <c r="F733" s="1" t="s">
        <v>2915</v>
      </c>
      <c r="G733" s="1" t="s">
        <v>4263</v>
      </c>
      <c r="H733">
        <v>0</v>
      </c>
      <c r="I733" s="1" t="s">
        <v>78</v>
      </c>
      <c r="J733" s="1" t="s">
        <v>4264</v>
      </c>
      <c r="K733" s="1" t="s">
        <v>4265</v>
      </c>
      <c r="L733" t="s">
        <v>91</v>
      </c>
      <c r="M733" t="s">
        <v>91</v>
      </c>
      <c r="N733" s="1" t="s">
        <v>4266</v>
      </c>
      <c r="O733" t="s">
        <v>91</v>
      </c>
      <c r="P733" s="1" t="s">
        <v>4098</v>
      </c>
      <c r="Q733" s="1" t="s">
        <v>3660</v>
      </c>
      <c r="R733" s="1" t="s">
        <v>3661</v>
      </c>
      <c r="S733">
        <v>1257</v>
      </c>
      <c r="T733">
        <v>88063000</v>
      </c>
      <c r="U733" s="1" t="s">
        <v>2964</v>
      </c>
      <c r="V733" s="1" t="s">
        <v>2922</v>
      </c>
      <c r="W733" s="1" t="s">
        <v>87</v>
      </c>
      <c r="X733">
        <v>48</v>
      </c>
      <c r="Y733">
        <v>32070067</v>
      </c>
      <c r="Z733" t="s">
        <v>91</v>
      </c>
      <c r="AA733" t="s">
        <v>91</v>
      </c>
      <c r="AB733" t="s">
        <v>91</v>
      </c>
      <c r="AC733" t="s">
        <v>91</v>
      </c>
      <c r="AD733" t="s">
        <v>91</v>
      </c>
      <c r="AE733" t="s">
        <v>91</v>
      </c>
      <c r="AF733" t="s">
        <v>91</v>
      </c>
      <c r="AG733" s="1" t="s">
        <v>91</v>
      </c>
      <c r="AH733" s="1" t="s">
        <v>91</v>
      </c>
      <c r="AI733" t="s">
        <v>91</v>
      </c>
      <c r="AM733" t="s">
        <v>91</v>
      </c>
      <c r="AN733" t="s">
        <v>91</v>
      </c>
      <c r="AO733" t="s">
        <v>91</v>
      </c>
      <c r="AP733" t="s">
        <v>91</v>
      </c>
      <c r="AQ733" s="1" t="s">
        <v>91</v>
      </c>
      <c r="AR733" s="1" t="s">
        <v>91</v>
      </c>
      <c r="AS733" s="1" t="s">
        <v>91</v>
      </c>
      <c r="AT733" s="1" t="s">
        <v>91</v>
      </c>
      <c r="AU733" s="1" t="s">
        <v>91</v>
      </c>
      <c r="AV733" t="s">
        <v>91</v>
      </c>
      <c r="AW733" t="s">
        <v>91</v>
      </c>
      <c r="AX733" t="s">
        <v>91</v>
      </c>
      <c r="AY733" t="s">
        <v>91</v>
      </c>
      <c r="AZ733" t="s">
        <v>91</v>
      </c>
      <c r="BA733" t="s">
        <v>91</v>
      </c>
      <c r="BB733" s="2">
        <v>44316.427905092591</v>
      </c>
      <c r="BC733" s="2"/>
      <c r="BD733" t="s">
        <v>91</v>
      </c>
      <c r="BF733" s="1" t="s">
        <v>75</v>
      </c>
      <c r="BI733" s="1" t="s">
        <v>88</v>
      </c>
      <c r="BJ733">
        <v>1</v>
      </c>
      <c r="BK733" s="1" t="s">
        <v>89</v>
      </c>
      <c r="BL733" t="s">
        <v>91</v>
      </c>
      <c r="BM733" s="1" t="s">
        <v>329</v>
      </c>
      <c r="BN733" s="1" t="s">
        <v>110</v>
      </c>
      <c r="BO733" s="1" t="s">
        <v>165</v>
      </c>
      <c r="BP733" s="1" t="s">
        <v>91</v>
      </c>
      <c r="BQ733" t="s">
        <v>91</v>
      </c>
      <c r="BR733" s="3">
        <v>44316</v>
      </c>
      <c r="BS733" s="3"/>
      <c r="BT733" t="s">
        <v>91</v>
      </c>
      <c r="BU733" t="s">
        <v>91</v>
      </c>
      <c r="BW733" s="1" t="s">
        <v>676</v>
      </c>
    </row>
    <row r="734" spans="1:75" hidden="1" x14ac:dyDescent="0.35">
      <c r="A734">
        <v>144549</v>
      </c>
      <c r="B734" s="1" t="s">
        <v>75</v>
      </c>
      <c r="C734">
        <v>80</v>
      </c>
      <c r="D734">
        <v>11121002</v>
      </c>
      <c r="E734">
        <v>121002</v>
      </c>
      <c r="F734" s="1" t="s">
        <v>2915</v>
      </c>
      <c r="G734" s="1" t="s">
        <v>4267</v>
      </c>
      <c r="I734" s="1" t="s">
        <v>78</v>
      </c>
      <c r="J734" s="1" t="s">
        <v>4268</v>
      </c>
      <c r="K734" s="1" t="s">
        <v>4269</v>
      </c>
      <c r="L734" t="s">
        <v>91</v>
      </c>
      <c r="M734" t="s">
        <v>91</v>
      </c>
      <c r="N734" s="1" t="s">
        <v>4270</v>
      </c>
      <c r="O734" t="s">
        <v>91</v>
      </c>
      <c r="P734" s="1" t="s">
        <v>4271</v>
      </c>
      <c r="Q734" s="1" t="s">
        <v>4272</v>
      </c>
      <c r="R734" s="1" t="s">
        <v>91</v>
      </c>
      <c r="S734">
        <v>1270</v>
      </c>
      <c r="T734">
        <v>88914000</v>
      </c>
      <c r="U734" s="1" t="s">
        <v>4273</v>
      </c>
      <c r="V734" s="1" t="s">
        <v>4274</v>
      </c>
      <c r="W734" s="1" t="s">
        <v>87</v>
      </c>
      <c r="X734">
        <v>48</v>
      </c>
      <c r="Y734">
        <v>35260678</v>
      </c>
      <c r="Z734" t="s">
        <v>91</v>
      </c>
      <c r="AA734" t="s">
        <v>91</v>
      </c>
      <c r="AB734" t="s">
        <v>91</v>
      </c>
      <c r="AC734" t="s">
        <v>91</v>
      </c>
      <c r="AD734" t="s">
        <v>91</v>
      </c>
      <c r="AE734" t="s">
        <v>91</v>
      </c>
      <c r="AF734" t="s">
        <v>91</v>
      </c>
      <c r="AG734" s="1" t="s">
        <v>91</v>
      </c>
      <c r="AH734" s="1" t="s">
        <v>91</v>
      </c>
      <c r="AI734" t="s">
        <v>91</v>
      </c>
      <c r="AJ734">
        <v>0</v>
      </c>
      <c r="AK734">
        <v>0</v>
      </c>
      <c r="AL734">
        <v>0</v>
      </c>
      <c r="AM734" t="s">
        <v>91</v>
      </c>
      <c r="AN734" t="s">
        <v>91</v>
      </c>
      <c r="AO734" t="s">
        <v>91</v>
      </c>
      <c r="AP734" t="s">
        <v>91</v>
      </c>
      <c r="AQ734" s="1" t="s">
        <v>91</v>
      </c>
      <c r="AR734" s="1" t="s">
        <v>91</v>
      </c>
      <c r="AS734" s="1" t="s">
        <v>91</v>
      </c>
      <c r="AT734" s="1" t="s">
        <v>91</v>
      </c>
      <c r="AU734" s="1" t="s">
        <v>91</v>
      </c>
      <c r="AV734" t="s">
        <v>91</v>
      </c>
      <c r="AW734" t="s">
        <v>91</v>
      </c>
      <c r="AX734" t="s">
        <v>91</v>
      </c>
      <c r="AY734" t="s">
        <v>91</v>
      </c>
      <c r="AZ734" t="s">
        <v>91</v>
      </c>
      <c r="BA734" t="s">
        <v>91</v>
      </c>
      <c r="BB734" s="2"/>
      <c r="BC734" s="2"/>
      <c r="BD734" t="s">
        <v>91</v>
      </c>
      <c r="BF734" s="1" t="s">
        <v>75</v>
      </c>
      <c r="BG734">
        <v>0</v>
      </c>
      <c r="BH734">
        <v>0</v>
      </c>
      <c r="BI734" s="1" t="s">
        <v>88</v>
      </c>
      <c r="BJ734">
        <v>1</v>
      </c>
      <c r="BK734" s="1" t="s">
        <v>89</v>
      </c>
      <c r="BL734" t="s">
        <v>91</v>
      </c>
      <c r="BM734" s="1" t="s">
        <v>109</v>
      </c>
      <c r="BN734" s="1" t="s">
        <v>110</v>
      </c>
      <c r="BO734" s="1" t="s">
        <v>180</v>
      </c>
      <c r="BP734" s="1" t="s">
        <v>91</v>
      </c>
      <c r="BQ734" t="s">
        <v>91</v>
      </c>
      <c r="BR734" s="3"/>
      <c r="BS734" s="3"/>
      <c r="BT734" t="s">
        <v>91</v>
      </c>
      <c r="BU734" t="s">
        <v>91</v>
      </c>
      <c r="BV734">
        <v>9</v>
      </c>
      <c r="BW734" s="1" t="s">
        <v>735</v>
      </c>
    </row>
    <row r="735" spans="1:75" hidden="1" x14ac:dyDescent="0.35">
      <c r="A735">
        <v>623</v>
      </c>
      <c r="B735" s="1" t="s">
        <v>75</v>
      </c>
      <c r="C735">
        <v>80</v>
      </c>
      <c r="D735">
        <v>11121002</v>
      </c>
      <c r="E735">
        <v>121002</v>
      </c>
      <c r="F735" s="1" t="s">
        <v>2915</v>
      </c>
      <c r="G735" s="1" t="s">
        <v>4275</v>
      </c>
      <c r="I735" s="1" t="s">
        <v>78</v>
      </c>
      <c r="J735" s="1" t="s">
        <v>4276</v>
      </c>
      <c r="K735" s="1" t="s">
        <v>4277</v>
      </c>
      <c r="L735" t="s">
        <v>91</v>
      </c>
      <c r="M735" t="s">
        <v>91</v>
      </c>
      <c r="N735" s="1" t="s">
        <v>4278</v>
      </c>
      <c r="O735" t="s">
        <v>91</v>
      </c>
      <c r="P735" s="1" t="s">
        <v>4279</v>
      </c>
      <c r="Q735" s="1" t="s">
        <v>4280</v>
      </c>
      <c r="R735" s="1" t="s">
        <v>254</v>
      </c>
      <c r="S735">
        <v>1259</v>
      </c>
      <c r="T735">
        <v>88110694</v>
      </c>
      <c r="U735" s="1" t="s">
        <v>4281</v>
      </c>
      <c r="V735" s="1" t="s">
        <v>3016</v>
      </c>
      <c r="W735" s="1" t="s">
        <v>87</v>
      </c>
      <c r="X735">
        <v>48</v>
      </c>
      <c r="Y735">
        <v>30946680</v>
      </c>
      <c r="Z735" t="s">
        <v>91</v>
      </c>
      <c r="AA735" t="s">
        <v>91</v>
      </c>
      <c r="AB735" t="s">
        <v>91</v>
      </c>
      <c r="AC735" t="s">
        <v>91</v>
      </c>
      <c r="AD735" t="s">
        <v>91</v>
      </c>
      <c r="AE735" t="s">
        <v>91</v>
      </c>
      <c r="AF735" t="s">
        <v>91</v>
      </c>
      <c r="AG735" s="1" t="s">
        <v>146</v>
      </c>
      <c r="AH735" s="1" t="s">
        <v>91</v>
      </c>
      <c r="AI735" t="s">
        <v>91</v>
      </c>
      <c r="AJ735">
        <v>0</v>
      </c>
      <c r="AK735">
        <v>0</v>
      </c>
      <c r="AL735">
        <v>0</v>
      </c>
      <c r="AM735" t="s">
        <v>91</v>
      </c>
      <c r="AN735" t="s">
        <v>91</v>
      </c>
      <c r="AO735" t="s">
        <v>91</v>
      </c>
      <c r="AP735" t="s">
        <v>91</v>
      </c>
      <c r="AQ735" s="1" t="s">
        <v>147</v>
      </c>
      <c r="AR735" s="1" t="s">
        <v>147</v>
      </c>
      <c r="AS735" s="1" t="s">
        <v>147</v>
      </c>
      <c r="AT735" s="1" t="s">
        <v>147</v>
      </c>
      <c r="AU735" s="1" t="s">
        <v>147</v>
      </c>
      <c r="AV735" t="s">
        <v>91</v>
      </c>
      <c r="AW735" t="s">
        <v>91</v>
      </c>
      <c r="AX735" t="s">
        <v>91</v>
      </c>
      <c r="AY735" t="s">
        <v>91</v>
      </c>
      <c r="AZ735" t="s">
        <v>91</v>
      </c>
      <c r="BA735" t="s">
        <v>91</v>
      </c>
      <c r="BB735" s="2">
        <v>43308.392905092594</v>
      </c>
      <c r="BC735" s="2">
        <v>44684.656423611108</v>
      </c>
      <c r="BD735" t="s">
        <v>91</v>
      </c>
      <c r="BE735">
        <v>623</v>
      </c>
      <c r="BF735" s="1" t="s">
        <v>75</v>
      </c>
      <c r="BG735">
        <v>0</v>
      </c>
      <c r="BH735">
        <v>0</v>
      </c>
      <c r="BI735" s="1" t="s">
        <v>88</v>
      </c>
      <c r="BJ735">
        <v>1</v>
      </c>
      <c r="BK735" s="1" t="s">
        <v>89</v>
      </c>
      <c r="BL735" t="s">
        <v>91</v>
      </c>
      <c r="BM735" s="1" t="s">
        <v>109</v>
      </c>
      <c r="BN735" s="1" t="s">
        <v>110</v>
      </c>
      <c r="BO735" s="1" t="s">
        <v>128</v>
      </c>
      <c r="BP735" s="1" t="s">
        <v>91</v>
      </c>
      <c r="BQ735" t="s">
        <v>91</v>
      </c>
      <c r="BR735" s="3">
        <v>43308</v>
      </c>
      <c r="BS735" s="3">
        <v>44684</v>
      </c>
      <c r="BT735" t="s">
        <v>91</v>
      </c>
      <c r="BU735" t="s">
        <v>91</v>
      </c>
      <c r="BV735">
        <v>9</v>
      </c>
      <c r="BW735" s="1" t="s">
        <v>1284</v>
      </c>
    </row>
    <row r="736" spans="1:75" hidden="1" x14ac:dyDescent="0.35">
      <c r="A736">
        <v>144835</v>
      </c>
      <c r="B736" s="1" t="s">
        <v>75</v>
      </c>
      <c r="C736">
        <v>80</v>
      </c>
      <c r="D736">
        <v>11121002</v>
      </c>
      <c r="E736">
        <v>121002</v>
      </c>
      <c r="F736" s="1" t="s">
        <v>2915</v>
      </c>
      <c r="G736" s="1" t="s">
        <v>4282</v>
      </c>
      <c r="I736" s="1" t="s">
        <v>78</v>
      </c>
      <c r="J736" s="1" t="s">
        <v>4283</v>
      </c>
      <c r="K736" s="1" t="s">
        <v>4284</v>
      </c>
      <c r="L736" t="s">
        <v>91</v>
      </c>
      <c r="M736" t="s">
        <v>91</v>
      </c>
      <c r="N736" s="1" t="s">
        <v>4285</v>
      </c>
      <c r="O736" t="s">
        <v>91</v>
      </c>
      <c r="P736" s="1" t="s">
        <v>1922</v>
      </c>
      <c r="Q736" s="1" t="s">
        <v>4286</v>
      </c>
      <c r="R736" s="1" t="s">
        <v>1468</v>
      </c>
      <c r="S736">
        <v>1270</v>
      </c>
      <c r="T736">
        <v>88900021</v>
      </c>
      <c r="U736" s="1" t="s">
        <v>108</v>
      </c>
      <c r="V736" s="1" t="s">
        <v>3266</v>
      </c>
      <c r="W736" s="1" t="s">
        <v>87</v>
      </c>
      <c r="X736">
        <v>48</v>
      </c>
      <c r="Y736">
        <v>35241057</v>
      </c>
      <c r="Z736" t="s">
        <v>91</v>
      </c>
      <c r="AA736" t="s">
        <v>91</v>
      </c>
      <c r="AB736" t="s">
        <v>91</v>
      </c>
      <c r="AC736" t="s">
        <v>91</v>
      </c>
      <c r="AD736" t="s">
        <v>91</v>
      </c>
      <c r="AE736" t="s">
        <v>91</v>
      </c>
      <c r="AF736" t="s">
        <v>91</v>
      </c>
      <c r="AG736" s="1" t="s">
        <v>91</v>
      </c>
      <c r="AH736" s="1" t="s">
        <v>91</v>
      </c>
      <c r="AI736" t="s">
        <v>91</v>
      </c>
      <c r="AJ736">
        <v>0</v>
      </c>
      <c r="AK736">
        <v>0</v>
      </c>
      <c r="AL736">
        <v>0</v>
      </c>
      <c r="AM736" t="s">
        <v>91</v>
      </c>
      <c r="AN736" t="s">
        <v>91</v>
      </c>
      <c r="AO736" t="s">
        <v>91</v>
      </c>
      <c r="AP736" t="s">
        <v>91</v>
      </c>
      <c r="AQ736" s="1" t="s">
        <v>91</v>
      </c>
      <c r="AR736" s="1" t="s">
        <v>91</v>
      </c>
      <c r="AS736" s="1" t="s">
        <v>91</v>
      </c>
      <c r="AT736" s="1" t="s">
        <v>91</v>
      </c>
      <c r="AU736" s="1" t="s">
        <v>91</v>
      </c>
      <c r="AV736" t="s">
        <v>91</v>
      </c>
      <c r="AW736" t="s">
        <v>91</v>
      </c>
      <c r="AX736" t="s">
        <v>91</v>
      </c>
      <c r="AY736" t="s">
        <v>91</v>
      </c>
      <c r="AZ736" t="s">
        <v>91</v>
      </c>
      <c r="BA736" t="s">
        <v>91</v>
      </c>
      <c r="BB736" s="2"/>
      <c r="BC736" s="2"/>
      <c r="BD736" t="s">
        <v>91</v>
      </c>
      <c r="BF736" s="1" t="s">
        <v>75</v>
      </c>
      <c r="BG736">
        <v>0</v>
      </c>
      <c r="BH736">
        <v>0</v>
      </c>
      <c r="BI736" s="1" t="s">
        <v>88</v>
      </c>
      <c r="BJ736">
        <v>1</v>
      </c>
      <c r="BK736" s="1" t="s">
        <v>89</v>
      </c>
      <c r="BL736" t="s">
        <v>91</v>
      </c>
      <c r="BM736" s="1" t="s">
        <v>109</v>
      </c>
      <c r="BN736" s="1" t="s">
        <v>110</v>
      </c>
      <c r="BO736" s="1" t="s">
        <v>128</v>
      </c>
      <c r="BP736" s="1" t="s">
        <v>91</v>
      </c>
      <c r="BQ736" t="s">
        <v>91</v>
      </c>
      <c r="BR736" s="3"/>
      <c r="BS736" s="3"/>
      <c r="BT736" t="s">
        <v>91</v>
      </c>
      <c r="BU736" t="s">
        <v>91</v>
      </c>
      <c r="BW736" s="1" t="s">
        <v>90</v>
      </c>
    </row>
    <row r="737" spans="1:75" hidden="1" x14ac:dyDescent="0.35">
      <c r="A737">
        <v>157666</v>
      </c>
      <c r="B737" s="1" t="s">
        <v>75</v>
      </c>
      <c r="C737">
        <v>80</v>
      </c>
      <c r="D737">
        <v>11121002</v>
      </c>
      <c r="E737">
        <v>121002</v>
      </c>
      <c r="F737" s="1" t="s">
        <v>2915</v>
      </c>
      <c r="G737" s="1" t="s">
        <v>4287</v>
      </c>
      <c r="H737">
        <v>0</v>
      </c>
      <c r="I737" s="1" t="s">
        <v>78</v>
      </c>
      <c r="J737" s="1" t="s">
        <v>4288</v>
      </c>
      <c r="K737" s="1" t="s">
        <v>4289</v>
      </c>
      <c r="L737" t="s">
        <v>91</v>
      </c>
      <c r="M737" t="s">
        <v>91</v>
      </c>
      <c r="N737" s="1" t="s">
        <v>4290</v>
      </c>
      <c r="O737" t="s">
        <v>91</v>
      </c>
      <c r="P737" s="1" t="s">
        <v>4291</v>
      </c>
      <c r="Q737" s="1" t="s">
        <v>1899</v>
      </c>
      <c r="R737" s="1" t="s">
        <v>236</v>
      </c>
      <c r="S737">
        <v>1269</v>
      </c>
      <c r="T737">
        <v>88801055</v>
      </c>
      <c r="U737" s="1" t="s">
        <v>108</v>
      </c>
      <c r="V737" s="1" t="s">
        <v>2943</v>
      </c>
      <c r="W737" s="1" t="s">
        <v>87</v>
      </c>
      <c r="X737">
        <v>48</v>
      </c>
      <c r="Y737">
        <v>34331804</v>
      </c>
      <c r="Z737" t="s">
        <v>91</v>
      </c>
      <c r="AA737" t="s">
        <v>91</v>
      </c>
      <c r="AB737" t="s">
        <v>91</v>
      </c>
      <c r="AC737" t="s">
        <v>91</v>
      </c>
      <c r="AD737" t="s">
        <v>91</v>
      </c>
      <c r="AE737" t="s">
        <v>91</v>
      </c>
      <c r="AF737" t="s">
        <v>91</v>
      </c>
      <c r="AG737" s="1" t="s">
        <v>91</v>
      </c>
      <c r="AH737" s="1" t="s">
        <v>91</v>
      </c>
      <c r="AI737" t="s">
        <v>91</v>
      </c>
      <c r="AM737" t="s">
        <v>91</v>
      </c>
      <c r="AN737" t="s">
        <v>91</v>
      </c>
      <c r="AO737" t="s">
        <v>91</v>
      </c>
      <c r="AP737" t="s">
        <v>91</v>
      </c>
      <c r="AQ737" s="1" t="s">
        <v>91</v>
      </c>
      <c r="AR737" s="1" t="s">
        <v>91</v>
      </c>
      <c r="AS737" s="1" t="s">
        <v>91</v>
      </c>
      <c r="AT737" s="1" t="s">
        <v>91</v>
      </c>
      <c r="AU737" s="1" t="s">
        <v>91</v>
      </c>
      <c r="AV737" t="s">
        <v>91</v>
      </c>
      <c r="AW737" t="s">
        <v>91</v>
      </c>
      <c r="AX737" t="s">
        <v>91</v>
      </c>
      <c r="AY737" t="s">
        <v>91</v>
      </c>
      <c r="AZ737" t="s">
        <v>91</v>
      </c>
      <c r="BA737" t="s">
        <v>91</v>
      </c>
      <c r="BB737" s="2">
        <v>45118.097175925926</v>
      </c>
      <c r="BC737" s="2"/>
      <c r="BD737" t="s">
        <v>91</v>
      </c>
      <c r="BF737" s="1" t="s">
        <v>75</v>
      </c>
      <c r="BI737" s="1" t="s">
        <v>88</v>
      </c>
      <c r="BJ737">
        <v>1</v>
      </c>
      <c r="BK737" s="1" t="s">
        <v>89</v>
      </c>
      <c r="BL737" t="s">
        <v>91</v>
      </c>
      <c r="BM737" s="1" t="s">
        <v>91</v>
      </c>
      <c r="BN737" s="1" t="s">
        <v>91</v>
      </c>
      <c r="BO737" s="1" t="s">
        <v>91</v>
      </c>
      <c r="BP737" s="1" t="s">
        <v>91</v>
      </c>
      <c r="BQ737" t="s">
        <v>91</v>
      </c>
      <c r="BR737" s="3">
        <v>45118</v>
      </c>
      <c r="BS737" s="3"/>
      <c r="BT737" t="s">
        <v>91</v>
      </c>
      <c r="BU737" t="s">
        <v>91</v>
      </c>
      <c r="BW737" s="1" t="s">
        <v>90</v>
      </c>
    </row>
    <row r="738" spans="1:75" hidden="1" x14ac:dyDescent="0.35">
      <c r="A738">
        <v>118709</v>
      </c>
      <c r="B738" s="1" t="s">
        <v>75</v>
      </c>
      <c r="C738">
        <v>80</v>
      </c>
      <c r="D738">
        <v>11121002</v>
      </c>
      <c r="E738">
        <v>121002</v>
      </c>
      <c r="F738" s="1" t="s">
        <v>2915</v>
      </c>
      <c r="G738" s="1" t="s">
        <v>4292</v>
      </c>
      <c r="I738" s="1" t="s">
        <v>78</v>
      </c>
      <c r="J738" s="1" t="s">
        <v>4293</v>
      </c>
      <c r="K738" s="1" t="s">
        <v>4294</v>
      </c>
      <c r="L738" t="s">
        <v>91</v>
      </c>
      <c r="M738" t="s">
        <v>91</v>
      </c>
      <c r="N738" s="1" t="s">
        <v>4295</v>
      </c>
      <c r="O738" t="s">
        <v>91</v>
      </c>
      <c r="P738" s="1" t="s">
        <v>946</v>
      </c>
      <c r="Q738" s="1" t="s">
        <v>2814</v>
      </c>
      <c r="R738" s="1" t="s">
        <v>91</v>
      </c>
      <c r="S738">
        <v>1259</v>
      </c>
      <c r="T738">
        <v>88130100</v>
      </c>
      <c r="U738" s="1" t="s">
        <v>108</v>
      </c>
      <c r="V738" s="1" t="s">
        <v>3165</v>
      </c>
      <c r="W738" s="1" t="s">
        <v>87</v>
      </c>
      <c r="X738">
        <v>48</v>
      </c>
      <c r="Y738">
        <v>32576892</v>
      </c>
      <c r="Z738" t="s">
        <v>91</v>
      </c>
      <c r="AA738" t="s">
        <v>91</v>
      </c>
      <c r="AB738" t="s">
        <v>91</v>
      </c>
      <c r="AC738" t="s">
        <v>91</v>
      </c>
      <c r="AD738" t="s">
        <v>91</v>
      </c>
      <c r="AE738" t="s">
        <v>91</v>
      </c>
      <c r="AF738" t="s">
        <v>91</v>
      </c>
      <c r="AG738" s="1" t="s">
        <v>91</v>
      </c>
      <c r="AH738" s="1" t="s">
        <v>91</v>
      </c>
      <c r="AI738" t="s">
        <v>91</v>
      </c>
      <c r="AJ738">
        <v>0</v>
      </c>
      <c r="AK738">
        <v>0</v>
      </c>
      <c r="AL738">
        <v>0</v>
      </c>
      <c r="AM738" t="s">
        <v>91</v>
      </c>
      <c r="AN738" t="s">
        <v>91</v>
      </c>
      <c r="AO738" t="s">
        <v>91</v>
      </c>
      <c r="AP738" t="s">
        <v>91</v>
      </c>
      <c r="AQ738" s="1" t="s">
        <v>91</v>
      </c>
      <c r="AR738" s="1" t="s">
        <v>91</v>
      </c>
      <c r="AS738" s="1" t="s">
        <v>91</v>
      </c>
      <c r="AT738" s="1" t="s">
        <v>91</v>
      </c>
      <c r="AU738" s="1" t="s">
        <v>91</v>
      </c>
      <c r="AV738" t="s">
        <v>91</v>
      </c>
      <c r="AW738" t="s">
        <v>91</v>
      </c>
      <c r="AX738" t="s">
        <v>91</v>
      </c>
      <c r="AY738" t="s">
        <v>91</v>
      </c>
      <c r="AZ738" t="s">
        <v>91</v>
      </c>
      <c r="BA738" t="s">
        <v>91</v>
      </c>
      <c r="BB738" s="2"/>
      <c r="BC738" s="2"/>
      <c r="BD738" t="s">
        <v>91</v>
      </c>
      <c r="BF738" s="1" t="s">
        <v>75</v>
      </c>
      <c r="BG738">
        <v>0</v>
      </c>
      <c r="BH738">
        <v>0</v>
      </c>
      <c r="BI738" s="1" t="s">
        <v>88</v>
      </c>
      <c r="BJ738">
        <v>1</v>
      </c>
      <c r="BK738" s="1" t="s">
        <v>89</v>
      </c>
      <c r="BL738" t="s">
        <v>91</v>
      </c>
      <c r="BM738" s="1" t="s">
        <v>109</v>
      </c>
      <c r="BN738" s="1" t="s">
        <v>110</v>
      </c>
      <c r="BO738" s="1" t="s">
        <v>180</v>
      </c>
      <c r="BP738" s="1" t="s">
        <v>91</v>
      </c>
      <c r="BQ738" t="s">
        <v>91</v>
      </c>
      <c r="BR738" s="3"/>
      <c r="BS738" s="3"/>
      <c r="BT738" t="s">
        <v>91</v>
      </c>
      <c r="BU738" t="s">
        <v>91</v>
      </c>
      <c r="BV738">
        <v>9</v>
      </c>
      <c r="BW738" s="1" t="s">
        <v>90</v>
      </c>
    </row>
    <row r="739" spans="1:75" hidden="1" x14ac:dyDescent="0.35">
      <c r="A739">
        <v>157728</v>
      </c>
      <c r="B739" s="1" t="s">
        <v>75</v>
      </c>
      <c r="C739">
        <v>80</v>
      </c>
      <c r="D739">
        <v>11121002</v>
      </c>
      <c r="E739">
        <v>121002</v>
      </c>
      <c r="F739" s="1" t="s">
        <v>2915</v>
      </c>
      <c r="G739" s="1" t="s">
        <v>4296</v>
      </c>
      <c r="H739">
        <v>0</v>
      </c>
      <c r="I739" s="1" t="s">
        <v>78</v>
      </c>
      <c r="J739" s="1" t="s">
        <v>4293</v>
      </c>
      <c r="K739" s="1" t="s">
        <v>4297</v>
      </c>
      <c r="L739" t="s">
        <v>91</v>
      </c>
      <c r="M739" t="s">
        <v>91</v>
      </c>
      <c r="N739" s="1" t="s">
        <v>91</v>
      </c>
      <c r="O739" t="s">
        <v>91</v>
      </c>
      <c r="P739" s="1" t="s">
        <v>311</v>
      </c>
      <c r="Q739" s="1" t="s">
        <v>3064</v>
      </c>
      <c r="R739" s="1" t="s">
        <v>4088</v>
      </c>
      <c r="S739">
        <v>1254</v>
      </c>
      <c r="T739">
        <v>88010000</v>
      </c>
      <c r="U739" s="1" t="s">
        <v>108</v>
      </c>
      <c r="V739" s="1" t="s">
        <v>2922</v>
      </c>
      <c r="W739" s="1" t="s">
        <v>87</v>
      </c>
      <c r="X739">
        <v>48</v>
      </c>
      <c r="Y739">
        <v>32228680</v>
      </c>
      <c r="Z739" t="s">
        <v>91</v>
      </c>
      <c r="AA739" t="s">
        <v>91</v>
      </c>
      <c r="AB739" t="s">
        <v>91</v>
      </c>
      <c r="AC739" t="s">
        <v>91</v>
      </c>
      <c r="AD739" t="s">
        <v>91</v>
      </c>
      <c r="AE739" t="s">
        <v>91</v>
      </c>
      <c r="AF739" t="s">
        <v>91</v>
      </c>
      <c r="AG739" s="1" t="s">
        <v>91</v>
      </c>
      <c r="AH739" s="1" t="s">
        <v>91</v>
      </c>
      <c r="AI739" t="s">
        <v>91</v>
      </c>
      <c r="AM739" t="s">
        <v>91</v>
      </c>
      <c r="AN739" t="s">
        <v>91</v>
      </c>
      <c r="AO739" t="s">
        <v>91</v>
      </c>
      <c r="AP739" t="s">
        <v>91</v>
      </c>
      <c r="AQ739" s="1" t="s">
        <v>91</v>
      </c>
      <c r="AR739" s="1" t="s">
        <v>91</v>
      </c>
      <c r="AS739" s="1" t="s">
        <v>91</v>
      </c>
      <c r="AT739" s="1" t="s">
        <v>91</v>
      </c>
      <c r="AU739" s="1" t="s">
        <v>91</v>
      </c>
      <c r="AV739" t="s">
        <v>91</v>
      </c>
      <c r="AW739" t="s">
        <v>91</v>
      </c>
      <c r="AX739" t="s">
        <v>91</v>
      </c>
      <c r="AY739" t="s">
        <v>91</v>
      </c>
      <c r="AZ739" t="s">
        <v>91</v>
      </c>
      <c r="BA739" t="s">
        <v>91</v>
      </c>
      <c r="BB739" s="2">
        <v>45118.097175925926</v>
      </c>
      <c r="BC739" s="2"/>
      <c r="BD739" t="s">
        <v>91</v>
      </c>
      <c r="BF739" s="1" t="s">
        <v>75</v>
      </c>
      <c r="BI739" s="1" t="s">
        <v>88</v>
      </c>
      <c r="BJ739">
        <v>1</v>
      </c>
      <c r="BK739" s="1" t="s">
        <v>89</v>
      </c>
      <c r="BL739" t="s">
        <v>91</v>
      </c>
      <c r="BM739" s="1" t="s">
        <v>91</v>
      </c>
      <c r="BN739" s="1" t="s">
        <v>91</v>
      </c>
      <c r="BO739" s="1" t="s">
        <v>91</v>
      </c>
      <c r="BP739" s="1" t="s">
        <v>91</v>
      </c>
      <c r="BQ739" t="s">
        <v>91</v>
      </c>
      <c r="BR739" s="3">
        <v>45118</v>
      </c>
      <c r="BS739" s="3"/>
      <c r="BT739" t="s">
        <v>91</v>
      </c>
      <c r="BU739" t="s">
        <v>91</v>
      </c>
      <c r="BW739" s="1" t="s">
        <v>90</v>
      </c>
    </row>
    <row r="740" spans="1:75" hidden="1" x14ac:dyDescent="0.35">
      <c r="A740">
        <v>157723</v>
      </c>
      <c r="B740" s="1" t="s">
        <v>75</v>
      </c>
      <c r="C740">
        <v>80</v>
      </c>
      <c r="D740">
        <v>11121002</v>
      </c>
      <c r="E740">
        <v>121002</v>
      </c>
      <c r="F740" s="1" t="s">
        <v>2915</v>
      </c>
      <c r="G740" s="1" t="s">
        <v>4298</v>
      </c>
      <c r="H740">
        <v>0</v>
      </c>
      <c r="I740" s="1" t="s">
        <v>78</v>
      </c>
      <c r="J740" s="1" t="s">
        <v>4293</v>
      </c>
      <c r="K740" s="1" t="s">
        <v>4299</v>
      </c>
      <c r="L740" t="s">
        <v>91</v>
      </c>
      <c r="M740" t="s">
        <v>91</v>
      </c>
      <c r="N740" s="1" t="s">
        <v>4300</v>
      </c>
      <c r="O740" t="s">
        <v>91</v>
      </c>
      <c r="P740" s="1" t="s">
        <v>311</v>
      </c>
      <c r="Q740" s="1" t="s">
        <v>3064</v>
      </c>
      <c r="R740" s="1" t="s">
        <v>4301</v>
      </c>
      <c r="S740">
        <v>1254</v>
      </c>
      <c r="T740">
        <v>88010000</v>
      </c>
      <c r="U740" s="1" t="s">
        <v>108</v>
      </c>
      <c r="V740" s="1" t="s">
        <v>2922</v>
      </c>
      <c r="W740" s="1" t="s">
        <v>87</v>
      </c>
      <c r="X740">
        <v>48</v>
      </c>
      <c r="Y740">
        <v>32228680</v>
      </c>
      <c r="Z740" t="s">
        <v>91</v>
      </c>
      <c r="AA740" t="s">
        <v>91</v>
      </c>
      <c r="AB740" t="s">
        <v>91</v>
      </c>
      <c r="AC740" t="s">
        <v>91</v>
      </c>
      <c r="AD740" t="s">
        <v>91</v>
      </c>
      <c r="AE740" t="s">
        <v>91</v>
      </c>
      <c r="AF740" t="s">
        <v>91</v>
      </c>
      <c r="AG740" s="1" t="s">
        <v>91</v>
      </c>
      <c r="AH740" s="1" t="s">
        <v>91</v>
      </c>
      <c r="AI740" t="s">
        <v>91</v>
      </c>
      <c r="AM740" t="s">
        <v>91</v>
      </c>
      <c r="AN740" t="s">
        <v>91</v>
      </c>
      <c r="AO740" t="s">
        <v>91</v>
      </c>
      <c r="AP740" t="s">
        <v>91</v>
      </c>
      <c r="AQ740" s="1" t="s">
        <v>91</v>
      </c>
      <c r="AR740" s="1" t="s">
        <v>91</v>
      </c>
      <c r="AS740" s="1" t="s">
        <v>91</v>
      </c>
      <c r="AT740" s="1" t="s">
        <v>91</v>
      </c>
      <c r="AU740" s="1" t="s">
        <v>91</v>
      </c>
      <c r="AV740" t="s">
        <v>91</v>
      </c>
      <c r="AW740" t="s">
        <v>91</v>
      </c>
      <c r="AX740" t="s">
        <v>91</v>
      </c>
      <c r="AY740" t="s">
        <v>91</v>
      </c>
      <c r="AZ740" t="s">
        <v>91</v>
      </c>
      <c r="BA740" t="s">
        <v>91</v>
      </c>
      <c r="BB740" s="2">
        <v>45118.097175925926</v>
      </c>
      <c r="BC740" s="2"/>
      <c r="BD740" t="s">
        <v>91</v>
      </c>
      <c r="BF740" s="1" t="s">
        <v>75</v>
      </c>
      <c r="BI740" s="1" t="s">
        <v>88</v>
      </c>
      <c r="BJ740">
        <v>1</v>
      </c>
      <c r="BK740" s="1" t="s">
        <v>89</v>
      </c>
      <c r="BL740" t="s">
        <v>91</v>
      </c>
      <c r="BM740" s="1" t="s">
        <v>91</v>
      </c>
      <c r="BN740" s="1" t="s">
        <v>91</v>
      </c>
      <c r="BO740" s="1" t="s">
        <v>91</v>
      </c>
      <c r="BP740" s="1" t="s">
        <v>91</v>
      </c>
      <c r="BQ740" t="s">
        <v>91</v>
      </c>
      <c r="BR740" s="3">
        <v>45118</v>
      </c>
      <c r="BS740" s="3"/>
      <c r="BT740" t="s">
        <v>91</v>
      </c>
      <c r="BU740" t="s">
        <v>91</v>
      </c>
      <c r="BW740" s="1" t="s">
        <v>90</v>
      </c>
    </row>
    <row r="741" spans="1:75" hidden="1" x14ac:dyDescent="0.35">
      <c r="A741">
        <v>141566</v>
      </c>
      <c r="B741" s="1" t="s">
        <v>75</v>
      </c>
      <c r="C741">
        <v>80</v>
      </c>
      <c r="D741">
        <v>11121002</v>
      </c>
      <c r="E741">
        <v>121002</v>
      </c>
      <c r="F741" s="1" t="s">
        <v>2915</v>
      </c>
      <c r="G741" s="1" t="s">
        <v>4302</v>
      </c>
      <c r="H741">
        <v>0</v>
      </c>
      <c r="I741" s="1" t="s">
        <v>78</v>
      </c>
      <c r="J741" s="1" t="s">
        <v>4303</v>
      </c>
      <c r="K741" s="1" t="s">
        <v>4304</v>
      </c>
      <c r="L741" t="s">
        <v>91</v>
      </c>
      <c r="M741" t="s">
        <v>91</v>
      </c>
      <c r="N741" s="1" t="s">
        <v>4305</v>
      </c>
      <c r="O741" t="s">
        <v>91</v>
      </c>
      <c r="P741" s="1" t="s">
        <v>4306</v>
      </c>
      <c r="Q741" s="1" t="s">
        <v>1319</v>
      </c>
      <c r="R741" s="1" t="s">
        <v>91</v>
      </c>
      <c r="S741">
        <v>1254</v>
      </c>
      <c r="T741">
        <v>88010500</v>
      </c>
      <c r="U741" s="1" t="s">
        <v>108</v>
      </c>
      <c r="V741" s="1" t="s">
        <v>3102</v>
      </c>
      <c r="W741" s="1" t="s">
        <v>87</v>
      </c>
      <c r="X741">
        <v>48</v>
      </c>
      <c r="Y741">
        <v>999916320</v>
      </c>
      <c r="Z741" t="s">
        <v>91</v>
      </c>
      <c r="AA741" t="s">
        <v>91</v>
      </c>
      <c r="AB741" t="s">
        <v>91</v>
      </c>
      <c r="AC741" t="s">
        <v>91</v>
      </c>
      <c r="AD741" t="s">
        <v>91</v>
      </c>
      <c r="AE741" t="s">
        <v>91</v>
      </c>
      <c r="AF741" t="s">
        <v>91</v>
      </c>
      <c r="AG741" s="1" t="s">
        <v>146</v>
      </c>
      <c r="AH741" s="1" t="s">
        <v>91</v>
      </c>
      <c r="AI741" t="s">
        <v>91</v>
      </c>
      <c r="AM741" t="s">
        <v>91</v>
      </c>
      <c r="AN741" t="s">
        <v>91</v>
      </c>
      <c r="AO741" t="s">
        <v>91</v>
      </c>
      <c r="AP741" t="s">
        <v>91</v>
      </c>
      <c r="AQ741" s="1" t="s">
        <v>147</v>
      </c>
      <c r="AR741" s="1" t="s">
        <v>147</v>
      </c>
      <c r="AS741" s="1" t="s">
        <v>147</v>
      </c>
      <c r="AT741" s="1" t="s">
        <v>147</v>
      </c>
      <c r="AU741" s="1" t="s">
        <v>147</v>
      </c>
      <c r="AV741" t="s">
        <v>91</v>
      </c>
      <c r="AW741" t="s">
        <v>91</v>
      </c>
      <c r="AX741" t="s">
        <v>91</v>
      </c>
      <c r="AY741" t="s">
        <v>91</v>
      </c>
      <c r="AZ741" t="s">
        <v>91</v>
      </c>
      <c r="BA741" t="s">
        <v>91</v>
      </c>
      <c r="BB741" s="2">
        <v>44480.621527777781</v>
      </c>
      <c r="BC741" s="2">
        <v>44628.695798611108</v>
      </c>
      <c r="BD741" t="s">
        <v>91</v>
      </c>
      <c r="BF741" s="1" t="s">
        <v>75</v>
      </c>
      <c r="BH741">
        <v>0</v>
      </c>
      <c r="BI741" s="1" t="s">
        <v>88</v>
      </c>
      <c r="BJ741">
        <v>1</v>
      </c>
      <c r="BK741" s="1" t="s">
        <v>89</v>
      </c>
      <c r="BL741" t="s">
        <v>91</v>
      </c>
      <c r="BM741" s="1" t="s">
        <v>91</v>
      </c>
      <c r="BN741" s="1" t="s">
        <v>91</v>
      </c>
      <c r="BO741" s="1" t="s">
        <v>128</v>
      </c>
      <c r="BP741" s="1" t="s">
        <v>91</v>
      </c>
      <c r="BQ741" t="s">
        <v>91</v>
      </c>
      <c r="BR741" s="3">
        <v>44480</v>
      </c>
      <c r="BS741" s="3">
        <v>44628</v>
      </c>
      <c r="BT741" t="s">
        <v>91</v>
      </c>
      <c r="BU741" t="s">
        <v>91</v>
      </c>
      <c r="BW741" s="1" t="s">
        <v>776</v>
      </c>
    </row>
    <row r="742" spans="1:75" hidden="1" x14ac:dyDescent="0.35">
      <c r="A742">
        <v>157607</v>
      </c>
      <c r="B742" s="1" t="s">
        <v>75</v>
      </c>
      <c r="C742">
        <v>80</v>
      </c>
      <c r="D742">
        <v>11121002</v>
      </c>
      <c r="E742">
        <v>121002</v>
      </c>
      <c r="F742" s="1" t="s">
        <v>2915</v>
      </c>
      <c r="G742" s="1" t="s">
        <v>4307</v>
      </c>
      <c r="H742">
        <v>0</v>
      </c>
      <c r="I742" s="1" t="s">
        <v>78</v>
      </c>
      <c r="J742" s="1" t="s">
        <v>4308</v>
      </c>
      <c r="K742" s="1" t="s">
        <v>4309</v>
      </c>
      <c r="L742" t="s">
        <v>91</v>
      </c>
      <c r="M742" t="s">
        <v>91</v>
      </c>
      <c r="N742" s="1" t="s">
        <v>4310</v>
      </c>
      <c r="O742" t="s">
        <v>91</v>
      </c>
      <c r="P742" s="1" t="s">
        <v>4311</v>
      </c>
      <c r="Q742" s="1" t="s">
        <v>2300</v>
      </c>
      <c r="R742" s="1" t="s">
        <v>3486</v>
      </c>
      <c r="S742">
        <v>1259</v>
      </c>
      <c r="T742">
        <v>88117900</v>
      </c>
      <c r="U742" s="1" t="s">
        <v>2957</v>
      </c>
      <c r="V742" s="1" t="s">
        <v>2958</v>
      </c>
      <c r="W742" s="1" t="s">
        <v>87</v>
      </c>
      <c r="X742">
        <v>48</v>
      </c>
      <c r="Y742">
        <v>30352477</v>
      </c>
      <c r="Z742" t="s">
        <v>91</v>
      </c>
      <c r="AA742" t="s">
        <v>91</v>
      </c>
      <c r="AB742" t="s">
        <v>91</v>
      </c>
      <c r="AC742" t="s">
        <v>91</v>
      </c>
      <c r="AD742" t="s">
        <v>91</v>
      </c>
      <c r="AE742" t="s">
        <v>91</v>
      </c>
      <c r="AF742" t="s">
        <v>91</v>
      </c>
      <c r="AG742" s="1" t="s">
        <v>91</v>
      </c>
      <c r="AH742" s="1" t="s">
        <v>91</v>
      </c>
      <c r="AI742" t="s">
        <v>91</v>
      </c>
      <c r="AM742" t="s">
        <v>91</v>
      </c>
      <c r="AN742" t="s">
        <v>91</v>
      </c>
      <c r="AO742" t="s">
        <v>91</v>
      </c>
      <c r="AP742" t="s">
        <v>91</v>
      </c>
      <c r="AQ742" s="1" t="s">
        <v>91</v>
      </c>
      <c r="AR742" s="1" t="s">
        <v>91</v>
      </c>
      <c r="AS742" s="1" t="s">
        <v>91</v>
      </c>
      <c r="AT742" s="1" t="s">
        <v>91</v>
      </c>
      <c r="AU742" s="1" t="s">
        <v>91</v>
      </c>
      <c r="AV742" t="s">
        <v>91</v>
      </c>
      <c r="AW742" t="s">
        <v>91</v>
      </c>
      <c r="AX742" t="s">
        <v>91</v>
      </c>
      <c r="AY742" t="s">
        <v>91</v>
      </c>
      <c r="AZ742" t="s">
        <v>91</v>
      </c>
      <c r="BA742" t="s">
        <v>91</v>
      </c>
      <c r="BB742" s="2">
        <v>45118.097175925926</v>
      </c>
      <c r="BC742" s="2"/>
      <c r="BD742" t="s">
        <v>91</v>
      </c>
      <c r="BF742" s="1" t="s">
        <v>75</v>
      </c>
      <c r="BI742" s="1" t="s">
        <v>88</v>
      </c>
      <c r="BJ742">
        <v>1</v>
      </c>
      <c r="BK742" s="1" t="s">
        <v>89</v>
      </c>
      <c r="BL742" t="s">
        <v>91</v>
      </c>
      <c r="BM742" s="1" t="s">
        <v>91</v>
      </c>
      <c r="BN742" s="1" t="s">
        <v>91</v>
      </c>
      <c r="BO742" s="1" t="s">
        <v>91</v>
      </c>
      <c r="BP742" s="1" t="s">
        <v>91</v>
      </c>
      <c r="BQ742" t="s">
        <v>91</v>
      </c>
      <c r="BR742" s="3">
        <v>45118</v>
      </c>
      <c r="BS742" s="3"/>
      <c r="BT742" t="s">
        <v>91</v>
      </c>
      <c r="BU742" t="s">
        <v>91</v>
      </c>
      <c r="BW742" s="1" t="s">
        <v>90</v>
      </c>
    </row>
    <row r="743" spans="1:75" hidden="1" x14ac:dyDescent="0.35">
      <c r="A743">
        <v>144789</v>
      </c>
      <c r="B743" s="1" t="s">
        <v>75</v>
      </c>
      <c r="C743">
        <v>80</v>
      </c>
      <c r="D743">
        <v>11121002</v>
      </c>
      <c r="E743">
        <v>121002</v>
      </c>
      <c r="F743" s="1" t="s">
        <v>2915</v>
      </c>
      <c r="G743" s="1" t="s">
        <v>4312</v>
      </c>
      <c r="I743" s="1" t="s">
        <v>78</v>
      </c>
      <c r="J743" s="1" t="s">
        <v>4313</v>
      </c>
      <c r="K743" s="1" t="s">
        <v>4314</v>
      </c>
      <c r="L743" t="s">
        <v>91</v>
      </c>
      <c r="M743" t="s">
        <v>91</v>
      </c>
      <c r="N743" s="1" t="s">
        <v>3992</v>
      </c>
      <c r="O743" t="s">
        <v>91</v>
      </c>
      <c r="P743" s="1" t="s">
        <v>2204</v>
      </c>
      <c r="Q743" s="1" t="s">
        <v>4315</v>
      </c>
      <c r="R743" s="1" t="s">
        <v>236</v>
      </c>
      <c r="S743">
        <v>1268</v>
      </c>
      <c r="T743">
        <v>88701100</v>
      </c>
      <c r="U743" s="1" t="s">
        <v>108</v>
      </c>
      <c r="V743" s="1" t="s">
        <v>3059</v>
      </c>
      <c r="W743" s="1" t="s">
        <v>87</v>
      </c>
      <c r="X743">
        <v>48</v>
      </c>
      <c r="Y743">
        <v>30533556</v>
      </c>
      <c r="Z743" t="s">
        <v>91</v>
      </c>
      <c r="AA743" t="s">
        <v>91</v>
      </c>
      <c r="AB743" t="s">
        <v>91</v>
      </c>
      <c r="AC743" t="s">
        <v>91</v>
      </c>
      <c r="AD743" t="s">
        <v>91</v>
      </c>
      <c r="AE743" t="s">
        <v>91</v>
      </c>
      <c r="AF743" t="s">
        <v>91</v>
      </c>
      <c r="AG743" s="1" t="s">
        <v>91</v>
      </c>
      <c r="AH743" s="1" t="s">
        <v>91</v>
      </c>
      <c r="AI743" t="s">
        <v>91</v>
      </c>
      <c r="AJ743">
        <v>0</v>
      </c>
      <c r="AK743">
        <v>0</v>
      </c>
      <c r="AL743">
        <v>0</v>
      </c>
      <c r="AM743" t="s">
        <v>91</v>
      </c>
      <c r="AN743" t="s">
        <v>91</v>
      </c>
      <c r="AO743" t="s">
        <v>91</v>
      </c>
      <c r="AP743" t="s">
        <v>91</v>
      </c>
      <c r="AQ743" s="1" t="s">
        <v>91</v>
      </c>
      <c r="AR743" s="1" t="s">
        <v>91</v>
      </c>
      <c r="AS743" s="1" t="s">
        <v>91</v>
      </c>
      <c r="AT743" s="1" t="s">
        <v>91</v>
      </c>
      <c r="AU743" s="1" t="s">
        <v>91</v>
      </c>
      <c r="AV743" t="s">
        <v>91</v>
      </c>
      <c r="AW743" t="s">
        <v>91</v>
      </c>
      <c r="AX743" t="s">
        <v>91</v>
      </c>
      <c r="AY743" t="s">
        <v>91</v>
      </c>
      <c r="AZ743" t="s">
        <v>91</v>
      </c>
      <c r="BA743" t="s">
        <v>91</v>
      </c>
      <c r="BB743" s="2"/>
      <c r="BC743" s="2"/>
      <c r="BD743" t="s">
        <v>91</v>
      </c>
      <c r="BF743" s="1" t="s">
        <v>75</v>
      </c>
      <c r="BG743">
        <v>0</v>
      </c>
      <c r="BH743">
        <v>0</v>
      </c>
      <c r="BI743" s="1" t="s">
        <v>88</v>
      </c>
      <c r="BJ743">
        <v>1</v>
      </c>
      <c r="BK743" s="1" t="s">
        <v>89</v>
      </c>
      <c r="BL743" t="s">
        <v>91</v>
      </c>
      <c r="BM743" s="1" t="s">
        <v>197</v>
      </c>
      <c r="BN743" s="1" t="s">
        <v>110</v>
      </c>
      <c r="BO743" s="1" t="s">
        <v>165</v>
      </c>
      <c r="BP743" s="1" t="s">
        <v>91</v>
      </c>
      <c r="BQ743" t="s">
        <v>91</v>
      </c>
      <c r="BR743" s="3"/>
      <c r="BS743" s="3"/>
      <c r="BT743" t="s">
        <v>91</v>
      </c>
      <c r="BU743" t="s">
        <v>91</v>
      </c>
      <c r="BV743">
        <v>3</v>
      </c>
      <c r="BW743" s="1" t="s">
        <v>4316</v>
      </c>
    </row>
    <row r="744" spans="1:75" hidden="1" x14ac:dyDescent="0.35">
      <c r="A744">
        <v>144335</v>
      </c>
      <c r="B744" s="1" t="s">
        <v>75</v>
      </c>
      <c r="C744">
        <v>80</v>
      </c>
      <c r="D744">
        <v>11121002</v>
      </c>
      <c r="E744">
        <v>121002</v>
      </c>
      <c r="F744" s="1" t="s">
        <v>2915</v>
      </c>
      <c r="G744" s="1" t="s">
        <v>4317</v>
      </c>
      <c r="I744" s="1" t="s">
        <v>78</v>
      </c>
      <c r="J744" s="1" t="s">
        <v>4318</v>
      </c>
      <c r="K744" s="1" t="s">
        <v>4319</v>
      </c>
      <c r="L744" t="s">
        <v>91</v>
      </c>
      <c r="M744" t="s">
        <v>91</v>
      </c>
      <c r="N744" s="1" t="s">
        <v>4320</v>
      </c>
      <c r="O744" t="s">
        <v>91</v>
      </c>
      <c r="P744" s="1" t="s">
        <v>4321</v>
      </c>
      <c r="Q744" s="1" t="s">
        <v>728</v>
      </c>
      <c r="R744" s="1" t="s">
        <v>370</v>
      </c>
      <c r="S744">
        <v>1269</v>
      </c>
      <c r="T744">
        <v>88850000</v>
      </c>
      <c r="U744" s="1" t="s">
        <v>108</v>
      </c>
      <c r="V744" s="1" t="s">
        <v>2987</v>
      </c>
      <c r="W744" s="1" t="s">
        <v>87</v>
      </c>
      <c r="X744">
        <v>48</v>
      </c>
      <c r="Y744">
        <v>34631243</v>
      </c>
      <c r="Z744" t="s">
        <v>91</v>
      </c>
      <c r="AA744" t="s">
        <v>91</v>
      </c>
      <c r="AB744" t="s">
        <v>91</v>
      </c>
      <c r="AC744" t="s">
        <v>91</v>
      </c>
      <c r="AD744" t="s">
        <v>91</v>
      </c>
      <c r="AE744" t="s">
        <v>91</v>
      </c>
      <c r="AF744" t="s">
        <v>91</v>
      </c>
      <c r="AG744" s="1" t="s">
        <v>91</v>
      </c>
      <c r="AH744" s="1" t="s">
        <v>91</v>
      </c>
      <c r="AI744" t="s">
        <v>91</v>
      </c>
      <c r="AJ744">
        <v>0</v>
      </c>
      <c r="AK744">
        <v>0</v>
      </c>
      <c r="AL744">
        <v>0</v>
      </c>
      <c r="AM744" t="s">
        <v>91</v>
      </c>
      <c r="AN744" t="s">
        <v>91</v>
      </c>
      <c r="AO744" t="s">
        <v>91</v>
      </c>
      <c r="AP744" t="s">
        <v>91</v>
      </c>
      <c r="AQ744" s="1" t="s">
        <v>91</v>
      </c>
      <c r="AR744" s="1" t="s">
        <v>91</v>
      </c>
      <c r="AS744" s="1" t="s">
        <v>91</v>
      </c>
      <c r="AT744" s="1" t="s">
        <v>91</v>
      </c>
      <c r="AU744" s="1" t="s">
        <v>91</v>
      </c>
      <c r="AV744" t="s">
        <v>91</v>
      </c>
      <c r="AW744" t="s">
        <v>91</v>
      </c>
      <c r="AX744" t="s">
        <v>91</v>
      </c>
      <c r="AY744" t="s">
        <v>91</v>
      </c>
      <c r="AZ744" t="s">
        <v>91</v>
      </c>
      <c r="BA744" t="s">
        <v>91</v>
      </c>
      <c r="BB744" s="2"/>
      <c r="BC744" s="2"/>
      <c r="BD744" t="s">
        <v>91</v>
      </c>
      <c r="BF744" s="1" t="s">
        <v>75</v>
      </c>
      <c r="BG744">
        <v>0</v>
      </c>
      <c r="BH744">
        <v>0</v>
      </c>
      <c r="BI744" s="1" t="s">
        <v>88</v>
      </c>
      <c r="BJ744">
        <v>1</v>
      </c>
      <c r="BK744" s="1" t="s">
        <v>89</v>
      </c>
      <c r="BL744" t="s">
        <v>91</v>
      </c>
      <c r="BM744" s="1" t="s">
        <v>109</v>
      </c>
      <c r="BN744" s="1" t="s">
        <v>110</v>
      </c>
      <c r="BO744" s="1" t="s">
        <v>111</v>
      </c>
      <c r="BP744" s="1" t="s">
        <v>91</v>
      </c>
      <c r="BQ744" t="s">
        <v>91</v>
      </c>
      <c r="BR744" s="3"/>
      <c r="BS744" s="3"/>
      <c r="BT744" t="s">
        <v>91</v>
      </c>
      <c r="BU744" t="s">
        <v>91</v>
      </c>
      <c r="BV744">
        <v>9</v>
      </c>
      <c r="BW744" s="1" t="s">
        <v>540</v>
      </c>
    </row>
    <row r="745" spans="1:75" hidden="1" x14ac:dyDescent="0.35">
      <c r="A745">
        <v>144514</v>
      </c>
      <c r="B745" s="1" t="s">
        <v>75</v>
      </c>
      <c r="C745">
        <v>80</v>
      </c>
      <c r="D745">
        <v>11121002</v>
      </c>
      <c r="E745">
        <v>121002</v>
      </c>
      <c r="F745" s="1" t="s">
        <v>2915</v>
      </c>
      <c r="G745" s="1" t="s">
        <v>4322</v>
      </c>
      <c r="I745" s="1" t="s">
        <v>78</v>
      </c>
      <c r="J745" s="1" t="s">
        <v>4323</v>
      </c>
      <c r="K745" s="1" t="s">
        <v>4324</v>
      </c>
      <c r="L745" t="s">
        <v>91</v>
      </c>
      <c r="M745" t="s">
        <v>91</v>
      </c>
      <c r="N745" s="1" t="s">
        <v>4325</v>
      </c>
      <c r="O745" t="s">
        <v>91</v>
      </c>
      <c r="P745" s="1" t="s">
        <v>4326</v>
      </c>
      <c r="Q745" s="1" t="s">
        <v>4327</v>
      </c>
      <c r="R745" s="1" t="s">
        <v>370</v>
      </c>
      <c r="S745">
        <v>1268</v>
      </c>
      <c r="T745">
        <v>88790000</v>
      </c>
      <c r="U745" s="1" t="s">
        <v>108</v>
      </c>
      <c r="V745" s="1" t="s">
        <v>2971</v>
      </c>
      <c r="W745" s="1" t="s">
        <v>87</v>
      </c>
      <c r="X745">
        <v>48</v>
      </c>
      <c r="Y745">
        <v>36462922</v>
      </c>
      <c r="Z745" t="s">
        <v>91</v>
      </c>
      <c r="AA745" t="s">
        <v>91</v>
      </c>
      <c r="AB745" t="s">
        <v>91</v>
      </c>
      <c r="AC745" t="s">
        <v>91</v>
      </c>
      <c r="AD745" t="s">
        <v>91</v>
      </c>
      <c r="AE745" t="s">
        <v>91</v>
      </c>
      <c r="AF745" t="s">
        <v>91</v>
      </c>
      <c r="AG745" s="1" t="s">
        <v>91</v>
      </c>
      <c r="AH745" s="1" t="s">
        <v>91</v>
      </c>
      <c r="AI745" t="s">
        <v>91</v>
      </c>
      <c r="AJ745">
        <v>0</v>
      </c>
      <c r="AK745">
        <v>0</v>
      </c>
      <c r="AL745">
        <v>0</v>
      </c>
      <c r="AM745" t="s">
        <v>91</v>
      </c>
      <c r="AN745" t="s">
        <v>91</v>
      </c>
      <c r="AO745" t="s">
        <v>91</v>
      </c>
      <c r="AP745" t="s">
        <v>91</v>
      </c>
      <c r="AQ745" s="1" t="s">
        <v>91</v>
      </c>
      <c r="AR745" s="1" t="s">
        <v>91</v>
      </c>
      <c r="AS745" s="1" t="s">
        <v>91</v>
      </c>
      <c r="AT745" s="1" t="s">
        <v>91</v>
      </c>
      <c r="AU745" s="1" t="s">
        <v>91</v>
      </c>
      <c r="AV745" t="s">
        <v>91</v>
      </c>
      <c r="AW745" t="s">
        <v>91</v>
      </c>
      <c r="AX745" t="s">
        <v>91</v>
      </c>
      <c r="AY745" t="s">
        <v>91</v>
      </c>
      <c r="AZ745" t="s">
        <v>91</v>
      </c>
      <c r="BA745" t="s">
        <v>91</v>
      </c>
      <c r="BB745" s="2"/>
      <c r="BC745" s="2"/>
      <c r="BD745" t="s">
        <v>91</v>
      </c>
      <c r="BF745" s="1" t="s">
        <v>75</v>
      </c>
      <c r="BG745">
        <v>0</v>
      </c>
      <c r="BH745">
        <v>0</v>
      </c>
      <c r="BI745" s="1" t="s">
        <v>88</v>
      </c>
      <c r="BJ745">
        <v>1</v>
      </c>
      <c r="BK745" s="1" t="s">
        <v>89</v>
      </c>
      <c r="BL745" t="s">
        <v>91</v>
      </c>
      <c r="BM745" s="1" t="s">
        <v>197</v>
      </c>
      <c r="BN745" s="1" t="s">
        <v>110</v>
      </c>
      <c r="BO745" s="1" t="s">
        <v>165</v>
      </c>
      <c r="BP745" s="1" t="s">
        <v>91</v>
      </c>
      <c r="BQ745" t="s">
        <v>91</v>
      </c>
      <c r="BR745" s="3"/>
      <c r="BS745" s="3"/>
      <c r="BT745" t="s">
        <v>91</v>
      </c>
      <c r="BU745" t="s">
        <v>91</v>
      </c>
      <c r="BV745">
        <v>9</v>
      </c>
      <c r="BW745" s="1" t="s">
        <v>3406</v>
      </c>
    </row>
    <row r="746" spans="1:75" hidden="1" x14ac:dyDescent="0.35">
      <c r="A746">
        <v>156955</v>
      </c>
      <c r="B746" s="1" t="s">
        <v>75</v>
      </c>
      <c r="C746">
        <v>80</v>
      </c>
      <c r="D746">
        <v>11121002</v>
      </c>
      <c r="E746">
        <v>121002</v>
      </c>
      <c r="F746" s="1" t="s">
        <v>2915</v>
      </c>
      <c r="G746" s="1" t="s">
        <v>4328</v>
      </c>
      <c r="H746">
        <v>0</v>
      </c>
      <c r="I746" s="1" t="s">
        <v>78</v>
      </c>
      <c r="J746" s="1" t="s">
        <v>4329</v>
      </c>
      <c r="K746" s="1" t="s">
        <v>4330</v>
      </c>
      <c r="L746" t="s">
        <v>91</v>
      </c>
      <c r="M746" t="s">
        <v>91</v>
      </c>
      <c r="N746" s="1" t="s">
        <v>4053</v>
      </c>
      <c r="O746" t="s">
        <v>91</v>
      </c>
      <c r="P746" s="1" t="s">
        <v>4331</v>
      </c>
      <c r="Q746" s="1" t="s">
        <v>4332</v>
      </c>
      <c r="R746" s="1" t="s">
        <v>91</v>
      </c>
      <c r="T746">
        <v>88110110</v>
      </c>
      <c r="U746" s="1" t="s">
        <v>2950</v>
      </c>
      <c r="V746" s="1" t="s">
        <v>2958</v>
      </c>
      <c r="W746" s="1" t="s">
        <v>87</v>
      </c>
      <c r="X746">
        <v>48</v>
      </c>
      <c r="Y746">
        <v>33572792</v>
      </c>
      <c r="Z746" t="s">
        <v>91</v>
      </c>
      <c r="AA746" t="s">
        <v>91</v>
      </c>
      <c r="AB746" t="s">
        <v>91</v>
      </c>
      <c r="AC746" t="s">
        <v>91</v>
      </c>
      <c r="AD746" t="s">
        <v>91</v>
      </c>
      <c r="AE746" t="s">
        <v>91</v>
      </c>
      <c r="AF746" t="s">
        <v>91</v>
      </c>
      <c r="AG746" s="1" t="s">
        <v>91</v>
      </c>
      <c r="AH746" s="1" t="s">
        <v>91</v>
      </c>
      <c r="AI746" t="s">
        <v>91</v>
      </c>
      <c r="AM746" t="s">
        <v>91</v>
      </c>
      <c r="AN746" t="s">
        <v>91</v>
      </c>
      <c r="AO746" t="s">
        <v>91</v>
      </c>
      <c r="AP746" t="s">
        <v>91</v>
      </c>
      <c r="AQ746" s="1" t="s">
        <v>91</v>
      </c>
      <c r="AR746" s="1" t="s">
        <v>91</v>
      </c>
      <c r="AS746" s="1" t="s">
        <v>91</v>
      </c>
      <c r="AT746" s="1" t="s">
        <v>91</v>
      </c>
      <c r="AU746" s="1" t="s">
        <v>91</v>
      </c>
      <c r="AV746" t="s">
        <v>91</v>
      </c>
      <c r="AW746" t="s">
        <v>91</v>
      </c>
      <c r="AX746" t="s">
        <v>91</v>
      </c>
      <c r="AY746" t="s">
        <v>91</v>
      </c>
      <c r="AZ746" t="s">
        <v>91</v>
      </c>
      <c r="BA746" t="s">
        <v>91</v>
      </c>
      <c r="BB746" s="2">
        <v>45113.505416666667</v>
      </c>
      <c r="BC746" s="2"/>
      <c r="BD746" t="s">
        <v>91</v>
      </c>
      <c r="BF746" s="1" t="s">
        <v>75</v>
      </c>
      <c r="BI746" s="1" t="s">
        <v>88</v>
      </c>
      <c r="BJ746">
        <v>1</v>
      </c>
      <c r="BK746" s="1" t="s">
        <v>89</v>
      </c>
      <c r="BL746" t="s">
        <v>91</v>
      </c>
      <c r="BM746" s="1" t="s">
        <v>91</v>
      </c>
      <c r="BN746" s="1" t="s">
        <v>91</v>
      </c>
      <c r="BO746" s="1" t="s">
        <v>91</v>
      </c>
      <c r="BP746" s="1" t="s">
        <v>91</v>
      </c>
      <c r="BQ746" t="s">
        <v>91</v>
      </c>
      <c r="BR746" s="3">
        <v>45113</v>
      </c>
      <c r="BS746" s="3"/>
      <c r="BT746" t="s">
        <v>91</v>
      </c>
      <c r="BU746" t="s">
        <v>91</v>
      </c>
      <c r="BW746" s="1" t="s">
        <v>3738</v>
      </c>
    </row>
    <row r="747" spans="1:75" hidden="1" x14ac:dyDescent="0.35">
      <c r="A747">
        <v>152764</v>
      </c>
      <c r="B747" s="1" t="s">
        <v>75</v>
      </c>
      <c r="C747">
        <v>80</v>
      </c>
      <c r="D747">
        <v>11121002</v>
      </c>
      <c r="E747">
        <v>121002</v>
      </c>
      <c r="F747" s="1" t="s">
        <v>2915</v>
      </c>
      <c r="G747" s="1" t="s">
        <v>4333</v>
      </c>
      <c r="H747">
        <v>0</v>
      </c>
      <c r="I747" s="1" t="s">
        <v>78</v>
      </c>
      <c r="J747" s="1" t="s">
        <v>4334</v>
      </c>
      <c r="K747" s="1" t="s">
        <v>4335</v>
      </c>
      <c r="L747" t="s">
        <v>91</v>
      </c>
      <c r="M747" t="s">
        <v>91</v>
      </c>
      <c r="N747" s="1" t="s">
        <v>4336</v>
      </c>
      <c r="O747" t="s">
        <v>91</v>
      </c>
      <c r="P747" s="1" t="s">
        <v>3466</v>
      </c>
      <c r="Q747" s="1" t="s">
        <v>2903</v>
      </c>
      <c r="R747" s="1" t="s">
        <v>3675</v>
      </c>
      <c r="S747">
        <v>1258</v>
      </c>
      <c r="T747">
        <v>88070100</v>
      </c>
      <c r="U747" s="1" t="s">
        <v>3468</v>
      </c>
      <c r="V747" s="1" t="s">
        <v>2922</v>
      </c>
      <c r="W747" s="1" t="s">
        <v>87</v>
      </c>
      <c r="Z747" t="s">
        <v>91</v>
      </c>
      <c r="AA747" t="s">
        <v>91</v>
      </c>
      <c r="AB747" t="s">
        <v>91</v>
      </c>
      <c r="AC747" t="s">
        <v>91</v>
      </c>
      <c r="AD747" t="s">
        <v>91</v>
      </c>
      <c r="AE747" t="s">
        <v>91</v>
      </c>
      <c r="AF747" t="s">
        <v>91</v>
      </c>
      <c r="AG747" s="1" t="s">
        <v>91</v>
      </c>
      <c r="AH747" s="1" t="s">
        <v>91</v>
      </c>
      <c r="AI747" t="s">
        <v>91</v>
      </c>
      <c r="AM747" t="s">
        <v>91</v>
      </c>
      <c r="AN747" t="s">
        <v>91</v>
      </c>
      <c r="AO747" t="s">
        <v>91</v>
      </c>
      <c r="AP747" t="s">
        <v>91</v>
      </c>
      <c r="AQ747" s="1" t="s">
        <v>91</v>
      </c>
      <c r="AR747" s="1" t="s">
        <v>91</v>
      </c>
      <c r="AS747" s="1" t="s">
        <v>91</v>
      </c>
      <c r="AT747" s="1" t="s">
        <v>91</v>
      </c>
      <c r="AU747" s="1" t="s">
        <v>91</v>
      </c>
      <c r="AV747" t="s">
        <v>91</v>
      </c>
      <c r="AW747" t="s">
        <v>91</v>
      </c>
      <c r="AX747" t="s">
        <v>91</v>
      </c>
      <c r="AY747" t="s">
        <v>91</v>
      </c>
      <c r="AZ747" t="s">
        <v>91</v>
      </c>
      <c r="BA747" t="s">
        <v>91</v>
      </c>
      <c r="BB747" s="2">
        <v>45019.565613425926</v>
      </c>
      <c r="BC747" s="2"/>
      <c r="BD747" t="s">
        <v>91</v>
      </c>
      <c r="BF747" s="1" t="s">
        <v>75</v>
      </c>
      <c r="BI747" s="1" t="s">
        <v>88</v>
      </c>
      <c r="BJ747">
        <v>1</v>
      </c>
      <c r="BK747" s="1" t="s">
        <v>89</v>
      </c>
      <c r="BL747" t="s">
        <v>91</v>
      </c>
      <c r="BM747" s="1" t="s">
        <v>91</v>
      </c>
      <c r="BN747" s="1" t="s">
        <v>91</v>
      </c>
      <c r="BO747" s="1" t="s">
        <v>91</v>
      </c>
      <c r="BP747" s="1" t="s">
        <v>91</v>
      </c>
      <c r="BQ747" t="s">
        <v>91</v>
      </c>
      <c r="BR747" s="3">
        <v>45019</v>
      </c>
      <c r="BS747" s="3"/>
      <c r="BT747" t="s">
        <v>91</v>
      </c>
      <c r="BU747" t="s">
        <v>91</v>
      </c>
      <c r="BW747" s="1" t="s">
        <v>90</v>
      </c>
    </row>
    <row r="748" spans="1:75" hidden="1" x14ac:dyDescent="0.35">
      <c r="A748">
        <v>157657</v>
      </c>
      <c r="B748" s="1" t="s">
        <v>75</v>
      </c>
      <c r="C748">
        <v>80</v>
      </c>
      <c r="D748">
        <v>11121002</v>
      </c>
      <c r="E748">
        <v>121002</v>
      </c>
      <c r="F748" s="1" t="s">
        <v>2915</v>
      </c>
      <c r="G748" s="1" t="s">
        <v>4337</v>
      </c>
      <c r="H748">
        <v>0</v>
      </c>
      <c r="I748" s="1" t="s">
        <v>78</v>
      </c>
      <c r="J748" s="1" t="s">
        <v>4338</v>
      </c>
      <c r="K748" s="1" t="s">
        <v>4339</v>
      </c>
      <c r="L748" t="s">
        <v>91</v>
      </c>
      <c r="M748" t="s">
        <v>91</v>
      </c>
      <c r="N748" s="1" t="s">
        <v>4340</v>
      </c>
      <c r="O748" t="s">
        <v>91</v>
      </c>
      <c r="P748" s="1" t="s">
        <v>509</v>
      </c>
      <c r="Q748" s="1" t="s">
        <v>1750</v>
      </c>
      <c r="R748" s="1" t="s">
        <v>91</v>
      </c>
      <c r="S748">
        <v>1336</v>
      </c>
      <c r="T748">
        <v>95560000</v>
      </c>
      <c r="U748" s="1" t="s">
        <v>108</v>
      </c>
      <c r="V748" s="1" t="s">
        <v>3038</v>
      </c>
      <c r="W748" s="1" t="s">
        <v>157</v>
      </c>
      <c r="X748">
        <v>51</v>
      </c>
      <c r="Y748">
        <v>36643410</v>
      </c>
      <c r="Z748" t="s">
        <v>91</v>
      </c>
      <c r="AA748" t="s">
        <v>91</v>
      </c>
      <c r="AB748" t="s">
        <v>91</v>
      </c>
      <c r="AC748" t="s">
        <v>91</v>
      </c>
      <c r="AD748" t="s">
        <v>91</v>
      </c>
      <c r="AE748" t="s">
        <v>91</v>
      </c>
      <c r="AF748" t="s">
        <v>91</v>
      </c>
      <c r="AG748" s="1" t="s">
        <v>91</v>
      </c>
      <c r="AH748" s="1" t="s">
        <v>91</v>
      </c>
      <c r="AI748" t="s">
        <v>91</v>
      </c>
      <c r="AM748" t="s">
        <v>91</v>
      </c>
      <c r="AN748" t="s">
        <v>91</v>
      </c>
      <c r="AO748" t="s">
        <v>91</v>
      </c>
      <c r="AP748" t="s">
        <v>91</v>
      </c>
      <c r="AQ748" s="1" t="s">
        <v>91</v>
      </c>
      <c r="AR748" s="1" t="s">
        <v>91</v>
      </c>
      <c r="AS748" s="1" t="s">
        <v>91</v>
      </c>
      <c r="AT748" s="1" t="s">
        <v>91</v>
      </c>
      <c r="AU748" s="1" t="s">
        <v>91</v>
      </c>
      <c r="AV748" t="s">
        <v>91</v>
      </c>
      <c r="AW748" t="s">
        <v>91</v>
      </c>
      <c r="AX748" t="s">
        <v>91</v>
      </c>
      <c r="AY748" t="s">
        <v>91</v>
      </c>
      <c r="AZ748" t="s">
        <v>91</v>
      </c>
      <c r="BA748" t="s">
        <v>91</v>
      </c>
      <c r="BB748" s="2">
        <v>45118.097175925926</v>
      </c>
      <c r="BC748" s="2"/>
      <c r="BD748" t="s">
        <v>91</v>
      </c>
      <c r="BF748" s="1" t="s">
        <v>75</v>
      </c>
      <c r="BI748" s="1" t="s">
        <v>88</v>
      </c>
      <c r="BJ748">
        <v>1</v>
      </c>
      <c r="BK748" s="1" t="s">
        <v>89</v>
      </c>
      <c r="BL748" t="s">
        <v>91</v>
      </c>
      <c r="BM748" s="1" t="s">
        <v>91</v>
      </c>
      <c r="BN748" s="1" t="s">
        <v>91</v>
      </c>
      <c r="BO748" s="1" t="s">
        <v>91</v>
      </c>
      <c r="BP748" s="1" t="s">
        <v>91</v>
      </c>
      <c r="BQ748" t="s">
        <v>91</v>
      </c>
      <c r="BR748" s="3">
        <v>45118</v>
      </c>
      <c r="BS748" s="3"/>
      <c r="BT748" t="s">
        <v>91</v>
      </c>
      <c r="BU748" t="s">
        <v>91</v>
      </c>
      <c r="BW748" s="1" t="s">
        <v>90</v>
      </c>
    </row>
    <row r="749" spans="1:75" hidden="1" x14ac:dyDescent="0.35">
      <c r="A749">
        <v>157585</v>
      </c>
      <c r="B749" s="1" t="s">
        <v>75</v>
      </c>
      <c r="C749">
        <v>80</v>
      </c>
      <c r="D749">
        <v>11121002</v>
      </c>
      <c r="E749">
        <v>121002</v>
      </c>
      <c r="F749" s="1" t="s">
        <v>2915</v>
      </c>
      <c r="G749" s="1" t="s">
        <v>4341</v>
      </c>
      <c r="H749">
        <v>0</v>
      </c>
      <c r="I749" s="1" t="s">
        <v>78</v>
      </c>
      <c r="J749" s="1" t="s">
        <v>4342</v>
      </c>
      <c r="K749" s="1" t="s">
        <v>4343</v>
      </c>
      <c r="L749" t="s">
        <v>91</v>
      </c>
      <c r="M749" t="s">
        <v>91</v>
      </c>
      <c r="N749" s="1" t="s">
        <v>3457</v>
      </c>
      <c r="O749" t="s">
        <v>91</v>
      </c>
      <c r="P749" s="1" t="s">
        <v>4344</v>
      </c>
      <c r="Q749" s="1" t="s">
        <v>4345</v>
      </c>
      <c r="R749" s="1" t="s">
        <v>4346</v>
      </c>
      <c r="S749">
        <v>1257</v>
      </c>
      <c r="T749">
        <v>88032001</v>
      </c>
      <c r="U749" s="1" t="s">
        <v>4347</v>
      </c>
      <c r="V749" s="1" t="s">
        <v>2922</v>
      </c>
      <c r="W749" s="1" t="s">
        <v>87</v>
      </c>
      <c r="X749">
        <v>48</v>
      </c>
      <c r="Y749">
        <v>32247135</v>
      </c>
      <c r="Z749" t="s">
        <v>91</v>
      </c>
      <c r="AA749" t="s">
        <v>91</v>
      </c>
      <c r="AB749" t="s">
        <v>91</v>
      </c>
      <c r="AC749" t="s">
        <v>91</v>
      </c>
      <c r="AD749" t="s">
        <v>91</v>
      </c>
      <c r="AE749" t="s">
        <v>91</v>
      </c>
      <c r="AF749" t="s">
        <v>91</v>
      </c>
      <c r="AG749" s="1" t="s">
        <v>91</v>
      </c>
      <c r="AH749" s="1" t="s">
        <v>91</v>
      </c>
      <c r="AI749" t="s">
        <v>91</v>
      </c>
      <c r="AM749" t="s">
        <v>91</v>
      </c>
      <c r="AN749" t="s">
        <v>91</v>
      </c>
      <c r="AO749" t="s">
        <v>91</v>
      </c>
      <c r="AP749" t="s">
        <v>91</v>
      </c>
      <c r="AQ749" s="1" t="s">
        <v>91</v>
      </c>
      <c r="AR749" s="1" t="s">
        <v>91</v>
      </c>
      <c r="AS749" s="1" t="s">
        <v>91</v>
      </c>
      <c r="AT749" s="1" t="s">
        <v>91</v>
      </c>
      <c r="AU749" s="1" t="s">
        <v>91</v>
      </c>
      <c r="AV749" t="s">
        <v>91</v>
      </c>
      <c r="AW749" t="s">
        <v>91</v>
      </c>
      <c r="AX749" t="s">
        <v>91</v>
      </c>
      <c r="AY749" t="s">
        <v>91</v>
      </c>
      <c r="AZ749" t="s">
        <v>91</v>
      </c>
      <c r="BA749" t="s">
        <v>91</v>
      </c>
      <c r="BB749" s="2">
        <v>45118.097175925926</v>
      </c>
      <c r="BC749" s="2"/>
      <c r="BD749" t="s">
        <v>91</v>
      </c>
      <c r="BF749" s="1" t="s">
        <v>75</v>
      </c>
      <c r="BI749" s="1" t="s">
        <v>88</v>
      </c>
      <c r="BJ749">
        <v>1</v>
      </c>
      <c r="BK749" s="1" t="s">
        <v>89</v>
      </c>
      <c r="BL749" t="s">
        <v>91</v>
      </c>
      <c r="BM749" s="1" t="s">
        <v>91</v>
      </c>
      <c r="BN749" s="1" t="s">
        <v>91</v>
      </c>
      <c r="BO749" s="1" t="s">
        <v>91</v>
      </c>
      <c r="BP749" s="1" t="s">
        <v>91</v>
      </c>
      <c r="BQ749" t="s">
        <v>91</v>
      </c>
      <c r="BR749" s="3">
        <v>45118</v>
      </c>
      <c r="BS749" s="3"/>
      <c r="BT749" t="s">
        <v>91</v>
      </c>
      <c r="BU749" t="s">
        <v>91</v>
      </c>
      <c r="BW749" s="1" t="s">
        <v>90</v>
      </c>
    </row>
    <row r="750" spans="1:75" hidden="1" x14ac:dyDescent="0.35">
      <c r="A750">
        <v>144360</v>
      </c>
      <c r="B750" s="1" t="s">
        <v>75</v>
      </c>
      <c r="C750">
        <v>80</v>
      </c>
      <c r="D750">
        <v>11121002</v>
      </c>
      <c r="E750">
        <v>121002</v>
      </c>
      <c r="F750" s="1" t="s">
        <v>2915</v>
      </c>
      <c r="G750" s="1" t="s">
        <v>4348</v>
      </c>
      <c r="I750" s="1" t="s">
        <v>78</v>
      </c>
      <c r="J750" s="1" t="s">
        <v>4349</v>
      </c>
      <c r="K750" s="1" t="s">
        <v>4350</v>
      </c>
      <c r="L750" t="s">
        <v>91</v>
      </c>
      <c r="M750" t="s">
        <v>91</v>
      </c>
      <c r="N750" s="1" t="s">
        <v>91</v>
      </c>
      <c r="O750" t="s">
        <v>91</v>
      </c>
      <c r="P750" s="1" t="s">
        <v>4351</v>
      </c>
      <c r="Q750" s="1" t="s">
        <v>1452</v>
      </c>
      <c r="R750" s="1" t="s">
        <v>91</v>
      </c>
      <c r="S750">
        <v>1268</v>
      </c>
      <c r="T750">
        <v>88715000</v>
      </c>
      <c r="U750" s="1" t="s">
        <v>343</v>
      </c>
      <c r="V750" s="1" t="s">
        <v>4352</v>
      </c>
      <c r="W750" s="1" t="s">
        <v>87</v>
      </c>
      <c r="X750">
        <v>48</v>
      </c>
      <c r="Y750">
        <v>36240514</v>
      </c>
      <c r="Z750" t="s">
        <v>91</v>
      </c>
      <c r="AA750" t="s">
        <v>91</v>
      </c>
      <c r="AB750" t="s">
        <v>91</v>
      </c>
      <c r="AC750" t="s">
        <v>91</v>
      </c>
      <c r="AD750" t="s">
        <v>91</v>
      </c>
      <c r="AE750" t="s">
        <v>91</v>
      </c>
      <c r="AF750" t="s">
        <v>91</v>
      </c>
      <c r="AG750" s="1" t="s">
        <v>91</v>
      </c>
      <c r="AH750" s="1" t="s">
        <v>91</v>
      </c>
      <c r="AI750" t="s">
        <v>91</v>
      </c>
      <c r="AJ750">
        <v>0</v>
      </c>
      <c r="AK750">
        <v>0</v>
      </c>
      <c r="AL750">
        <v>0</v>
      </c>
      <c r="AM750" t="s">
        <v>91</v>
      </c>
      <c r="AN750" t="s">
        <v>91</v>
      </c>
      <c r="AO750" t="s">
        <v>91</v>
      </c>
      <c r="AP750" t="s">
        <v>91</v>
      </c>
      <c r="AQ750" s="1" t="s">
        <v>91</v>
      </c>
      <c r="AR750" s="1" t="s">
        <v>91</v>
      </c>
      <c r="AS750" s="1" t="s">
        <v>91</v>
      </c>
      <c r="AT750" s="1" t="s">
        <v>91</v>
      </c>
      <c r="AU750" s="1" t="s">
        <v>91</v>
      </c>
      <c r="AV750" t="s">
        <v>91</v>
      </c>
      <c r="AW750" t="s">
        <v>91</v>
      </c>
      <c r="AX750" t="s">
        <v>91</v>
      </c>
      <c r="AY750" t="s">
        <v>91</v>
      </c>
      <c r="AZ750" t="s">
        <v>91</v>
      </c>
      <c r="BA750" t="s">
        <v>91</v>
      </c>
      <c r="BB750" s="2"/>
      <c r="BC750" s="2"/>
      <c r="BD750" t="s">
        <v>91</v>
      </c>
      <c r="BF750" s="1" t="s">
        <v>75</v>
      </c>
      <c r="BG750">
        <v>0</v>
      </c>
      <c r="BH750">
        <v>0</v>
      </c>
      <c r="BI750" s="1" t="s">
        <v>88</v>
      </c>
      <c r="BJ750">
        <v>1</v>
      </c>
      <c r="BK750" s="1" t="s">
        <v>89</v>
      </c>
      <c r="BL750" t="s">
        <v>91</v>
      </c>
      <c r="BM750" s="1" t="s">
        <v>109</v>
      </c>
      <c r="BN750" s="1" t="s">
        <v>110</v>
      </c>
      <c r="BO750" s="1" t="s">
        <v>111</v>
      </c>
      <c r="BP750" s="1" t="s">
        <v>91</v>
      </c>
      <c r="BQ750" t="s">
        <v>91</v>
      </c>
      <c r="BR750" s="3"/>
      <c r="BS750" s="3"/>
      <c r="BT750" t="s">
        <v>91</v>
      </c>
      <c r="BU750" t="s">
        <v>91</v>
      </c>
      <c r="BV750">
        <v>9</v>
      </c>
      <c r="BW750" s="1" t="s">
        <v>90</v>
      </c>
    </row>
    <row r="751" spans="1:75" hidden="1" x14ac:dyDescent="0.35">
      <c r="A751">
        <v>152755</v>
      </c>
      <c r="B751" s="1" t="s">
        <v>75</v>
      </c>
      <c r="C751">
        <v>80</v>
      </c>
      <c r="D751">
        <v>11121002</v>
      </c>
      <c r="E751">
        <v>121002</v>
      </c>
      <c r="F751" s="1" t="s">
        <v>2915</v>
      </c>
      <c r="G751" s="1" t="s">
        <v>4353</v>
      </c>
      <c r="H751">
        <v>0</v>
      </c>
      <c r="I751" s="1" t="s">
        <v>78</v>
      </c>
      <c r="J751" s="1" t="s">
        <v>4354</v>
      </c>
      <c r="K751" s="1" t="s">
        <v>4355</v>
      </c>
      <c r="L751" t="s">
        <v>91</v>
      </c>
      <c r="M751" t="s">
        <v>91</v>
      </c>
      <c r="N751" s="1" t="s">
        <v>4356</v>
      </c>
      <c r="O751" t="s">
        <v>91</v>
      </c>
      <c r="P751" s="1" t="s">
        <v>4357</v>
      </c>
      <c r="Q751" s="1" t="s">
        <v>1846</v>
      </c>
      <c r="R751" s="1" t="s">
        <v>3625</v>
      </c>
      <c r="S751">
        <v>1257</v>
      </c>
      <c r="T751">
        <v>88058600</v>
      </c>
      <c r="U751" s="1" t="s">
        <v>3441</v>
      </c>
      <c r="V751" s="1" t="s">
        <v>2922</v>
      </c>
      <c r="W751" s="1" t="s">
        <v>87</v>
      </c>
      <c r="Z751" t="s">
        <v>91</v>
      </c>
      <c r="AA751" t="s">
        <v>91</v>
      </c>
      <c r="AB751" t="s">
        <v>91</v>
      </c>
      <c r="AC751" t="s">
        <v>91</v>
      </c>
      <c r="AD751" t="s">
        <v>91</v>
      </c>
      <c r="AE751" t="s">
        <v>91</v>
      </c>
      <c r="AF751" t="s">
        <v>91</v>
      </c>
      <c r="AG751" s="1" t="s">
        <v>91</v>
      </c>
      <c r="AH751" s="1" t="s">
        <v>91</v>
      </c>
      <c r="AI751" t="s">
        <v>91</v>
      </c>
      <c r="AM751" t="s">
        <v>91</v>
      </c>
      <c r="AN751" t="s">
        <v>91</v>
      </c>
      <c r="AO751" t="s">
        <v>91</v>
      </c>
      <c r="AP751" t="s">
        <v>91</v>
      </c>
      <c r="AQ751" s="1" t="s">
        <v>91</v>
      </c>
      <c r="AR751" s="1" t="s">
        <v>91</v>
      </c>
      <c r="AS751" s="1" t="s">
        <v>91</v>
      </c>
      <c r="AT751" s="1" t="s">
        <v>91</v>
      </c>
      <c r="AU751" s="1" t="s">
        <v>91</v>
      </c>
      <c r="AV751" t="s">
        <v>91</v>
      </c>
      <c r="AW751" t="s">
        <v>91</v>
      </c>
      <c r="AX751" t="s">
        <v>91</v>
      </c>
      <c r="AY751" t="s">
        <v>91</v>
      </c>
      <c r="AZ751" t="s">
        <v>91</v>
      </c>
      <c r="BA751" t="s">
        <v>91</v>
      </c>
      <c r="BB751" s="2">
        <v>45019.565613425926</v>
      </c>
      <c r="BC751" s="2"/>
      <c r="BD751" t="s">
        <v>91</v>
      </c>
      <c r="BF751" s="1" t="s">
        <v>75</v>
      </c>
      <c r="BI751" s="1" t="s">
        <v>88</v>
      </c>
      <c r="BJ751">
        <v>1</v>
      </c>
      <c r="BK751" s="1" t="s">
        <v>89</v>
      </c>
      <c r="BL751" t="s">
        <v>91</v>
      </c>
      <c r="BM751" s="1" t="s">
        <v>91</v>
      </c>
      <c r="BN751" s="1" t="s">
        <v>91</v>
      </c>
      <c r="BO751" s="1" t="s">
        <v>91</v>
      </c>
      <c r="BP751" s="1" t="s">
        <v>91</v>
      </c>
      <c r="BQ751" t="s">
        <v>91</v>
      </c>
      <c r="BR751" s="3">
        <v>45019</v>
      </c>
      <c r="BS751" s="3"/>
      <c r="BT751" t="s">
        <v>91</v>
      </c>
      <c r="BU751" t="s">
        <v>91</v>
      </c>
      <c r="BW751" s="1" t="s">
        <v>1095</v>
      </c>
    </row>
    <row r="752" spans="1:75" hidden="1" x14ac:dyDescent="0.35">
      <c r="A752">
        <v>134564</v>
      </c>
      <c r="B752" s="1" t="s">
        <v>75</v>
      </c>
      <c r="C752">
        <v>80</v>
      </c>
      <c r="D752">
        <v>11121002</v>
      </c>
      <c r="E752">
        <v>121002</v>
      </c>
      <c r="F752" s="1" t="s">
        <v>2915</v>
      </c>
      <c r="G752" s="1" t="s">
        <v>4358</v>
      </c>
      <c r="I752" s="1" t="s">
        <v>78</v>
      </c>
      <c r="J752" s="1" t="s">
        <v>4359</v>
      </c>
      <c r="K752" s="1" t="s">
        <v>4360</v>
      </c>
      <c r="L752" t="s">
        <v>91</v>
      </c>
      <c r="M752" t="s">
        <v>91</v>
      </c>
      <c r="N752" s="1" t="s">
        <v>4361</v>
      </c>
      <c r="O752" t="s">
        <v>91</v>
      </c>
      <c r="P752" s="1" t="s">
        <v>3031</v>
      </c>
      <c r="Q752" s="1" t="s">
        <v>4362</v>
      </c>
      <c r="R752" s="1" t="s">
        <v>4363</v>
      </c>
      <c r="S752">
        <v>1255</v>
      </c>
      <c r="T752">
        <v>88015530</v>
      </c>
      <c r="U752" s="1" t="s">
        <v>108</v>
      </c>
      <c r="V752" s="1" t="s">
        <v>3102</v>
      </c>
      <c r="W752" s="1" t="s">
        <v>87</v>
      </c>
      <c r="X752">
        <v>48</v>
      </c>
      <c r="Y752">
        <v>999726659</v>
      </c>
      <c r="Z752" t="s">
        <v>91</v>
      </c>
      <c r="AA752" t="s">
        <v>91</v>
      </c>
      <c r="AB752" t="s">
        <v>91</v>
      </c>
      <c r="AC752" t="s">
        <v>91</v>
      </c>
      <c r="AD752" t="s">
        <v>91</v>
      </c>
      <c r="AE752" t="s">
        <v>91</v>
      </c>
      <c r="AF752" t="s">
        <v>91</v>
      </c>
      <c r="AG752" s="1" t="s">
        <v>146</v>
      </c>
      <c r="AH752" s="1" t="s">
        <v>91</v>
      </c>
      <c r="AI752" t="s">
        <v>91</v>
      </c>
      <c r="AM752" t="s">
        <v>91</v>
      </c>
      <c r="AN752" t="s">
        <v>91</v>
      </c>
      <c r="AO752" t="s">
        <v>91</v>
      </c>
      <c r="AP752" t="s">
        <v>91</v>
      </c>
      <c r="AQ752" s="1" t="s">
        <v>147</v>
      </c>
      <c r="AR752" s="1" t="s">
        <v>147</v>
      </c>
      <c r="AS752" s="1" t="s">
        <v>147</v>
      </c>
      <c r="AT752" s="1" t="s">
        <v>147</v>
      </c>
      <c r="AU752" s="1" t="s">
        <v>147</v>
      </c>
      <c r="AV752" t="s">
        <v>91</v>
      </c>
      <c r="AW752" t="s">
        <v>91</v>
      </c>
      <c r="AX752" t="s">
        <v>91</v>
      </c>
      <c r="AY752" t="s">
        <v>91</v>
      </c>
      <c r="AZ752" t="s">
        <v>91</v>
      </c>
      <c r="BA752" t="s">
        <v>91</v>
      </c>
      <c r="BB752" s="2"/>
      <c r="BC752" s="2">
        <v>44671.583726851852</v>
      </c>
      <c r="BD752" t="s">
        <v>91</v>
      </c>
      <c r="BF752" s="1" t="s">
        <v>75</v>
      </c>
      <c r="BH752">
        <v>0</v>
      </c>
      <c r="BI752" s="1" t="s">
        <v>88</v>
      </c>
      <c r="BJ752">
        <v>1</v>
      </c>
      <c r="BK752" s="1" t="s">
        <v>89</v>
      </c>
      <c r="BL752" t="s">
        <v>91</v>
      </c>
      <c r="BM752" s="1" t="s">
        <v>109</v>
      </c>
      <c r="BN752" s="1" t="s">
        <v>110</v>
      </c>
      <c r="BO752" s="1" t="s">
        <v>165</v>
      </c>
      <c r="BP752" s="1" t="s">
        <v>91</v>
      </c>
      <c r="BQ752" t="s">
        <v>91</v>
      </c>
      <c r="BR752" s="3"/>
      <c r="BS752" s="3">
        <v>44671</v>
      </c>
      <c r="BT752" t="s">
        <v>91</v>
      </c>
      <c r="BU752" t="s">
        <v>91</v>
      </c>
      <c r="BW752" s="1" t="s">
        <v>804</v>
      </c>
    </row>
    <row r="753" spans="1:75" hidden="1" x14ac:dyDescent="0.35">
      <c r="A753">
        <v>134565</v>
      </c>
      <c r="B753" s="1" t="s">
        <v>75</v>
      </c>
      <c r="C753">
        <v>80</v>
      </c>
      <c r="D753">
        <v>11121002</v>
      </c>
      <c r="E753">
        <v>121002</v>
      </c>
      <c r="F753" s="1" t="s">
        <v>2915</v>
      </c>
      <c r="G753" s="1" t="s">
        <v>4364</v>
      </c>
      <c r="I753" s="1" t="s">
        <v>78</v>
      </c>
      <c r="J753" s="1" t="s">
        <v>4365</v>
      </c>
      <c r="K753" s="1" t="s">
        <v>4366</v>
      </c>
      <c r="L753" t="s">
        <v>91</v>
      </c>
      <c r="M753" t="s">
        <v>91</v>
      </c>
      <c r="N753" s="1" t="s">
        <v>4367</v>
      </c>
      <c r="O753" t="s">
        <v>91</v>
      </c>
      <c r="P753" s="1" t="s">
        <v>3737</v>
      </c>
      <c r="Q753" s="1" t="s">
        <v>1865</v>
      </c>
      <c r="R753" s="1" t="s">
        <v>4368</v>
      </c>
      <c r="T753">
        <v>88010913</v>
      </c>
      <c r="U753" s="1" t="s">
        <v>108</v>
      </c>
      <c r="V753" s="1" t="s">
        <v>3102</v>
      </c>
      <c r="W753" s="1" t="s">
        <v>87</v>
      </c>
      <c r="X753">
        <v>48</v>
      </c>
      <c r="Y753">
        <v>988021180</v>
      </c>
      <c r="Z753" t="s">
        <v>91</v>
      </c>
      <c r="AA753" t="s">
        <v>91</v>
      </c>
      <c r="AB753" t="s">
        <v>91</v>
      </c>
      <c r="AC753" t="s">
        <v>91</v>
      </c>
      <c r="AD753" t="s">
        <v>91</v>
      </c>
      <c r="AE753" t="s">
        <v>91</v>
      </c>
      <c r="AF753" t="s">
        <v>91</v>
      </c>
      <c r="AG753" s="1" t="s">
        <v>146</v>
      </c>
      <c r="AH753" s="1" t="s">
        <v>91</v>
      </c>
      <c r="AI753" t="s">
        <v>91</v>
      </c>
      <c r="AM753" t="s">
        <v>91</v>
      </c>
      <c r="AN753" t="s">
        <v>91</v>
      </c>
      <c r="AO753" t="s">
        <v>91</v>
      </c>
      <c r="AP753" t="s">
        <v>91</v>
      </c>
      <c r="AQ753" s="1" t="s">
        <v>147</v>
      </c>
      <c r="AR753" s="1" t="s">
        <v>147</v>
      </c>
      <c r="AS753" s="1" t="s">
        <v>147</v>
      </c>
      <c r="AT753" s="1" t="s">
        <v>147</v>
      </c>
      <c r="AU753" s="1" t="s">
        <v>147</v>
      </c>
      <c r="AV753" t="s">
        <v>91</v>
      </c>
      <c r="AW753" t="s">
        <v>91</v>
      </c>
      <c r="AX753" t="s">
        <v>91</v>
      </c>
      <c r="AY753" t="s">
        <v>91</v>
      </c>
      <c r="AZ753" t="s">
        <v>91</v>
      </c>
      <c r="BA753" t="s">
        <v>91</v>
      </c>
      <c r="BB753" s="2"/>
      <c r="BC753" s="2">
        <v>44683.422754629632</v>
      </c>
      <c r="BD753" t="s">
        <v>91</v>
      </c>
      <c r="BF753" s="1" t="s">
        <v>75</v>
      </c>
      <c r="BH753">
        <v>0</v>
      </c>
      <c r="BI753" s="1" t="s">
        <v>88</v>
      </c>
      <c r="BJ753">
        <v>1</v>
      </c>
      <c r="BK753" s="1" t="s">
        <v>89</v>
      </c>
      <c r="BL753" t="s">
        <v>91</v>
      </c>
      <c r="BM753" s="1" t="s">
        <v>109</v>
      </c>
      <c r="BN753" s="1" t="s">
        <v>110</v>
      </c>
      <c r="BO753" s="1" t="s">
        <v>91</v>
      </c>
      <c r="BP753" s="1" t="s">
        <v>91</v>
      </c>
      <c r="BQ753" t="s">
        <v>91</v>
      </c>
      <c r="BR753" s="3"/>
      <c r="BS753" s="3">
        <v>44683</v>
      </c>
      <c r="BT753" t="s">
        <v>91</v>
      </c>
      <c r="BU753" t="s">
        <v>91</v>
      </c>
      <c r="BW753" s="1" t="s">
        <v>255</v>
      </c>
    </row>
    <row r="754" spans="1:75" hidden="1" x14ac:dyDescent="0.35">
      <c r="A754">
        <v>157627</v>
      </c>
      <c r="B754" s="1" t="s">
        <v>75</v>
      </c>
      <c r="C754">
        <v>80</v>
      </c>
      <c r="D754">
        <v>11121002</v>
      </c>
      <c r="E754">
        <v>121002</v>
      </c>
      <c r="F754" s="1" t="s">
        <v>2915</v>
      </c>
      <c r="G754" s="1" t="s">
        <v>4369</v>
      </c>
      <c r="H754">
        <v>0</v>
      </c>
      <c r="I754" s="1" t="s">
        <v>78</v>
      </c>
      <c r="J754" s="1" t="s">
        <v>4370</v>
      </c>
      <c r="K754" s="1" t="s">
        <v>4371</v>
      </c>
      <c r="L754" t="s">
        <v>91</v>
      </c>
      <c r="M754" t="s">
        <v>91</v>
      </c>
      <c r="N754" s="1" t="s">
        <v>4372</v>
      </c>
      <c r="O754" t="s">
        <v>91</v>
      </c>
      <c r="P754" s="1" t="s">
        <v>4373</v>
      </c>
      <c r="Q754" s="1" t="s">
        <v>4374</v>
      </c>
      <c r="R754" s="1" t="s">
        <v>91</v>
      </c>
      <c r="S754">
        <v>1266</v>
      </c>
      <c r="T754">
        <v>88540000</v>
      </c>
      <c r="U754" s="1" t="s">
        <v>3173</v>
      </c>
      <c r="V754" s="1" t="s">
        <v>3174</v>
      </c>
      <c r="W754" s="1" t="s">
        <v>87</v>
      </c>
      <c r="X754">
        <v>49</v>
      </c>
      <c r="Y754">
        <v>32750203</v>
      </c>
      <c r="Z754" t="s">
        <v>91</v>
      </c>
      <c r="AA754" t="s">
        <v>91</v>
      </c>
      <c r="AB754" t="s">
        <v>91</v>
      </c>
      <c r="AC754" t="s">
        <v>91</v>
      </c>
      <c r="AD754" t="s">
        <v>91</v>
      </c>
      <c r="AE754" t="s">
        <v>91</v>
      </c>
      <c r="AF754" t="s">
        <v>91</v>
      </c>
      <c r="AG754" s="1" t="s">
        <v>91</v>
      </c>
      <c r="AH754" s="1" t="s">
        <v>91</v>
      </c>
      <c r="AI754" t="s">
        <v>91</v>
      </c>
      <c r="AM754" t="s">
        <v>91</v>
      </c>
      <c r="AN754" t="s">
        <v>91</v>
      </c>
      <c r="AO754" t="s">
        <v>91</v>
      </c>
      <c r="AP754" t="s">
        <v>91</v>
      </c>
      <c r="AQ754" s="1" t="s">
        <v>91</v>
      </c>
      <c r="AR754" s="1" t="s">
        <v>91</v>
      </c>
      <c r="AS754" s="1" t="s">
        <v>91</v>
      </c>
      <c r="AT754" s="1" t="s">
        <v>91</v>
      </c>
      <c r="AU754" s="1" t="s">
        <v>91</v>
      </c>
      <c r="AV754" t="s">
        <v>91</v>
      </c>
      <c r="AW754" t="s">
        <v>91</v>
      </c>
      <c r="AX754" t="s">
        <v>91</v>
      </c>
      <c r="AY754" t="s">
        <v>91</v>
      </c>
      <c r="AZ754" t="s">
        <v>91</v>
      </c>
      <c r="BA754" t="s">
        <v>91</v>
      </c>
      <c r="BB754" s="2">
        <v>45118.097175925926</v>
      </c>
      <c r="BC754" s="2"/>
      <c r="BD754" t="s">
        <v>91</v>
      </c>
      <c r="BF754" s="1" t="s">
        <v>75</v>
      </c>
      <c r="BI754" s="1" t="s">
        <v>88</v>
      </c>
      <c r="BJ754">
        <v>1</v>
      </c>
      <c r="BK754" s="1" t="s">
        <v>89</v>
      </c>
      <c r="BL754" t="s">
        <v>91</v>
      </c>
      <c r="BM754" s="1" t="s">
        <v>91</v>
      </c>
      <c r="BN754" s="1" t="s">
        <v>91</v>
      </c>
      <c r="BO754" s="1" t="s">
        <v>91</v>
      </c>
      <c r="BP754" s="1" t="s">
        <v>91</v>
      </c>
      <c r="BQ754" t="s">
        <v>91</v>
      </c>
      <c r="BR754" s="3">
        <v>45118</v>
      </c>
      <c r="BS754" s="3"/>
      <c r="BT754" t="s">
        <v>91</v>
      </c>
      <c r="BU754" t="s">
        <v>91</v>
      </c>
      <c r="BW754" s="1" t="s">
        <v>90</v>
      </c>
    </row>
    <row r="755" spans="1:75" hidden="1" x14ac:dyDescent="0.35">
      <c r="A755">
        <v>134235</v>
      </c>
      <c r="B755" s="1" t="s">
        <v>75</v>
      </c>
      <c r="C755">
        <v>80</v>
      </c>
      <c r="D755">
        <v>11121002</v>
      </c>
      <c r="E755">
        <v>121002</v>
      </c>
      <c r="F755" s="1" t="s">
        <v>2915</v>
      </c>
      <c r="G755" s="1" t="s">
        <v>4375</v>
      </c>
      <c r="I755" s="1" t="s">
        <v>78</v>
      </c>
      <c r="J755" s="1" t="s">
        <v>4376</v>
      </c>
      <c r="K755" s="1" t="s">
        <v>4377</v>
      </c>
      <c r="L755" t="s">
        <v>91</v>
      </c>
      <c r="M755" t="s">
        <v>91</v>
      </c>
      <c r="N755" s="1" t="s">
        <v>4378</v>
      </c>
      <c r="O755" t="s">
        <v>91</v>
      </c>
      <c r="P755" s="1" t="s">
        <v>4379</v>
      </c>
      <c r="Q755" s="1" t="s">
        <v>1205</v>
      </c>
      <c r="R755" s="1" t="s">
        <v>4380</v>
      </c>
      <c r="S755">
        <v>1259</v>
      </c>
      <c r="T755">
        <v>88101080</v>
      </c>
      <c r="U755" s="1" t="s">
        <v>3015</v>
      </c>
      <c r="V755" s="1" t="s">
        <v>3016</v>
      </c>
      <c r="W755" s="1" t="s">
        <v>87</v>
      </c>
      <c r="X755">
        <v>48</v>
      </c>
      <c r="Y755">
        <v>30355010</v>
      </c>
      <c r="Z755" t="s">
        <v>91</v>
      </c>
      <c r="AA755" t="s">
        <v>91</v>
      </c>
      <c r="AB755" t="s">
        <v>91</v>
      </c>
      <c r="AC755" t="s">
        <v>91</v>
      </c>
      <c r="AD755" t="s">
        <v>91</v>
      </c>
      <c r="AE755" t="s">
        <v>91</v>
      </c>
      <c r="AF755" t="s">
        <v>91</v>
      </c>
      <c r="AG755" s="1" t="s">
        <v>146</v>
      </c>
      <c r="AH755" s="1" t="s">
        <v>91</v>
      </c>
      <c r="AI755" t="s">
        <v>91</v>
      </c>
      <c r="AJ755">
        <v>0</v>
      </c>
      <c r="AK755">
        <v>0</v>
      </c>
      <c r="AL755">
        <v>0</v>
      </c>
      <c r="AM755" t="s">
        <v>91</v>
      </c>
      <c r="AN755" t="s">
        <v>91</v>
      </c>
      <c r="AO755" t="s">
        <v>91</v>
      </c>
      <c r="AP755" t="s">
        <v>91</v>
      </c>
      <c r="AQ755" s="1" t="s">
        <v>147</v>
      </c>
      <c r="AR755" s="1" t="s">
        <v>147</v>
      </c>
      <c r="AS755" s="1" t="s">
        <v>147</v>
      </c>
      <c r="AT755" s="1" t="s">
        <v>147</v>
      </c>
      <c r="AU755" s="1" t="s">
        <v>147</v>
      </c>
      <c r="AV755" t="s">
        <v>91</v>
      </c>
      <c r="AW755" t="s">
        <v>91</v>
      </c>
      <c r="AX755" t="s">
        <v>91</v>
      </c>
      <c r="AY755" t="s">
        <v>91</v>
      </c>
      <c r="AZ755" t="s">
        <v>91</v>
      </c>
      <c r="BA755" t="s">
        <v>91</v>
      </c>
      <c r="BB755" s="2"/>
      <c r="BC755" s="2">
        <v>45114.706226851849</v>
      </c>
      <c r="BD755" t="s">
        <v>91</v>
      </c>
      <c r="BF755" s="1" t="s">
        <v>75</v>
      </c>
      <c r="BG755">
        <v>0</v>
      </c>
      <c r="BH755">
        <v>0</v>
      </c>
      <c r="BI755" s="1" t="s">
        <v>88</v>
      </c>
      <c r="BJ755">
        <v>1</v>
      </c>
      <c r="BK755" s="1" t="s">
        <v>89</v>
      </c>
      <c r="BL755" t="s">
        <v>91</v>
      </c>
      <c r="BM755" s="1" t="s">
        <v>164</v>
      </c>
      <c r="BN755" s="1" t="s">
        <v>110</v>
      </c>
      <c r="BO755" s="1" t="s">
        <v>165</v>
      </c>
      <c r="BP755" s="1" t="s">
        <v>91</v>
      </c>
      <c r="BQ755" t="s">
        <v>91</v>
      </c>
      <c r="BR755" s="3"/>
      <c r="BS755" s="3">
        <v>45114</v>
      </c>
      <c r="BT755" t="s">
        <v>91</v>
      </c>
      <c r="BU755" t="s">
        <v>91</v>
      </c>
      <c r="BV755">
        <v>5</v>
      </c>
      <c r="BW755" s="1" t="s">
        <v>728</v>
      </c>
    </row>
    <row r="756" spans="1:75" hidden="1" x14ac:dyDescent="0.35">
      <c r="A756">
        <v>156876</v>
      </c>
      <c r="B756" s="1" t="s">
        <v>75</v>
      </c>
      <c r="C756">
        <v>80</v>
      </c>
      <c r="D756">
        <v>11121002</v>
      </c>
      <c r="E756">
        <v>121002</v>
      </c>
      <c r="F756" s="1" t="s">
        <v>2915</v>
      </c>
      <c r="G756" s="1" t="s">
        <v>4381</v>
      </c>
      <c r="H756">
        <v>0</v>
      </c>
      <c r="I756" s="1" t="s">
        <v>78</v>
      </c>
      <c r="J756" s="1" t="s">
        <v>4382</v>
      </c>
      <c r="K756" s="1" t="s">
        <v>4383</v>
      </c>
      <c r="L756" t="s">
        <v>91</v>
      </c>
      <c r="M756" t="s">
        <v>91</v>
      </c>
      <c r="N756" s="1" t="s">
        <v>4266</v>
      </c>
      <c r="O756" t="s">
        <v>91</v>
      </c>
      <c r="P756" s="1" t="s">
        <v>4384</v>
      </c>
      <c r="Q756" s="1" t="s">
        <v>4385</v>
      </c>
      <c r="R756" s="1" t="s">
        <v>91</v>
      </c>
      <c r="S756">
        <v>1257</v>
      </c>
      <c r="T756">
        <v>88036002</v>
      </c>
      <c r="U756" s="1" t="s">
        <v>4386</v>
      </c>
      <c r="V756" s="1" t="s">
        <v>2922</v>
      </c>
      <c r="W756" s="1" t="s">
        <v>87</v>
      </c>
      <c r="X756">
        <v>48</v>
      </c>
      <c r="Y756">
        <v>33651974</v>
      </c>
      <c r="Z756" t="s">
        <v>91</v>
      </c>
      <c r="AA756" t="s">
        <v>91</v>
      </c>
      <c r="AB756" t="s">
        <v>91</v>
      </c>
      <c r="AC756" t="s">
        <v>91</v>
      </c>
      <c r="AD756" t="s">
        <v>91</v>
      </c>
      <c r="AE756" t="s">
        <v>91</v>
      </c>
      <c r="AF756" t="s">
        <v>91</v>
      </c>
      <c r="AG756" s="1" t="s">
        <v>91</v>
      </c>
      <c r="AH756" s="1" t="s">
        <v>91</v>
      </c>
      <c r="AI756" t="s">
        <v>91</v>
      </c>
      <c r="AM756" t="s">
        <v>91</v>
      </c>
      <c r="AN756" t="s">
        <v>91</v>
      </c>
      <c r="AO756" t="s">
        <v>91</v>
      </c>
      <c r="AP756" t="s">
        <v>91</v>
      </c>
      <c r="AQ756" s="1" t="s">
        <v>91</v>
      </c>
      <c r="AR756" s="1" t="s">
        <v>91</v>
      </c>
      <c r="AS756" s="1" t="s">
        <v>91</v>
      </c>
      <c r="AT756" s="1" t="s">
        <v>91</v>
      </c>
      <c r="AU756" s="1" t="s">
        <v>91</v>
      </c>
      <c r="AV756" t="s">
        <v>91</v>
      </c>
      <c r="AW756" t="s">
        <v>91</v>
      </c>
      <c r="AX756" t="s">
        <v>91</v>
      </c>
      <c r="AY756" t="s">
        <v>91</v>
      </c>
      <c r="AZ756" t="s">
        <v>91</v>
      </c>
      <c r="BA756" t="s">
        <v>91</v>
      </c>
      <c r="BB756" s="2">
        <v>45113.505416666667</v>
      </c>
      <c r="BC756" s="2"/>
      <c r="BD756" t="s">
        <v>91</v>
      </c>
      <c r="BF756" s="1" t="s">
        <v>75</v>
      </c>
      <c r="BI756" s="1" t="s">
        <v>88</v>
      </c>
      <c r="BJ756">
        <v>1</v>
      </c>
      <c r="BK756" s="1" t="s">
        <v>89</v>
      </c>
      <c r="BL756" t="s">
        <v>91</v>
      </c>
      <c r="BM756" s="1" t="s">
        <v>91</v>
      </c>
      <c r="BN756" s="1" t="s">
        <v>91</v>
      </c>
      <c r="BO756" s="1" t="s">
        <v>91</v>
      </c>
      <c r="BP756" s="1" t="s">
        <v>91</v>
      </c>
      <c r="BQ756" t="s">
        <v>91</v>
      </c>
      <c r="BR756" s="3">
        <v>45113</v>
      </c>
      <c r="BS756" s="3"/>
      <c r="BT756" t="s">
        <v>91</v>
      </c>
      <c r="BU756" t="s">
        <v>91</v>
      </c>
      <c r="BW756" s="1" t="s">
        <v>90</v>
      </c>
    </row>
    <row r="757" spans="1:75" hidden="1" x14ac:dyDescent="0.35">
      <c r="A757">
        <v>139963</v>
      </c>
      <c r="B757" s="1" t="s">
        <v>75</v>
      </c>
      <c r="C757">
        <v>80</v>
      </c>
      <c r="D757">
        <v>11121002</v>
      </c>
      <c r="E757">
        <v>121002</v>
      </c>
      <c r="F757" s="1" t="s">
        <v>2915</v>
      </c>
      <c r="G757" s="1" t="s">
        <v>4387</v>
      </c>
      <c r="H757">
        <v>0</v>
      </c>
      <c r="I757" s="1" t="s">
        <v>78</v>
      </c>
      <c r="J757" s="1" t="s">
        <v>4388</v>
      </c>
      <c r="K757" s="1" t="s">
        <v>4389</v>
      </c>
      <c r="L757" t="s">
        <v>91</v>
      </c>
      <c r="M757" t="s">
        <v>91</v>
      </c>
      <c r="N757" s="1" t="s">
        <v>4390</v>
      </c>
      <c r="O757" t="s">
        <v>91</v>
      </c>
      <c r="P757" s="1" t="s">
        <v>3737</v>
      </c>
      <c r="Q757" s="1" t="s">
        <v>1865</v>
      </c>
      <c r="R757" s="1" t="s">
        <v>4391</v>
      </c>
      <c r="T757">
        <v>88010913</v>
      </c>
      <c r="U757" s="1" t="s">
        <v>108</v>
      </c>
      <c r="V757" s="1" t="s">
        <v>3102</v>
      </c>
      <c r="W757" s="1" t="s">
        <v>87</v>
      </c>
      <c r="X757">
        <v>48</v>
      </c>
      <c r="Y757">
        <v>984237820</v>
      </c>
      <c r="Z757" t="s">
        <v>91</v>
      </c>
      <c r="AA757" t="s">
        <v>91</v>
      </c>
      <c r="AB757" t="s">
        <v>91</v>
      </c>
      <c r="AC757" t="s">
        <v>91</v>
      </c>
      <c r="AD757" t="s">
        <v>91</v>
      </c>
      <c r="AE757" t="s">
        <v>91</v>
      </c>
      <c r="AF757" t="s">
        <v>91</v>
      </c>
      <c r="AG757" s="1" t="s">
        <v>146</v>
      </c>
      <c r="AH757" s="1" t="s">
        <v>91</v>
      </c>
      <c r="AI757" t="s">
        <v>91</v>
      </c>
      <c r="AM757" t="s">
        <v>91</v>
      </c>
      <c r="AN757" t="s">
        <v>91</v>
      </c>
      <c r="AO757" t="s">
        <v>91</v>
      </c>
      <c r="AP757" t="s">
        <v>91</v>
      </c>
      <c r="AQ757" s="1" t="s">
        <v>147</v>
      </c>
      <c r="AR757" s="1" t="s">
        <v>147</v>
      </c>
      <c r="AS757" s="1" t="s">
        <v>147</v>
      </c>
      <c r="AT757" s="1" t="s">
        <v>147</v>
      </c>
      <c r="AU757" s="1" t="s">
        <v>147</v>
      </c>
      <c r="AV757" t="s">
        <v>91</v>
      </c>
      <c r="AW757" t="s">
        <v>91</v>
      </c>
      <c r="AX757" t="s">
        <v>91</v>
      </c>
      <c r="AY757" t="s">
        <v>91</v>
      </c>
      <c r="AZ757" t="s">
        <v>91</v>
      </c>
      <c r="BA757" t="s">
        <v>91</v>
      </c>
      <c r="BB757" s="2">
        <v>44426.365486111114</v>
      </c>
      <c r="BC757" s="2">
        <v>44683.595694444448</v>
      </c>
      <c r="BD757" t="s">
        <v>91</v>
      </c>
      <c r="BF757" s="1" t="s">
        <v>75</v>
      </c>
      <c r="BH757">
        <v>0</v>
      </c>
      <c r="BI757" s="1" t="s">
        <v>88</v>
      </c>
      <c r="BJ757">
        <v>1</v>
      </c>
      <c r="BK757" s="1" t="s">
        <v>89</v>
      </c>
      <c r="BL757" t="s">
        <v>91</v>
      </c>
      <c r="BM757" s="1" t="s">
        <v>109</v>
      </c>
      <c r="BN757" s="1" t="s">
        <v>110</v>
      </c>
      <c r="BO757" s="1" t="s">
        <v>180</v>
      </c>
      <c r="BP757" s="1" t="s">
        <v>91</v>
      </c>
      <c r="BQ757" t="s">
        <v>91</v>
      </c>
      <c r="BR757" s="3">
        <v>44426</v>
      </c>
      <c r="BS757" s="3">
        <v>44683</v>
      </c>
      <c r="BT757" t="s">
        <v>91</v>
      </c>
      <c r="BU757" t="s">
        <v>91</v>
      </c>
      <c r="BW757" s="1" t="s">
        <v>255</v>
      </c>
    </row>
    <row r="758" spans="1:75" hidden="1" x14ac:dyDescent="0.35">
      <c r="A758">
        <v>144240</v>
      </c>
      <c r="B758" s="1" t="s">
        <v>75</v>
      </c>
      <c r="C758">
        <v>80</v>
      </c>
      <c r="D758">
        <v>11121002</v>
      </c>
      <c r="E758">
        <v>121002</v>
      </c>
      <c r="F758" s="1" t="s">
        <v>2915</v>
      </c>
      <c r="G758" s="1" t="s">
        <v>4392</v>
      </c>
      <c r="H758">
        <v>0</v>
      </c>
      <c r="I758" s="1" t="s">
        <v>78</v>
      </c>
      <c r="J758" s="1" t="s">
        <v>4393</v>
      </c>
      <c r="K758" s="1" t="s">
        <v>4394</v>
      </c>
      <c r="L758" t="s">
        <v>91</v>
      </c>
      <c r="M758" t="s">
        <v>91</v>
      </c>
      <c r="N758" s="1" t="s">
        <v>4395</v>
      </c>
      <c r="O758" t="s">
        <v>91</v>
      </c>
      <c r="P758" s="1" t="s">
        <v>3635</v>
      </c>
      <c r="Q758" s="1" t="s">
        <v>3600</v>
      </c>
      <c r="R758" s="1" t="s">
        <v>91</v>
      </c>
      <c r="S758">
        <v>1254</v>
      </c>
      <c r="T758">
        <v>88010510</v>
      </c>
      <c r="U758" s="1" t="s">
        <v>108</v>
      </c>
      <c r="V758" s="1" t="s">
        <v>3102</v>
      </c>
      <c r="W758" s="1" t="s">
        <v>87</v>
      </c>
      <c r="X758">
        <v>48</v>
      </c>
      <c r="Y758">
        <v>32240703</v>
      </c>
      <c r="Z758" t="s">
        <v>91</v>
      </c>
      <c r="AA758" t="s">
        <v>91</v>
      </c>
      <c r="AB758" t="s">
        <v>91</v>
      </c>
      <c r="AC758" t="s">
        <v>91</v>
      </c>
      <c r="AD758" t="s">
        <v>91</v>
      </c>
      <c r="AE758" t="s">
        <v>91</v>
      </c>
      <c r="AF758" t="s">
        <v>91</v>
      </c>
      <c r="AG758" s="1" t="s">
        <v>146</v>
      </c>
      <c r="AH758" s="1" t="s">
        <v>91</v>
      </c>
      <c r="AI758" t="s">
        <v>91</v>
      </c>
      <c r="AM758" t="s">
        <v>91</v>
      </c>
      <c r="AN758" t="s">
        <v>91</v>
      </c>
      <c r="AO758" t="s">
        <v>91</v>
      </c>
      <c r="AP758" t="s">
        <v>91</v>
      </c>
      <c r="AQ758" s="1" t="s">
        <v>147</v>
      </c>
      <c r="AR758" s="1" t="s">
        <v>147</v>
      </c>
      <c r="AS758" s="1" t="s">
        <v>147</v>
      </c>
      <c r="AT758" s="1" t="s">
        <v>147</v>
      </c>
      <c r="AU758" s="1" t="s">
        <v>147</v>
      </c>
      <c r="AV758" t="s">
        <v>91</v>
      </c>
      <c r="AW758" t="s">
        <v>91</v>
      </c>
      <c r="AX758" t="s">
        <v>91</v>
      </c>
      <c r="AY758" t="s">
        <v>91</v>
      </c>
      <c r="AZ758" t="s">
        <v>91</v>
      </c>
      <c r="BA758" t="s">
        <v>91</v>
      </c>
      <c r="BB758" s="2">
        <v>44540.486805555556</v>
      </c>
      <c r="BC758" s="2">
        <v>44582.415671296294</v>
      </c>
      <c r="BD758" t="s">
        <v>91</v>
      </c>
      <c r="BF758" s="1" t="s">
        <v>75</v>
      </c>
      <c r="BH758">
        <v>0</v>
      </c>
      <c r="BI758" s="1" t="s">
        <v>88</v>
      </c>
      <c r="BJ758">
        <v>1</v>
      </c>
      <c r="BK758" s="1" t="s">
        <v>89</v>
      </c>
      <c r="BL758" t="s">
        <v>91</v>
      </c>
      <c r="BM758" s="1" t="s">
        <v>91</v>
      </c>
      <c r="BN758" s="1" t="s">
        <v>91</v>
      </c>
      <c r="BO758" s="1" t="s">
        <v>180</v>
      </c>
      <c r="BP758" s="1" t="s">
        <v>91</v>
      </c>
      <c r="BQ758" t="s">
        <v>91</v>
      </c>
      <c r="BR758" s="3">
        <v>44540</v>
      </c>
      <c r="BS758" s="3">
        <v>44582</v>
      </c>
      <c r="BT758" t="s">
        <v>91</v>
      </c>
      <c r="BU758" t="s">
        <v>91</v>
      </c>
      <c r="BW758" s="1" t="s">
        <v>1332</v>
      </c>
    </row>
    <row r="759" spans="1:75" hidden="1" x14ac:dyDescent="0.35">
      <c r="A759">
        <v>144834</v>
      </c>
      <c r="B759" s="1" t="s">
        <v>75</v>
      </c>
      <c r="C759">
        <v>80</v>
      </c>
      <c r="D759">
        <v>11121002</v>
      </c>
      <c r="E759">
        <v>121002</v>
      </c>
      <c r="F759" s="1" t="s">
        <v>2915</v>
      </c>
      <c r="G759" s="1" t="s">
        <v>4396</v>
      </c>
      <c r="I759" s="1" t="s">
        <v>78</v>
      </c>
      <c r="J759" s="1" t="s">
        <v>4397</v>
      </c>
      <c r="K759" s="1" t="s">
        <v>4398</v>
      </c>
      <c r="L759" t="s">
        <v>91</v>
      </c>
      <c r="M759" t="s">
        <v>91</v>
      </c>
      <c r="N759" s="1" t="s">
        <v>4399</v>
      </c>
      <c r="O759" t="s">
        <v>91</v>
      </c>
      <c r="P759" s="1" t="s">
        <v>1210</v>
      </c>
      <c r="Q759" s="1" t="s">
        <v>3071</v>
      </c>
      <c r="R759" s="1" t="s">
        <v>107</v>
      </c>
      <c r="S759">
        <v>1269</v>
      </c>
      <c r="T759">
        <v>88801040</v>
      </c>
      <c r="U759" s="1" t="s">
        <v>108</v>
      </c>
      <c r="V759" s="1" t="s">
        <v>3231</v>
      </c>
      <c r="W759" s="1" t="s">
        <v>87</v>
      </c>
      <c r="X759">
        <v>48</v>
      </c>
      <c r="Y759">
        <v>35126279</v>
      </c>
      <c r="Z759" t="s">
        <v>91</v>
      </c>
      <c r="AA759" t="s">
        <v>91</v>
      </c>
      <c r="AB759" t="s">
        <v>91</v>
      </c>
      <c r="AC759" t="s">
        <v>91</v>
      </c>
      <c r="AD759" t="s">
        <v>91</v>
      </c>
      <c r="AE759" t="s">
        <v>91</v>
      </c>
      <c r="AF759" t="s">
        <v>91</v>
      </c>
      <c r="AG759" s="1" t="s">
        <v>91</v>
      </c>
      <c r="AH759" s="1" t="s">
        <v>91</v>
      </c>
      <c r="AI759" t="s">
        <v>91</v>
      </c>
      <c r="AJ759">
        <v>0</v>
      </c>
      <c r="AK759">
        <v>0</v>
      </c>
      <c r="AL759">
        <v>0</v>
      </c>
      <c r="AM759" t="s">
        <v>91</v>
      </c>
      <c r="AN759" t="s">
        <v>91</v>
      </c>
      <c r="AO759" t="s">
        <v>91</v>
      </c>
      <c r="AP759" t="s">
        <v>91</v>
      </c>
      <c r="AQ759" s="1" t="s">
        <v>91</v>
      </c>
      <c r="AR759" s="1" t="s">
        <v>91</v>
      </c>
      <c r="AS759" s="1" t="s">
        <v>91</v>
      </c>
      <c r="AT759" s="1" t="s">
        <v>91</v>
      </c>
      <c r="AU759" s="1" t="s">
        <v>91</v>
      </c>
      <c r="AV759" t="s">
        <v>91</v>
      </c>
      <c r="AW759" t="s">
        <v>91</v>
      </c>
      <c r="AX759" t="s">
        <v>91</v>
      </c>
      <c r="AY759" t="s">
        <v>91</v>
      </c>
      <c r="AZ759" t="s">
        <v>91</v>
      </c>
      <c r="BA759" t="s">
        <v>91</v>
      </c>
      <c r="BB759" s="2"/>
      <c r="BC759" s="2"/>
      <c r="BD759" t="s">
        <v>91</v>
      </c>
      <c r="BF759" s="1" t="s">
        <v>75</v>
      </c>
      <c r="BG759">
        <v>0</v>
      </c>
      <c r="BH759">
        <v>0</v>
      </c>
      <c r="BI759" s="1" t="s">
        <v>88</v>
      </c>
      <c r="BJ759">
        <v>1</v>
      </c>
      <c r="BK759" s="1" t="s">
        <v>89</v>
      </c>
      <c r="BL759" t="s">
        <v>91</v>
      </c>
      <c r="BM759" s="1" t="s">
        <v>109</v>
      </c>
      <c r="BN759" s="1" t="s">
        <v>110</v>
      </c>
      <c r="BO759" s="1" t="s">
        <v>128</v>
      </c>
      <c r="BP759" s="1" t="s">
        <v>91</v>
      </c>
      <c r="BQ759" t="s">
        <v>91</v>
      </c>
      <c r="BR759" s="3"/>
      <c r="BS759" s="3"/>
      <c r="BT759" t="s">
        <v>91</v>
      </c>
      <c r="BU759" t="s">
        <v>91</v>
      </c>
      <c r="BW759" s="1" t="s">
        <v>90</v>
      </c>
    </row>
    <row r="760" spans="1:75" hidden="1" x14ac:dyDescent="0.35">
      <c r="A760">
        <v>144341</v>
      </c>
      <c r="B760" s="1" t="s">
        <v>75</v>
      </c>
      <c r="C760">
        <v>80</v>
      </c>
      <c r="D760">
        <v>11121002</v>
      </c>
      <c r="E760">
        <v>121002</v>
      </c>
      <c r="F760" s="1" t="s">
        <v>2915</v>
      </c>
      <c r="G760" s="1" t="s">
        <v>4400</v>
      </c>
      <c r="I760" s="1" t="s">
        <v>78</v>
      </c>
      <c r="J760" s="1" t="s">
        <v>4401</v>
      </c>
      <c r="K760" s="1" t="s">
        <v>4402</v>
      </c>
      <c r="L760" t="s">
        <v>91</v>
      </c>
      <c r="M760" t="s">
        <v>91</v>
      </c>
      <c r="N760" s="1" t="s">
        <v>4403</v>
      </c>
      <c r="O760" t="s">
        <v>91</v>
      </c>
      <c r="P760" s="1" t="s">
        <v>4075</v>
      </c>
      <c r="Q760" s="1" t="s">
        <v>4404</v>
      </c>
      <c r="R760" s="1" t="s">
        <v>236</v>
      </c>
      <c r="S760">
        <v>1269</v>
      </c>
      <c r="T760">
        <v>88817615</v>
      </c>
      <c r="U760" s="1" t="s">
        <v>4077</v>
      </c>
      <c r="V760" s="1" t="s">
        <v>3231</v>
      </c>
      <c r="W760" s="1" t="s">
        <v>87</v>
      </c>
      <c r="X760">
        <v>48</v>
      </c>
      <c r="Y760">
        <v>34784157</v>
      </c>
      <c r="Z760" t="s">
        <v>91</v>
      </c>
      <c r="AA760" t="s">
        <v>91</v>
      </c>
      <c r="AB760" t="s">
        <v>91</v>
      </c>
      <c r="AC760" t="s">
        <v>91</v>
      </c>
      <c r="AD760" t="s">
        <v>91</v>
      </c>
      <c r="AE760" t="s">
        <v>91</v>
      </c>
      <c r="AF760" t="s">
        <v>91</v>
      </c>
      <c r="AG760" s="1" t="s">
        <v>91</v>
      </c>
      <c r="AH760" s="1" t="s">
        <v>91</v>
      </c>
      <c r="AI760" t="s">
        <v>91</v>
      </c>
      <c r="AJ760">
        <v>0</v>
      </c>
      <c r="AK760">
        <v>0</v>
      </c>
      <c r="AL760">
        <v>0</v>
      </c>
      <c r="AM760" t="s">
        <v>91</v>
      </c>
      <c r="AN760" t="s">
        <v>91</v>
      </c>
      <c r="AO760" t="s">
        <v>91</v>
      </c>
      <c r="AP760" t="s">
        <v>91</v>
      </c>
      <c r="AQ760" s="1" t="s">
        <v>91</v>
      </c>
      <c r="AR760" s="1" t="s">
        <v>91</v>
      </c>
      <c r="AS760" s="1" t="s">
        <v>91</v>
      </c>
      <c r="AT760" s="1" t="s">
        <v>91</v>
      </c>
      <c r="AU760" s="1" t="s">
        <v>91</v>
      </c>
      <c r="AV760" t="s">
        <v>91</v>
      </c>
      <c r="AW760" t="s">
        <v>91</v>
      </c>
      <c r="AX760" t="s">
        <v>91</v>
      </c>
      <c r="AY760" t="s">
        <v>91</v>
      </c>
      <c r="AZ760" t="s">
        <v>91</v>
      </c>
      <c r="BA760" t="s">
        <v>91</v>
      </c>
      <c r="BB760" s="2"/>
      <c r="BC760" s="2"/>
      <c r="BD760" t="s">
        <v>91</v>
      </c>
      <c r="BF760" s="1" t="s">
        <v>75</v>
      </c>
      <c r="BG760">
        <v>0</v>
      </c>
      <c r="BH760">
        <v>0</v>
      </c>
      <c r="BI760" s="1" t="s">
        <v>88</v>
      </c>
      <c r="BJ760">
        <v>1</v>
      </c>
      <c r="BK760" s="1" t="s">
        <v>89</v>
      </c>
      <c r="BL760" t="s">
        <v>91</v>
      </c>
      <c r="BM760" s="1" t="s">
        <v>109</v>
      </c>
      <c r="BN760" s="1" t="s">
        <v>110</v>
      </c>
      <c r="BO760" s="1" t="s">
        <v>180</v>
      </c>
      <c r="BP760" s="1" t="s">
        <v>91</v>
      </c>
      <c r="BQ760" t="s">
        <v>91</v>
      </c>
      <c r="BR760" s="3"/>
      <c r="BS760" s="3"/>
      <c r="BT760" t="s">
        <v>91</v>
      </c>
      <c r="BU760" t="s">
        <v>91</v>
      </c>
      <c r="BV760">
        <v>9</v>
      </c>
      <c r="BW760" s="1" t="s">
        <v>90</v>
      </c>
    </row>
    <row r="761" spans="1:75" hidden="1" x14ac:dyDescent="0.35">
      <c r="A761">
        <v>144391</v>
      </c>
      <c r="B761" s="1" t="s">
        <v>75</v>
      </c>
      <c r="C761">
        <v>80</v>
      </c>
      <c r="D761">
        <v>11121002</v>
      </c>
      <c r="E761">
        <v>121002</v>
      </c>
      <c r="F761" s="1" t="s">
        <v>2915</v>
      </c>
      <c r="G761" s="1" t="s">
        <v>4405</v>
      </c>
      <c r="I761" s="1" t="s">
        <v>78</v>
      </c>
      <c r="J761" s="1" t="s">
        <v>4406</v>
      </c>
      <c r="K761" s="1" t="s">
        <v>4407</v>
      </c>
      <c r="L761" t="s">
        <v>91</v>
      </c>
      <c r="M761" t="s">
        <v>91</v>
      </c>
      <c r="N761" s="1" t="s">
        <v>3817</v>
      </c>
      <c r="O761" t="s">
        <v>91</v>
      </c>
      <c r="P761" s="1" t="s">
        <v>873</v>
      </c>
      <c r="Q761" s="1" t="s">
        <v>1949</v>
      </c>
      <c r="R761" s="1" t="s">
        <v>91</v>
      </c>
      <c r="S761">
        <v>1270</v>
      </c>
      <c r="T761">
        <v>88900035</v>
      </c>
      <c r="U761" s="1" t="s">
        <v>108</v>
      </c>
      <c r="V761" s="1" t="s">
        <v>3266</v>
      </c>
      <c r="W761" s="1" t="s">
        <v>87</v>
      </c>
      <c r="X761">
        <v>48</v>
      </c>
      <c r="Y761">
        <v>35241633</v>
      </c>
      <c r="Z761" t="s">
        <v>91</v>
      </c>
      <c r="AA761" t="s">
        <v>91</v>
      </c>
      <c r="AB761" t="s">
        <v>91</v>
      </c>
      <c r="AC761" t="s">
        <v>91</v>
      </c>
      <c r="AD761" t="s">
        <v>91</v>
      </c>
      <c r="AE761" t="s">
        <v>91</v>
      </c>
      <c r="AF761" t="s">
        <v>91</v>
      </c>
      <c r="AG761" s="1" t="s">
        <v>91</v>
      </c>
      <c r="AH761" s="1" t="s">
        <v>91</v>
      </c>
      <c r="AI761" t="s">
        <v>91</v>
      </c>
      <c r="AJ761">
        <v>0</v>
      </c>
      <c r="AK761">
        <v>0</v>
      </c>
      <c r="AL761">
        <v>0</v>
      </c>
      <c r="AM761" t="s">
        <v>91</v>
      </c>
      <c r="AN761" t="s">
        <v>91</v>
      </c>
      <c r="AO761" t="s">
        <v>91</v>
      </c>
      <c r="AP761" t="s">
        <v>91</v>
      </c>
      <c r="AQ761" s="1" t="s">
        <v>91</v>
      </c>
      <c r="AR761" s="1" t="s">
        <v>91</v>
      </c>
      <c r="AS761" s="1" t="s">
        <v>91</v>
      </c>
      <c r="AT761" s="1" t="s">
        <v>91</v>
      </c>
      <c r="AU761" s="1" t="s">
        <v>91</v>
      </c>
      <c r="AV761" t="s">
        <v>91</v>
      </c>
      <c r="AW761" t="s">
        <v>91</v>
      </c>
      <c r="AX761" t="s">
        <v>91</v>
      </c>
      <c r="AY761" t="s">
        <v>91</v>
      </c>
      <c r="AZ761" t="s">
        <v>91</v>
      </c>
      <c r="BA761" t="s">
        <v>91</v>
      </c>
      <c r="BB761" s="2"/>
      <c r="BC761" s="2"/>
      <c r="BD761" t="s">
        <v>91</v>
      </c>
      <c r="BF761" s="1" t="s">
        <v>75</v>
      </c>
      <c r="BG761">
        <v>0</v>
      </c>
      <c r="BH761">
        <v>0</v>
      </c>
      <c r="BI761" s="1" t="s">
        <v>88</v>
      </c>
      <c r="BJ761">
        <v>1</v>
      </c>
      <c r="BK761" s="1" t="s">
        <v>89</v>
      </c>
      <c r="BL761" t="s">
        <v>91</v>
      </c>
      <c r="BM761" s="1" t="s">
        <v>329</v>
      </c>
      <c r="BN761" s="1" t="s">
        <v>110</v>
      </c>
      <c r="BO761" s="1" t="s">
        <v>165</v>
      </c>
      <c r="BP761" s="1" t="s">
        <v>91</v>
      </c>
      <c r="BQ761" t="s">
        <v>91</v>
      </c>
      <c r="BR761" s="3"/>
      <c r="BS761" s="3"/>
      <c r="BT761" t="s">
        <v>91</v>
      </c>
      <c r="BU761" t="s">
        <v>91</v>
      </c>
      <c r="BV761">
        <v>1</v>
      </c>
      <c r="BW761" s="1" t="s">
        <v>120</v>
      </c>
    </row>
    <row r="762" spans="1:75" hidden="1" x14ac:dyDescent="0.35">
      <c r="A762">
        <v>4</v>
      </c>
      <c r="B762" s="1" t="s">
        <v>75</v>
      </c>
      <c r="C762">
        <v>80</v>
      </c>
      <c r="D762">
        <v>11121002</v>
      </c>
      <c r="E762">
        <v>121002</v>
      </c>
      <c r="F762" s="1" t="s">
        <v>2915</v>
      </c>
      <c r="G762" s="1" t="s">
        <v>4408</v>
      </c>
      <c r="I762" s="1" t="s">
        <v>78</v>
      </c>
      <c r="J762" s="1" t="s">
        <v>4409</v>
      </c>
      <c r="K762" s="1" t="s">
        <v>4410</v>
      </c>
      <c r="L762" t="s">
        <v>91</v>
      </c>
      <c r="M762" t="s">
        <v>91</v>
      </c>
      <c r="N762" s="1" t="s">
        <v>4411</v>
      </c>
      <c r="O762" t="s">
        <v>91</v>
      </c>
      <c r="P762" s="1" t="s">
        <v>4160</v>
      </c>
      <c r="Q762" s="1" t="s">
        <v>1610</v>
      </c>
      <c r="R762" s="1" t="s">
        <v>91</v>
      </c>
      <c r="S762">
        <v>1269</v>
      </c>
      <c r="T762">
        <v>88860000</v>
      </c>
      <c r="U762" s="1" t="s">
        <v>108</v>
      </c>
      <c r="V762" s="1" t="s">
        <v>4161</v>
      </c>
      <c r="W762" s="1" t="s">
        <v>87</v>
      </c>
      <c r="X762">
        <v>48</v>
      </c>
      <c r="Y762">
        <v>34353854</v>
      </c>
      <c r="Z762" t="s">
        <v>91</v>
      </c>
      <c r="AA762" t="s">
        <v>91</v>
      </c>
      <c r="AB762" t="s">
        <v>91</v>
      </c>
      <c r="AC762" t="s">
        <v>91</v>
      </c>
      <c r="AD762" t="s">
        <v>91</v>
      </c>
      <c r="AE762" t="s">
        <v>91</v>
      </c>
      <c r="AF762" t="s">
        <v>91</v>
      </c>
      <c r="AG762" s="1" t="s">
        <v>91</v>
      </c>
      <c r="AH762" s="1" t="s">
        <v>91</v>
      </c>
      <c r="AI762" t="s">
        <v>91</v>
      </c>
      <c r="AJ762">
        <v>0</v>
      </c>
      <c r="AK762">
        <v>0</v>
      </c>
      <c r="AL762">
        <v>0</v>
      </c>
      <c r="AM762" t="s">
        <v>91</v>
      </c>
      <c r="AN762" t="s">
        <v>91</v>
      </c>
      <c r="AO762" t="s">
        <v>91</v>
      </c>
      <c r="AP762" t="s">
        <v>91</v>
      </c>
      <c r="AQ762" s="1" t="s">
        <v>91</v>
      </c>
      <c r="AR762" s="1" t="s">
        <v>91</v>
      </c>
      <c r="AS762" s="1" t="s">
        <v>91</v>
      </c>
      <c r="AT762" s="1" t="s">
        <v>91</v>
      </c>
      <c r="AU762" s="1" t="s">
        <v>91</v>
      </c>
      <c r="AV762" t="s">
        <v>91</v>
      </c>
      <c r="AW762" t="s">
        <v>91</v>
      </c>
      <c r="AX762" t="s">
        <v>91</v>
      </c>
      <c r="AY762" t="s">
        <v>91</v>
      </c>
      <c r="AZ762" t="s">
        <v>91</v>
      </c>
      <c r="BA762" t="s">
        <v>91</v>
      </c>
      <c r="BB762" s="2">
        <v>43308.392708333333</v>
      </c>
      <c r="BC762" s="2"/>
      <c r="BD762" t="s">
        <v>91</v>
      </c>
      <c r="BE762">
        <v>4</v>
      </c>
      <c r="BF762" s="1" t="s">
        <v>75</v>
      </c>
      <c r="BG762">
        <v>0</v>
      </c>
      <c r="BH762">
        <v>0</v>
      </c>
      <c r="BI762" s="1" t="s">
        <v>88</v>
      </c>
      <c r="BJ762">
        <v>1</v>
      </c>
      <c r="BK762" s="1" t="s">
        <v>89</v>
      </c>
      <c r="BL762" t="s">
        <v>91</v>
      </c>
      <c r="BM762" s="1" t="s">
        <v>329</v>
      </c>
      <c r="BN762" s="1" t="s">
        <v>110</v>
      </c>
      <c r="BO762" s="1" t="s">
        <v>165</v>
      </c>
      <c r="BP762" s="1" t="s">
        <v>91</v>
      </c>
      <c r="BQ762" t="s">
        <v>91</v>
      </c>
      <c r="BR762" s="3">
        <v>43308</v>
      </c>
      <c r="BS762" s="3"/>
      <c r="BT762" t="s">
        <v>91</v>
      </c>
      <c r="BU762" t="s">
        <v>91</v>
      </c>
      <c r="BV762">
        <v>5</v>
      </c>
      <c r="BW762" s="1" t="s">
        <v>295</v>
      </c>
    </row>
    <row r="763" spans="1:75" hidden="1" x14ac:dyDescent="0.35">
      <c r="A763">
        <v>127483</v>
      </c>
      <c r="B763" s="1" t="s">
        <v>75</v>
      </c>
      <c r="C763">
        <v>80</v>
      </c>
      <c r="D763">
        <v>11121002</v>
      </c>
      <c r="E763">
        <v>121002</v>
      </c>
      <c r="F763" s="1" t="s">
        <v>2915</v>
      </c>
      <c r="G763" s="1" t="s">
        <v>4412</v>
      </c>
      <c r="H763">
        <v>0</v>
      </c>
      <c r="I763" s="1" t="s">
        <v>78</v>
      </c>
      <c r="J763" s="1" t="s">
        <v>4413</v>
      </c>
      <c r="K763" s="1" t="s">
        <v>4414</v>
      </c>
      <c r="L763" t="s">
        <v>91</v>
      </c>
      <c r="M763" t="s">
        <v>91</v>
      </c>
      <c r="N763" s="1" t="s">
        <v>4415</v>
      </c>
      <c r="O763" t="s">
        <v>91</v>
      </c>
      <c r="P763" s="1" t="s">
        <v>4416</v>
      </c>
      <c r="Q763" s="1" t="s">
        <v>2652</v>
      </c>
      <c r="R763" s="1" t="s">
        <v>4417</v>
      </c>
      <c r="S763">
        <v>1259</v>
      </c>
      <c r="T763">
        <v>88130280</v>
      </c>
      <c r="U763" s="1" t="s">
        <v>108</v>
      </c>
      <c r="V763" s="1" t="s">
        <v>3165</v>
      </c>
      <c r="W763" s="1" t="s">
        <v>87</v>
      </c>
      <c r="X763">
        <v>48</v>
      </c>
      <c r="Y763">
        <v>32421588</v>
      </c>
      <c r="Z763" t="s">
        <v>91</v>
      </c>
      <c r="AA763" t="s">
        <v>91</v>
      </c>
      <c r="AB763" t="s">
        <v>91</v>
      </c>
      <c r="AC763" t="s">
        <v>91</v>
      </c>
      <c r="AD763" t="s">
        <v>91</v>
      </c>
      <c r="AE763" t="s">
        <v>91</v>
      </c>
      <c r="AF763" t="s">
        <v>91</v>
      </c>
      <c r="AG763" s="1" t="s">
        <v>91</v>
      </c>
      <c r="AH763" s="1" t="s">
        <v>91</v>
      </c>
      <c r="AI763" t="s">
        <v>91</v>
      </c>
      <c r="AJ763">
        <v>0</v>
      </c>
      <c r="AK763">
        <v>0</v>
      </c>
      <c r="AL763">
        <v>0</v>
      </c>
      <c r="AM763" t="s">
        <v>91</v>
      </c>
      <c r="AN763" t="s">
        <v>91</v>
      </c>
      <c r="AO763" t="s">
        <v>91</v>
      </c>
      <c r="AP763" t="s">
        <v>91</v>
      </c>
      <c r="AQ763" s="1" t="s">
        <v>91</v>
      </c>
      <c r="AR763" s="1" t="s">
        <v>91</v>
      </c>
      <c r="AS763" s="1" t="s">
        <v>91</v>
      </c>
      <c r="AT763" s="1" t="s">
        <v>91</v>
      </c>
      <c r="AU763" s="1" t="s">
        <v>91</v>
      </c>
      <c r="AV763" t="s">
        <v>91</v>
      </c>
      <c r="AW763" t="s">
        <v>91</v>
      </c>
      <c r="AX763" t="s">
        <v>91</v>
      </c>
      <c r="AY763" t="s">
        <v>91</v>
      </c>
      <c r="AZ763" t="s">
        <v>91</v>
      </c>
      <c r="BA763" t="s">
        <v>91</v>
      </c>
      <c r="BB763" s="2">
        <v>44111.380995370368</v>
      </c>
      <c r="BC763" s="2"/>
      <c r="BD763" t="s">
        <v>91</v>
      </c>
      <c r="BF763" s="1" t="s">
        <v>75</v>
      </c>
      <c r="BG763">
        <v>0</v>
      </c>
      <c r="BH763">
        <v>0</v>
      </c>
      <c r="BI763" s="1" t="s">
        <v>88</v>
      </c>
      <c r="BJ763">
        <v>1</v>
      </c>
      <c r="BK763" s="1" t="s">
        <v>89</v>
      </c>
      <c r="BL763" t="s">
        <v>91</v>
      </c>
      <c r="BM763" s="1" t="s">
        <v>109</v>
      </c>
      <c r="BN763" s="1" t="s">
        <v>110</v>
      </c>
      <c r="BO763" s="1" t="s">
        <v>165</v>
      </c>
      <c r="BP763" s="1" t="s">
        <v>91</v>
      </c>
      <c r="BQ763" t="s">
        <v>91</v>
      </c>
      <c r="BR763" s="3">
        <v>44111</v>
      </c>
      <c r="BS763" s="3"/>
      <c r="BT763" t="s">
        <v>91</v>
      </c>
      <c r="BU763" t="s">
        <v>91</v>
      </c>
      <c r="BV763">
        <v>9</v>
      </c>
      <c r="BW763" s="1" t="s">
        <v>589</v>
      </c>
    </row>
    <row r="764" spans="1:75" hidden="1" x14ac:dyDescent="0.35">
      <c r="A764">
        <v>144368</v>
      </c>
      <c r="B764" s="1" t="s">
        <v>75</v>
      </c>
      <c r="C764">
        <v>80</v>
      </c>
      <c r="D764">
        <v>11121002</v>
      </c>
      <c r="E764">
        <v>121002</v>
      </c>
      <c r="F764" s="1" t="s">
        <v>2915</v>
      </c>
      <c r="G764" s="1" t="s">
        <v>4418</v>
      </c>
      <c r="I764" s="1" t="s">
        <v>78</v>
      </c>
      <c r="J764" s="1" t="s">
        <v>4419</v>
      </c>
      <c r="K764" s="1" t="s">
        <v>4420</v>
      </c>
      <c r="L764" t="s">
        <v>91</v>
      </c>
      <c r="M764" t="s">
        <v>91</v>
      </c>
      <c r="N764" s="1" t="s">
        <v>91</v>
      </c>
      <c r="O764" t="s">
        <v>91</v>
      </c>
      <c r="P764" s="1" t="s">
        <v>4421</v>
      </c>
      <c r="Q764" s="1" t="s">
        <v>1234</v>
      </c>
      <c r="R764" s="1" t="s">
        <v>91</v>
      </c>
      <c r="S764">
        <v>1270</v>
      </c>
      <c r="T764">
        <v>88965000</v>
      </c>
      <c r="U764" s="1" t="s">
        <v>343</v>
      </c>
      <c r="V764" s="1" t="s">
        <v>4422</v>
      </c>
      <c r="W764" s="1" t="s">
        <v>87</v>
      </c>
      <c r="X764">
        <v>48</v>
      </c>
      <c r="Y764">
        <v>35341125</v>
      </c>
      <c r="Z764" t="s">
        <v>91</v>
      </c>
      <c r="AA764" t="s">
        <v>91</v>
      </c>
      <c r="AB764" t="s">
        <v>91</v>
      </c>
      <c r="AC764" t="s">
        <v>91</v>
      </c>
      <c r="AD764" t="s">
        <v>91</v>
      </c>
      <c r="AE764" t="s">
        <v>91</v>
      </c>
      <c r="AF764" t="s">
        <v>91</v>
      </c>
      <c r="AG764" s="1" t="s">
        <v>91</v>
      </c>
      <c r="AH764" s="1" t="s">
        <v>91</v>
      </c>
      <c r="AI764" t="s">
        <v>91</v>
      </c>
      <c r="AJ764">
        <v>0</v>
      </c>
      <c r="AK764">
        <v>0</v>
      </c>
      <c r="AL764">
        <v>0</v>
      </c>
      <c r="AM764" t="s">
        <v>91</v>
      </c>
      <c r="AN764" t="s">
        <v>91</v>
      </c>
      <c r="AO764" t="s">
        <v>91</v>
      </c>
      <c r="AP764" t="s">
        <v>91</v>
      </c>
      <c r="AQ764" s="1" t="s">
        <v>91</v>
      </c>
      <c r="AR764" s="1" t="s">
        <v>91</v>
      </c>
      <c r="AS764" s="1" t="s">
        <v>91</v>
      </c>
      <c r="AT764" s="1" t="s">
        <v>91</v>
      </c>
      <c r="AU764" s="1" t="s">
        <v>91</v>
      </c>
      <c r="AV764" t="s">
        <v>91</v>
      </c>
      <c r="AW764" t="s">
        <v>91</v>
      </c>
      <c r="AX764" t="s">
        <v>91</v>
      </c>
      <c r="AY764" t="s">
        <v>91</v>
      </c>
      <c r="AZ764" t="s">
        <v>91</v>
      </c>
      <c r="BA764" t="s">
        <v>91</v>
      </c>
      <c r="BB764" s="2"/>
      <c r="BC764" s="2"/>
      <c r="BD764" t="s">
        <v>91</v>
      </c>
      <c r="BF764" s="1" t="s">
        <v>75</v>
      </c>
      <c r="BG764">
        <v>0</v>
      </c>
      <c r="BH764">
        <v>0</v>
      </c>
      <c r="BI764" s="1" t="s">
        <v>88</v>
      </c>
      <c r="BJ764">
        <v>1</v>
      </c>
      <c r="BK764" s="1" t="s">
        <v>89</v>
      </c>
      <c r="BL764" t="s">
        <v>91</v>
      </c>
      <c r="BM764" s="1" t="s">
        <v>109</v>
      </c>
      <c r="BN764" s="1" t="s">
        <v>110</v>
      </c>
      <c r="BO764" s="1" t="s">
        <v>180</v>
      </c>
      <c r="BP764" s="1" t="s">
        <v>91</v>
      </c>
      <c r="BQ764" t="s">
        <v>91</v>
      </c>
      <c r="BR764" s="3"/>
      <c r="BS764" s="3"/>
      <c r="BT764" t="s">
        <v>91</v>
      </c>
      <c r="BU764" t="s">
        <v>91</v>
      </c>
      <c r="BV764">
        <v>9</v>
      </c>
      <c r="BW764" s="1" t="s">
        <v>90</v>
      </c>
    </row>
    <row r="765" spans="1:75" hidden="1" x14ac:dyDescent="0.35">
      <c r="A765">
        <v>144371</v>
      </c>
      <c r="B765" s="1" t="s">
        <v>75</v>
      </c>
      <c r="C765">
        <v>80</v>
      </c>
      <c r="D765">
        <v>11121002</v>
      </c>
      <c r="E765">
        <v>121002</v>
      </c>
      <c r="F765" s="1" t="s">
        <v>2915</v>
      </c>
      <c r="G765" s="1" t="s">
        <v>4423</v>
      </c>
      <c r="I765" s="1" t="s">
        <v>78</v>
      </c>
      <c r="J765" s="1" t="s">
        <v>4424</v>
      </c>
      <c r="K765" s="1" t="s">
        <v>4425</v>
      </c>
      <c r="L765" t="s">
        <v>91</v>
      </c>
      <c r="M765" t="s">
        <v>91</v>
      </c>
      <c r="N765" s="1" t="s">
        <v>4426</v>
      </c>
      <c r="O765" t="s">
        <v>91</v>
      </c>
      <c r="P765" s="1" t="s">
        <v>1094</v>
      </c>
      <c r="Q765" s="1" t="s">
        <v>4427</v>
      </c>
      <c r="R765" s="1" t="s">
        <v>91</v>
      </c>
      <c r="S765">
        <v>1268</v>
      </c>
      <c r="T765">
        <v>88780000</v>
      </c>
      <c r="U765" s="1" t="s">
        <v>108</v>
      </c>
      <c r="V765" s="1" t="s">
        <v>2929</v>
      </c>
      <c r="W765" s="1" t="s">
        <v>87</v>
      </c>
      <c r="X765">
        <v>48</v>
      </c>
      <c r="Y765">
        <v>32550580</v>
      </c>
      <c r="Z765" t="s">
        <v>91</v>
      </c>
      <c r="AA765" t="s">
        <v>91</v>
      </c>
      <c r="AB765" t="s">
        <v>91</v>
      </c>
      <c r="AC765" t="s">
        <v>91</v>
      </c>
      <c r="AD765" t="s">
        <v>91</v>
      </c>
      <c r="AE765" t="s">
        <v>91</v>
      </c>
      <c r="AF765" t="s">
        <v>91</v>
      </c>
      <c r="AG765" s="1" t="s">
        <v>91</v>
      </c>
      <c r="AH765" s="1" t="s">
        <v>91</v>
      </c>
      <c r="AI765" t="s">
        <v>91</v>
      </c>
      <c r="AJ765">
        <v>0</v>
      </c>
      <c r="AK765">
        <v>0</v>
      </c>
      <c r="AL765">
        <v>0</v>
      </c>
      <c r="AM765" t="s">
        <v>91</v>
      </c>
      <c r="AN765" t="s">
        <v>91</v>
      </c>
      <c r="AO765" t="s">
        <v>91</v>
      </c>
      <c r="AP765" t="s">
        <v>91</v>
      </c>
      <c r="AQ765" s="1" t="s">
        <v>91</v>
      </c>
      <c r="AR765" s="1" t="s">
        <v>91</v>
      </c>
      <c r="AS765" s="1" t="s">
        <v>91</v>
      </c>
      <c r="AT765" s="1" t="s">
        <v>91</v>
      </c>
      <c r="AU765" s="1" t="s">
        <v>91</v>
      </c>
      <c r="AV765" t="s">
        <v>91</v>
      </c>
      <c r="AW765" t="s">
        <v>91</v>
      </c>
      <c r="AX765" t="s">
        <v>91</v>
      </c>
      <c r="AY765" t="s">
        <v>91</v>
      </c>
      <c r="AZ765" t="s">
        <v>91</v>
      </c>
      <c r="BA765" t="s">
        <v>91</v>
      </c>
      <c r="BB765" s="2"/>
      <c r="BC765" s="2"/>
      <c r="BD765" t="s">
        <v>91</v>
      </c>
      <c r="BF765" s="1" t="s">
        <v>75</v>
      </c>
      <c r="BG765">
        <v>0</v>
      </c>
      <c r="BH765">
        <v>0</v>
      </c>
      <c r="BI765" s="1" t="s">
        <v>88</v>
      </c>
      <c r="BJ765">
        <v>1</v>
      </c>
      <c r="BK765" s="1" t="s">
        <v>89</v>
      </c>
      <c r="BL765" t="s">
        <v>91</v>
      </c>
      <c r="BM765" s="1" t="s">
        <v>164</v>
      </c>
      <c r="BN765" s="1" t="s">
        <v>110</v>
      </c>
      <c r="BO765" s="1" t="s">
        <v>165</v>
      </c>
      <c r="BP765" s="1" t="s">
        <v>91</v>
      </c>
      <c r="BQ765" t="s">
        <v>91</v>
      </c>
      <c r="BR765" s="3"/>
      <c r="BS765" s="3"/>
      <c r="BT765" t="s">
        <v>91</v>
      </c>
      <c r="BU765" t="s">
        <v>91</v>
      </c>
      <c r="BV765">
        <v>1</v>
      </c>
      <c r="BW765" s="1" t="s">
        <v>120</v>
      </c>
    </row>
    <row r="766" spans="1:75" hidden="1" x14ac:dyDescent="0.35">
      <c r="A766">
        <v>156969</v>
      </c>
      <c r="B766" s="1" t="s">
        <v>75</v>
      </c>
      <c r="C766">
        <v>80</v>
      </c>
      <c r="D766">
        <v>11121002</v>
      </c>
      <c r="E766">
        <v>121002</v>
      </c>
      <c r="F766" s="1" t="s">
        <v>2915</v>
      </c>
      <c r="G766" s="1" t="s">
        <v>4428</v>
      </c>
      <c r="H766">
        <v>0</v>
      </c>
      <c r="I766" s="1" t="s">
        <v>78</v>
      </c>
      <c r="J766" s="1" t="s">
        <v>4424</v>
      </c>
      <c r="K766" s="1" t="s">
        <v>4429</v>
      </c>
      <c r="L766" t="s">
        <v>91</v>
      </c>
      <c r="M766" t="s">
        <v>91</v>
      </c>
      <c r="N766" s="1" t="s">
        <v>4430</v>
      </c>
      <c r="O766" t="s">
        <v>91</v>
      </c>
      <c r="P766" s="1" t="s">
        <v>311</v>
      </c>
      <c r="Q766" s="1" t="s">
        <v>463</v>
      </c>
      <c r="R766" s="1" t="s">
        <v>91</v>
      </c>
      <c r="S766">
        <v>1254</v>
      </c>
      <c r="T766">
        <v>88010000</v>
      </c>
      <c r="U766" s="1" t="s">
        <v>108</v>
      </c>
      <c r="V766" s="1" t="s">
        <v>2922</v>
      </c>
      <c r="W766" s="1" t="s">
        <v>87</v>
      </c>
      <c r="X766">
        <v>48</v>
      </c>
      <c r="Y766">
        <v>30283086</v>
      </c>
      <c r="Z766" t="s">
        <v>91</v>
      </c>
      <c r="AA766" t="s">
        <v>91</v>
      </c>
      <c r="AB766" t="s">
        <v>91</v>
      </c>
      <c r="AC766" t="s">
        <v>91</v>
      </c>
      <c r="AD766" t="s">
        <v>91</v>
      </c>
      <c r="AE766" t="s">
        <v>91</v>
      </c>
      <c r="AF766" t="s">
        <v>91</v>
      </c>
      <c r="AG766" s="1" t="s">
        <v>91</v>
      </c>
      <c r="AH766" s="1" t="s">
        <v>91</v>
      </c>
      <c r="AI766" t="s">
        <v>91</v>
      </c>
      <c r="AM766" t="s">
        <v>91</v>
      </c>
      <c r="AN766" t="s">
        <v>91</v>
      </c>
      <c r="AO766" t="s">
        <v>91</v>
      </c>
      <c r="AP766" t="s">
        <v>91</v>
      </c>
      <c r="AQ766" s="1" t="s">
        <v>91</v>
      </c>
      <c r="AR766" s="1" t="s">
        <v>91</v>
      </c>
      <c r="AS766" s="1" t="s">
        <v>91</v>
      </c>
      <c r="AT766" s="1" t="s">
        <v>91</v>
      </c>
      <c r="AU766" s="1" t="s">
        <v>91</v>
      </c>
      <c r="AV766" t="s">
        <v>91</v>
      </c>
      <c r="AW766" t="s">
        <v>91</v>
      </c>
      <c r="AX766" t="s">
        <v>91</v>
      </c>
      <c r="AY766" t="s">
        <v>91</v>
      </c>
      <c r="AZ766" t="s">
        <v>91</v>
      </c>
      <c r="BA766" t="s">
        <v>91</v>
      </c>
      <c r="BB766" s="2">
        <v>45113.505416666667</v>
      </c>
      <c r="BC766" s="2"/>
      <c r="BD766" t="s">
        <v>91</v>
      </c>
      <c r="BF766" s="1" t="s">
        <v>75</v>
      </c>
      <c r="BI766" s="1" t="s">
        <v>88</v>
      </c>
      <c r="BJ766">
        <v>1</v>
      </c>
      <c r="BK766" s="1" t="s">
        <v>89</v>
      </c>
      <c r="BL766" t="s">
        <v>91</v>
      </c>
      <c r="BM766" s="1" t="s">
        <v>91</v>
      </c>
      <c r="BN766" s="1" t="s">
        <v>91</v>
      </c>
      <c r="BO766" s="1" t="s">
        <v>91</v>
      </c>
      <c r="BP766" s="1" t="s">
        <v>91</v>
      </c>
      <c r="BQ766" t="s">
        <v>91</v>
      </c>
      <c r="BR766" s="3">
        <v>45113</v>
      </c>
      <c r="BS766" s="3"/>
      <c r="BT766" t="s">
        <v>91</v>
      </c>
      <c r="BU766" t="s">
        <v>91</v>
      </c>
      <c r="BW766" s="1" t="s">
        <v>90</v>
      </c>
    </row>
    <row r="767" spans="1:75" hidden="1" x14ac:dyDescent="0.35">
      <c r="A767">
        <v>157629</v>
      </c>
      <c r="B767" s="1" t="s">
        <v>75</v>
      </c>
      <c r="C767">
        <v>80</v>
      </c>
      <c r="D767">
        <v>11121002</v>
      </c>
      <c r="E767">
        <v>121002</v>
      </c>
      <c r="F767" s="1" t="s">
        <v>2915</v>
      </c>
      <c r="G767" s="1" t="s">
        <v>4431</v>
      </c>
      <c r="H767">
        <v>0</v>
      </c>
      <c r="I767" s="1" t="s">
        <v>78</v>
      </c>
      <c r="J767" s="1" t="s">
        <v>4432</v>
      </c>
      <c r="K767" s="1" t="s">
        <v>4433</v>
      </c>
      <c r="L767" t="s">
        <v>91</v>
      </c>
      <c r="M767" t="s">
        <v>91</v>
      </c>
      <c r="N767" s="1" t="s">
        <v>91</v>
      </c>
      <c r="O767" t="s">
        <v>91</v>
      </c>
      <c r="P767" s="1" t="s">
        <v>4434</v>
      </c>
      <c r="Q767" s="1" t="s">
        <v>1260</v>
      </c>
      <c r="R767" s="1" t="s">
        <v>91</v>
      </c>
      <c r="S767">
        <v>1266</v>
      </c>
      <c r="T767">
        <v>88501000</v>
      </c>
      <c r="U767" s="1" t="s">
        <v>108</v>
      </c>
      <c r="V767" s="1" t="s">
        <v>3335</v>
      </c>
      <c r="W767" s="1" t="s">
        <v>87</v>
      </c>
      <c r="X767">
        <v>49</v>
      </c>
      <c r="Y767">
        <v>32249757</v>
      </c>
      <c r="Z767" t="s">
        <v>91</v>
      </c>
      <c r="AA767" t="s">
        <v>91</v>
      </c>
      <c r="AB767" t="s">
        <v>91</v>
      </c>
      <c r="AC767" t="s">
        <v>91</v>
      </c>
      <c r="AD767" t="s">
        <v>91</v>
      </c>
      <c r="AE767" t="s">
        <v>91</v>
      </c>
      <c r="AF767" t="s">
        <v>91</v>
      </c>
      <c r="AG767" s="1" t="s">
        <v>91</v>
      </c>
      <c r="AH767" s="1" t="s">
        <v>91</v>
      </c>
      <c r="AI767" t="s">
        <v>91</v>
      </c>
      <c r="AM767" t="s">
        <v>91</v>
      </c>
      <c r="AN767" t="s">
        <v>91</v>
      </c>
      <c r="AO767" t="s">
        <v>91</v>
      </c>
      <c r="AP767" t="s">
        <v>91</v>
      </c>
      <c r="AQ767" s="1" t="s">
        <v>91</v>
      </c>
      <c r="AR767" s="1" t="s">
        <v>91</v>
      </c>
      <c r="AS767" s="1" t="s">
        <v>91</v>
      </c>
      <c r="AT767" s="1" t="s">
        <v>91</v>
      </c>
      <c r="AU767" s="1" t="s">
        <v>91</v>
      </c>
      <c r="AV767" t="s">
        <v>91</v>
      </c>
      <c r="AW767" t="s">
        <v>91</v>
      </c>
      <c r="AX767" t="s">
        <v>91</v>
      </c>
      <c r="AY767" t="s">
        <v>91</v>
      </c>
      <c r="AZ767" t="s">
        <v>91</v>
      </c>
      <c r="BA767" t="s">
        <v>91</v>
      </c>
      <c r="BB767" s="2">
        <v>45118.097175925926</v>
      </c>
      <c r="BC767" s="2"/>
      <c r="BD767" t="s">
        <v>91</v>
      </c>
      <c r="BF767" s="1" t="s">
        <v>75</v>
      </c>
      <c r="BI767" s="1" t="s">
        <v>88</v>
      </c>
      <c r="BJ767">
        <v>1</v>
      </c>
      <c r="BK767" s="1" t="s">
        <v>89</v>
      </c>
      <c r="BL767" t="s">
        <v>91</v>
      </c>
      <c r="BM767" s="1" t="s">
        <v>91</v>
      </c>
      <c r="BN767" s="1" t="s">
        <v>91</v>
      </c>
      <c r="BO767" s="1" t="s">
        <v>91</v>
      </c>
      <c r="BP767" s="1" t="s">
        <v>91</v>
      </c>
      <c r="BQ767" t="s">
        <v>91</v>
      </c>
      <c r="BR767" s="3">
        <v>45118</v>
      </c>
      <c r="BS767" s="3"/>
      <c r="BT767" t="s">
        <v>91</v>
      </c>
      <c r="BU767" t="s">
        <v>91</v>
      </c>
      <c r="BW767" s="1" t="s">
        <v>90</v>
      </c>
    </row>
    <row r="768" spans="1:75" hidden="1" x14ac:dyDescent="0.35">
      <c r="A768">
        <v>144245</v>
      </c>
      <c r="B768" s="1" t="s">
        <v>75</v>
      </c>
      <c r="C768">
        <v>80</v>
      </c>
      <c r="D768">
        <v>11121002</v>
      </c>
      <c r="E768">
        <v>121002</v>
      </c>
      <c r="F768" s="1" t="s">
        <v>2915</v>
      </c>
      <c r="G768" s="1" t="s">
        <v>4435</v>
      </c>
      <c r="H768">
        <v>0</v>
      </c>
      <c r="I768" s="1" t="s">
        <v>78</v>
      </c>
      <c r="J768" s="1" t="s">
        <v>4436</v>
      </c>
      <c r="K768" s="1" t="s">
        <v>4437</v>
      </c>
      <c r="L768" t="s">
        <v>91</v>
      </c>
      <c r="M768" t="s">
        <v>91</v>
      </c>
      <c r="N768" s="1" t="s">
        <v>4438</v>
      </c>
      <c r="O768" t="s">
        <v>91</v>
      </c>
      <c r="P768" s="1" t="s">
        <v>4439</v>
      </c>
      <c r="Q768" s="1" t="s">
        <v>974</v>
      </c>
      <c r="R768" s="1" t="s">
        <v>4440</v>
      </c>
      <c r="S768">
        <v>1255</v>
      </c>
      <c r="T768">
        <v>88015100</v>
      </c>
      <c r="U768" s="1" t="s">
        <v>108</v>
      </c>
      <c r="V768" s="1" t="s">
        <v>3102</v>
      </c>
      <c r="W768" s="1" t="s">
        <v>87</v>
      </c>
      <c r="X768">
        <v>48</v>
      </c>
      <c r="Y768">
        <v>30283086</v>
      </c>
      <c r="Z768" t="s">
        <v>91</v>
      </c>
      <c r="AA768" t="s">
        <v>91</v>
      </c>
      <c r="AB768" t="s">
        <v>91</v>
      </c>
      <c r="AC768" t="s">
        <v>91</v>
      </c>
      <c r="AD768" t="s">
        <v>91</v>
      </c>
      <c r="AE768" t="s">
        <v>91</v>
      </c>
      <c r="AF768" t="s">
        <v>91</v>
      </c>
      <c r="AG768" s="1" t="s">
        <v>91</v>
      </c>
      <c r="AH768" s="1" t="s">
        <v>91</v>
      </c>
      <c r="AI768" t="s">
        <v>91</v>
      </c>
      <c r="AJ768">
        <v>0</v>
      </c>
      <c r="AK768">
        <v>0</v>
      </c>
      <c r="AL768">
        <v>0</v>
      </c>
      <c r="AM768" t="s">
        <v>91</v>
      </c>
      <c r="AN768" t="s">
        <v>91</v>
      </c>
      <c r="AO768" t="s">
        <v>91</v>
      </c>
      <c r="AP768" t="s">
        <v>91</v>
      </c>
      <c r="AQ768" s="1" t="s">
        <v>91</v>
      </c>
      <c r="AR768" s="1" t="s">
        <v>91</v>
      </c>
      <c r="AS768" s="1" t="s">
        <v>91</v>
      </c>
      <c r="AT768" s="1" t="s">
        <v>91</v>
      </c>
      <c r="AU768" s="1" t="s">
        <v>91</v>
      </c>
      <c r="AV768" t="s">
        <v>91</v>
      </c>
      <c r="AW768" t="s">
        <v>91</v>
      </c>
      <c r="AX768" t="s">
        <v>91</v>
      </c>
      <c r="AY768" t="s">
        <v>91</v>
      </c>
      <c r="AZ768" t="s">
        <v>91</v>
      </c>
      <c r="BA768" t="s">
        <v>91</v>
      </c>
      <c r="BB768" s="2">
        <v>44543.632280092592</v>
      </c>
      <c r="BC768" s="2"/>
      <c r="BD768" t="s">
        <v>91</v>
      </c>
      <c r="BF768" s="1" t="s">
        <v>75</v>
      </c>
      <c r="BG768">
        <v>0</v>
      </c>
      <c r="BH768">
        <v>0</v>
      </c>
      <c r="BI768" s="1" t="s">
        <v>88</v>
      </c>
      <c r="BJ768">
        <v>1</v>
      </c>
      <c r="BK768" s="1" t="s">
        <v>89</v>
      </c>
      <c r="BL768" t="s">
        <v>91</v>
      </c>
      <c r="BM768" s="1" t="s">
        <v>109</v>
      </c>
      <c r="BN768" s="1" t="s">
        <v>148</v>
      </c>
      <c r="BO768" s="1" t="s">
        <v>180</v>
      </c>
      <c r="BP768" s="1" t="s">
        <v>91</v>
      </c>
      <c r="BQ768" t="s">
        <v>91</v>
      </c>
      <c r="BR768" s="3">
        <v>44543</v>
      </c>
      <c r="BS768" s="3"/>
      <c r="BT768" t="s">
        <v>91</v>
      </c>
      <c r="BU768" t="s">
        <v>91</v>
      </c>
      <c r="BW768" s="1" t="s">
        <v>90</v>
      </c>
    </row>
    <row r="769" spans="1:75" hidden="1" x14ac:dyDescent="0.35">
      <c r="A769">
        <v>157595</v>
      </c>
      <c r="B769" s="1" t="s">
        <v>75</v>
      </c>
      <c r="C769">
        <v>80</v>
      </c>
      <c r="D769">
        <v>11121002</v>
      </c>
      <c r="E769">
        <v>121002</v>
      </c>
      <c r="F769" s="1" t="s">
        <v>2915</v>
      </c>
      <c r="G769" s="1" t="s">
        <v>4441</v>
      </c>
      <c r="H769">
        <v>0</v>
      </c>
      <c r="I769" s="1" t="s">
        <v>78</v>
      </c>
      <c r="J769" s="1" t="s">
        <v>4442</v>
      </c>
      <c r="K769" s="1" t="s">
        <v>4443</v>
      </c>
      <c r="L769" t="s">
        <v>91</v>
      </c>
      <c r="M769" t="s">
        <v>91</v>
      </c>
      <c r="N769" s="1" t="s">
        <v>4438</v>
      </c>
      <c r="O769" t="s">
        <v>91</v>
      </c>
      <c r="P769" s="1" t="s">
        <v>2920</v>
      </c>
      <c r="Q769" s="1" t="s">
        <v>2177</v>
      </c>
      <c r="R769" s="1" t="s">
        <v>91</v>
      </c>
      <c r="S769">
        <v>1254</v>
      </c>
      <c r="T769">
        <v>88010020</v>
      </c>
      <c r="U769" s="1" t="s">
        <v>108</v>
      </c>
      <c r="V769" s="1" t="s">
        <v>2922</v>
      </c>
      <c r="W769" s="1" t="s">
        <v>87</v>
      </c>
      <c r="X769">
        <v>48</v>
      </c>
      <c r="Y769">
        <v>30283086</v>
      </c>
      <c r="Z769" t="s">
        <v>91</v>
      </c>
      <c r="AA769" t="s">
        <v>91</v>
      </c>
      <c r="AB769" t="s">
        <v>91</v>
      </c>
      <c r="AC769" t="s">
        <v>91</v>
      </c>
      <c r="AD769" t="s">
        <v>91</v>
      </c>
      <c r="AE769" t="s">
        <v>91</v>
      </c>
      <c r="AF769" t="s">
        <v>91</v>
      </c>
      <c r="AG769" s="1" t="s">
        <v>91</v>
      </c>
      <c r="AH769" s="1" t="s">
        <v>91</v>
      </c>
      <c r="AI769" t="s">
        <v>91</v>
      </c>
      <c r="AM769" t="s">
        <v>91</v>
      </c>
      <c r="AN769" t="s">
        <v>91</v>
      </c>
      <c r="AO769" t="s">
        <v>91</v>
      </c>
      <c r="AP769" t="s">
        <v>91</v>
      </c>
      <c r="AQ769" s="1" t="s">
        <v>91</v>
      </c>
      <c r="AR769" s="1" t="s">
        <v>91</v>
      </c>
      <c r="AS769" s="1" t="s">
        <v>91</v>
      </c>
      <c r="AT769" s="1" t="s">
        <v>91</v>
      </c>
      <c r="AU769" s="1" t="s">
        <v>91</v>
      </c>
      <c r="AV769" t="s">
        <v>91</v>
      </c>
      <c r="AW769" t="s">
        <v>91</v>
      </c>
      <c r="AX769" t="s">
        <v>91</v>
      </c>
      <c r="AY769" t="s">
        <v>91</v>
      </c>
      <c r="AZ769" t="s">
        <v>91</v>
      </c>
      <c r="BA769" t="s">
        <v>91</v>
      </c>
      <c r="BB769" s="2">
        <v>45118.097175925926</v>
      </c>
      <c r="BC769" s="2"/>
      <c r="BD769" t="s">
        <v>91</v>
      </c>
      <c r="BF769" s="1" t="s">
        <v>75</v>
      </c>
      <c r="BI769" s="1" t="s">
        <v>88</v>
      </c>
      <c r="BJ769">
        <v>1</v>
      </c>
      <c r="BK769" s="1" t="s">
        <v>89</v>
      </c>
      <c r="BL769" t="s">
        <v>91</v>
      </c>
      <c r="BM769" s="1" t="s">
        <v>91</v>
      </c>
      <c r="BN769" s="1" t="s">
        <v>91</v>
      </c>
      <c r="BO769" s="1" t="s">
        <v>91</v>
      </c>
      <c r="BP769" s="1" t="s">
        <v>91</v>
      </c>
      <c r="BQ769" t="s">
        <v>91</v>
      </c>
      <c r="BR769" s="3">
        <v>45118</v>
      </c>
      <c r="BS769" s="3"/>
      <c r="BT769" t="s">
        <v>91</v>
      </c>
      <c r="BU769" t="s">
        <v>91</v>
      </c>
      <c r="BW769" s="1" t="s">
        <v>90</v>
      </c>
    </row>
    <row r="770" spans="1:75" hidden="1" x14ac:dyDescent="0.35">
      <c r="A770">
        <v>157596</v>
      </c>
      <c r="B770" s="1" t="s">
        <v>75</v>
      </c>
      <c r="C770">
        <v>80</v>
      </c>
      <c r="D770">
        <v>11121002</v>
      </c>
      <c r="E770">
        <v>121002</v>
      </c>
      <c r="F770" s="1" t="s">
        <v>2915</v>
      </c>
      <c r="G770" s="1" t="s">
        <v>4444</v>
      </c>
      <c r="H770">
        <v>0</v>
      </c>
      <c r="I770" s="1" t="s">
        <v>78</v>
      </c>
      <c r="J770" s="1" t="s">
        <v>4442</v>
      </c>
      <c r="K770" s="1" t="s">
        <v>4445</v>
      </c>
      <c r="L770" t="s">
        <v>91</v>
      </c>
      <c r="M770" t="s">
        <v>91</v>
      </c>
      <c r="N770" s="1" t="s">
        <v>4438</v>
      </c>
      <c r="O770" t="s">
        <v>91</v>
      </c>
      <c r="P770" s="1" t="s">
        <v>311</v>
      </c>
      <c r="Q770" s="1" t="s">
        <v>463</v>
      </c>
      <c r="R770" s="1" t="s">
        <v>1522</v>
      </c>
      <c r="S770">
        <v>1254</v>
      </c>
      <c r="T770">
        <v>88010002</v>
      </c>
      <c r="U770" s="1" t="s">
        <v>108</v>
      </c>
      <c r="V770" s="1" t="s">
        <v>2922</v>
      </c>
      <c r="W770" s="1" t="s">
        <v>87</v>
      </c>
      <c r="X770">
        <v>48</v>
      </c>
      <c r="Y770">
        <v>30283088</v>
      </c>
      <c r="Z770" t="s">
        <v>91</v>
      </c>
      <c r="AA770" t="s">
        <v>91</v>
      </c>
      <c r="AB770" t="s">
        <v>91</v>
      </c>
      <c r="AC770" t="s">
        <v>91</v>
      </c>
      <c r="AD770" t="s">
        <v>91</v>
      </c>
      <c r="AE770" t="s">
        <v>91</v>
      </c>
      <c r="AF770" t="s">
        <v>91</v>
      </c>
      <c r="AG770" s="1" t="s">
        <v>91</v>
      </c>
      <c r="AH770" s="1" t="s">
        <v>91</v>
      </c>
      <c r="AI770" t="s">
        <v>91</v>
      </c>
      <c r="AM770" t="s">
        <v>91</v>
      </c>
      <c r="AN770" t="s">
        <v>91</v>
      </c>
      <c r="AO770" t="s">
        <v>91</v>
      </c>
      <c r="AP770" t="s">
        <v>91</v>
      </c>
      <c r="AQ770" s="1" t="s">
        <v>91</v>
      </c>
      <c r="AR770" s="1" t="s">
        <v>91</v>
      </c>
      <c r="AS770" s="1" t="s">
        <v>91</v>
      </c>
      <c r="AT770" s="1" t="s">
        <v>91</v>
      </c>
      <c r="AU770" s="1" t="s">
        <v>91</v>
      </c>
      <c r="AV770" t="s">
        <v>91</v>
      </c>
      <c r="AW770" t="s">
        <v>91</v>
      </c>
      <c r="AX770" t="s">
        <v>91</v>
      </c>
      <c r="AY770" t="s">
        <v>91</v>
      </c>
      <c r="AZ770" t="s">
        <v>91</v>
      </c>
      <c r="BA770" t="s">
        <v>91</v>
      </c>
      <c r="BB770" s="2">
        <v>45118.097175925926</v>
      </c>
      <c r="BC770" s="2"/>
      <c r="BD770" t="s">
        <v>91</v>
      </c>
      <c r="BF770" s="1" t="s">
        <v>75</v>
      </c>
      <c r="BI770" s="1" t="s">
        <v>88</v>
      </c>
      <c r="BJ770">
        <v>1</v>
      </c>
      <c r="BK770" s="1" t="s">
        <v>89</v>
      </c>
      <c r="BL770" t="s">
        <v>91</v>
      </c>
      <c r="BM770" s="1" t="s">
        <v>91</v>
      </c>
      <c r="BN770" s="1" t="s">
        <v>91</v>
      </c>
      <c r="BO770" s="1" t="s">
        <v>91</v>
      </c>
      <c r="BP770" s="1" t="s">
        <v>91</v>
      </c>
      <c r="BQ770" t="s">
        <v>91</v>
      </c>
      <c r="BR770" s="3">
        <v>45118</v>
      </c>
      <c r="BS770" s="3"/>
      <c r="BT770" t="s">
        <v>91</v>
      </c>
      <c r="BU770" t="s">
        <v>91</v>
      </c>
      <c r="BW770" s="1" t="s">
        <v>90</v>
      </c>
    </row>
    <row r="771" spans="1:75" hidden="1" x14ac:dyDescent="0.35">
      <c r="A771">
        <v>118685</v>
      </c>
      <c r="B771" s="1" t="s">
        <v>75</v>
      </c>
      <c r="C771">
        <v>80</v>
      </c>
      <c r="D771">
        <v>11121002</v>
      </c>
      <c r="E771">
        <v>121002</v>
      </c>
      <c r="F771" s="1" t="s">
        <v>2915</v>
      </c>
      <c r="G771" s="1" t="s">
        <v>4446</v>
      </c>
      <c r="I771" s="1" t="s">
        <v>78</v>
      </c>
      <c r="J771" s="1" t="s">
        <v>4447</v>
      </c>
      <c r="K771" s="1" t="s">
        <v>4448</v>
      </c>
      <c r="L771" t="s">
        <v>91</v>
      </c>
      <c r="M771" t="s">
        <v>91</v>
      </c>
      <c r="N771" s="1" t="s">
        <v>4449</v>
      </c>
      <c r="O771" t="s">
        <v>91</v>
      </c>
      <c r="P771" s="1" t="s">
        <v>3645</v>
      </c>
      <c r="Q771" s="1" t="s">
        <v>941</v>
      </c>
      <c r="R771" s="1" t="s">
        <v>4450</v>
      </c>
      <c r="S771">
        <v>1269</v>
      </c>
      <c r="T771">
        <v>88820000</v>
      </c>
      <c r="U771" s="1" t="s">
        <v>108</v>
      </c>
      <c r="V771" s="1" t="s">
        <v>3181</v>
      </c>
      <c r="W771" s="1" t="s">
        <v>87</v>
      </c>
      <c r="X771">
        <v>48</v>
      </c>
      <c r="Y771">
        <v>34323331</v>
      </c>
      <c r="Z771" t="s">
        <v>91</v>
      </c>
      <c r="AA771" t="s">
        <v>91</v>
      </c>
      <c r="AB771" t="s">
        <v>91</v>
      </c>
      <c r="AC771" t="s">
        <v>91</v>
      </c>
      <c r="AD771" t="s">
        <v>91</v>
      </c>
      <c r="AE771" t="s">
        <v>91</v>
      </c>
      <c r="AF771" t="s">
        <v>91</v>
      </c>
      <c r="AG771" s="1" t="s">
        <v>91</v>
      </c>
      <c r="AH771" s="1" t="s">
        <v>91</v>
      </c>
      <c r="AI771" t="s">
        <v>91</v>
      </c>
      <c r="AJ771">
        <v>0</v>
      </c>
      <c r="AK771">
        <v>0</v>
      </c>
      <c r="AL771">
        <v>0</v>
      </c>
      <c r="AM771" t="s">
        <v>91</v>
      </c>
      <c r="AN771" t="s">
        <v>91</v>
      </c>
      <c r="AO771" t="s">
        <v>91</v>
      </c>
      <c r="AP771" t="s">
        <v>91</v>
      </c>
      <c r="AQ771" s="1" t="s">
        <v>91</v>
      </c>
      <c r="AR771" s="1" t="s">
        <v>91</v>
      </c>
      <c r="AS771" s="1" t="s">
        <v>91</v>
      </c>
      <c r="AT771" s="1" t="s">
        <v>91</v>
      </c>
      <c r="AU771" s="1" t="s">
        <v>91</v>
      </c>
      <c r="AV771" t="s">
        <v>91</v>
      </c>
      <c r="AW771" t="s">
        <v>91</v>
      </c>
      <c r="AX771" t="s">
        <v>91</v>
      </c>
      <c r="AY771" t="s">
        <v>91</v>
      </c>
      <c r="AZ771" t="s">
        <v>91</v>
      </c>
      <c r="BA771" t="s">
        <v>91</v>
      </c>
      <c r="BB771" s="2"/>
      <c r="BC771" s="2"/>
      <c r="BD771" t="s">
        <v>91</v>
      </c>
      <c r="BF771" s="1" t="s">
        <v>75</v>
      </c>
      <c r="BG771">
        <v>0</v>
      </c>
      <c r="BH771">
        <v>0</v>
      </c>
      <c r="BI771" s="1" t="s">
        <v>88</v>
      </c>
      <c r="BJ771">
        <v>1</v>
      </c>
      <c r="BK771" s="1" t="s">
        <v>89</v>
      </c>
      <c r="BL771" t="s">
        <v>91</v>
      </c>
      <c r="BM771" s="1" t="s">
        <v>109</v>
      </c>
      <c r="BN771" s="1" t="s">
        <v>110</v>
      </c>
      <c r="BO771" s="1" t="s">
        <v>111</v>
      </c>
      <c r="BP771" s="1" t="s">
        <v>91</v>
      </c>
      <c r="BQ771" t="s">
        <v>91</v>
      </c>
      <c r="BR771" s="3"/>
      <c r="BS771" s="3"/>
      <c r="BT771" t="s">
        <v>91</v>
      </c>
      <c r="BU771" t="s">
        <v>91</v>
      </c>
      <c r="BV771">
        <v>9</v>
      </c>
      <c r="BW771" s="1" t="s">
        <v>478</v>
      </c>
    </row>
    <row r="772" spans="1:75" hidden="1" x14ac:dyDescent="0.35">
      <c r="A772">
        <v>43</v>
      </c>
      <c r="B772" s="1" t="s">
        <v>75</v>
      </c>
      <c r="C772">
        <v>80</v>
      </c>
      <c r="D772">
        <v>11121002</v>
      </c>
      <c r="E772">
        <v>121002</v>
      </c>
      <c r="F772" s="1" t="s">
        <v>2915</v>
      </c>
      <c r="G772" s="1" t="s">
        <v>4451</v>
      </c>
      <c r="I772" s="1" t="s">
        <v>78</v>
      </c>
      <c r="J772" s="1" t="s">
        <v>4452</v>
      </c>
      <c r="K772" s="1" t="s">
        <v>4453</v>
      </c>
      <c r="L772" t="s">
        <v>91</v>
      </c>
      <c r="M772" t="s">
        <v>91</v>
      </c>
      <c r="N772" s="1" t="s">
        <v>4454</v>
      </c>
      <c r="O772" t="s">
        <v>91</v>
      </c>
      <c r="P772" s="1" t="s">
        <v>3728</v>
      </c>
      <c r="Q772" s="1" t="s">
        <v>1319</v>
      </c>
      <c r="R772" s="1" t="s">
        <v>4455</v>
      </c>
      <c r="S772">
        <v>1269</v>
      </c>
      <c r="T772">
        <v>88840000</v>
      </c>
      <c r="U772" s="1" t="s">
        <v>343</v>
      </c>
      <c r="V772" s="1" t="s">
        <v>3729</v>
      </c>
      <c r="W772" s="1" t="s">
        <v>87</v>
      </c>
      <c r="X772">
        <v>48</v>
      </c>
      <c r="Y772">
        <v>34651386</v>
      </c>
      <c r="Z772" t="s">
        <v>91</v>
      </c>
      <c r="AA772" t="s">
        <v>91</v>
      </c>
      <c r="AB772" t="s">
        <v>91</v>
      </c>
      <c r="AC772" t="s">
        <v>91</v>
      </c>
      <c r="AD772" t="s">
        <v>91</v>
      </c>
      <c r="AE772" t="s">
        <v>91</v>
      </c>
      <c r="AF772" t="s">
        <v>91</v>
      </c>
      <c r="AG772" s="1" t="s">
        <v>91</v>
      </c>
      <c r="AH772" s="1" t="s">
        <v>91</v>
      </c>
      <c r="AI772" t="s">
        <v>91</v>
      </c>
      <c r="AJ772">
        <v>0</v>
      </c>
      <c r="AK772">
        <v>0</v>
      </c>
      <c r="AL772">
        <v>0</v>
      </c>
      <c r="AM772" t="s">
        <v>91</v>
      </c>
      <c r="AN772" t="s">
        <v>91</v>
      </c>
      <c r="AO772" t="s">
        <v>91</v>
      </c>
      <c r="AP772" t="s">
        <v>91</v>
      </c>
      <c r="AQ772" s="1" t="s">
        <v>91</v>
      </c>
      <c r="AR772" s="1" t="s">
        <v>91</v>
      </c>
      <c r="AS772" s="1" t="s">
        <v>91</v>
      </c>
      <c r="AT772" s="1" t="s">
        <v>91</v>
      </c>
      <c r="AU772" s="1" t="s">
        <v>91</v>
      </c>
      <c r="AV772" t="s">
        <v>91</v>
      </c>
      <c r="AW772" t="s">
        <v>91</v>
      </c>
      <c r="AX772" t="s">
        <v>91</v>
      </c>
      <c r="AY772" t="s">
        <v>91</v>
      </c>
      <c r="AZ772" t="s">
        <v>91</v>
      </c>
      <c r="BA772" t="s">
        <v>91</v>
      </c>
      <c r="BB772" s="2">
        <v>43308.39271990741</v>
      </c>
      <c r="BC772" s="2"/>
      <c r="BD772" t="s">
        <v>91</v>
      </c>
      <c r="BE772">
        <v>43</v>
      </c>
      <c r="BF772" s="1" t="s">
        <v>75</v>
      </c>
      <c r="BG772">
        <v>0</v>
      </c>
      <c r="BH772">
        <v>0</v>
      </c>
      <c r="BI772" s="1" t="s">
        <v>88</v>
      </c>
      <c r="BJ772">
        <v>1</v>
      </c>
      <c r="BK772" s="1" t="s">
        <v>89</v>
      </c>
      <c r="BL772" t="s">
        <v>91</v>
      </c>
      <c r="BM772" s="1" t="s">
        <v>109</v>
      </c>
      <c r="BN772" s="1" t="s">
        <v>110</v>
      </c>
      <c r="BO772" s="1" t="s">
        <v>165</v>
      </c>
      <c r="BP772" s="1" t="s">
        <v>91</v>
      </c>
      <c r="BQ772" t="s">
        <v>91</v>
      </c>
      <c r="BR772" s="3">
        <v>43308</v>
      </c>
      <c r="BS772" s="3"/>
      <c r="BT772" t="s">
        <v>91</v>
      </c>
      <c r="BU772" t="s">
        <v>91</v>
      </c>
      <c r="BV772">
        <v>5</v>
      </c>
      <c r="BW772" s="1" t="s">
        <v>478</v>
      </c>
    </row>
    <row r="773" spans="1:75" hidden="1" x14ac:dyDescent="0.35">
      <c r="A773">
        <v>144359</v>
      </c>
      <c r="B773" s="1" t="s">
        <v>75</v>
      </c>
      <c r="C773">
        <v>80</v>
      </c>
      <c r="D773">
        <v>11121002</v>
      </c>
      <c r="E773">
        <v>121002</v>
      </c>
      <c r="F773" s="1" t="s">
        <v>2915</v>
      </c>
      <c r="G773" s="1" t="s">
        <v>4456</v>
      </c>
      <c r="I773" s="1" t="s">
        <v>78</v>
      </c>
      <c r="J773" s="1" t="s">
        <v>4457</v>
      </c>
      <c r="K773" s="1" t="s">
        <v>4458</v>
      </c>
      <c r="L773" t="s">
        <v>91</v>
      </c>
      <c r="M773" t="s">
        <v>91</v>
      </c>
      <c r="N773" s="1" t="s">
        <v>4459</v>
      </c>
      <c r="O773" t="s">
        <v>91</v>
      </c>
      <c r="P773" s="1" t="s">
        <v>4460</v>
      </c>
      <c r="Q773" s="1" t="s">
        <v>463</v>
      </c>
      <c r="R773" s="1" t="s">
        <v>236</v>
      </c>
      <c r="S773">
        <v>1269</v>
      </c>
      <c r="T773">
        <v>88801250</v>
      </c>
      <c r="U773" s="1" t="s">
        <v>108</v>
      </c>
      <c r="V773" s="1" t="s">
        <v>3231</v>
      </c>
      <c r="W773" s="1" t="s">
        <v>87</v>
      </c>
      <c r="X773">
        <v>48</v>
      </c>
      <c r="Y773">
        <v>34337877</v>
      </c>
      <c r="Z773" t="s">
        <v>91</v>
      </c>
      <c r="AA773" t="s">
        <v>91</v>
      </c>
      <c r="AB773" t="s">
        <v>91</v>
      </c>
      <c r="AC773" t="s">
        <v>91</v>
      </c>
      <c r="AD773" t="s">
        <v>91</v>
      </c>
      <c r="AE773" t="s">
        <v>91</v>
      </c>
      <c r="AF773" t="s">
        <v>91</v>
      </c>
      <c r="AG773" s="1" t="s">
        <v>91</v>
      </c>
      <c r="AH773" s="1" t="s">
        <v>91</v>
      </c>
      <c r="AI773" t="s">
        <v>91</v>
      </c>
      <c r="AJ773">
        <v>0</v>
      </c>
      <c r="AK773">
        <v>0</v>
      </c>
      <c r="AL773">
        <v>0</v>
      </c>
      <c r="AM773" t="s">
        <v>91</v>
      </c>
      <c r="AN773" t="s">
        <v>91</v>
      </c>
      <c r="AO773" t="s">
        <v>91</v>
      </c>
      <c r="AP773" t="s">
        <v>91</v>
      </c>
      <c r="AQ773" s="1" t="s">
        <v>91</v>
      </c>
      <c r="AR773" s="1" t="s">
        <v>91</v>
      </c>
      <c r="AS773" s="1" t="s">
        <v>91</v>
      </c>
      <c r="AT773" s="1" t="s">
        <v>91</v>
      </c>
      <c r="AU773" s="1" t="s">
        <v>91</v>
      </c>
      <c r="AV773" t="s">
        <v>91</v>
      </c>
      <c r="AW773" t="s">
        <v>91</v>
      </c>
      <c r="AX773" t="s">
        <v>91</v>
      </c>
      <c r="AY773" t="s">
        <v>91</v>
      </c>
      <c r="AZ773" t="s">
        <v>91</v>
      </c>
      <c r="BA773" t="s">
        <v>91</v>
      </c>
      <c r="BB773" s="2"/>
      <c r="BC773" s="2"/>
      <c r="BD773" t="s">
        <v>91</v>
      </c>
      <c r="BF773" s="1" t="s">
        <v>75</v>
      </c>
      <c r="BG773">
        <v>0</v>
      </c>
      <c r="BH773">
        <v>0</v>
      </c>
      <c r="BI773" s="1" t="s">
        <v>88</v>
      </c>
      <c r="BJ773">
        <v>1</v>
      </c>
      <c r="BK773" s="1" t="s">
        <v>89</v>
      </c>
      <c r="BL773" t="s">
        <v>91</v>
      </c>
      <c r="BM773" s="1" t="s">
        <v>109</v>
      </c>
      <c r="BN773" s="1" t="s">
        <v>148</v>
      </c>
      <c r="BO773" s="1" t="s">
        <v>165</v>
      </c>
      <c r="BP773" s="1" t="s">
        <v>91</v>
      </c>
      <c r="BQ773" t="s">
        <v>91</v>
      </c>
      <c r="BR773" s="3"/>
      <c r="BS773" s="3"/>
      <c r="BT773" t="s">
        <v>91</v>
      </c>
      <c r="BU773" t="s">
        <v>91</v>
      </c>
      <c r="BV773">
        <v>9</v>
      </c>
      <c r="BW773" s="1" t="s">
        <v>295</v>
      </c>
    </row>
    <row r="774" spans="1:75" hidden="1" x14ac:dyDescent="0.35">
      <c r="A774">
        <v>144705</v>
      </c>
      <c r="B774" s="1" t="s">
        <v>75</v>
      </c>
      <c r="C774">
        <v>80</v>
      </c>
      <c r="D774">
        <v>11121002</v>
      </c>
      <c r="E774">
        <v>121002</v>
      </c>
      <c r="F774" s="1" t="s">
        <v>2915</v>
      </c>
      <c r="G774" s="1" t="s">
        <v>4461</v>
      </c>
      <c r="I774" s="1" t="s">
        <v>78</v>
      </c>
      <c r="J774" s="1" t="s">
        <v>4462</v>
      </c>
      <c r="K774" s="1" t="s">
        <v>4463</v>
      </c>
      <c r="L774" t="s">
        <v>91</v>
      </c>
      <c r="M774" t="s">
        <v>91</v>
      </c>
      <c r="N774" s="1" t="s">
        <v>4464</v>
      </c>
      <c r="O774" t="s">
        <v>91</v>
      </c>
      <c r="P774" s="1" t="s">
        <v>4465</v>
      </c>
      <c r="Q774" s="1" t="s">
        <v>714</v>
      </c>
      <c r="R774" s="1" t="s">
        <v>370</v>
      </c>
      <c r="S774">
        <v>1336</v>
      </c>
      <c r="T774">
        <v>95560000</v>
      </c>
      <c r="U774" s="1" t="s">
        <v>343</v>
      </c>
      <c r="V774" s="1" t="s">
        <v>3038</v>
      </c>
      <c r="W774" s="1" t="s">
        <v>157</v>
      </c>
      <c r="X774">
        <v>51</v>
      </c>
      <c r="Y774">
        <v>36642825</v>
      </c>
      <c r="Z774" t="s">
        <v>91</v>
      </c>
      <c r="AA774" t="s">
        <v>91</v>
      </c>
      <c r="AB774" t="s">
        <v>91</v>
      </c>
      <c r="AC774" t="s">
        <v>91</v>
      </c>
      <c r="AD774" t="s">
        <v>91</v>
      </c>
      <c r="AE774" t="s">
        <v>91</v>
      </c>
      <c r="AF774" t="s">
        <v>91</v>
      </c>
      <c r="AG774" s="1" t="s">
        <v>146</v>
      </c>
      <c r="AH774" s="1" t="s">
        <v>91</v>
      </c>
      <c r="AI774" t="s">
        <v>91</v>
      </c>
      <c r="AJ774">
        <v>0</v>
      </c>
      <c r="AK774">
        <v>0</v>
      </c>
      <c r="AL774">
        <v>0</v>
      </c>
      <c r="AM774" t="s">
        <v>91</v>
      </c>
      <c r="AN774" t="s">
        <v>91</v>
      </c>
      <c r="AO774" t="s">
        <v>91</v>
      </c>
      <c r="AP774" t="s">
        <v>91</v>
      </c>
      <c r="AQ774" s="1" t="s">
        <v>147</v>
      </c>
      <c r="AR774" s="1" t="s">
        <v>147</v>
      </c>
      <c r="AS774" s="1" t="s">
        <v>147</v>
      </c>
      <c r="AT774" s="1" t="s">
        <v>147</v>
      </c>
      <c r="AU774" s="1" t="s">
        <v>147</v>
      </c>
      <c r="AV774" t="s">
        <v>91</v>
      </c>
      <c r="AW774" t="s">
        <v>91</v>
      </c>
      <c r="AX774" t="s">
        <v>91</v>
      </c>
      <c r="AY774" t="s">
        <v>91</v>
      </c>
      <c r="AZ774" t="s">
        <v>91</v>
      </c>
      <c r="BA774" t="s">
        <v>91</v>
      </c>
      <c r="BB774" s="2"/>
      <c r="BC774" s="2">
        <v>44574.671805555554</v>
      </c>
      <c r="BD774" t="s">
        <v>91</v>
      </c>
      <c r="BF774" s="1" t="s">
        <v>75</v>
      </c>
      <c r="BG774">
        <v>0</v>
      </c>
      <c r="BH774">
        <v>0</v>
      </c>
      <c r="BI774" s="1" t="s">
        <v>88</v>
      </c>
      <c r="BJ774">
        <v>1</v>
      </c>
      <c r="BK774" s="1" t="s">
        <v>89</v>
      </c>
      <c r="BL774" t="s">
        <v>91</v>
      </c>
      <c r="BM774" s="1" t="s">
        <v>109</v>
      </c>
      <c r="BN774" s="1" t="s">
        <v>148</v>
      </c>
      <c r="BO774" s="1" t="s">
        <v>111</v>
      </c>
      <c r="BP774" s="1" t="s">
        <v>91</v>
      </c>
      <c r="BQ774" t="s">
        <v>91</v>
      </c>
      <c r="BR774" s="3"/>
      <c r="BS774" s="3">
        <v>44574</v>
      </c>
      <c r="BT774" t="s">
        <v>91</v>
      </c>
      <c r="BU774" t="s">
        <v>91</v>
      </c>
      <c r="BV774">
        <v>6</v>
      </c>
      <c r="BW774" s="1" t="s">
        <v>4466</v>
      </c>
    </row>
    <row r="775" spans="1:75" hidden="1" x14ac:dyDescent="0.35">
      <c r="A775">
        <v>157635</v>
      </c>
      <c r="B775" s="1" t="s">
        <v>75</v>
      </c>
      <c r="C775">
        <v>80</v>
      </c>
      <c r="D775">
        <v>11121002</v>
      </c>
      <c r="E775">
        <v>121002</v>
      </c>
      <c r="F775" s="1" t="s">
        <v>2915</v>
      </c>
      <c r="G775" s="1" t="s">
        <v>4467</v>
      </c>
      <c r="H775">
        <v>0</v>
      </c>
      <c r="I775" s="1" t="s">
        <v>78</v>
      </c>
      <c r="J775" s="1" t="s">
        <v>4468</v>
      </c>
      <c r="K775" s="1" t="s">
        <v>4469</v>
      </c>
      <c r="L775" t="s">
        <v>91</v>
      </c>
      <c r="M775" t="s">
        <v>91</v>
      </c>
      <c r="N775" s="1" t="s">
        <v>4470</v>
      </c>
      <c r="O775" t="s">
        <v>91</v>
      </c>
      <c r="P775" s="1" t="s">
        <v>4434</v>
      </c>
      <c r="Q775" s="1" t="s">
        <v>312</v>
      </c>
      <c r="R775" s="1" t="s">
        <v>91</v>
      </c>
      <c r="S775">
        <v>1266</v>
      </c>
      <c r="T775">
        <v>88501000</v>
      </c>
      <c r="U775" s="1" t="s">
        <v>108</v>
      </c>
      <c r="V775" s="1" t="s">
        <v>3335</v>
      </c>
      <c r="W775" s="1" t="s">
        <v>87</v>
      </c>
      <c r="X775">
        <v>49</v>
      </c>
      <c r="Y775">
        <v>32223444</v>
      </c>
      <c r="Z775" t="s">
        <v>91</v>
      </c>
      <c r="AA775" t="s">
        <v>91</v>
      </c>
      <c r="AB775" t="s">
        <v>91</v>
      </c>
      <c r="AC775" t="s">
        <v>91</v>
      </c>
      <c r="AD775" t="s">
        <v>91</v>
      </c>
      <c r="AE775" t="s">
        <v>91</v>
      </c>
      <c r="AF775" t="s">
        <v>91</v>
      </c>
      <c r="AG775" s="1" t="s">
        <v>91</v>
      </c>
      <c r="AH775" s="1" t="s">
        <v>91</v>
      </c>
      <c r="AI775" t="s">
        <v>91</v>
      </c>
      <c r="AM775" t="s">
        <v>91</v>
      </c>
      <c r="AN775" t="s">
        <v>91</v>
      </c>
      <c r="AO775" t="s">
        <v>91</v>
      </c>
      <c r="AP775" t="s">
        <v>91</v>
      </c>
      <c r="AQ775" s="1" t="s">
        <v>91</v>
      </c>
      <c r="AR775" s="1" t="s">
        <v>91</v>
      </c>
      <c r="AS775" s="1" t="s">
        <v>91</v>
      </c>
      <c r="AT775" s="1" t="s">
        <v>91</v>
      </c>
      <c r="AU775" s="1" t="s">
        <v>91</v>
      </c>
      <c r="AV775" t="s">
        <v>91</v>
      </c>
      <c r="AW775" t="s">
        <v>91</v>
      </c>
      <c r="AX775" t="s">
        <v>91</v>
      </c>
      <c r="AY775" t="s">
        <v>91</v>
      </c>
      <c r="AZ775" t="s">
        <v>91</v>
      </c>
      <c r="BA775" t="s">
        <v>91</v>
      </c>
      <c r="BB775" s="2">
        <v>45118.097175925926</v>
      </c>
      <c r="BC775" s="2"/>
      <c r="BD775" t="s">
        <v>91</v>
      </c>
      <c r="BF775" s="1" t="s">
        <v>75</v>
      </c>
      <c r="BI775" s="1" t="s">
        <v>88</v>
      </c>
      <c r="BJ775">
        <v>1</v>
      </c>
      <c r="BK775" s="1" t="s">
        <v>89</v>
      </c>
      <c r="BL775" t="s">
        <v>91</v>
      </c>
      <c r="BM775" s="1" t="s">
        <v>91</v>
      </c>
      <c r="BN775" s="1" t="s">
        <v>91</v>
      </c>
      <c r="BO775" s="1" t="s">
        <v>91</v>
      </c>
      <c r="BP775" s="1" t="s">
        <v>91</v>
      </c>
      <c r="BQ775" t="s">
        <v>91</v>
      </c>
      <c r="BR775" s="3">
        <v>45118</v>
      </c>
      <c r="BS775" s="3"/>
      <c r="BT775" t="s">
        <v>91</v>
      </c>
      <c r="BU775" t="s">
        <v>91</v>
      </c>
      <c r="BW775" s="1" t="s">
        <v>90</v>
      </c>
    </row>
    <row r="776" spans="1:75" hidden="1" x14ac:dyDescent="0.35">
      <c r="A776">
        <v>134289</v>
      </c>
      <c r="B776" s="1" t="s">
        <v>75</v>
      </c>
      <c r="C776">
        <v>80</v>
      </c>
      <c r="D776">
        <v>11121002</v>
      </c>
      <c r="E776">
        <v>121002</v>
      </c>
      <c r="F776" s="1" t="s">
        <v>2915</v>
      </c>
      <c r="G776" s="1" t="s">
        <v>4471</v>
      </c>
      <c r="I776" s="1" t="s">
        <v>78</v>
      </c>
      <c r="J776" s="1" t="s">
        <v>4472</v>
      </c>
      <c r="K776" s="1" t="s">
        <v>4473</v>
      </c>
      <c r="L776" t="s">
        <v>91</v>
      </c>
      <c r="M776" t="s">
        <v>91</v>
      </c>
      <c r="N776" s="1" t="s">
        <v>4474</v>
      </c>
      <c r="O776" t="s">
        <v>91</v>
      </c>
      <c r="P776" s="1" t="s">
        <v>4475</v>
      </c>
      <c r="Q776" s="1" t="s">
        <v>841</v>
      </c>
      <c r="R776" s="1" t="s">
        <v>91</v>
      </c>
      <c r="S776">
        <v>1259</v>
      </c>
      <c r="T776">
        <v>88160128</v>
      </c>
      <c r="U776" s="1" t="s">
        <v>108</v>
      </c>
      <c r="V776" s="1" t="s">
        <v>3255</v>
      </c>
      <c r="W776" s="1" t="s">
        <v>87</v>
      </c>
      <c r="X776">
        <v>48</v>
      </c>
      <c r="Y776">
        <v>32432091</v>
      </c>
      <c r="Z776" t="s">
        <v>91</v>
      </c>
      <c r="AA776" t="s">
        <v>91</v>
      </c>
      <c r="AB776" t="s">
        <v>91</v>
      </c>
      <c r="AC776" t="s">
        <v>91</v>
      </c>
      <c r="AD776" t="s">
        <v>91</v>
      </c>
      <c r="AE776" t="s">
        <v>91</v>
      </c>
      <c r="AF776" t="s">
        <v>91</v>
      </c>
      <c r="AG776" s="1" t="s">
        <v>146</v>
      </c>
      <c r="AH776" s="1" t="s">
        <v>91</v>
      </c>
      <c r="AI776" t="s">
        <v>91</v>
      </c>
      <c r="AJ776">
        <v>0</v>
      </c>
      <c r="AK776">
        <v>0</v>
      </c>
      <c r="AL776">
        <v>0</v>
      </c>
      <c r="AM776" t="s">
        <v>91</v>
      </c>
      <c r="AN776" t="s">
        <v>91</v>
      </c>
      <c r="AO776" t="s">
        <v>91</v>
      </c>
      <c r="AP776" t="s">
        <v>91</v>
      </c>
      <c r="AQ776" s="1" t="s">
        <v>147</v>
      </c>
      <c r="AR776" s="1" t="s">
        <v>147</v>
      </c>
      <c r="AS776" s="1" t="s">
        <v>147</v>
      </c>
      <c r="AT776" s="1" t="s">
        <v>147</v>
      </c>
      <c r="AU776" s="1" t="s">
        <v>147</v>
      </c>
      <c r="AV776" t="s">
        <v>91</v>
      </c>
      <c r="AW776" t="s">
        <v>91</v>
      </c>
      <c r="AX776" t="s">
        <v>91</v>
      </c>
      <c r="AY776" t="s">
        <v>91</v>
      </c>
      <c r="AZ776" t="s">
        <v>91</v>
      </c>
      <c r="BA776" t="s">
        <v>91</v>
      </c>
      <c r="BB776" s="2"/>
      <c r="BC776" s="2">
        <v>44658.401053240741</v>
      </c>
      <c r="BD776" t="s">
        <v>91</v>
      </c>
      <c r="BF776" s="1" t="s">
        <v>75</v>
      </c>
      <c r="BG776">
        <v>0</v>
      </c>
      <c r="BH776">
        <v>0</v>
      </c>
      <c r="BI776" s="1" t="s">
        <v>88</v>
      </c>
      <c r="BJ776">
        <v>1</v>
      </c>
      <c r="BK776" s="1" t="s">
        <v>89</v>
      </c>
      <c r="BL776" t="s">
        <v>91</v>
      </c>
      <c r="BM776" s="1" t="s">
        <v>109</v>
      </c>
      <c r="BN776" s="1" t="s">
        <v>110</v>
      </c>
      <c r="BO776" s="1" t="s">
        <v>111</v>
      </c>
      <c r="BP776" s="1" t="s">
        <v>91</v>
      </c>
      <c r="BQ776" t="s">
        <v>91</v>
      </c>
      <c r="BR776" s="3"/>
      <c r="BS776" s="3">
        <v>44658</v>
      </c>
      <c r="BT776" t="s">
        <v>91</v>
      </c>
      <c r="BU776" t="s">
        <v>91</v>
      </c>
      <c r="BV776">
        <v>9</v>
      </c>
      <c r="BW776" s="1" t="s">
        <v>601</v>
      </c>
    </row>
    <row r="777" spans="1:75" hidden="1" x14ac:dyDescent="0.35">
      <c r="A777">
        <v>156885</v>
      </c>
      <c r="B777" s="1" t="s">
        <v>75</v>
      </c>
      <c r="C777">
        <v>80</v>
      </c>
      <c r="D777">
        <v>11121002</v>
      </c>
      <c r="E777">
        <v>121002</v>
      </c>
      <c r="F777" s="1" t="s">
        <v>2915</v>
      </c>
      <c r="G777" s="1" t="s">
        <v>4476</v>
      </c>
      <c r="H777">
        <v>0</v>
      </c>
      <c r="I777" s="1" t="s">
        <v>78</v>
      </c>
      <c r="J777" s="1" t="s">
        <v>4477</v>
      </c>
      <c r="K777" s="1" t="s">
        <v>4478</v>
      </c>
      <c r="L777" t="s">
        <v>91</v>
      </c>
      <c r="M777" t="s">
        <v>91</v>
      </c>
      <c r="N777" s="1" t="s">
        <v>4479</v>
      </c>
      <c r="O777" t="s">
        <v>91</v>
      </c>
      <c r="P777" s="1" t="s">
        <v>4480</v>
      </c>
      <c r="Q777" s="1" t="s">
        <v>255</v>
      </c>
      <c r="R777" s="1" t="s">
        <v>2250</v>
      </c>
      <c r="S777">
        <v>1259</v>
      </c>
      <c r="T777">
        <v>88130090</v>
      </c>
      <c r="U777" s="1" t="s">
        <v>108</v>
      </c>
      <c r="V777" s="1" t="s">
        <v>2951</v>
      </c>
      <c r="W777" s="1" t="s">
        <v>87</v>
      </c>
      <c r="X777">
        <v>48</v>
      </c>
      <c r="Y777">
        <v>33656575</v>
      </c>
      <c r="Z777" t="s">
        <v>91</v>
      </c>
      <c r="AA777" t="s">
        <v>91</v>
      </c>
      <c r="AB777" t="s">
        <v>91</v>
      </c>
      <c r="AC777" t="s">
        <v>91</v>
      </c>
      <c r="AD777" t="s">
        <v>91</v>
      </c>
      <c r="AE777" t="s">
        <v>91</v>
      </c>
      <c r="AF777" t="s">
        <v>91</v>
      </c>
      <c r="AG777" s="1" t="s">
        <v>91</v>
      </c>
      <c r="AH777" s="1" t="s">
        <v>91</v>
      </c>
      <c r="AI777" t="s">
        <v>91</v>
      </c>
      <c r="AM777" t="s">
        <v>91</v>
      </c>
      <c r="AN777" t="s">
        <v>91</v>
      </c>
      <c r="AO777" t="s">
        <v>91</v>
      </c>
      <c r="AP777" t="s">
        <v>91</v>
      </c>
      <c r="AQ777" s="1" t="s">
        <v>91</v>
      </c>
      <c r="AR777" s="1" t="s">
        <v>91</v>
      </c>
      <c r="AS777" s="1" t="s">
        <v>91</v>
      </c>
      <c r="AT777" s="1" t="s">
        <v>91</v>
      </c>
      <c r="AU777" s="1" t="s">
        <v>91</v>
      </c>
      <c r="AV777" t="s">
        <v>91</v>
      </c>
      <c r="AW777" t="s">
        <v>91</v>
      </c>
      <c r="AX777" t="s">
        <v>91</v>
      </c>
      <c r="AY777" t="s">
        <v>91</v>
      </c>
      <c r="AZ777" t="s">
        <v>91</v>
      </c>
      <c r="BA777" t="s">
        <v>91</v>
      </c>
      <c r="BB777" s="2">
        <v>45113.505416666667</v>
      </c>
      <c r="BC777" s="2"/>
      <c r="BD777" t="s">
        <v>91</v>
      </c>
      <c r="BF777" s="1" t="s">
        <v>75</v>
      </c>
      <c r="BI777" s="1" t="s">
        <v>88</v>
      </c>
      <c r="BJ777">
        <v>1</v>
      </c>
      <c r="BK777" s="1" t="s">
        <v>89</v>
      </c>
      <c r="BL777" t="s">
        <v>91</v>
      </c>
      <c r="BM777" s="1" t="s">
        <v>91</v>
      </c>
      <c r="BN777" s="1" t="s">
        <v>91</v>
      </c>
      <c r="BO777" s="1" t="s">
        <v>91</v>
      </c>
      <c r="BP777" s="1" t="s">
        <v>91</v>
      </c>
      <c r="BQ777" t="s">
        <v>91</v>
      </c>
      <c r="BR777" s="3">
        <v>45113</v>
      </c>
      <c r="BS777" s="3"/>
      <c r="BT777" t="s">
        <v>91</v>
      </c>
      <c r="BU777" t="s">
        <v>91</v>
      </c>
      <c r="BW777" s="1" t="s">
        <v>90</v>
      </c>
    </row>
    <row r="778" spans="1:75" hidden="1" x14ac:dyDescent="0.35">
      <c r="A778">
        <v>144370</v>
      </c>
      <c r="B778" s="1" t="s">
        <v>75</v>
      </c>
      <c r="C778">
        <v>80</v>
      </c>
      <c r="D778">
        <v>11121002</v>
      </c>
      <c r="E778">
        <v>121002</v>
      </c>
      <c r="F778" s="1" t="s">
        <v>2915</v>
      </c>
      <c r="G778" s="1" t="s">
        <v>4481</v>
      </c>
      <c r="I778" s="1" t="s">
        <v>78</v>
      </c>
      <c r="J778" s="1" t="s">
        <v>4482</v>
      </c>
      <c r="K778" s="1" t="s">
        <v>4483</v>
      </c>
      <c r="L778" t="s">
        <v>91</v>
      </c>
      <c r="M778" t="s">
        <v>91</v>
      </c>
      <c r="N778" s="1" t="s">
        <v>4484</v>
      </c>
      <c r="O778" t="s">
        <v>91</v>
      </c>
      <c r="P778" s="1" t="s">
        <v>4485</v>
      </c>
      <c r="Q778" s="1" t="s">
        <v>1496</v>
      </c>
      <c r="R778" s="1" t="s">
        <v>91</v>
      </c>
      <c r="S778">
        <v>1268</v>
      </c>
      <c r="T778">
        <v>88790000</v>
      </c>
      <c r="U778" s="1" t="s">
        <v>108</v>
      </c>
      <c r="V778" s="1" t="s">
        <v>2971</v>
      </c>
      <c r="W778" s="1" t="s">
        <v>87</v>
      </c>
      <c r="X778">
        <v>48</v>
      </c>
      <c r="Y778">
        <v>36443695</v>
      </c>
      <c r="Z778" t="s">
        <v>91</v>
      </c>
      <c r="AA778" t="s">
        <v>91</v>
      </c>
      <c r="AB778" t="s">
        <v>91</v>
      </c>
      <c r="AC778" t="s">
        <v>91</v>
      </c>
      <c r="AD778" t="s">
        <v>91</v>
      </c>
      <c r="AE778" t="s">
        <v>91</v>
      </c>
      <c r="AF778" t="s">
        <v>91</v>
      </c>
      <c r="AG778" s="1" t="s">
        <v>91</v>
      </c>
      <c r="AH778" s="1" t="s">
        <v>91</v>
      </c>
      <c r="AI778" t="s">
        <v>91</v>
      </c>
      <c r="AJ778">
        <v>0</v>
      </c>
      <c r="AK778">
        <v>0</v>
      </c>
      <c r="AL778">
        <v>0</v>
      </c>
      <c r="AM778" t="s">
        <v>91</v>
      </c>
      <c r="AN778" t="s">
        <v>91</v>
      </c>
      <c r="AO778" t="s">
        <v>91</v>
      </c>
      <c r="AP778" t="s">
        <v>91</v>
      </c>
      <c r="AQ778" s="1" t="s">
        <v>91</v>
      </c>
      <c r="AR778" s="1" t="s">
        <v>91</v>
      </c>
      <c r="AS778" s="1" t="s">
        <v>91</v>
      </c>
      <c r="AT778" s="1" t="s">
        <v>91</v>
      </c>
      <c r="AU778" s="1" t="s">
        <v>91</v>
      </c>
      <c r="AV778" t="s">
        <v>91</v>
      </c>
      <c r="AW778" t="s">
        <v>91</v>
      </c>
      <c r="AX778" t="s">
        <v>91</v>
      </c>
      <c r="AY778" t="s">
        <v>91</v>
      </c>
      <c r="AZ778" t="s">
        <v>91</v>
      </c>
      <c r="BA778" t="s">
        <v>91</v>
      </c>
      <c r="BB778" s="2"/>
      <c r="BC778" s="2"/>
      <c r="BD778" t="s">
        <v>91</v>
      </c>
      <c r="BF778" s="1" t="s">
        <v>75</v>
      </c>
      <c r="BG778">
        <v>0</v>
      </c>
      <c r="BH778">
        <v>0</v>
      </c>
      <c r="BI778" s="1" t="s">
        <v>88</v>
      </c>
      <c r="BJ778">
        <v>1</v>
      </c>
      <c r="BK778" s="1" t="s">
        <v>89</v>
      </c>
      <c r="BL778" t="s">
        <v>91</v>
      </c>
      <c r="BM778" s="1" t="s">
        <v>109</v>
      </c>
      <c r="BN778" s="1" t="s">
        <v>110</v>
      </c>
      <c r="BO778" s="1" t="s">
        <v>128</v>
      </c>
      <c r="BP778" s="1" t="s">
        <v>91</v>
      </c>
      <c r="BQ778" t="s">
        <v>91</v>
      </c>
      <c r="BR778" s="3"/>
      <c r="BS778" s="3"/>
      <c r="BT778" t="s">
        <v>91</v>
      </c>
      <c r="BU778" t="s">
        <v>91</v>
      </c>
      <c r="BV778">
        <v>9</v>
      </c>
      <c r="BW778" s="1" t="s">
        <v>540</v>
      </c>
    </row>
    <row r="779" spans="1:75" hidden="1" x14ac:dyDescent="0.35">
      <c r="A779">
        <v>156861</v>
      </c>
      <c r="B779" s="1" t="s">
        <v>75</v>
      </c>
      <c r="C779">
        <v>80</v>
      </c>
      <c r="D779">
        <v>11121002</v>
      </c>
      <c r="E779">
        <v>121002</v>
      </c>
      <c r="F779" s="1" t="s">
        <v>2915</v>
      </c>
      <c r="G779" s="1" t="s">
        <v>4486</v>
      </c>
      <c r="H779">
        <v>0</v>
      </c>
      <c r="I779" s="1" t="s">
        <v>78</v>
      </c>
      <c r="J779" s="1" t="s">
        <v>4487</v>
      </c>
      <c r="K779" s="1" t="s">
        <v>4488</v>
      </c>
      <c r="L779" t="s">
        <v>91</v>
      </c>
      <c r="M779" t="s">
        <v>91</v>
      </c>
      <c r="N779" s="1" t="s">
        <v>4489</v>
      </c>
      <c r="O779" t="s">
        <v>91</v>
      </c>
      <c r="P779" s="1" t="s">
        <v>3458</v>
      </c>
      <c r="Q779" s="1" t="s">
        <v>4490</v>
      </c>
      <c r="R779" s="1" t="s">
        <v>236</v>
      </c>
      <c r="S779">
        <v>1259</v>
      </c>
      <c r="T779">
        <v>88132149</v>
      </c>
      <c r="U779" s="1" t="s">
        <v>3420</v>
      </c>
      <c r="V779" s="1" t="s">
        <v>2951</v>
      </c>
      <c r="W779" s="1" t="s">
        <v>87</v>
      </c>
      <c r="X779">
        <v>48</v>
      </c>
      <c r="Y779">
        <v>21322550</v>
      </c>
      <c r="Z779" t="s">
        <v>91</v>
      </c>
      <c r="AA779" t="s">
        <v>91</v>
      </c>
      <c r="AB779" t="s">
        <v>91</v>
      </c>
      <c r="AC779" t="s">
        <v>91</v>
      </c>
      <c r="AD779" t="s">
        <v>91</v>
      </c>
      <c r="AE779" t="s">
        <v>91</v>
      </c>
      <c r="AF779" t="s">
        <v>91</v>
      </c>
      <c r="AG779" s="1" t="s">
        <v>91</v>
      </c>
      <c r="AH779" s="1" t="s">
        <v>91</v>
      </c>
      <c r="AI779" t="s">
        <v>91</v>
      </c>
      <c r="AM779" t="s">
        <v>91</v>
      </c>
      <c r="AN779" t="s">
        <v>91</v>
      </c>
      <c r="AO779" t="s">
        <v>91</v>
      </c>
      <c r="AP779" t="s">
        <v>91</v>
      </c>
      <c r="AQ779" s="1" t="s">
        <v>91</v>
      </c>
      <c r="AR779" s="1" t="s">
        <v>91</v>
      </c>
      <c r="AS779" s="1" t="s">
        <v>91</v>
      </c>
      <c r="AT779" s="1" t="s">
        <v>91</v>
      </c>
      <c r="AU779" s="1" t="s">
        <v>91</v>
      </c>
      <c r="AV779" t="s">
        <v>91</v>
      </c>
      <c r="AW779" t="s">
        <v>91</v>
      </c>
      <c r="AX779" t="s">
        <v>91</v>
      </c>
      <c r="AY779" t="s">
        <v>91</v>
      </c>
      <c r="AZ779" t="s">
        <v>91</v>
      </c>
      <c r="BA779" t="s">
        <v>91</v>
      </c>
      <c r="BB779" s="2">
        <v>45113.505416666667</v>
      </c>
      <c r="BC779" s="2"/>
      <c r="BD779" t="s">
        <v>91</v>
      </c>
      <c r="BF779" s="1" t="s">
        <v>75</v>
      </c>
      <c r="BI779" s="1" t="s">
        <v>88</v>
      </c>
      <c r="BJ779">
        <v>1</v>
      </c>
      <c r="BK779" s="1" t="s">
        <v>89</v>
      </c>
      <c r="BL779" t="s">
        <v>91</v>
      </c>
      <c r="BM779" s="1" t="s">
        <v>91</v>
      </c>
      <c r="BN779" s="1" t="s">
        <v>91</v>
      </c>
      <c r="BO779" s="1" t="s">
        <v>91</v>
      </c>
      <c r="BP779" s="1" t="s">
        <v>91</v>
      </c>
      <c r="BQ779" t="s">
        <v>91</v>
      </c>
      <c r="BR779" s="3">
        <v>45113</v>
      </c>
      <c r="BS779" s="3"/>
      <c r="BT779" t="s">
        <v>91</v>
      </c>
      <c r="BU779" t="s">
        <v>91</v>
      </c>
      <c r="BW779" s="1" t="s">
        <v>90</v>
      </c>
    </row>
    <row r="780" spans="1:75" hidden="1" x14ac:dyDescent="0.35">
      <c r="A780">
        <v>144394</v>
      </c>
      <c r="B780" s="1" t="s">
        <v>75</v>
      </c>
      <c r="C780">
        <v>80</v>
      </c>
      <c r="D780">
        <v>11121002</v>
      </c>
      <c r="E780">
        <v>121002</v>
      </c>
      <c r="F780" s="1" t="s">
        <v>2915</v>
      </c>
      <c r="G780" s="1" t="s">
        <v>4491</v>
      </c>
      <c r="I780" s="1" t="s">
        <v>78</v>
      </c>
      <c r="J780" s="1" t="s">
        <v>4492</v>
      </c>
      <c r="K780" s="1" t="s">
        <v>4493</v>
      </c>
      <c r="L780" t="s">
        <v>91</v>
      </c>
      <c r="M780" t="s">
        <v>91</v>
      </c>
      <c r="N780" s="1" t="s">
        <v>4494</v>
      </c>
      <c r="O780" t="s">
        <v>91</v>
      </c>
      <c r="P780" s="1" t="s">
        <v>4495</v>
      </c>
      <c r="Q780" s="1" t="s">
        <v>512</v>
      </c>
      <c r="R780" s="1" t="s">
        <v>370</v>
      </c>
      <c r="S780">
        <v>1269</v>
      </c>
      <c r="T780">
        <v>88840000</v>
      </c>
      <c r="U780" s="1" t="s">
        <v>343</v>
      </c>
      <c r="V780" s="1" t="s">
        <v>3729</v>
      </c>
      <c r="W780" s="1" t="s">
        <v>87</v>
      </c>
      <c r="X780">
        <v>48</v>
      </c>
      <c r="Y780">
        <v>34651901</v>
      </c>
      <c r="Z780" t="s">
        <v>91</v>
      </c>
      <c r="AA780" t="s">
        <v>91</v>
      </c>
      <c r="AB780" t="s">
        <v>91</v>
      </c>
      <c r="AC780" t="s">
        <v>91</v>
      </c>
      <c r="AD780" t="s">
        <v>91</v>
      </c>
      <c r="AE780" t="s">
        <v>91</v>
      </c>
      <c r="AF780" t="s">
        <v>91</v>
      </c>
      <c r="AG780" s="1" t="s">
        <v>91</v>
      </c>
      <c r="AH780" s="1" t="s">
        <v>91</v>
      </c>
      <c r="AI780" t="s">
        <v>91</v>
      </c>
      <c r="AJ780">
        <v>0</v>
      </c>
      <c r="AK780">
        <v>0</v>
      </c>
      <c r="AL780">
        <v>0</v>
      </c>
      <c r="AM780" t="s">
        <v>91</v>
      </c>
      <c r="AN780" t="s">
        <v>91</v>
      </c>
      <c r="AO780" t="s">
        <v>91</v>
      </c>
      <c r="AP780" t="s">
        <v>91</v>
      </c>
      <c r="AQ780" s="1" t="s">
        <v>91</v>
      </c>
      <c r="AR780" s="1" t="s">
        <v>91</v>
      </c>
      <c r="AS780" s="1" t="s">
        <v>91</v>
      </c>
      <c r="AT780" s="1" t="s">
        <v>91</v>
      </c>
      <c r="AU780" s="1" t="s">
        <v>91</v>
      </c>
      <c r="AV780" t="s">
        <v>91</v>
      </c>
      <c r="AW780" t="s">
        <v>91</v>
      </c>
      <c r="AX780" t="s">
        <v>91</v>
      </c>
      <c r="AY780" t="s">
        <v>91</v>
      </c>
      <c r="AZ780" t="s">
        <v>91</v>
      </c>
      <c r="BA780" t="s">
        <v>91</v>
      </c>
      <c r="BB780" s="2"/>
      <c r="BC780" s="2"/>
      <c r="BD780" t="s">
        <v>91</v>
      </c>
      <c r="BF780" s="1" t="s">
        <v>75</v>
      </c>
      <c r="BG780">
        <v>0</v>
      </c>
      <c r="BH780">
        <v>0</v>
      </c>
      <c r="BI780" s="1" t="s">
        <v>88</v>
      </c>
      <c r="BJ780">
        <v>1</v>
      </c>
      <c r="BK780" s="1" t="s">
        <v>89</v>
      </c>
      <c r="BL780" t="s">
        <v>91</v>
      </c>
      <c r="BM780" s="1" t="s">
        <v>109</v>
      </c>
      <c r="BN780" s="1" t="s">
        <v>110</v>
      </c>
      <c r="BO780" s="1" t="s">
        <v>180</v>
      </c>
      <c r="BP780" s="1" t="s">
        <v>91</v>
      </c>
      <c r="BQ780" t="s">
        <v>91</v>
      </c>
      <c r="BR780" s="3"/>
      <c r="BS780" s="3"/>
      <c r="BT780" t="s">
        <v>91</v>
      </c>
      <c r="BU780" t="s">
        <v>91</v>
      </c>
      <c r="BV780">
        <v>9</v>
      </c>
      <c r="BW780" s="1" t="s">
        <v>390</v>
      </c>
    </row>
    <row r="781" spans="1:75" hidden="1" x14ac:dyDescent="0.35">
      <c r="A781">
        <v>157619</v>
      </c>
      <c r="B781" s="1" t="s">
        <v>75</v>
      </c>
      <c r="C781">
        <v>80</v>
      </c>
      <c r="D781">
        <v>11121002</v>
      </c>
      <c r="E781">
        <v>121002</v>
      </c>
      <c r="F781" s="1" t="s">
        <v>2915</v>
      </c>
      <c r="G781" s="1" t="s">
        <v>4496</v>
      </c>
      <c r="H781">
        <v>0</v>
      </c>
      <c r="I781" s="1" t="s">
        <v>78</v>
      </c>
      <c r="J781" s="1" t="s">
        <v>4497</v>
      </c>
      <c r="K781" s="1" t="s">
        <v>4498</v>
      </c>
      <c r="L781" t="s">
        <v>91</v>
      </c>
      <c r="M781" t="s">
        <v>91</v>
      </c>
      <c r="N781" s="1" t="s">
        <v>4499</v>
      </c>
      <c r="O781" t="s">
        <v>91</v>
      </c>
      <c r="P781" s="1" t="s">
        <v>438</v>
      </c>
      <c r="Q781" s="1" t="s">
        <v>1324</v>
      </c>
      <c r="R781" s="1" t="s">
        <v>91</v>
      </c>
      <c r="S781">
        <v>1266</v>
      </c>
      <c r="T781">
        <v>88501000</v>
      </c>
      <c r="U781" s="1" t="s">
        <v>108</v>
      </c>
      <c r="V781" s="1" t="s">
        <v>3335</v>
      </c>
      <c r="W781" s="1" t="s">
        <v>87</v>
      </c>
      <c r="X781">
        <v>49</v>
      </c>
      <c r="Y781">
        <v>32240111</v>
      </c>
      <c r="Z781" t="s">
        <v>91</v>
      </c>
      <c r="AA781" t="s">
        <v>91</v>
      </c>
      <c r="AB781" t="s">
        <v>91</v>
      </c>
      <c r="AC781" t="s">
        <v>91</v>
      </c>
      <c r="AD781" t="s">
        <v>91</v>
      </c>
      <c r="AE781" t="s">
        <v>91</v>
      </c>
      <c r="AF781" t="s">
        <v>91</v>
      </c>
      <c r="AG781" s="1" t="s">
        <v>91</v>
      </c>
      <c r="AH781" s="1" t="s">
        <v>91</v>
      </c>
      <c r="AI781" t="s">
        <v>91</v>
      </c>
      <c r="AM781" t="s">
        <v>91</v>
      </c>
      <c r="AN781" t="s">
        <v>91</v>
      </c>
      <c r="AO781" t="s">
        <v>91</v>
      </c>
      <c r="AP781" t="s">
        <v>91</v>
      </c>
      <c r="AQ781" s="1" t="s">
        <v>91</v>
      </c>
      <c r="AR781" s="1" t="s">
        <v>91</v>
      </c>
      <c r="AS781" s="1" t="s">
        <v>91</v>
      </c>
      <c r="AT781" s="1" t="s">
        <v>91</v>
      </c>
      <c r="AU781" s="1" t="s">
        <v>91</v>
      </c>
      <c r="AV781" t="s">
        <v>91</v>
      </c>
      <c r="AW781" t="s">
        <v>91</v>
      </c>
      <c r="AX781" t="s">
        <v>91</v>
      </c>
      <c r="AY781" t="s">
        <v>91</v>
      </c>
      <c r="AZ781" t="s">
        <v>91</v>
      </c>
      <c r="BA781" t="s">
        <v>91</v>
      </c>
      <c r="BB781" s="2">
        <v>45118.097175925926</v>
      </c>
      <c r="BC781" s="2"/>
      <c r="BD781" t="s">
        <v>91</v>
      </c>
      <c r="BF781" s="1" t="s">
        <v>75</v>
      </c>
      <c r="BI781" s="1" t="s">
        <v>88</v>
      </c>
      <c r="BJ781">
        <v>1</v>
      </c>
      <c r="BK781" s="1" t="s">
        <v>89</v>
      </c>
      <c r="BL781" t="s">
        <v>91</v>
      </c>
      <c r="BM781" s="1" t="s">
        <v>91</v>
      </c>
      <c r="BN781" s="1" t="s">
        <v>91</v>
      </c>
      <c r="BO781" s="1" t="s">
        <v>91</v>
      </c>
      <c r="BP781" s="1" t="s">
        <v>91</v>
      </c>
      <c r="BQ781" t="s">
        <v>91</v>
      </c>
      <c r="BR781" s="3">
        <v>45118</v>
      </c>
      <c r="BS781" s="3"/>
      <c r="BT781" t="s">
        <v>91</v>
      </c>
      <c r="BU781" t="s">
        <v>91</v>
      </c>
      <c r="BW781" s="1" t="s">
        <v>90</v>
      </c>
    </row>
    <row r="782" spans="1:75" hidden="1" x14ac:dyDescent="0.35">
      <c r="A782">
        <v>134303</v>
      </c>
      <c r="B782" s="1" t="s">
        <v>75</v>
      </c>
      <c r="C782">
        <v>80</v>
      </c>
      <c r="D782">
        <v>11121002</v>
      </c>
      <c r="E782">
        <v>121002</v>
      </c>
      <c r="F782" s="1" t="s">
        <v>2915</v>
      </c>
      <c r="G782" s="1" t="s">
        <v>4500</v>
      </c>
      <c r="I782" s="1" t="s">
        <v>78</v>
      </c>
      <c r="J782" s="1" t="s">
        <v>4501</v>
      </c>
      <c r="K782" s="1" t="s">
        <v>4502</v>
      </c>
      <c r="L782" t="s">
        <v>91</v>
      </c>
      <c r="M782" t="s">
        <v>91</v>
      </c>
      <c r="N782" s="1" t="s">
        <v>4503</v>
      </c>
      <c r="O782" t="s">
        <v>91</v>
      </c>
      <c r="P782" s="1" t="s">
        <v>4504</v>
      </c>
      <c r="Q782" s="1" t="s">
        <v>4505</v>
      </c>
      <c r="R782" s="1" t="s">
        <v>91</v>
      </c>
      <c r="S782">
        <v>1266</v>
      </c>
      <c r="T782">
        <v>88501120</v>
      </c>
      <c r="U782" s="1" t="s">
        <v>108</v>
      </c>
      <c r="V782" s="1" t="s">
        <v>3335</v>
      </c>
      <c r="W782" s="1" t="s">
        <v>87</v>
      </c>
      <c r="X782">
        <v>49</v>
      </c>
      <c r="Y782">
        <v>32221070</v>
      </c>
      <c r="Z782" t="s">
        <v>91</v>
      </c>
      <c r="AA782" t="s">
        <v>91</v>
      </c>
      <c r="AB782" t="s">
        <v>91</v>
      </c>
      <c r="AC782" t="s">
        <v>91</v>
      </c>
      <c r="AD782" t="s">
        <v>91</v>
      </c>
      <c r="AE782" t="s">
        <v>91</v>
      </c>
      <c r="AF782" t="s">
        <v>91</v>
      </c>
      <c r="AG782" s="1" t="s">
        <v>146</v>
      </c>
      <c r="AH782" s="1" t="s">
        <v>91</v>
      </c>
      <c r="AI782" t="s">
        <v>91</v>
      </c>
      <c r="AJ782">
        <v>0</v>
      </c>
      <c r="AK782">
        <v>0</v>
      </c>
      <c r="AL782">
        <v>0</v>
      </c>
      <c r="AM782" t="s">
        <v>91</v>
      </c>
      <c r="AN782" t="s">
        <v>91</v>
      </c>
      <c r="AO782" t="s">
        <v>91</v>
      </c>
      <c r="AP782" t="s">
        <v>91</v>
      </c>
      <c r="AQ782" s="1" t="s">
        <v>147</v>
      </c>
      <c r="AR782" s="1" t="s">
        <v>147</v>
      </c>
      <c r="AS782" s="1" t="s">
        <v>147</v>
      </c>
      <c r="AT782" s="1" t="s">
        <v>147</v>
      </c>
      <c r="AU782" s="1" t="s">
        <v>147</v>
      </c>
      <c r="AV782" t="s">
        <v>91</v>
      </c>
      <c r="AW782" t="s">
        <v>91</v>
      </c>
      <c r="AX782" t="s">
        <v>91</v>
      </c>
      <c r="AY782" t="s">
        <v>91</v>
      </c>
      <c r="AZ782" t="s">
        <v>91</v>
      </c>
      <c r="BA782" t="s">
        <v>91</v>
      </c>
      <c r="BB782" s="2"/>
      <c r="BC782" s="2">
        <v>44657.423182870371</v>
      </c>
      <c r="BD782" t="s">
        <v>91</v>
      </c>
      <c r="BF782" s="1" t="s">
        <v>75</v>
      </c>
      <c r="BG782">
        <v>0</v>
      </c>
      <c r="BH782">
        <v>0</v>
      </c>
      <c r="BI782" s="1" t="s">
        <v>88</v>
      </c>
      <c r="BJ782">
        <v>1</v>
      </c>
      <c r="BK782" s="1" t="s">
        <v>89</v>
      </c>
      <c r="BL782" t="s">
        <v>91</v>
      </c>
      <c r="BM782" s="1" t="s">
        <v>197</v>
      </c>
      <c r="BN782" s="1" t="s">
        <v>148</v>
      </c>
      <c r="BO782" s="1" t="s">
        <v>165</v>
      </c>
      <c r="BP782" s="1" t="s">
        <v>91</v>
      </c>
      <c r="BQ782" t="s">
        <v>91</v>
      </c>
      <c r="BR782" s="3"/>
      <c r="BS782" s="3">
        <v>44657</v>
      </c>
      <c r="BT782" t="s">
        <v>91</v>
      </c>
      <c r="BU782" t="s">
        <v>91</v>
      </c>
      <c r="BV782">
        <v>1</v>
      </c>
      <c r="BW782" s="1" t="s">
        <v>263</v>
      </c>
    </row>
    <row r="783" spans="1:75" hidden="1" x14ac:dyDescent="0.35">
      <c r="A783">
        <v>157618</v>
      </c>
      <c r="B783" s="1" t="s">
        <v>75</v>
      </c>
      <c r="C783">
        <v>80</v>
      </c>
      <c r="D783">
        <v>11121002</v>
      </c>
      <c r="E783">
        <v>121002</v>
      </c>
      <c r="F783" s="1" t="s">
        <v>2915</v>
      </c>
      <c r="G783" s="1" t="s">
        <v>4506</v>
      </c>
      <c r="H783">
        <v>0</v>
      </c>
      <c r="I783" s="1" t="s">
        <v>78</v>
      </c>
      <c r="J783" s="1" t="s">
        <v>4507</v>
      </c>
      <c r="K783" s="1" t="s">
        <v>4508</v>
      </c>
      <c r="L783" t="s">
        <v>91</v>
      </c>
      <c r="M783" t="s">
        <v>91</v>
      </c>
      <c r="N783" s="1" t="s">
        <v>4509</v>
      </c>
      <c r="O783" t="s">
        <v>91</v>
      </c>
      <c r="P783" s="1" t="s">
        <v>4510</v>
      </c>
      <c r="Q783" s="1" t="s">
        <v>4511</v>
      </c>
      <c r="R783" s="1" t="s">
        <v>236</v>
      </c>
      <c r="S783">
        <v>1267</v>
      </c>
      <c r="T783">
        <v>88600000</v>
      </c>
      <c r="U783" s="1" t="s">
        <v>108</v>
      </c>
      <c r="V783" s="1" t="s">
        <v>3341</v>
      </c>
      <c r="W783" s="1" t="s">
        <v>87</v>
      </c>
      <c r="X783">
        <v>49</v>
      </c>
      <c r="Y783">
        <v>32330097</v>
      </c>
      <c r="Z783" t="s">
        <v>91</v>
      </c>
      <c r="AA783" t="s">
        <v>91</v>
      </c>
      <c r="AB783" t="s">
        <v>91</v>
      </c>
      <c r="AC783" t="s">
        <v>91</v>
      </c>
      <c r="AD783" t="s">
        <v>91</v>
      </c>
      <c r="AE783" t="s">
        <v>91</v>
      </c>
      <c r="AF783" t="s">
        <v>91</v>
      </c>
      <c r="AG783" s="1" t="s">
        <v>91</v>
      </c>
      <c r="AH783" s="1" t="s">
        <v>91</v>
      </c>
      <c r="AI783" t="s">
        <v>91</v>
      </c>
      <c r="AM783" t="s">
        <v>91</v>
      </c>
      <c r="AN783" t="s">
        <v>91</v>
      </c>
      <c r="AO783" t="s">
        <v>91</v>
      </c>
      <c r="AP783" t="s">
        <v>91</v>
      </c>
      <c r="AQ783" s="1" t="s">
        <v>91</v>
      </c>
      <c r="AR783" s="1" t="s">
        <v>91</v>
      </c>
      <c r="AS783" s="1" t="s">
        <v>91</v>
      </c>
      <c r="AT783" s="1" t="s">
        <v>91</v>
      </c>
      <c r="AU783" s="1" t="s">
        <v>91</v>
      </c>
      <c r="AV783" t="s">
        <v>91</v>
      </c>
      <c r="AW783" t="s">
        <v>91</v>
      </c>
      <c r="AX783" t="s">
        <v>91</v>
      </c>
      <c r="AY783" t="s">
        <v>91</v>
      </c>
      <c r="AZ783" t="s">
        <v>91</v>
      </c>
      <c r="BA783" t="s">
        <v>91</v>
      </c>
      <c r="BB783" s="2">
        <v>45118.097175925926</v>
      </c>
      <c r="BC783" s="2"/>
      <c r="BD783" t="s">
        <v>91</v>
      </c>
      <c r="BF783" s="1" t="s">
        <v>75</v>
      </c>
      <c r="BI783" s="1" t="s">
        <v>88</v>
      </c>
      <c r="BJ783">
        <v>1</v>
      </c>
      <c r="BK783" s="1" t="s">
        <v>89</v>
      </c>
      <c r="BL783" t="s">
        <v>91</v>
      </c>
      <c r="BM783" s="1" t="s">
        <v>91</v>
      </c>
      <c r="BN783" s="1" t="s">
        <v>91</v>
      </c>
      <c r="BO783" s="1" t="s">
        <v>91</v>
      </c>
      <c r="BP783" s="1" t="s">
        <v>91</v>
      </c>
      <c r="BQ783" t="s">
        <v>91</v>
      </c>
      <c r="BR783" s="3">
        <v>45118</v>
      </c>
      <c r="BS783" s="3"/>
      <c r="BT783" t="s">
        <v>91</v>
      </c>
      <c r="BU783" t="s">
        <v>91</v>
      </c>
      <c r="BW783" s="1" t="s">
        <v>90</v>
      </c>
    </row>
    <row r="784" spans="1:75" hidden="1" x14ac:dyDescent="0.35">
      <c r="A784">
        <v>157736</v>
      </c>
      <c r="B784" s="1" t="s">
        <v>75</v>
      </c>
      <c r="C784">
        <v>80</v>
      </c>
      <c r="D784">
        <v>11121002</v>
      </c>
      <c r="E784">
        <v>121002</v>
      </c>
      <c r="F784" s="1" t="s">
        <v>2915</v>
      </c>
      <c r="G784" s="1" t="s">
        <v>4512</v>
      </c>
      <c r="H784">
        <v>0</v>
      </c>
      <c r="I784" s="1" t="s">
        <v>78</v>
      </c>
      <c r="J784" s="1" t="s">
        <v>4513</v>
      </c>
      <c r="K784" s="1" t="s">
        <v>4514</v>
      </c>
      <c r="L784" t="s">
        <v>91</v>
      </c>
      <c r="M784" t="s">
        <v>91</v>
      </c>
      <c r="N784" s="1" t="s">
        <v>4515</v>
      </c>
      <c r="O784" t="s">
        <v>91</v>
      </c>
      <c r="P784" s="1" t="s">
        <v>311</v>
      </c>
      <c r="Q784" s="1" t="s">
        <v>4516</v>
      </c>
      <c r="R784" s="1" t="s">
        <v>91</v>
      </c>
      <c r="S784">
        <v>1254</v>
      </c>
      <c r="T784">
        <v>88010000</v>
      </c>
      <c r="U784" s="1" t="s">
        <v>108</v>
      </c>
      <c r="V784" s="1" t="s">
        <v>2922</v>
      </c>
      <c r="W784" s="1" t="s">
        <v>87</v>
      </c>
      <c r="X784">
        <v>48</v>
      </c>
      <c r="Y784">
        <v>32230952</v>
      </c>
      <c r="Z784" t="s">
        <v>91</v>
      </c>
      <c r="AA784" t="s">
        <v>91</v>
      </c>
      <c r="AB784" t="s">
        <v>91</v>
      </c>
      <c r="AC784" t="s">
        <v>91</v>
      </c>
      <c r="AD784" t="s">
        <v>91</v>
      </c>
      <c r="AE784" t="s">
        <v>91</v>
      </c>
      <c r="AF784" t="s">
        <v>91</v>
      </c>
      <c r="AG784" s="1" t="s">
        <v>91</v>
      </c>
      <c r="AH784" s="1" t="s">
        <v>91</v>
      </c>
      <c r="AI784" t="s">
        <v>91</v>
      </c>
      <c r="AM784" t="s">
        <v>91</v>
      </c>
      <c r="AN784" t="s">
        <v>91</v>
      </c>
      <c r="AO784" t="s">
        <v>91</v>
      </c>
      <c r="AP784" t="s">
        <v>91</v>
      </c>
      <c r="AQ784" s="1" t="s">
        <v>91</v>
      </c>
      <c r="AR784" s="1" t="s">
        <v>91</v>
      </c>
      <c r="AS784" s="1" t="s">
        <v>91</v>
      </c>
      <c r="AT784" s="1" t="s">
        <v>91</v>
      </c>
      <c r="AU784" s="1" t="s">
        <v>91</v>
      </c>
      <c r="AV784" t="s">
        <v>91</v>
      </c>
      <c r="AW784" t="s">
        <v>91</v>
      </c>
      <c r="AX784" t="s">
        <v>91</v>
      </c>
      <c r="AY784" t="s">
        <v>91</v>
      </c>
      <c r="AZ784" t="s">
        <v>91</v>
      </c>
      <c r="BA784" t="s">
        <v>91</v>
      </c>
      <c r="BB784" s="2">
        <v>45118.097175925926</v>
      </c>
      <c r="BC784" s="2"/>
      <c r="BD784" t="s">
        <v>91</v>
      </c>
      <c r="BF784" s="1" t="s">
        <v>75</v>
      </c>
      <c r="BI784" s="1" t="s">
        <v>88</v>
      </c>
      <c r="BJ784">
        <v>1</v>
      </c>
      <c r="BK784" s="1" t="s">
        <v>89</v>
      </c>
      <c r="BL784" t="s">
        <v>91</v>
      </c>
      <c r="BM784" s="1" t="s">
        <v>91</v>
      </c>
      <c r="BN784" s="1" t="s">
        <v>91</v>
      </c>
      <c r="BO784" s="1" t="s">
        <v>91</v>
      </c>
      <c r="BP784" s="1" t="s">
        <v>91</v>
      </c>
      <c r="BQ784" t="s">
        <v>91</v>
      </c>
      <c r="BR784" s="3">
        <v>45118</v>
      </c>
      <c r="BS784" s="3"/>
      <c r="BT784" t="s">
        <v>91</v>
      </c>
      <c r="BU784" t="s">
        <v>91</v>
      </c>
      <c r="BW784" s="1" t="s">
        <v>90</v>
      </c>
    </row>
    <row r="785" spans="1:75" hidden="1" x14ac:dyDescent="0.35">
      <c r="A785">
        <v>144505</v>
      </c>
      <c r="B785" s="1" t="s">
        <v>75</v>
      </c>
      <c r="C785">
        <v>80</v>
      </c>
      <c r="D785">
        <v>11121002</v>
      </c>
      <c r="E785">
        <v>121002</v>
      </c>
      <c r="F785" s="1" t="s">
        <v>2915</v>
      </c>
      <c r="G785" s="1" t="s">
        <v>4517</v>
      </c>
      <c r="I785" s="1" t="s">
        <v>78</v>
      </c>
      <c r="J785" s="1" t="s">
        <v>4518</v>
      </c>
      <c r="K785" s="1" t="s">
        <v>4519</v>
      </c>
      <c r="L785" t="s">
        <v>91</v>
      </c>
      <c r="M785" t="s">
        <v>91</v>
      </c>
      <c r="N785" s="1" t="s">
        <v>4520</v>
      </c>
      <c r="O785" t="s">
        <v>91</v>
      </c>
      <c r="P785" s="1" t="s">
        <v>4521</v>
      </c>
      <c r="Q785" s="1" t="s">
        <v>4522</v>
      </c>
      <c r="R785" s="1" t="s">
        <v>173</v>
      </c>
      <c r="S785">
        <v>1265</v>
      </c>
      <c r="T785">
        <v>88495000</v>
      </c>
      <c r="U785" s="1" t="s">
        <v>108</v>
      </c>
      <c r="V785" s="1" t="s">
        <v>3853</v>
      </c>
      <c r="W785" s="1" t="s">
        <v>87</v>
      </c>
      <c r="X785">
        <v>48</v>
      </c>
      <c r="Y785">
        <v>991322179</v>
      </c>
      <c r="Z785" t="s">
        <v>91</v>
      </c>
      <c r="AA785" t="s">
        <v>91</v>
      </c>
      <c r="AB785" t="s">
        <v>91</v>
      </c>
      <c r="AC785" t="s">
        <v>91</v>
      </c>
      <c r="AD785" t="s">
        <v>91</v>
      </c>
      <c r="AE785" t="s">
        <v>91</v>
      </c>
      <c r="AF785" t="s">
        <v>91</v>
      </c>
      <c r="AG785" s="1" t="s">
        <v>91</v>
      </c>
      <c r="AH785" s="1" t="s">
        <v>91</v>
      </c>
      <c r="AI785" t="s">
        <v>91</v>
      </c>
      <c r="AJ785">
        <v>0</v>
      </c>
      <c r="AK785">
        <v>0</v>
      </c>
      <c r="AL785">
        <v>0</v>
      </c>
      <c r="AM785" t="s">
        <v>91</v>
      </c>
      <c r="AN785" t="s">
        <v>91</v>
      </c>
      <c r="AO785" t="s">
        <v>91</v>
      </c>
      <c r="AP785" t="s">
        <v>91</v>
      </c>
      <c r="AQ785" s="1" t="s">
        <v>91</v>
      </c>
      <c r="AR785" s="1" t="s">
        <v>91</v>
      </c>
      <c r="AS785" s="1" t="s">
        <v>91</v>
      </c>
      <c r="AT785" s="1" t="s">
        <v>91</v>
      </c>
      <c r="AU785" s="1" t="s">
        <v>91</v>
      </c>
      <c r="AV785" t="s">
        <v>91</v>
      </c>
      <c r="AW785" t="s">
        <v>91</v>
      </c>
      <c r="AX785" t="s">
        <v>91</v>
      </c>
      <c r="AY785" t="s">
        <v>91</v>
      </c>
      <c r="AZ785" t="s">
        <v>91</v>
      </c>
      <c r="BA785" t="s">
        <v>91</v>
      </c>
      <c r="BB785" s="2"/>
      <c r="BC785" s="2"/>
      <c r="BD785" t="s">
        <v>91</v>
      </c>
      <c r="BF785" s="1" t="s">
        <v>75</v>
      </c>
      <c r="BG785">
        <v>0</v>
      </c>
      <c r="BH785">
        <v>0</v>
      </c>
      <c r="BI785" s="1" t="s">
        <v>88</v>
      </c>
      <c r="BJ785">
        <v>1</v>
      </c>
      <c r="BK785" s="1" t="s">
        <v>89</v>
      </c>
      <c r="BL785" t="s">
        <v>91</v>
      </c>
      <c r="BM785" s="1" t="s">
        <v>109</v>
      </c>
      <c r="BN785" s="1" t="s">
        <v>110</v>
      </c>
      <c r="BO785" s="1" t="s">
        <v>165</v>
      </c>
      <c r="BP785" s="1" t="s">
        <v>91</v>
      </c>
      <c r="BQ785" t="s">
        <v>91</v>
      </c>
      <c r="BR785" s="3"/>
      <c r="BS785" s="3"/>
      <c r="BT785" t="s">
        <v>91</v>
      </c>
      <c r="BU785" t="s">
        <v>91</v>
      </c>
      <c r="BV785">
        <v>9</v>
      </c>
      <c r="BW785" s="1" t="s">
        <v>1899</v>
      </c>
    </row>
    <row r="786" spans="1:75" hidden="1" x14ac:dyDescent="0.35">
      <c r="A786">
        <v>352</v>
      </c>
      <c r="B786" s="1" t="s">
        <v>75</v>
      </c>
      <c r="C786">
        <v>80</v>
      </c>
      <c r="D786">
        <v>11121002</v>
      </c>
      <c r="E786">
        <v>121002</v>
      </c>
      <c r="F786" s="1" t="s">
        <v>2915</v>
      </c>
      <c r="G786" s="1" t="s">
        <v>4523</v>
      </c>
      <c r="I786" s="1" t="s">
        <v>78</v>
      </c>
      <c r="J786" s="1" t="s">
        <v>4524</v>
      </c>
      <c r="K786" s="1" t="s">
        <v>4525</v>
      </c>
      <c r="L786" t="s">
        <v>91</v>
      </c>
      <c r="M786" t="s">
        <v>91</v>
      </c>
      <c r="N786" s="1" t="s">
        <v>3672</v>
      </c>
      <c r="O786" t="s">
        <v>91</v>
      </c>
      <c r="P786" s="1" t="s">
        <v>4384</v>
      </c>
      <c r="Q786" s="1" t="s">
        <v>4526</v>
      </c>
      <c r="R786" s="1" t="s">
        <v>4527</v>
      </c>
      <c r="S786">
        <v>1257</v>
      </c>
      <c r="T786">
        <v>88036002</v>
      </c>
      <c r="U786" s="1" t="s">
        <v>4386</v>
      </c>
      <c r="V786" s="1" t="s">
        <v>3102</v>
      </c>
      <c r="W786" s="1" t="s">
        <v>87</v>
      </c>
      <c r="X786">
        <v>48</v>
      </c>
      <c r="Y786">
        <v>32343700</v>
      </c>
      <c r="Z786" t="s">
        <v>91</v>
      </c>
      <c r="AA786" t="s">
        <v>91</v>
      </c>
      <c r="AB786" t="s">
        <v>91</v>
      </c>
      <c r="AC786" t="s">
        <v>91</v>
      </c>
      <c r="AD786" t="s">
        <v>91</v>
      </c>
      <c r="AE786" t="s">
        <v>91</v>
      </c>
      <c r="AF786" t="s">
        <v>91</v>
      </c>
      <c r="AG786" s="1" t="s">
        <v>91</v>
      </c>
      <c r="AH786" s="1" t="s">
        <v>91</v>
      </c>
      <c r="AI786" t="s">
        <v>91</v>
      </c>
      <c r="AJ786">
        <v>0</v>
      </c>
      <c r="AK786">
        <v>0</v>
      </c>
      <c r="AL786">
        <v>0</v>
      </c>
      <c r="AM786" t="s">
        <v>91</v>
      </c>
      <c r="AN786" t="s">
        <v>91</v>
      </c>
      <c r="AO786" t="s">
        <v>91</v>
      </c>
      <c r="AP786" t="s">
        <v>91</v>
      </c>
      <c r="AQ786" s="1" t="s">
        <v>91</v>
      </c>
      <c r="AR786" s="1" t="s">
        <v>91</v>
      </c>
      <c r="AS786" s="1" t="s">
        <v>91</v>
      </c>
      <c r="AT786" s="1" t="s">
        <v>91</v>
      </c>
      <c r="AU786" s="1" t="s">
        <v>91</v>
      </c>
      <c r="AV786" t="s">
        <v>91</v>
      </c>
      <c r="AW786" t="s">
        <v>91</v>
      </c>
      <c r="AX786" t="s">
        <v>91</v>
      </c>
      <c r="AY786" t="s">
        <v>91</v>
      </c>
      <c r="AZ786" t="s">
        <v>91</v>
      </c>
      <c r="BA786" t="s">
        <v>91</v>
      </c>
      <c r="BB786" s="2">
        <v>43308.392800925925</v>
      </c>
      <c r="BC786" s="2"/>
      <c r="BD786" t="s">
        <v>91</v>
      </c>
      <c r="BE786">
        <v>352</v>
      </c>
      <c r="BF786" s="1" t="s">
        <v>75</v>
      </c>
      <c r="BG786">
        <v>0</v>
      </c>
      <c r="BH786">
        <v>0</v>
      </c>
      <c r="BI786" s="1" t="s">
        <v>88</v>
      </c>
      <c r="BJ786">
        <v>1</v>
      </c>
      <c r="BK786" s="1" t="s">
        <v>89</v>
      </c>
      <c r="BL786" t="s">
        <v>91</v>
      </c>
      <c r="BM786" s="1" t="s">
        <v>109</v>
      </c>
      <c r="BN786" s="1" t="s">
        <v>110</v>
      </c>
      <c r="BO786" s="1" t="s">
        <v>128</v>
      </c>
      <c r="BP786" s="1" t="s">
        <v>91</v>
      </c>
      <c r="BQ786" t="s">
        <v>91</v>
      </c>
      <c r="BR786" s="3">
        <v>43308</v>
      </c>
      <c r="BS786" s="3"/>
      <c r="BT786" t="s">
        <v>91</v>
      </c>
      <c r="BU786" t="s">
        <v>91</v>
      </c>
      <c r="BV786">
        <v>3</v>
      </c>
      <c r="BW786" s="1" t="s">
        <v>90</v>
      </c>
    </row>
    <row r="787" spans="1:75" hidden="1" x14ac:dyDescent="0.35">
      <c r="A787">
        <v>120518</v>
      </c>
      <c r="B787" s="1" t="s">
        <v>75</v>
      </c>
      <c r="C787">
        <v>80</v>
      </c>
      <c r="D787">
        <v>11121002</v>
      </c>
      <c r="E787">
        <v>121002</v>
      </c>
      <c r="F787" s="1" t="s">
        <v>2915</v>
      </c>
      <c r="G787" s="1" t="s">
        <v>4528</v>
      </c>
      <c r="H787">
        <v>0</v>
      </c>
      <c r="I787" s="1" t="s">
        <v>78</v>
      </c>
      <c r="J787" s="1" t="s">
        <v>4529</v>
      </c>
      <c r="K787" s="1" t="s">
        <v>4530</v>
      </c>
      <c r="L787" t="s">
        <v>91</v>
      </c>
      <c r="M787" t="s">
        <v>91</v>
      </c>
      <c r="N787" s="1" t="s">
        <v>4531</v>
      </c>
      <c r="O787" t="s">
        <v>91</v>
      </c>
      <c r="P787" s="1" t="s">
        <v>4532</v>
      </c>
      <c r="Q787" s="1" t="s">
        <v>4533</v>
      </c>
      <c r="R787" s="1" t="s">
        <v>91</v>
      </c>
      <c r="S787">
        <v>1257</v>
      </c>
      <c r="T787">
        <v>88050000</v>
      </c>
      <c r="U787" s="1" t="s">
        <v>3668</v>
      </c>
      <c r="V787" s="1" t="s">
        <v>3102</v>
      </c>
      <c r="W787" s="1" t="s">
        <v>87</v>
      </c>
      <c r="X787">
        <v>48</v>
      </c>
      <c r="Y787">
        <v>32162000</v>
      </c>
      <c r="Z787" t="s">
        <v>91</v>
      </c>
      <c r="AA787" t="s">
        <v>91</v>
      </c>
      <c r="AB787" t="s">
        <v>91</v>
      </c>
      <c r="AC787" t="s">
        <v>91</v>
      </c>
      <c r="AD787" t="s">
        <v>91</v>
      </c>
      <c r="AE787" t="s">
        <v>91</v>
      </c>
      <c r="AF787" t="s">
        <v>91</v>
      </c>
      <c r="AG787" s="1" t="s">
        <v>91</v>
      </c>
      <c r="AH787" s="1" t="s">
        <v>91</v>
      </c>
      <c r="AI787" t="s">
        <v>91</v>
      </c>
      <c r="AJ787">
        <v>0</v>
      </c>
      <c r="AK787">
        <v>0</v>
      </c>
      <c r="AL787">
        <v>0</v>
      </c>
      <c r="AM787" t="s">
        <v>91</v>
      </c>
      <c r="AN787" t="s">
        <v>91</v>
      </c>
      <c r="AO787" t="s">
        <v>91</v>
      </c>
      <c r="AP787" t="s">
        <v>91</v>
      </c>
      <c r="AQ787" s="1" t="s">
        <v>91</v>
      </c>
      <c r="AR787" s="1" t="s">
        <v>91</v>
      </c>
      <c r="AS787" s="1" t="s">
        <v>91</v>
      </c>
      <c r="AT787" s="1" t="s">
        <v>91</v>
      </c>
      <c r="AU787" s="1" t="s">
        <v>91</v>
      </c>
      <c r="AV787" t="s">
        <v>91</v>
      </c>
      <c r="AW787" t="s">
        <v>91</v>
      </c>
      <c r="AX787" t="s">
        <v>91</v>
      </c>
      <c r="AY787" t="s">
        <v>91</v>
      </c>
      <c r="AZ787" t="s">
        <v>91</v>
      </c>
      <c r="BA787" t="s">
        <v>91</v>
      </c>
      <c r="BB787" s="2">
        <v>44096.645520833335</v>
      </c>
      <c r="BC787" s="2"/>
      <c r="BD787" t="s">
        <v>91</v>
      </c>
      <c r="BF787" s="1" t="s">
        <v>75</v>
      </c>
      <c r="BG787">
        <v>0</v>
      </c>
      <c r="BH787">
        <v>0</v>
      </c>
      <c r="BI787" s="1" t="s">
        <v>88</v>
      </c>
      <c r="BJ787">
        <v>1</v>
      </c>
      <c r="BK787" s="1" t="s">
        <v>89</v>
      </c>
      <c r="BL787" t="s">
        <v>91</v>
      </c>
      <c r="BM787" s="1" t="s">
        <v>109</v>
      </c>
      <c r="BN787" s="1" t="s">
        <v>110</v>
      </c>
      <c r="BO787" s="1" t="s">
        <v>128</v>
      </c>
      <c r="BP787" s="1" t="s">
        <v>91</v>
      </c>
      <c r="BQ787" t="s">
        <v>91</v>
      </c>
      <c r="BR787" s="3">
        <v>44096</v>
      </c>
      <c r="BS787" s="3"/>
      <c r="BT787" t="s">
        <v>91</v>
      </c>
      <c r="BU787" t="s">
        <v>91</v>
      </c>
      <c r="BV787">
        <v>9</v>
      </c>
      <c r="BW787" s="1" t="s">
        <v>90</v>
      </c>
    </row>
    <row r="788" spans="1:75" hidden="1" x14ac:dyDescent="0.35">
      <c r="A788">
        <v>157586</v>
      </c>
      <c r="B788" s="1" t="s">
        <v>75</v>
      </c>
      <c r="C788">
        <v>80</v>
      </c>
      <c r="D788">
        <v>11121002</v>
      </c>
      <c r="E788">
        <v>121002</v>
      </c>
      <c r="F788" s="1" t="s">
        <v>2915</v>
      </c>
      <c r="G788" s="1" t="s">
        <v>4534</v>
      </c>
      <c r="H788">
        <v>0</v>
      </c>
      <c r="I788" s="1" t="s">
        <v>78</v>
      </c>
      <c r="J788" s="1" t="s">
        <v>4535</v>
      </c>
      <c r="K788" s="1" t="s">
        <v>4536</v>
      </c>
      <c r="L788" t="s">
        <v>91</v>
      </c>
      <c r="M788" t="s">
        <v>91</v>
      </c>
      <c r="N788" s="1" t="s">
        <v>91</v>
      </c>
      <c r="O788" t="s">
        <v>91</v>
      </c>
      <c r="P788" s="1" t="s">
        <v>4537</v>
      </c>
      <c r="Q788" s="1" t="s">
        <v>2106</v>
      </c>
      <c r="R788" s="1" t="s">
        <v>4538</v>
      </c>
      <c r="S788">
        <v>1269</v>
      </c>
      <c r="T788">
        <v>88801030</v>
      </c>
      <c r="U788" s="1" t="s">
        <v>108</v>
      </c>
      <c r="V788" s="1" t="s">
        <v>2943</v>
      </c>
      <c r="W788" s="1" t="s">
        <v>87</v>
      </c>
      <c r="X788">
        <v>48</v>
      </c>
      <c r="Y788">
        <v>34394472</v>
      </c>
      <c r="Z788" t="s">
        <v>91</v>
      </c>
      <c r="AA788" t="s">
        <v>91</v>
      </c>
      <c r="AB788" t="s">
        <v>91</v>
      </c>
      <c r="AC788" t="s">
        <v>91</v>
      </c>
      <c r="AD788" t="s">
        <v>91</v>
      </c>
      <c r="AE788" t="s">
        <v>91</v>
      </c>
      <c r="AF788" t="s">
        <v>91</v>
      </c>
      <c r="AG788" s="1" t="s">
        <v>91</v>
      </c>
      <c r="AH788" s="1" t="s">
        <v>91</v>
      </c>
      <c r="AI788" t="s">
        <v>91</v>
      </c>
      <c r="AM788" t="s">
        <v>91</v>
      </c>
      <c r="AN788" t="s">
        <v>91</v>
      </c>
      <c r="AO788" t="s">
        <v>91</v>
      </c>
      <c r="AP788" t="s">
        <v>91</v>
      </c>
      <c r="AQ788" s="1" t="s">
        <v>91</v>
      </c>
      <c r="AR788" s="1" t="s">
        <v>91</v>
      </c>
      <c r="AS788" s="1" t="s">
        <v>91</v>
      </c>
      <c r="AT788" s="1" t="s">
        <v>91</v>
      </c>
      <c r="AU788" s="1" t="s">
        <v>91</v>
      </c>
      <c r="AV788" t="s">
        <v>91</v>
      </c>
      <c r="AW788" t="s">
        <v>91</v>
      </c>
      <c r="AX788" t="s">
        <v>91</v>
      </c>
      <c r="AY788" t="s">
        <v>91</v>
      </c>
      <c r="AZ788" t="s">
        <v>91</v>
      </c>
      <c r="BA788" t="s">
        <v>91</v>
      </c>
      <c r="BB788" s="2">
        <v>45118.097175925926</v>
      </c>
      <c r="BC788" s="2"/>
      <c r="BD788" t="s">
        <v>91</v>
      </c>
      <c r="BF788" s="1" t="s">
        <v>75</v>
      </c>
      <c r="BI788" s="1" t="s">
        <v>88</v>
      </c>
      <c r="BJ788">
        <v>1</v>
      </c>
      <c r="BK788" s="1" t="s">
        <v>89</v>
      </c>
      <c r="BL788" t="s">
        <v>91</v>
      </c>
      <c r="BM788" s="1" t="s">
        <v>91</v>
      </c>
      <c r="BN788" s="1" t="s">
        <v>91</v>
      </c>
      <c r="BO788" s="1" t="s">
        <v>91</v>
      </c>
      <c r="BP788" s="1" t="s">
        <v>91</v>
      </c>
      <c r="BQ788" t="s">
        <v>91</v>
      </c>
      <c r="BR788" s="3">
        <v>45118</v>
      </c>
      <c r="BS788" s="3"/>
      <c r="BT788" t="s">
        <v>91</v>
      </c>
      <c r="BU788" t="s">
        <v>91</v>
      </c>
      <c r="BW788" s="1" t="s">
        <v>90</v>
      </c>
    </row>
    <row r="789" spans="1:75" hidden="1" x14ac:dyDescent="0.35">
      <c r="A789">
        <v>159581</v>
      </c>
      <c r="B789" s="1" t="s">
        <v>75</v>
      </c>
      <c r="C789">
        <v>80</v>
      </c>
      <c r="D789">
        <v>11121002</v>
      </c>
      <c r="E789">
        <v>121002</v>
      </c>
      <c r="F789" s="1" t="s">
        <v>2915</v>
      </c>
      <c r="G789" s="1" t="s">
        <v>4539</v>
      </c>
      <c r="I789" s="1" t="s">
        <v>78</v>
      </c>
      <c r="J789" s="1" t="s">
        <v>4540</v>
      </c>
      <c r="K789" s="1" t="s">
        <v>4541</v>
      </c>
      <c r="L789" t="s">
        <v>91</v>
      </c>
      <c r="M789" t="s">
        <v>91</v>
      </c>
      <c r="N789" s="1" t="s">
        <v>4542</v>
      </c>
      <c r="O789" t="s">
        <v>91</v>
      </c>
      <c r="P789" s="1" t="s">
        <v>4543</v>
      </c>
      <c r="Q789" s="1" t="s">
        <v>484</v>
      </c>
      <c r="R789" s="1" t="s">
        <v>91</v>
      </c>
      <c r="S789">
        <v>1265</v>
      </c>
      <c r="T789">
        <v>88495000</v>
      </c>
      <c r="U789" s="1" t="s">
        <v>3852</v>
      </c>
      <c r="V789" s="1" t="s">
        <v>3853</v>
      </c>
      <c r="W789" s="1" t="s">
        <v>87</v>
      </c>
      <c r="X789">
        <v>48</v>
      </c>
      <c r="Y789">
        <v>32547500</v>
      </c>
      <c r="Z789" t="s">
        <v>91</v>
      </c>
      <c r="AA789" t="s">
        <v>91</v>
      </c>
      <c r="AB789" t="s">
        <v>91</v>
      </c>
      <c r="AC789" t="s">
        <v>91</v>
      </c>
      <c r="AD789" t="s">
        <v>91</v>
      </c>
      <c r="AE789" t="s">
        <v>91</v>
      </c>
      <c r="AF789" t="s">
        <v>91</v>
      </c>
      <c r="AG789" s="1" t="s">
        <v>91</v>
      </c>
      <c r="AH789" s="1" t="s">
        <v>91</v>
      </c>
      <c r="AI789" t="s">
        <v>91</v>
      </c>
      <c r="AM789" t="s">
        <v>91</v>
      </c>
      <c r="AN789" t="s">
        <v>91</v>
      </c>
      <c r="AO789" t="s">
        <v>91</v>
      </c>
      <c r="AP789" t="s">
        <v>91</v>
      </c>
      <c r="AQ789" s="1" t="s">
        <v>91</v>
      </c>
      <c r="AR789" s="1" t="s">
        <v>91</v>
      </c>
      <c r="AS789" s="1" t="s">
        <v>91</v>
      </c>
      <c r="AT789" s="1" t="s">
        <v>91</v>
      </c>
      <c r="AU789" s="1" t="s">
        <v>91</v>
      </c>
      <c r="AV789" t="s">
        <v>91</v>
      </c>
      <c r="AW789" t="s">
        <v>91</v>
      </c>
      <c r="AX789" t="s">
        <v>91</v>
      </c>
      <c r="AY789" t="s">
        <v>91</v>
      </c>
      <c r="AZ789" t="s">
        <v>91</v>
      </c>
      <c r="BA789" t="s">
        <v>91</v>
      </c>
      <c r="BB789" s="2">
        <v>45194.491122685184</v>
      </c>
      <c r="BC789" s="2"/>
      <c r="BD789" t="s">
        <v>91</v>
      </c>
      <c r="BF789" s="1" t="s">
        <v>75</v>
      </c>
      <c r="BI789" s="1" t="s">
        <v>88</v>
      </c>
      <c r="BJ789">
        <v>1</v>
      </c>
      <c r="BK789" s="1" t="s">
        <v>89</v>
      </c>
      <c r="BL789" t="s">
        <v>91</v>
      </c>
      <c r="BM789" s="1" t="s">
        <v>91</v>
      </c>
      <c r="BN789" s="1" t="s">
        <v>91</v>
      </c>
      <c r="BO789" s="1" t="s">
        <v>91</v>
      </c>
      <c r="BP789" s="1" t="s">
        <v>91</v>
      </c>
      <c r="BQ789" t="s">
        <v>91</v>
      </c>
      <c r="BR789" s="3">
        <v>45194</v>
      </c>
      <c r="BS789" s="3"/>
      <c r="BT789" t="s">
        <v>91</v>
      </c>
      <c r="BU789" t="s">
        <v>91</v>
      </c>
      <c r="BW789" s="1" t="s">
        <v>90</v>
      </c>
    </row>
    <row r="790" spans="1:75" hidden="1" x14ac:dyDescent="0.35">
      <c r="A790">
        <v>157730</v>
      </c>
      <c r="B790" s="1" t="s">
        <v>75</v>
      </c>
      <c r="C790">
        <v>80</v>
      </c>
      <c r="D790">
        <v>11121002</v>
      </c>
      <c r="E790">
        <v>121002</v>
      </c>
      <c r="F790" s="1" t="s">
        <v>2915</v>
      </c>
      <c r="G790" s="1" t="s">
        <v>4544</v>
      </c>
      <c r="H790">
        <v>0</v>
      </c>
      <c r="I790" s="1" t="s">
        <v>78</v>
      </c>
      <c r="J790" s="1" t="s">
        <v>4545</v>
      </c>
      <c r="K790" s="1" t="s">
        <v>4546</v>
      </c>
      <c r="L790" t="s">
        <v>91</v>
      </c>
      <c r="M790" t="s">
        <v>91</v>
      </c>
      <c r="N790" s="1" t="s">
        <v>91</v>
      </c>
      <c r="O790" t="s">
        <v>91</v>
      </c>
      <c r="P790" s="1" t="s">
        <v>2920</v>
      </c>
      <c r="Q790" s="1" t="s">
        <v>4547</v>
      </c>
      <c r="R790" s="1" t="s">
        <v>434</v>
      </c>
      <c r="S790">
        <v>1254</v>
      </c>
      <c r="T790">
        <v>88010020</v>
      </c>
      <c r="U790" s="1" t="s">
        <v>108</v>
      </c>
      <c r="V790" s="1" t="s">
        <v>2922</v>
      </c>
      <c r="W790" s="1" t="s">
        <v>87</v>
      </c>
      <c r="X790">
        <v>48</v>
      </c>
      <c r="Y790">
        <v>32229181</v>
      </c>
      <c r="Z790" t="s">
        <v>91</v>
      </c>
      <c r="AA790" t="s">
        <v>91</v>
      </c>
      <c r="AB790" t="s">
        <v>91</v>
      </c>
      <c r="AC790" t="s">
        <v>91</v>
      </c>
      <c r="AD790" t="s">
        <v>91</v>
      </c>
      <c r="AE790" t="s">
        <v>91</v>
      </c>
      <c r="AF790" t="s">
        <v>91</v>
      </c>
      <c r="AG790" s="1" t="s">
        <v>91</v>
      </c>
      <c r="AH790" s="1" t="s">
        <v>91</v>
      </c>
      <c r="AI790" t="s">
        <v>91</v>
      </c>
      <c r="AM790" t="s">
        <v>91</v>
      </c>
      <c r="AN790" t="s">
        <v>91</v>
      </c>
      <c r="AO790" t="s">
        <v>91</v>
      </c>
      <c r="AP790" t="s">
        <v>91</v>
      </c>
      <c r="AQ790" s="1" t="s">
        <v>91</v>
      </c>
      <c r="AR790" s="1" t="s">
        <v>91</v>
      </c>
      <c r="AS790" s="1" t="s">
        <v>91</v>
      </c>
      <c r="AT790" s="1" t="s">
        <v>91</v>
      </c>
      <c r="AU790" s="1" t="s">
        <v>91</v>
      </c>
      <c r="AV790" t="s">
        <v>91</v>
      </c>
      <c r="AW790" t="s">
        <v>91</v>
      </c>
      <c r="AX790" t="s">
        <v>91</v>
      </c>
      <c r="AY790" t="s">
        <v>91</v>
      </c>
      <c r="AZ790" t="s">
        <v>91</v>
      </c>
      <c r="BA790" t="s">
        <v>91</v>
      </c>
      <c r="BB790" s="2">
        <v>45118.097175925926</v>
      </c>
      <c r="BC790" s="2"/>
      <c r="BD790" t="s">
        <v>91</v>
      </c>
      <c r="BF790" s="1" t="s">
        <v>75</v>
      </c>
      <c r="BI790" s="1" t="s">
        <v>88</v>
      </c>
      <c r="BJ790">
        <v>1</v>
      </c>
      <c r="BK790" s="1" t="s">
        <v>89</v>
      </c>
      <c r="BL790" t="s">
        <v>91</v>
      </c>
      <c r="BM790" s="1" t="s">
        <v>91</v>
      </c>
      <c r="BN790" s="1" t="s">
        <v>91</v>
      </c>
      <c r="BO790" s="1" t="s">
        <v>91</v>
      </c>
      <c r="BP790" s="1" t="s">
        <v>91</v>
      </c>
      <c r="BQ790" t="s">
        <v>91</v>
      </c>
      <c r="BR790" s="3">
        <v>45118</v>
      </c>
      <c r="BS790" s="3"/>
      <c r="BT790" t="s">
        <v>91</v>
      </c>
      <c r="BU790" t="s">
        <v>91</v>
      </c>
      <c r="BW790" s="1" t="s">
        <v>90</v>
      </c>
    </row>
    <row r="791" spans="1:75" hidden="1" x14ac:dyDescent="0.35">
      <c r="A791">
        <v>144698</v>
      </c>
      <c r="B791" s="1" t="s">
        <v>75</v>
      </c>
      <c r="C791">
        <v>80</v>
      </c>
      <c r="D791">
        <v>11121002</v>
      </c>
      <c r="E791">
        <v>121002</v>
      </c>
      <c r="F791" s="1" t="s">
        <v>2915</v>
      </c>
      <c r="G791" s="1" t="s">
        <v>4548</v>
      </c>
      <c r="I791" s="1" t="s">
        <v>78</v>
      </c>
      <c r="J791" s="1" t="s">
        <v>4549</v>
      </c>
      <c r="K791" s="1" t="s">
        <v>4550</v>
      </c>
      <c r="L791" t="s">
        <v>91</v>
      </c>
      <c r="M791" t="s">
        <v>91</v>
      </c>
      <c r="N791" s="1" t="s">
        <v>4551</v>
      </c>
      <c r="O791" t="s">
        <v>91</v>
      </c>
      <c r="P791" s="1" t="s">
        <v>4552</v>
      </c>
      <c r="Q791" s="1" t="s">
        <v>665</v>
      </c>
      <c r="R791" s="1" t="s">
        <v>820</v>
      </c>
      <c r="S791">
        <v>1269</v>
      </c>
      <c r="T791">
        <v>88865000</v>
      </c>
      <c r="U791" s="1" t="s">
        <v>108</v>
      </c>
      <c r="V791" s="1" t="s">
        <v>4553</v>
      </c>
      <c r="W791" s="1" t="s">
        <v>87</v>
      </c>
      <c r="X791">
        <v>48</v>
      </c>
      <c r="Y791">
        <v>34361895</v>
      </c>
      <c r="Z791" t="s">
        <v>91</v>
      </c>
      <c r="AA791" t="s">
        <v>91</v>
      </c>
      <c r="AB791" t="s">
        <v>91</v>
      </c>
      <c r="AC791" t="s">
        <v>91</v>
      </c>
      <c r="AD791" t="s">
        <v>91</v>
      </c>
      <c r="AE791" t="s">
        <v>91</v>
      </c>
      <c r="AF791" t="s">
        <v>91</v>
      </c>
      <c r="AG791" s="1" t="s">
        <v>91</v>
      </c>
      <c r="AH791" s="1" t="s">
        <v>91</v>
      </c>
      <c r="AI791" t="s">
        <v>91</v>
      </c>
      <c r="AJ791">
        <v>0</v>
      </c>
      <c r="AK791">
        <v>0</v>
      </c>
      <c r="AL791">
        <v>0</v>
      </c>
      <c r="AM791" t="s">
        <v>91</v>
      </c>
      <c r="AN791" t="s">
        <v>91</v>
      </c>
      <c r="AO791" t="s">
        <v>91</v>
      </c>
      <c r="AP791" t="s">
        <v>91</v>
      </c>
      <c r="AQ791" s="1" t="s">
        <v>91</v>
      </c>
      <c r="AR791" s="1" t="s">
        <v>91</v>
      </c>
      <c r="AS791" s="1" t="s">
        <v>91</v>
      </c>
      <c r="AT791" s="1" t="s">
        <v>91</v>
      </c>
      <c r="AU791" s="1" t="s">
        <v>91</v>
      </c>
      <c r="AV791" t="s">
        <v>91</v>
      </c>
      <c r="AW791" t="s">
        <v>91</v>
      </c>
      <c r="AX791" t="s">
        <v>91</v>
      </c>
      <c r="AY791" t="s">
        <v>91</v>
      </c>
      <c r="AZ791" t="s">
        <v>91</v>
      </c>
      <c r="BA791" t="s">
        <v>91</v>
      </c>
      <c r="BB791" s="2"/>
      <c r="BC791" s="2"/>
      <c r="BD791" t="s">
        <v>91</v>
      </c>
      <c r="BF791" s="1" t="s">
        <v>75</v>
      </c>
      <c r="BG791">
        <v>0</v>
      </c>
      <c r="BH791">
        <v>0</v>
      </c>
      <c r="BI791" s="1" t="s">
        <v>88</v>
      </c>
      <c r="BJ791">
        <v>1</v>
      </c>
      <c r="BK791" s="1" t="s">
        <v>89</v>
      </c>
      <c r="BL791" t="s">
        <v>91</v>
      </c>
      <c r="BM791" s="1" t="s">
        <v>109</v>
      </c>
      <c r="BN791" s="1" t="s">
        <v>110</v>
      </c>
      <c r="BO791" s="1" t="s">
        <v>180</v>
      </c>
      <c r="BP791" s="1" t="s">
        <v>91</v>
      </c>
      <c r="BQ791" t="s">
        <v>91</v>
      </c>
      <c r="BR791" s="3"/>
      <c r="BS791" s="3"/>
      <c r="BT791" t="s">
        <v>91</v>
      </c>
      <c r="BU791" t="s">
        <v>91</v>
      </c>
      <c r="BV791">
        <v>9</v>
      </c>
      <c r="BW791" s="1" t="s">
        <v>90</v>
      </c>
    </row>
    <row r="792" spans="1:75" hidden="1" x14ac:dyDescent="0.35">
      <c r="A792">
        <v>133765</v>
      </c>
      <c r="B792" s="1" t="s">
        <v>75</v>
      </c>
      <c r="C792">
        <v>80</v>
      </c>
      <c r="D792">
        <v>11121002</v>
      </c>
      <c r="E792">
        <v>121002</v>
      </c>
      <c r="F792" s="1" t="s">
        <v>2915</v>
      </c>
      <c r="G792" s="1" t="s">
        <v>4554</v>
      </c>
      <c r="H792">
        <v>0</v>
      </c>
      <c r="I792" s="1" t="s">
        <v>78</v>
      </c>
      <c r="J792" s="1" t="s">
        <v>4555</v>
      </c>
      <c r="K792" s="1" t="s">
        <v>4556</v>
      </c>
      <c r="L792" t="s">
        <v>91</v>
      </c>
      <c r="M792" t="s">
        <v>91</v>
      </c>
      <c r="N792" s="1" t="s">
        <v>4557</v>
      </c>
      <c r="O792" t="s">
        <v>91</v>
      </c>
      <c r="P792" s="1" t="s">
        <v>4558</v>
      </c>
      <c r="Q792" s="1" t="s">
        <v>4559</v>
      </c>
      <c r="R792" s="1" t="s">
        <v>91</v>
      </c>
      <c r="S792">
        <v>1268</v>
      </c>
      <c r="T792">
        <v>88715000</v>
      </c>
      <c r="U792" s="1" t="s">
        <v>108</v>
      </c>
      <c r="V792" s="1" t="s">
        <v>4352</v>
      </c>
      <c r="W792" s="1" t="s">
        <v>87</v>
      </c>
      <c r="X792">
        <v>48</v>
      </c>
      <c r="Y792">
        <v>36242086</v>
      </c>
      <c r="Z792" t="s">
        <v>91</v>
      </c>
      <c r="AA792" t="s">
        <v>91</v>
      </c>
      <c r="AB792" t="s">
        <v>91</v>
      </c>
      <c r="AC792" t="s">
        <v>91</v>
      </c>
      <c r="AD792" t="s">
        <v>91</v>
      </c>
      <c r="AE792" t="s">
        <v>91</v>
      </c>
      <c r="AF792" t="s">
        <v>91</v>
      </c>
      <c r="AG792" s="1" t="s">
        <v>91</v>
      </c>
      <c r="AH792" s="1" t="s">
        <v>91</v>
      </c>
      <c r="AI792" t="s">
        <v>91</v>
      </c>
      <c r="AJ792">
        <v>0</v>
      </c>
      <c r="AK792">
        <v>0</v>
      </c>
      <c r="AL792">
        <v>0</v>
      </c>
      <c r="AM792" t="s">
        <v>91</v>
      </c>
      <c r="AN792" t="s">
        <v>91</v>
      </c>
      <c r="AO792" t="s">
        <v>91</v>
      </c>
      <c r="AP792" t="s">
        <v>91</v>
      </c>
      <c r="AQ792" s="1" t="s">
        <v>91</v>
      </c>
      <c r="AR792" s="1" t="s">
        <v>91</v>
      </c>
      <c r="AS792" s="1" t="s">
        <v>91</v>
      </c>
      <c r="AT792" s="1" t="s">
        <v>91</v>
      </c>
      <c r="AU792" s="1" t="s">
        <v>91</v>
      </c>
      <c r="AV792" t="s">
        <v>91</v>
      </c>
      <c r="AW792" t="s">
        <v>91</v>
      </c>
      <c r="AX792" t="s">
        <v>91</v>
      </c>
      <c r="AY792" t="s">
        <v>91</v>
      </c>
      <c r="AZ792" t="s">
        <v>91</v>
      </c>
      <c r="BA792" t="s">
        <v>91</v>
      </c>
      <c r="BB792" s="2">
        <v>44246.427766203706</v>
      </c>
      <c r="BC792" s="2"/>
      <c r="BD792" t="s">
        <v>91</v>
      </c>
      <c r="BF792" s="1" t="s">
        <v>75</v>
      </c>
      <c r="BG792">
        <v>0</v>
      </c>
      <c r="BH792">
        <v>0</v>
      </c>
      <c r="BI792" s="1" t="s">
        <v>88</v>
      </c>
      <c r="BJ792">
        <v>1</v>
      </c>
      <c r="BK792" s="1" t="s">
        <v>89</v>
      </c>
      <c r="BL792" t="s">
        <v>91</v>
      </c>
      <c r="BM792" s="1" t="s">
        <v>109</v>
      </c>
      <c r="BN792" s="1" t="s">
        <v>110</v>
      </c>
      <c r="BO792" s="1" t="s">
        <v>180</v>
      </c>
      <c r="BP792" s="1" t="s">
        <v>91</v>
      </c>
      <c r="BQ792" t="s">
        <v>91</v>
      </c>
      <c r="BR792" s="3">
        <v>44246</v>
      </c>
      <c r="BS792" s="3"/>
      <c r="BT792" t="s">
        <v>91</v>
      </c>
      <c r="BU792" t="s">
        <v>91</v>
      </c>
      <c r="BV792">
        <v>9</v>
      </c>
      <c r="BW792" s="1" t="s">
        <v>90</v>
      </c>
    </row>
    <row r="793" spans="1:75" hidden="1" x14ac:dyDescent="0.35">
      <c r="A793">
        <v>144362</v>
      </c>
      <c r="B793" s="1" t="s">
        <v>75</v>
      </c>
      <c r="C793">
        <v>80</v>
      </c>
      <c r="D793">
        <v>11121002</v>
      </c>
      <c r="E793">
        <v>121002</v>
      </c>
      <c r="F793" s="1" t="s">
        <v>2915</v>
      </c>
      <c r="G793" s="1" t="s">
        <v>4560</v>
      </c>
      <c r="I793" s="1" t="s">
        <v>78</v>
      </c>
      <c r="J793" s="1" t="s">
        <v>4561</v>
      </c>
      <c r="K793" s="1" t="s">
        <v>4562</v>
      </c>
      <c r="L793" t="s">
        <v>91</v>
      </c>
      <c r="M793" t="s">
        <v>91</v>
      </c>
      <c r="N793" s="1" t="s">
        <v>4563</v>
      </c>
      <c r="O793" t="s">
        <v>91</v>
      </c>
      <c r="P793" s="1" t="s">
        <v>873</v>
      </c>
      <c r="Q793" s="1" t="s">
        <v>1038</v>
      </c>
      <c r="R793" s="1" t="s">
        <v>91</v>
      </c>
      <c r="S793">
        <v>1269</v>
      </c>
      <c r="T793">
        <v>88801500</v>
      </c>
      <c r="U793" s="1" t="s">
        <v>108</v>
      </c>
      <c r="V793" s="1" t="s">
        <v>3231</v>
      </c>
      <c r="W793" s="1" t="s">
        <v>87</v>
      </c>
      <c r="X793">
        <v>48</v>
      </c>
      <c r="Y793">
        <v>34370688</v>
      </c>
      <c r="Z793" t="s">
        <v>91</v>
      </c>
      <c r="AA793" t="s">
        <v>91</v>
      </c>
      <c r="AB793" t="s">
        <v>91</v>
      </c>
      <c r="AC793" t="s">
        <v>91</v>
      </c>
      <c r="AD793" t="s">
        <v>91</v>
      </c>
      <c r="AE793" t="s">
        <v>91</v>
      </c>
      <c r="AF793" t="s">
        <v>91</v>
      </c>
      <c r="AG793" s="1" t="s">
        <v>91</v>
      </c>
      <c r="AH793" s="1" t="s">
        <v>91</v>
      </c>
      <c r="AI793" t="s">
        <v>91</v>
      </c>
      <c r="AJ793">
        <v>0</v>
      </c>
      <c r="AK793">
        <v>0</v>
      </c>
      <c r="AL793">
        <v>0</v>
      </c>
      <c r="AM793" t="s">
        <v>91</v>
      </c>
      <c r="AN793" t="s">
        <v>91</v>
      </c>
      <c r="AO793" t="s">
        <v>91</v>
      </c>
      <c r="AP793" t="s">
        <v>91</v>
      </c>
      <c r="AQ793" s="1" t="s">
        <v>91</v>
      </c>
      <c r="AR793" s="1" t="s">
        <v>91</v>
      </c>
      <c r="AS793" s="1" t="s">
        <v>91</v>
      </c>
      <c r="AT793" s="1" t="s">
        <v>91</v>
      </c>
      <c r="AU793" s="1" t="s">
        <v>91</v>
      </c>
      <c r="AV793" t="s">
        <v>91</v>
      </c>
      <c r="AW793" t="s">
        <v>91</v>
      </c>
      <c r="AX793" t="s">
        <v>91</v>
      </c>
      <c r="AY793" t="s">
        <v>91</v>
      </c>
      <c r="AZ793" t="s">
        <v>91</v>
      </c>
      <c r="BA793" t="s">
        <v>91</v>
      </c>
      <c r="BB793" s="2"/>
      <c r="BC793" s="2"/>
      <c r="BD793" t="s">
        <v>91</v>
      </c>
      <c r="BF793" s="1" t="s">
        <v>75</v>
      </c>
      <c r="BG793">
        <v>0</v>
      </c>
      <c r="BH793">
        <v>0</v>
      </c>
      <c r="BI793" s="1" t="s">
        <v>88</v>
      </c>
      <c r="BJ793">
        <v>1</v>
      </c>
      <c r="BK793" s="1" t="s">
        <v>89</v>
      </c>
      <c r="BL793" t="s">
        <v>91</v>
      </c>
      <c r="BM793" s="1" t="s">
        <v>329</v>
      </c>
      <c r="BN793" s="1" t="s">
        <v>110</v>
      </c>
      <c r="BO793" s="1" t="s">
        <v>165</v>
      </c>
      <c r="BP793" s="1" t="s">
        <v>91</v>
      </c>
      <c r="BQ793" t="s">
        <v>91</v>
      </c>
      <c r="BR793" s="3"/>
      <c r="BS793" s="3"/>
      <c r="BT793" t="s">
        <v>91</v>
      </c>
      <c r="BU793" t="s">
        <v>91</v>
      </c>
      <c r="BV793">
        <v>1</v>
      </c>
      <c r="BW793" s="1" t="s">
        <v>1089</v>
      </c>
    </row>
    <row r="794" spans="1:75" hidden="1" x14ac:dyDescent="0.35">
      <c r="A794">
        <v>134227</v>
      </c>
      <c r="B794" s="1" t="s">
        <v>75</v>
      </c>
      <c r="C794">
        <v>80</v>
      </c>
      <c r="D794">
        <v>11121002</v>
      </c>
      <c r="E794">
        <v>121002</v>
      </c>
      <c r="F794" s="1" t="s">
        <v>2915</v>
      </c>
      <c r="G794" s="1" t="s">
        <v>4564</v>
      </c>
      <c r="I794" s="1" t="s">
        <v>78</v>
      </c>
      <c r="J794" s="1" t="s">
        <v>4565</v>
      </c>
      <c r="K794" s="1" t="s">
        <v>4566</v>
      </c>
      <c r="L794" t="s">
        <v>91</v>
      </c>
      <c r="M794" t="s">
        <v>91</v>
      </c>
      <c r="N794" s="1" t="s">
        <v>4567</v>
      </c>
      <c r="O794" t="s">
        <v>91</v>
      </c>
      <c r="P794" s="1" t="s">
        <v>4568</v>
      </c>
      <c r="Q794" s="1" t="s">
        <v>3459</v>
      </c>
      <c r="R794" s="1" t="s">
        <v>4569</v>
      </c>
      <c r="S794">
        <v>1259</v>
      </c>
      <c r="T794">
        <v>88132149</v>
      </c>
      <c r="U794" s="1" t="s">
        <v>3461</v>
      </c>
      <c r="V794" s="1" t="s">
        <v>3165</v>
      </c>
      <c r="W794" s="1" t="s">
        <v>87</v>
      </c>
      <c r="X794">
        <v>48</v>
      </c>
      <c r="Y794">
        <v>30869074</v>
      </c>
      <c r="Z794" t="s">
        <v>91</v>
      </c>
      <c r="AA794" t="s">
        <v>91</v>
      </c>
      <c r="AB794" t="s">
        <v>91</v>
      </c>
      <c r="AC794" t="s">
        <v>91</v>
      </c>
      <c r="AD794" t="s">
        <v>91</v>
      </c>
      <c r="AE794" t="s">
        <v>91</v>
      </c>
      <c r="AF794" t="s">
        <v>91</v>
      </c>
      <c r="AG794" s="1" t="s">
        <v>146</v>
      </c>
      <c r="AH794" s="1" t="s">
        <v>91</v>
      </c>
      <c r="AI794" t="s">
        <v>91</v>
      </c>
      <c r="AJ794">
        <v>0</v>
      </c>
      <c r="AK794">
        <v>0</v>
      </c>
      <c r="AL794">
        <v>0</v>
      </c>
      <c r="AM794" t="s">
        <v>91</v>
      </c>
      <c r="AN794" t="s">
        <v>91</v>
      </c>
      <c r="AO794" t="s">
        <v>91</v>
      </c>
      <c r="AP794" t="s">
        <v>91</v>
      </c>
      <c r="AQ794" s="1" t="s">
        <v>147</v>
      </c>
      <c r="AR794" s="1" t="s">
        <v>147</v>
      </c>
      <c r="AS794" s="1" t="s">
        <v>147</v>
      </c>
      <c r="AT794" s="1" t="s">
        <v>147</v>
      </c>
      <c r="AU794" s="1" t="s">
        <v>147</v>
      </c>
      <c r="AV794" t="s">
        <v>91</v>
      </c>
      <c r="AW794" t="s">
        <v>91</v>
      </c>
      <c r="AX794" t="s">
        <v>91</v>
      </c>
      <c r="AY794" t="s">
        <v>91</v>
      </c>
      <c r="AZ794" t="s">
        <v>91</v>
      </c>
      <c r="BA794" t="s">
        <v>91</v>
      </c>
      <c r="BB794" s="2"/>
      <c r="BC794" s="2">
        <v>44683.734189814815</v>
      </c>
      <c r="BD794" t="s">
        <v>91</v>
      </c>
      <c r="BF794" s="1" t="s">
        <v>75</v>
      </c>
      <c r="BG794">
        <v>0</v>
      </c>
      <c r="BH794">
        <v>0</v>
      </c>
      <c r="BI794" s="1" t="s">
        <v>88</v>
      </c>
      <c r="BJ794">
        <v>1</v>
      </c>
      <c r="BK794" s="1" t="s">
        <v>89</v>
      </c>
      <c r="BL794" t="s">
        <v>91</v>
      </c>
      <c r="BM794" s="1" t="s">
        <v>164</v>
      </c>
      <c r="BN794" s="1" t="s">
        <v>110</v>
      </c>
      <c r="BO794" s="1" t="s">
        <v>165</v>
      </c>
      <c r="BP794" s="1" t="s">
        <v>91</v>
      </c>
      <c r="BQ794" t="s">
        <v>91</v>
      </c>
      <c r="BR794" s="3"/>
      <c r="BS794" s="3">
        <v>44683</v>
      </c>
      <c r="BT794" t="s">
        <v>91</v>
      </c>
      <c r="BU794" t="s">
        <v>91</v>
      </c>
      <c r="BV794">
        <v>1</v>
      </c>
      <c r="BW794" s="1" t="s">
        <v>1469</v>
      </c>
    </row>
    <row r="795" spans="1:75" hidden="1" x14ac:dyDescent="0.35">
      <c r="A795">
        <v>11</v>
      </c>
      <c r="B795" s="1" t="s">
        <v>75</v>
      </c>
      <c r="C795">
        <v>80</v>
      </c>
      <c r="D795">
        <v>11121002</v>
      </c>
      <c r="E795">
        <v>121002</v>
      </c>
      <c r="F795" s="1" t="s">
        <v>2915</v>
      </c>
      <c r="G795" s="1" t="s">
        <v>4570</v>
      </c>
      <c r="I795" s="1" t="s">
        <v>78</v>
      </c>
      <c r="J795" s="1" t="s">
        <v>4571</v>
      </c>
      <c r="K795" s="1" t="s">
        <v>4572</v>
      </c>
      <c r="L795" t="s">
        <v>91</v>
      </c>
      <c r="M795" t="s">
        <v>91</v>
      </c>
      <c r="N795" s="1" t="s">
        <v>4573</v>
      </c>
      <c r="O795" t="s">
        <v>91</v>
      </c>
      <c r="P795" s="1" t="s">
        <v>4574</v>
      </c>
      <c r="Q795" s="1" t="s">
        <v>2233</v>
      </c>
      <c r="R795" s="1" t="s">
        <v>91</v>
      </c>
      <c r="S795">
        <v>1269</v>
      </c>
      <c r="T795">
        <v>88801050</v>
      </c>
      <c r="U795" s="1" t="s">
        <v>108</v>
      </c>
      <c r="V795" s="1" t="s">
        <v>3231</v>
      </c>
      <c r="W795" s="1" t="s">
        <v>87</v>
      </c>
      <c r="X795">
        <v>48</v>
      </c>
      <c r="Y795">
        <v>34334494</v>
      </c>
      <c r="Z795" t="s">
        <v>91</v>
      </c>
      <c r="AA795" t="s">
        <v>91</v>
      </c>
      <c r="AB795" t="s">
        <v>91</v>
      </c>
      <c r="AC795" t="s">
        <v>91</v>
      </c>
      <c r="AD795" t="s">
        <v>91</v>
      </c>
      <c r="AE795" t="s">
        <v>91</v>
      </c>
      <c r="AF795" t="s">
        <v>91</v>
      </c>
      <c r="AG795" s="1" t="s">
        <v>91</v>
      </c>
      <c r="AH795" s="1" t="s">
        <v>91</v>
      </c>
      <c r="AI795" t="s">
        <v>91</v>
      </c>
      <c r="AJ795">
        <v>0</v>
      </c>
      <c r="AK795">
        <v>0</v>
      </c>
      <c r="AL795">
        <v>0</v>
      </c>
      <c r="AM795" t="s">
        <v>91</v>
      </c>
      <c r="AN795" t="s">
        <v>91</v>
      </c>
      <c r="AO795" t="s">
        <v>91</v>
      </c>
      <c r="AP795" t="s">
        <v>91</v>
      </c>
      <c r="AQ795" s="1" t="s">
        <v>91</v>
      </c>
      <c r="AR795" s="1" t="s">
        <v>91</v>
      </c>
      <c r="AS795" s="1" t="s">
        <v>91</v>
      </c>
      <c r="AT795" s="1" t="s">
        <v>91</v>
      </c>
      <c r="AU795" s="1" t="s">
        <v>91</v>
      </c>
      <c r="AV795" t="s">
        <v>91</v>
      </c>
      <c r="AW795" t="s">
        <v>91</v>
      </c>
      <c r="AX795" t="s">
        <v>91</v>
      </c>
      <c r="AY795" t="s">
        <v>91</v>
      </c>
      <c r="AZ795" t="s">
        <v>91</v>
      </c>
      <c r="BA795" t="s">
        <v>91</v>
      </c>
      <c r="BB795" s="2">
        <v>43308.392708333333</v>
      </c>
      <c r="BC795" s="2"/>
      <c r="BD795" t="s">
        <v>91</v>
      </c>
      <c r="BE795">
        <v>11</v>
      </c>
      <c r="BF795" s="1" t="s">
        <v>75</v>
      </c>
      <c r="BG795">
        <v>0</v>
      </c>
      <c r="BH795">
        <v>0</v>
      </c>
      <c r="BI795" s="1" t="s">
        <v>88</v>
      </c>
      <c r="BJ795">
        <v>1</v>
      </c>
      <c r="BK795" s="1" t="s">
        <v>89</v>
      </c>
      <c r="BL795" t="s">
        <v>91</v>
      </c>
      <c r="BM795" s="1" t="s">
        <v>109</v>
      </c>
      <c r="BN795" s="1" t="s">
        <v>110</v>
      </c>
      <c r="BO795" s="1" t="s">
        <v>165</v>
      </c>
      <c r="BP795" s="1" t="s">
        <v>91</v>
      </c>
      <c r="BQ795" t="s">
        <v>91</v>
      </c>
      <c r="BR795" s="3">
        <v>43308</v>
      </c>
      <c r="BS795" s="3"/>
      <c r="BT795" t="s">
        <v>91</v>
      </c>
      <c r="BU795" t="s">
        <v>91</v>
      </c>
      <c r="BV795">
        <v>5</v>
      </c>
      <c r="BW795" s="1" t="s">
        <v>1383</v>
      </c>
    </row>
    <row r="796" spans="1:75" hidden="1" x14ac:dyDescent="0.35">
      <c r="A796">
        <v>156911</v>
      </c>
      <c r="B796" s="1" t="s">
        <v>75</v>
      </c>
      <c r="C796">
        <v>80</v>
      </c>
      <c r="D796">
        <v>11121002</v>
      </c>
      <c r="E796">
        <v>121002</v>
      </c>
      <c r="F796" s="1" t="s">
        <v>2915</v>
      </c>
      <c r="G796" s="1" t="s">
        <v>4575</v>
      </c>
      <c r="H796">
        <v>0</v>
      </c>
      <c r="I796" s="1" t="s">
        <v>78</v>
      </c>
      <c r="J796" s="1" t="s">
        <v>4576</v>
      </c>
      <c r="K796" s="1" t="s">
        <v>4577</v>
      </c>
      <c r="L796" t="s">
        <v>91</v>
      </c>
      <c r="M796" t="s">
        <v>91</v>
      </c>
      <c r="N796" s="1" t="s">
        <v>4578</v>
      </c>
      <c r="O796" t="s">
        <v>91</v>
      </c>
      <c r="P796" s="1" t="s">
        <v>4579</v>
      </c>
      <c r="Q796" s="1" t="s">
        <v>433</v>
      </c>
      <c r="R796" s="1" t="s">
        <v>833</v>
      </c>
      <c r="T796">
        <v>88720000</v>
      </c>
      <c r="U796" s="1" t="s">
        <v>108</v>
      </c>
      <c r="V796" s="1" t="s">
        <v>4580</v>
      </c>
      <c r="W796" s="1" t="s">
        <v>87</v>
      </c>
      <c r="X796">
        <v>48</v>
      </c>
      <c r="Y796">
        <v>991648372</v>
      </c>
      <c r="Z796" t="s">
        <v>91</v>
      </c>
      <c r="AA796" t="s">
        <v>91</v>
      </c>
      <c r="AB796" t="s">
        <v>91</v>
      </c>
      <c r="AC796" t="s">
        <v>91</v>
      </c>
      <c r="AD796" t="s">
        <v>91</v>
      </c>
      <c r="AE796" t="s">
        <v>91</v>
      </c>
      <c r="AF796" t="s">
        <v>91</v>
      </c>
      <c r="AG796" s="1" t="s">
        <v>91</v>
      </c>
      <c r="AH796" s="1" t="s">
        <v>91</v>
      </c>
      <c r="AI796" t="s">
        <v>91</v>
      </c>
      <c r="AM796" t="s">
        <v>91</v>
      </c>
      <c r="AN796" t="s">
        <v>91</v>
      </c>
      <c r="AO796" t="s">
        <v>91</v>
      </c>
      <c r="AP796" t="s">
        <v>91</v>
      </c>
      <c r="AQ796" s="1" t="s">
        <v>91</v>
      </c>
      <c r="AR796" s="1" t="s">
        <v>91</v>
      </c>
      <c r="AS796" s="1" t="s">
        <v>91</v>
      </c>
      <c r="AT796" s="1" t="s">
        <v>91</v>
      </c>
      <c r="AU796" s="1" t="s">
        <v>91</v>
      </c>
      <c r="AV796" t="s">
        <v>91</v>
      </c>
      <c r="AW796" t="s">
        <v>91</v>
      </c>
      <c r="AX796" t="s">
        <v>91</v>
      </c>
      <c r="AY796" t="s">
        <v>91</v>
      </c>
      <c r="AZ796" t="s">
        <v>91</v>
      </c>
      <c r="BA796" t="s">
        <v>91</v>
      </c>
      <c r="BB796" s="2">
        <v>45113.505416666667</v>
      </c>
      <c r="BC796" s="2"/>
      <c r="BD796" t="s">
        <v>91</v>
      </c>
      <c r="BF796" s="1" t="s">
        <v>75</v>
      </c>
      <c r="BI796" s="1" t="s">
        <v>88</v>
      </c>
      <c r="BJ796">
        <v>1</v>
      </c>
      <c r="BK796" s="1" t="s">
        <v>89</v>
      </c>
      <c r="BL796" t="s">
        <v>91</v>
      </c>
      <c r="BM796" s="1" t="s">
        <v>91</v>
      </c>
      <c r="BN796" s="1" t="s">
        <v>91</v>
      </c>
      <c r="BO796" s="1" t="s">
        <v>91</v>
      </c>
      <c r="BP796" s="1" t="s">
        <v>91</v>
      </c>
      <c r="BQ796" t="s">
        <v>91</v>
      </c>
      <c r="BR796" s="3">
        <v>45113</v>
      </c>
      <c r="BS796" s="3"/>
      <c r="BT796" t="s">
        <v>91</v>
      </c>
      <c r="BU796" t="s">
        <v>91</v>
      </c>
      <c r="BW796" s="1" t="s">
        <v>3218</v>
      </c>
    </row>
    <row r="797" spans="1:75" hidden="1" x14ac:dyDescent="0.35">
      <c r="A797">
        <v>157714</v>
      </c>
      <c r="B797" s="1" t="s">
        <v>75</v>
      </c>
      <c r="C797">
        <v>80</v>
      </c>
      <c r="D797">
        <v>11121002</v>
      </c>
      <c r="E797">
        <v>121002</v>
      </c>
      <c r="F797" s="1" t="s">
        <v>2915</v>
      </c>
      <c r="G797" s="1" t="s">
        <v>4581</v>
      </c>
      <c r="H797">
        <v>0</v>
      </c>
      <c r="I797" s="1" t="s">
        <v>78</v>
      </c>
      <c r="J797" s="1" t="s">
        <v>4582</v>
      </c>
      <c r="K797" s="1" t="s">
        <v>4583</v>
      </c>
      <c r="L797" t="s">
        <v>91</v>
      </c>
      <c r="M797" t="s">
        <v>91</v>
      </c>
      <c r="N797" s="1" t="s">
        <v>91</v>
      </c>
      <c r="O797" t="s">
        <v>91</v>
      </c>
      <c r="P797" s="1" t="s">
        <v>3936</v>
      </c>
      <c r="Q797" s="1" t="s">
        <v>4584</v>
      </c>
      <c r="R797" s="1" t="s">
        <v>327</v>
      </c>
      <c r="S797">
        <v>1258</v>
      </c>
      <c r="T797">
        <v>88075400</v>
      </c>
      <c r="U797" s="1" t="s">
        <v>3391</v>
      </c>
      <c r="V797" s="1" t="s">
        <v>2922</v>
      </c>
      <c r="W797" s="1" t="s">
        <v>87</v>
      </c>
      <c r="X797">
        <v>48</v>
      </c>
      <c r="Y797">
        <v>30255033</v>
      </c>
      <c r="Z797" t="s">
        <v>91</v>
      </c>
      <c r="AA797" t="s">
        <v>91</v>
      </c>
      <c r="AB797" t="s">
        <v>91</v>
      </c>
      <c r="AC797" t="s">
        <v>91</v>
      </c>
      <c r="AD797" t="s">
        <v>91</v>
      </c>
      <c r="AE797" t="s">
        <v>91</v>
      </c>
      <c r="AF797" t="s">
        <v>91</v>
      </c>
      <c r="AG797" s="1" t="s">
        <v>91</v>
      </c>
      <c r="AH797" s="1" t="s">
        <v>91</v>
      </c>
      <c r="AI797" t="s">
        <v>91</v>
      </c>
      <c r="AM797" t="s">
        <v>91</v>
      </c>
      <c r="AN797" t="s">
        <v>91</v>
      </c>
      <c r="AO797" t="s">
        <v>91</v>
      </c>
      <c r="AP797" t="s">
        <v>91</v>
      </c>
      <c r="AQ797" s="1" t="s">
        <v>91</v>
      </c>
      <c r="AR797" s="1" t="s">
        <v>91</v>
      </c>
      <c r="AS797" s="1" t="s">
        <v>91</v>
      </c>
      <c r="AT797" s="1" t="s">
        <v>91</v>
      </c>
      <c r="AU797" s="1" t="s">
        <v>91</v>
      </c>
      <c r="AV797" t="s">
        <v>91</v>
      </c>
      <c r="AW797" t="s">
        <v>91</v>
      </c>
      <c r="AX797" t="s">
        <v>91</v>
      </c>
      <c r="AY797" t="s">
        <v>91</v>
      </c>
      <c r="AZ797" t="s">
        <v>91</v>
      </c>
      <c r="BA797" t="s">
        <v>91</v>
      </c>
      <c r="BB797" s="2">
        <v>45118.097175925926</v>
      </c>
      <c r="BC797" s="2"/>
      <c r="BD797" t="s">
        <v>91</v>
      </c>
      <c r="BF797" s="1" t="s">
        <v>75</v>
      </c>
      <c r="BI797" s="1" t="s">
        <v>88</v>
      </c>
      <c r="BJ797">
        <v>1</v>
      </c>
      <c r="BK797" s="1" t="s">
        <v>89</v>
      </c>
      <c r="BL797" t="s">
        <v>91</v>
      </c>
      <c r="BM797" s="1" t="s">
        <v>91</v>
      </c>
      <c r="BN797" s="1" t="s">
        <v>91</v>
      </c>
      <c r="BO797" s="1" t="s">
        <v>91</v>
      </c>
      <c r="BP797" s="1" t="s">
        <v>91</v>
      </c>
      <c r="BQ797" t="s">
        <v>91</v>
      </c>
      <c r="BR797" s="3">
        <v>45118</v>
      </c>
      <c r="BS797" s="3"/>
      <c r="BT797" t="s">
        <v>91</v>
      </c>
      <c r="BU797" t="s">
        <v>91</v>
      </c>
      <c r="BW797" s="1" t="s">
        <v>90</v>
      </c>
    </row>
    <row r="798" spans="1:75" hidden="1" x14ac:dyDescent="0.35">
      <c r="A798">
        <v>144383</v>
      </c>
      <c r="B798" s="1" t="s">
        <v>75</v>
      </c>
      <c r="C798">
        <v>80</v>
      </c>
      <c r="D798">
        <v>11121002</v>
      </c>
      <c r="E798">
        <v>121002</v>
      </c>
      <c r="F798" s="1" t="s">
        <v>2915</v>
      </c>
      <c r="G798" s="1" t="s">
        <v>4585</v>
      </c>
      <c r="I798" s="1" t="s">
        <v>78</v>
      </c>
      <c r="J798" s="1" t="s">
        <v>4586</v>
      </c>
      <c r="K798" s="1" t="s">
        <v>4587</v>
      </c>
      <c r="L798" t="s">
        <v>91</v>
      </c>
      <c r="M798" t="s">
        <v>91</v>
      </c>
      <c r="N798" s="1" t="s">
        <v>4588</v>
      </c>
      <c r="O798" t="s">
        <v>91</v>
      </c>
      <c r="P798" s="1" t="s">
        <v>1094</v>
      </c>
      <c r="Q798" s="1" t="s">
        <v>4589</v>
      </c>
      <c r="R798" s="1" t="s">
        <v>2200</v>
      </c>
      <c r="S798">
        <v>1270</v>
      </c>
      <c r="T798">
        <v>88990000</v>
      </c>
      <c r="U798" s="1" t="s">
        <v>343</v>
      </c>
      <c r="V798" s="1" t="s">
        <v>3051</v>
      </c>
      <c r="W798" s="1" t="s">
        <v>87</v>
      </c>
      <c r="X798">
        <v>48</v>
      </c>
      <c r="Y798">
        <v>35320037</v>
      </c>
      <c r="Z798" t="s">
        <v>91</v>
      </c>
      <c r="AA798" t="s">
        <v>91</v>
      </c>
      <c r="AB798" t="s">
        <v>91</v>
      </c>
      <c r="AC798" t="s">
        <v>91</v>
      </c>
      <c r="AD798" t="s">
        <v>91</v>
      </c>
      <c r="AE798" t="s">
        <v>91</v>
      </c>
      <c r="AF798" t="s">
        <v>91</v>
      </c>
      <c r="AG798" s="1" t="s">
        <v>91</v>
      </c>
      <c r="AH798" s="1" t="s">
        <v>91</v>
      </c>
      <c r="AI798" t="s">
        <v>91</v>
      </c>
      <c r="AJ798">
        <v>0</v>
      </c>
      <c r="AK798">
        <v>0</v>
      </c>
      <c r="AL798">
        <v>0</v>
      </c>
      <c r="AM798" t="s">
        <v>91</v>
      </c>
      <c r="AN798" t="s">
        <v>91</v>
      </c>
      <c r="AO798" t="s">
        <v>91</v>
      </c>
      <c r="AP798" t="s">
        <v>91</v>
      </c>
      <c r="AQ798" s="1" t="s">
        <v>91</v>
      </c>
      <c r="AR798" s="1" t="s">
        <v>91</v>
      </c>
      <c r="AS798" s="1" t="s">
        <v>91</v>
      </c>
      <c r="AT798" s="1" t="s">
        <v>91</v>
      </c>
      <c r="AU798" s="1" t="s">
        <v>91</v>
      </c>
      <c r="AV798" t="s">
        <v>91</v>
      </c>
      <c r="AW798" t="s">
        <v>91</v>
      </c>
      <c r="AX798" t="s">
        <v>91</v>
      </c>
      <c r="AY798" t="s">
        <v>91</v>
      </c>
      <c r="AZ798" t="s">
        <v>91</v>
      </c>
      <c r="BA798" t="s">
        <v>91</v>
      </c>
      <c r="BB798" s="2"/>
      <c r="BC798" s="2"/>
      <c r="BD798" t="s">
        <v>91</v>
      </c>
      <c r="BF798" s="1" t="s">
        <v>75</v>
      </c>
      <c r="BG798">
        <v>0</v>
      </c>
      <c r="BH798">
        <v>0</v>
      </c>
      <c r="BI798" s="1" t="s">
        <v>88</v>
      </c>
      <c r="BJ798">
        <v>1</v>
      </c>
      <c r="BK798" s="1" t="s">
        <v>89</v>
      </c>
      <c r="BL798" t="s">
        <v>91</v>
      </c>
      <c r="BM798" s="1" t="s">
        <v>109</v>
      </c>
      <c r="BN798" s="1" t="s">
        <v>110</v>
      </c>
      <c r="BO798" s="1" t="s">
        <v>1040</v>
      </c>
      <c r="BP798" s="1" t="s">
        <v>91</v>
      </c>
      <c r="BQ798" t="s">
        <v>91</v>
      </c>
      <c r="BR798" s="3"/>
      <c r="BS798" s="3"/>
      <c r="BT798" t="s">
        <v>91</v>
      </c>
      <c r="BU798" t="s">
        <v>91</v>
      </c>
      <c r="BV798">
        <v>9</v>
      </c>
      <c r="BW798" s="1" t="s">
        <v>263</v>
      </c>
    </row>
    <row r="799" spans="1:75" hidden="1" x14ac:dyDescent="0.35">
      <c r="A799">
        <v>144339</v>
      </c>
      <c r="B799" s="1" t="s">
        <v>75</v>
      </c>
      <c r="C799">
        <v>80</v>
      </c>
      <c r="D799">
        <v>11121002</v>
      </c>
      <c r="E799">
        <v>121002</v>
      </c>
      <c r="F799" s="1" t="s">
        <v>2915</v>
      </c>
      <c r="G799" s="1" t="s">
        <v>4590</v>
      </c>
      <c r="I799" s="1" t="s">
        <v>78</v>
      </c>
      <c r="J799" s="1" t="s">
        <v>4591</v>
      </c>
      <c r="K799" s="1" t="s">
        <v>4592</v>
      </c>
      <c r="L799" t="s">
        <v>91</v>
      </c>
      <c r="M799" t="s">
        <v>91</v>
      </c>
      <c r="N799" s="1" t="s">
        <v>4593</v>
      </c>
      <c r="O799" t="s">
        <v>91</v>
      </c>
      <c r="P799" s="1" t="s">
        <v>4594</v>
      </c>
      <c r="Q799" s="1" t="s">
        <v>1467</v>
      </c>
      <c r="R799" s="1" t="s">
        <v>370</v>
      </c>
      <c r="S799">
        <v>1268</v>
      </c>
      <c r="T799">
        <v>88765000</v>
      </c>
      <c r="U799" s="1" t="s">
        <v>108</v>
      </c>
      <c r="V799" s="1" t="s">
        <v>4595</v>
      </c>
      <c r="W799" s="1" t="s">
        <v>87</v>
      </c>
      <c r="X799">
        <v>48</v>
      </c>
      <c r="Y799">
        <v>36456379</v>
      </c>
      <c r="Z799" t="s">
        <v>91</v>
      </c>
      <c r="AA799" t="s">
        <v>91</v>
      </c>
      <c r="AB799" t="s">
        <v>91</v>
      </c>
      <c r="AC799" t="s">
        <v>91</v>
      </c>
      <c r="AD799" t="s">
        <v>91</v>
      </c>
      <c r="AE799" t="s">
        <v>91</v>
      </c>
      <c r="AF799" t="s">
        <v>91</v>
      </c>
      <c r="AG799" s="1" t="s">
        <v>91</v>
      </c>
      <c r="AH799" s="1" t="s">
        <v>91</v>
      </c>
      <c r="AI799" t="s">
        <v>91</v>
      </c>
      <c r="AJ799">
        <v>0</v>
      </c>
      <c r="AK799">
        <v>0</v>
      </c>
      <c r="AL799">
        <v>0</v>
      </c>
      <c r="AM799" t="s">
        <v>91</v>
      </c>
      <c r="AN799" t="s">
        <v>91</v>
      </c>
      <c r="AO799" t="s">
        <v>91</v>
      </c>
      <c r="AP799" t="s">
        <v>91</v>
      </c>
      <c r="AQ799" s="1" t="s">
        <v>91</v>
      </c>
      <c r="AR799" s="1" t="s">
        <v>91</v>
      </c>
      <c r="AS799" s="1" t="s">
        <v>91</v>
      </c>
      <c r="AT799" s="1" t="s">
        <v>91</v>
      </c>
      <c r="AU799" s="1" t="s">
        <v>91</v>
      </c>
      <c r="AV799" t="s">
        <v>91</v>
      </c>
      <c r="AW799" t="s">
        <v>91</v>
      </c>
      <c r="AX799" t="s">
        <v>91</v>
      </c>
      <c r="AY799" t="s">
        <v>91</v>
      </c>
      <c r="AZ799" t="s">
        <v>91</v>
      </c>
      <c r="BA799" t="s">
        <v>91</v>
      </c>
      <c r="BB799" s="2"/>
      <c r="BC799" s="2"/>
      <c r="BD799" t="s">
        <v>91</v>
      </c>
      <c r="BF799" s="1" t="s">
        <v>75</v>
      </c>
      <c r="BG799">
        <v>0</v>
      </c>
      <c r="BH799">
        <v>0</v>
      </c>
      <c r="BI799" s="1" t="s">
        <v>88</v>
      </c>
      <c r="BJ799">
        <v>1</v>
      </c>
      <c r="BK799" s="1" t="s">
        <v>89</v>
      </c>
      <c r="BL799" t="s">
        <v>91</v>
      </c>
      <c r="BM799" s="1" t="s">
        <v>109</v>
      </c>
      <c r="BN799" s="1" t="s">
        <v>110</v>
      </c>
      <c r="BO799" s="1" t="s">
        <v>128</v>
      </c>
      <c r="BP799" s="1" t="s">
        <v>91</v>
      </c>
      <c r="BQ799" t="s">
        <v>91</v>
      </c>
      <c r="BR799" s="3"/>
      <c r="BS799" s="3"/>
      <c r="BT799" t="s">
        <v>91</v>
      </c>
      <c r="BU799" t="s">
        <v>91</v>
      </c>
      <c r="BV799">
        <v>9</v>
      </c>
      <c r="BW799" s="1" t="s">
        <v>854</v>
      </c>
    </row>
    <row r="800" spans="1:75" hidden="1" x14ac:dyDescent="0.35">
      <c r="A800">
        <v>159567</v>
      </c>
      <c r="B800" s="1" t="s">
        <v>75</v>
      </c>
      <c r="C800">
        <v>80</v>
      </c>
      <c r="D800">
        <v>11121002</v>
      </c>
      <c r="E800">
        <v>121002</v>
      </c>
      <c r="F800" s="1" t="s">
        <v>2915</v>
      </c>
      <c r="G800" s="1" t="s">
        <v>4596</v>
      </c>
      <c r="I800" s="1" t="s">
        <v>78</v>
      </c>
      <c r="J800" s="1" t="s">
        <v>4597</v>
      </c>
      <c r="K800" s="1" t="s">
        <v>4598</v>
      </c>
      <c r="L800" t="s">
        <v>91</v>
      </c>
      <c r="M800" t="s">
        <v>91</v>
      </c>
      <c r="N800" s="1" t="s">
        <v>4599</v>
      </c>
      <c r="O800" t="s">
        <v>91</v>
      </c>
      <c r="P800" s="1" t="s">
        <v>3552</v>
      </c>
      <c r="Q800" s="1" t="s">
        <v>747</v>
      </c>
      <c r="R800" s="1" t="s">
        <v>173</v>
      </c>
      <c r="S800">
        <v>1269</v>
      </c>
      <c r="T800">
        <v>88801440</v>
      </c>
      <c r="U800" s="1" t="s">
        <v>108</v>
      </c>
      <c r="V800" s="1" t="s">
        <v>2943</v>
      </c>
      <c r="W800" s="1" t="s">
        <v>87</v>
      </c>
      <c r="X800">
        <v>51</v>
      </c>
      <c r="Y800">
        <v>992289325</v>
      </c>
      <c r="Z800" t="s">
        <v>91</v>
      </c>
      <c r="AA800" t="s">
        <v>91</v>
      </c>
      <c r="AB800" t="s">
        <v>91</v>
      </c>
      <c r="AC800" t="s">
        <v>91</v>
      </c>
      <c r="AD800" t="s">
        <v>91</v>
      </c>
      <c r="AE800" t="s">
        <v>91</v>
      </c>
      <c r="AF800" t="s">
        <v>91</v>
      </c>
      <c r="AG800" s="1" t="s">
        <v>91</v>
      </c>
      <c r="AH800" s="1" t="s">
        <v>91</v>
      </c>
      <c r="AI800" t="s">
        <v>91</v>
      </c>
      <c r="AM800" t="s">
        <v>91</v>
      </c>
      <c r="AN800" t="s">
        <v>91</v>
      </c>
      <c r="AO800" t="s">
        <v>91</v>
      </c>
      <c r="AP800" t="s">
        <v>91</v>
      </c>
      <c r="AQ800" s="1" t="s">
        <v>91</v>
      </c>
      <c r="AR800" s="1" t="s">
        <v>91</v>
      </c>
      <c r="AS800" s="1" t="s">
        <v>91</v>
      </c>
      <c r="AT800" s="1" t="s">
        <v>91</v>
      </c>
      <c r="AU800" s="1" t="s">
        <v>91</v>
      </c>
      <c r="AV800" t="s">
        <v>91</v>
      </c>
      <c r="AW800" t="s">
        <v>91</v>
      </c>
      <c r="AX800" t="s">
        <v>91</v>
      </c>
      <c r="AY800" t="s">
        <v>91</v>
      </c>
      <c r="AZ800" t="s">
        <v>91</v>
      </c>
      <c r="BA800" t="s">
        <v>91</v>
      </c>
      <c r="BB800" s="2">
        <v>45194.491122685184</v>
      </c>
      <c r="BC800" s="2"/>
      <c r="BD800" t="s">
        <v>91</v>
      </c>
      <c r="BF800" s="1" t="s">
        <v>75</v>
      </c>
      <c r="BI800" s="1" t="s">
        <v>88</v>
      </c>
      <c r="BJ800">
        <v>1</v>
      </c>
      <c r="BK800" s="1" t="s">
        <v>89</v>
      </c>
      <c r="BL800" t="s">
        <v>91</v>
      </c>
      <c r="BM800" s="1" t="s">
        <v>91</v>
      </c>
      <c r="BN800" s="1" t="s">
        <v>91</v>
      </c>
      <c r="BO800" s="1" t="s">
        <v>91</v>
      </c>
      <c r="BP800" s="1" t="s">
        <v>91</v>
      </c>
      <c r="BQ800" t="s">
        <v>91</v>
      </c>
      <c r="BR800" s="3">
        <v>45194</v>
      </c>
      <c r="BS800" s="3"/>
      <c r="BT800" t="s">
        <v>91</v>
      </c>
      <c r="BU800" t="s">
        <v>91</v>
      </c>
      <c r="BW800" s="1" t="s">
        <v>90</v>
      </c>
    </row>
    <row r="801" spans="1:75" hidden="1" x14ac:dyDescent="0.35">
      <c r="A801">
        <v>127445</v>
      </c>
      <c r="B801" s="1" t="s">
        <v>75</v>
      </c>
      <c r="C801">
        <v>80</v>
      </c>
      <c r="D801">
        <v>11121002</v>
      </c>
      <c r="E801">
        <v>121002</v>
      </c>
      <c r="F801" s="1" t="s">
        <v>2915</v>
      </c>
      <c r="G801" s="1" t="s">
        <v>4600</v>
      </c>
      <c r="H801">
        <v>0</v>
      </c>
      <c r="I801" s="1" t="s">
        <v>78</v>
      </c>
      <c r="J801" s="1" t="s">
        <v>4601</v>
      </c>
      <c r="K801" s="1" t="s">
        <v>4602</v>
      </c>
      <c r="L801" t="s">
        <v>91</v>
      </c>
      <c r="M801" t="s">
        <v>91</v>
      </c>
      <c r="N801" s="1" t="s">
        <v>4603</v>
      </c>
      <c r="O801" t="s">
        <v>91</v>
      </c>
      <c r="P801" s="1" t="s">
        <v>4604</v>
      </c>
      <c r="Q801" s="1" t="s">
        <v>4605</v>
      </c>
      <c r="R801" s="1" t="s">
        <v>91</v>
      </c>
      <c r="T801">
        <v>88704501</v>
      </c>
      <c r="U801" s="1" t="s">
        <v>4606</v>
      </c>
      <c r="V801" s="1" t="s">
        <v>3900</v>
      </c>
      <c r="W801" s="1" t="s">
        <v>87</v>
      </c>
      <c r="X801">
        <v>48</v>
      </c>
      <c r="Y801">
        <v>36242265</v>
      </c>
      <c r="Z801" t="s">
        <v>91</v>
      </c>
      <c r="AA801" t="s">
        <v>91</v>
      </c>
      <c r="AB801" t="s">
        <v>91</v>
      </c>
      <c r="AC801" t="s">
        <v>91</v>
      </c>
      <c r="AD801" t="s">
        <v>91</v>
      </c>
      <c r="AE801" t="s">
        <v>91</v>
      </c>
      <c r="AF801" t="s">
        <v>91</v>
      </c>
      <c r="AG801" s="1" t="s">
        <v>91</v>
      </c>
      <c r="AH801" s="1" t="s">
        <v>91</v>
      </c>
      <c r="AI801" t="s">
        <v>91</v>
      </c>
      <c r="AM801" t="s">
        <v>91</v>
      </c>
      <c r="AN801" t="s">
        <v>91</v>
      </c>
      <c r="AO801" t="s">
        <v>91</v>
      </c>
      <c r="AP801" t="s">
        <v>91</v>
      </c>
      <c r="AQ801" s="1" t="s">
        <v>91</v>
      </c>
      <c r="AR801" s="1" t="s">
        <v>91</v>
      </c>
      <c r="AS801" s="1" t="s">
        <v>91</v>
      </c>
      <c r="AT801" s="1" t="s">
        <v>91</v>
      </c>
      <c r="AU801" s="1" t="s">
        <v>91</v>
      </c>
      <c r="AV801" t="s">
        <v>91</v>
      </c>
      <c r="AW801" t="s">
        <v>91</v>
      </c>
      <c r="AX801" t="s">
        <v>91</v>
      </c>
      <c r="AY801" t="s">
        <v>91</v>
      </c>
      <c r="AZ801" t="s">
        <v>91</v>
      </c>
      <c r="BA801" t="s">
        <v>91</v>
      </c>
      <c r="BB801" s="2">
        <v>44111.380995370368</v>
      </c>
      <c r="BC801" s="2"/>
      <c r="BD801" t="s">
        <v>91</v>
      </c>
      <c r="BF801" s="1" t="s">
        <v>75</v>
      </c>
      <c r="BI801" s="1" t="s">
        <v>88</v>
      </c>
      <c r="BJ801">
        <v>1</v>
      </c>
      <c r="BK801" s="1" t="s">
        <v>89</v>
      </c>
      <c r="BL801" t="s">
        <v>91</v>
      </c>
      <c r="BM801" s="1" t="s">
        <v>109</v>
      </c>
      <c r="BN801" s="1" t="s">
        <v>110</v>
      </c>
      <c r="BO801" s="1" t="s">
        <v>128</v>
      </c>
      <c r="BP801" s="1" t="s">
        <v>91</v>
      </c>
      <c r="BQ801" t="s">
        <v>91</v>
      </c>
      <c r="BR801" s="3">
        <v>44111</v>
      </c>
      <c r="BS801" s="3"/>
      <c r="BT801" t="s">
        <v>91</v>
      </c>
      <c r="BU801" t="s">
        <v>91</v>
      </c>
      <c r="BV801">
        <v>9</v>
      </c>
      <c r="BW801" s="1" t="s">
        <v>90</v>
      </c>
    </row>
    <row r="802" spans="1:75" hidden="1" x14ac:dyDescent="0.35">
      <c r="A802">
        <v>134224</v>
      </c>
      <c r="B802" s="1" t="s">
        <v>75</v>
      </c>
      <c r="C802">
        <v>80</v>
      </c>
      <c r="D802">
        <v>11121002</v>
      </c>
      <c r="E802">
        <v>121002</v>
      </c>
      <c r="F802" s="1" t="s">
        <v>2915</v>
      </c>
      <c r="G802" s="1" t="s">
        <v>4607</v>
      </c>
      <c r="I802" s="1" t="s">
        <v>78</v>
      </c>
      <c r="J802" s="1" t="s">
        <v>4608</v>
      </c>
      <c r="K802" s="1" t="s">
        <v>4609</v>
      </c>
      <c r="L802" t="s">
        <v>91</v>
      </c>
      <c r="M802" t="s">
        <v>91</v>
      </c>
      <c r="N802" s="1" t="s">
        <v>4610</v>
      </c>
      <c r="O802" t="s">
        <v>91</v>
      </c>
      <c r="P802" s="1" t="s">
        <v>4611</v>
      </c>
      <c r="Q802" s="1" t="s">
        <v>2022</v>
      </c>
      <c r="R802" s="1" t="s">
        <v>4612</v>
      </c>
      <c r="S802">
        <v>1259</v>
      </c>
      <c r="T802">
        <v>88101370</v>
      </c>
      <c r="U802" s="1" t="s">
        <v>3015</v>
      </c>
      <c r="V802" s="1" t="s">
        <v>3016</v>
      </c>
      <c r="W802" s="1" t="s">
        <v>87</v>
      </c>
      <c r="X802">
        <v>48</v>
      </c>
      <c r="Y802">
        <v>32590229</v>
      </c>
      <c r="Z802" t="s">
        <v>91</v>
      </c>
      <c r="AA802" t="s">
        <v>91</v>
      </c>
      <c r="AB802" t="s">
        <v>91</v>
      </c>
      <c r="AC802" t="s">
        <v>91</v>
      </c>
      <c r="AD802" t="s">
        <v>91</v>
      </c>
      <c r="AE802" t="s">
        <v>91</v>
      </c>
      <c r="AF802" t="s">
        <v>91</v>
      </c>
      <c r="AG802" s="1" t="s">
        <v>146</v>
      </c>
      <c r="AH802" s="1" t="s">
        <v>91</v>
      </c>
      <c r="AI802" t="s">
        <v>91</v>
      </c>
      <c r="AJ802">
        <v>0</v>
      </c>
      <c r="AK802">
        <v>0</v>
      </c>
      <c r="AL802">
        <v>0</v>
      </c>
      <c r="AM802" t="s">
        <v>91</v>
      </c>
      <c r="AN802" t="s">
        <v>91</v>
      </c>
      <c r="AO802" t="s">
        <v>91</v>
      </c>
      <c r="AP802" t="s">
        <v>91</v>
      </c>
      <c r="AQ802" s="1" t="s">
        <v>147</v>
      </c>
      <c r="AR802" s="1" t="s">
        <v>147</v>
      </c>
      <c r="AS802" s="1" t="s">
        <v>147</v>
      </c>
      <c r="AT802" s="1" t="s">
        <v>147</v>
      </c>
      <c r="AU802" s="1" t="s">
        <v>147</v>
      </c>
      <c r="AV802" t="s">
        <v>91</v>
      </c>
      <c r="AW802" t="s">
        <v>91</v>
      </c>
      <c r="AX802" t="s">
        <v>91</v>
      </c>
      <c r="AY802" t="s">
        <v>91</v>
      </c>
      <c r="AZ802" t="s">
        <v>91</v>
      </c>
      <c r="BA802" t="s">
        <v>91</v>
      </c>
      <c r="BB802" s="2"/>
      <c r="BC802" s="2">
        <v>44540.602546296293</v>
      </c>
      <c r="BD802" t="s">
        <v>91</v>
      </c>
      <c r="BF802" s="1" t="s">
        <v>75</v>
      </c>
      <c r="BG802">
        <v>0</v>
      </c>
      <c r="BH802">
        <v>0</v>
      </c>
      <c r="BI802" s="1" t="s">
        <v>88</v>
      </c>
      <c r="BJ802">
        <v>1</v>
      </c>
      <c r="BK802" s="1" t="s">
        <v>89</v>
      </c>
      <c r="BL802" t="s">
        <v>91</v>
      </c>
      <c r="BM802" s="1" t="s">
        <v>109</v>
      </c>
      <c r="BN802" s="1" t="s">
        <v>110</v>
      </c>
      <c r="BO802" s="1" t="s">
        <v>165</v>
      </c>
      <c r="BP802" s="1" t="s">
        <v>91</v>
      </c>
      <c r="BQ802" t="s">
        <v>91</v>
      </c>
      <c r="BR802" s="3"/>
      <c r="BS802" s="3">
        <v>44540</v>
      </c>
      <c r="BT802" t="s">
        <v>91</v>
      </c>
      <c r="BU802" t="s">
        <v>91</v>
      </c>
      <c r="BV802">
        <v>5</v>
      </c>
      <c r="BW802" s="1" t="s">
        <v>1171</v>
      </c>
    </row>
    <row r="803" spans="1:75" hidden="1" x14ac:dyDescent="0.35">
      <c r="A803">
        <v>134254</v>
      </c>
      <c r="B803" s="1" t="s">
        <v>75</v>
      </c>
      <c r="C803">
        <v>80</v>
      </c>
      <c r="D803">
        <v>11121002</v>
      </c>
      <c r="E803">
        <v>121002</v>
      </c>
      <c r="F803" s="1" t="s">
        <v>2915</v>
      </c>
      <c r="G803" s="1" t="s">
        <v>4613</v>
      </c>
      <c r="I803" s="1" t="s">
        <v>78</v>
      </c>
      <c r="J803" s="1" t="s">
        <v>4614</v>
      </c>
      <c r="K803" s="1" t="s">
        <v>4615</v>
      </c>
      <c r="L803" t="s">
        <v>91</v>
      </c>
      <c r="M803" t="s">
        <v>91</v>
      </c>
      <c r="N803" s="1" t="s">
        <v>4616</v>
      </c>
      <c r="O803" t="s">
        <v>91</v>
      </c>
      <c r="P803" s="1" t="s">
        <v>4617</v>
      </c>
      <c r="Q803" s="1" t="s">
        <v>3032</v>
      </c>
      <c r="R803" s="1" t="s">
        <v>4618</v>
      </c>
      <c r="S803">
        <v>1255</v>
      </c>
      <c r="T803">
        <v>88015902</v>
      </c>
      <c r="U803" s="1" t="s">
        <v>108</v>
      </c>
      <c r="V803" s="1" t="s">
        <v>2922</v>
      </c>
      <c r="W803" s="1" t="s">
        <v>87</v>
      </c>
      <c r="X803">
        <v>48</v>
      </c>
      <c r="Y803">
        <v>30378318</v>
      </c>
      <c r="Z803" t="s">
        <v>91</v>
      </c>
      <c r="AA803" t="s">
        <v>91</v>
      </c>
      <c r="AB803" t="s">
        <v>91</v>
      </c>
      <c r="AC803" t="s">
        <v>91</v>
      </c>
      <c r="AD803" t="s">
        <v>91</v>
      </c>
      <c r="AE803" t="s">
        <v>91</v>
      </c>
      <c r="AF803" t="s">
        <v>91</v>
      </c>
      <c r="AG803" s="1" t="s">
        <v>91</v>
      </c>
      <c r="AH803" s="1" t="s">
        <v>91</v>
      </c>
      <c r="AI803" t="s">
        <v>91</v>
      </c>
      <c r="AJ803">
        <v>0</v>
      </c>
      <c r="AK803">
        <v>0</v>
      </c>
      <c r="AL803">
        <v>0</v>
      </c>
      <c r="AM803" t="s">
        <v>91</v>
      </c>
      <c r="AN803" t="s">
        <v>91</v>
      </c>
      <c r="AO803" t="s">
        <v>91</v>
      </c>
      <c r="AP803" t="s">
        <v>91</v>
      </c>
      <c r="AQ803" s="1" t="s">
        <v>91</v>
      </c>
      <c r="AR803" s="1" t="s">
        <v>91</v>
      </c>
      <c r="AS803" s="1" t="s">
        <v>91</v>
      </c>
      <c r="AT803" s="1" t="s">
        <v>91</v>
      </c>
      <c r="AU803" s="1" t="s">
        <v>91</v>
      </c>
      <c r="AV803" t="s">
        <v>91</v>
      </c>
      <c r="AW803" t="s">
        <v>91</v>
      </c>
      <c r="AX803" t="s">
        <v>91</v>
      </c>
      <c r="AY803" t="s">
        <v>91</v>
      </c>
      <c r="AZ803" t="s">
        <v>91</v>
      </c>
      <c r="BA803" t="s">
        <v>91</v>
      </c>
      <c r="BB803" s="2"/>
      <c r="BC803" s="2"/>
      <c r="BD803" t="s">
        <v>91</v>
      </c>
      <c r="BF803" s="1" t="s">
        <v>75</v>
      </c>
      <c r="BG803">
        <v>0</v>
      </c>
      <c r="BH803">
        <v>0</v>
      </c>
      <c r="BI803" s="1" t="s">
        <v>88</v>
      </c>
      <c r="BJ803">
        <v>1</v>
      </c>
      <c r="BK803" s="1" t="s">
        <v>89</v>
      </c>
      <c r="BL803" t="s">
        <v>91</v>
      </c>
      <c r="BM803" s="1" t="s">
        <v>329</v>
      </c>
      <c r="BN803" s="1" t="s">
        <v>110</v>
      </c>
      <c r="BO803" s="1" t="s">
        <v>165</v>
      </c>
      <c r="BP803" s="1" t="s">
        <v>91</v>
      </c>
      <c r="BQ803" t="s">
        <v>91</v>
      </c>
      <c r="BR803" s="3"/>
      <c r="BS803" s="3"/>
      <c r="BT803" t="s">
        <v>91</v>
      </c>
      <c r="BU803" t="s">
        <v>91</v>
      </c>
      <c r="BV803">
        <v>9</v>
      </c>
      <c r="BW803" s="1" t="s">
        <v>90</v>
      </c>
    </row>
    <row r="804" spans="1:75" hidden="1" x14ac:dyDescent="0.35">
      <c r="A804">
        <v>134549</v>
      </c>
      <c r="B804" s="1" t="s">
        <v>75</v>
      </c>
      <c r="C804">
        <v>80</v>
      </c>
      <c r="D804">
        <v>11121002</v>
      </c>
      <c r="E804">
        <v>121002</v>
      </c>
      <c r="F804" s="1" t="s">
        <v>2915</v>
      </c>
      <c r="G804" s="1" t="s">
        <v>4619</v>
      </c>
      <c r="I804" s="1" t="s">
        <v>78</v>
      </c>
      <c r="J804" s="1" t="s">
        <v>4620</v>
      </c>
      <c r="K804" s="1" t="s">
        <v>4621</v>
      </c>
      <c r="L804" t="s">
        <v>91</v>
      </c>
      <c r="M804" t="s">
        <v>91</v>
      </c>
      <c r="N804" s="1" t="s">
        <v>4622</v>
      </c>
      <c r="O804" t="s">
        <v>91</v>
      </c>
      <c r="P804" s="1" t="s">
        <v>3748</v>
      </c>
      <c r="Q804" s="1" t="s">
        <v>4623</v>
      </c>
      <c r="R804" s="1" t="s">
        <v>107</v>
      </c>
      <c r="S804">
        <v>1259</v>
      </c>
      <c r="T804">
        <v>88102001</v>
      </c>
      <c r="U804" s="1" t="s">
        <v>3015</v>
      </c>
      <c r="V804" s="1" t="s">
        <v>3016</v>
      </c>
      <c r="W804" s="1" t="s">
        <v>87</v>
      </c>
      <c r="X804">
        <v>48</v>
      </c>
      <c r="Y804">
        <v>32081434</v>
      </c>
      <c r="Z804" t="s">
        <v>91</v>
      </c>
      <c r="AA804" t="s">
        <v>91</v>
      </c>
      <c r="AB804" t="s">
        <v>91</v>
      </c>
      <c r="AC804" t="s">
        <v>91</v>
      </c>
      <c r="AD804" t="s">
        <v>91</v>
      </c>
      <c r="AE804" t="s">
        <v>91</v>
      </c>
      <c r="AF804" t="s">
        <v>91</v>
      </c>
      <c r="AG804" s="1" t="s">
        <v>146</v>
      </c>
      <c r="AH804" s="1" t="s">
        <v>91</v>
      </c>
      <c r="AI804" t="s">
        <v>91</v>
      </c>
      <c r="AM804" t="s">
        <v>91</v>
      </c>
      <c r="AN804" t="s">
        <v>91</v>
      </c>
      <c r="AO804" t="s">
        <v>91</v>
      </c>
      <c r="AP804" t="s">
        <v>91</v>
      </c>
      <c r="AQ804" s="1" t="s">
        <v>147</v>
      </c>
      <c r="AR804" s="1" t="s">
        <v>147</v>
      </c>
      <c r="AS804" s="1" t="s">
        <v>147</v>
      </c>
      <c r="AT804" s="1" t="s">
        <v>147</v>
      </c>
      <c r="AU804" s="1" t="s">
        <v>147</v>
      </c>
      <c r="AV804" t="s">
        <v>91</v>
      </c>
      <c r="AW804" t="s">
        <v>91</v>
      </c>
      <c r="AX804" t="s">
        <v>91</v>
      </c>
      <c r="AY804" t="s">
        <v>91</v>
      </c>
      <c r="AZ804" t="s">
        <v>91</v>
      </c>
      <c r="BA804" t="s">
        <v>91</v>
      </c>
      <c r="BB804" s="2"/>
      <c r="BC804" s="2">
        <v>44755.590462962966</v>
      </c>
      <c r="BD804" t="s">
        <v>91</v>
      </c>
      <c r="BF804" s="1" t="s">
        <v>75</v>
      </c>
      <c r="BH804">
        <v>0</v>
      </c>
      <c r="BI804" s="1" t="s">
        <v>88</v>
      </c>
      <c r="BJ804">
        <v>1</v>
      </c>
      <c r="BK804" s="1" t="s">
        <v>89</v>
      </c>
      <c r="BL804" t="s">
        <v>91</v>
      </c>
      <c r="BM804" s="1" t="s">
        <v>109</v>
      </c>
      <c r="BN804" s="1" t="s">
        <v>110</v>
      </c>
      <c r="BO804" s="1" t="s">
        <v>111</v>
      </c>
      <c r="BP804" s="1" t="s">
        <v>91</v>
      </c>
      <c r="BQ804" t="s">
        <v>91</v>
      </c>
      <c r="BR804" s="3"/>
      <c r="BS804" s="3">
        <v>44755</v>
      </c>
      <c r="BT804" t="s">
        <v>91</v>
      </c>
      <c r="BU804" t="s">
        <v>91</v>
      </c>
      <c r="BW804" s="1" t="s">
        <v>120</v>
      </c>
    </row>
    <row r="805" spans="1:75" hidden="1" x14ac:dyDescent="0.35">
      <c r="A805">
        <v>156938</v>
      </c>
      <c r="B805" s="1" t="s">
        <v>75</v>
      </c>
      <c r="C805">
        <v>80</v>
      </c>
      <c r="D805">
        <v>11121002</v>
      </c>
      <c r="E805">
        <v>121002</v>
      </c>
      <c r="F805" s="1" t="s">
        <v>2915</v>
      </c>
      <c r="G805" s="1" t="s">
        <v>4624</v>
      </c>
      <c r="H805">
        <v>0</v>
      </c>
      <c r="I805" s="1" t="s">
        <v>78</v>
      </c>
      <c r="J805" s="1" t="s">
        <v>4625</v>
      </c>
      <c r="K805" s="1" t="s">
        <v>4626</v>
      </c>
      <c r="L805" t="s">
        <v>91</v>
      </c>
      <c r="M805" t="s">
        <v>91</v>
      </c>
      <c r="N805" s="1" t="s">
        <v>91</v>
      </c>
      <c r="O805" t="s">
        <v>91</v>
      </c>
      <c r="P805" s="1" t="s">
        <v>4627</v>
      </c>
      <c r="Q805" s="1" t="s">
        <v>1042</v>
      </c>
      <c r="R805" s="1" t="s">
        <v>91</v>
      </c>
      <c r="S805">
        <v>1269</v>
      </c>
      <c r="T805">
        <v>88880000</v>
      </c>
      <c r="U805" s="1" t="s">
        <v>108</v>
      </c>
      <c r="V805" s="1" t="s">
        <v>4628</v>
      </c>
      <c r="W805" s="1" t="s">
        <v>87</v>
      </c>
      <c r="X805">
        <v>48</v>
      </c>
      <c r="Y805">
        <v>34643358</v>
      </c>
      <c r="Z805" t="s">
        <v>91</v>
      </c>
      <c r="AA805" t="s">
        <v>91</v>
      </c>
      <c r="AB805" t="s">
        <v>91</v>
      </c>
      <c r="AC805" t="s">
        <v>91</v>
      </c>
      <c r="AD805" t="s">
        <v>91</v>
      </c>
      <c r="AE805" t="s">
        <v>91</v>
      </c>
      <c r="AF805" t="s">
        <v>91</v>
      </c>
      <c r="AG805" s="1" t="s">
        <v>91</v>
      </c>
      <c r="AH805" s="1" t="s">
        <v>91</v>
      </c>
      <c r="AI805" t="s">
        <v>91</v>
      </c>
      <c r="AM805" t="s">
        <v>91</v>
      </c>
      <c r="AN805" t="s">
        <v>91</v>
      </c>
      <c r="AO805" t="s">
        <v>91</v>
      </c>
      <c r="AP805" t="s">
        <v>91</v>
      </c>
      <c r="AQ805" s="1" t="s">
        <v>91</v>
      </c>
      <c r="AR805" s="1" t="s">
        <v>91</v>
      </c>
      <c r="AS805" s="1" t="s">
        <v>91</v>
      </c>
      <c r="AT805" s="1" t="s">
        <v>91</v>
      </c>
      <c r="AU805" s="1" t="s">
        <v>91</v>
      </c>
      <c r="AV805" t="s">
        <v>91</v>
      </c>
      <c r="AW805" t="s">
        <v>91</v>
      </c>
      <c r="AX805" t="s">
        <v>91</v>
      </c>
      <c r="AY805" t="s">
        <v>91</v>
      </c>
      <c r="AZ805" t="s">
        <v>91</v>
      </c>
      <c r="BA805" t="s">
        <v>91</v>
      </c>
      <c r="BB805" s="2">
        <v>45113.505416666667</v>
      </c>
      <c r="BC805" s="2"/>
      <c r="BD805" t="s">
        <v>91</v>
      </c>
      <c r="BF805" s="1" t="s">
        <v>75</v>
      </c>
      <c r="BI805" s="1" t="s">
        <v>88</v>
      </c>
      <c r="BJ805">
        <v>1</v>
      </c>
      <c r="BK805" s="1" t="s">
        <v>89</v>
      </c>
      <c r="BL805" t="s">
        <v>91</v>
      </c>
      <c r="BM805" s="1" t="s">
        <v>91</v>
      </c>
      <c r="BN805" s="1" t="s">
        <v>91</v>
      </c>
      <c r="BO805" s="1" t="s">
        <v>91</v>
      </c>
      <c r="BP805" s="1" t="s">
        <v>91</v>
      </c>
      <c r="BQ805" t="s">
        <v>91</v>
      </c>
      <c r="BR805" s="3">
        <v>45113</v>
      </c>
      <c r="BS805" s="3"/>
      <c r="BT805" t="s">
        <v>91</v>
      </c>
      <c r="BU805" t="s">
        <v>91</v>
      </c>
      <c r="BW805" s="1" t="s">
        <v>90</v>
      </c>
    </row>
    <row r="806" spans="1:75" hidden="1" x14ac:dyDescent="0.35">
      <c r="A806">
        <v>134381</v>
      </c>
      <c r="B806" s="1" t="s">
        <v>75</v>
      </c>
      <c r="C806">
        <v>80</v>
      </c>
      <c r="D806">
        <v>11121002</v>
      </c>
      <c r="E806">
        <v>121002</v>
      </c>
      <c r="F806" s="1" t="s">
        <v>2915</v>
      </c>
      <c r="G806" s="1" t="s">
        <v>4629</v>
      </c>
      <c r="I806" s="1" t="s">
        <v>78</v>
      </c>
      <c r="J806" s="1" t="s">
        <v>4630</v>
      </c>
      <c r="K806" s="1" t="s">
        <v>4631</v>
      </c>
      <c r="L806" t="s">
        <v>91</v>
      </c>
      <c r="M806" t="s">
        <v>91</v>
      </c>
      <c r="N806" s="1" t="s">
        <v>2812</v>
      </c>
      <c r="O806" t="s">
        <v>91</v>
      </c>
      <c r="P806" s="1" t="s">
        <v>3722</v>
      </c>
      <c r="Q806" s="1" t="s">
        <v>3986</v>
      </c>
      <c r="R806" s="1" t="s">
        <v>91</v>
      </c>
      <c r="S806">
        <v>1259</v>
      </c>
      <c r="T806">
        <v>88131000</v>
      </c>
      <c r="U806" s="1" t="s">
        <v>108</v>
      </c>
      <c r="V806" s="1" t="s">
        <v>2951</v>
      </c>
      <c r="W806" s="1" t="s">
        <v>87</v>
      </c>
      <c r="X806">
        <v>48</v>
      </c>
      <c r="Y806">
        <v>30937718</v>
      </c>
      <c r="Z806" t="s">
        <v>91</v>
      </c>
      <c r="AA806" t="s">
        <v>91</v>
      </c>
      <c r="AB806" t="s">
        <v>91</v>
      </c>
      <c r="AC806" t="s">
        <v>91</v>
      </c>
      <c r="AD806" t="s">
        <v>91</v>
      </c>
      <c r="AE806" t="s">
        <v>91</v>
      </c>
      <c r="AF806" t="s">
        <v>91</v>
      </c>
      <c r="AG806" s="1" t="s">
        <v>91</v>
      </c>
      <c r="AH806" s="1" t="s">
        <v>91</v>
      </c>
      <c r="AI806" t="s">
        <v>91</v>
      </c>
      <c r="AM806" t="s">
        <v>91</v>
      </c>
      <c r="AN806" t="s">
        <v>91</v>
      </c>
      <c r="AO806" t="s">
        <v>91</v>
      </c>
      <c r="AP806" t="s">
        <v>91</v>
      </c>
      <c r="AQ806" s="1" t="s">
        <v>91</v>
      </c>
      <c r="AR806" s="1" t="s">
        <v>91</v>
      </c>
      <c r="AS806" s="1" t="s">
        <v>91</v>
      </c>
      <c r="AT806" s="1" t="s">
        <v>91</v>
      </c>
      <c r="AU806" s="1" t="s">
        <v>91</v>
      </c>
      <c r="AV806" t="s">
        <v>91</v>
      </c>
      <c r="AW806" t="s">
        <v>91</v>
      </c>
      <c r="AX806" t="s">
        <v>91</v>
      </c>
      <c r="AY806" t="s">
        <v>91</v>
      </c>
      <c r="AZ806" t="s">
        <v>91</v>
      </c>
      <c r="BA806" t="s">
        <v>91</v>
      </c>
      <c r="BB806" s="2"/>
      <c r="BC806" s="2"/>
      <c r="BD806" t="s">
        <v>91</v>
      </c>
      <c r="BF806" s="1" t="s">
        <v>75</v>
      </c>
      <c r="BI806" s="1" t="s">
        <v>88</v>
      </c>
      <c r="BJ806">
        <v>1</v>
      </c>
      <c r="BK806" s="1" t="s">
        <v>89</v>
      </c>
      <c r="BL806" t="s">
        <v>91</v>
      </c>
      <c r="BM806" s="1" t="s">
        <v>109</v>
      </c>
      <c r="BN806" s="1" t="s">
        <v>110</v>
      </c>
      <c r="BO806" s="1" t="s">
        <v>180</v>
      </c>
      <c r="BP806" s="1" t="s">
        <v>91</v>
      </c>
      <c r="BQ806" t="s">
        <v>91</v>
      </c>
      <c r="BR806" s="3"/>
      <c r="BS806" s="3"/>
      <c r="BT806" t="s">
        <v>91</v>
      </c>
      <c r="BU806" t="s">
        <v>91</v>
      </c>
      <c r="BV806">
        <v>1</v>
      </c>
      <c r="BW806" s="1" t="s">
        <v>90</v>
      </c>
    </row>
    <row r="807" spans="1:75" hidden="1" x14ac:dyDescent="0.35">
      <c r="A807">
        <v>134487</v>
      </c>
      <c r="B807" s="1" t="s">
        <v>75</v>
      </c>
      <c r="C807">
        <v>80</v>
      </c>
      <c r="D807">
        <v>11121002</v>
      </c>
      <c r="E807">
        <v>121002</v>
      </c>
      <c r="F807" s="1" t="s">
        <v>2915</v>
      </c>
      <c r="G807" s="1" t="s">
        <v>4632</v>
      </c>
      <c r="I807" s="1" t="s">
        <v>78</v>
      </c>
      <c r="J807" s="1" t="s">
        <v>4630</v>
      </c>
      <c r="K807" s="1" t="s">
        <v>4633</v>
      </c>
      <c r="L807" t="s">
        <v>91</v>
      </c>
      <c r="M807" t="s">
        <v>91</v>
      </c>
      <c r="N807" s="1" t="s">
        <v>2812</v>
      </c>
      <c r="O807" t="s">
        <v>91</v>
      </c>
      <c r="P807" s="1" t="s">
        <v>3031</v>
      </c>
      <c r="Q807" s="1" t="s">
        <v>3032</v>
      </c>
      <c r="R807" s="1" t="s">
        <v>4634</v>
      </c>
      <c r="S807">
        <v>1259</v>
      </c>
      <c r="T807">
        <v>88105902</v>
      </c>
      <c r="U807" s="1" t="s">
        <v>108</v>
      </c>
      <c r="V807" s="1" t="s">
        <v>2922</v>
      </c>
      <c r="W807" s="1" t="s">
        <v>87</v>
      </c>
      <c r="X807">
        <v>48</v>
      </c>
      <c r="Y807">
        <v>33336916</v>
      </c>
      <c r="Z807" t="s">
        <v>91</v>
      </c>
      <c r="AA807" t="s">
        <v>91</v>
      </c>
      <c r="AB807" t="s">
        <v>91</v>
      </c>
      <c r="AC807" t="s">
        <v>91</v>
      </c>
      <c r="AD807" t="s">
        <v>91</v>
      </c>
      <c r="AE807" t="s">
        <v>91</v>
      </c>
      <c r="AF807" t="s">
        <v>91</v>
      </c>
      <c r="AG807" s="1" t="s">
        <v>91</v>
      </c>
      <c r="AH807" s="1" t="s">
        <v>91</v>
      </c>
      <c r="AI807" t="s">
        <v>91</v>
      </c>
      <c r="AM807" t="s">
        <v>91</v>
      </c>
      <c r="AN807" t="s">
        <v>91</v>
      </c>
      <c r="AO807" t="s">
        <v>91</v>
      </c>
      <c r="AP807" t="s">
        <v>91</v>
      </c>
      <c r="AQ807" s="1" t="s">
        <v>91</v>
      </c>
      <c r="AR807" s="1" t="s">
        <v>91</v>
      </c>
      <c r="AS807" s="1" t="s">
        <v>91</v>
      </c>
      <c r="AT807" s="1" t="s">
        <v>91</v>
      </c>
      <c r="AU807" s="1" t="s">
        <v>91</v>
      </c>
      <c r="AV807" t="s">
        <v>91</v>
      </c>
      <c r="AW807" t="s">
        <v>91</v>
      </c>
      <c r="AX807" t="s">
        <v>91</v>
      </c>
      <c r="AY807" t="s">
        <v>91</v>
      </c>
      <c r="AZ807" t="s">
        <v>91</v>
      </c>
      <c r="BA807" t="s">
        <v>91</v>
      </c>
      <c r="BB807" s="2"/>
      <c r="BC807" s="2"/>
      <c r="BD807" t="s">
        <v>91</v>
      </c>
      <c r="BF807" s="1" t="s">
        <v>75</v>
      </c>
      <c r="BI807" s="1" t="s">
        <v>88</v>
      </c>
      <c r="BJ807">
        <v>1</v>
      </c>
      <c r="BK807" s="1" t="s">
        <v>89</v>
      </c>
      <c r="BL807" t="s">
        <v>91</v>
      </c>
      <c r="BM807" s="1" t="s">
        <v>109</v>
      </c>
      <c r="BN807" s="1" t="s">
        <v>110</v>
      </c>
      <c r="BO807" s="1" t="s">
        <v>165</v>
      </c>
      <c r="BP807" s="1" t="s">
        <v>91</v>
      </c>
      <c r="BQ807" t="s">
        <v>91</v>
      </c>
      <c r="BR807" s="3"/>
      <c r="BS807" s="3"/>
      <c r="BT807" t="s">
        <v>91</v>
      </c>
      <c r="BU807" t="s">
        <v>91</v>
      </c>
      <c r="BV807">
        <v>1</v>
      </c>
      <c r="BW807" s="1" t="s">
        <v>90</v>
      </c>
    </row>
    <row r="808" spans="1:75" hidden="1" x14ac:dyDescent="0.35">
      <c r="A808">
        <v>159570</v>
      </c>
      <c r="B808" s="1" t="s">
        <v>75</v>
      </c>
      <c r="C808">
        <v>80</v>
      </c>
      <c r="D808">
        <v>11121002</v>
      </c>
      <c r="E808">
        <v>121002</v>
      </c>
      <c r="F808" s="1" t="s">
        <v>2915</v>
      </c>
      <c r="G808" s="1" t="s">
        <v>4635</v>
      </c>
      <c r="I808" s="1" t="s">
        <v>78</v>
      </c>
      <c r="J808" s="1" t="s">
        <v>4636</v>
      </c>
      <c r="K808" s="1" t="s">
        <v>4637</v>
      </c>
      <c r="L808" t="s">
        <v>91</v>
      </c>
      <c r="M808" t="s">
        <v>91</v>
      </c>
      <c r="N808" s="1" t="s">
        <v>408</v>
      </c>
      <c r="O808" t="s">
        <v>91</v>
      </c>
      <c r="P808" s="1" t="s">
        <v>3556</v>
      </c>
      <c r="Q808" s="1" t="s">
        <v>804</v>
      </c>
      <c r="R808" s="1" t="s">
        <v>4638</v>
      </c>
      <c r="S808">
        <v>1254</v>
      </c>
      <c r="T808">
        <v>88010300</v>
      </c>
      <c r="U808" s="1" t="s">
        <v>108</v>
      </c>
      <c r="V808" s="1" t="s">
        <v>2922</v>
      </c>
      <c r="W808" s="1" t="s">
        <v>87</v>
      </c>
      <c r="X808">
        <v>42</v>
      </c>
      <c r="Y808">
        <v>998585101</v>
      </c>
      <c r="Z808" t="s">
        <v>91</v>
      </c>
      <c r="AA808" t="s">
        <v>91</v>
      </c>
      <c r="AB808" t="s">
        <v>91</v>
      </c>
      <c r="AC808" t="s">
        <v>91</v>
      </c>
      <c r="AD808" t="s">
        <v>91</v>
      </c>
      <c r="AE808" t="s">
        <v>91</v>
      </c>
      <c r="AF808" t="s">
        <v>91</v>
      </c>
      <c r="AG808" s="1" t="s">
        <v>91</v>
      </c>
      <c r="AH808" s="1" t="s">
        <v>91</v>
      </c>
      <c r="AI808" t="s">
        <v>91</v>
      </c>
      <c r="AM808" t="s">
        <v>91</v>
      </c>
      <c r="AN808" t="s">
        <v>91</v>
      </c>
      <c r="AO808" t="s">
        <v>91</v>
      </c>
      <c r="AP808" t="s">
        <v>91</v>
      </c>
      <c r="AQ808" s="1" t="s">
        <v>91</v>
      </c>
      <c r="AR808" s="1" t="s">
        <v>91</v>
      </c>
      <c r="AS808" s="1" t="s">
        <v>91</v>
      </c>
      <c r="AT808" s="1" t="s">
        <v>91</v>
      </c>
      <c r="AU808" s="1" t="s">
        <v>91</v>
      </c>
      <c r="AV808" t="s">
        <v>91</v>
      </c>
      <c r="AW808" t="s">
        <v>91</v>
      </c>
      <c r="AX808" t="s">
        <v>91</v>
      </c>
      <c r="AY808" t="s">
        <v>91</v>
      </c>
      <c r="AZ808" t="s">
        <v>91</v>
      </c>
      <c r="BA808" t="s">
        <v>91</v>
      </c>
      <c r="BB808" s="2">
        <v>45194.491122685184</v>
      </c>
      <c r="BC808" s="2"/>
      <c r="BD808" t="s">
        <v>91</v>
      </c>
      <c r="BF808" s="1" t="s">
        <v>75</v>
      </c>
      <c r="BI808" s="1" t="s">
        <v>88</v>
      </c>
      <c r="BJ808">
        <v>1</v>
      </c>
      <c r="BK808" s="1" t="s">
        <v>89</v>
      </c>
      <c r="BL808" t="s">
        <v>91</v>
      </c>
      <c r="BM808" s="1" t="s">
        <v>91</v>
      </c>
      <c r="BN808" s="1" t="s">
        <v>91</v>
      </c>
      <c r="BO808" s="1" t="s">
        <v>91</v>
      </c>
      <c r="BP808" s="1" t="s">
        <v>91</v>
      </c>
      <c r="BQ808" t="s">
        <v>91</v>
      </c>
      <c r="BR808" s="3">
        <v>45194</v>
      </c>
      <c r="BS808" s="3"/>
      <c r="BT808" t="s">
        <v>91</v>
      </c>
      <c r="BU808" t="s">
        <v>91</v>
      </c>
      <c r="BW808" s="1" t="s">
        <v>90</v>
      </c>
    </row>
    <row r="809" spans="1:75" hidden="1" x14ac:dyDescent="0.35">
      <c r="A809">
        <v>138963</v>
      </c>
      <c r="B809" s="1" t="s">
        <v>75</v>
      </c>
      <c r="C809">
        <v>80</v>
      </c>
      <c r="D809">
        <v>11121002</v>
      </c>
      <c r="E809">
        <v>121002</v>
      </c>
      <c r="F809" s="1" t="s">
        <v>2915</v>
      </c>
      <c r="G809" s="1" t="s">
        <v>4639</v>
      </c>
      <c r="H809">
        <v>0</v>
      </c>
      <c r="I809" s="1" t="s">
        <v>78</v>
      </c>
      <c r="J809" s="1" t="s">
        <v>4640</v>
      </c>
      <c r="K809" s="1" t="s">
        <v>4641</v>
      </c>
      <c r="L809" t="s">
        <v>91</v>
      </c>
      <c r="M809" t="s">
        <v>91</v>
      </c>
      <c r="N809" s="1" t="s">
        <v>4642</v>
      </c>
      <c r="O809" t="s">
        <v>91</v>
      </c>
      <c r="P809" s="1" t="s">
        <v>4643</v>
      </c>
      <c r="Q809" s="1" t="s">
        <v>4644</v>
      </c>
      <c r="R809" s="1" t="s">
        <v>91</v>
      </c>
      <c r="S809">
        <v>1259</v>
      </c>
      <c r="T809">
        <v>88111310</v>
      </c>
      <c r="U809" s="1" t="s">
        <v>4645</v>
      </c>
      <c r="V809" s="1" t="s">
        <v>3016</v>
      </c>
      <c r="W809" s="1" t="s">
        <v>87</v>
      </c>
      <c r="X809">
        <v>48</v>
      </c>
      <c r="Y809">
        <v>32586435</v>
      </c>
      <c r="Z809" t="s">
        <v>91</v>
      </c>
      <c r="AA809" t="s">
        <v>91</v>
      </c>
      <c r="AB809" t="s">
        <v>91</v>
      </c>
      <c r="AC809" t="s">
        <v>91</v>
      </c>
      <c r="AD809" t="s">
        <v>91</v>
      </c>
      <c r="AE809" t="s">
        <v>91</v>
      </c>
      <c r="AF809" t="s">
        <v>91</v>
      </c>
      <c r="AG809" s="1" t="s">
        <v>146</v>
      </c>
      <c r="AH809" s="1" t="s">
        <v>91</v>
      </c>
      <c r="AI809" t="s">
        <v>91</v>
      </c>
      <c r="AM809" t="s">
        <v>91</v>
      </c>
      <c r="AN809" t="s">
        <v>91</v>
      </c>
      <c r="AO809" t="s">
        <v>91</v>
      </c>
      <c r="AP809" t="s">
        <v>91</v>
      </c>
      <c r="AQ809" s="1" t="s">
        <v>147</v>
      </c>
      <c r="AR809" s="1" t="s">
        <v>147</v>
      </c>
      <c r="AS809" s="1" t="s">
        <v>147</v>
      </c>
      <c r="AT809" s="1" t="s">
        <v>147</v>
      </c>
      <c r="AU809" s="1" t="s">
        <v>147</v>
      </c>
      <c r="AV809" t="s">
        <v>91</v>
      </c>
      <c r="AW809" t="s">
        <v>91</v>
      </c>
      <c r="AX809" t="s">
        <v>91</v>
      </c>
      <c r="AY809" t="s">
        <v>91</v>
      </c>
      <c r="AZ809" t="s">
        <v>91</v>
      </c>
      <c r="BA809" t="s">
        <v>91</v>
      </c>
      <c r="BB809" s="2">
        <v>44405.377175925925</v>
      </c>
      <c r="BC809" s="2">
        <v>44670.476863425924</v>
      </c>
      <c r="BD809" t="s">
        <v>91</v>
      </c>
      <c r="BF809" s="1" t="s">
        <v>75</v>
      </c>
      <c r="BH809">
        <v>0</v>
      </c>
      <c r="BI809" s="1" t="s">
        <v>88</v>
      </c>
      <c r="BJ809">
        <v>1</v>
      </c>
      <c r="BK809" s="1" t="s">
        <v>89</v>
      </c>
      <c r="BL809" t="s">
        <v>91</v>
      </c>
      <c r="BM809" s="1" t="s">
        <v>109</v>
      </c>
      <c r="BN809" s="1" t="s">
        <v>110</v>
      </c>
      <c r="BO809" s="1" t="s">
        <v>180</v>
      </c>
      <c r="BP809" s="1" t="s">
        <v>91</v>
      </c>
      <c r="BQ809" t="s">
        <v>91</v>
      </c>
      <c r="BR809" s="3">
        <v>44405</v>
      </c>
      <c r="BS809" s="3">
        <v>44670</v>
      </c>
      <c r="BT809" t="s">
        <v>91</v>
      </c>
      <c r="BU809" t="s">
        <v>91</v>
      </c>
      <c r="BW809" s="1" t="s">
        <v>1161</v>
      </c>
    </row>
    <row r="810" spans="1:75" hidden="1" x14ac:dyDescent="0.35">
      <c r="A810">
        <v>157648</v>
      </c>
      <c r="B810" s="1" t="s">
        <v>75</v>
      </c>
      <c r="C810">
        <v>80</v>
      </c>
      <c r="D810">
        <v>11121002</v>
      </c>
      <c r="E810">
        <v>121002</v>
      </c>
      <c r="F810" s="1" t="s">
        <v>2915</v>
      </c>
      <c r="G810" s="1" t="s">
        <v>4646</v>
      </c>
      <c r="H810">
        <v>0</v>
      </c>
      <c r="I810" s="1" t="s">
        <v>78</v>
      </c>
      <c r="J810" s="1" t="s">
        <v>4647</v>
      </c>
      <c r="K810" s="1" t="s">
        <v>4648</v>
      </c>
      <c r="L810" t="s">
        <v>91</v>
      </c>
      <c r="M810" t="s">
        <v>91</v>
      </c>
      <c r="N810" s="1" t="s">
        <v>4649</v>
      </c>
      <c r="O810" t="s">
        <v>91</v>
      </c>
      <c r="P810" s="1" t="s">
        <v>1210</v>
      </c>
      <c r="Q810" s="1" t="s">
        <v>3096</v>
      </c>
      <c r="R810" s="1" t="s">
        <v>1789</v>
      </c>
      <c r="S810">
        <v>1269</v>
      </c>
      <c r="T810">
        <v>88801040</v>
      </c>
      <c r="U810" s="1" t="s">
        <v>108</v>
      </c>
      <c r="V810" s="1" t="s">
        <v>2943</v>
      </c>
      <c r="W810" s="1" t="s">
        <v>87</v>
      </c>
      <c r="X810">
        <v>47</v>
      </c>
      <c r="Y810">
        <v>33631139</v>
      </c>
      <c r="Z810" t="s">
        <v>91</v>
      </c>
      <c r="AA810" t="s">
        <v>91</v>
      </c>
      <c r="AB810" t="s">
        <v>91</v>
      </c>
      <c r="AC810" t="s">
        <v>91</v>
      </c>
      <c r="AD810" t="s">
        <v>91</v>
      </c>
      <c r="AE810" t="s">
        <v>91</v>
      </c>
      <c r="AF810" t="s">
        <v>91</v>
      </c>
      <c r="AG810" s="1" t="s">
        <v>91</v>
      </c>
      <c r="AH810" s="1" t="s">
        <v>91</v>
      </c>
      <c r="AI810" t="s">
        <v>91</v>
      </c>
      <c r="AM810" t="s">
        <v>91</v>
      </c>
      <c r="AN810" t="s">
        <v>91</v>
      </c>
      <c r="AO810" t="s">
        <v>91</v>
      </c>
      <c r="AP810" t="s">
        <v>91</v>
      </c>
      <c r="AQ810" s="1" t="s">
        <v>91</v>
      </c>
      <c r="AR810" s="1" t="s">
        <v>91</v>
      </c>
      <c r="AS810" s="1" t="s">
        <v>91</v>
      </c>
      <c r="AT810" s="1" t="s">
        <v>91</v>
      </c>
      <c r="AU810" s="1" t="s">
        <v>91</v>
      </c>
      <c r="AV810" t="s">
        <v>91</v>
      </c>
      <c r="AW810" t="s">
        <v>91</v>
      </c>
      <c r="AX810" t="s">
        <v>91</v>
      </c>
      <c r="AY810" t="s">
        <v>91</v>
      </c>
      <c r="AZ810" t="s">
        <v>91</v>
      </c>
      <c r="BA810" t="s">
        <v>91</v>
      </c>
      <c r="BB810" s="2">
        <v>45118.097175925926</v>
      </c>
      <c r="BC810" s="2"/>
      <c r="BD810" t="s">
        <v>91</v>
      </c>
      <c r="BF810" s="1" t="s">
        <v>75</v>
      </c>
      <c r="BI810" s="1" t="s">
        <v>88</v>
      </c>
      <c r="BJ810">
        <v>1</v>
      </c>
      <c r="BK810" s="1" t="s">
        <v>89</v>
      </c>
      <c r="BL810" t="s">
        <v>91</v>
      </c>
      <c r="BM810" s="1" t="s">
        <v>91</v>
      </c>
      <c r="BN810" s="1" t="s">
        <v>91</v>
      </c>
      <c r="BO810" s="1" t="s">
        <v>91</v>
      </c>
      <c r="BP810" s="1" t="s">
        <v>91</v>
      </c>
      <c r="BQ810" t="s">
        <v>91</v>
      </c>
      <c r="BR810" s="3">
        <v>45118</v>
      </c>
      <c r="BS810" s="3"/>
      <c r="BT810" t="s">
        <v>91</v>
      </c>
      <c r="BU810" t="s">
        <v>91</v>
      </c>
      <c r="BW810" s="1" t="s">
        <v>90</v>
      </c>
    </row>
    <row r="811" spans="1:75" hidden="1" x14ac:dyDescent="0.35">
      <c r="A811">
        <v>144554</v>
      </c>
      <c r="B811" s="1" t="s">
        <v>75</v>
      </c>
      <c r="C811">
        <v>80</v>
      </c>
      <c r="D811">
        <v>11121002</v>
      </c>
      <c r="E811">
        <v>121002</v>
      </c>
      <c r="F811" s="1" t="s">
        <v>2915</v>
      </c>
      <c r="G811" s="1" t="s">
        <v>4650</v>
      </c>
      <c r="I811" s="1" t="s">
        <v>78</v>
      </c>
      <c r="J811" s="1" t="s">
        <v>4651</v>
      </c>
      <c r="K811" s="1" t="s">
        <v>4652</v>
      </c>
      <c r="L811" t="s">
        <v>91</v>
      </c>
      <c r="M811" t="s">
        <v>91</v>
      </c>
      <c r="N811" s="1" t="s">
        <v>4653</v>
      </c>
      <c r="O811" t="s">
        <v>91</v>
      </c>
      <c r="P811" s="1" t="s">
        <v>4654</v>
      </c>
      <c r="Q811" s="1" t="s">
        <v>510</v>
      </c>
      <c r="R811" s="1" t="s">
        <v>91</v>
      </c>
      <c r="S811">
        <v>1270</v>
      </c>
      <c r="T811">
        <v>88940000</v>
      </c>
      <c r="U811" s="1" t="s">
        <v>108</v>
      </c>
      <c r="V811" s="1" t="s">
        <v>4015</v>
      </c>
      <c r="W811" s="1" t="s">
        <v>87</v>
      </c>
      <c r="X811">
        <v>48</v>
      </c>
      <c r="Y811">
        <v>35361490</v>
      </c>
      <c r="Z811" t="s">
        <v>91</v>
      </c>
      <c r="AA811" t="s">
        <v>91</v>
      </c>
      <c r="AB811" t="s">
        <v>91</v>
      </c>
      <c r="AC811" t="s">
        <v>91</v>
      </c>
      <c r="AD811" t="s">
        <v>91</v>
      </c>
      <c r="AE811" t="s">
        <v>91</v>
      </c>
      <c r="AF811" t="s">
        <v>91</v>
      </c>
      <c r="AG811" s="1" t="s">
        <v>91</v>
      </c>
      <c r="AH811" s="1" t="s">
        <v>91</v>
      </c>
      <c r="AI811" t="s">
        <v>91</v>
      </c>
      <c r="AJ811">
        <v>0</v>
      </c>
      <c r="AK811">
        <v>0</v>
      </c>
      <c r="AL811">
        <v>0</v>
      </c>
      <c r="AM811" t="s">
        <v>91</v>
      </c>
      <c r="AN811" t="s">
        <v>91</v>
      </c>
      <c r="AO811" t="s">
        <v>91</v>
      </c>
      <c r="AP811" t="s">
        <v>91</v>
      </c>
      <c r="AQ811" s="1" t="s">
        <v>91</v>
      </c>
      <c r="AR811" s="1" t="s">
        <v>91</v>
      </c>
      <c r="AS811" s="1" t="s">
        <v>91</v>
      </c>
      <c r="AT811" s="1" t="s">
        <v>91</v>
      </c>
      <c r="AU811" s="1" t="s">
        <v>91</v>
      </c>
      <c r="AV811" t="s">
        <v>91</v>
      </c>
      <c r="AW811" t="s">
        <v>91</v>
      </c>
      <c r="AX811" t="s">
        <v>91</v>
      </c>
      <c r="AY811" t="s">
        <v>91</v>
      </c>
      <c r="AZ811" t="s">
        <v>91</v>
      </c>
      <c r="BA811" t="s">
        <v>91</v>
      </c>
      <c r="BB811" s="2"/>
      <c r="BC811" s="2"/>
      <c r="BD811" t="s">
        <v>91</v>
      </c>
      <c r="BF811" s="1" t="s">
        <v>75</v>
      </c>
      <c r="BG811">
        <v>0</v>
      </c>
      <c r="BH811">
        <v>0</v>
      </c>
      <c r="BI811" s="1" t="s">
        <v>88</v>
      </c>
      <c r="BJ811">
        <v>1</v>
      </c>
      <c r="BK811" s="1" t="s">
        <v>89</v>
      </c>
      <c r="BL811" t="s">
        <v>91</v>
      </c>
      <c r="BM811" s="1" t="s">
        <v>109</v>
      </c>
      <c r="BN811" s="1" t="s">
        <v>148</v>
      </c>
      <c r="BO811" s="1" t="s">
        <v>128</v>
      </c>
      <c r="BP811" s="1" t="s">
        <v>91</v>
      </c>
      <c r="BQ811" t="s">
        <v>91</v>
      </c>
      <c r="BR811" s="3"/>
      <c r="BS811" s="3"/>
      <c r="BT811" t="s">
        <v>91</v>
      </c>
      <c r="BU811" t="s">
        <v>91</v>
      </c>
      <c r="BV811">
        <v>9</v>
      </c>
      <c r="BW811" s="1" t="s">
        <v>1211</v>
      </c>
    </row>
    <row r="812" spans="1:75" hidden="1" x14ac:dyDescent="0.35">
      <c r="A812">
        <v>144386</v>
      </c>
      <c r="B812" s="1" t="s">
        <v>75</v>
      </c>
      <c r="C812">
        <v>80</v>
      </c>
      <c r="D812">
        <v>11121002</v>
      </c>
      <c r="E812">
        <v>121002</v>
      </c>
      <c r="F812" s="1" t="s">
        <v>2915</v>
      </c>
      <c r="G812" s="1" t="s">
        <v>4655</v>
      </c>
      <c r="I812" s="1" t="s">
        <v>78</v>
      </c>
      <c r="J812" s="1" t="s">
        <v>4656</v>
      </c>
      <c r="K812" s="1" t="s">
        <v>4657</v>
      </c>
      <c r="L812" t="s">
        <v>91</v>
      </c>
      <c r="M812" t="s">
        <v>91</v>
      </c>
      <c r="N812" s="1" t="s">
        <v>4658</v>
      </c>
      <c r="O812" t="s">
        <v>91</v>
      </c>
      <c r="P812" s="1" t="s">
        <v>990</v>
      </c>
      <c r="Q812" s="1" t="s">
        <v>4659</v>
      </c>
      <c r="R812" s="1" t="s">
        <v>91</v>
      </c>
      <c r="S812">
        <v>1270</v>
      </c>
      <c r="T812">
        <v>88930000</v>
      </c>
      <c r="U812" s="1" t="s">
        <v>108</v>
      </c>
      <c r="V812" s="1" t="s">
        <v>3089</v>
      </c>
      <c r="W812" s="1" t="s">
        <v>87</v>
      </c>
      <c r="X812">
        <v>48</v>
      </c>
      <c r="Y812">
        <v>35253033</v>
      </c>
      <c r="Z812" t="s">
        <v>91</v>
      </c>
      <c r="AA812" t="s">
        <v>91</v>
      </c>
      <c r="AB812" t="s">
        <v>91</v>
      </c>
      <c r="AC812" t="s">
        <v>91</v>
      </c>
      <c r="AD812" t="s">
        <v>91</v>
      </c>
      <c r="AE812" t="s">
        <v>91</v>
      </c>
      <c r="AF812" t="s">
        <v>91</v>
      </c>
      <c r="AG812" s="1" t="s">
        <v>91</v>
      </c>
      <c r="AH812" s="1" t="s">
        <v>91</v>
      </c>
      <c r="AI812" t="s">
        <v>91</v>
      </c>
      <c r="AJ812">
        <v>0</v>
      </c>
      <c r="AK812">
        <v>0</v>
      </c>
      <c r="AL812">
        <v>0</v>
      </c>
      <c r="AM812" t="s">
        <v>91</v>
      </c>
      <c r="AN812" t="s">
        <v>91</v>
      </c>
      <c r="AO812" t="s">
        <v>91</v>
      </c>
      <c r="AP812" t="s">
        <v>91</v>
      </c>
      <c r="AQ812" s="1" t="s">
        <v>91</v>
      </c>
      <c r="AR812" s="1" t="s">
        <v>91</v>
      </c>
      <c r="AS812" s="1" t="s">
        <v>91</v>
      </c>
      <c r="AT812" s="1" t="s">
        <v>91</v>
      </c>
      <c r="AU812" s="1" t="s">
        <v>91</v>
      </c>
      <c r="AV812" t="s">
        <v>91</v>
      </c>
      <c r="AW812" t="s">
        <v>91</v>
      </c>
      <c r="AX812" t="s">
        <v>91</v>
      </c>
      <c r="AY812" t="s">
        <v>91</v>
      </c>
      <c r="AZ812" t="s">
        <v>91</v>
      </c>
      <c r="BA812" t="s">
        <v>91</v>
      </c>
      <c r="BB812" s="2"/>
      <c r="BC812" s="2"/>
      <c r="BD812" t="s">
        <v>91</v>
      </c>
      <c r="BF812" s="1" t="s">
        <v>75</v>
      </c>
      <c r="BG812">
        <v>0</v>
      </c>
      <c r="BH812">
        <v>0</v>
      </c>
      <c r="BI812" s="1" t="s">
        <v>88</v>
      </c>
      <c r="BJ812">
        <v>1</v>
      </c>
      <c r="BK812" s="1" t="s">
        <v>89</v>
      </c>
      <c r="BL812" t="s">
        <v>91</v>
      </c>
      <c r="BM812" s="1" t="s">
        <v>109</v>
      </c>
      <c r="BN812" s="1" t="s">
        <v>148</v>
      </c>
      <c r="BO812" s="1" t="s">
        <v>128</v>
      </c>
      <c r="BP812" s="1" t="s">
        <v>91</v>
      </c>
      <c r="BQ812" t="s">
        <v>91</v>
      </c>
      <c r="BR812" s="3"/>
      <c r="BS812" s="3"/>
      <c r="BT812" t="s">
        <v>91</v>
      </c>
      <c r="BU812" t="s">
        <v>91</v>
      </c>
      <c r="BV812">
        <v>9</v>
      </c>
      <c r="BW812" s="1" t="s">
        <v>1211</v>
      </c>
    </row>
    <row r="813" spans="1:75" hidden="1" x14ac:dyDescent="0.35">
      <c r="A813">
        <v>141324</v>
      </c>
      <c r="B813" s="1" t="s">
        <v>75</v>
      </c>
      <c r="C813">
        <v>80</v>
      </c>
      <c r="D813">
        <v>11121002</v>
      </c>
      <c r="E813">
        <v>121002</v>
      </c>
      <c r="F813" s="1" t="s">
        <v>2915</v>
      </c>
      <c r="G813" s="1" t="s">
        <v>4660</v>
      </c>
      <c r="H813">
        <v>0</v>
      </c>
      <c r="I813" s="1" t="s">
        <v>78</v>
      </c>
      <c r="J813" s="1" t="s">
        <v>4661</v>
      </c>
      <c r="K813" s="1" t="s">
        <v>4662</v>
      </c>
      <c r="L813" t="s">
        <v>91</v>
      </c>
      <c r="M813" t="s">
        <v>91</v>
      </c>
      <c r="N813" s="1" t="s">
        <v>4663</v>
      </c>
      <c r="O813" t="s">
        <v>91</v>
      </c>
      <c r="P813" s="1" t="s">
        <v>3485</v>
      </c>
      <c r="Q813" s="1" t="s">
        <v>2300</v>
      </c>
      <c r="R813" s="1" t="s">
        <v>4664</v>
      </c>
      <c r="S813">
        <v>1259</v>
      </c>
      <c r="T813">
        <v>88117900</v>
      </c>
      <c r="U813" s="1" t="s">
        <v>2957</v>
      </c>
      <c r="V813" s="1" t="s">
        <v>3016</v>
      </c>
      <c r="W813" s="1" t="s">
        <v>87</v>
      </c>
      <c r="X813">
        <v>48</v>
      </c>
      <c r="Y813">
        <v>30378316</v>
      </c>
      <c r="Z813" t="s">
        <v>91</v>
      </c>
      <c r="AA813" t="s">
        <v>91</v>
      </c>
      <c r="AB813" t="s">
        <v>91</v>
      </c>
      <c r="AC813" t="s">
        <v>91</v>
      </c>
      <c r="AD813" t="s">
        <v>91</v>
      </c>
      <c r="AE813" t="s">
        <v>91</v>
      </c>
      <c r="AF813" t="s">
        <v>91</v>
      </c>
      <c r="AG813" s="1" t="s">
        <v>91</v>
      </c>
      <c r="AH813" s="1" t="s">
        <v>91</v>
      </c>
      <c r="AI813" t="s">
        <v>91</v>
      </c>
      <c r="AJ813">
        <v>0</v>
      </c>
      <c r="AK813">
        <v>0</v>
      </c>
      <c r="AL813">
        <v>0</v>
      </c>
      <c r="AM813" t="s">
        <v>91</v>
      </c>
      <c r="AN813" t="s">
        <v>91</v>
      </c>
      <c r="AO813" t="s">
        <v>91</v>
      </c>
      <c r="AP813" t="s">
        <v>91</v>
      </c>
      <c r="AQ813" s="1" t="s">
        <v>91</v>
      </c>
      <c r="AR813" s="1" t="s">
        <v>91</v>
      </c>
      <c r="AS813" s="1" t="s">
        <v>91</v>
      </c>
      <c r="AT813" s="1" t="s">
        <v>91</v>
      </c>
      <c r="AU813" s="1" t="s">
        <v>91</v>
      </c>
      <c r="AV813" t="s">
        <v>91</v>
      </c>
      <c r="AW813" t="s">
        <v>91</v>
      </c>
      <c r="AX813" t="s">
        <v>91</v>
      </c>
      <c r="AY813" t="s">
        <v>91</v>
      </c>
      <c r="AZ813" t="s">
        <v>91</v>
      </c>
      <c r="BA813" t="s">
        <v>91</v>
      </c>
      <c r="BB813" s="2">
        <v>44459.629270833335</v>
      </c>
      <c r="BC813" s="2"/>
      <c r="BD813" t="s">
        <v>91</v>
      </c>
      <c r="BF813" s="1" t="s">
        <v>75</v>
      </c>
      <c r="BG813">
        <v>0</v>
      </c>
      <c r="BH813">
        <v>0</v>
      </c>
      <c r="BI813" s="1" t="s">
        <v>88</v>
      </c>
      <c r="BJ813">
        <v>1</v>
      </c>
      <c r="BK813" s="1" t="s">
        <v>89</v>
      </c>
      <c r="BL813" t="s">
        <v>91</v>
      </c>
      <c r="BM813" s="1" t="s">
        <v>329</v>
      </c>
      <c r="BN813" s="1" t="s">
        <v>148</v>
      </c>
      <c r="BO813" s="1" t="s">
        <v>128</v>
      </c>
      <c r="BP813" s="1" t="s">
        <v>91</v>
      </c>
      <c r="BQ813" t="s">
        <v>91</v>
      </c>
      <c r="BR813" s="3">
        <v>44459</v>
      </c>
      <c r="BS813" s="3"/>
      <c r="BT813" t="s">
        <v>91</v>
      </c>
      <c r="BU813" t="s">
        <v>91</v>
      </c>
      <c r="BW813" s="1" t="s">
        <v>4315</v>
      </c>
    </row>
    <row r="814" spans="1:75" hidden="1" x14ac:dyDescent="0.35">
      <c r="A814">
        <v>346</v>
      </c>
      <c r="B814" s="1" t="s">
        <v>75</v>
      </c>
      <c r="C814">
        <v>80</v>
      </c>
      <c r="D814">
        <v>11121002</v>
      </c>
      <c r="E814">
        <v>121002</v>
      </c>
      <c r="F814" s="1" t="s">
        <v>2915</v>
      </c>
      <c r="G814" s="1" t="s">
        <v>4665</v>
      </c>
      <c r="I814" s="1" t="s">
        <v>78</v>
      </c>
      <c r="J814" s="1" t="s">
        <v>4666</v>
      </c>
      <c r="K814" s="1" t="s">
        <v>4667</v>
      </c>
      <c r="L814" t="s">
        <v>91</v>
      </c>
      <c r="M814" t="s">
        <v>91</v>
      </c>
      <c r="N814" s="1" t="s">
        <v>4668</v>
      </c>
      <c r="O814" t="s">
        <v>91</v>
      </c>
      <c r="P814" s="1" t="s">
        <v>3031</v>
      </c>
      <c r="Q814" s="1" t="s">
        <v>3032</v>
      </c>
      <c r="R814" s="1" t="s">
        <v>4669</v>
      </c>
      <c r="S814">
        <v>1255</v>
      </c>
      <c r="T814">
        <v>88015900</v>
      </c>
      <c r="U814" s="1" t="s">
        <v>108</v>
      </c>
      <c r="V814" s="1" t="s">
        <v>3102</v>
      </c>
      <c r="W814" s="1" t="s">
        <v>87</v>
      </c>
      <c r="X814">
        <v>48</v>
      </c>
      <c r="Y814">
        <v>32227767</v>
      </c>
      <c r="Z814" t="s">
        <v>91</v>
      </c>
      <c r="AA814" t="s">
        <v>91</v>
      </c>
      <c r="AB814" t="s">
        <v>91</v>
      </c>
      <c r="AC814" t="s">
        <v>91</v>
      </c>
      <c r="AD814" t="s">
        <v>91</v>
      </c>
      <c r="AE814" t="s">
        <v>91</v>
      </c>
      <c r="AF814" t="s">
        <v>91</v>
      </c>
      <c r="AG814" s="1" t="s">
        <v>91</v>
      </c>
      <c r="AH814" s="1" t="s">
        <v>91</v>
      </c>
      <c r="AI814" t="s">
        <v>91</v>
      </c>
      <c r="AJ814">
        <v>0</v>
      </c>
      <c r="AK814">
        <v>0</v>
      </c>
      <c r="AL814">
        <v>0</v>
      </c>
      <c r="AM814" t="s">
        <v>91</v>
      </c>
      <c r="AN814" t="s">
        <v>91</v>
      </c>
      <c r="AO814" t="s">
        <v>91</v>
      </c>
      <c r="AP814" t="s">
        <v>91</v>
      </c>
      <c r="AQ814" s="1" t="s">
        <v>91</v>
      </c>
      <c r="AR814" s="1" t="s">
        <v>91</v>
      </c>
      <c r="AS814" s="1" t="s">
        <v>91</v>
      </c>
      <c r="AT814" s="1" t="s">
        <v>91</v>
      </c>
      <c r="AU814" s="1" t="s">
        <v>91</v>
      </c>
      <c r="AV814" t="s">
        <v>91</v>
      </c>
      <c r="AW814" t="s">
        <v>91</v>
      </c>
      <c r="AX814" t="s">
        <v>91</v>
      </c>
      <c r="AY814" t="s">
        <v>91</v>
      </c>
      <c r="AZ814" t="s">
        <v>91</v>
      </c>
      <c r="BA814" t="s">
        <v>91</v>
      </c>
      <c r="BB814" s="2">
        <v>43308.392800925925</v>
      </c>
      <c r="BC814" s="2"/>
      <c r="BD814" t="s">
        <v>91</v>
      </c>
      <c r="BE814">
        <v>346</v>
      </c>
      <c r="BF814" s="1" t="s">
        <v>75</v>
      </c>
      <c r="BG814">
        <v>0</v>
      </c>
      <c r="BH814">
        <v>0</v>
      </c>
      <c r="BI814" s="1" t="s">
        <v>88</v>
      </c>
      <c r="BJ814">
        <v>1</v>
      </c>
      <c r="BK814" s="1" t="s">
        <v>89</v>
      </c>
      <c r="BL814" t="s">
        <v>91</v>
      </c>
      <c r="BM814" s="1" t="s">
        <v>329</v>
      </c>
      <c r="BN814" s="1" t="s">
        <v>148</v>
      </c>
      <c r="BO814" s="1" t="s">
        <v>165</v>
      </c>
      <c r="BP814" s="1" t="s">
        <v>91</v>
      </c>
      <c r="BQ814" t="s">
        <v>91</v>
      </c>
      <c r="BR814" s="3">
        <v>43308</v>
      </c>
      <c r="BS814" s="3"/>
      <c r="BT814" t="s">
        <v>91</v>
      </c>
      <c r="BU814" t="s">
        <v>91</v>
      </c>
      <c r="BV814">
        <v>3</v>
      </c>
      <c r="BW814" s="1" t="s">
        <v>1260</v>
      </c>
    </row>
    <row r="815" spans="1:75" hidden="1" x14ac:dyDescent="0.35">
      <c r="A815">
        <v>157698</v>
      </c>
      <c r="B815" s="1" t="s">
        <v>75</v>
      </c>
      <c r="C815">
        <v>80</v>
      </c>
      <c r="D815">
        <v>11121002</v>
      </c>
      <c r="E815">
        <v>121002</v>
      </c>
      <c r="F815" s="1" t="s">
        <v>2915</v>
      </c>
      <c r="G815" s="1" t="s">
        <v>4670</v>
      </c>
      <c r="H815">
        <v>0</v>
      </c>
      <c r="I815" s="1" t="s">
        <v>78</v>
      </c>
      <c r="J815" s="1" t="s">
        <v>4671</v>
      </c>
      <c r="K815" s="1" t="s">
        <v>4672</v>
      </c>
      <c r="L815" t="s">
        <v>91</v>
      </c>
      <c r="M815" t="s">
        <v>91</v>
      </c>
      <c r="N815" s="1" t="s">
        <v>4673</v>
      </c>
      <c r="O815" t="s">
        <v>91</v>
      </c>
      <c r="P815" s="1" t="s">
        <v>1125</v>
      </c>
      <c r="Q815" s="1" t="s">
        <v>1095</v>
      </c>
      <c r="R815" s="1" t="s">
        <v>4674</v>
      </c>
      <c r="S815">
        <v>1259</v>
      </c>
      <c r="T815">
        <v>88101020</v>
      </c>
      <c r="U815" s="1" t="s">
        <v>4027</v>
      </c>
      <c r="V815" s="1" t="s">
        <v>2958</v>
      </c>
      <c r="W815" s="1" t="s">
        <v>87</v>
      </c>
      <c r="X815">
        <v>48</v>
      </c>
      <c r="Y815">
        <v>33801617</v>
      </c>
      <c r="Z815" t="s">
        <v>91</v>
      </c>
      <c r="AA815" t="s">
        <v>91</v>
      </c>
      <c r="AB815" t="s">
        <v>91</v>
      </c>
      <c r="AC815" t="s">
        <v>91</v>
      </c>
      <c r="AD815" t="s">
        <v>91</v>
      </c>
      <c r="AE815" t="s">
        <v>91</v>
      </c>
      <c r="AF815" t="s">
        <v>91</v>
      </c>
      <c r="AG815" s="1" t="s">
        <v>91</v>
      </c>
      <c r="AH815" s="1" t="s">
        <v>91</v>
      </c>
      <c r="AI815" t="s">
        <v>91</v>
      </c>
      <c r="AM815" t="s">
        <v>91</v>
      </c>
      <c r="AN815" t="s">
        <v>91</v>
      </c>
      <c r="AO815" t="s">
        <v>91</v>
      </c>
      <c r="AP815" t="s">
        <v>91</v>
      </c>
      <c r="AQ815" s="1" t="s">
        <v>91</v>
      </c>
      <c r="AR815" s="1" t="s">
        <v>91</v>
      </c>
      <c r="AS815" s="1" t="s">
        <v>91</v>
      </c>
      <c r="AT815" s="1" t="s">
        <v>91</v>
      </c>
      <c r="AU815" s="1" t="s">
        <v>91</v>
      </c>
      <c r="AV815" t="s">
        <v>91</v>
      </c>
      <c r="AW815" t="s">
        <v>91</v>
      </c>
      <c r="AX815" t="s">
        <v>91</v>
      </c>
      <c r="AY815" t="s">
        <v>91</v>
      </c>
      <c r="AZ815" t="s">
        <v>91</v>
      </c>
      <c r="BA815" t="s">
        <v>91</v>
      </c>
      <c r="BB815" s="2">
        <v>45118.097175925926</v>
      </c>
      <c r="BC815" s="2"/>
      <c r="BD815" t="s">
        <v>91</v>
      </c>
      <c r="BF815" s="1" t="s">
        <v>75</v>
      </c>
      <c r="BI815" s="1" t="s">
        <v>88</v>
      </c>
      <c r="BJ815">
        <v>1</v>
      </c>
      <c r="BK815" s="1" t="s">
        <v>89</v>
      </c>
      <c r="BL815" t="s">
        <v>91</v>
      </c>
      <c r="BM815" s="1" t="s">
        <v>91</v>
      </c>
      <c r="BN815" s="1" t="s">
        <v>91</v>
      </c>
      <c r="BO815" s="1" t="s">
        <v>91</v>
      </c>
      <c r="BP815" s="1" t="s">
        <v>91</v>
      </c>
      <c r="BQ815" t="s">
        <v>91</v>
      </c>
      <c r="BR815" s="3">
        <v>45118</v>
      </c>
      <c r="BS815" s="3"/>
      <c r="BT815" t="s">
        <v>91</v>
      </c>
      <c r="BU815" t="s">
        <v>91</v>
      </c>
      <c r="BW815" s="1" t="s">
        <v>90</v>
      </c>
    </row>
    <row r="816" spans="1:75" hidden="1" x14ac:dyDescent="0.35">
      <c r="A816">
        <v>156948</v>
      </c>
      <c r="B816" s="1" t="s">
        <v>75</v>
      </c>
      <c r="C816">
        <v>80</v>
      </c>
      <c r="D816">
        <v>11121002</v>
      </c>
      <c r="E816">
        <v>121002</v>
      </c>
      <c r="F816" s="1" t="s">
        <v>2915</v>
      </c>
      <c r="G816" s="1" t="s">
        <v>4675</v>
      </c>
      <c r="H816">
        <v>0</v>
      </c>
      <c r="I816" s="1" t="s">
        <v>78</v>
      </c>
      <c r="J816" s="1" t="s">
        <v>4676</v>
      </c>
      <c r="K816" s="1" t="s">
        <v>4677</v>
      </c>
      <c r="L816" t="s">
        <v>91</v>
      </c>
      <c r="M816" t="s">
        <v>91</v>
      </c>
      <c r="N816" s="1" t="s">
        <v>4678</v>
      </c>
      <c r="O816" t="s">
        <v>91</v>
      </c>
      <c r="P816" s="1" t="s">
        <v>4679</v>
      </c>
      <c r="Q816" s="1" t="s">
        <v>3194</v>
      </c>
      <c r="R816" s="1" t="s">
        <v>820</v>
      </c>
      <c r="T816">
        <v>88032650</v>
      </c>
      <c r="U816" s="1" t="s">
        <v>3519</v>
      </c>
      <c r="V816" s="1" t="s">
        <v>2922</v>
      </c>
      <c r="W816" s="1" t="s">
        <v>87</v>
      </c>
      <c r="X816">
        <v>48</v>
      </c>
      <c r="Y816">
        <v>984475069</v>
      </c>
      <c r="Z816" t="s">
        <v>91</v>
      </c>
      <c r="AA816" t="s">
        <v>91</v>
      </c>
      <c r="AB816" t="s">
        <v>91</v>
      </c>
      <c r="AC816" t="s">
        <v>91</v>
      </c>
      <c r="AD816" t="s">
        <v>91</v>
      </c>
      <c r="AE816" t="s">
        <v>91</v>
      </c>
      <c r="AF816" t="s">
        <v>91</v>
      </c>
      <c r="AG816" s="1" t="s">
        <v>91</v>
      </c>
      <c r="AH816" s="1" t="s">
        <v>91</v>
      </c>
      <c r="AI816" t="s">
        <v>91</v>
      </c>
      <c r="AM816" t="s">
        <v>91</v>
      </c>
      <c r="AN816" t="s">
        <v>91</v>
      </c>
      <c r="AO816" t="s">
        <v>91</v>
      </c>
      <c r="AP816" t="s">
        <v>91</v>
      </c>
      <c r="AQ816" s="1" t="s">
        <v>91</v>
      </c>
      <c r="AR816" s="1" t="s">
        <v>91</v>
      </c>
      <c r="AS816" s="1" t="s">
        <v>91</v>
      </c>
      <c r="AT816" s="1" t="s">
        <v>91</v>
      </c>
      <c r="AU816" s="1" t="s">
        <v>91</v>
      </c>
      <c r="AV816" t="s">
        <v>91</v>
      </c>
      <c r="AW816" t="s">
        <v>91</v>
      </c>
      <c r="AX816" t="s">
        <v>91</v>
      </c>
      <c r="AY816" t="s">
        <v>91</v>
      </c>
      <c r="AZ816" t="s">
        <v>91</v>
      </c>
      <c r="BA816" t="s">
        <v>91</v>
      </c>
      <c r="BB816" s="2">
        <v>45113.505416666667</v>
      </c>
      <c r="BC816" s="2"/>
      <c r="BD816" t="s">
        <v>91</v>
      </c>
      <c r="BF816" s="1" t="s">
        <v>75</v>
      </c>
      <c r="BI816" s="1" t="s">
        <v>88</v>
      </c>
      <c r="BJ816">
        <v>1</v>
      </c>
      <c r="BK816" s="1" t="s">
        <v>89</v>
      </c>
      <c r="BL816" t="s">
        <v>91</v>
      </c>
      <c r="BM816" s="1" t="s">
        <v>91</v>
      </c>
      <c r="BN816" s="1" t="s">
        <v>91</v>
      </c>
      <c r="BO816" s="1" t="s">
        <v>91</v>
      </c>
      <c r="BP816" s="1" t="s">
        <v>91</v>
      </c>
      <c r="BQ816" t="s">
        <v>91</v>
      </c>
      <c r="BR816" s="3">
        <v>45113</v>
      </c>
      <c r="BS816" s="3"/>
      <c r="BT816" t="s">
        <v>91</v>
      </c>
      <c r="BU816" t="s">
        <v>91</v>
      </c>
      <c r="BW816" s="1" t="s">
        <v>90</v>
      </c>
    </row>
    <row r="817" spans="1:75" hidden="1" x14ac:dyDescent="0.35">
      <c r="A817">
        <v>157691</v>
      </c>
      <c r="B817" s="1" t="s">
        <v>75</v>
      </c>
      <c r="C817">
        <v>80</v>
      </c>
      <c r="D817">
        <v>11121002</v>
      </c>
      <c r="E817">
        <v>121002</v>
      </c>
      <c r="F817" s="1" t="s">
        <v>2915</v>
      </c>
      <c r="G817" s="1" t="s">
        <v>4680</v>
      </c>
      <c r="H817">
        <v>0</v>
      </c>
      <c r="I817" s="1" t="s">
        <v>78</v>
      </c>
      <c r="J817" s="1" t="s">
        <v>4681</v>
      </c>
      <c r="K817" s="1" t="s">
        <v>4682</v>
      </c>
      <c r="L817" t="s">
        <v>91</v>
      </c>
      <c r="M817" t="s">
        <v>91</v>
      </c>
      <c r="N817" s="1" t="s">
        <v>4683</v>
      </c>
      <c r="O817" t="s">
        <v>91</v>
      </c>
      <c r="P817" s="1" t="s">
        <v>311</v>
      </c>
      <c r="Q817" s="1" t="s">
        <v>3064</v>
      </c>
      <c r="R817" s="1" t="s">
        <v>4684</v>
      </c>
      <c r="S817">
        <v>1254</v>
      </c>
      <c r="T817">
        <v>88010002</v>
      </c>
      <c r="U817" s="1" t="s">
        <v>108</v>
      </c>
      <c r="V817" s="1" t="s">
        <v>2922</v>
      </c>
      <c r="W817" s="1" t="s">
        <v>87</v>
      </c>
      <c r="X817">
        <v>48</v>
      </c>
      <c r="Y817">
        <v>32074038</v>
      </c>
      <c r="Z817" t="s">
        <v>91</v>
      </c>
      <c r="AA817" t="s">
        <v>91</v>
      </c>
      <c r="AB817" t="s">
        <v>91</v>
      </c>
      <c r="AC817" t="s">
        <v>91</v>
      </c>
      <c r="AD817" t="s">
        <v>91</v>
      </c>
      <c r="AE817" t="s">
        <v>91</v>
      </c>
      <c r="AF817" t="s">
        <v>91</v>
      </c>
      <c r="AG817" s="1" t="s">
        <v>91</v>
      </c>
      <c r="AH817" s="1" t="s">
        <v>91</v>
      </c>
      <c r="AI817" t="s">
        <v>91</v>
      </c>
      <c r="AM817" t="s">
        <v>91</v>
      </c>
      <c r="AN817" t="s">
        <v>91</v>
      </c>
      <c r="AO817" t="s">
        <v>91</v>
      </c>
      <c r="AP817" t="s">
        <v>91</v>
      </c>
      <c r="AQ817" s="1" t="s">
        <v>91</v>
      </c>
      <c r="AR817" s="1" t="s">
        <v>91</v>
      </c>
      <c r="AS817" s="1" t="s">
        <v>91</v>
      </c>
      <c r="AT817" s="1" t="s">
        <v>91</v>
      </c>
      <c r="AU817" s="1" t="s">
        <v>91</v>
      </c>
      <c r="AV817" t="s">
        <v>91</v>
      </c>
      <c r="AW817" t="s">
        <v>91</v>
      </c>
      <c r="AX817" t="s">
        <v>91</v>
      </c>
      <c r="AY817" t="s">
        <v>91</v>
      </c>
      <c r="AZ817" t="s">
        <v>91</v>
      </c>
      <c r="BA817" t="s">
        <v>91</v>
      </c>
      <c r="BB817" s="2">
        <v>45118.097175925926</v>
      </c>
      <c r="BC817" s="2"/>
      <c r="BD817" t="s">
        <v>91</v>
      </c>
      <c r="BF817" s="1" t="s">
        <v>75</v>
      </c>
      <c r="BI817" s="1" t="s">
        <v>88</v>
      </c>
      <c r="BJ817">
        <v>1</v>
      </c>
      <c r="BK817" s="1" t="s">
        <v>89</v>
      </c>
      <c r="BL817" t="s">
        <v>91</v>
      </c>
      <c r="BM817" s="1" t="s">
        <v>91</v>
      </c>
      <c r="BN817" s="1" t="s">
        <v>91</v>
      </c>
      <c r="BO817" s="1" t="s">
        <v>91</v>
      </c>
      <c r="BP817" s="1" t="s">
        <v>91</v>
      </c>
      <c r="BQ817" t="s">
        <v>91</v>
      </c>
      <c r="BR817" s="3">
        <v>45118</v>
      </c>
      <c r="BS817" s="3"/>
      <c r="BT817" t="s">
        <v>91</v>
      </c>
      <c r="BU817" t="s">
        <v>91</v>
      </c>
      <c r="BW817" s="1" t="s">
        <v>149</v>
      </c>
    </row>
    <row r="818" spans="1:75" hidden="1" x14ac:dyDescent="0.35">
      <c r="A818">
        <v>134266</v>
      </c>
      <c r="B818" s="1" t="s">
        <v>75</v>
      </c>
      <c r="C818">
        <v>80</v>
      </c>
      <c r="D818">
        <v>11121002</v>
      </c>
      <c r="E818">
        <v>121002</v>
      </c>
      <c r="F818" s="1" t="s">
        <v>2915</v>
      </c>
      <c r="G818" s="1" t="s">
        <v>4685</v>
      </c>
      <c r="I818" s="1" t="s">
        <v>78</v>
      </c>
      <c r="J818" s="1" t="s">
        <v>4686</v>
      </c>
      <c r="K818" s="1" t="s">
        <v>4687</v>
      </c>
      <c r="L818" t="s">
        <v>91</v>
      </c>
      <c r="M818" t="s">
        <v>91</v>
      </c>
      <c r="N818" s="1" t="s">
        <v>4688</v>
      </c>
      <c r="O818" t="s">
        <v>91</v>
      </c>
      <c r="P818" s="1" t="s">
        <v>4689</v>
      </c>
      <c r="Q818" s="1" t="s">
        <v>4690</v>
      </c>
      <c r="R818" s="1" t="s">
        <v>91</v>
      </c>
      <c r="S818">
        <v>1259</v>
      </c>
      <c r="T818">
        <v>88102401</v>
      </c>
      <c r="U818" s="1" t="s">
        <v>3015</v>
      </c>
      <c r="V818" s="1" t="s">
        <v>3016</v>
      </c>
      <c r="W818" s="1" t="s">
        <v>87</v>
      </c>
      <c r="X818">
        <v>48</v>
      </c>
      <c r="Y818">
        <v>33572476</v>
      </c>
      <c r="Z818" t="s">
        <v>91</v>
      </c>
      <c r="AA818" t="s">
        <v>91</v>
      </c>
      <c r="AB818" t="s">
        <v>91</v>
      </c>
      <c r="AC818" t="s">
        <v>91</v>
      </c>
      <c r="AD818" t="s">
        <v>91</v>
      </c>
      <c r="AE818" t="s">
        <v>91</v>
      </c>
      <c r="AF818" t="s">
        <v>91</v>
      </c>
      <c r="AG818" s="1" t="s">
        <v>146</v>
      </c>
      <c r="AH818" s="1" t="s">
        <v>91</v>
      </c>
      <c r="AI818" t="s">
        <v>91</v>
      </c>
      <c r="AJ818">
        <v>0</v>
      </c>
      <c r="AK818">
        <v>0</v>
      </c>
      <c r="AL818">
        <v>0</v>
      </c>
      <c r="AM818" t="s">
        <v>91</v>
      </c>
      <c r="AN818" t="s">
        <v>91</v>
      </c>
      <c r="AO818" t="s">
        <v>91</v>
      </c>
      <c r="AP818" t="s">
        <v>91</v>
      </c>
      <c r="AQ818" s="1" t="s">
        <v>147</v>
      </c>
      <c r="AR818" s="1" t="s">
        <v>147</v>
      </c>
      <c r="AS818" s="1" t="s">
        <v>147</v>
      </c>
      <c r="AT818" s="1" t="s">
        <v>147</v>
      </c>
      <c r="AU818" s="1" t="s">
        <v>147</v>
      </c>
      <c r="AV818" t="s">
        <v>91</v>
      </c>
      <c r="AW818" t="s">
        <v>91</v>
      </c>
      <c r="AX818" t="s">
        <v>91</v>
      </c>
      <c r="AY818" t="s">
        <v>91</v>
      </c>
      <c r="AZ818" t="s">
        <v>91</v>
      </c>
      <c r="BA818" t="s">
        <v>91</v>
      </c>
      <c r="BB818" s="2"/>
      <c r="BC818" s="2">
        <v>44676.579664351855</v>
      </c>
      <c r="BD818" t="s">
        <v>91</v>
      </c>
      <c r="BF818" s="1" t="s">
        <v>75</v>
      </c>
      <c r="BG818">
        <v>0</v>
      </c>
      <c r="BH818">
        <v>0</v>
      </c>
      <c r="BI818" s="1" t="s">
        <v>88</v>
      </c>
      <c r="BJ818">
        <v>1</v>
      </c>
      <c r="BK818" s="1" t="s">
        <v>89</v>
      </c>
      <c r="BL818" t="s">
        <v>91</v>
      </c>
      <c r="BM818" s="1" t="s">
        <v>329</v>
      </c>
      <c r="BN818" s="1" t="s">
        <v>110</v>
      </c>
      <c r="BO818" s="1" t="s">
        <v>165</v>
      </c>
      <c r="BP818" s="1" t="s">
        <v>91</v>
      </c>
      <c r="BQ818" t="s">
        <v>91</v>
      </c>
      <c r="BR818" s="3"/>
      <c r="BS818" s="3">
        <v>44676</v>
      </c>
      <c r="BT818" t="s">
        <v>91</v>
      </c>
      <c r="BU818" t="s">
        <v>91</v>
      </c>
      <c r="BV818">
        <v>5</v>
      </c>
      <c r="BW818" s="1" t="s">
        <v>3738</v>
      </c>
    </row>
    <row r="819" spans="1:75" hidden="1" x14ac:dyDescent="0.35">
      <c r="A819">
        <v>157659</v>
      </c>
      <c r="B819" s="1" t="s">
        <v>75</v>
      </c>
      <c r="C819">
        <v>80</v>
      </c>
      <c r="D819">
        <v>11121002</v>
      </c>
      <c r="E819">
        <v>121002</v>
      </c>
      <c r="F819" s="1" t="s">
        <v>2915</v>
      </c>
      <c r="G819" s="1" t="s">
        <v>4691</v>
      </c>
      <c r="H819">
        <v>0</v>
      </c>
      <c r="I819" s="1" t="s">
        <v>78</v>
      </c>
      <c r="J819" s="1" t="s">
        <v>4692</v>
      </c>
      <c r="K819" s="1" t="s">
        <v>4693</v>
      </c>
      <c r="L819" t="s">
        <v>91</v>
      </c>
      <c r="M819" t="s">
        <v>91</v>
      </c>
      <c r="N819" s="1" t="s">
        <v>91</v>
      </c>
      <c r="O819" t="s">
        <v>91</v>
      </c>
      <c r="P819" s="1" t="s">
        <v>873</v>
      </c>
      <c r="Q819" s="1" t="s">
        <v>1490</v>
      </c>
      <c r="R819" s="1" t="s">
        <v>4694</v>
      </c>
      <c r="S819">
        <v>1269</v>
      </c>
      <c r="T819">
        <v>88801500</v>
      </c>
      <c r="U819" s="1" t="s">
        <v>108</v>
      </c>
      <c r="V819" s="1" t="s">
        <v>2943</v>
      </c>
      <c r="W819" s="1" t="s">
        <v>87</v>
      </c>
      <c r="Z819" t="s">
        <v>91</v>
      </c>
      <c r="AA819" t="s">
        <v>91</v>
      </c>
      <c r="AB819" t="s">
        <v>91</v>
      </c>
      <c r="AC819" t="s">
        <v>91</v>
      </c>
      <c r="AD819" t="s">
        <v>91</v>
      </c>
      <c r="AE819" t="s">
        <v>91</v>
      </c>
      <c r="AF819" t="s">
        <v>91</v>
      </c>
      <c r="AG819" s="1" t="s">
        <v>91</v>
      </c>
      <c r="AH819" s="1" t="s">
        <v>91</v>
      </c>
      <c r="AI819" t="s">
        <v>91</v>
      </c>
      <c r="AM819" t="s">
        <v>91</v>
      </c>
      <c r="AN819" t="s">
        <v>91</v>
      </c>
      <c r="AO819" t="s">
        <v>91</v>
      </c>
      <c r="AP819" t="s">
        <v>91</v>
      </c>
      <c r="AQ819" s="1" t="s">
        <v>91</v>
      </c>
      <c r="AR819" s="1" t="s">
        <v>91</v>
      </c>
      <c r="AS819" s="1" t="s">
        <v>91</v>
      </c>
      <c r="AT819" s="1" t="s">
        <v>91</v>
      </c>
      <c r="AU819" s="1" t="s">
        <v>91</v>
      </c>
      <c r="AV819" t="s">
        <v>91</v>
      </c>
      <c r="AW819" t="s">
        <v>91</v>
      </c>
      <c r="AX819" t="s">
        <v>91</v>
      </c>
      <c r="AY819" t="s">
        <v>91</v>
      </c>
      <c r="AZ819" t="s">
        <v>91</v>
      </c>
      <c r="BA819" t="s">
        <v>91</v>
      </c>
      <c r="BB819" s="2">
        <v>45118.097175925926</v>
      </c>
      <c r="BC819" s="2"/>
      <c r="BD819" t="s">
        <v>91</v>
      </c>
      <c r="BF819" s="1" t="s">
        <v>75</v>
      </c>
      <c r="BI819" s="1" t="s">
        <v>88</v>
      </c>
      <c r="BJ819">
        <v>1</v>
      </c>
      <c r="BK819" s="1" t="s">
        <v>89</v>
      </c>
      <c r="BL819" t="s">
        <v>91</v>
      </c>
      <c r="BM819" s="1" t="s">
        <v>91</v>
      </c>
      <c r="BN819" s="1" t="s">
        <v>91</v>
      </c>
      <c r="BO819" s="1" t="s">
        <v>91</v>
      </c>
      <c r="BP819" s="1" t="s">
        <v>91</v>
      </c>
      <c r="BQ819" t="s">
        <v>91</v>
      </c>
      <c r="BR819" s="3">
        <v>45118</v>
      </c>
      <c r="BS819" s="3"/>
      <c r="BT819" t="s">
        <v>91</v>
      </c>
      <c r="BU819" t="s">
        <v>91</v>
      </c>
      <c r="BW819" s="1" t="s">
        <v>90</v>
      </c>
    </row>
    <row r="820" spans="1:75" hidden="1" x14ac:dyDescent="0.35">
      <c r="A820">
        <v>157634</v>
      </c>
      <c r="B820" s="1" t="s">
        <v>75</v>
      </c>
      <c r="C820">
        <v>80</v>
      </c>
      <c r="D820">
        <v>11121002</v>
      </c>
      <c r="E820">
        <v>121002</v>
      </c>
      <c r="F820" s="1" t="s">
        <v>2915</v>
      </c>
      <c r="G820" s="1" t="s">
        <v>4695</v>
      </c>
      <c r="H820">
        <v>0</v>
      </c>
      <c r="I820" s="1" t="s">
        <v>78</v>
      </c>
      <c r="J820" s="1" t="s">
        <v>4696</v>
      </c>
      <c r="K820" s="1" t="s">
        <v>4697</v>
      </c>
      <c r="L820" t="s">
        <v>91</v>
      </c>
      <c r="M820" t="s">
        <v>91</v>
      </c>
      <c r="N820" s="1" t="s">
        <v>91</v>
      </c>
      <c r="O820" t="s">
        <v>91</v>
      </c>
      <c r="P820" s="1" t="s">
        <v>4698</v>
      </c>
      <c r="Q820" s="1" t="s">
        <v>1042</v>
      </c>
      <c r="R820" s="1" t="s">
        <v>91</v>
      </c>
      <c r="S820">
        <v>1266</v>
      </c>
      <c r="T820">
        <v>88502170</v>
      </c>
      <c r="U820" s="1" t="s">
        <v>108</v>
      </c>
      <c r="V820" s="1" t="s">
        <v>3335</v>
      </c>
      <c r="W820" s="1" t="s">
        <v>87</v>
      </c>
      <c r="X820">
        <v>49</v>
      </c>
      <c r="Y820">
        <v>32223479</v>
      </c>
      <c r="Z820" t="s">
        <v>91</v>
      </c>
      <c r="AA820" t="s">
        <v>91</v>
      </c>
      <c r="AB820" t="s">
        <v>91</v>
      </c>
      <c r="AC820" t="s">
        <v>91</v>
      </c>
      <c r="AD820" t="s">
        <v>91</v>
      </c>
      <c r="AE820" t="s">
        <v>91</v>
      </c>
      <c r="AF820" t="s">
        <v>91</v>
      </c>
      <c r="AG820" s="1" t="s">
        <v>91</v>
      </c>
      <c r="AH820" s="1" t="s">
        <v>91</v>
      </c>
      <c r="AI820" t="s">
        <v>91</v>
      </c>
      <c r="AM820" t="s">
        <v>91</v>
      </c>
      <c r="AN820" t="s">
        <v>91</v>
      </c>
      <c r="AO820" t="s">
        <v>91</v>
      </c>
      <c r="AP820" t="s">
        <v>91</v>
      </c>
      <c r="AQ820" s="1" t="s">
        <v>91</v>
      </c>
      <c r="AR820" s="1" t="s">
        <v>91</v>
      </c>
      <c r="AS820" s="1" t="s">
        <v>91</v>
      </c>
      <c r="AT820" s="1" t="s">
        <v>91</v>
      </c>
      <c r="AU820" s="1" t="s">
        <v>91</v>
      </c>
      <c r="AV820" t="s">
        <v>91</v>
      </c>
      <c r="AW820" t="s">
        <v>91</v>
      </c>
      <c r="AX820" t="s">
        <v>91</v>
      </c>
      <c r="AY820" t="s">
        <v>91</v>
      </c>
      <c r="AZ820" t="s">
        <v>91</v>
      </c>
      <c r="BA820" t="s">
        <v>91</v>
      </c>
      <c r="BB820" s="2">
        <v>45118.097175925926</v>
      </c>
      <c r="BC820" s="2"/>
      <c r="BD820" t="s">
        <v>91</v>
      </c>
      <c r="BF820" s="1" t="s">
        <v>75</v>
      </c>
      <c r="BI820" s="1" t="s">
        <v>88</v>
      </c>
      <c r="BJ820">
        <v>1</v>
      </c>
      <c r="BK820" s="1" t="s">
        <v>89</v>
      </c>
      <c r="BL820" t="s">
        <v>91</v>
      </c>
      <c r="BM820" s="1" t="s">
        <v>91</v>
      </c>
      <c r="BN820" s="1" t="s">
        <v>91</v>
      </c>
      <c r="BO820" s="1" t="s">
        <v>91</v>
      </c>
      <c r="BP820" s="1" t="s">
        <v>91</v>
      </c>
      <c r="BQ820" t="s">
        <v>91</v>
      </c>
      <c r="BR820" s="3">
        <v>45118</v>
      </c>
      <c r="BS820" s="3"/>
      <c r="BT820" t="s">
        <v>91</v>
      </c>
      <c r="BU820" t="s">
        <v>91</v>
      </c>
      <c r="BW820" s="1" t="s">
        <v>90</v>
      </c>
    </row>
    <row r="821" spans="1:75" hidden="1" x14ac:dyDescent="0.35">
      <c r="A821">
        <v>156859</v>
      </c>
      <c r="B821" s="1" t="s">
        <v>75</v>
      </c>
      <c r="C821">
        <v>80</v>
      </c>
      <c r="D821">
        <v>11121002</v>
      </c>
      <c r="E821">
        <v>121002</v>
      </c>
      <c r="F821" s="1" t="s">
        <v>2915</v>
      </c>
      <c r="G821" s="1" t="s">
        <v>4699</v>
      </c>
      <c r="H821">
        <v>0</v>
      </c>
      <c r="I821" s="1" t="s">
        <v>78</v>
      </c>
      <c r="J821" s="1" t="s">
        <v>4700</v>
      </c>
      <c r="K821" s="1" t="s">
        <v>4701</v>
      </c>
      <c r="L821" t="s">
        <v>91</v>
      </c>
      <c r="M821" t="s">
        <v>91</v>
      </c>
      <c r="N821" s="1" t="s">
        <v>4702</v>
      </c>
      <c r="O821" t="s">
        <v>91</v>
      </c>
      <c r="P821" s="1" t="s">
        <v>3485</v>
      </c>
      <c r="Q821" s="1" t="s">
        <v>2300</v>
      </c>
      <c r="R821" s="1" t="s">
        <v>4703</v>
      </c>
      <c r="S821">
        <v>1259</v>
      </c>
      <c r="T821">
        <v>88117900</v>
      </c>
      <c r="U821" s="1" t="s">
        <v>2957</v>
      </c>
      <c r="V821" s="1" t="s">
        <v>2958</v>
      </c>
      <c r="W821" s="1" t="s">
        <v>87</v>
      </c>
      <c r="X821">
        <v>48</v>
      </c>
      <c r="Y821">
        <v>999283292</v>
      </c>
      <c r="Z821" t="s">
        <v>91</v>
      </c>
      <c r="AA821" t="s">
        <v>91</v>
      </c>
      <c r="AB821" t="s">
        <v>91</v>
      </c>
      <c r="AC821" t="s">
        <v>91</v>
      </c>
      <c r="AD821" t="s">
        <v>91</v>
      </c>
      <c r="AE821" t="s">
        <v>91</v>
      </c>
      <c r="AF821" t="s">
        <v>91</v>
      </c>
      <c r="AG821" s="1" t="s">
        <v>91</v>
      </c>
      <c r="AH821" s="1" t="s">
        <v>91</v>
      </c>
      <c r="AI821" t="s">
        <v>91</v>
      </c>
      <c r="AM821" t="s">
        <v>91</v>
      </c>
      <c r="AN821" t="s">
        <v>91</v>
      </c>
      <c r="AO821" t="s">
        <v>91</v>
      </c>
      <c r="AP821" t="s">
        <v>91</v>
      </c>
      <c r="AQ821" s="1" t="s">
        <v>91</v>
      </c>
      <c r="AR821" s="1" t="s">
        <v>91</v>
      </c>
      <c r="AS821" s="1" t="s">
        <v>91</v>
      </c>
      <c r="AT821" s="1" t="s">
        <v>91</v>
      </c>
      <c r="AU821" s="1" t="s">
        <v>91</v>
      </c>
      <c r="AV821" t="s">
        <v>91</v>
      </c>
      <c r="AW821" t="s">
        <v>91</v>
      </c>
      <c r="AX821" t="s">
        <v>91</v>
      </c>
      <c r="AY821" t="s">
        <v>91</v>
      </c>
      <c r="AZ821" t="s">
        <v>91</v>
      </c>
      <c r="BA821" t="s">
        <v>91</v>
      </c>
      <c r="BB821" s="2">
        <v>45113.505416666667</v>
      </c>
      <c r="BC821" s="2"/>
      <c r="BD821" t="s">
        <v>91</v>
      </c>
      <c r="BF821" s="1" t="s">
        <v>75</v>
      </c>
      <c r="BI821" s="1" t="s">
        <v>88</v>
      </c>
      <c r="BJ821">
        <v>1</v>
      </c>
      <c r="BK821" s="1" t="s">
        <v>89</v>
      </c>
      <c r="BL821" t="s">
        <v>91</v>
      </c>
      <c r="BM821" s="1" t="s">
        <v>91</v>
      </c>
      <c r="BN821" s="1" t="s">
        <v>91</v>
      </c>
      <c r="BO821" s="1" t="s">
        <v>91</v>
      </c>
      <c r="BP821" s="1" t="s">
        <v>91</v>
      </c>
      <c r="BQ821" t="s">
        <v>91</v>
      </c>
      <c r="BR821" s="3">
        <v>45113</v>
      </c>
      <c r="BS821" s="3"/>
      <c r="BT821" t="s">
        <v>91</v>
      </c>
      <c r="BU821" t="s">
        <v>91</v>
      </c>
      <c r="BW821" s="1" t="s">
        <v>90</v>
      </c>
    </row>
    <row r="822" spans="1:75" hidden="1" x14ac:dyDescent="0.35">
      <c r="A822">
        <v>157606</v>
      </c>
      <c r="B822" s="1" t="s">
        <v>75</v>
      </c>
      <c r="C822">
        <v>80</v>
      </c>
      <c r="D822">
        <v>11121002</v>
      </c>
      <c r="E822">
        <v>121002</v>
      </c>
      <c r="F822" s="1" t="s">
        <v>2915</v>
      </c>
      <c r="G822" s="1" t="s">
        <v>4704</v>
      </c>
      <c r="H822">
        <v>0</v>
      </c>
      <c r="I822" s="1" t="s">
        <v>78</v>
      </c>
      <c r="J822" s="1" t="s">
        <v>4705</v>
      </c>
      <c r="K822" s="1" t="s">
        <v>4706</v>
      </c>
      <c r="L822" t="s">
        <v>91</v>
      </c>
      <c r="M822" t="s">
        <v>91</v>
      </c>
      <c r="N822" s="1" t="s">
        <v>4707</v>
      </c>
      <c r="O822" t="s">
        <v>91</v>
      </c>
      <c r="P822" s="1" t="s">
        <v>4708</v>
      </c>
      <c r="Q822" s="1" t="s">
        <v>4709</v>
      </c>
      <c r="R822" s="1" t="s">
        <v>91</v>
      </c>
      <c r="T822">
        <v>88130070</v>
      </c>
      <c r="U822" s="1" t="s">
        <v>108</v>
      </c>
      <c r="V822" s="1" t="s">
        <v>2951</v>
      </c>
      <c r="W822" s="1" t="s">
        <v>87</v>
      </c>
      <c r="X822">
        <v>48</v>
      </c>
      <c r="Y822">
        <v>37719761</v>
      </c>
      <c r="Z822" t="s">
        <v>91</v>
      </c>
      <c r="AA822" t="s">
        <v>91</v>
      </c>
      <c r="AB822" t="s">
        <v>91</v>
      </c>
      <c r="AC822" t="s">
        <v>91</v>
      </c>
      <c r="AD822" t="s">
        <v>91</v>
      </c>
      <c r="AE822" t="s">
        <v>91</v>
      </c>
      <c r="AF822" t="s">
        <v>91</v>
      </c>
      <c r="AG822" s="1" t="s">
        <v>91</v>
      </c>
      <c r="AH822" s="1" t="s">
        <v>91</v>
      </c>
      <c r="AI822" t="s">
        <v>91</v>
      </c>
      <c r="AM822" t="s">
        <v>91</v>
      </c>
      <c r="AN822" t="s">
        <v>91</v>
      </c>
      <c r="AO822" t="s">
        <v>91</v>
      </c>
      <c r="AP822" t="s">
        <v>91</v>
      </c>
      <c r="AQ822" s="1" t="s">
        <v>91</v>
      </c>
      <c r="AR822" s="1" t="s">
        <v>91</v>
      </c>
      <c r="AS822" s="1" t="s">
        <v>91</v>
      </c>
      <c r="AT822" s="1" t="s">
        <v>91</v>
      </c>
      <c r="AU822" s="1" t="s">
        <v>91</v>
      </c>
      <c r="AV822" t="s">
        <v>91</v>
      </c>
      <c r="AW822" t="s">
        <v>91</v>
      </c>
      <c r="AX822" t="s">
        <v>91</v>
      </c>
      <c r="AY822" t="s">
        <v>91</v>
      </c>
      <c r="AZ822" t="s">
        <v>91</v>
      </c>
      <c r="BA822" t="s">
        <v>91</v>
      </c>
      <c r="BB822" s="2">
        <v>45118.097175925926</v>
      </c>
      <c r="BC822" s="2"/>
      <c r="BD822" t="s">
        <v>91</v>
      </c>
      <c r="BF822" s="1" t="s">
        <v>75</v>
      </c>
      <c r="BI822" s="1" t="s">
        <v>88</v>
      </c>
      <c r="BJ822">
        <v>1</v>
      </c>
      <c r="BK822" s="1" t="s">
        <v>89</v>
      </c>
      <c r="BL822" t="s">
        <v>91</v>
      </c>
      <c r="BM822" s="1" t="s">
        <v>91</v>
      </c>
      <c r="BN822" s="1" t="s">
        <v>91</v>
      </c>
      <c r="BO822" s="1" t="s">
        <v>91</v>
      </c>
      <c r="BP822" s="1" t="s">
        <v>91</v>
      </c>
      <c r="BQ822" t="s">
        <v>91</v>
      </c>
      <c r="BR822" s="3">
        <v>45118</v>
      </c>
      <c r="BS822" s="3"/>
      <c r="BT822" t="s">
        <v>91</v>
      </c>
      <c r="BU822" t="s">
        <v>91</v>
      </c>
      <c r="BW822" s="1" t="s">
        <v>90</v>
      </c>
    </row>
    <row r="823" spans="1:75" hidden="1" x14ac:dyDescent="0.35">
      <c r="A823">
        <v>134556</v>
      </c>
      <c r="B823" s="1" t="s">
        <v>75</v>
      </c>
      <c r="C823">
        <v>80</v>
      </c>
      <c r="D823">
        <v>11121002</v>
      </c>
      <c r="E823">
        <v>121002</v>
      </c>
      <c r="F823" s="1" t="s">
        <v>2915</v>
      </c>
      <c r="G823" s="1" t="s">
        <v>4710</v>
      </c>
      <c r="I823" s="1" t="s">
        <v>78</v>
      </c>
      <c r="J823" s="1" t="s">
        <v>4711</v>
      </c>
      <c r="K823" s="1" t="s">
        <v>4712</v>
      </c>
      <c r="L823" t="s">
        <v>91</v>
      </c>
      <c r="M823" t="s">
        <v>91</v>
      </c>
      <c r="N823" s="1" t="s">
        <v>4713</v>
      </c>
      <c r="O823" t="s">
        <v>91</v>
      </c>
      <c r="P823" s="1" t="s">
        <v>3254</v>
      </c>
      <c r="Q823" s="1" t="s">
        <v>282</v>
      </c>
      <c r="R823" s="1" t="s">
        <v>370</v>
      </c>
      <c r="S823">
        <v>1259</v>
      </c>
      <c r="T823">
        <v>88160130</v>
      </c>
      <c r="U823" s="1" t="s">
        <v>108</v>
      </c>
      <c r="V823" s="1" t="s">
        <v>3255</v>
      </c>
      <c r="W823" s="1" t="s">
        <v>87</v>
      </c>
      <c r="X823">
        <v>48</v>
      </c>
      <c r="Y823">
        <v>30653531</v>
      </c>
      <c r="Z823" t="s">
        <v>91</v>
      </c>
      <c r="AA823" t="s">
        <v>91</v>
      </c>
      <c r="AB823" t="s">
        <v>91</v>
      </c>
      <c r="AC823" t="s">
        <v>91</v>
      </c>
      <c r="AD823" t="s">
        <v>91</v>
      </c>
      <c r="AE823" t="s">
        <v>91</v>
      </c>
      <c r="AF823" t="s">
        <v>91</v>
      </c>
      <c r="AG823" s="1" t="s">
        <v>146</v>
      </c>
      <c r="AH823" s="1" t="s">
        <v>91</v>
      </c>
      <c r="AI823" t="s">
        <v>91</v>
      </c>
      <c r="AM823" t="s">
        <v>91</v>
      </c>
      <c r="AN823" t="s">
        <v>91</v>
      </c>
      <c r="AO823" t="s">
        <v>91</v>
      </c>
      <c r="AP823" t="s">
        <v>91</v>
      </c>
      <c r="AQ823" s="1" t="s">
        <v>147</v>
      </c>
      <c r="AR823" s="1" t="s">
        <v>147</v>
      </c>
      <c r="AS823" s="1" t="s">
        <v>147</v>
      </c>
      <c r="AT823" s="1" t="s">
        <v>147</v>
      </c>
      <c r="AU823" s="1" t="s">
        <v>147</v>
      </c>
      <c r="AV823" t="s">
        <v>91</v>
      </c>
      <c r="AW823" t="s">
        <v>91</v>
      </c>
      <c r="AX823" t="s">
        <v>91</v>
      </c>
      <c r="AY823" t="s">
        <v>91</v>
      </c>
      <c r="AZ823" t="s">
        <v>91</v>
      </c>
      <c r="BA823" t="s">
        <v>91</v>
      </c>
      <c r="BB823" s="2"/>
      <c r="BC823" s="2">
        <v>44676.567731481482</v>
      </c>
      <c r="BD823" t="s">
        <v>91</v>
      </c>
      <c r="BF823" s="1" t="s">
        <v>75</v>
      </c>
      <c r="BH823">
        <v>0</v>
      </c>
      <c r="BI823" s="1" t="s">
        <v>88</v>
      </c>
      <c r="BJ823">
        <v>1</v>
      </c>
      <c r="BK823" s="1" t="s">
        <v>89</v>
      </c>
      <c r="BL823" t="s">
        <v>91</v>
      </c>
      <c r="BM823" s="1" t="s">
        <v>109</v>
      </c>
      <c r="BN823" s="1" t="s">
        <v>110</v>
      </c>
      <c r="BO823" s="1" t="s">
        <v>128</v>
      </c>
      <c r="BP823" s="1" t="s">
        <v>91</v>
      </c>
      <c r="BQ823" t="s">
        <v>91</v>
      </c>
      <c r="BR823" s="3"/>
      <c r="BS823" s="3">
        <v>44676</v>
      </c>
      <c r="BT823" t="s">
        <v>91</v>
      </c>
      <c r="BU823" t="s">
        <v>91</v>
      </c>
      <c r="BW823" s="1" t="s">
        <v>540</v>
      </c>
    </row>
    <row r="824" spans="1:75" hidden="1" x14ac:dyDescent="0.35">
      <c r="A824">
        <v>156875</v>
      </c>
      <c r="B824" s="1" t="s">
        <v>75</v>
      </c>
      <c r="C824">
        <v>80</v>
      </c>
      <c r="D824">
        <v>11121002</v>
      </c>
      <c r="E824">
        <v>121002</v>
      </c>
      <c r="F824" s="1" t="s">
        <v>2915</v>
      </c>
      <c r="G824" s="1" t="s">
        <v>4714</v>
      </c>
      <c r="H824">
        <v>0</v>
      </c>
      <c r="I824" s="1" t="s">
        <v>78</v>
      </c>
      <c r="J824" s="1" t="s">
        <v>4715</v>
      </c>
      <c r="K824" s="1" t="s">
        <v>4716</v>
      </c>
      <c r="L824" t="s">
        <v>91</v>
      </c>
      <c r="M824" t="s">
        <v>91</v>
      </c>
      <c r="N824" s="1" t="s">
        <v>91</v>
      </c>
      <c r="O824" t="s">
        <v>91</v>
      </c>
      <c r="P824" s="1" t="s">
        <v>4717</v>
      </c>
      <c r="Q824" s="1" t="s">
        <v>4718</v>
      </c>
      <c r="R824" s="1" t="s">
        <v>370</v>
      </c>
      <c r="S824">
        <v>1259</v>
      </c>
      <c r="T824">
        <v>88140000</v>
      </c>
      <c r="U824" s="1" t="s">
        <v>108</v>
      </c>
      <c r="V824" s="1" t="s">
        <v>3123</v>
      </c>
      <c r="W824" s="1" t="s">
        <v>87</v>
      </c>
      <c r="X824">
        <v>48</v>
      </c>
      <c r="Y824">
        <v>992044997</v>
      </c>
      <c r="Z824" t="s">
        <v>91</v>
      </c>
      <c r="AA824" t="s">
        <v>91</v>
      </c>
      <c r="AB824" t="s">
        <v>91</v>
      </c>
      <c r="AC824" t="s">
        <v>91</v>
      </c>
      <c r="AD824" t="s">
        <v>91</v>
      </c>
      <c r="AE824" t="s">
        <v>91</v>
      </c>
      <c r="AF824" t="s">
        <v>91</v>
      </c>
      <c r="AG824" s="1" t="s">
        <v>91</v>
      </c>
      <c r="AH824" s="1" t="s">
        <v>91</v>
      </c>
      <c r="AI824" t="s">
        <v>91</v>
      </c>
      <c r="AM824" t="s">
        <v>91</v>
      </c>
      <c r="AN824" t="s">
        <v>91</v>
      </c>
      <c r="AO824" t="s">
        <v>91</v>
      </c>
      <c r="AP824" t="s">
        <v>91</v>
      </c>
      <c r="AQ824" s="1" t="s">
        <v>91</v>
      </c>
      <c r="AR824" s="1" t="s">
        <v>91</v>
      </c>
      <c r="AS824" s="1" t="s">
        <v>91</v>
      </c>
      <c r="AT824" s="1" t="s">
        <v>91</v>
      </c>
      <c r="AU824" s="1" t="s">
        <v>91</v>
      </c>
      <c r="AV824" t="s">
        <v>91</v>
      </c>
      <c r="AW824" t="s">
        <v>91</v>
      </c>
      <c r="AX824" t="s">
        <v>91</v>
      </c>
      <c r="AY824" t="s">
        <v>91</v>
      </c>
      <c r="AZ824" t="s">
        <v>91</v>
      </c>
      <c r="BA824" t="s">
        <v>91</v>
      </c>
      <c r="BB824" s="2">
        <v>45113.505416666667</v>
      </c>
      <c r="BC824" s="2"/>
      <c r="BD824" t="s">
        <v>91</v>
      </c>
      <c r="BF824" s="1" t="s">
        <v>75</v>
      </c>
      <c r="BI824" s="1" t="s">
        <v>88</v>
      </c>
      <c r="BJ824">
        <v>1</v>
      </c>
      <c r="BK824" s="1" t="s">
        <v>89</v>
      </c>
      <c r="BL824" t="s">
        <v>91</v>
      </c>
      <c r="BM824" s="1" t="s">
        <v>91</v>
      </c>
      <c r="BN824" s="1" t="s">
        <v>91</v>
      </c>
      <c r="BO824" s="1" t="s">
        <v>91</v>
      </c>
      <c r="BP824" s="1" t="s">
        <v>91</v>
      </c>
      <c r="BQ824" t="s">
        <v>91</v>
      </c>
      <c r="BR824" s="3">
        <v>45113</v>
      </c>
      <c r="BS824" s="3"/>
      <c r="BT824" t="s">
        <v>91</v>
      </c>
      <c r="BU824" t="s">
        <v>91</v>
      </c>
      <c r="BW824" s="1" t="s">
        <v>90</v>
      </c>
    </row>
    <row r="825" spans="1:75" hidden="1" x14ac:dyDescent="0.35">
      <c r="A825">
        <v>134247</v>
      </c>
      <c r="B825" s="1" t="s">
        <v>75</v>
      </c>
      <c r="C825">
        <v>80</v>
      </c>
      <c r="D825">
        <v>11121002</v>
      </c>
      <c r="E825">
        <v>121002</v>
      </c>
      <c r="F825" s="1" t="s">
        <v>2915</v>
      </c>
      <c r="G825" s="1" t="s">
        <v>4719</v>
      </c>
      <c r="I825" s="1" t="s">
        <v>78</v>
      </c>
      <c r="J825" s="1" t="s">
        <v>4720</v>
      </c>
      <c r="K825" s="1" t="s">
        <v>4721</v>
      </c>
      <c r="L825" t="s">
        <v>91</v>
      </c>
      <c r="M825" t="s">
        <v>91</v>
      </c>
      <c r="N825" s="1" t="s">
        <v>4722</v>
      </c>
      <c r="O825" t="s">
        <v>91</v>
      </c>
      <c r="P825" s="1" t="s">
        <v>3417</v>
      </c>
      <c r="Q825" s="1" t="s">
        <v>3459</v>
      </c>
      <c r="R825" s="1" t="s">
        <v>1893</v>
      </c>
      <c r="S825">
        <v>1259</v>
      </c>
      <c r="T825">
        <v>88132149</v>
      </c>
      <c r="U825" s="1" t="s">
        <v>3461</v>
      </c>
      <c r="V825" s="1" t="s">
        <v>3165</v>
      </c>
      <c r="W825" s="1" t="s">
        <v>87</v>
      </c>
      <c r="X825">
        <v>48</v>
      </c>
      <c r="Y825">
        <v>21327173</v>
      </c>
      <c r="Z825" t="s">
        <v>91</v>
      </c>
      <c r="AA825" t="s">
        <v>91</v>
      </c>
      <c r="AB825" t="s">
        <v>91</v>
      </c>
      <c r="AC825" t="s">
        <v>91</v>
      </c>
      <c r="AD825" t="s">
        <v>91</v>
      </c>
      <c r="AE825" t="s">
        <v>91</v>
      </c>
      <c r="AF825" t="s">
        <v>91</v>
      </c>
      <c r="AG825" s="1" t="s">
        <v>146</v>
      </c>
      <c r="AH825" s="1" t="s">
        <v>91</v>
      </c>
      <c r="AI825" t="s">
        <v>91</v>
      </c>
      <c r="AJ825">
        <v>0</v>
      </c>
      <c r="AK825">
        <v>0</v>
      </c>
      <c r="AL825">
        <v>0</v>
      </c>
      <c r="AM825" t="s">
        <v>91</v>
      </c>
      <c r="AN825" t="s">
        <v>91</v>
      </c>
      <c r="AO825" t="s">
        <v>91</v>
      </c>
      <c r="AP825" t="s">
        <v>91</v>
      </c>
      <c r="AQ825" s="1" t="s">
        <v>147</v>
      </c>
      <c r="AR825" s="1" t="s">
        <v>147</v>
      </c>
      <c r="AS825" s="1" t="s">
        <v>147</v>
      </c>
      <c r="AT825" s="1" t="s">
        <v>147</v>
      </c>
      <c r="AU825" s="1" t="s">
        <v>147</v>
      </c>
      <c r="AV825" t="s">
        <v>91</v>
      </c>
      <c r="AW825" t="s">
        <v>91</v>
      </c>
      <c r="AX825" t="s">
        <v>91</v>
      </c>
      <c r="AY825" t="s">
        <v>91</v>
      </c>
      <c r="AZ825" t="s">
        <v>91</v>
      </c>
      <c r="BA825" t="s">
        <v>91</v>
      </c>
      <c r="BB825" s="2"/>
      <c r="BC825" s="2">
        <v>44452.61105324074</v>
      </c>
      <c r="BD825" t="s">
        <v>91</v>
      </c>
      <c r="BF825" s="1" t="s">
        <v>75</v>
      </c>
      <c r="BG825">
        <v>0</v>
      </c>
      <c r="BH825">
        <v>0</v>
      </c>
      <c r="BI825" s="1" t="s">
        <v>88</v>
      </c>
      <c r="BJ825">
        <v>1</v>
      </c>
      <c r="BK825" s="1" t="s">
        <v>89</v>
      </c>
      <c r="BL825" t="s">
        <v>91</v>
      </c>
      <c r="BM825" s="1" t="s">
        <v>109</v>
      </c>
      <c r="BN825" s="1" t="s">
        <v>110</v>
      </c>
      <c r="BO825" s="1" t="s">
        <v>128</v>
      </c>
      <c r="BP825" s="1" t="s">
        <v>91</v>
      </c>
      <c r="BQ825" t="s">
        <v>91</v>
      </c>
      <c r="BR825" s="3"/>
      <c r="BS825" s="3">
        <v>44452</v>
      </c>
      <c r="BT825" t="s">
        <v>91</v>
      </c>
      <c r="BU825" t="s">
        <v>91</v>
      </c>
      <c r="BV825">
        <v>9</v>
      </c>
      <c r="BW825" s="1" t="s">
        <v>1063</v>
      </c>
    </row>
    <row r="826" spans="1:75" hidden="1" x14ac:dyDescent="0.35">
      <c r="A826">
        <v>157664</v>
      </c>
      <c r="B826" s="1" t="s">
        <v>75</v>
      </c>
      <c r="C826">
        <v>80</v>
      </c>
      <c r="D826">
        <v>11121002</v>
      </c>
      <c r="E826">
        <v>121002</v>
      </c>
      <c r="F826" s="1" t="s">
        <v>2915</v>
      </c>
      <c r="G826" s="1" t="s">
        <v>4723</v>
      </c>
      <c r="H826">
        <v>0</v>
      </c>
      <c r="I826" s="1" t="s">
        <v>78</v>
      </c>
      <c r="J826" s="1" t="s">
        <v>4724</v>
      </c>
      <c r="K826" s="1" t="s">
        <v>4725</v>
      </c>
      <c r="L826" t="s">
        <v>91</v>
      </c>
      <c r="M826" t="s">
        <v>91</v>
      </c>
      <c r="N826" s="1" t="s">
        <v>4726</v>
      </c>
      <c r="O826" t="s">
        <v>91</v>
      </c>
      <c r="P826" s="1" t="s">
        <v>4727</v>
      </c>
      <c r="Q826" s="1" t="s">
        <v>198</v>
      </c>
      <c r="R826" s="1" t="s">
        <v>91</v>
      </c>
      <c r="S826">
        <v>1269</v>
      </c>
      <c r="T826">
        <v>88801070</v>
      </c>
      <c r="U826" s="1" t="s">
        <v>108</v>
      </c>
      <c r="V826" s="1" t="s">
        <v>2943</v>
      </c>
      <c r="W826" s="1" t="s">
        <v>87</v>
      </c>
      <c r="X826">
        <v>48</v>
      </c>
      <c r="Y826">
        <v>996270075</v>
      </c>
      <c r="Z826" t="s">
        <v>91</v>
      </c>
      <c r="AA826" t="s">
        <v>91</v>
      </c>
      <c r="AB826" t="s">
        <v>91</v>
      </c>
      <c r="AC826" t="s">
        <v>91</v>
      </c>
      <c r="AD826" t="s">
        <v>91</v>
      </c>
      <c r="AE826" t="s">
        <v>91</v>
      </c>
      <c r="AF826" t="s">
        <v>91</v>
      </c>
      <c r="AG826" s="1" t="s">
        <v>91</v>
      </c>
      <c r="AH826" s="1" t="s">
        <v>91</v>
      </c>
      <c r="AI826" t="s">
        <v>91</v>
      </c>
      <c r="AM826" t="s">
        <v>91</v>
      </c>
      <c r="AN826" t="s">
        <v>91</v>
      </c>
      <c r="AO826" t="s">
        <v>91</v>
      </c>
      <c r="AP826" t="s">
        <v>91</v>
      </c>
      <c r="AQ826" s="1" t="s">
        <v>91</v>
      </c>
      <c r="AR826" s="1" t="s">
        <v>91</v>
      </c>
      <c r="AS826" s="1" t="s">
        <v>91</v>
      </c>
      <c r="AT826" s="1" t="s">
        <v>91</v>
      </c>
      <c r="AU826" s="1" t="s">
        <v>91</v>
      </c>
      <c r="AV826" t="s">
        <v>91</v>
      </c>
      <c r="AW826" t="s">
        <v>91</v>
      </c>
      <c r="AX826" t="s">
        <v>91</v>
      </c>
      <c r="AY826" t="s">
        <v>91</v>
      </c>
      <c r="AZ826" t="s">
        <v>91</v>
      </c>
      <c r="BA826" t="s">
        <v>91</v>
      </c>
      <c r="BB826" s="2">
        <v>45118.097175925926</v>
      </c>
      <c r="BC826" s="2"/>
      <c r="BD826" t="s">
        <v>91</v>
      </c>
      <c r="BF826" s="1" t="s">
        <v>75</v>
      </c>
      <c r="BI826" s="1" t="s">
        <v>88</v>
      </c>
      <c r="BJ826">
        <v>1</v>
      </c>
      <c r="BK826" s="1" t="s">
        <v>89</v>
      </c>
      <c r="BL826" t="s">
        <v>91</v>
      </c>
      <c r="BM826" s="1" t="s">
        <v>91</v>
      </c>
      <c r="BN826" s="1" t="s">
        <v>91</v>
      </c>
      <c r="BO826" s="1" t="s">
        <v>91</v>
      </c>
      <c r="BP826" s="1" t="s">
        <v>91</v>
      </c>
      <c r="BQ826" t="s">
        <v>91</v>
      </c>
      <c r="BR826" s="3">
        <v>45118</v>
      </c>
      <c r="BS826" s="3"/>
      <c r="BT826" t="s">
        <v>91</v>
      </c>
      <c r="BU826" t="s">
        <v>91</v>
      </c>
      <c r="BW826" s="1" t="s">
        <v>90</v>
      </c>
    </row>
    <row r="827" spans="1:75" hidden="1" x14ac:dyDescent="0.35">
      <c r="A827">
        <v>157671</v>
      </c>
      <c r="B827" s="1" t="s">
        <v>75</v>
      </c>
      <c r="C827">
        <v>80</v>
      </c>
      <c r="D827">
        <v>11121002</v>
      </c>
      <c r="E827">
        <v>121002</v>
      </c>
      <c r="F827" s="1" t="s">
        <v>2915</v>
      </c>
      <c r="G827" s="1" t="s">
        <v>4728</v>
      </c>
      <c r="H827">
        <v>0</v>
      </c>
      <c r="I827" s="1" t="s">
        <v>78</v>
      </c>
      <c r="J827" s="1" t="s">
        <v>4729</v>
      </c>
      <c r="K827" s="1" t="s">
        <v>4730</v>
      </c>
      <c r="L827" t="s">
        <v>91</v>
      </c>
      <c r="M827" t="s">
        <v>91</v>
      </c>
      <c r="N827" s="1" t="s">
        <v>91</v>
      </c>
      <c r="O827" t="s">
        <v>91</v>
      </c>
      <c r="P827" s="1" t="s">
        <v>4460</v>
      </c>
      <c r="Q827" s="1" t="s">
        <v>4731</v>
      </c>
      <c r="R827" s="1" t="s">
        <v>820</v>
      </c>
      <c r="S827">
        <v>1269</v>
      </c>
      <c r="T827">
        <v>88801250</v>
      </c>
      <c r="U827" s="1" t="s">
        <v>108</v>
      </c>
      <c r="V827" s="1" t="s">
        <v>2943</v>
      </c>
      <c r="W827" s="1" t="s">
        <v>87</v>
      </c>
      <c r="X827">
        <v>48</v>
      </c>
      <c r="Y827">
        <v>34370118</v>
      </c>
      <c r="Z827" t="s">
        <v>91</v>
      </c>
      <c r="AA827" t="s">
        <v>91</v>
      </c>
      <c r="AB827" t="s">
        <v>91</v>
      </c>
      <c r="AC827" t="s">
        <v>91</v>
      </c>
      <c r="AD827" t="s">
        <v>91</v>
      </c>
      <c r="AE827" t="s">
        <v>91</v>
      </c>
      <c r="AF827" t="s">
        <v>91</v>
      </c>
      <c r="AG827" s="1" t="s">
        <v>91</v>
      </c>
      <c r="AH827" s="1" t="s">
        <v>91</v>
      </c>
      <c r="AI827" t="s">
        <v>91</v>
      </c>
      <c r="AM827" t="s">
        <v>91</v>
      </c>
      <c r="AN827" t="s">
        <v>91</v>
      </c>
      <c r="AO827" t="s">
        <v>91</v>
      </c>
      <c r="AP827" t="s">
        <v>91</v>
      </c>
      <c r="AQ827" s="1" t="s">
        <v>91</v>
      </c>
      <c r="AR827" s="1" t="s">
        <v>91</v>
      </c>
      <c r="AS827" s="1" t="s">
        <v>91</v>
      </c>
      <c r="AT827" s="1" t="s">
        <v>91</v>
      </c>
      <c r="AU827" s="1" t="s">
        <v>91</v>
      </c>
      <c r="AV827" t="s">
        <v>91</v>
      </c>
      <c r="AW827" t="s">
        <v>91</v>
      </c>
      <c r="AX827" t="s">
        <v>91</v>
      </c>
      <c r="AY827" t="s">
        <v>91</v>
      </c>
      <c r="AZ827" t="s">
        <v>91</v>
      </c>
      <c r="BA827" t="s">
        <v>91</v>
      </c>
      <c r="BB827" s="2">
        <v>45118.097175925926</v>
      </c>
      <c r="BC827" s="2"/>
      <c r="BD827" t="s">
        <v>91</v>
      </c>
      <c r="BF827" s="1" t="s">
        <v>75</v>
      </c>
      <c r="BI827" s="1" t="s">
        <v>88</v>
      </c>
      <c r="BJ827">
        <v>1</v>
      </c>
      <c r="BK827" s="1" t="s">
        <v>89</v>
      </c>
      <c r="BL827" t="s">
        <v>91</v>
      </c>
      <c r="BM827" s="1" t="s">
        <v>91</v>
      </c>
      <c r="BN827" s="1" t="s">
        <v>91</v>
      </c>
      <c r="BO827" s="1" t="s">
        <v>91</v>
      </c>
      <c r="BP827" s="1" t="s">
        <v>91</v>
      </c>
      <c r="BQ827" t="s">
        <v>91</v>
      </c>
      <c r="BR827" s="3">
        <v>45118</v>
      </c>
      <c r="BS827" s="3"/>
      <c r="BT827" t="s">
        <v>91</v>
      </c>
      <c r="BU827" t="s">
        <v>91</v>
      </c>
      <c r="BW827" s="1" t="s">
        <v>90</v>
      </c>
    </row>
    <row r="828" spans="1:75" hidden="1" x14ac:dyDescent="0.35">
      <c r="A828">
        <v>157677</v>
      </c>
      <c r="B828" s="1" t="s">
        <v>75</v>
      </c>
      <c r="C828">
        <v>80</v>
      </c>
      <c r="D828">
        <v>11121002</v>
      </c>
      <c r="E828">
        <v>121002</v>
      </c>
      <c r="F828" s="1" t="s">
        <v>2915</v>
      </c>
      <c r="G828" s="1" t="s">
        <v>4732</v>
      </c>
      <c r="H828">
        <v>0</v>
      </c>
      <c r="I828" s="1" t="s">
        <v>78</v>
      </c>
      <c r="J828" s="1" t="s">
        <v>4733</v>
      </c>
      <c r="K828" s="1" t="s">
        <v>4734</v>
      </c>
      <c r="L828" t="s">
        <v>91</v>
      </c>
      <c r="M828" t="s">
        <v>91</v>
      </c>
      <c r="N828" s="1" t="s">
        <v>91</v>
      </c>
      <c r="O828" t="s">
        <v>91</v>
      </c>
      <c r="P828" s="1" t="s">
        <v>4321</v>
      </c>
      <c r="Q828" s="1" t="s">
        <v>728</v>
      </c>
      <c r="R828" s="1" t="s">
        <v>91</v>
      </c>
      <c r="S828">
        <v>1269</v>
      </c>
      <c r="T828">
        <v>88850000</v>
      </c>
      <c r="U828" s="1" t="s">
        <v>343</v>
      </c>
      <c r="V828" s="1" t="s">
        <v>2987</v>
      </c>
      <c r="W828" s="1" t="s">
        <v>87</v>
      </c>
      <c r="X828">
        <v>48</v>
      </c>
      <c r="Y828">
        <v>34631243</v>
      </c>
      <c r="Z828" t="s">
        <v>91</v>
      </c>
      <c r="AA828" t="s">
        <v>91</v>
      </c>
      <c r="AB828" t="s">
        <v>91</v>
      </c>
      <c r="AC828" t="s">
        <v>91</v>
      </c>
      <c r="AD828" t="s">
        <v>91</v>
      </c>
      <c r="AE828" t="s">
        <v>91</v>
      </c>
      <c r="AF828" t="s">
        <v>91</v>
      </c>
      <c r="AG828" s="1" t="s">
        <v>91</v>
      </c>
      <c r="AH828" s="1" t="s">
        <v>91</v>
      </c>
      <c r="AI828" t="s">
        <v>91</v>
      </c>
      <c r="AM828" t="s">
        <v>91</v>
      </c>
      <c r="AN828" t="s">
        <v>91</v>
      </c>
      <c r="AO828" t="s">
        <v>91</v>
      </c>
      <c r="AP828" t="s">
        <v>91</v>
      </c>
      <c r="AQ828" s="1" t="s">
        <v>91</v>
      </c>
      <c r="AR828" s="1" t="s">
        <v>91</v>
      </c>
      <c r="AS828" s="1" t="s">
        <v>91</v>
      </c>
      <c r="AT828" s="1" t="s">
        <v>91</v>
      </c>
      <c r="AU828" s="1" t="s">
        <v>91</v>
      </c>
      <c r="AV828" t="s">
        <v>91</v>
      </c>
      <c r="AW828" t="s">
        <v>91</v>
      </c>
      <c r="AX828" t="s">
        <v>91</v>
      </c>
      <c r="AY828" t="s">
        <v>91</v>
      </c>
      <c r="AZ828" t="s">
        <v>91</v>
      </c>
      <c r="BA828" t="s">
        <v>91</v>
      </c>
      <c r="BB828" s="2">
        <v>45118.097175925926</v>
      </c>
      <c r="BC828" s="2"/>
      <c r="BD828" t="s">
        <v>91</v>
      </c>
      <c r="BF828" s="1" t="s">
        <v>75</v>
      </c>
      <c r="BI828" s="1" t="s">
        <v>88</v>
      </c>
      <c r="BJ828">
        <v>1</v>
      </c>
      <c r="BK828" s="1" t="s">
        <v>89</v>
      </c>
      <c r="BL828" t="s">
        <v>91</v>
      </c>
      <c r="BM828" s="1" t="s">
        <v>91</v>
      </c>
      <c r="BN828" s="1" t="s">
        <v>91</v>
      </c>
      <c r="BO828" s="1" t="s">
        <v>91</v>
      </c>
      <c r="BP828" s="1" t="s">
        <v>91</v>
      </c>
      <c r="BQ828" t="s">
        <v>91</v>
      </c>
      <c r="BR828" s="3">
        <v>45118</v>
      </c>
      <c r="BS828" s="3"/>
      <c r="BT828" t="s">
        <v>91</v>
      </c>
      <c r="BU828" t="s">
        <v>91</v>
      </c>
      <c r="BW828" s="1" t="s">
        <v>90</v>
      </c>
    </row>
    <row r="829" spans="1:75" hidden="1" x14ac:dyDescent="0.35">
      <c r="A829">
        <v>316</v>
      </c>
      <c r="B829" s="1" t="s">
        <v>75</v>
      </c>
      <c r="C829">
        <v>80</v>
      </c>
      <c r="D829">
        <v>11121002</v>
      </c>
      <c r="E829">
        <v>121002</v>
      </c>
      <c r="F829" s="1" t="s">
        <v>2915</v>
      </c>
      <c r="G829" s="1" t="s">
        <v>4735</v>
      </c>
      <c r="I829" s="1" t="s">
        <v>78</v>
      </c>
      <c r="J829" s="1" t="s">
        <v>4736</v>
      </c>
      <c r="K829" s="1" t="s">
        <v>4737</v>
      </c>
      <c r="L829" t="s">
        <v>91</v>
      </c>
      <c r="M829" t="s">
        <v>91</v>
      </c>
      <c r="N829" s="1" t="s">
        <v>4738</v>
      </c>
      <c r="O829" t="s">
        <v>91</v>
      </c>
      <c r="P829" s="1" t="s">
        <v>2326</v>
      </c>
      <c r="Q829" s="1" t="s">
        <v>4731</v>
      </c>
      <c r="R829" s="1" t="s">
        <v>91</v>
      </c>
      <c r="S829">
        <v>1254</v>
      </c>
      <c r="T829">
        <v>88010030</v>
      </c>
      <c r="U829" s="1" t="s">
        <v>108</v>
      </c>
      <c r="V829" s="1" t="s">
        <v>3102</v>
      </c>
      <c r="W829" s="1" t="s">
        <v>87</v>
      </c>
      <c r="X829">
        <v>48</v>
      </c>
      <c r="Y829">
        <v>32234741</v>
      </c>
      <c r="Z829" t="s">
        <v>91</v>
      </c>
      <c r="AA829" t="s">
        <v>91</v>
      </c>
      <c r="AB829" t="s">
        <v>91</v>
      </c>
      <c r="AC829" t="s">
        <v>91</v>
      </c>
      <c r="AD829" t="s">
        <v>91</v>
      </c>
      <c r="AE829" t="s">
        <v>91</v>
      </c>
      <c r="AF829" t="s">
        <v>91</v>
      </c>
      <c r="AG829" s="1" t="s">
        <v>91</v>
      </c>
      <c r="AH829" s="1" t="s">
        <v>91</v>
      </c>
      <c r="AI829" t="s">
        <v>91</v>
      </c>
      <c r="AJ829">
        <v>0</v>
      </c>
      <c r="AK829">
        <v>0</v>
      </c>
      <c r="AL829">
        <v>0</v>
      </c>
      <c r="AM829" t="s">
        <v>91</v>
      </c>
      <c r="AN829" t="s">
        <v>91</v>
      </c>
      <c r="AO829" t="s">
        <v>91</v>
      </c>
      <c r="AP829" t="s">
        <v>91</v>
      </c>
      <c r="AQ829" s="1" t="s">
        <v>91</v>
      </c>
      <c r="AR829" s="1" t="s">
        <v>91</v>
      </c>
      <c r="AS829" s="1" t="s">
        <v>91</v>
      </c>
      <c r="AT829" s="1" t="s">
        <v>91</v>
      </c>
      <c r="AU829" s="1" t="s">
        <v>91</v>
      </c>
      <c r="AV829" t="s">
        <v>91</v>
      </c>
      <c r="AW829" t="s">
        <v>91</v>
      </c>
      <c r="AX829" t="s">
        <v>91</v>
      </c>
      <c r="AY829" t="s">
        <v>91</v>
      </c>
      <c r="AZ829" t="s">
        <v>91</v>
      </c>
      <c r="BA829" t="s">
        <v>91</v>
      </c>
      <c r="BB829" s="2">
        <v>43308.392789351848</v>
      </c>
      <c r="BC829" s="2"/>
      <c r="BD829" t="s">
        <v>91</v>
      </c>
      <c r="BE829">
        <v>316</v>
      </c>
      <c r="BF829" s="1" t="s">
        <v>75</v>
      </c>
      <c r="BG829">
        <v>0</v>
      </c>
      <c r="BH829">
        <v>0</v>
      </c>
      <c r="BI829" s="1" t="s">
        <v>88</v>
      </c>
      <c r="BJ829">
        <v>1</v>
      </c>
      <c r="BK829" s="1" t="s">
        <v>89</v>
      </c>
      <c r="BL829" t="s">
        <v>91</v>
      </c>
      <c r="BM829" s="1" t="s">
        <v>109</v>
      </c>
      <c r="BN829" s="1" t="s">
        <v>148</v>
      </c>
      <c r="BO829" s="1" t="s">
        <v>128</v>
      </c>
      <c r="BP829" s="1" t="s">
        <v>91</v>
      </c>
      <c r="BQ829" t="s">
        <v>91</v>
      </c>
      <c r="BR829" s="3">
        <v>43308</v>
      </c>
      <c r="BS829" s="3"/>
      <c r="BT829" t="s">
        <v>91</v>
      </c>
      <c r="BU829" t="s">
        <v>91</v>
      </c>
      <c r="BV829">
        <v>3</v>
      </c>
      <c r="BW829" s="1" t="s">
        <v>90</v>
      </c>
    </row>
    <row r="830" spans="1:75" hidden="1" x14ac:dyDescent="0.35">
      <c r="A830">
        <v>144327</v>
      </c>
      <c r="B830" s="1" t="s">
        <v>75</v>
      </c>
      <c r="C830">
        <v>80</v>
      </c>
      <c r="D830">
        <v>11121002</v>
      </c>
      <c r="E830">
        <v>121002</v>
      </c>
      <c r="F830" s="1" t="s">
        <v>2915</v>
      </c>
      <c r="G830" s="1" t="s">
        <v>4739</v>
      </c>
      <c r="I830" s="1" t="s">
        <v>78</v>
      </c>
      <c r="J830" s="1" t="s">
        <v>4740</v>
      </c>
      <c r="K830" s="1" t="s">
        <v>4741</v>
      </c>
      <c r="L830" t="s">
        <v>91</v>
      </c>
      <c r="M830" t="s">
        <v>91</v>
      </c>
      <c r="N830" s="1" t="s">
        <v>4742</v>
      </c>
      <c r="O830" t="s">
        <v>91</v>
      </c>
      <c r="P830" s="1" t="s">
        <v>3056</v>
      </c>
      <c r="Q830" s="1" t="s">
        <v>4743</v>
      </c>
      <c r="R830" s="1" t="s">
        <v>91</v>
      </c>
      <c r="S830">
        <v>1268</v>
      </c>
      <c r="T830">
        <v>88705001</v>
      </c>
      <c r="U830" s="1" t="s">
        <v>3760</v>
      </c>
      <c r="V830" s="1" t="s">
        <v>3059</v>
      </c>
      <c r="W830" s="1" t="s">
        <v>87</v>
      </c>
      <c r="X830">
        <v>48</v>
      </c>
      <c r="Y830">
        <v>36266766</v>
      </c>
      <c r="Z830" t="s">
        <v>91</v>
      </c>
      <c r="AA830" t="s">
        <v>91</v>
      </c>
      <c r="AB830" t="s">
        <v>91</v>
      </c>
      <c r="AC830" t="s">
        <v>91</v>
      </c>
      <c r="AD830" t="s">
        <v>91</v>
      </c>
      <c r="AE830" t="s">
        <v>91</v>
      </c>
      <c r="AF830" t="s">
        <v>91</v>
      </c>
      <c r="AG830" s="1" t="s">
        <v>146</v>
      </c>
      <c r="AH830" s="1" t="s">
        <v>91</v>
      </c>
      <c r="AI830" t="s">
        <v>91</v>
      </c>
      <c r="AJ830">
        <v>0</v>
      </c>
      <c r="AK830">
        <v>0</v>
      </c>
      <c r="AL830">
        <v>0</v>
      </c>
      <c r="AM830" t="s">
        <v>91</v>
      </c>
      <c r="AN830" t="s">
        <v>91</v>
      </c>
      <c r="AO830" t="s">
        <v>91</v>
      </c>
      <c r="AP830" t="s">
        <v>91</v>
      </c>
      <c r="AQ830" s="1" t="s">
        <v>147</v>
      </c>
      <c r="AR830" s="1" t="s">
        <v>147</v>
      </c>
      <c r="AS830" s="1" t="s">
        <v>147</v>
      </c>
      <c r="AT830" s="1" t="s">
        <v>147</v>
      </c>
      <c r="AU830" s="1" t="s">
        <v>147</v>
      </c>
      <c r="AV830" t="s">
        <v>91</v>
      </c>
      <c r="AW830" t="s">
        <v>91</v>
      </c>
      <c r="AX830" t="s">
        <v>91</v>
      </c>
      <c r="AY830" t="s">
        <v>91</v>
      </c>
      <c r="AZ830" t="s">
        <v>91</v>
      </c>
      <c r="BA830" t="s">
        <v>91</v>
      </c>
      <c r="BB830" s="2"/>
      <c r="BC830" s="2">
        <v>45118.345127314817</v>
      </c>
      <c r="BD830" t="s">
        <v>91</v>
      </c>
      <c r="BF830" s="1" t="s">
        <v>75</v>
      </c>
      <c r="BG830">
        <v>0</v>
      </c>
      <c r="BH830">
        <v>0</v>
      </c>
      <c r="BI830" s="1" t="s">
        <v>88</v>
      </c>
      <c r="BJ830">
        <v>1</v>
      </c>
      <c r="BK830" s="1" t="s">
        <v>89</v>
      </c>
      <c r="BL830" t="s">
        <v>91</v>
      </c>
      <c r="BM830" s="1" t="s">
        <v>109</v>
      </c>
      <c r="BN830" s="1" t="s">
        <v>110</v>
      </c>
      <c r="BO830" s="1" t="s">
        <v>111</v>
      </c>
      <c r="BP830" s="1" t="s">
        <v>91</v>
      </c>
      <c r="BQ830" t="s">
        <v>91</v>
      </c>
      <c r="BR830" s="3"/>
      <c r="BS830" s="3">
        <v>45118</v>
      </c>
      <c r="BT830" t="s">
        <v>91</v>
      </c>
      <c r="BU830" t="s">
        <v>91</v>
      </c>
      <c r="BV830">
        <v>9</v>
      </c>
      <c r="BW830" s="1" t="s">
        <v>1563</v>
      </c>
    </row>
    <row r="831" spans="1:75" hidden="1" x14ac:dyDescent="0.35">
      <c r="A831">
        <v>144180</v>
      </c>
      <c r="B831" s="1" t="s">
        <v>75</v>
      </c>
      <c r="C831">
        <v>80</v>
      </c>
      <c r="D831">
        <v>11121002</v>
      </c>
      <c r="E831">
        <v>121002</v>
      </c>
      <c r="F831" s="1" t="s">
        <v>2915</v>
      </c>
      <c r="G831" s="1" t="s">
        <v>4744</v>
      </c>
      <c r="H831">
        <v>0</v>
      </c>
      <c r="I831" s="1" t="s">
        <v>78</v>
      </c>
      <c r="J831" s="1" t="s">
        <v>4745</v>
      </c>
      <c r="K831" s="1" t="s">
        <v>4746</v>
      </c>
      <c r="L831" t="s">
        <v>91</v>
      </c>
      <c r="M831" t="s">
        <v>91</v>
      </c>
      <c r="N831" s="1" t="s">
        <v>4747</v>
      </c>
      <c r="O831" t="s">
        <v>91</v>
      </c>
      <c r="P831" s="1" t="s">
        <v>726</v>
      </c>
      <c r="Q831" s="1" t="s">
        <v>1766</v>
      </c>
      <c r="R831" s="1" t="s">
        <v>91</v>
      </c>
      <c r="S831">
        <v>1254</v>
      </c>
      <c r="T831">
        <v>88010000</v>
      </c>
      <c r="U831" s="1" t="s">
        <v>108</v>
      </c>
      <c r="V831" s="1" t="s">
        <v>3102</v>
      </c>
      <c r="W831" s="1" t="s">
        <v>87</v>
      </c>
      <c r="X831">
        <v>48</v>
      </c>
      <c r="Y831">
        <v>999490521</v>
      </c>
      <c r="Z831" t="s">
        <v>91</v>
      </c>
      <c r="AA831" t="s">
        <v>91</v>
      </c>
      <c r="AB831" t="s">
        <v>91</v>
      </c>
      <c r="AC831" t="s">
        <v>91</v>
      </c>
      <c r="AD831" t="s">
        <v>91</v>
      </c>
      <c r="AE831" t="s">
        <v>91</v>
      </c>
      <c r="AF831" t="s">
        <v>91</v>
      </c>
      <c r="AG831" s="1" t="s">
        <v>146</v>
      </c>
      <c r="AH831" s="1" t="s">
        <v>91</v>
      </c>
      <c r="AI831" t="s">
        <v>91</v>
      </c>
      <c r="AM831" t="s">
        <v>91</v>
      </c>
      <c r="AN831" t="s">
        <v>91</v>
      </c>
      <c r="AO831" t="s">
        <v>91</v>
      </c>
      <c r="AP831" t="s">
        <v>91</v>
      </c>
      <c r="AQ831" s="1" t="s">
        <v>147</v>
      </c>
      <c r="AR831" s="1" t="s">
        <v>147</v>
      </c>
      <c r="AS831" s="1" t="s">
        <v>147</v>
      </c>
      <c r="AT831" s="1" t="s">
        <v>147</v>
      </c>
      <c r="AU831" s="1" t="s">
        <v>147</v>
      </c>
      <c r="AV831" t="s">
        <v>91</v>
      </c>
      <c r="AW831" t="s">
        <v>91</v>
      </c>
      <c r="AX831" t="s">
        <v>91</v>
      </c>
      <c r="AY831" t="s">
        <v>91</v>
      </c>
      <c r="AZ831" t="s">
        <v>91</v>
      </c>
      <c r="BA831" t="s">
        <v>91</v>
      </c>
      <c r="BB831" s="2">
        <v>44526.624652777777</v>
      </c>
      <c r="BC831" s="2">
        <v>44557.61341435185</v>
      </c>
      <c r="BD831" t="s">
        <v>91</v>
      </c>
      <c r="BF831" s="1" t="s">
        <v>75</v>
      </c>
      <c r="BH831">
        <v>0</v>
      </c>
      <c r="BI831" s="1" t="s">
        <v>88</v>
      </c>
      <c r="BJ831">
        <v>1</v>
      </c>
      <c r="BK831" s="1" t="s">
        <v>89</v>
      </c>
      <c r="BL831" t="s">
        <v>91</v>
      </c>
      <c r="BM831" s="1" t="s">
        <v>91</v>
      </c>
      <c r="BN831" s="1" t="s">
        <v>91</v>
      </c>
      <c r="BO831" s="1" t="s">
        <v>111</v>
      </c>
      <c r="BP831" s="1" t="s">
        <v>91</v>
      </c>
      <c r="BQ831" t="s">
        <v>91</v>
      </c>
      <c r="BR831" s="3">
        <v>44526</v>
      </c>
      <c r="BS831" s="3">
        <v>44557</v>
      </c>
      <c r="BT831" t="s">
        <v>91</v>
      </c>
      <c r="BU831" t="s">
        <v>91</v>
      </c>
      <c r="BW831" s="1" t="s">
        <v>4748</v>
      </c>
    </row>
    <row r="832" spans="1:75" hidden="1" x14ac:dyDescent="0.35">
      <c r="A832">
        <v>156918</v>
      </c>
      <c r="B832" s="1" t="s">
        <v>75</v>
      </c>
      <c r="C832">
        <v>80</v>
      </c>
      <c r="D832">
        <v>11121002</v>
      </c>
      <c r="E832">
        <v>121002</v>
      </c>
      <c r="F832" s="1" t="s">
        <v>2915</v>
      </c>
      <c r="G832" s="1" t="s">
        <v>4749</v>
      </c>
      <c r="H832">
        <v>0</v>
      </c>
      <c r="I832" s="1" t="s">
        <v>78</v>
      </c>
      <c r="J832" s="1" t="s">
        <v>4750</v>
      </c>
      <c r="K832" s="1" t="s">
        <v>4751</v>
      </c>
      <c r="L832" t="s">
        <v>91</v>
      </c>
      <c r="M832" t="s">
        <v>91</v>
      </c>
      <c r="N832" s="1" t="s">
        <v>4752</v>
      </c>
      <c r="O832" t="s">
        <v>91</v>
      </c>
      <c r="P832" s="1" t="s">
        <v>364</v>
      </c>
      <c r="Q832" s="1" t="s">
        <v>1247</v>
      </c>
      <c r="R832" s="1" t="s">
        <v>236</v>
      </c>
      <c r="S832">
        <v>1270</v>
      </c>
      <c r="T832">
        <v>88960000</v>
      </c>
      <c r="U832" s="1" t="s">
        <v>108</v>
      </c>
      <c r="V832" s="1" t="s">
        <v>3694</v>
      </c>
      <c r="W832" s="1" t="s">
        <v>87</v>
      </c>
      <c r="X832">
        <v>48</v>
      </c>
      <c r="Y832">
        <v>35122363</v>
      </c>
      <c r="Z832" t="s">
        <v>91</v>
      </c>
      <c r="AA832" t="s">
        <v>91</v>
      </c>
      <c r="AB832" t="s">
        <v>91</v>
      </c>
      <c r="AC832" t="s">
        <v>91</v>
      </c>
      <c r="AD832" t="s">
        <v>91</v>
      </c>
      <c r="AE832" t="s">
        <v>91</v>
      </c>
      <c r="AF832" t="s">
        <v>91</v>
      </c>
      <c r="AG832" s="1" t="s">
        <v>91</v>
      </c>
      <c r="AH832" s="1" t="s">
        <v>91</v>
      </c>
      <c r="AI832" t="s">
        <v>91</v>
      </c>
      <c r="AM832" t="s">
        <v>91</v>
      </c>
      <c r="AN832" t="s">
        <v>91</v>
      </c>
      <c r="AO832" t="s">
        <v>91</v>
      </c>
      <c r="AP832" t="s">
        <v>91</v>
      </c>
      <c r="AQ832" s="1" t="s">
        <v>91</v>
      </c>
      <c r="AR832" s="1" t="s">
        <v>91</v>
      </c>
      <c r="AS832" s="1" t="s">
        <v>91</v>
      </c>
      <c r="AT832" s="1" t="s">
        <v>91</v>
      </c>
      <c r="AU832" s="1" t="s">
        <v>91</v>
      </c>
      <c r="AV832" t="s">
        <v>91</v>
      </c>
      <c r="AW832" t="s">
        <v>91</v>
      </c>
      <c r="AX832" t="s">
        <v>91</v>
      </c>
      <c r="AY832" t="s">
        <v>91</v>
      </c>
      <c r="AZ832" t="s">
        <v>91</v>
      </c>
      <c r="BA832" t="s">
        <v>91</v>
      </c>
      <c r="BB832" s="2">
        <v>45113.505416666667</v>
      </c>
      <c r="BC832" s="2"/>
      <c r="BD832" t="s">
        <v>91</v>
      </c>
      <c r="BF832" s="1" t="s">
        <v>75</v>
      </c>
      <c r="BI832" s="1" t="s">
        <v>88</v>
      </c>
      <c r="BJ832">
        <v>1</v>
      </c>
      <c r="BK832" s="1" t="s">
        <v>89</v>
      </c>
      <c r="BL832" t="s">
        <v>91</v>
      </c>
      <c r="BM832" s="1" t="s">
        <v>91</v>
      </c>
      <c r="BN832" s="1" t="s">
        <v>91</v>
      </c>
      <c r="BO832" s="1" t="s">
        <v>91</v>
      </c>
      <c r="BP832" s="1" t="s">
        <v>91</v>
      </c>
      <c r="BQ832" t="s">
        <v>91</v>
      </c>
      <c r="BR832" s="3">
        <v>45113</v>
      </c>
      <c r="BS832" s="3"/>
      <c r="BT832" t="s">
        <v>91</v>
      </c>
      <c r="BU832" t="s">
        <v>91</v>
      </c>
      <c r="BW832" s="1" t="s">
        <v>90</v>
      </c>
    </row>
    <row r="833" spans="1:75" hidden="1" x14ac:dyDescent="0.35">
      <c r="A833">
        <v>158702</v>
      </c>
      <c r="B833" s="1" t="s">
        <v>75</v>
      </c>
      <c r="C833">
        <v>80</v>
      </c>
      <c r="D833">
        <v>11121002</v>
      </c>
      <c r="E833">
        <v>121002</v>
      </c>
      <c r="F833" s="1" t="s">
        <v>2915</v>
      </c>
      <c r="G833" s="1" t="s">
        <v>4753</v>
      </c>
      <c r="I833" s="1" t="s">
        <v>78</v>
      </c>
      <c r="J833" s="1" t="s">
        <v>4754</v>
      </c>
      <c r="K833" s="1" t="s">
        <v>4755</v>
      </c>
      <c r="L833" t="s">
        <v>91</v>
      </c>
      <c r="M833" t="s">
        <v>91</v>
      </c>
      <c r="N833" s="1" t="s">
        <v>4756</v>
      </c>
      <c r="O833" t="s">
        <v>91</v>
      </c>
      <c r="P833" s="1" t="s">
        <v>4757</v>
      </c>
      <c r="Q833" s="1" t="s">
        <v>1149</v>
      </c>
      <c r="R833" s="1" t="s">
        <v>254</v>
      </c>
      <c r="S833">
        <v>1257</v>
      </c>
      <c r="T833">
        <v>88058100</v>
      </c>
      <c r="U833" s="1" t="s">
        <v>3441</v>
      </c>
      <c r="V833" s="1" t="s">
        <v>2922</v>
      </c>
      <c r="W833" s="1" t="s">
        <v>87</v>
      </c>
      <c r="X833">
        <v>48</v>
      </c>
      <c r="Y833">
        <v>996266055</v>
      </c>
      <c r="Z833" t="s">
        <v>91</v>
      </c>
      <c r="AA833" t="s">
        <v>91</v>
      </c>
      <c r="AB833" t="s">
        <v>91</v>
      </c>
      <c r="AC833" t="s">
        <v>91</v>
      </c>
      <c r="AD833" t="s">
        <v>91</v>
      </c>
      <c r="AE833" t="s">
        <v>91</v>
      </c>
      <c r="AF833" t="s">
        <v>91</v>
      </c>
      <c r="AG833" s="1" t="s">
        <v>91</v>
      </c>
      <c r="AH833" s="1" t="s">
        <v>91</v>
      </c>
      <c r="AI833" t="s">
        <v>91</v>
      </c>
      <c r="AM833" t="s">
        <v>91</v>
      </c>
      <c r="AN833" t="s">
        <v>91</v>
      </c>
      <c r="AO833" t="s">
        <v>91</v>
      </c>
      <c r="AP833" t="s">
        <v>91</v>
      </c>
      <c r="AQ833" s="1" t="s">
        <v>91</v>
      </c>
      <c r="AR833" s="1" t="s">
        <v>91</v>
      </c>
      <c r="AS833" s="1" t="s">
        <v>91</v>
      </c>
      <c r="AT833" s="1" t="s">
        <v>91</v>
      </c>
      <c r="AU833" s="1" t="s">
        <v>91</v>
      </c>
      <c r="AV833" t="s">
        <v>91</v>
      </c>
      <c r="AW833" t="s">
        <v>91</v>
      </c>
      <c r="AX833" t="s">
        <v>91</v>
      </c>
      <c r="AY833" t="s">
        <v>91</v>
      </c>
      <c r="AZ833" t="s">
        <v>91</v>
      </c>
      <c r="BA833" t="s">
        <v>91</v>
      </c>
      <c r="BB833" s="2">
        <v>45155.700069444443</v>
      </c>
      <c r="BC833" s="2"/>
      <c r="BD833" t="s">
        <v>91</v>
      </c>
      <c r="BF833" s="1" t="s">
        <v>75</v>
      </c>
      <c r="BI833" s="1" t="s">
        <v>88</v>
      </c>
      <c r="BJ833">
        <v>1</v>
      </c>
      <c r="BK833" s="1" t="s">
        <v>89</v>
      </c>
      <c r="BL833" t="s">
        <v>91</v>
      </c>
      <c r="BM833" s="1" t="s">
        <v>91</v>
      </c>
      <c r="BN833" s="1" t="s">
        <v>91</v>
      </c>
      <c r="BO833" s="1" t="s">
        <v>91</v>
      </c>
      <c r="BP833" s="1" t="s">
        <v>91</v>
      </c>
      <c r="BQ833" t="s">
        <v>91</v>
      </c>
      <c r="BR833" s="3">
        <v>45155</v>
      </c>
      <c r="BS833" s="3"/>
      <c r="BT833" t="s">
        <v>91</v>
      </c>
      <c r="BU833" t="s">
        <v>91</v>
      </c>
      <c r="BW833" s="1" t="s">
        <v>90</v>
      </c>
    </row>
    <row r="834" spans="1:75" hidden="1" x14ac:dyDescent="0.35">
      <c r="A834">
        <v>156886</v>
      </c>
      <c r="B834" s="1" t="s">
        <v>75</v>
      </c>
      <c r="C834">
        <v>80</v>
      </c>
      <c r="D834">
        <v>11121002</v>
      </c>
      <c r="E834">
        <v>121002</v>
      </c>
      <c r="F834" s="1" t="s">
        <v>2915</v>
      </c>
      <c r="G834" s="1" t="s">
        <v>4758</v>
      </c>
      <c r="H834">
        <v>0</v>
      </c>
      <c r="I834" s="1" t="s">
        <v>78</v>
      </c>
      <c r="J834" s="1" t="s">
        <v>4759</v>
      </c>
      <c r="K834" s="1" t="s">
        <v>4760</v>
      </c>
      <c r="L834" t="s">
        <v>91</v>
      </c>
      <c r="M834" t="s">
        <v>91</v>
      </c>
      <c r="N834" s="1" t="s">
        <v>4761</v>
      </c>
      <c r="O834" t="s">
        <v>91</v>
      </c>
      <c r="P834" s="1" t="s">
        <v>3254</v>
      </c>
      <c r="Q834" s="1" t="s">
        <v>4762</v>
      </c>
      <c r="R834" s="1" t="s">
        <v>91</v>
      </c>
      <c r="S834">
        <v>1259</v>
      </c>
      <c r="T834">
        <v>88160130</v>
      </c>
      <c r="U834" s="1" t="s">
        <v>108</v>
      </c>
      <c r="V834" s="1" t="s">
        <v>3293</v>
      </c>
      <c r="W834" s="1" t="s">
        <v>87</v>
      </c>
      <c r="X834">
        <v>48</v>
      </c>
      <c r="Y834">
        <v>30352753</v>
      </c>
      <c r="Z834" t="s">
        <v>91</v>
      </c>
      <c r="AA834" t="s">
        <v>91</v>
      </c>
      <c r="AB834" t="s">
        <v>91</v>
      </c>
      <c r="AC834" t="s">
        <v>91</v>
      </c>
      <c r="AD834" t="s">
        <v>91</v>
      </c>
      <c r="AE834" t="s">
        <v>91</v>
      </c>
      <c r="AF834" t="s">
        <v>91</v>
      </c>
      <c r="AG834" s="1" t="s">
        <v>91</v>
      </c>
      <c r="AH834" s="1" t="s">
        <v>91</v>
      </c>
      <c r="AI834" t="s">
        <v>91</v>
      </c>
      <c r="AM834" t="s">
        <v>91</v>
      </c>
      <c r="AN834" t="s">
        <v>91</v>
      </c>
      <c r="AO834" t="s">
        <v>91</v>
      </c>
      <c r="AP834" t="s">
        <v>91</v>
      </c>
      <c r="AQ834" s="1" t="s">
        <v>91</v>
      </c>
      <c r="AR834" s="1" t="s">
        <v>91</v>
      </c>
      <c r="AS834" s="1" t="s">
        <v>91</v>
      </c>
      <c r="AT834" s="1" t="s">
        <v>91</v>
      </c>
      <c r="AU834" s="1" t="s">
        <v>91</v>
      </c>
      <c r="AV834" t="s">
        <v>91</v>
      </c>
      <c r="AW834" t="s">
        <v>91</v>
      </c>
      <c r="AX834" t="s">
        <v>91</v>
      </c>
      <c r="AY834" t="s">
        <v>91</v>
      </c>
      <c r="AZ834" t="s">
        <v>91</v>
      </c>
      <c r="BA834" t="s">
        <v>91</v>
      </c>
      <c r="BB834" s="2">
        <v>45113.505416666667</v>
      </c>
      <c r="BC834" s="2"/>
      <c r="BD834" t="s">
        <v>91</v>
      </c>
      <c r="BF834" s="1" t="s">
        <v>75</v>
      </c>
      <c r="BI834" s="1" t="s">
        <v>88</v>
      </c>
      <c r="BJ834">
        <v>1</v>
      </c>
      <c r="BK834" s="1" t="s">
        <v>89</v>
      </c>
      <c r="BL834" t="s">
        <v>91</v>
      </c>
      <c r="BM834" s="1" t="s">
        <v>91</v>
      </c>
      <c r="BN834" s="1" t="s">
        <v>91</v>
      </c>
      <c r="BO834" s="1" t="s">
        <v>91</v>
      </c>
      <c r="BP834" s="1" t="s">
        <v>91</v>
      </c>
      <c r="BQ834" t="s">
        <v>91</v>
      </c>
      <c r="BR834" s="3">
        <v>45113</v>
      </c>
      <c r="BS834" s="3"/>
      <c r="BT834" t="s">
        <v>91</v>
      </c>
      <c r="BU834" t="s">
        <v>91</v>
      </c>
      <c r="BW834" s="1" t="s">
        <v>90</v>
      </c>
    </row>
    <row r="835" spans="1:75" hidden="1" x14ac:dyDescent="0.35">
      <c r="A835">
        <v>134311</v>
      </c>
      <c r="B835" s="1" t="s">
        <v>75</v>
      </c>
      <c r="C835">
        <v>80</v>
      </c>
      <c r="D835">
        <v>11121002</v>
      </c>
      <c r="E835">
        <v>121002</v>
      </c>
      <c r="F835" s="1" t="s">
        <v>2915</v>
      </c>
      <c r="G835" s="1" t="s">
        <v>4763</v>
      </c>
      <c r="I835" s="1" t="s">
        <v>78</v>
      </c>
      <c r="J835" s="1" t="s">
        <v>4764</v>
      </c>
      <c r="K835" s="1" t="s">
        <v>4765</v>
      </c>
      <c r="L835" t="s">
        <v>91</v>
      </c>
      <c r="M835" t="s">
        <v>91</v>
      </c>
      <c r="N835" s="1" t="s">
        <v>4766</v>
      </c>
      <c r="O835" t="s">
        <v>91</v>
      </c>
      <c r="P835" s="1" t="s">
        <v>3007</v>
      </c>
      <c r="Q835" s="1" t="s">
        <v>4767</v>
      </c>
      <c r="R835" s="1" t="s">
        <v>236</v>
      </c>
      <c r="S835">
        <v>1259</v>
      </c>
      <c r="T835">
        <v>88106500</v>
      </c>
      <c r="U835" s="1" t="s">
        <v>4055</v>
      </c>
      <c r="V835" s="1" t="s">
        <v>3016</v>
      </c>
      <c r="W835" s="1" t="s">
        <v>87</v>
      </c>
      <c r="X835">
        <v>48</v>
      </c>
      <c r="Y835">
        <v>311121222</v>
      </c>
      <c r="Z835" t="s">
        <v>91</v>
      </c>
      <c r="AA835" t="s">
        <v>91</v>
      </c>
      <c r="AB835" t="s">
        <v>91</v>
      </c>
      <c r="AC835" t="s">
        <v>91</v>
      </c>
      <c r="AD835" t="s">
        <v>91</v>
      </c>
      <c r="AE835" t="s">
        <v>91</v>
      </c>
      <c r="AF835" t="s">
        <v>91</v>
      </c>
      <c r="AG835" s="1" t="s">
        <v>146</v>
      </c>
      <c r="AH835" s="1" t="s">
        <v>91</v>
      </c>
      <c r="AI835" t="s">
        <v>91</v>
      </c>
      <c r="AJ835">
        <v>0</v>
      </c>
      <c r="AK835">
        <v>0</v>
      </c>
      <c r="AL835">
        <v>0</v>
      </c>
      <c r="AM835" t="s">
        <v>91</v>
      </c>
      <c r="AN835" t="s">
        <v>91</v>
      </c>
      <c r="AO835" t="s">
        <v>91</v>
      </c>
      <c r="AP835" t="s">
        <v>91</v>
      </c>
      <c r="AQ835" s="1" t="s">
        <v>147</v>
      </c>
      <c r="AR835" s="1" t="s">
        <v>147</v>
      </c>
      <c r="AS835" s="1" t="s">
        <v>147</v>
      </c>
      <c r="AT835" s="1" t="s">
        <v>147</v>
      </c>
      <c r="AU835" s="1" t="s">
        <v>147</v>
      </c>
      <c r="AV835" t="s">
        <v>91</v>
      </c>
      <c r="AW835" t="s">
        <v>91</v>
      </c>
      <c r="AX835" t="s">
        <v>91</v>
      </c>
      <c r="AY835" t="s">
        <v>91</v>
      </c>
      <c r="AZ835" t="s">
        <v>91</v>
      </c>
      <c r="BA835" t="s">
        <v>91</v>
      </c>
      <c r="BB835" s="2"/>
      <c r="BC835" s="2">
        <v>44663.612870370373</v>
      </c>
      <c r="BD835" t="s">
        <v>91</v>
      </c>
      <c r="BF835" s="1" t="s">
        <v>75</v>
      </c>
      <c r="BG835">
        <v>0</v>
      </c>
      <c r="BH835">
        <v>0</v>
      </c>
      <c r="BI835" s="1" t="s">
        <v>88</v>
      </c>
      <c r="BJ835">
        <v>1</v>
      </c>
      <c r="BK835" s="1" t="s">
        <v>89</v>
      </c>
      <c r="BL835" t="s">
        <v>91</v>
      </c>
      <c r="BM835" s="1" t="s">
        <v>109</v>
      </c>
      <c r="BN835" s="1" t="s">
        <v>110</v>
      </c>
      <c r="BO835" s="1" t="s">
        <v>180</v>
      </c>
      <c r="BP835" s="1" t="s">
        <v>91</v>
      </c>
      <c r="BQ835" t="s">
        <v>91</v>
      </c>
      <c r="BR835" s="3"/>
      <c r="BS835" s="3">
        <v>44663</v>
      </c>
      <c r="BT835" t="s">
        <v>91</v>
      </c>
      <c r="BU835" t="s">
        <v>91</v>
      </c>
      <c r="BV835">
        <v>9</v>
      </c>
      <c r="BW835" s="1" t="s">
        <v>263</v>
      </c>
    </row>
    <row r="836" spans="1:75" hidden="1" x14ac:dyDescent="0.35">
      <c r="A836">
        <v>134500</v>
      </c>
      <c r="B836" s="1" t="s">
        <v>75</v>
      </c>
      <c r="C836">
        <v>80</v>
      </c>
      <c r="D836">
        <v>11121002</v>
      </c>
      <c r="E836">
        <v>121002</v>
      </c>
      <c r="F836" s="1" t="s">
        <v>2915</v>
      </c>
      <c r="G836" s="1" t="s">
        <v>4768</v>
      </c>
      <c r="I836" s="1" t="s">
        <v>78</v>
      </c>
      <c r="J836" s="1" t="s">
        <v>4769</v>
      </c>
      <c r="K836" s="1" t="s">
        <v>4770</v>
      </c>
      <c r="L836" t="s">
        <v>91</v>
      </c>
      <c r="M836" t="s">
        <v>91</v>
      </c>
      <c r="N836" s="1" t="s">
        <v>4771</v>
      </c>
      <c r="O836" t="s">
        <v>91</v>
      </c>
      <c r="P836" s="1" t="s">
        <v>4772</v>
      </c>
      <c r="Q836" s="1" t="s">
        <v>3064</v>
      </c>
      <c r="R836" s="1" t="s">
        <v>3390</v>
      </c>
      <c r="S836">
        <v>1254</v>
      </c>
      <c r="T836">
        <v>88010001</v>
      </c>
      <c r="U836" s="1" t="s">
        <v>108</v>
      </c>
      <c r="V836" s="1" t="s">
        <v>3102</v>
      </c>
      <c r="W836" s="1" t="s">
        <v>87</v>
      </c>
      <c r="X836">
        <v>48</v>
      </c>
      <c r="Y836">
        <v>30243847</v>
      </c>
      <c r="Z836" t="s">
        <v>91</v>
      </c>
      <c r="AA836" t="s">
        <v>91</v>
      </c>
      <c r="AB836" t="s">
        <v>91</v>
      </c>
      <c r="AC836" t="s">
        <v>91</v>
      </c>
      <c r="AD836" t="s">
        <v>91</v>
      </c>
      <c r="AE836" t="s">
        <v>91</v>
      </c>
      <c r="AF836" t="s">
        <v>91</v>
      </c>
      <c r="AG836" s="1" t="s">
        <v>146</v>
      </c>
      <c r="AH836" s="1" t="s">
        <v>91</v>
      </c>
      <c r="AI836" t="s">
        <v>91</v>
      </c>
      <c r="AM836" t="s">
        <v>91</v>
      </c>
      <c r="AN836" t="s">
        <v>91</v>
      </c>
      <c r="AO836" t="s">
        <v>91</v>
      </c>
      <c r="AP836" t="s">
        <v>91</v>
      </c>
      <c r="AQ836" s="1" t="s">
        <v>147</v>
      </c>
      <c r="AR836" s="1" t="s">
        <v>147</v>
      </c>
      <c r="AS836" s="1" t="s">
        <v>147</v>
      </c>
      <c r="AT836" s="1" t="s">
        <v>147</v>
      </c>
      <c r="AU836" s="1" t="s">
        <v>147</v>
      </c>
      <c r="AV836" t="s">
        <v>91</v>
      </c>
      <c r="AW836" t="s">
        <v>91</v>
      </c>
      <c r="AX836" t="s">
        <v>91</v>
      </c>
      <c r="AY836" t="s">
        <v>91</v>
      </c>
      <c r="AZ836" t="s">
        <v>91</v>
      </c>
      <c r="BA836" t="s">
        <v>91</v>
      </c>
      <c r="BB836" s="2"/>
      <c r="BC836" s="2">
        <v>44335.727812500001</v>
      </c>
      <c r="BD836" t="s">
        <v>91</v>
      </c>
      <c r="BF836" s="1" t="s">
        <v>75</v>
      </c>
      <c r="BH836">
        <v>0</v>
      </c>
      <c r="BI836" s="1" t="s">
        <v>88</v>
      </c>
      <c r="BJ836">
        <v>1</v>
      </c>
      <c r="BK836" s="1" t="s">
        <v>89</v>
      </c>
      <c r="BL836" t="s">
        <v>91</v>
      </c>
      <c r="BM836" s="1" t="s">
        <v>109</v>
      </c>
      <c r="BN836" s="1" t="s">
        <v>110</v>
      </c>
      <c r="BO836" s="1" t="s">
        <v>180</v>
      </c>
      <c r="BP836" s="1" t="s">
        <v>91</v>
      </c>
      <c r="BQ836" t="s">
        <v>91</v>
      </c>
      <c r="BR836" s="3"/>
      <c r="BS836" s="3">
        <v>44335</v>
      </c>
      <c r="BT836" t="s">
        <v>91</v>
      </c>
      <c r="BU836" t="s">
        <v>91</v>
      </c>
      <c r="BV836">
        <v>4</v>
      </c>
      <c r="BW836" s="1" t="s">
        <v>1667</v>
      </c>
    </row>
    <row r="837" spans="1:75" hidden="1" x14ac:dyDescent="0.35">
      <c r="A837">
        <v>134499</v>
      </c>
      <c r="B837" s="1" t="s">
        <v>75</v>
      </c>
      <c r="C837">
        <v>80</v>
      </c>
      <c r="D837">
        <v>11121002</v>
      </c>
      <c r="E837">
        <v>121002</v>
      </c>
      <c r="F837" s="1" t="s">
        <v>2915</v>
      </c>
      <c r="G837" s="1" t="s">
        <v>4773</v>
      </c>
      <c r="I837" s="1" t="s">
        <v>78</v>
      </c>
      <c r="J837" s="1" t="s">
        <v>4774</v>
      </c>
      <c r="K837" s="1" t="s">
        <v>4775</v>
      </c>
      <c r="L837" t="s">
        <v>91</v>
      </c>
      <c r="M837" t="s">
        <v>91</v>
      </c>
      <c r="N837" s="1" t="s">
        <v>4771</v>
      </c>
      <c r="O837" t="s">
        <v>91</v>
      </c>
      <c r="P837" s="1" t="s">
        <v>311</v>
      </c>
      <c r="Q837" s="1" t="s">
        <v>3498</v>
      </c>
      <c r="R837" s="1" t="s">
        <v>91</v>
      </c>
      <c r="S837">
        <v>1254</v>
      </c>
      <c r="T837">
        <v>88010000</v>
      </c>
      <c r="U837" s="1" t="s">
        <v>108</v>
      </c>
      <c r="V837" s="1" t="s">
        <v>2922</v>
      </c>
      <c r="W837" s="1" t="s">
        <v>87</v>
      </c>
      <c r="X837">
        <v>48</v>
      </c>
      <c r="Y837">
        <v>30243847</v>
      </c>
      <c r="Z837" t="s">
        <v>91</v>
      </c>
      <c r="AA837" t="s">
        <v>91</v>
      </c>
      <c r="AB837" t="s">
        <v>91</v>
      </c>
      <c r="AC837" t="s">
        <v>91</v>
      </c>
      <c r="AD837" t="s">
        <v>91</v>
      </c>
      <c r="AE837" t="s">
        <v>91</v>
      </c>
      <c r="AF837" t="s">
        <v>91</v>
      </c>
      <c r="AG837" s="1" t="s">
        <v>91</v>
      </c>
      <c r="AH837" s="1" t="s">
        <v>91</v>
      </c>
      <c r="AI837" t="s">
        <v>91</v>
      </c>
      <c r="AM837" t="s">
        <v>91</v>
      </c>
      <c r="AN837" t="s">
        <v>91</v>
      </c>
      <c r="AO837" t="s">
        <v>91</v>
      </c>
      <c r="AP837" t="s">
        <v>91</v>
      </c>
      <c r="AQ837" s="1" t="s">
        <v>91</v>
      </c>
      <c r="AR837" s="1" t="s">
        <v>91</v>
      </c>
      <c r="AS837" s="1" t="s">
        <v>91</v>
      </c>
      <c r="AT837" s="1" t="s">
        <v>91</v>
      </c>
      <c r="AU837" s="1" t="s">
        <v>91</v>
      </c>
      <c r="AV837" t="s">
        <v>91</v>
      </c>
      <c r="AW837" t="s">
        <v>91</v>
      </c>
      <c r="AX837" t="s">
        <v>91</v>
      </c>
      <c r="AY837" t="s">
        <v>91</v>
      </c>
      <c r="AZ837" t="s">
        <v>91</v>
      </c>
      <c r="BA837" t="s">
        <v>91</v>
      </c>
      <c r="BB837" s="2"/>
      <c r="BC837" s="2"/>
      <c r="BD837" t="s">
        <v>91</v>
      </c>
      <c r="BF837" s="1" t="s">
        <v>75</v>
      </c>
      <c r="BI837" s="1" t="s">
        <v>88</v>
      </c>
      <c r="BJ837">
        <v>1</v>
      </c>
      <c r="BK837" s="1" t="s">
        <v>89</v>
      </c>
      <c r="BL837" t="s">
        <v>91</v>
      </c>
      <c r="BM837" s="1" t="s">
        <v>109</v>
      </c>
      <c r="BN837" s="1" t="s">
        <v>110</v>
      </c>
      <c r="BO837" s="1" t="s">
        <v>111</v>
      </c>
      <c r="BP837" s="1" t="s">
        <v>91</v>
      </c>
      <c r="BQ837" t="s">
        <v>91</v>
      </c>
      <c r="BR837" s="3"/>
      <c r="BS837" s="3"/>
      <c r="BT837" t="s">
        <v>91</v>
      </c>
      <c r="BU837" t="s">
        <v>91</v>
      </c>
      <c r="BV837">
        <v>4</v>
      </c>
      <c r="BW837" s="1" t="s">
        <v>90</v>
      </c>
    </row>
    <row r="838" spans="1:75" hidden="1" x14ac:dyDescent="0.35">
      <c r="A838">
        <v>156967</v>
      </c>
      <c r="B838" s="1" t="s">
        <v>75</v>
      </c>
      <c r="C838">
        <v>80</v>
      </c>
      <c r="D838">
        <v>11121002</v>
      </c>
      <c r="E838">
        <v>121002</v>
      </c>
      <c r="F838" s="1" t="s">
        <v>2915</v>
      </c>
      <c r="G838" s="1" t="s">
        <v>4776</v>
      </c>
      <c r="H838">
        <v>0</v>
      </c>
      <c r="I838" s="1" t="s">
        <v>78</v>
      </c>
      <c r="J838" s="1" t="s">
        <v>4774</v>
      </c>
      <c r="K838" s="1" t="s">
        <v>4777</v>
      </c>
      <c r="L838" t="s">
        <v>91</v>
      </c>
      <c r="M838" t="s">
        <v>91</v>
      </c>
      <c r="N838" s="1" t="s">
        <v>91</v>
      </c>
      <c r="O838" t="s">
        <v>91</v>
      </c>
      <c r="P838" s="1" t="s">
        <v>4778</v>
      </c>
      <c r="Q838" s="1" t="s">
        <v>4779</v>
      </c>
      <c r="R838" s="1" t="s">
        <v>254</v>
      </c>
      <c r="S838">
        <v>1258</v>
      </c>
      <c r="T838">
        <v>88080000</v>
      </c>
      <c r="U838" s="1" t="s">
        <v>4780</v>
      </c>
      <c r="V838" s="1" t="s">
        <v>2922</v>
      </c>
      <c r="W838" s="1" t="s">
        <v>87</v>
      </c>
      <c r="X838">
        <v>48</v>
      </c>
      <c r="Y838">
        <v>30243847</v>
      </c>
      <c r="Z838" t="s">
        <v>91</v>
      </c>
      <c r="AA838" t="s">
        <v>91</v>
      </c>
      <c r="AB838" t="s">
        <v>91</v>
      </c>
      <c r="AC838" t="s">
        <v>91</v>
      </c>
      <c r="AD838" t="s">
        <v>91</v>
      </c>
      <c r="AE838" t="s">
        <v>91</v>
      </c>
      <c r="AF838" t="s">
        <v>91</v>
      </c>
      <c r="AG838" s="1" t="s">
        <v>91</v>
      </c>
      <c r="AH838" s="1" t="s">
        <v>91</v>
      </c>
      <c r="AI838" t="s">
        <v>91</v>
      </c>
      <c r="AM838" t="s">
        <v>91</v>
      </c>
      <c r="AN838" t="s">
        <v>91</v>
      </c>
      <c r="AO838" t="s">
        <v>91</v>
      </c>
      <c r="AP838" t="s">
        <v>91</v>
      </c>
      <c r="AQ838" s="1" t="s">
        <v>91</v>
      </c>
      <c r="AR838" s="1" t="s">
        <v>91</v>
      </c>
      <c r="AS838" s="1" t="s">
        <v>91</v>
      </c>
      <c r="AT838" s="1" t="s">
        <v>91</v>
      </c>
      <c r="AU838" s="1" t="s">
        <v>91</v>
      </c>
      <c r="AV838" t="s">
        <v>91</v>
      </c>
      <c r="AW838" t="s">
        <v>91</v>
      </c>
      <c r="AX838" t="s">
        <v>91</v>
      </c>
      <c r="AY838" t="s">
        <v>91</v>
      </c>
      <c r="AZ838" t="s">
        <v>91</v>
      </c>
      <c r="BA838" t="s">
        <v>91</v>
      </c>
      <c r="BB838" s="2">
        <v>45113.505416666667</v>
      </c>
      <c r="BC838" s="2"/>
      <c r="BD838" t="s">
        <v>91</v>
      </c>
      <c r="BF838" s="1" t="s">
        <v>75</v>
      </c>
      <c r="BI838" s="1" t="s">
        <v>88</v>
      </c>
      <c r="BJ838">
        <v>1</v>
      </c>
      <c r="BK838" s="1" t="s">
        <v>89</v>
      </c>
      <c r="BL838" t="s">
        <v>91</v>
      </c>
      <c r="BM838" s="1" t="s">
        <v>91</v>
      </c>
      <c r="BN838" s="1" t="s">
        <v>91</v>
      </c>
      <c r="BO838" s="1" t="s">
        <v>91</v>
      </c>
      <c r="BP838" s="1" t="s">
        <v>91</v>
      </c>
      <c r="BQ838" t="s">
        <v>91</v>
      </c>
      <c r="BR838" s="3">
        <v>45113</v>
      </c>
      <c r="BS838" s="3"/>
      <c r="BT838" t="s">
        <v>91</v>
      </c>
      <c r="BU838" t="s">
        <v>91</v>
      </c>
      <c r="BW838" s="1" t="s">
        <v>90</v>
      </c>
    </row>
    <row r="839" spans="1:75" hidden="1" x14ac:dyDescent="0.35">
      <c r="A839">
        <v>144829</v>
      </c>
      <c r="B839" s="1" t="s">
        <v>75</v>
      </c>
      <c r="C839">
        <v>80</v>
      </c>
      <c r="D839">
        <v>11121002</v>
      </c>
      <c r="E839">
        <v>121002</v>
      </c>
      <c r="F839" s="1" t="s">
        <v>2915</v>
      </c>
      <c r="G839" s="1" t="s">
        <v>4781</v>
      </c>
      <c r="I839" s="1" t="s">
        <v>78</v>
      </c>
      <c r="J839" s="1" t="s">
        <v>4782</v>
      </c>
      <c r="K839" s="1" t="s">
        <v>4783</v>
      </c>
      <c r="L839" t="s">
        <v>91</v>
      </c>
      <c r="M839" t="s">
        <v>91</v>
      </c>
      <c r="N839" s="1" t="s">
        <v>4784</v>
      </c>
      <c r="O839" t="s">
        <v>91</v>
      </c>
      <c r="P839" s="1" t="s">
        <v>1794</v>
      </c>
      <c r="Q839" s="1" t="s">
        <v>228</v>
      </c>
      <c r="R839" s="1" t="s">
        <v>236</v>
      </c>
      <c r="S839">
        <v>1269</v>
      </c>
      <c r="T839">
        <v>88801530</v>
      </c>
      <c r="U839" s="1" t="s">
        <v>108</v>
      </c>
      <c r="V839" s="1" t="s">
        <v>3231</v>
      </c>
      <c r="W839" s="1" t="s">
        <v>87</v>
      </c>
      <c r="X839">
        <v>48</v>
      </c>
      <c r="Y839">
        <v>30562249</v>
      </c>
      <c r="Z839" t="s">
        <v>91</v>
      </c>
      <c r="AA839" t="s">
        <v>91</v>
      </c>
      <c r="AB839" t="s">
        <v>91</v>
      </c>
      <c r="AC839" t="s">
        <v>91</v>
      </c>
      <c r="AD839" t="s">
        <v>91</v>
      </c>
      <c r="AE839" t="s">
        <v>91</v>
      </c>
      <c r="AF839" t="s">
        <v>91</v>
      </c>
      <c r="AG839" s="1" t="s">
        <v>91</v>
      </c>
      <c r="AH839" s="1" t="s">
        <v>91</v>
      </c>
      <c r="AI839" t="s">
        <v>91</v>
      </c>
      <c r="AJ839">
        <v>0</v>
      </c>
      <c r="AK839">
        <v>0</v>
      </c>
      <c r="AL839">
        <v>0</v>
      </c>
      <c r="AM839" t="s">
        <v>91</v>
      </c>
      <c r="AN839" t="s">
        <v>91</v>
      </c>
      <c r="AO839" t="s">
        <v>91</v>
      </c>
      <c r="AP839" t="s">
        <v>91</v>
      </c>
      <c r="AQ839" s="1" t="s">
        <v>91</v>
      </c>
      <c r="AR839" s="1" t="s">
        <v>91</v>
      </c>
      <c r="AS839" s="1" t="s">
        <v>91</v>
      </c>
      <c r="AT839" s="1" t="s">
        <v>91</v>
      </c>
      <c r="AU839" s="1" t="s">
        <v>91</v>
      </c>
      <c r="AV839" t="s">
        <v>91</v>
      </c>
      <c r="AW839" t="s">
        <v>91</v>
      </c>
      <c r="AX839" t="s">
        <v>91</v>
      </c>
      <c r="AY839" t="s">
        <v>91</v>
      </c>
      <c r="AZ839" t="s">
        <v>91</v>
      </c>
      <c r="BA839" t="s">
        <v>91</v>
      </c>
      <c r="BB839" s="2"/>
      <c r="BC839" s="2"/>
      <c r="BD839" t="s">
        <v>91</v>
      </c>
      <c r="BF839" s="1" t="s">
        <v>75</v>
      </c>
      <c r="BG839">
        <v>0</v>
      </c>
      <c r="BH839">
        <v>0</v>
      </c>
      <c r="BI839" s="1" t="s">
        <v>88</v>
      </c>
      <c r="BJ839">
        <v>1</v>
      </c>
      <c r="BK839" s="1" t="s">
        <v>89</v>
      </c>
      <c r="BL839" t="s">
        <v>91</v>
      </c>
      <c r="BM839" s="1" t="s">
        <v>109</v>
      </c>
      <c r="BN839" s="1" t="s">
        <v>110</v>
      </c>
      <c r="BO839" s="1" t="s">
        <v>180</v>
      </c>
      <c r="BP839" s="1" t="s">
        <v>91</v>
      </c>
      <c r="BQ839" t="s">
        <v>91</v>
      </c>
      <c r="BR839" s="3"/>
      <c r="BS839" s="3"/>
      <c r="BT839" t="s">
        <v>91</v>
      </c>
      <c r="BU839" t="s">
        <v>91</v>
      </c>
      <c r="BW839" s="1" t="s">
        <v>90</v>
      </c>
    </row>
    <row r="840" spans="1:75" hidden="1" x14ac:dyDescent="0.35">
      <c r="A840">
        <v>157721</v>
      </c>
      <c r="B840" s="1" t="s">
        <v>75</v>
      </c>
      <c r="C840">
        <v>80</v>
      </c>
      <c r="D840">
        <v>11121002</v>
      </c>
      <c r="E840">
        <v>121002</v>
      </c>
      <c r="F840" s="1" t="s">
        <v>2915</v>
      </c>
      <c r="G840" s="1" t="s">
        <v>4785</v>
      </c>
      <c r="H840">
        <v>0</v>
      </c>
      <c r="I840" s="1" t="s">
        <v>78</v>
      </c>
      <c r="J840" s="1" t="s">
        <v>4786</v>
      </c>
      <c r="K840" s="1" t="s">
        <v>4787</v>
      </c>
      <c r="L840" t="s">
        <v>91</v>
      </c>
      <c r="M840" t="s">
        <v>91</v>
      </c>
      <c r="N840" s="1" t="s">
        <v>4788</v>
      </c>
      <c r="O840" t="s">
        <v>91</v>
      </c>
      <c r="P840" s="1" t="s">
        <v>4789</v>
      </c>
      <c r="Q840" s="1" t="s">
        <v>4790</v>
      </c>
      <c r="R840" s="1" t="s">
        <v>4791</v>
      </c>
      <c r="S840">
        <v>1258</v>
      </c>
      <c r="T840">
        <v>88085001</v>
      </c>
      <c r="U840" s="1" t="s">
        <v>4792</v>
      </c>
      <c r="V840" s="1" t="s">
        <v>2922</v>
      </c>
      <c r="W840" s="1" t="s">
        <v>87</v>
      </c>
      <c r="X840">
        <v>48</v>
      </c>
      <c r="Y840">
        <v>32483683</v>
      </c>
      <c r="Z840" t="s">
        <v>91</v>
      </c>
      <c r="AA840" t="s">
        <v>91</v>
      </c>
      <c r="AB840" t="s">
        <v>91</v>
      </c>
      <c r="AC840" t="s">
        <v>91</v>
      </c>
      <c r="AD840" t="s">
        <v>91</v>
      </c>
      <c r="AE840" t="s">
        <v>91</v>
      </c>
      <c r="AF840" t="s">
        <v>91</v>
      </c>
      <c r="AG840" s="1" t="s">
        <v>91</v>
      </c>
      <c r="AH840" s="1" t="s">
        <v>91</v>
      </c>
      <c r="AI840" t="s">
        <v>91</v>
      </c>
      <c r="AM840" t="s">
        <v>91</v>
      </c>
      <c r="AN840" t="s">
        <v>91</v>
      </c>
      <c r="AO840" t="s">
        <v>91</v>
      </c>
      <c r="AP840" t="s">
        <v>91</v>
      </c>
      <c r="AQ840" s="1" t="s">
        <v>91</v>
      </c>
      <c r="AR840" s="1" t="s">
        <v>91</v>
      </c>
      <c r="AS840" s="1" t="s">
        <v>91</v>
      </c>
      <c r="AT840" s="1" t="s">
        <v>91</v>
      </c>
      <c r="AU840" s="1" t="s">
        <v>91</v>
      </c>
      <c r="AV840" t="s">
        <v>91</v>
      </c>
      <c r="AW840" t="s">
        <v>91</v>
      </c>
      <c r="AX840" t="s">
        <v>91</v>
      </c>
      <c r="AY840" t="s">
        <v>91</v>
      </c>
      <c r="AZ840" t="s">
        <v>91</v>
      </c>
      <c r="BA840" t="s">
        <v>91</v>
      </c>
      <c r="BB840" s="2">
        <v>45118.097175925926</v>
      </c>
      <c r="BC840" s="2"/>
      <c r="BD840" t="s">
        <v>91</v>
      </c>
      <c r="BF840" s="1" t="s">
        <v>75</v>
      </c>
      <c r="BI840" s="1" t="s">
        <v>88</v>
      </c>
      <c r="BJ840">
        <v>1</v>
      </c>
      <c r="BK840" s="1" t="s">
        <v>89</v>
      </c>
      <c r="BL840" t="s">
        <v>91</v>
      </c>
      <c r="BM840" s="1" t="s">
        <v>91</v>
      </c>
      <c r="BN840" s="1" t="s">
        <v>91</v>
      </c>
      <c r="BO840" s="1" t="s">
        <v>91</v>
      </c>
      <c r="BP840" s="1" t="s">
        <v>91</v>
      </c>
      <c r="BQ840" t="s">
        <v>91</v>
      </c>
      <c r="BR840" s="3">
        <v>45118</v>
      </c>
      <c r="BS840" s="3"/>
      <c r="BT840" t="s">
        <v>91</v>
      </c>
      <c r="BU840" t="s">
        <v>91</v>
      </c>
      <c r="BW840" s="1" t="s">
        <v>90</v>
      </c>
    </row>
    <row r="841" spans="1:75" hidden="1" x14ac:dyDescent="0.35">
      <c r="A841">
        <v>144518</v>
      </c>
      <c r="B841" s="1" t="s">
        <v>75</v>
      </c>
      <c r="C841">
        <v>80</v>
      </c>
      <c r="D841">
        <v>11121002</v>
      </c>
      <c r="E841">
        <v>121002</v>
      </c>
      <c r="F841" s="1" t="s">
        <v>2915</v>
      </c>
      <c r="G841" s="1" t="s">
        <v>4793</v>
      </c>
      <c r="I841" s="1" t="s">
        <v>78</v>
      </c>
      <c r="J841" s="1" t="s">
        <v>4794</v>
      </c>
      <c r="K841" s="1" t="s">
        <v>4795</v>
      </c>
      <c r="L841" t="s">
        <v>91</v>
      </c>
      <c r="M841" t="s">
        <v>91</v>
      </c>
      <c r="N841" s="1" t="s">
        <v>4796</v>
      </c>
      <c r="O841" t="s">
        <v>91</v>
      </c>
      <c r="P841" s="1" t="s">
        <v>1856</v>
      </c>
      <c r="Q841" s="1" t="s">
        <v>4797</v>
      </c>
      <c r="R841" s="1" t="s">
        <v>370</v>
      </c>
      <c r="S841">
        <v>1270</v>
      </c>
      <c r="T841">
        <v>88900021</v>
      </c>
      <c r="U841" s="1" t="s">
        <v>108</v>
      </c>
      <c r="V841" s="1" t="s">
        <v>3266</v>
      </c>
      <c r="W841" s="1" t="s">
        <v>87</v>
      </c>
      <c r="X841">
        <v>48</v>
      </c>
      <c r="Y841">
        <v>35220198</v>
      </c>
      <c r="Z841" t="s">
        <v>91</v>
      </c>
      <c r="AA841" t="s">
        <v>91</v>
      </c>
      <c r="AB841" t="s">
        <v>91</v>
      </c>
      <c r="AC841" t="s">
        <v>91</v>
      </c>
      <c r="AD841" t="s">
        <v>91</v>
      </c>
      <c r="AE841" t="s">
        <v>91</v>
      </c>
      <c r="AF841" t="s">
        <v>91</v>
      </c>
      <c r="AG841" s="1" t="s">
        <v>91</v>
      </c>
      <c r="AH841" s="1" t="s">
        <v>91</v>
      </c>
      <c r="AI841" t="s">
        <v>91</v>
      </c>
      <c r="AJ841">
        <v>0</v>
      </c>
      <c r="AK841">
        <v>0</v>
      </c>
      <c r="AL841">
        <v>0</v>
      </c>
      <c r="AM841" t="s">
        <v>91</v>
      </c>
      <c r="AN841" t="s">
        <v>91</v>
      </c>
      <c r="AO841" t="s">
        <v>91</v>
      </c>
      <c r="AP841" t="s">
        <v>91</v>
      </c>
      <c r="AQ841" s="1" t="s">
        <v>91</v>
      </c>
      <c r="AR841" s="1" t="s">
        <v>91</v>
      </c>
      <c r="AS841" s="1" t="s">
        <v>91</v>
      </c>
      <c r="AT841" s="1" t="s">
        <v>91</v>
      </c>
      <c r="AU841" s="1" t="s">
        <v>91</v>
      </c>
      <c r="AV841" t="s">
        <v>91</v>
      </c>
      <c r="AW841" t="s">
        <v>91</v>
      </c>
      <c r="AX841" t="s">
        <v>91</v>
      </c>
      <c r="AY841" t="s">
        <v>91</v>
      </c>
      <c r="AZ841" t="s">
        <v>91</v>
      </c>
      <c r="BA841" t="s">
        <v>91</v>
      </c>
      <c r="BB841" s="2"/>
      <c r="BC841" s="2"/>
      <c r="BD841" t="s">
        <v>91</v>
      </c>
      <c r="BF841" s="1" t="s">
        <v>75</v>
      </c>
      <c r="BG841">
        <v>0</v>
      </c>
      <c r="BH841">
        <v>0</v>
      </c>
      <c r="BI841" s="1" t="s">
        <v>88</v>
      </c>
      <c r="BJ841">
        <v>1</v>
      </c>
      <c r="BK841" s="1" t="s">
        <v>89</v>
      </c>
      <c r="BL841" t="s">
        <v>91</v>
      </c>
      <c r="BM841" s="1" t="s">
        <v>109</v>
      </c>
      <c r="BN841" s="1" t="s">
        <v>110</v>
      </c>
      <c r="BO841" s="1" t="s">
        <v>128</v>
      </c>
      <c r="BP841" s="1" t="s">
        <v>91</v>
      </c>
      <c r="BQ841" t="s">
        <v>91</v>
      </c>
      <c r="BR841" s="3"/>
      <c r="BS841" s="3"/>
      <c r="BT841" t="s">
        <v>91</v>
      </c>
      <c r="BU841" t="s">
        <v>91</v>
      </c>
      <c r="BV841">
        <v>9</v>
      </c>
      <c r="BW841" s="1" t="s">
        <v>90</v>
      </c>
    </row>
    <row r="842" spans="1:75" hidden="1" x14ac:dyDescent="0.35">
      <c r="A842">
        <v>144333</v>
      </c>
      <c r="B842" s="1" t="s">
        <v>75</v>
      </c>
      <c r="C842">
        <v>80</v>
      </c>
      <c r="D842">
        <v>11121002</v>
      </c>
      <c r="E842">
        <v>121002</v>
      </c>
      <c r="F842" s="1" t="s">
        <v>2915</v>
      </c>
      <c r="G842" s="1" t="s">
        <v>4798</v>
      </c>
      <c r="I842" s="1" t="s">
        <v>78</v>
      </c>
      <c r="J842" s="1" t="s">
        <v>4799</v>
      </c>
      <c r="K842" s="1" t="s">
        <v>4800</v>
      </c>
      <c r="L842" t="s">
        <v>91</v>
      </c>
      <c r="M842" t="s">
        <v>91</v>
      </c>
      <c r="N842" s="1" t="s">
        <v>4801</v>
      </c>
      <c r="O842" t="s">
        <v>91</v>
      </c>
      <c r="P842" s="1" t="s">
        <v>4802</v>
      </c>
      <c r="Q842" s="1" t="s">
        <v>728</v>
      </c>
      <c r="R842" s="1" t="s">
        <v>91</v>
      </c>
      <c r="S842">
        <v>1268</v>
      </c>
      <c r="T842">
        <v>88760000</v>
      </c>
      <c r="U842" s="1" t="s">
        <v>108</v>
      </c>
      <c r="V842" s="1" t="s">
        <v>4803</v>
      </c>
      <c r="W842" s="1" t="s">
        <v>87</v>
      </c>
      <c r="X842">
        <v>48</v>
      </c>
      <c r="Y842">
        <v>36531912</v>
      </c>
      <c r="Z842" t="s">
        <v>91</v>
      </c>
      <c r="AA842" t="s">
        <v>91</v>
      </c>
      <c r="AB842" t="s">
        <v>91</v>
      </c>
      <c r="AC842" t="s">
        <v>91</v>
      </c>
      <c r="AD842" t="s">
        <v>91</v>
      </c>
      <c r="AE842" t="s">
        <v>91</v>
      </c>
      <c r="AF842" t="s">
        <v>91</v>
      </c>
      <c r="AG842" s="1" t="s">
        <v>91</v>
      </c>
      <c r="AH842" s="1" t="s">
        <v>91</v>
      </c>
      <c r="AI842" t="s">
        <v>91</v>
      </c>
      <c r="AJ842">
        <v>0</v>
      </c>
      <c r="AK842">
        <v>0</v>
      </c>
      <c r="AL842">
        <v>0</v>
      </c>
      <c r="AM842" t="s">
        <v>91</v>
      </c>
      <c r="AN842" t="s">
        <v>91</v>
      </c>
      <c r="AO842" t="s">
        <v>91</v>
      </c>
      <c r="AP842" t="s">
        <v>91</v>
      </c>
      <c r="AQ842" s="1" t="s">
        <v>91</v>
      </c>
      <c r="AR842" s="1" t="s">
        <v>91</v>
      </c>
      <c r="AS842" s="1" t="s">
        <v>91</v>
      </c>
      <c r="AT842" s="1" t="s">
        <v>91</v>
      </c>
      <c r="AU842" s="1" t="s">
        <v>91</v>
      </c>
      <c r="AV842" t="s">
        <v>91</v>
      </c>
      <c r="AW842" t="s">
        <v>91</v>
      </c>
      <c r="AX842" t="s">
        <v>91</v>
      </c>
      <c r="AY842" t="s">
        <v>91</v>
      </c>
      <c r="AZ842" t="s">
        <v>91</v>
      </c>
      <c r="BA842" t="s">
        <v>91</v>
      </c>
      <c r="BB842" s="2"/>
      <c r="BC842" s="2"/>
      <c r="BD842" t="s">
        <v>91</v>
      </c>
      <c r="BF842" s="1" t="s">
        <v>75</v>
      </c>
      <c r="BG842">
        <v>0</v>
      </c>
      <c r="BH842">
        <v>0</v>
      </c>
      <c r="BI842" s="1" t="s">
        <v>88</v>
      </c>
      <c r="BJ842">
        <v>1</v>
      </c>
      <c r="BK842" s="1" t="s">
        <v>89</v>
      </c>
      <c r="BL842" t="s">
        <v>91</v>
      </c>
      <c r="BM842" s="1" t="s">
        <v>109</v>
      </c>
      <c r="BN842" s="1" t="s">
        <v>110</v>
      </c>
      <c r="BO842" s="1" t="s">
        <v>1040</v>
      </c>
      <c r="BP842" s="1" t="s">
        <v>91</v>
      </c>
      <c r="BQ842" t="s">
        <v>91</v>
      </c>
      <c r="BR842" s="3"/>
      <c r="BS842" s="3"/>
      <c r="BT842" t="s">
        <v>91</v>
      </c>
      <c r="BU842" t="s">
        <v>91</v>
      </c>
      <c r="BV842">
        <v>9</v>
      </c>
      <c r="BW842" s="1" t="s">
        <v>2526</v>
      </c>
    </row>
    <row r="843" spans="1:75" hidden="1" x14ac:dyDescent="0.35">
      <c r="A843">
        <v>151642</v>
      </c>
      <c r="B843" s="1" t="s">
        <v>75</v>
      </c>
      <c r="C843">
        <v>80</v>
      </c>
      <c r="D843">
        <v>11121002</v>
      </c>
      <c r="E843">
        <v>121002</v>
      </c>
      <c r="F843" s="1" t="s">
        <v>2915</v>
      </c>
      <c r="G843" s="1" t="s">
        <v>4804</v>
      </c>
      <c r="H843">
        <v>0</v>
      </c>
      <c r="I843" s="1" t="s">
        <v>78</v>
      </c>
      <c r="J843" s="1" t="s">
        <v>4805</v>
      </c>
      <c r="K843" s="1" t="s">
        <v>4806</v>
      </c>
      <c r="L843" t="s">
        <v>91</v>
      </c>
      <c r="M843" t="s">
        <v>91</v>
      </c>
      <c r="N843" s="1" t="s">
        <v>4807</v>
      </c>
      <c r="O843" t="s">
        <v>91</v>
      </c>
      <c r="P843" s="1" t="s">
        <v>4808</v>
      </c>
      <c r="Q843" s="1" t="s">
        <v>3598</v>
      </c>
      <c r="R843" s="1" t="s">
        <v>91</v>
      </c>
      <c r="S843">
        <v>1267</v>
      </c>
      <c r="T843">
        <v>88600000</v>
      </c>
      <c r="U843" s="1" t="s">
        <v>108</v>
      </c>
      <c r="V843" s="1" t="s">
        <v>3341</v>
      </c>
      <c r="W843" s="1" t="s">
        <v>87</v>
      </c>
      <c r="X843">
        <v>49</v>
      </c>
      <c r="Y843">
        <v>32331701</v>
      </c>
      <c r="Z843" t="s">
        <v>91</v>
      </c>
      <c r="AA843" t="s">
        <v>91</v>
      </c>
      <c r="AB843" t="s">
        <v>91</v>
      </c>
      <c r="AC843" t="s">
        <v>91</v>
      </c>
      <c r="AD843" t="s">
        <v>91</v>
      </c>
      <c r="AE843" t="s">
        <v>91</v>
      </c>
      <c r="AF843" t="s">
        <v>91</v>
      </c>
      <c r="AG843" s="1" t="s">
        <v>91</v>
      </c>
      <c r="AH843" s="1" t="s">
        <v>91</v>
      </c>
      <c r="AI843" t="s">
        <v>91</v>
      </c>
      <c r="AM843" t="s">
        <v>91</v>
      </c>
      <c r="AN843" t="s">
        <v>91</v>
      </c>
      <c r="AO843" t="s">
        <v>91</v>
      </c>
      <c r="AP843" t="s">
        <v>91</v>
      </c>
      <c r="AQ843" s="1" t="s">
        <v>91</v>
      </c>
      <c r="AR843" s="1" t="s">
        <v>91</v>
      </c>
      <c r="AS843" s="1" t="s">
        <v>91</v>
      </c>
      <c r="AT843" s="1" t="s">
        <v>91</v>
      </c>
      <c r="AU843" s="1" t="s">
        <v>91</v>
      </c>
      <c r="AV843" t="s">
        <v>91</v>
      </c>
      <c r="AW843" t="s">
        <v>91</v>
      </c>
      <c r="AX843" t="s">
        <v>91</v>
      </c>
      <c r="AY843" t="s">
        <v>91</v>
      </c>
      <c r="AZ843" t="s">
        <v>91</v>
      </c>
      <c r="BA843" t="s">
        <v>91</v>
      </c>
      <c r="BB843" s="2">
        <v>44883.598773148151</v>
      </c>
      <c r="BC843" s="2"/>
      <c r="BD843" t="s">
        <v>91</v>
      </c>
      <c r="BF843" s="1" t="s">
        <v>75</v>
      </c>
      <c r="BI843" s="1" t="s">
        <v>88</v>
      </c>
      <c r="BJ843">
        <v>1</v>
      </c>
      <c r="BK843" s="1" t="s">
        <v>89</v>
      </c>
      <c r="BL843" t="s">
        <v>91</v>
      </c>
      <c r="BM843" s="1" t="s">
        <v>109</v>
      </c>
      <c r="BN843" s="1" t="s">
        <v>91</v>
      </c>
      <c r="BO843" s="1" t="s">
        <v>91</v>
      </c>
      <c r="BP843" s="1" t="s">
        <v>91</v>
      </c>
      <c r="BQ843" t="s">
        <v>91</v>
      </c>
      <c r="BR843" s="3">
        <v>44883</v>
      </c>
      <c r="BS843" s="3"/>
      <c r="BT843" t="s">
        <v>91</v>
      </c>
      <c r="BU843" t="s">
        <v>91</v>
      </c>
      <c r="BW843" s="1" t="s">
        <v>1095</v>
      </c>
    </row>
    <row r="844" spans="1:75" hidden="1" x14ac:dyDescent="0.35">
      <c r="A844">
        <v>134243</v>
      </c>
      <c r="B844" s="1" t="s">
        <v>75</v>
      </c>
      <c r="C844">
        <v>80</v>
      </c>
      <c r="D844">
        <v>11121002</v>
      </c>
      <c r="E844">
        <v>121002</v>
      </c>
      <c r="F844" s="1" t="s">
        <v>2915</v>
      </c>
      <c r="G844" s="1" t="s">
        <v>4809</v>
      </c>
      <c r="I844" s="1" t="s">
        <v>78</v>
      </c>
      <c r="J844" s="1" t="s">
        <v>4810</v>
      </c>
      <c r="K844" s="1" t="s">
        <v>4811</v>
      </c>
      <c r="L844" t="s">
        <v>91</v>
      </c>
      <c r="M844" t="s">
        <v>91</v>
      </c>
      <c r="N844" s="1" t="s">
        <v>4812</v>
      </c>
      <c r="O844" t="s">
        <v>91</v>
      </c>
      <c r="P844" s="1" t="s">
        <v>4813</v>
      </c>
      <c r="Q844" s="1" t="s">
        <v>862</v>
      </c>
      <c r="R844" s="1" t="s">
        <v>98</v>
      </c>
      <c r="S844">
        <v>1259</v>
      </c>
      <c r="T844">
        <v>88102100</v>
      </c>
      <c r="U844" s="1" t="s">
        <v>3015</v>
      </c>
      <c r="V844" s="1" t="s">
        <v>3016</v>
      </c>
      <c r="W844" s="1" t="s">
        <v>87</v>
      </c>
      <c r="X844">
        <v>48</v>
      </c>
      <c r="Y844">
        <v>30474767</v>
      </c>
      <c r="Z844" t="s">
        <v>91</v>
      </c>
      <c r="AA844" t="s">
        <v>91</v>
      </c>
      <c r="AB844" t="s">
        <v>91</v>
      </c>
      <c r="AC844" t="s">
        <v>91</v>
      </c>
      <c r="AD844" t="s">
        <v>91</v>
      </c>
      <c r="AE844" t="s">
        <v>91</v>
      </c>
      <c r="AF844" t="s">
        <v>91</v>
      </c>
      <c r="AG844" s="1" t="s">
        <v>146</v>
      </c>
      <c r="AH844" s="1" t="s">
        <v>91</v>
      </c>
      <c r="AI844" t="s">
        <v>91</v>
      </c>
      <c r="AJ844">
        <v>0</v>
      </c>
      <c r="AK844">
        <v>0</v>
      </c>
      <c r="AL844">
        <v>0</v>
      </c>
      <c r="AM844" t="s">
        <v>91</v>
      </c>
      <c r="AN844" t="s">
        <v>91</v>
      </c>
      <c r="AO844" t="s">
        <v>91</v>
      </c>
      <c r="AP844" t="s">
        <v>91</v>
      </c>
      <c r="AQ844" s="1" t="s">
        <v>147</v>
      </c>
      <c r="AR844" s="1" t="s">
        <v>147</v>
      </c>
      <c r="AS844" s="1" t="s">
        <v>147</v>
      </c>
      <c r="AT844" s="1" t="s">
        <v>147</v>
      </c>
      <c r="AU844" s="1" t="s">
        <v>147</v>
      </c>
      <c r="AV844" t="s">
        <v>91</v>
      </c>
      <c r="AW844" t="s">
        <v>91</v>
      </c>
      <c r="AX844" t="s">
        <v>91</v>
      </c>
      <c r="AY844" t="s">
        <v>91</v>
      </c>
      <c r="AZ844" t="s">
        <v>91</v>
      </c>
      <c r="BA844" t="s">
        <v>91</v>
      </c>
      <c r="BB844" s="2"/>
      <c r="BC844" s="2">
        <v>44634.41542824074</v>
      </c>
      <c r="BD844" t="s">
        <v>91</v>
      </c>
      <c r="BF844" s="1" t="s">
        <v>75</v>
      </c>
      <c r="BG844">
        <v>0</v>
      </c>
      <c r="BH844">
        <v>0</v>
      </c>
      <c r="BI844" s="1" t="s">
        <v>88</v>
      </c>
      <c r="BJ844">
        <v>1</v>
      </c>
      <c r="BK844" s="1" t="s">
        <v>89</v>
      </c>
      <c r="BL844" t="s">
        <v>91</v>
      </c>
      <c r="BM844" s="1" t="s">
        <v>109</v>
      </c>
      <c r="BN844" s="1" t="s">
        <v>110</v>
      </c>
      <c r="BO844" s="1" t="s">
        <v>128</v>
      </c>
      <c r="BP844" s="1" t="s">
        <v>91</v>
      </c>
      <c r="BQ844" t="s">
        <v>91</v>
      </c>
      <c r="BR844" s="3"/>
      <c r="BS844" s="3">
        <v>44634</v>
      </c>
      <c r="BT844" t="s">
        <v>91</v>
      </c>
      <c r="BU844" t="s">
        <v>91</v>
      </c>
      <c r="BV844">
        <v>2</v>
      </c>
      <c r="BW844" s="1" t="s">
        <v>4814</v>
      </c>
    </row>
    <row r="845" spans="1:75" hidden="1" x14ac:dyDescent="0.35">
      <c r="A845">
        <v>134232</v>
      </c>
      <c r="B845" s="1" t="s">
        <v>75</v>
      </c>
      <c r="C845">
        <v>80</v>
      </c>
      <c r="D845">
        <v>11121002</v>
      </c>
      <c r="E845">
        <v>121002</v>
      </c>
      <c r="F845" s="1" t="s">
        <v>2915</v>
      </c>
      <c r="G845" s="1" t="s">
        <v>4815</v>
      </c>
      <c r="I845" s="1" t="s">
        <v>78</v>
      </c>
      <c r="J845" s="1" t="s">
        <v>4816</v>
      </c>
      <c r="K845" s="1" t="s">
        <v>4817</v>
      </c>
      <c r="L845" t="s">
        <v>91</v>
      </c>
      <c r="M845" t="s">
        <v>91</v>
      </c>
      <c r="N845" s="1" t="s">
        <v>4818</v>
      </c>
      <c r="O845" t="s">
        <v>91</v>
      </c>
      <c r="P845" s="1" t="s">
        <v>4098</v>
      </c>
      <c r="Q845" s="1" t="s">
        <v>4819</v>
      </c>
      <c r="R845" s="1" t="s">
        <v>434</v>
      </c>
      <c r="S845">
        <v>1257</v>
      </c>
      <c r="T845">
        <v>88063000</v>
      </c>
      <c r="U845" s="1" t="s">
        <v>2964</v>
      </c>
      <c r="V845" s="1" t="s">
        <v>3102</v>
      </c>
      <c r="W845" s="1" t="s">
        <v>87</v>
      </c>
      <c r="X845">
        <v>48</v>
      </c>
      <c r="Y845">
        <v>33382101</v>
      </c>
      <c r="Z845" t="s">
        <v>91</v>
      </c>
      <c r="AA845" t="s">
        <v>91</v>
      </c>
      <c r="AB845" t="s">
        <v>91</v>
      </c>
      <c r="AC845" t="s">
        <v>91</v>
      </c>
      <c r="AD845" t="s">
        <v>91</v>
      </c>
      <c r="AE845" t="s">
        <v>91</v>
      </c>
      <c r="AF845" t="s">
        <v>91</v>
      </c>
      <c r="AG845" s="1" t="s">
        <v>146</v>
      </c>
      <c r="AH845" s="1" t="s">
        <v>91</v>
      </c>
      <c r="AI845" t="s">
        <v>91</v>
      </c>
      <c r="AJ845">
        <v>0</v>
      </c>
      <c r="AK845">
        <v>0</v>
      </c>
      <c r="AL845">
        <v>0</v>
      </c>
      <c r="AM845" t="s">
        <v>91</v>
      </c>
      <c r="AN845" t="s">
        <v>91</v>
      </c>
      <c r="AO845" t="s">
        <v>91</v>
      </c>
      <c r="AP845" t="s">
        <v>91</v>
      </c>
      <c r="AQ845" s="1" t="s">
        <v>147</v>
      </c>
      <c r="AR845" s="1" t="s">
        <v>147</v>
      </c>
      <c r="AS845" s="1" t="s">
        <v>147</v>
      </c>
      <c r="AT845" s="1" t="s">
        <v>147</v>
      </c>
      <c r="AU845" s="1" t="s">
        <v>147</v>
      </c>
      <c r="AV845" t="s">
        <v>91</v>
      </c>
      <c r="AW845" t="s">
        <v>91</v>
      </c>
      <c r="AX845" t="s">
        <v>91</v>
      </c>
      <c r="AY845" t="s">
        <v>91</v>
      </c>
      <c r="AZ845" t="s">
        <v>91</v>
      </c>
      <c r="BA845" t="s">
        <v>91</v>
      </c>
      <c r="BB845" s="2"/>
      <c r="BC845" s="2">
        <v>44652.626909722225</v>
      </c>
      <c r="BD845" t="s">
        <v>91</v>
      </c>
      <c r="BF845" s="1" t="s">
        <v>75</v>
      </c>
      <c r="BG845">
        <v>0</v>
      </c>
      <c r="BH845">
        <v>0</v>
      </c>
      <c r="BI845" s="1" t="s">
        <v>88</v>
      </c>
      <c r="BJ845">
        <v>1</v>
      </c>
      <c r="BK845" s="1" t="s">
        <v>89</v>
      </c>
      <c r="BL845" t="s">
        <v>91</v>
      </c>
      <c r="BM845" s="1" t="s">
        <v>109</v>
      </c>
      <c r="BN845" s="1" t="s">
        <v>110</v>
      </c>
      <c r="BO845" s="1" t="s">
        <v>165</v>
      </c>
      <c r="BP845" s="1" t="s">
        <v>91</v>
      </c>
      <c r="BQ845" t="s">
        <v>91</v>
      </c>
      <c r="BR845" s="3"/>
      <c r="BS845" s="3">
        <v>44652</v>
      </c>
      <c r="BT845" t="s">
        <v>91</v>
      </c>
      <c r="BU845" t="s">
        <v>91</v>
      </c>
      <c r="BV845">
        <v>1</v>
      </c>
      <c r="BW845" s="1" t="s">
        <v>1254</v>
      </c>
    </row>
    <row r="846" spans="1:75" hidden="1" x14ac:dyDescent="0.35">
      <c r="A846">
        <v>157593</v>
      </c>
      <c r="B846" s="1" t="s">
        <v>75</v>
      </c>
      <c r="C846">
        <v>80</v>
      </c>
      <c r="D846">
        <v>11121002</v>
      </c>
      <c r="E846">
        <v>121002</v>
      </c>
      <c r="F846" s="1" t="s">
        <v>2915</v>
      </c>
      <c r="G846" s="1" t="s">
        <v>4820</v>
      </c>
      <c r="H846">
        <v>0</v>
      </c>
      <c r="I846" s="1" t="s">
        <v>78</v>
      </c>
      <c r="J846" s="1" t="s">
        <v>4821</v>
      </c>
      <c r="K846" s="1" t="s">
        <v>4822</v>
      </c>
      <c r="L846" t="s">
        <v>91</v>
      </c>
      <c r="M846" t="s">
        <v>91</v>
      </c>
      <c r="N846" s="1" t="s">
        <v>4823</v>
      </c>
      <c r="O846" t="s">
        <v>91</v>
      </c>
      <c r="P846" s="1" t="s">
        <v>4146</v>
      </c>
      <c r="Q846" s="1" t="s">
        <v>2674</v>
      </c>
      <c r="R846" s="1" t="s">
        <v>4824</v>
      </c>
      <c r="S846">
        <v>1259</v>
      </c>
      <c r="T846">
        <v>88101010</v>
      </c>
      <c r="U846" s="1" t="s">
        <v>4027</v>
      </c>
      <c r="V846" s="1" t="s">
        <v>2958</v>
      </c>
      <c r="W846" s="1" t="s">
        <v>87</v>
      </c>
      <c r="X846">
        <v>48</v>
      </c>
      <c r="Y846">
        <v>32418015</v>
      </c>
      <c r="Z846" t="s">
        <v>91</v>
      </c>
      <c r="AA846" t="s">
        <v>91</v>
      </c>
      <c r="AB846" t="s">
        <v>91</v>
      </c>
      <c r="AC846" t="s">
        <v>91</v>
      </c>
      <c r="AD846" t="s">
        <v>91</v>
      </c>
      <c r="AE846" t="s">
        <v>91</v>
      </c>
      <c r="AF846" t="s">
        <v>91</v>
      </c>
      <c r="AG846" s="1" t="s">
        <v>91</v>
      </c>
      <c r="AH846" s="1" t="s">
        <v>91</v>
      </c>
      <c r="AI846" t="s">
        <v>91</v>
      </c>
      <c r="AM846" t="s">
        <v>91</v>
      </c>
      <c r="AN846" t="s">
        <v>91</v>
      </c>
      <c r="AO846" t="s">
        <v>91</v>
      </c>
      <c r="AP846" t="s">
        <v>91</v>
      </c>
      <c r="AQ846" s="1" t="s">
        <v>91</v>
      </c>
      <c r="AR846" s="1" t="s">
        <v>91</v>
      </c>
      <c r="AS846" s="1" t="s">
        <v>91</v>
      </c>
      <c r="AT846" s="1" t="s">
        <v>91</v>
      </c>
      <c r="AU846" s="1" t="s">
        <v>91</v>
      </c>
      <c r="AV846" t="s">
        <v>91</v>
      </c>
      <c r="AW846" t="s">
        <v>91</v>
      </c>
      <c r="AX846" t="s">
        <v>91</v>
      </c>
      <c r="AY846" t="s">
        <v>91</v>
      </c>
      <c r="AZ846" t="s">
        <v>91</v>
      </c>
      <c r="BA846" t="s">
        <v>91</v>
      </c>
      <c r="BB846" s="2">
        <v>45118.097175925926</v>
      </c>
      <c r="BC846" s="2"/>
      <c r="BD846" t="s">
        <v>91</v>
      </c>
      <c r="BF846" s="1" t="s">
        <v>75</v>
      </c>
      <c r="BI846" s="1" t="s">
        <v>88</v>
      </c>
      <c r="BJ846">
        <v>1</v>
      </c>
      <c r="BK846" s="1" t="s">
        <v>89</v>
      </c>
      <c r="BL846" t="s">
        <v>91</v>
      </c>
      <c r="BM846" s="1" t="s">
        <v>91</v>
      </c>
      <c r="BN846" s="1" t="s">
        <v>91</v>
      </c>
      <c r="BO846" s="1" t="s">
        <v>91</v>
      </c>
      <c r="BP846" s="1" t="s">
        <v>91</v>
      </c>
      <c r="BQ846" t="s">
        <v>91</v>
      </c>
      <c r="BR846" s="3">
        <v>45118</v>
      </c>
      <c r="BS846" s="3"/>
      <c r="BT846" t="s">
        <v>91</v>
      </c>
      <c r="BU846" t="s">
        <v>91</v>
      </c>
      <c r="BW846" s="1" t="s">
        <v>1260</v>
      </c>
    </row>
    <row r="847" spans="1:75" hidden="1" x14ac:dyDescent="0.35">
      <c r="A847">
        <v>134281</v>
      </c>
      <c r="B847" s="1" t="s">
        <v>75</v>
      </c>
      <c r="C847">
        <v>80</v>
      </c>
      <c r="D847">
        <v>11121002</v>
      </c>
      <c r="E847">
        <v>121002</v>
      </c>
      <c r="F847" s="1" t="s">
        <v>2915</v>
      </c>
      <c r="G847" s="1" t="s">
        <v>4825</v>
      </c>
      <c r="I847" s="1" t="s">
        <v>78</v>
      </c>
      <c r="J847" s="1" t="s">
        <v>4826</v>
      </c>
      <c r="K847" s="1" t="s">
        <v>4827</v>
      </c>
      <c r="L847" t="s">
        <v>91</v>
      </c>
      <c r="M847" t="s">
        <v>91</v>
      </c>
      <c r="N847" s="1" t="s">
        <v>4828</v>
      </c>
      <c r="O847" t="s">
        <v>91</v>
      </c>
      <c r="P847" s="1" t="s">
        <v>1094</v>
      </c>
      <c r="Q847" s="1" t="s">
        <v>295</v>
      </c>
      <c r="R847" s="1" t="s">
        <v>173</v>
      </c>
      <c r="S847">
        <v>1259</v>
      </c>
      <c r="T847">
        <v>88160116</v>
      </c>
      <c r="U847" s="1" t="s">
        <v>108</v>
      </c>
      <c r="V847" s="1" t="s">
        <v>3255</v>
      </c>
      <c r="W847" s="1" t="s">
        <v>87</v>
      </c>
      <c r="X847">
        <v>48</v>
      </c>
      <c r="Y847">
        <v>32431744</v>
      </c>
      <c r="Z847" t="s">
        <v>91</v>
      </c>
      <c r="AA847" t="s">
        <v>91</v>
      </c>
      <c r="AB847" t="s">
        <v>91</v>
      </c>
      <c r="AC847" t="s">
        <v>91</v>
      </c>
      <c r="AD847" t="s">
        <v>91</v>
      </c>
      <c r="AE847" t="s">
        <v>91</v>
      </c>
      <c r="AF847" t="s">
        <v>91</v>
      </c>
      <c r="AG847" s="1" t="s">
        <v>146</v>
      </c>
      <c r="AH847" s="1" t="s">
        <v>91</v>
      </c>
      <c r="AI847" t="s">
        <v>91</v>
      </c>
      <c r="AJ847">
        <v>0</v>
      </c>
      <c r="AK847">
        <v>0</v>
      </c>
      <c r="AL847">
        <v>0</v>
      </c>
      <c r="AM847" t="s">
        <v>91</v>
      </c>
      <c r="AN847" t="s">
        <v>91</v>
      </c>
      <c r="AO847" t="s">
        <v>91</v>
      </c>
      <c r="AP847" t="s">
        <v>91</v>
      </c>
      <c r="AQ847" s="1" t="s">
        <v>147</v>
      </c>
      <c r="AR847" s="1" t="s">
        <v>147</v>
      </c>
      <c r="AS847" s="1" t="s">
        <v>147</v>
      </c>
      <c r="AT847" s="1" t="s">
        <v>147</v>
      </c>
      <c r="AU847" s="1" t="s">
        <v>147</v>
      </c>
      <c r="AV847" t="s">
        <v>91</v>
      </c>
      <c r="AW847" t="s">
        <v>91</v>
      </c>
      <c r="AX847" t="s">
        <v>91</v>
      </c>
      <c r="AY847" t="s">
        <v>91</v>
      </c>
      <c r="AZ847" t="s">
        <v>91</v>
      </c>
      <c r="BA847" t="s">
        <v>91</v>
      </c>
      <c r="BB847" s="2"/>
      <c r="BC847" s="2">
        <v>44445.618518518517</v>
      </c>
      <c r="BD847" t="s">
        <v>91</v>
      </c>
      <c r="BF847" s="1" t="s">
        <v>75</v>
      </c>
      <c r="BG847">
        <v>0</v>
      </c>
      <c r="BH847">
        <v>0</v>
      </c>
      <c r="BI847" s="1" t="s">
        <v>88</v>
      </c>
      <c r="BJ847">
        <v>1</v>
      </c>
      <c r="BK847" s="1" t="s">
        <v>89</v>
      </c>
      <c r="BL847" t="s">
        <v>91</v>
      </c>
      <c r="BM847" s="1" t="s">
        <v>109</v>
      </c>
      <c r="BN847" s="1" t="s">
        <v>110</v>
      </c>
      <c r="BO847" s="1" t="s">
        <v>180</v>
      </c>
      <c r="BP847" s="1" t="s">
        <v>91</v>
      </c>
      <c r="BQ847" t="s">
        <v>91</v>
      </c>
      <c r="BR847" s="3"/>
      <c r="BS847" s="3">
        <v>44445</v>
      </c>
      <c r="BT847" t="s">
        <v>91</v>
      </c>
      <c r="BU847" t="s">
        <v>91</v>
      </c>
      <c r="BV847">
        <v>9</v>
      </c>
      <c r="BW847" s="1" t="s">
        <v>4829</v>
      </c>
    </row>
    <row r="848" spans="1:75" hidden="1" x14ac:dyDescent="0.35">
      <c r="A848">
        <v>157675</v>
      </c>
      <c r="B848" s="1" t="s">
        <v>75</v>
      </c>
      <c r="C848">
        <v>80</v>
      </c>
      <c r="D848">
        <v>11121002</v>
      </c>
      <c r="E848">
        <v>121002</v>
      </c>
      <c r="F848" s="1" t="s">
        <v>2915</v>
      </c>
      <c r="G848" s="1" t="s">
        <v>4830</v>
      </c>
      <c r="H848">
        <v>0</v>
      </c>
      <c r="I848" s="1" t="s">
        <v>78</v>
      </c>
      <c r="J848" s="1" t="s">
        <v>4831</v>
      </c>
      <c r="K848" s="1" t="s">
        <v>4832</v>
      </c>
      <c r="L848" t="s">
        <v>91</v>
      </c>
      <c r="M848" t="s">
        <v>91</v>
      </c>
      <c r="N848" s="1" t="s">
        <v>4833</v>
      </c>
      <c r="O848" t="s">
        <v>91</v>
      </c>
      <c r="P848" s="1" t="s">
        <v>4834</v>
      </c>
      <c r="Q848" s="1" t="s">
        <v>1610</v>
      </c>
      <c r="R848" s="1" t="s">
        <v>75</v>
      </c>
      <c r="S848">
        <v>1268</v>
      </c>
      <c r="T848">
        <v>88701110</v>
      </c>
      <c r="U848" s="1" t="s">
        <v>108</v>
      </c>
      <c r="V848" s="1" t="s">
        <v>3900</v>
      </c>
      <c r="W848" s="1" t="s">
        <v>87</v>
      </c>
      <c r="X848">
        <v>48</v>
      </c>
      <c r="Y848">
        <v>36266975</v>
      </c>
      <c r="Z848" t="s">
        <v>91</v>
      </c>
      <c r="AA848" t="s">
        <v>91</v>
      </c>
      <c r="AB848" t="s">
        <v>91</v>
      </c>
      <c r="AC848" t="s">
        <v>91</v>
      </c>
      <c r="AD848" t="s">
        <v>91</v>
      </c>
      <c r="AE848" t="s">
        <v>91</v>
      </c>
      <c r="AF848" t="s">
        <v>91</v>
      </c>
      <c r="AG848" s="1" t="s">
        <v>91</v>
      </c>
      <c r="AH848" s="1" t="s">
        <v>91</v>
      </c>
      <c r="AI848" t="s">
        <v>91</v>
      </c>
      <c r="AM848" t="s">
        <v>91</v>
      </c>
      <c r="AN848" t="s">
        <v>91</v>
      </c>
      <c r="AO848" t="s">
        <v>91</v>
      </c>
      <c r="AP848" t="s">
        <v>91</v>
      </c>
      <c r="AQ848" s="1" t="s">
        <v>91</v>
      </c>
      <c r="AR848" s="1" t="s">
        <v>91</v>
      </c>
      <c r="AS848" s="1" t="s">
        <v>91</v>
      </c>
      <c r="AT848" s="1" t="s">
        <v>91</v>
      </c>
      <c r="AU848" s="1" t="s">
        <v>91</v>
      </c>
      <c r="AV848" t="s">
        <v>91</v>
      </c>
      <c r="AW848" t="s">
        <v>91</v>
      </c>
      <c r="AX848" t="s">
        <v>91</v>
      </c>
      <c r="AY848" t="s">
        <v>91</v>
      </c>
      <c r="AZ848" t="s">
        <v>91</v>
      </c>
      <c r="BA848" t="s">
        <v>91</v>
      </c>
      <c r="BB848" s="2">
        <v>45118.097175925926</v>
      </c>
      <c r="BC848" s="2"/>
      <c r="BD848" t="s">
        <v>91</v>
      </c>
      <c r="BF848" s="1" t="s">
        <v>75</v>
      </c>
      <c r="BI848" s="1" t="s">
        <v>88</v>
      </c>
      <c r="BJ848">
        <v>1</v>
      </c>
      <c r="BK848" s="1" t="s">
        <v>89</v>
      </c>
      <c r="BL848" t="s">
        <v>91</v>
      </c>
      <c r="BM848" s="1" t="s">
        <v>91</v>
      </c>
      <c r="BN848" s="1" t="s">
        <v>91</v>
      </c>
      <c r="BO848" s="1" t="s">
        <v>91</v>
      </c>
      <c r="BP848" s="1" t="s">
        <v>91</v>
      </c>
      <c r="BQ848" t="s">
        <v>91</v>
      </c>
      <c r="BR848" s="3">
        <v>45118</v>
      </c>
      <c r="BS848" s="3"/>
      <c r="BT848" t="s">
        <v>91</v>
      </c>
      <c r="BU848" t="s">
        <v>91</v>
      </c>
      <c r="BW848" s="1" t="s">
        <v>90</v>
      </c>
    </row>
    <row r="849" spans="1:75" hidden="1" x14ac:dyDescent="0.35">
      <c r="A849">
        <v>156934</v>
      </c>
      <c r="B849" s="1" t="s">
        <v>75</v>
      </c>
      <c r="C849">
        <v>80</v>
      </c>
      <c r="D849">
        <v>11121002</v>
      </c>
      <c r="E849">
        <v>121002</v>
      </c>
      <c r="F849" s="1" t="s">
        <v>2915</v>
      </c>
      <c r="G849" s="1" t="s">
        <v>4835</v>
      </c>
      <c r="H849">
        <v>0</v>
      </c>
      <c r="I849" s="1" t="s">
        <v>78</v>
      </c>
      <c r="J849" s="1" t="s">
        <v>4836</v>
      </c>
      <c r="K849" s="1" t="s">
        <v>4837</v>
      </c>
      <c r="L849" t="s">
        <v>91</v>
      </c>
      <c r="M849" t="s">
        <v>91</v>
      </c>
      <c r="N849" s="1" t="s">
        <v>4838</v>
      </c>
      <c r="O849" t="s">
        <v>91</v>
      </c>
      <c r="P849" s="1" t="s">
        <v>4839</v>
      </c>
      <c r="Q849" s="1" t="s">
        <v>4840</v>
      </c>
      <c r="R849" s="1" t="s">
        <v>370</v>
      </c>
      <c r="S849">
        <v>1268</v>
      </c>
      <c r="T849">
        <v>88715000</v>
      </c>
      <c r="U849" s="1" t="s">
        <v>108</v>
      </c>
      <c r="V849" s="1" t="s">
        <v>4352</v>
      </c>
      <c r="W849" s="1" t="s">
        <v>87</v>
      </c>
      <c r="X849">
        <v>48</v>
      </c>
      <c r="Y849">
        <v>36240599</v>
      </c>
      <c r="Z849" t="s">
        <v>91</v>
      </c>
      <c r="AA849" t="s">
        <v>91</v>
      </c>
      <c r="AB849" t="s">
        <v>91</v>
      </c>
      <c r="AC849" t="s">
        <v>91</v>
      </c>
      <c r="AD849" t="s">
        <v>91</v>
      </c>
      <c r="AE849" t="s">
        <v>91</v>
      </c>
      <c r="AF849" t="s">
        <v>91</v>
      </c>
      <c r="AG849" s="1" t="s">
        <v>91</v>
      </c>
      <c r="AH849" s="1" t="s">
        <v>91</v>
      </c>
      <c r="AI849" t="s">
        <v>91</v>
      </c>
      <c r="AM849" t="s">
        <v>91</v>
      </c>
      <c r="AN849" t="s">
        <v>91</v>
      </c>
      <c r="AO849" t="s">
        <v>91</v>
      </c>
      <c r="AP849" t="s">
        <v>91</v>
      </c>
      <c r="AQ849" s="1" t="s">
        <v>91</v>
      </c>
      <c r="AR849" s="1" t="s">
        <v>91</v>
      </c>
      <c r="AS849" s="1" t="s">
        <v>91</v>
      </c>
      <c r="AT849" s="1" t="s">
        <v>91</v>
      </c>
      <c r="AU849" s="1" t="s">
        <v>91</v>
      </c>
      <c r="AV849" t="s">
        <v>91</v>
      </c>
      <c r="AW849" t="s">
        <v>91</v>
      </c>
      <c r="AX849" t="s">
        <v>91</v>
      </c>
      <c r="AY849" t="s">
        <v>91</v>
      </c>
      <c r="AZ849" t="s">
        <v>91</v>
      </c>
      <c r="BA849" t="s">
        <v>91</v>
      </c>
      <c r="BB849" s="2">
        <v>45113.505416666667</v>
      </c>
      <c r="BC849" s="2"/>
      <c r="BD849" t="s">
        <v>91</v>
      </c>
      <c r="BF849" s="1" t="s">
        <v>75</v>
      </c>
      <c r="BI849" s="1" t="s">
        <v>88</v>
      </c>
      <c r="BJ849">
        <v>1</v>
      </c>
      <c r="BK849" s="1" t="s">
        <v>89</v>
      </c>
      <c r="BL849" t="s">
        <v>91</v>
      </c>
      <c r="BM849" s="1" t="s">
        <v>91</v>
      </c>
      <c r="BN849" s="1" t="s">
        <v>91</v>
      </c>
      <c r="BO849" s="1" t="s">
        <v>91</v>
      </c>
      <c r="BP849" s="1" t="s">
        <v>91</v>
      </c>
      <c r="BQ849" t="s">
        <v>91</v>
      </c>
      <c r="BR849" s="3">
        <v>45113</v>
      </c>
      <c r="BS849" s="3"/>
      <c r="BT849" t="s">
        <v>91</v>
      </c>
      <c r="BU849" t="s">
        <v>91</v>
      </c>
      <c r="BW849" s="1" t="s">
        <v>3738</v>
      </c>
    </row>
    <row r="850" spans="1:75" hidden="1" x14ac:dyDescent="0.35">
      <c r="A850">
        <v>134511</v>
      </c>
      <c r="B850" s="1" t="s">
        <v>75</v>
      </c>
      <c r="C850">
        <v>80</v>
      </c>
      <c r="D850">
        <v>11121002</v>
      </c>
      <c r="E850">
        <v>121002</v>
      </c>
      <c r="F850" s="1" t="s">
        <v>2915</v>
      </c>
      <c r="G850" s="1" t="s">
        <v>4841</v>
      </c>
      <c r="I850" s="1" t="s">
        <v>78</v>
      </c>
      <c r="J850" s="1" t="s">
        <v>4842</v>
      </c>
      <c r="K850" s="1" t="s">
        <v>4843</v>
      </c>
      <c r="L850" t="s">
        <v>91</v>
      </c>
      <c r="M850" t="s">
        <v>91</v>
      </c>
      <c r="N850" s="1" t="s">
        <v>4844</v>
      </c>
      <c r="O850" t="s">
        <v>91</v>
      </c>
      <c r="P850" s="1" t="s">
        <v>2326</v>
      </c>
      <c r="Q850" s="1" t="s">
        <v>2814</v>
      </c>
      <c r="R850" s="1" t="s">
        <v>3846</v>
      </c>
      <c r="S850">
        <v>1254</v>
      </c>
      <c r="T850">
        <v>88010030</v>
      </c>
      <c r="U850" s="1" t="s">
        <v>108</v>
      </c>
      <c r="V850" s="1" t="s">
        <v>3102</v>
      </c>
      <c r="W850" s="1" t="s">
        <v>87</v>
      </c>
      <c r="X850">
        <v>48</v>
      </c>
      <c r="Y850">
        <v>30625128</v>
      </c>
      <c r="Z850" t="s">
        <v>91</v>
      </c>
      <c r="AA850" t="s">
        <v>91</v>
      </c>
      <c r="AB850" t="s">
        <v>91</v>
      </c>
      <c r="AC850" t="s">
        <v>91</v>
      </c>
      <c r="AD850" t="s">
        <v>91</v>
      </c>
      <c r="AE850" t="s">
        <v>91</v>
      </c>
      <c r="AF850" t="s">
        <v>91</v>
      </c>
      <c r="AG850" s="1" t="s">
        <v>146</v>
      </c>
      <c r="AH850" s="1" t="s">
        <v>91</v>
      </c>
      <c r="AI850" t="s">
        <v>91</v>
      </c>
      <c r="AM850" t="s">
        <v>91</v>
      </c>
      <c r="AN850" t="s">
        <v>91</v>
      </c>
      <c r="AO850" t="s">
        <v>91</v>
      </c>
      <c r="AP850" t="s">
        <v>91</v>
      </c>
      <c r="AQ850" s="1" t="s">
        <v>147</v>
      </c>
      <c r="AR850" s="1" t="s">
        <v>147</v>
      </c>
      <c r="AS850" s="1" t="s">
        <v>147</v>
      </c>
      <c r="AT850" s="1" t="s">
        <v>147</v>
      </c>
      <c r="AU850" s="1" t="s">
        <v>147</v>
      </c>
      <c r="AV850" t="s">
        <v>91</v>
      </c>
      <c r="AW850" t="s">
        <v>91</v>
      </c>
      <c r="AX850" t="s">
        <v>91</v>
      </c>
      <c r="AY850" t="s">
        <v>91</v>
      </c>
      <c r="AZ850" t="s">
        <v>91</v>
      </c>
      <c r="BA850" t="s">
        <v>91</v>
      </c>
      <c r="BB850" s="2"/>
      <c r="BC850" s="2">
        <v>44546.685729166667</v>
      </c>
      <c r="BD850" t="s">
        <v>91</v>
      </c>
      <c r="BF850" s="1" t="s">
        <v>75</v>
      </c>
      <c r="BH850">
        <v>0</v>
      </c>
      <c r="BI850" s="1" t="s">
        <v>88</v>
      </c>
      <c r="BJ850">
        <v>1</v>
      </c>
      <c r="BK850" s="1" t="s">
        <v>89</v>
      </c>
      <c r="BL850" t="s">
        <v>91</v>
      </c>
      <c r="BM850" s="1" t="s">
        <v>329</v>
      </c>
      <c r="BN850" s="1" t="s">
        <v>110</v>
      </c>
      <c r="BO850" s="1" t="s">
        <v>165</v>
      </c>
      <c r="BP850" s="1" t="s">
        <v>91</v>
      </c>
      <c r="BQ850" t="s">
        <v>91</v>
      </c>
      <c r="BR850" s="3"/>
      <c r="BS850" s="3">
        <v>44546</v>
      </c>
      <c r="BT850" t="s">
        <v>91</v>
      </c>
      <c r="BU850" t="s">
        <v>91</v>
      </c>
      <c r="BV850">
        <v>3</v>
      </c>
      <c r="BW850" s="1" t="s">
        <v>847</v>
      </c>
    </row>
    <row r="851" spans="1:75" hidden="1" x14ac:dyDescent="0.35">
      <c r="A851">
        <v>157620</v>
      </c>
      <c r="B851" s="1" t="s">
        <v>75</v>
      </c>
      <c r="C851">
        <v>80</v>
      </c>
      <c r="D851">
        <v>11121002</v>
      </c>
      <c r="E851">
        <v>121002</v>
      </c>
      <c r="F851" s="1" t="s">
        <v>2915</v>
      </c>
      <c r="G851" s="1" t="s">
        <v>4845</v>
      </c>
      <c r="H851">
        <v>0</v>
      </c>
      <c r="I851" s="1" t="s">
        <v>78</v>
      </c>
      <c r="J851" s="1" t="s">
        <v>4846</v>
      </c>
      <c r="K851" s="1" t="s">
        <v>4847</v>
      </c>
      <c r="L851" t="s">
        <v>91</v>
      </c>
      <c r="M851" t="s">
        <v>91</v>
      </c>
      <c r="N851" s="1" t="s">
        <v>4848</v>
      </c>
      <c r="O851" t="s">
        <v>91</v>
      </c>
      <c r="P851" s="1" t="s">
        <v>4373</v>
      </c>
      <c r="Q851" s="1" t="s">
        <v>1513</v>
      </c>
      <c r="R851" s="1" t="s">
        <v>91</v>
      </c>
      <c r="S851">
        <v>1266</v>
      </c>
      <c r="T851">
        <v>88540000</v>
      </c>
      <c r="U851" s="1" t="s">
        <v>108</v>
      </c>
      <c r="V851" s="1" t="s">
        <v>3174</v>
      </c>
      <c r="W851" s="1" t="s">
        <v>87</v>
      </c>
      <c r="X851">
        <v>49</v>
      </c>
      <c r="Y851">
        <v>32751398</v>
      </c>
      <c r="Z851" t="s">
        <v>91</v>
      </c>
      <c r="AA851" t="s">
        <v>91</v>
      </c>
      <c r="AB851" t="s">
        <v>91</v>
      </c>
      <c r="AC851" t="s">
        <v>91</v>
      </c>
      <c r="AD851" t="s">
        <v>91</v>
      </c>
      <c r="AE851" t="s">
        <v>91</v>
      </c>
      <c r="AF851" t="s">
        <v>91</v>
      </c>
      <c r="AG851" s="1" t="s">
        <v>91</v>
      </c>
      <c r="AH851" s="1" t="s">
        <v>91</v>
      </c>
      <c r="AI851" t="s">
        <v>91</v>
      </c>
      <c r="AM851" t="s">
        <v>91</v>
      </c>
      <c r="AN851" t="s">
        <v>91</v>
      </c>
      <c r="AO851" t="s">
        <v>91</v>
      </c>
      <c r="AP851" t="s">
        <v>91</v>
      </c>
      <c r="AQ851" s="1" t="s">
        <v>91</v>
      </c>
      <c r="AR851" s="1" t="s">
        <v>91</v>
      </c>
      <c r="AS851" s="1" t="s">
        <v>91</v>
      </c>
      <c r="AT851" s="1" t="s">
        <v>91</v>
      </c>
      <c r="AU851" s="1" t="s">
        <v>91</v>
      </c>
      <c r="AV851" t="s">
        <v>91</v>
      </c>
      <c r="AW851" t="s">
        <v>91</v>
      </c>
      <c r="AX851" t="s">
        <v>91</v>
      </c>
      <c r="AY851" t="s">
        <v>91</v>
      </c>
      <c r="AZ851" t="s">
        <v>91</v>
      </c>
      <c r="BA851" t="s">
        <v>91</v>
      </c>
      <c r="BB851" s="2">
        <v>45118.097175925926</v>
      </c>
      <c r="BC851" s="2"/>
      <c r="BD851" t="s">
        <v>91</v>
      </c>
      <c r="BF851" s="1" t="s">
        <v>75</v>
      </c>
      <c r="BI851" s="1" t="s">
        <v>88</v>
      </c>
      <c r="BJ851">
        <v>1</v>
      </c>
      <c r="BK851" s="1" t="s">
        <v>89</v>
      </c>
      <c r="BL851" t="s">
        <v>91</v>
      </c>
      <c r="BM851" s="1" t="s">
        <v>91</v>
      </c>
      <c r="BN851" s="1" t="s">
        <v>91</v>
      </c>
      <c r="BO851" s="1" t="s">
        <v>91</v>
      </c>
      <c r="BP851" s="1" t="s">
        <v>91</v>
      </c>
      <c r="BQ851" t="s">
        <v>91</v>
      </c>
      <c r="BR851" s="3">
        <v>45118</v>
      </c>
      <c r="BS851" s="3"/>
      <c r="BT851" t="s">
        <v>91</v>
      </c>
      <c r="BU851" t="s">
        <v>91</v>
      </c>
      <c r="BW851" s="1" t="s">
        <v>247</v>
      </c>
    </row>
    <row r="852" spans="1:75" hidden="1" x14ac:dyDescent="0.35">
      <c r="A852">
        <v>156931</v>
      </c>
      <c r="B852" s="1" t="s">
        <v>75</v>
      </c>
      <c r="C852">
        <v>80</v>
      </c>
      <c r="D852">
        <v>11121002</v>
      </c>
      <c r="E852">
        <v>121002</v>
      </c>
      <c r="F852" s="1" t="s">
        <v>2915</v>
      </c>
      <c r="G852" s="1" t="s">
        <v>4849</v>
      </c>
      <c r="H852">
        <v>0</v>
      </c>
      <c r="I852" s="1" t="s">
        <v>78</v>
      </c>
      <c r="J852" s="1" t="s">
        <v>4850</v>
      </c>
      <c r="K852" s="1" t="s">
        <v>4851</v>
      </c>
      <c r="L852" t="s">
        <v>91</v>
      </c>
      <c r="M852" t="s">
        <v>91</v>
      </c>
      <c r="N852" s="1" t="s">
        <v>4852</v>
      </c>
      <c r="O852" t="s">
        <v>91</v>
      </c>
      <c r="P852" s="1" t="s">
        <v>3322</v>
      </c>
      <c r="Q852" s="1" t="s">
        <v>1150</v>
      </c>
      <c r="R852" s="1" t="s">
        <v>254</v>
      </c>
      <c r="S852">
        <v>1336</v>
      </c>
      <c r="T852">
        <v>95560000</v>
      </c>
      <c r="U852" s="1" t="s">
        <v>108</v>
      </c>
      <c r="V852" s="1" t="s">
        <v>3038</v>
      </c>
      <c r="W852" s="1" t="s">
        <v>157</v>
      </c>
      <c r="X852">
        <v>51</v>
      </c>
      <c r="Y852">
        <v>36642038</v>
      </c>
      <c r="Z852" t="s">
        <v>91</v>
      </c>
      <c r="AA852" t="s">
        <v>91</v>
      </c>
      <c r="AB852" t="s">
        <v>91</v>
      </c>
      <c r="AC852" t="s">
        <v>91</v>
      </c>
      <c r="AD852" t="s">
        <v>91</v>
      </c>
      <c r="AE852" t="s">
        <v>91</v>
      </c>
      <c r="AF852" t="s">
        <v>91</v>
      </c>
      <c r="AG852" s="1" t="s">
        <v>91</v>
      </c>
      <c r="AH852" s="1" t="s">
        <v>91</v>
      </c>
      <c r="AI852" t="s">
        <v>91</v>
      </c>
      <c r="AM852" t="s">
        <v>91</v>
      </c>
      <c r="AN852" t="s">
        <v>91</v>
      </c>
      <c r="AO852" t="s">
        <v>91</v>
      </c>
      <c r="AP852" t="s">
        <v>91</v>
      </c>
      <c r="AQ852" s="1" t="s">
        <v>91</v>
      </c>
      <c r="AR852" s="1" t="s">
        <v>91</v>
      </c>
      <c r="AS852" s="1" t="s">
        <v>91</v>
      </c>
      <c r="AT852" s="1" t="s">
        <v>91</v>
      </c>
      <c r="AU852" s="1" t="s">
        <v>91</v>
      </c>
      <c r="AV852" t="s">
        <v>91</v>
      </c>
      <c r="AW852" t="s">
        <v>91</v>
      </c>
      <c r="AX852" t="s">
        <v>91</v>
      </c>
      <c r="AY852" t="s">
        <v>91</v>
      </c>
      <c r="AZ852" t="s">
        <v>91</v>
      </c>
      <c r="BA852" t="s">
        <v>91</v>
      </c>
      <c r="BB852" s="2">
        <v>45113.505416666667</v>
      </c>
      <c r="BC852" s="2"/>
      <c r="BD852" t="s">
        <v>91</v>
      </c>
      <c r="BF852" s="1" t="s">
        <v>75</v>
      </c>
      <c r="BI852" s="1" t="s">
        <v>88</v>
      </c>
      <c r="BJ852">
        <v>1</v>
      </c>
      <c r="BK852" s="1" t="s">
        <v>89</v>
      </c>
      <c r="BL852" t="s">
        <v>91</v>
      </c>
      <c r="BM852" s="1" t="s">
        <v>91</v>
      </c>
      <c r="BN852" s="1" t="s">
        <v>91</v>
      </c>
      <c r="BO852" s="1" t="s">
        <v>91</v>
      </c>
      <c r="BP852" s="1" t="s">
        <v>91</v>
      </c>
      <c r="BQ852" t="s">
        <v>91</v>
      </c>
      <c r="BR852" s="3">
        <v>45113</v>
      </c>
      <c r="BS852" s="3"/>
      <c r="BT852" t="s">
        <v>91</v>
      </c>
      <c r="BU852" t="s">
        <v>91</v>
      </c>
      <c r="BW852" s="1" t="s">
        <v>90</v>
      </c>
    </row>
    <row r="853" spans="1:75" hidden="1" x14ac:dyDescent="0.35">
      <c r="A853">
        <v>156920</v>
      </c>
      <c r="B853" s="1" t="s">
        <v>75</v>
      </c>
      <c r="C853">
        <v>80</v>
      </c>
      <c r="D853">
        <v>11121002</v>
      </c>
      <c r="E853">
        <v>121002</v>
      </c>
      <c r="F853" s="1" t="s">
        <v>2915</v>
      </c>
      <c r="G853" s="1" t="s">
        <v>4853</v>
      </c>
      <c r="H853">
        <v>0</v>
      </c>
      <c r="I853" s="1" t="s">
        <v>78</v>
      </c>
      <c r="J853" s="1" t="s">
        <v>4854</v>
      </c>
      <c r="K853" s="1" t="s">
        <v>4855</v>
      </c>
      <c r="L853" t="s">
        <v>91</v>
      </c>
      <c r="M853" t="s">
        <v>91</v>
      </c>
      <c r="N853" s="1" t="s">
        <v>4856</v>
      </c>
      <c r="O853" t="s">
        <v>91</v>
      </c>
      <c r="P853" s="1" t="s">
        <v>3236</v>
      </c>
      <c r="Q853" s="1" t="s">
        <v>3448</v>
      </c>
      <c r="R853" s="1" t="s">
        <v>4857</v>
      </c>
      <c r="S853">
        <v>1268</v>
      </c>
      <c r="T853">
        <v>88701140</v>
      </c>
      <c r="U853" s="1" t="s">
        <v>108</v>
      </c>
      <c r="V853" s="1" t="s">
        <v>3900</v>
      </c>
      <c r="W853" s="1" t="s">
        <v>87</v>
      </c>
      <c r="X853">
        <v>48</v>
      </c>
      <c r="Y853">
        <v>30523033</v>
      </c>
      <c r="Z853" t="s">
        <v>91</v>
      </c>
      <c r="AA853" t="s">
        <v>91</v>
      </c>
      <c r="AB853" t="s">
        <v>91</v>
      </c>
      <c r="AC853" t="s">
        <v>91</v>
      </c>
      <c r="AD853" t="s">
        <v>91</v>
      </c>
      <c r="AE853" t="s">
        <v>91</v>
      </c>
      <c r="AF853" t="s">
        <v>91</v>
      </c>
      <c r="AG853" s="1" t="s">
        <v>91</v>
      </c>
      <c r="AH853" s="1" t="s">
        <v>91</v>
      </c>
      <c r="AI853" t="s">
        <v>91</v>
      </c>
      <c r="AM853" t="s">
        <v>91</v>
      </c>
      <c r="AN853" t="s">
        <v>91</v>
      </c>
      <c r="AO853" t="s">
        <v>91</v>
      </c>
      <c r="AP853" t="s">
        <v>91</v>
      </c>
      <c r="AQ853" s="1" t="s">
        <v>91</v>
      </c>
      <c r="AR853" s="1" t="s">
        <v>91</v>
      </c>
      <c r="AS853" s="1" t="s">
        <v>91</v>
      </c>
      <c r="AT853" s="1" t="s">
        <v>91</v>
      </c>
      <c r="AU853" s="1" t="s">
        <v>91</v>
      </c>
      <c r="AV853" t="s">
        <v>91</v>
      </c>
      <c r="AW853" t="s">
        <v>91</v>
      </c>
      <c r="AX853" t="s">
        <v>91</v>
      </c>
      <c r="AY853" t="s">
        <v>91</v>
      </c>
      <c r="AZ853" t="s">
        <v>91</v>
      </c>
      <c r="BA853" t="s">
        <v>91</v>
      </c>
      <c r="BB853" s="2">
        <v>45113.505416666667</v>
      </c>
      <c r="BC853" s="2"/>
      <c r="BD853" t="s">
        <v>91</v>
      </c>
      <c r="BF853" s="1" t="s">
        <v>75</v>
      </c>
      <c r="BI853" s="1" t="s">
        <v>88</v>
      </c>
      <c r="BJ853">
        <v>1</v>
      </c>
      <c r="BK853" s="1" t="s">
        <v>89</v>
      </c>
      <c r="BL853" t="s">
        <v>91</v>
      </c>
      <c r="BM853" s="1" t="s">
        <v>91</v>
      </c>
      <c r="BN853" s="1" t="s">
        <v>91</v>
      </c>
      <c r="BO853" s="1" t="s">
        <v>91</v>
      </c>
      <c r="BP853" s="1" t="s">
        <v>91</v>
      </c>
      <c r="BQ853" t="s">
        <v>91</v>
      </c>
      <c r="BR853" s="3">
        <v>45113</v>
      </c>
      <c r="BS853" s="3"/>
      <c r="BT853" t="s">
        <v>91</v>
      </c>
      <c r="BU853" t="s">
        <v>91</v>
      </c>
      <c r="BW853" s="1" t="s">
        <v>1211</v>
      </c>
    </row>
    <row r="854" spans="1:75" hidden="1" x14ac:dyDescent="0.35">
      <c r="A854">
        <v>159575</v>
      </c>
      <c r="B854" s="1" t="s">
        <v>75</v>
      </c>
      <c r="C854">
        <v>80</v>
      </c>
      <c r="D854">
        <v>11121002</v>
      </c>
      <c r="E854">
        <v>121002</v>
      </c>
      <c r="F854" s="1" t="s">
        <v>2915</v>
      </c>
      <c r="G854" s="1" t="s">
        <v>4858</v>
      </c>
      <c r="I854" s="1" t="s">
        <v>78</v>
      </c>
      <c r="J854" s="1" t="s">
        <v>4859</v>
      </c>
      <c r="K854" s="1" t="s">
        <v>4860</v>
      </c>
      <c r="L854" t="s">
        <v>91</v>
      </c>
      <c r="M854" t="s">
        <v>91</v>
      </c>
      <c r="N854" s="1" t="s">
        <v>408</v>
      </c>
      <c r="O854" t="s">
        <v>91</v>
      </c>
      <c r="P854" s="1" t="s">
        <v>4861</v>
      </c>
      <c r="Q854" s="1" t="s">
        <v>3112</v>
      </c>
      <c r="R854" s="1" t="s">
        <v>4862</v>
      </c>
      <c r="S854">
        <v>1257</v>
      </c>
      <c r="T854">
        <v>88035000</v>
      </c>
      <c r="U854" s="1" t="s">
        <v>3137</v>
      </c>
      <c r="V854" s="1" t="s">
        <v>2922</v>
      </c>
      <c r="W854" s="1" t="s">
        <v>87</v>
      </c>
      <c r="X854">
        <v>42</v>
      </c>
      <c r="Y854">
        <v>998585101</v>
      </c>
      <c r="Z854" t="s">
        <v>91</v>
      </c>
      <c r="AA854" t="s">
        <v>91</v>
      </c>
      <c r="AB854" t="s">
        <v>91</v>
      </c>
      <c r="AC854" t="s">
        <v>91</v>
      </c>
      <c r="AD854" t="s">
        <v>91</v>
      </c>
      <c r="AE854" t="s">
        <v>91</v>
      </c>
      <c r="AF854" t="s">
        <v>91</v>
      </c>
      <c r="AG854" s="1" t="s">
        <v>91</v>
      </c>
      <c r="AH854" s="1" t="s">
        <v>91</v>
      </c>
      <c r="AI854" t="s">
        <v>91</v>
      </c>
      <c r="AM854" t="s">
        <v>91</v>
      </c>
      <c r="AN854" t="s">
        <v>91</v>
      </c>
      <c r="AO854" t="s">
        <v>91</v>
      </c>
      <c r="AP854" t="s">
        <v>91</v>
      </c>
      <c r="AQ854" s="1" t="s">
        <v>91</v>
      </c>
      <c r="AR854" s="1" t="s">
        <v>91</v>
      </c>
      <c r="AS854" s="1" t="s">
        <v>91</v>
      </c>
      <c r="AT854" s="1" t="s">
        <v>91</v>
      </c>
      <c r="AU854" s="1" t="s">
        <v>91</v>
      </c>
      <c r="AV854" t="s">
        <v>91</v>
      </c>
      <c r="AW854" t="s">
        <v>91</v>
      </c>
      <c r="AX854" t="s">
        <v>91</v>
      </c>
      <c r="AY854" t="s">
        <v>91</v>
      </c>
      <c r="AZ854" t="s">
        <v>91</v>
      </c>
      <c r="BA854" t="s">
        <v>91</v>
      </c>
      <c r="BB854" s="2">
        <v>45194.491122685184</v>
      </c>
      <c r="BC854" s="2"/>
      <c r="BD854" t="s">
        <v>91</v>
      </c>
      <c r="BF854" s="1" t="s">
        <v>75</v>
      </c>
      <c r="BI854" s="1" t="s">
        <v>88</v>
      </c>
      <c r="BJ854">
        <v>1</v>
      </c>
      <c r="BK854" s="1" t="s">
        <v>89</v>
      </c>
      <c r="BL854" t="s">
        <v>91</v>
      </c>
      <c r="BM854" s="1" t="s">
        <v>91</v>
      </c>
      <c r="BN854" s="1" t="s">
        <v>91</v>
      </c>
      <c r="BO854" s="1" t="s">
        <v>91</v>
      </c>
      <c r="BP854" s="1" t="s">
        <v>91</v>
      </c>
      <c r="BQ854" t="s">
        <v>91</v>
      </c>
      <c r="BR854" s="3">
        <v>45194</v>
      </c>
      <c r="BS854" s="3"/>
      <c r="BT854" t="s">
        <v>91</v>
      </c>
      <c r="BU854" t="s">
        <v>91</v>
      </c>
      <c r="BW854" s="1" t="s">
        <v>90</v>
      </c>
    </row>
    <row r="855" spans="1:75" hidden="1" x14ac:dyDescent="0.35">
      <c r="A855">
        <v>134223</v>
      </c>
      <c r="B855" s="1" t="s">
        <v>75</v>
      </c>
      <c r="C855">
        <v>80</v>
      </c>
      <c r="D855">
        <v>11121002</v>
      </c>
      <c r="E855">
        <v>121002</v>
      </c>
      <c r="F855" s="1" t="s">
        <v>2915</v>
      </c>
      <c r="G855" s="1" t="s">
        <v>4863</v>
      </c>
      <c r="I855" s="1" t="s">
        <v>78</v>
      </c>
      <c r="J855" s="1" t="s">
        <v>4864</v>
      </c>
      <c r="K855" s="1" t="s">
        <v>4865</v>
      </c>
      <c r="L855" t="s">
        <v>91</v>
      </c>
      <c r="M855" t="s">
        <v>91</v>
      </c>
      <c r="N855" s="1" t="s">
        <v>4866</v>
      </c>
      <c r="O855" t="s">
        <v>91</v>
      </c>
      <c r="P855" s="1" t="s">
        <v>4689</v>
      </c>
      <c r="Q855" s="1" t="s">
        <v>1627</v>
      </c>
      <c r="R855" s="1" t="s">
        <v>4867</v>
      </c>
      <c r="S855">
        <v>1259</v>
      </c>
      <c r="T855">
        <v>88101000</v>
      </c>
      <c r="U855" s="1" t="s">
        <v>4027</v>
      </c>
      <c r="V855" s="1" t="s">
        <v>3016</v>
      </c>
      <c r="W855" s="1" t="s">
        <v>87</v>
      </c>
      <c r="X855">
        <v>48</v>
      </c>
      <c r="Y855">
        <v>30351879</v>
      </c>
      <c r="Z855" t="s">
        <v>91</v>
      </c>
      <c r="AA855" t="s">
        <v>91</v>
      </c>
      <c r="AB855" t="s">
        <v>91</v>
      </c>
      <c r="AC855" t="s">
        <v>91</v>
      </c>
      <c r="AD855" t="s">
        <v>91</v>
      </c>
      <c r="AE855" t="s">
        <v>91</v>
      </c>
      <c r="AF855" t="s">
        <v>91</v>
      </c>
      <c r="AG855" s="1" t="s">
        <v>146</v>
      </c>
      <c r="AH855" s="1" t="s">
        <v>91</v>
      </c>
      <c r="AI855" t="s">
        <v>91</v>
      </c>
      <c r="AJ855">
        <v>0</v>
      </c>
      <c r="AK855">
        <v>0</v>
      </c>
      <c r="AL855">
        <v>0</v>
      </c>
      <c r="AM855" t="s">
        <v>91</v>
      </c>
      <c r="AN855" t="s">
        <v>91</v>
      </c>
      <c r="AO855" t="s">
        <v>91</v>
      </c>
      <c r="AP855" t="s">
        <v>91</v>
      </c>
      <c r="AQ855" s="1" t="s">
        <v>147</v>
      </c>
      <c r="AR855" s="1" t="s">
        <v>147</v>
      </c>
      <c r="AS855" s="1" t="s">
        <v>147</v>
      </c>
      <c r="AT855" s="1" t="s">
        <v>147</v>
      </c>
      <c r="AU855" s="1" t="s">
        <v>147</v>
      </c>
      <c r="AV855" t="s">
        <v>91</v>
      </c>
      <c r="AW855" t="s">
        <v>91</v>
      </c>
      <c r="AX855" t="s">
        <v>91</v>
      </c>
      <c r="AY855" t="s">
        <v>91</v>
      </c>
      <c r="AZ855" t="s">
        <v>91</v>
      </c>
      <c r="BA855" t="s">
        <v>91</v>
      </c>
      <c r="BB855" s="2"/>
      <c r="BC855" s="2">
        <v>45114.637766203705</v>
      </c>
      <c r="BD855" t="s">
        <v>91</v>
      </c>
      <c r="BF855" s="1" t="s">
        <v>75</v>
      </c>
      <c r="BG855">
        <v>0</v>
      </c>
      <c r="BH855">
        <v>0</v>
      </c>
      <c r="BI855" s="1" t="s">
        <v>88</v>
      </c>
      <c r="BJ855">
        <v>1</v>
      </c>
      <c r="BK855" s="1" t="s">
        <v>89</v>
      </c>
      <c r="BL855" t="s">
        <v>91</v>
      </c>
      <c r="BM855" s="1" t="s">
        <v>109</v>
      </c>
      <c r="BN855" s="1" t="s">
        <v>110</v>
      </c>
      <c r="BO855" s="1" t="s">
        <v>1040</v>
      </c>
      <c r="BP855" s="1" t="s">
        <v>91</v>
      </c>
      <c r="BQ855" t="s">
        <v>91</v>
      </c>
      <c r="BR855" s="3"/>
      <c r="BS855" s="3">
        <v>45114</v>
      </c>
      <c r="BT855" t="s">
        <v>91</v>
      </c>
      <c r="BU855" t="s">
        <v>91</v>
      </c>
      <c r="BV855">
        <v>5</v>
      </c>
      <c r="BW855" s="1" t="s">
        <v>728</v>
      </c>
    </row>
    <row r="856" spans="1:75" hidden="1" x14ac:dyDescent="0.35">
      <c r="A856">
        <v>134525</v>
      </c>
      <c r="B856" s="1" t="s">
        <v>75</v>
      </c>
      <c r="C856">
        <v>80</v>
      </c>
      <c r="D856">
        <v>11121002</v>
      </c>
      <c r="E856">
        <v>121002</v>
      </c>
      <c r="F856" s="1" t="s">
        <v>2915</v>
      </c>
      <c r="G856" s="1" t="s">
        <v>4868</v>
      </c>
      <c r="I856" s="1" t="s">
        <v>78</v>
      </c>
      <c r="J856" s="1" t="s">
        <v>4869</v>
      </c>
      <c r="K856" s="1" t="s">
        <v>4870</v>
      </c>
      <c r="L856" t="s">
        <v>91</v>
      </c>
      <c r="M856" t="s">
        <v>91</v>
      </c>
      <c r="N856" s="1" t="s">
        <v>4227</v>
      </c>
      <c r="O856" t="s">
        <v>91</v>
      </c>
      <c r="P856" s="1" t="s">
        <v>3485</v>
      </c>
      <c r="Q856" s="1" t="s">
        <v>2300</v>
      </c>
      <c r="R856" s="1" t="s">
        <v>4871</v>
      </c>
      <c r="S856">
        <v>1259</v>
      </c>
      <c r="T856">
        <v>88117900</v>
      </c>
      <c r="U856" s="1" t="s">
        <v>2957</v>
      </c>
      <c r="V856" s="1" t="s">
        <v>3016</v>
      </c>
      <c r="W856" s="1" t="s">
        <v>87</v>
      </c>
      <c r="X856">
        <v>48</v>
      </c>
      <c r="Y856">
        <v>32460747</v>
      </c>
      <c r="Z856" t="s">
        <v>91</v>
      </c>
      <c r="AA856" t="s">
        <v>91</v>
      </c>
      <c r="AB856" t="s">
        <v>91</v>
      </c>
      <c r="AC856" t="s">
        <v>91</v>
      </c>
      <c r="AD856" t="s">
        <v>91</v>
      </c>
      <c r="AE856" t="s">
        <v>91</v>
      </c>
      <c r="AF856" t="s">
        <v>91</v>
      </c>
      <c r="AG856" s="1" t="s">
        <v>146</v>
      </c>
      <c r="AH856" s="1" t="s">
        <v>91</v>
      </c>
      <c r="AI856" t="s">
        <v>91</v>
      </c>
      <c r="AM856" t="s">
        <v>91</v>
      </c>
      <c r="AN856" t="s">
        <v>91</v>
      </c>
      <c r="AO856" t="s">
        <v>91</v>
      </c>
      <c r="AP856" t="s">
        <v>91</v>
      </c>
      <c r="AQ856" s="1" t="s">
        <v>147</v>
      </c>
      <c r="AR856" s="1" t="s">
        <v>147</v>
      </c>
      <c r="AS856" s="1" t="s">
        <v>147</v>
      </c>
      <c r="AT856" s="1" t="s">
        <v>147</v>
      </c>
      <c r="AU856" s="1" t="s">
        <v>147</v>
      </c>
      <c r="AV856" t="s">
        <v>91</v>
      </c>
      <c r="AW856" t="s">
        <v>91</v>
      </c>
      <c r="AX856" t="s">
        <v>91</v>
      </c>
      <c r="AY856" t="s">
        <v>91</v>
      </c>
      <c r="AZ856" t="s">
        <v>91</v>
      </c>
      <c r="BA856" t="s">
        <v>91</v>
      </c>
      <c r="BB856" s="2"/>
      <c r="BC856" s="2">
        <v>44540.723321759258</v>
      </c>
      <c r="BD856" t="s">
        <v>91</v>
      </c>
      <c r="BF856" s="1" t="s">
        <v>75</v>
      </c>
      <c r="BH856">
        <v>0</v>
      </c>
      <c r="BI856" s="1" t="s">
        <v>88</v>
      </c>
      <c r="BJ856">
        <v>1</v>
      </c>
      <c r="BK856" s="1" t="s">
        <v>89</v>
      </c>
      <c r="BL856" t="s">
        <v>91</v>
      </c>
      <c r="BM856" s="1" t="s">
        <v>109</v>
      </c>
      <c r="BN856" s="1" t="s">
        <v>110</v>
      </c>
      <c r="BO856" s="1" t="s">
        <v>165</v>
      </c>
      <c r="BP856" s="1" t="s">
        <v>91</v>
      </c>
      <c r="BQ856" t="s">
        <v>91</v>
      </c>
      <c r="BR856" s="3"/>
      <c r="BS856" s="3">
        <v>44540</v>
      </c>
      <c r="BT856" t="s">
        <v>91</v>
      </c>
      <c r="BU856" t="s">
        <v>91</v>
      </c>
      <c r="BV856">
        <v>9</v>
      </c>
      <c r="BW856" s="1" t="s">
        <v>2162</v>
      </c>
    </row>
    <row r="857" spans="1:75" hidden="1" x14ac:dyDescent="0.35">
      <c r="A857">
        <v>157622</v>
      </c>
      <c r="B857" s="1" t="s">
        <v>75</v>
      </c>
      <c r="C857">
        <v>80</v>
      </c>
      <c r="D857">
        <v>11121002</v>
      </c>
      <c r="E857">
        <v>121002</v>
      </c>
      <c r="F857" s="1" t="s">
        <v>2915</v>
      </c>
      <c r="G857" s="1" t="s">
        <v>4872</v>
      </c>
      <c r="H857">
        <v>0</v>
      </c>
      <c r="I857" s="1" t="s">
        <v>78</v>
      </c>
      <c r="J857" s="1" t="s">
        <v>4873</v>
      </c>
      <c r="K857" s="1" t="s">
        <v>4874</v>
      </c>
      <c r="L857" t="s">
        <v>91</v>
      </c>
      <c r="M857" t="s">
        <v>91</v>
      </c>
      <c r="N857" s="1" t="s">
        <v>4875</v>
      </c>
      <c r="O857" t="s">
        <v>91</v>
      </c>
      <c r="P857" s="1" t="s">
        <v>3083</v>
      </c>
      <c r="Q857" s="1" t="s">
        <v>526</v>
      </c>
      <c r="R857" s="1" t="s">
        <v>91</v>
      </c>
      <c r="T857">
        <v>88501010</v>
      </c>
      <c r="U857" s="1" t="s">
        <v>108</v>
      </c>
      <c r="V857" s="1" t="s">
        <v>3335</v>
      </c>
      <c r="W857" s="1" t="s">
        <v>87</v>
      </c>
      <c r="X857">
        <v>49</v>
      </c>
      <c r="Y857">
        <v>32224762</v>
      </c>
      <c r="Z857" t="s">
        <v>91</v>
      </c>
      <c r="AA857" t="s">
        <v>91</v>
      </c>
      <c r="AB857" t="s">
        <v>91</v>
      </c>
      <c r="AC857" t="s">
        <v>91</v>
      </c>
      <c r="AD857" t="s">
        <v>91</v>
      </c>
      <c r="AE857" t="s">
        <v>91</v>
      </c>
      <c r="AF857" t="s">
        <v>91</v>
      </c>
      <c r="AG857" s="1" t="s">
        <v>91</v>
      </c>
      <c r="AH857" s="1" t="s">
        <v>91</v>
      </c>
      <c r="AI857" t="s">
        <v>91</v>
      </c>
      <c r="AM857" t="s">
        <v>91</v>
      </c>
      <c r="AN857" t="s">
        <v>91</v>
      </c>
      <c r="AO857" t="s">
        <v>91</v>
      </c>
      <c r="AP857" t="s">
        <v>91</v>
      </c>
      <c r="AQ857" s="1" t="s">
        <v>91</v>
      </c>
      <c r="AR857" s="1" t="s">
        <v>91</v>
      </c>
      <c r="AS857" s="1" t="s">
        <v>91</v>
      </c>
      <c r="AT857" s="1" t="s">
        <v>91</v>
      </c>
      <c r="AU857" s="1" t="s">
        <v>91</v>
      </c>
      <c r="AV857" t="s">
        <v>91</v>
      </c>
      <c r="AW857" t="s">
        <v>91</v>
      </c>
      <c r="AX857" t="s">
        <v>91</v>
      </c>
      <c r="AY857" t="s">
        <v>91</v>
      </c>
      <c r="AZ857" t="s">
        <v>91</v>
      </c>
      <c r="BA857" t="s">
        <v>91</v>
      </c>
      <c r="BB857" s="2">
        <v>45118.097175925926</v>
      </c>
      <c r="BC857" s="2"/>
      <c r="BD857" t="s">
        <v>91</v>
      </c>
      <c r="BF857" s="1" t="s">
        <v>75</v>
      </c>
      <c r="BI857" s="1" t="s">
        <v>88</v>
      </c>
      <c r="BJ857">
        <v>1</v>
      </c>
      <c r="BK857" s="1" t="s">
        <v>89</v>
      </c>
      <c r="BL857" t="s">
        <v>91</v>
      </c>
      <c r="BM857" s="1" t="s">
        <v>91</v>
      </c>
      <c r="BN857" s="1" t="s">
        <v>91</v>
      </c>
      <c r="BO857" s="1" t="s">
        <v>91</v>
      </c>
      <c r="BP857" s="1" t="s">
        <v>91</v>
      </c>
      <c r="BQ857" t="s">
        <v>91</v>
      </c>
      <c r="BR857" s="3">
        <v>45118</v>
      </c>
      <c r="BS857" s="3"/>
      <c r="BT857" t="s">
        <v>91</v>
      </c>
      <c r="BU857" t="s">
        <v>91</v>
      </c>
      <c r="BW857" s="1" t="s">
        <v>90</v>
      </c>
    </row>
    <row r="858" spans="1:75" hidden="1" x14ac:dyDescent="0.35">
      <c r="A858">
        <v>157733</v>
      </c>
      <c r="B858" s="1" t="s">
        <v>75</v>
      </c>
      <c r="C858">
        <v>80</v>
      </c>
      <c r="D858">
        <v>11121002</v>
      </c>
      <c r="E858">
        <v>121002</v>
      </c>
      <c r="F858" s="1" t="s">
        <v>2915</v>
      </c>
      <c r="G858" s="1" t="s">
        <v>4876</v>
      </c>
      <c r="H858">
        <v>0</v>
      </c>
      <c r="I858" s="1" t="s">
        <v>78</v>
      </c>
      <c r="J858" s="1" t="s">
        <v>4877</v>
      </c>
      <c r="K858" s="1" t="s">
        <v>4878</v>
      </c>
      <c r="L858" t="s">
        <v>91</v>
      </c>
      <c r="M858" t="s">
        <v>91</v>
      </c>
      <c r="N858" s="1" t="s">
        <v>91</v>
      </c>
      <c r="O858" t="s">
        <v>91</v>
      </c>
      <c r="P858" s="1" t="s">
        <v>3485</v>
      </c>
      <c r="Q858" s="1" t="s">
        <v>2300</v>
      </c>
      <c r="R858" s="1" t="s">
        <v>4879</v>
      </c>
      <c r="S858">
        <v>1259</v>
      </c>
      <c r="T858">
        <v>88117900</v>
      </c>
      <c r="U858" s="1" t="s">
        <v>2957</v>
      </c>
      <c r="V858" s="1" t="s">
        <v>2958</v>
      </c>
      <c r="W858" s="1" t="s">
        <v>87</v>
      </c>
      <c r="X858">
        <v>48</v>
      </c>
      <c r="Y858">
        <v>32576892</v>
      </c>
      <c r="Z858" t="s">
        <v>91</v>
      </c>
      <c r="AA858" t="s">
        <v>91</v>
      </c>
      <c r="AB858" t="s">
        <v>91</v>
      </c>
      <c r="AC858" t="s">
        <v>91</v>
      </c>
      <c r="AD858" t="s">
        <v>91</v>
      </c>
      <c r="AE858" t="s">
        <v>91</v>
      </c>
      <c r="AF858" t="s">
        <v>91</v>
      </c>
      <c r="AG858" s="1" t="s">
        <v>91</v>
      </c>
      <c r="AH858" s="1" t="s">
        <v>91</v>
      </c>
      <c r="AI858" t="s">
        <v>91</v>
      </c>
      <c r="AM858" t="s">
        <v>91</v>
      </c>
      <c r="AN858" t="s">
        <v>91</v>
      </c>
      <c r="AO858" t="s">
        <v>91</v>
      </c>
      <c r="AP858" t="s">
        <v>91</v>
      </c>
      <c r="AQ858" s="1" t="s">
        <v>91</v>
      </c>
      <c r="AR858" s="1" t="s">
        <v>91</v>
      </c>
      <c r="AS858" s="1" t="s">
        <v>91</v>
      </c>
      <c r="AT858" s="1" t="s">
        <v>91</v>
      </c>
      <c r="AU858" s="1" t="s">
        <v>91</v>
      </c>
      <c r="AV858" t="s">
        <v>91</v>
      </c>
      <c r="AW858" t="s">
        <v>91</v>
      </c>
      <c r="AX858" t="s">
        <v>91</v>
      </c>
      <c r="AY858" t="s">
        <v>91</v>
      </c>
      <c r="AZ858" t="s">
        <v>91</v>
      </c>
      <c r="BA858" t="s">
        <v>91</v>
      </c>
      <c r="BB858" s="2">
        <v>45118.097175925926</v>
      </c>
      <c r="BC858" s="2"/>
      <c r="BD858" t="s">
        <v>91</v>
      </c>
      <c r="BF858" s="1" t="s">
        <v>75</v>
      </c>
      <c r="BI858" s="1" t="s">
        <v>88</v>
      </c>
      <c r="BJ858">
        <v>1</v>
      </c>
      <c r="BK858" s="1" t="s">
        <v>89</v>
      </c>
      <c r="BL858" t="s">
        <v>91</v>
      </c>
      <c r="BM858" s="1" t="s">
        <v>91</v>
      </c>
      <c r="BN858" s="1" t="s">
        <v>91</v>
      </c>
      <c r="BO858" s="1" t="s">
        <v>91</v>
      </c>
      <c r="BP858" s="1" t="s">
        <v>91</v>
      </c>
      <c r="BQ858" t="s">
        <v>91</v>
      </c>
      <c r="BR858" s="3">
        <v>45118</v>
      </c>
      <c r="BS858" s="3"/>
      <c r="BT858" t="s">
        <v>91</v>
      </c>
      <c r="BU858" t="s">
        <v>91</v>
      </c>
      <c r="BW858" s="1" t="s">
        <v>90</v>
      </c>
    </row>
    <row r="859" spans="1:75" hidden="1" x14ac:dyDescent="0.35">
      <c r="A859">
        <v>21</v>
      </c>
      <c r="B859" s="1" t="s">
        <v>75</v>
      </c>
      <c r="C859">
        <v>80</v>
      </c>
      <c r="D859">
        <v>11121002</v>
      </c>
      <c r="E859">
        <v>121002</v>
      </c>
      <c r="F859" s="1" t="s">
        <v>2915</v>
      </c>
      <c r="G859" s="1" t="s">
        <v>4880</v>
      </c>
      <c r="I859" s="1" t="s">
        <v>78</v>
      </c>
      <c r="J859" s="1" t="s">
        <v>4881</v>
      </c>
      <c r="K859" s="1" t="s">
        <v>4882</v>
      </c>
      <c r="L859" t="s">
        <v>91</v>
      </c>
      <c r="M859" t="s">
        <v>91</v>
      </c>
      <c r="N859" s="1" t="s">
        <v>4883</v>
      </c>
      <c r="O859" t="s">
        <v>91</v>
      </c>
      <c r="P859" s="1" t="s">
        <v>4884</v>
      </c>
      <c r="Q859" s="1" t="s">
        <v>4885</v>
      </c>
      <c r="R859" s="1" t="s">
        <v>4886</v>
      </c>
      <c r="S859">
        <v>1269</v>
      </c>
      <c r="T859">
        <v>88806000</v>
      </c>
      <c r="U859" s="1" t="s">
        <v>4887</v>
      </c>
      <c r="V859" s="1" t="s">
        <v>3231</v>
      </c>
      <c r="W859" s="1" t="s">
        <v>87</v>
      </c>
      <c r="X859">
        <v>48</v>
      </c>
      <c r="Y859">
        <v>34380094</v>
      </c>
      <c r="Z859" t="s">
        <v>91</v>
      </c>
      <c r="AA859" t="s">
        <v>91</v>
      </c>
      <c r="AB859" t="s">
        <v>91</v>
      </c>
      <c r="AC859" t="s">
        <v>91</v>
      </c>
      <c r="AD859" t="s">
        <v>91</v>
      </c>
      <c r="AE859" t="s">
        <v>91</v>
      </c>
      <c r="AF859" t="s">
        <v>91</v>
      </c>
      <c r="AG859" s="1" t="s">
        <v>91</v>
      </c>
      <c r="AH859" s="1" t="s">
        <v>91</v>
      </c>
      <c r="AI859" t="s">
        <v>91</v>
      </c>
      <c r="AJ859">
        <v>0</v>
      </c>
      <c r="AK859">
        <v>0</v>
      </c>
      <c r="AL859">
        <v>0</v>
      </c>
      <c r="AM859" t="s">
        <v>91</v>
      </c>
      <c r="AN859" t="s">
        <v>91</v>
      </c>
      <c r="AO859" t="s">
        <v>91</v>
      </c>
      <c r="AP859" t="s">
        <v>91</v>
      </c>
      <c r="AQ859" s="1" t="s">
        <v>91</v>
      </c>
      <c r="AR859" s="1" t="s">
        <v>91</v>
      </c>
      <c r="AS859" s="1" t="s">
        <v>91</v>
      </c>
      <c r="AT859" s="1" t="s">
        <v>91</v>
      </c>
      <c r="AU859" s="1" t="s">
        <v>91</v>
      </c>
      <c r="AV859" t="s">
        <v>91</v>
      </c>
      <c r="AW859" t="s">
        <v>91</v>
      </c>
      <c r="AX859" t="s">
        <v>91</v>
      </c>
      <c r="AY859" t="s">
        <v>91</v>
      </c>
      <c r="AZ859" t="s">
        <v>91</v>
      </c>
      <c r="BA859" t="s">
        <v>91</v>
      </c>
      <c r="BB859" s="2">
        <v>43308.39271990741</v>
      </c>
      <c r="BC859" s="2"/>
      <c r="BD859" t="s">
        <v>91</v>
      </c>
      <c r="BE859">
        <v>21</v>
      </c>
      <c r="BF859" s="1" t="s">
        <v>75</v>
      </c>
      <c r="BG859">
        <v>0</v>
      </c>
      <c r="BH859">
        <v>0</v>
      </c>
      <c r="BI859" s="1" t="s">
        <v>88</v>
      </c>
      <c r="BJ859">
        <v>1</v>
      </c>
      <c r="BK859" s="1" t="s">
        <v>89</v>
      </c>
      <c r="BL859" t="s">
        <v>91</v>
      </c>
      <c r="BM859" s="1" t="s">
        <v>109</v>
      </c>
      <c r="BN859" s="1" t="s">
        <v>110</v>
      </c>
      <c r="BO859" s="1" t="s">
        <v>180</v>
      </c>
      <c r="BP859" s="1" t="s">
        <v>91</v>
      </c>
      <c r="BQ859" t="s">
        <v>91</v>
      </c>
      <c r="BR859" s="3">
        <v>43308</v>
      </c>
      <c r="BS859" s="3"/>
      <c r="BT859" t="s">
        <v>91</v>
      </c>
      <c r="BU859" t="s">
        <v>91</v>
      </c>
      <c r="BV859">
        <v>9</v>
      </c>
      <c r="BW859" s="1" t="s">
        <v>90</v>
      </c>
    </row>
    <row r="860" spans="1:75" hidden="1" x14ac:dyDescent="0.35">
      <c r="A860">
        <v>157588</v>
      </c>
      <c r="B860" s="1" t="s">
        <v>75</v>
      </c>
      <c r="C860">
        <v>80</v>
      </c>
      <c r="D860">
        <v>11121002</v>
      </c>
      <c r="E860">
        <v>121002</v>
      </c>
      <c r="F860" s="1" t="s">
        <v>2915</v>
      </c>
      <c r="G860" s="1" t="s">
        <v>4888</v>
      </c>
      <c r="H860">
        <v>0</v>
      </c>
      <c r="I860" s="1" t="s">
        <v>78</v>
      </c>
      <c r="J860" s="1" t="s">
        <v>4889</v>
      </c>
      <c r="K860" s="1" t="s">
        <v>4890</v>
      </c>
      <c r="L860" t="s">
        <v>91</v>
      </c>
      <c r="M860" t="s">
        <v>91</v>
      </c>
      <c r="N860" s="1" t="s">
        <v>4891</v>
      </c>
      <c r="O860" t="s">
        <v>91</v>
      </c>
      <c r="P860" s="1" t="s">
        <v>4892</v>
      </c>
      <c r="Q860" s="1" t="s">
        <v>4893</v>
      </c>
      <c r="R860" s="1" t="s">
        <v>833</v>
      </c>
      <c r="S860">
        <v>1269</v>
      </c>
      <c r="T860">
        <v>88890000</v>
      </c>
      <c r="U860" s="1" t="s">
        <v>108</v>
      </c>
      <c r="V860" s="1" t="s">
        <v>4894</v>
      </c>
      <c r="W860" s="1" t="s">
        <v>87</v>
      </c>
      <c r="X860">
        <v>48</v>
      </c>
      <c r="Y860">
        <v>36521068</v>
      </c>
      <c r="Z860" t="s">
        <v>91</v>
      </c>
      <c r="AA860" t="s">
        <v>91</v>
      </c>
      <c r="AB860" t="s">
        <v>91</v>
      </c>
      <c r="AC860" t="s">
        <v>91</v>
      </c>
      <c r="AD860" t="s">
        <v>91</v>
      </c>
      <c r="AE860" t="s">
        <v>91</v>
      </c>
      <c r="AF860" t="s">
        <v>91</v>
      </c>
      <c r="AG860" s="1" t="s">
        <v>91</v>
      </c>
      <c r="AH860" s="1" t="s">
        <v>91</v>
      </c>
      <c r="AI860" t="s">
        <v>91</v>
      </c>
      <c r="AM860" t="s">
        <v>91</v>
      </c>
      <c r="AN860" t="s">
        <v>91</v>
      </c>
      <c r="AO860" t="s">
        <v>91</v>
      </c>
      <c r="AP860" t="s">
        <v>91</v>
      </c>
      <c r="AQ860" s="1" t="s">
        <v>91</v>
      </c>
      <c r="AR860" s="1" t="s">
        <v>91</v>
      </c>
      <c r="AS860" s="1" t="s">
        <v>91</v>
      </c>
      <c r="AT860" s="1" t="s">
        <v>91</v>
      </c>
      <c r="AU860" s="1" t="s">
        <v>91</v>
      </c>
      <c r="AV860" t="s">
        <v>91</v>
      </c>
      <c r="AW860" t="s">
        <v>91</v>
      </c>
      <c r="AX860" t="s">
        <v>91</v>
      </c>
      <c r="AY860" t="s">
        <v>91</v>
      </c>
      <c r="AZ860" t="s">
        <v>91</v>
      </c>
      <c r="BA860" t="s">
        <v>91</v>
      </c>
      <c r="BB860" s="2">
        <v>45118.097175925926</v>
      </c>
      <c r="BC860" s="2"/>
      <c r="BD860" t="s">
        <v>91</v>
      </c>
      <c r="BF860" s="1" t="s">
        <v>75</v>
      </c>
      <c r="BI860" s="1" t="s">
        <v>88</v>
      </c>
      <c r="BJ860">
        <v>1</v>
      </c>
      <c r="BK860" s="1" t="s">
        <v>89</v>
      </c>
      <c r="BL860" t="s">
        <v>91</v>
      </c>
      <c r="BM860" s="1" t="s">
        <v>91</v>
      </c>
      <c r="BN860" s="1" t="s">
        <v>91</v>
      </c>
      <c r="BO860" s="1" t="s">
        <v>91</v>
      </c>
      <c r="BP860" s="1" t="s">
        <v>91</v>
      </c>
      <c r="BQ860" t="s">
        <v>91</v>
      </c>
      <c r="BR860" s="3">
        <v>45118</v>
      </c>
      <c r="BS860" s="3"/>
      <c r="BT860" t="s">
        <v>91</v>
      </c>
      <c r="BU860" t="s">
        <v>91</v>
      </c>
      <c r="BW860" s="1" t="s">
        <v>90</v>
      </c>
    </row>
    <row r="861" spans="1:75" hidden="1" x14ac:dyDescent="0.35">
      <c r="A861">
        <v>157646</v>
      </c>
      <c r="B861" s="1" t="s">
        <v>75</v>
      </c>
      <c r="C861">
        <v>80</v>
      </c>
      <c r="D861">
        <v>11121002</v>
      </c>
      <c r="E861">
        <v>121002</v>
      </c>
      <c r="F861" s="1" t="s">
        <v>2915</v>
      </c>
      <c r="G861" s="1" t="s">
        <v>4895</v>
      </c>
      <c r="H861">
        <v>0</v>
      </c>
      <c r="I861" s="1" t="s">
        <v>78</v>
      </c>
      <c r="J861" s="1" t="s">
        <v>4896</v>
      </c>
      <c r="K861" s="1" t="s">
        <v>4897</v>
      </c>
      <c r="L861" t="s">
        <v>91</v>
      </c>
      <c r="M861" t="s">
        <v>91</v>
      </c>
      <c r="N861" s="1" t="s">
        <v>4898</v>
      </c>
      <c r="O861" t="s">
        <v>91</v>
      </c>
      <c r="P861" s="1" t="s">
        <v>3512</v>
      </c>
      <c r="Q861" s="1" t="s">
        <v>3513</v>
      </c>
      <c r="R861" s="1" t="s">
        <v>370</v>
      </c>
      <c r="S861">
        <v>1269</v>
      </c>
      <c r="T861">
        <v>88830000</v>
      </c>
      <c r="U861" s="1" t="s">
        <v>108</v>
      </c>
      <c r="V861" s="1" t="s">
        <v>3515</v>
      </c>
      <c r="W861" s="1" t="s">
        <v>87</v>
      </c>
      <c r="X861">
        <v>48</v>
      </c>
      <c r="Y861">
        <v>34344221</v>
      </c>
      <c r="Z861" t="s">
        <v>91</v>
      </c>
      <c r="AA861" t="s">
        <v>91</v>
      </c>
      <c r="AB861" t="s">
        <v>91</v>
      </c>
      <c r="AC861" t="s">
        <v>91</v>
      </c>
      <c r="AD861" t="s">
        <v>91</v>
      </c>
      <c r="AE861" t="s">
        <v>91</v>
      </c>
      <c r="AF861" t="s">
        <v>91</v>
      </c>
      <c r="AG861" s="1" t="s">
        <v>91</v>
      </c>
      <c r="AH861" s="1" t="s">
        <v>91</v>
      </c>
      <c r="AI861" t="s">
        <v>91</v>
      </c>
      <c r="AM861" t="s">
        <v>91</v>
      </c>
      <c r="AN861" t="s">
        <v>91</v>
      </c>
      <c r="AO861" t="s">
        <v>91</v>
      </c>
      <c r="AP861" t="s">
        <v>91</v>
      </c>
      <c r="AQ861" s="1" t="s">
        <v>91</v>
      </c>
      <c r="AR861" s="1" t="s">
        <v>91</v>
      </c>
      <c r="AS861" s="1" t="s">
        <v>91</v>
      </c>
      <c r="AT861" s="1" t="s">
        <v>91</v>
      </c>
      <c r="AU861" s="1" t="s">
        <v>91</v>
      </c>
      <c r="AV861" t="s">
        <v>91</v>
      </c>
      <c r="AW861" t="s">
        <v>91</v>
      </c>
      <c r="AX861" t="s">
        <v>91</v>
      </c>
      <c r="AY861" t="s">
        <v>91</v>
      </c>
      <c r="AZ861" t="s">
        <v>91</v>
      </c>
      <c r="BA861" t="s">
        <v>91</v>
      </c>
      <c r="BB861" s="2">
        <v>45118.097175925926</v>
      </c>
      <c r="BC861" s="2"/>
      <c r="BD861" t="s">
        <v>91</v>
      </c>
      <c r="BF861" s="1" t="s">
        <v>75</v>
      </c>
      <c r="BI861" s="1" t="s">
        <v>88</v>
      </c>
      <c r="BJ861">
        <v>1</v>
      </c>
      <c r="BK861" s="1" t="s">
        <v>89</v>
      </c>
      <c r="BL861" t="s">
        <v>91</v>
      </c>
      <c r="BM861" s="1" t="s">
        <v>91</v>
      </c>
      <c r="BN861" s="1" t="s">
        <v>91</v>
      </c>
      <c r="BO861" s="1" t="s">
        <v>91</v>
      </c>
      <c r="BP861" s="1" t="s">
        <v>91</v>
      </c>
      <c r="BQ861" t="s">
        <v>91</v>
      </c>
      <c r="BR861" s="3">
        <v>45118</v>
      </c>
      <c r="BS861" s="3"/>
      <c r="BT861" t="s">
        <v>91</v>
      </c>
      <c r="BU861" t="s">
        <v>91</v>
      </c>
      <c r="BW861" s="1" t="s">
        <v>90</v>
      </c>
    </row>
    <row r="862" spans="1:75" hidden="1" x14ac:dyDescent="0.35">
      <c r="A862">
        <v>144838</v>
      </c>
      <c r="B862" s="1" t="s">
        <v>75</v>
      </c>
      <c r="C862">
        <v>80</v>
      </c>
      <c r="D862">
        <v>11121002</v>
      </c>
      <c r="E862">
        <v>121002</v>
      </c>
      <c r="F862" s="1" t="s">
        <v>2915</v>
      </c>
      <c r="G862" s="1" t="s">
        <v>4899</v>
      </c>
      <c r="I862" s="1" t="s">
        <v>78</v>
      </c>
      <c r="J862" s="1" t="s">
        <v>4900</v>
      </c>
      <c r="K862" s="1" t="s">
        <v>4901</v>
      </c>
      <c r="L862" t="s">
        <v>91</v>
      </c>
      <c r="M862" t="s">
        <v>91</v>
      </c>
      <c r="N862" s="1" t="s">
        <v>4902</v>
      </c>
      <c r="O862" t="s">
        <v>91</v>
      </c>
      <c r="P862" s="1" t="s">
        <v>4903</v>
      </c>
      <c r="Q862" s="1" t="s">
        <v>1865</v>
      </c>
      <c r="R862" s="1" t="s">
        <v>4904</v>
      </c>
      <c r="S862">
        <v>1336</v>
      </c>
      <c r="T862">
        <v>95560000</v>
      </c>
      <c r="U862" s="1" t="s">
        <v>108</v>
      </c>
      <c r="V862" s="1" t="s">
        <v>3038</v>
      </c>
      <c r="W862" s="1" t="s">
        <v>157</v>
      </c>
      <c r="X862">
        <v>51</v>
      </c>
      <c r="Y862">
        <v>21443040</v>
      </c>
      <c r="Z862" t="s">
        <v>91</v>
      </c>
      <c r="AA862" t="s">
        <v>91</v>
      </c>
      <c r="AB862" t="s">
        <v>91</v>
      </c>
      <c r="AC862" t="s">
        <v>91</v>
      </c>
      <c r="AD862" t="s">
        <v>91</v>
      </c>
      <c r="AE862" t="s">
        <v>91</v>
      </c>
      <c r="AF862" t="s">
        <v>91</v>
      </c>
      <c r="AG862" s="1" t="s">
        <v>91</v>
      </c>
      <c r="AH862" s="1" t="s">
        <v>91</v>
      </c>
      <c r="AI862" t="s">
        <v>91</v>
      </c>
      <c r="AJ862">
        <v>0</v>
      </c>
      <c r="AK862">
        <v>0</v>
      </c>
      <c r="AL862">
        <v>0</v>
      </c>
      <c r="AM862" t="s">
        <v>91</v>
      </c>
      <c r="AN862" t="s">
        <v>91</v>
      </c>
      <c r="AO862" t="s">
        <v>91</v>
      </c>
      <c r="AP862" t="s">
        <v>91</v>
      </c>
      <c r="AQ862" s="1" t="s">
        <v>91</v>
      </c>
      <c r="AR862" s="1" t="s">
        <v>91</v>
      </c>
      <c r="AS862" s="1" t="s">
        <v>91</v>
      </c>
      <c r="AT862" s="1" t="s">
        <v>91</v>
      </c>
      <c r="AU862" s="1" t="s">
        <v>91</v>
      </c>
      <c r="AV862" t="s">
        <v>91</v>
      </c>
      <c r="AW862" t="s">
        <v>91</v>
      </c>
      <c r="AX862" t="s">
        <v>91</v>
      </c>
      <c r="AY862" t="s">
        <v>91</v>
      </c>
      <c r="AZ862" t="s">
        <v>91</v>
      </c>
      <c r="BA862" t="s">
        <v>91</v>
      </c>
      <c r="BB862" s="2"/>
      <c r="BC862" s="2"/>
      <c r="BD862" t="s">
        <v>91</v>
      </c>
      <c r="BF862" s="1" t="s">
        <v>75</v>
      </c>
      <c r="BG862">
        <v>0</v>
      </c>
      <c r="BH862">
        <v>0</v>
      </c>
      <c r="BI862" s="1" t="s">
        <v>88</v>
      </c>
      <c r="BJ862">
        <v>1</v>
      </c>
      <c r="BK862" s="1" t="s">
        <v>89</v>
      </c>
      <c r="BL862" t="s">
        <v>91</v>
      </c>
      <c r="BM862" s="1" t="s">
        <v>91</v>
      </c>
      <c r="BN862" s="1" t="s">
        <v>91</v>
      </c>
      <c r="BO862" s="1" t="s">
        <v>180</v>
      </c>
      <c r="BP862" s="1" t="s">
        <v>91</v>
      </c>
      <c r="BQ862" t="s">
        <v>91</v>
      </c>
      <c r="BR862" s="3"/>
      <c r="BS862" s="3"/>
      <c r="BT862" t="s">
        <v>91</v>
      </c>
      <c r="BU862" t="s">
        <v>91</v>
      </c>
      <c r="BW862" s="1" t="s">
        <v>90</v>
      </c>
    </row>
    <row r="863" spans="1:75" hidden="1" x14ac:dyDescent="0.35">
      <c r="A863">
        <v>134228</v>
      </c>
      <c r="B863" s="1" t="s">
        <v>75</v>
      </c>
      <c r="C863">
        <v>80</v>
      </c>
      <c r="D863">
        <v>11121002</v>
      </c>
      <c r="E863">
        <v>121002</v>
      </c>
      <c r="F863" s="1" t="s">
        <v>2915</v>
      </c>
      <c r="G863" s="1" t="s">
        <v>4905</v>
      </c>
      <c r="I863" s="1" t="s">
        <v>78</v>
      </c>
      <c r="J863" s="1" t="s">
        <v>4906</v>
      </c>
      <c r="K863" s="1" t="s">
        <v>4907</v>
      </c>
      <c r="L863" t="s">
        <v>91</v>
      </c>
      <c r="M863" t="s">
        <v>91</v>
      </c>
      <c r="N863" s="1" t="s">
        <v>4908</v>
      </c>
      <c r="O863" t="s">
        <v>91</v>
      </c>
      <c r="P863" s="1" t="s">
        <v>2326</v>
      </c>
      <c r="Q863" s="1" t="s">
        <v>1610</v>
      </c>
      <c r="R863" s="1" t="s">
        <v>91</v>
      </c>
      <c r="S863">
        <v>1254</v>
      </c>
      <c r="T863">
        <v>88010030</v>
      </c>
      <c r="U863" s="1" t="s">
        <v>108</v>
      </c>
      <c r="V863" s="1" t="s">
        <v>3102</v>
      </c>
      <c r="W863" s="1" t="s">
        <v>87</v>
      </c>
      <c r="X863">
        <v>48</v>
      </c>
      <c r="Y863">
        <v>30241350</v>
      </c>
      <c r="Z863" t="s">
        <v>91</v>
      </c>
      <c r="AA863" t="s">
        <v>91</v>
      </c>
      <c r="AB863" t="s">
        <v>91</v>
      </c>
      <c r="AC863" t="s">
        <v>91</v>
      </c>
      <c r="AD863" t="s">
        <v>91</v>
      </c>
      <c r="AE863" t="s">
        <v>91</v>
      </c>
      <c r="AF863" t="s">
        <v>91</v>
      </c>
      <c r="AG863" s="1" t="s">
        <v>146</v>
      </c>
      <c r="AH863" s="1" t="s">
        <v>91</v>
      </c>
      <c r="AI863" t="s">
        <v>91</v>
      </c>
      <c r="AJ863">
        <v>0</v>
      </c>
      <c r="AK863">
        <v>0</v>
      </c>
      <c r="AL863">
        <v>0</v>
      </c>
      <c r="AM863" t="s">
        <v>91</v>
      </c>
      <c r="AN863" t="s">
        <v>91</v>
      </c>
      <c r="AO863" t="s">
        <v>91</v>
      </c>
      <c r="AP863" t="s">
        <v>91</v>
      </c>
      <c r="AQ863" s="1" t="s">
        <v>147</v>
      </c>
      <c r="AR863" s="1" t="s">
        <v>147</v>
      </c>
      <c r="AS863" s="1" t="s">
        <v>147</v>
      </c>
      <c r="AT863" s="1" t="s">
        <v>147</v>
      </c>
      <c r="AU863" s="1" t="s">
        <v>147</v>
      </c>
      <c r="AV863" t="s">
        <v>91</v>
      </c>
      <c r="AW863" t="s">
        <v>91</v>
      </c>
      <c r="AX863" t="s">
        <v>91</v>
      </c>
      <c r="AY863" t="s">
        <v>91</v>
      </c>
      <c r="AZ863" t="s">
        <v>91</v>
      </c>
      <c r="BA863" t="s">
        <v>91</v>
      </c>
      <c r="BB863" s="2"/>
      <c r="BC863" s="2">
        <v>44623.600555555553</v>
      </c>
      <c r="BD863" t="s">
        <v>91</v>
      </c>
      <c r="BF863" s="1" t="s">
        <v>75</v>
      </c>
      <c r="BG863">
        <v>0</v>
      </c>
      <c r="BH863">
        <v>0</v>
      </c>
      <c r="BI863" s="1" t="s">
        <v>88</v>
      </c>
      <c r="BJ863">
        <v>1</v>
      </c>
      <c r="BK863" s="1" t="s">
        <v>89</v>
      </c>
      <c r="BL863" t="s">
        <v>91</v>
      </c>
      <c r="BM863" s="1" t="s">
        <v>109</v>
      </c>
      <c r="BN863" s="1" t="s">
        <v>110</v>
      </c>
      <c r="BO863" s="1" t="s">
        <v>180</v>
      </c>
      <c r="BP863" s="1" t="s">
        <v>91</v>
      </c>
      <c r="BQ863" t="s">
        <v>91</v>
      </c>
      <c r="BR863" s="3"/>
      <c r="BS863" s="3">
        <v>44623</v>
      </c>
      <c r="BT863" t="s">
        <v>91</v>
      </c>
      <c r="BU863" t="s">
        <v>91</v>
      </c>
      <c r="BV863">
        <v>9</v>
      </c>
      <c r="BW863" s="1" t="s">
        <v>2414</v>
      </c>
    </row>
    <row r="864" spans="1:75" hidden="1" x14ac:dyDescent="0.35">
      <c r="A864">
        <v>156906</v>
      </c>
      <c r="B864" s="1" t="s">
        <v>75</v>
      </c>
      <c r="C864">
        <v>80</v>
      </c>
      <c r="D864">
        <v>11121002</v>
      </c>
      <c r="E864">
        <v>121002</v>
      </c>
      <c r="F864" s="1" t="s">
        <v>2915</v>
      </c>
      <c r="G864" s="1" t="s">
        <v>4909</v>
      </c>
      <c r="H864">
        <v>0</v>
      </c>
      <c r="I864" s="1" t="s">
        <v>78</v>
      </c>
      <c r="J864" s="1" t="s">
        <v>4910</v>
      </c>
      <c r="K864" s="1" t="s">
        <v>4911</v>
      </c>
      <c r="L864" t="s">
        <v>91</v>
      </c>
      <c r="M864" t="s">
        <v>91</v>
      </c>
      <c r="N864" s="1" t="s">
        <v>4912</v>
      </c>
      <c r="O864" t="s">
        <v>91</v>
      </c>
      <c r="P864" s="1" t="s">
        <v>4913</v>
      </c>
      <c r="Q864" s="1" t="s">
        <v>4914</v>
      </c>
      <c r="R864" s="1" t="s">
        <v>91</v>
      </c>
      <c r="S864">
        <v>1268</v>
      </c>
      <c r="T864">
        <v>88790000</v>
      </c>
      <c r="U864" s="1" t="s">
        <v>108</v>
      </c>
      <c r="V864" s="1" t="s">
        <v>2971</v>
      </c>
      <c r="W864" s="1" t="s">
        <v>87</v>
      </c>
      <c r="X864">
        <v>48</v>
      </c>
      <c r="Y864">
        <v>996608862</v>
      </c>
      <c r="Z864" t="s">
        <v>91</v>
      </c>
      <c r="AA864" t="s">
        <v>91</v>
      </c>
      <c r="AB864" t="s">
        <v>91</v>
      </c>
      <c r="AC864" t="s">
        <v>91</v>
      </c>
      <c r="AD864" t="s">
        <v>91</v>
      </c>
      <c r="AE864" t="s">
        <v>91</v>
      </c>
      <c r="AF864" t="s">
        <v>91</v>
      </c>
      <c r="AG864" s="1" t="s">
        <v>91</v>
      </c>
      <c r="AH864" s="1" t="s">
        <v>91</v>
      </c>
      <c r="AI864" t="s">
        <v>91</v>
      </c>
      <c r="AM864" t="s">
        <v>91</v>
      </c>
      <c r="AN864" t="s">
        <v>91</v>
      </c>
      <c r="AO864" t="s">
        <v>91</v>
      </c>
      <c r="AP864" t="s">
        <v>91</v>
      </c>
      <c r="AQ864" s="1" t="s">
        <v>91</v>
      </c>
      <c r="AR864" s="1" t="s">
        <v>91</v>
      </c>
      <c r="AS864" s="1" t="s">
        <v>91</v>
      </c>
      <c r="AT864" s="1" t="s">
        <v>91</v>
      </c>
      <c r="AU864" s="1" t="s">
        <v>91</v>
      </c>
      <c r="AV864" t="s">
        <v>91</v>
      </c>
      <c r="AW864" t="s">
        <v>91</v>
      </c>
      <c r="AX864" t="s">
        <v>91</v>
      </c>
      <c r="AY864" t="s">
        <v>91</v>
      </c>
      <c r="AZ864" t="s">
        <v>91</v>
      </c>
      <c r="BA864" t="s">
        <v>91</v>
      </c>
      <c r="BB864" s="2">
        <v>45113.505416666667</v>
      </c>
      <c r="BC864" s="2"/>
      <c r="BD864" t="s">
        <v>91</v>
      </c>
      <c r="BF864" s="1" t="s">
        <v>75</v>
      </c>
      <c r="BI864" s="1" t="s">
        <v>88</v>
      </c>
      <c r="BJ864">
        <v>1</v>
      </c>
      <c r="BK864" s="1" t="s">
        <v>89</v>
      </c>
      <c r="BL864" t="s">
        <v>91</v>
      </c>
      <c r="BM864" s="1" t="s">
        <v>91</v>
      </c>
      <c r="BN864" s="1" t="s">
        <v>91</v>
      </c>
      <c r="BO864" s="1" t="s">
        <v>91</v>
      </c>
      <c r="BP864" s="1" t="s">
        <v>91</v>
      </c>
      <c r="BQ864" t="s">
        <v>91</v>
      </c>
      <c r="BR864" s="3">
        <v>45113</v>
      </c>
      <c r="BS864" s="3"/>
      <c r="BT864" t="s">
        <v>91</v>
      </c>
      <c r="BU864" t="s">
        <v>91</v>
      </c>
      <c r="BW864" s="1" t="s">
        <v>90</v>
      </c>
    </row>
    <row r="865" spans="1:75" hidden="1" x14ac:dyDescent="0.35">
      <c r="A865">
        <v>157734</v>
      </c>
      <c r="B865" s="1" t="s">
        <v>75</v>
      </c>
      <c r="C865">
        <v>80</v>
      </c>
      <c r="D865">
        <v>11121002</v>
      </c>
      <c r="E865">
        <v>121002</v>
      </c>
      <c r="F865" s="1" t="s">
        <v>2915</v>
      </c>
      <c r="G865" s="1" t="s">
        <v>4915</v>
      </c>
      <c r="H865">
        <v>0</v>
      </c>
      <c r="I865" s="1" t="s">
        <v>78</v>
      </c>
      <c r="J865" s="1" t="s">
        <v>4916</v>
      </c>
      <c r="K865" s="1" t="s">
        <v>4917</v>
      </c>
      <c r="L865" t="s">
        <v>91</v>
      </c>
      <c r="M865" t="s">
        <v>91</v>
      </c>
      <c r="N865" s="1" t="s">
        <v>4918</v>
      </c>
      <c r="O865" t="s">
        <v>91</v>
      </c>
      <c r="P865" s="1" t="s">
        <v>311</v>
      </c>
      <c r="Q865" s="1" t="s">
        <v>3101</v>
      </c>
      <c r="R865" s="1" t="s">
        <v>4919</v>
      </c>
      <c r="S865">
        <v>1254</v>
      </c>
      <c r="T865">
        <v>88010000</v>
      </c>
      <c r="U865" s="1" t="s">
        <v>108</v>
      </c>
      <c r="V865" s="1" t="s">
        <v>2922</v>
      </c>
      <c r="W865" s="1" t="s">
        <v>87</v>
      </c>
      <c r="X865">
        <v>48</v>
      </c>
      <c r="Y865">
        <v>32222309</v>
      </c>
      <c r="Z865" t="s">
        <v>91</v>
      </c>
      <c r="AA865" t="s">
        <v>91</v>
      </c>
      <c r="AB865" t="s">
        <v>91</v>
      </c>
      <c r="AC865" t="s">
        <v>91</v>
      </c>
      <c r="AD865" t="s">
        <v>91</v>
      </c>
      <c r="AE865" t="s">
        <v>91</v>
      </c>
      <c r="AF865" t="s">
        <v>91</v>
      </c>
      <c r="AG865" s="1" t="s">
        <v>91</v>
      </c>
      <c r="AH865" s="1" t="s">
        <v>91</v>
      </c>
      <c r="AI865" t="s">
        <v>91</v>
      </c>
      <c r="AM865" t="s">
        <v>91</v>
      </c>
      <c r="AN865" t="s">
        <v>91</v>
      </c>
      <c r="AO865" t="s">
        <v>91</v>
      </c>
      <c r="AP865" t="s">
        <v>91</v>
      </c>
      <c r="AQ865" s="1" t="s">
        <v>91</v>
      </c>
      <c r="AR865" s="1" t="s">
        <v>91</v>
      </c>
      <c r="AS865" s="1" t="s">
        <v>91</v>
      </c>
      <c r="AT865" s="1" t="s">
        <v>91</v>
      </c>
      <c r="AU865" s="1" t="s">
        <v>91</v>
      </c>
      <c r="AV865" t="s">
        <v>91</v>
      </c>
      <c r="AW865" t="s">
        <v>91</v>
      </c>
      <c r="AX865" t="s">
        <v>91</v>
      </c>
      <c r="AY865" t="s">
        <v>91</v>
      </c>
      <c r="AZ865" t="s">
        <v>91</v>
      </c>
      <c r="BA865" t="s">
        <v>91</v>
      </c>
      <c r="BB865" s="2">
        <v>45118.097175925926</v>
      </c>
      <c r="BC865" s="2"/>
      <c r="BD865" t="s">
        <v>91</v>
      </c>
      <c r="BF865" s="1" t="s">
        <v>75</v>
      </c>
      <c r="BI865" s="1" t="s">
        <v>88</v>
      </c>
      <c r="BJ865">
        <v>1</v>
      </c>
      <c r="BK865" s="1" t="s">
        <v>89</v>
      </c>
      <c r="BL865" t="s">
        <v>91</v>
      </c>
      <c r="BM865" s="1" t="s">
        <v>91</v>
      </c>
      <c r="BN865" s="1" t="s">
        <v>91</v>
      </c>
      <c r="BO865" s="1" t="s">
        <v>91</v>
      </c>
      <c r="BP865" s="1" t="s">
        <v>91</v>
      </c>
      <c r="BQ865" t="s">
        <v>91</v>
      </c>
      <c r="BR865" s="3">
        <v>45118</v>
      </c>
      <c r="BS865" s="3"/>
      <c r="BT865" t="s">
        <v>91</v>
      </c>
      <c r="BU865" t="s">
        <v>91</v>
      </c>
      <c r="BW865" s="1" t="s">
        <v>90</v>
      </c>
    </row>
    <row r="866" spans="1:75" hidden="1" x14ac:dyDescent="0.35">
      <c r="A866">
        <v>157616</v>
      </c>
      <c r="B866" s="1" t="s">
        <v>75</v>
      </c>
      <c r="C866">
        <v>80</v>
      </c>
      <c r="D866">
        <v>11121002</v>
      </c>
      <c r="E866">
        <v>121002</v>
      </c>
      <c r="F866" s="1" t="s">
        <v>2915</v>
      </c>
      <c r="G866" s="1" t="s">
        <v>4920</v>
      </c>
      <c r="H866">
        <v>0</v>
      </c>
      <c r="I866" s="1" t="s">
        <v>78</v>
      </c>
      <c r="J866" s="1" t="s">
        <v>4921</v>
      </c>
      <c r="K866" s="1" t="s">
        <v>4922</v>
      </c>
      <c r="L866" t="s">
        <v>91</v>
      </c>
      <c r="M866" t="s">
        <v>91</v>
      </c>
      <c r="N866" s="1" t="s">
        <v>4923</v>
      </c>
      <c r="O866" t="s">
        <v>91</v>
      </c>
      <c r="P866" s="1" t="s">
        <v>4480</v>
      </c>
      <c r="Q866" s="1" t="s">
        <v>255</v>
      </c>
      <c r="R866" s="1" t="s">
        <v>796</v>
      </c>
      <c r="S866">
        <v>1259</v>
      </c>
      <c r="T866">
        <v>88130090</v>
      </c>
      <c r="U866" s="1" t="s">
        <v>108</v>
      </c>
      <c r="V866" s="1" t="s">
        <v>2951</v>
      </c>
      <c r="W866" s="1" t="s">
        <v>87</v>
      </c>
      <c r="X866">
        <v>48</v>
      </c>
      <c r="Y866">
        <v>99592769</v>
      </c>
      <c r="Z866" t="s">
        <v>91</v>
      </c>
      <c r="AA866" t="s">
        <v>91</v>
      </c>
      <c r="AB866" t="s">
        <v>91</v>
      </c>
      <c r="AC866" t="s">
        <v>91</v>
      </c>
      <c r="AD866" t="s">
        <v>91</v>
      </c>
      <c r="AE866" t="s">
        <v>91</v>
      </c>
      <c r="AF866" t="s">
        <v>91</v>
      </c>
      <c r="AG866" s="1" t="s">
        <v>91</v>
      </c>
      <c r="AH866" s="1" t="s">
        <v>91</v>
      </c>
      <c r="AI866" t="s">
        <v>91</v>
      </c>
      <c r="AM866" t="s">
        <v>91</v>
      </c>
      <c r="AN866" t="s">
        <v>91</v>
      </c>
      <c r="AO866" t="s">
        <v>91</v>
      </c>
      <c r="AP866" t="s">
        <v>91</v>
      </c>
      <c r="AQ866" s="1" t="s">
        <v>91</v>
      </c>
      <c r="AR866" s="1" t="s">
        <v>91</v>
      </c>
      <c r="AS866" s="1" t="s">
        <v>91</v>
      </c>
      <c r="AT866" s="1" t="s">
        <v>91</v>
      </c>
      <c r="AU866" s="1" t="s">
        <v>91</v>
      </c>
      <c r="AV866" t="s">
        <v>91</v>
      </c>
      <c r="AW866" t="s">
        <v>91</v>
      </c>
      <c r="AX866" t="s">
        <v>91</v>
      </c>
      <c r="AY866" t="s">
        <v>91</v>
      </c>
      <c r="AZ866" t="s">
        <v>91</v>
      </c>
      <c r="BA866" t="s">
        <v>91</v>
      </c>
      <c r="BB866" s="2">
        <v>45118.097175925926</v>
      </c>
      <c r="BC866" s="2"/>
      <c r="BD866" t="s">
        <v>91</v>
      </c>
      <c r="BF866" s="1" t="s">
        <v>75</v>
      </c>
      <c r="BI866" s="1" t="s">
        <v>88</v>
      </c>
      <c r="BJ866">
        <v>1</v>
      </c>
      <c r="BK866" s="1" t="s">
        <v>89</v>
      </c>
      <c r="BL866" t="s">
        <v>91</v>
      </c>
      <c r="BM866" s="1" t="s">
        <v>91</v>
      </c>
      <c r="BN866" s="1" t="s">
        <v>91</v>
      </c>
      <c r="BO866" s="1" t="s">
        <v>91</v>
      </c>
      <c r="BP866" s="1" t="s">
        <v>91</v>
      </c>
      <c r="BQ866" t="s">
        <v>91</v>
      </c>
      <c r="BR866" s="3">
        <v>45118</v>
      </c>
      <c r="BS866" s="3"/>
      <c r="BT866" t="s">
        <v>91</v>
      </c>
      <c r="BU866" t="s">
        <v>91</v>
      </c>
      <c r="BW866" s="1" t="s">
        <v>90</v>
      </c>
    </row>
    <row r="867" spans="1:75" hidden="1" x14ac:dyDescent="0.35">
      <c r="A867">
        <v>337</v>
      </c>
      <c r="B867" s="1" t="s">
        <v>75</v>
      </c>
      <c r="C867">
        <v>80</v>
      </c>
      <c r="D867">
        <v>11121002</v>
      </c>
      <c r="E867">
        <v>121002</v>
      </c>
      <c r="F867" s="1" t="s">
        <v>2915</v>
      </c>
      <c r="G867" s="1" t="s">
        <v>4924</v>
      </c>
      <c r="I867" s="1" t="s">
        <v>78</v>
      </c>
      <c r="J867" s="1" t="s">
        <v>4925</v>
      </c>
      <c r="K867" s="1" t="s">
        <v>4926</v>
      </c>
      <c r="L867" t="s">
        <v>91</v>
      </c>
      <c r="M867" t="s">
        <v>91</v>
      </c>
      <c r="N867" s="1" t="s">
        <v>4927</v>
      </c>
      <c r="O867" t="s">
        <v>91</v>
      </c>
      <c r="P867" s="1" t="s">
        <v>873</v>
      </c>
      <c r="Q867" s="1" t="s">
        <v>4928</v>
      </c>
      <c r="R867" s="1" t="s">
        <v>91</v>
      </c>
      <c r="S867">
        <v>1259</v>
      </c>
      <c r="T867">
        <v>88103400</v>
      </c>
      <c r="U867" s="1" t="s">
        <v>108</v>
      </c>
      <c r="V867" s="1" t="s">
        <v>3016</v>
      </c>
      <c r="W867" s="1" t="s">
        <v>87</v>
      </c>
      <c r="X867">
        <v>48</v>
      </c>
      <c r="Y867">
        <v>32478227</v>
      </c>
      <c r="Z867" t="s">
        <v>91</v>
      </c>
      <c r="AA867" t="s">
        <v>91</v>
      </c>
      <c r="AB867" t="s">
        <v>91</v>
      </c>
      <c r="AC867" t="s">
        <v>91</v>
      </c>
      <c r="AD867" t="s">
        <v>91</v>
      </c>
      <c r="AE867" t="s">
        <v>91</v>
      </c>
      <c r="AF867" t="s">
        <v>91</v>
      </c>
      <c r="AG867" s="1" t="s">
        <v>91</v>
      </c>
      <c r="AH867" s="1" t="s">
        <v>91</v>
      </c>
      <c r="AI867" t="s">
        <v>91</v>
      </c>
      <c r="AJ867">
        <v>0</v>
      </c>
      <c r="AK867">
        <v>0</v>
      </c>
      <c r="AL867">
        <v>0</v>
      </c>
      <c r="AM867" t="s">
        <v>91</v>
      </c>
      <c r="AN867" t="s">
        <v>91</v>
      </c>
      <c r="AO867" t="s">
        <v>91</v>
      </c>
      <c r="AP867" t="s">
        <v>91</v>
      </c>
      <c r="AQ867" s="1" t="s">
        <v>91</v>
      </c>
      <c r="AR867" s="1" t="s">
        <v>91</v>
      </c>
      <c r="AS867" s="1" t="s">
        <v>91</v>
      </c>
      <c r="AT867" s="1" t="s">
        <v>91</v>
      </c>
      <c r="AU867" s="1" t="s">
        <v>91</v>
      </c>
      <c r="AV867" t="s">
        <v>91</v>
      </c>
      <c r="AW867" t="s">
        <v>91</v>
      </c>
      <c r="AX867" t="s">
        <v>91</v>
      </c>
      <c r="AY867" t="s">
        <v>91</v>
      </c>
      <c r="AZ867" t="s">
        <v>91</v>
      </c>
      <c r="BA867" t="s">
        <v>91</v>
      </c>
      <c r="BB867" s="2">
        <v>43308.392800925925</v>
      </c>
      <c r="BC867" s="2"/>
      <c r="BD867" t="s">
        <v>91</v>
      </c>
      <c r="BE867">
        <v>337</v>
      </c>
      <c r="BF867" s="1" t="s">
        <v>75</v>
      </c>
      <c r="BG867">
        <v>0</v>
      </c>
      <c r="BH867">
        <v>0</v>
      </c>
      <c r="BI867" s="1" t="s">
        <v>88</v>
      </c>
      <c r="BJ867">
        <v>1</v>
      </c>
      <c r="BK867" s="1" t="s">
        <v>89</v>
      </c>
      <c r="BL867" t="s">
        <v>91</v>
      </c>
      <c r="BM867" s="1" t="s">
        <v>109</v>
      </c>
      <c r="BN867" s="1" t="s">
        <v>110</v>
      </c>
      <c r="BO867" s="1" t="s">
        <v>180</v>
      </c>
      <c r="BP867" s="1" t="s">
        <v>91</v>
      </c>
      <c r="BQ867" t="s">
        <v>91</v>
      </c>
      <c r="BR867" s="3">
        <v>43308</v>
      </c>
      <c r="BS867" s="3"/>
      <c r="BT867" t="s">
        <v>91</v>
      </c>
      <c r="BU867" t="s">
        <v>91</v>
      </c>
      <c r="BV867">
        <v>9</v>
      </c>
      <c r="BW867" s="1" t="s">
        <v>1205</v>
      </c>
    </row>
    <row r="868" spans="1:75" hidden="1" x14ac:dyDescent="0.35">
      <c r="A868">
        <v>156858</v>
      </c>
      <c r="B868" s="1" t="s">
        <v>75</v>
      </c>
      <c r="C868">
        <v>80</v>
      </c>
      <c r="D868">
        <v>11121002</v>
      </c>
      <c r="E868">
        <v>121002</v>
      </c>
      <c r="F868" s="1" t="s">
        <v>2915</v>
      </c>
      <c r="G868" s="1" t="s">
        <v>4929</v>
      </c>
      <c r="H868">
        <v>0</v>
      </c>
      <c r="I868" s="1" t="s">
        <v>78</v>
      </c>
      <c r="J868" s="1" t="s">
        <v>4930</v>
      </c>
      <c r="K868" s="1" t="s">
        <v>4931</v>
      </c>
      <c r="L868" t="s">
        <v>91</v>
      </c>
      <c r="M868" t="s">
        <v>91</v>
      </c>
      <c r="N868" s="1" t="s">
        <v>4932</v>
      </c>
      <c r="O868" t="s">
        <v>91</v>
      </c>
      <c r="P868" s="1" t="s">
        <v>4933</v>
      </c>
      <c r="Q868" s="1" t="s">
        <v>1149</v>
      </c>
      <c r="R868" s="1" t="s">
        <v>370</v>
      </c>
      <c r="S868">
        <v>1257</v>
      </c>
      <c r="T868">
        <v>88058100</v>
      </c>
      <c r="U868" s="1" t="s">
        <v>3311</v>
      </c>
      <c r="V868" s="1" t="s">
        <v>2922</v>
      </c>
      <c r="W868" s="1" t="s">
        <v>87</v>
      </c>
      <c r="X868">
        <v>48</v>
      </c>
      <c r="Y868">
        <v>996266055</v>
      </c>
      <c r="Z868" t="s">
        <v>91</v>
      </c>
      <c r="AA868" t="s">
        <v>91</v>
      </c>
      <c r="AB868" t="s">
        <v>91</v>
      </c>
      <c r="AC868" t="s">
        <v>91</v>
      </c>
      <c r="AD868" t="s">
        <v>91</v>
      </c>
      <c r="AE868" t="s">
        <v>91</v>
      </c>
      <c r="AF868" t="s">
        <v>91</v>
      </c>
      <c r="AG868" s="1" t="s">
        <v>91</v>
      </c>
      <c r="AH868" s="1" t="s">
        <v>91</v>
      </c>
      <c r="AI868" t="s">
        <v>91</v>
      </c>
      <c r="AM868" t="s">
        <v>91</v>
      </c>
      <c r="AN868" t="s">
        <v>91</v>
      </c>
      <c r="AO868" t="s">
        <v>91</v>
      </c>
      <c r="AP868" t="s">
        <v>91</v>
      </c>
      <c r="AQ868" s="1" t="s">
        <v>91</v>
      </c>
      <c r="AR868" s="1" t="s">
        <v>91</v>
      </c>
      <c r="AS868" s="1" t="s">
        <v>91</v>
      </c>
      <c r="AT868" s="1" t="s">
        <v>91</v>
      </c>
      <c r="AU868" s="1" t="s">
        <v>91</v>
      </c>
      <c r="AV868" t="s">
        <v>91</v>
      </c>
      <c r="AW868" t="s">
        <v>91</v>
      </c>
      <c r="AX868" t="s">
        <v>91</v>
      </c>
      <c r="AY868" t="s">
        <v>91</v>
      </c>
      <c r="AZ868" t="s">
        <v>91</v>
      </c>
      <c r="BA868" t="s">
        <v>91</v>
      </c>
      <c r="BB868" s="2">
        <v>45113.505416666667</v>
      </c>
      <c r="BC868" s="2"/>
      <c r="BD868" t="s">
        <v>91</v>
      </c>
      <c r="BF868" s="1" t="s">
        <v>75</v>
      </c>
      <c r="BI868" s="1" t="s">
        <v>88</v>
      </c>
      <c r="BJ868">
        <v>1</v>
      </c>
      <c r="BK868" s="1" t="s">
        <v>89</v>
      </c>
      <c r="BL868" t="s">
        <v>91</v>
      </c>
      <c r="BM868" s="1" t="s">
        <v>91</v>
      </c>
      <c r="BN868" s="1" t="s">
        <v>91</v>
      </c>
      <c r="BO868" s="1" t="s">
        <v>91</v>
      </c>
      <c r="BP868" s="1" t="s">
        <v>91</v>
      </c>
      <c r="BQ868" t="s">
        <v>91</v>
      </c>
      <c r="BR868" s="3">
        <v>45113</v>
      </c>
      <c r="BS868" s="3"/>
      <c r="BT868" t="s">
        <v>91</v>
      </c>
      <c r="BU868" t="s">
        <v>91</v>
      </c>
      <c r="BW868" s="1" t="s">
        <v>90</v>
      </c>
    </row>
    <row r="869" spans="1:75" hidden="1" x14ac:dyDescent="0.35">
      <c r="A869">
        <v>158699</v>
      </c>
      <c r="B869" s="1" t="s">
        <v>75</v>
      </c>
      <c r="C869">
        <v>80</v>
      </c>
      <c r="D869">
        <v>11121002</v>
      </c>
      <c r="E869">
        <v>121002</v>
      </c>
      <c r="F869" s="1" t="s">
        <v>2915</v>
      </c>
      <c r="G869" s="1" t="s">
        <v>4934</v>
      </c>
      <c r="I869" s="1" t="s">
        <v>78</v>
      </c>
      <c r="J869" s="1" t="s">
        <v>4930</v>
      </c>
      <c r="K869" s="1" t="s">
        <v>4935</v>
      </c>
      <c r="L869" t="s">
        <v>91</v>
      </c>
      <c r="M869" t="s">
        <v>91</v>
      </c>
      <c r="N869" s="1" t="s">
        <v>4936</v>
      </c>
      <c r="O869" t="s">
        <v>91</v>
      </c>
      <c r="P869" s="1" t="s">
        <v>3142</v>
      </c>
      <c r="Q869" s="1" t="s">
        <v>3749</v>
      </c>
      <c r="R869" s="1" t="s">
        <v>91</v>
      </c>
      <c r="S869">
        <v>1259</v>
      </c>
      <c r="T869">
        <v>88102001</v>
      </c>
      <c r="U869" s="1" t="s">
        <v>3015</v>
      </c>
      <c r="V869" s="1" t="s">
        <v>2958</v>
      </c>
      <c r="W869" s="1" t="s">
        <v>87</v>
      </c>
      <c r="X869">
        <v>48</v>
      </c>
      <c r="Y869">
        <v>30353353</v>
      </c>
      <c r="Z869" t="s">
        <v>91</v>
      </c>
      <c r="AA869" t="s">
        <v>91</v>
      </c>
      <c r="AB869" t="s">
        <v>91</v>
      </c>
      <c r="AC869" t="s">
        <v>91</v>
      </c>
      <c r="AD869" t="s">
        <v>91</v>
      </c>
      <c r="AE869" t="s">
        <v>91</v>
      </c>
      <c r="AF869" t="s">
        <v>91</v>
      </c>
      <c r="AG869" s="1" t="s">
        <v>91</v>
      </c>
      <c r="AH869" s="1" t="s">
        <v>91</v>
      </c>
      <c r="AI869" t="s">
        <v>91</v>
      </c>
      <c r="AM869" t="s">
        <v>91</v>
      </c>
      <c r="AN869" t="s">
        <v>91</v>
      </c>
      <c r="AO869" t="s">
        <v>91</v>
      </c>
      <c r="AP869" t="s">
        <v>91</v>
      </c>
      <c r="AQ869" s="1" t="s">
        <v>91</v>
      </c>
      <c r="AR869" s="1" t="s">
        <v>91</v>
      </c>
      <c r="AS869" s="1" t="s">
        <v>91</v>
      </c>
      <c r="AT869" s="1" t="s">
        <v>91</v>
      </c>
      <c r="AU869" s="1" t="s">
        <v>91</v>
      </c>
      <c r="AV869" t="s">
        <v>91</v>
      </c>
      <c r="AW869" t="s">
        <v>91</v>
      </c>
      <c r="AX869" t="s">
        <v>91</v>
      </c>
      <c r="AY869" t="s">
        <v>91</v>
      </c>
      <c r="AZ869" t="s">
        <v>91</v>
      </c>
      <c r="BA869" t="s">
        <v>91</v>
      </c>
      <c r="BB869" s="2">
        <v>45155.700069444443</v>
      </c>
      <c r="BC869" s="2"/>
      <c r="BD869" t="s">
        <v>91</v>
      </c>
      <c r="BF869" s="1" t="s">
        <v>75</v>
      </c>
      <c r="BI869" s="1" t="s">
        <v>88</v>
      </c>
      <c r="BJ869">
        <v>1</v>
      </c>
      <c r="BK869" s="1" t="s">
        <v>89</v>
      </c>
      <c r="BL869" t="s">
        <v>91</v>
      </c>
      <c r="BM869" s="1" t="s">
        <v>91</v>
      </c>
      <c r="BN869" s="1" t="s">
        <v>91</v>
      </c>
      <c r="BO869" s="1" t="s">
        <v>91</v>
      </c>
      <c r="BP869" s="1" t="s">
        <v>91</v>
      </c>
      <c r="BQ869" t="s">
        <v>91</v>
      </c>
      <c r="BR869" s="3">
        <v>45155</v>
      </c>
      <c r="BS869" s="3"/>
      <c r="BT869" t="s">
        <v>91</v>
      </c>
      <c r="BU869" t="s">
        <v>91</v>
      </c>
      <c r="BW869" s="1" t="s">
        <v>90</v>
      </c>
    </row>
    <row r="870" spans="1:75" hidden="1" x14ac:dyDescent="0.35">
      <c r="A870">
        <v>134258</v>
      </c>
      <c r="B870" s="1" t="s">
        <v>75</v>
      </c>
      <c r="C870">
        <v>80</v>
      </c>
      <c r="D870">
        <v>11121002</v>
      </c>
      <c r="E870">
        <v>121002</v>
      </c>
      <c r="F870" s="1" t="s">
        <v>2915</v>
      </c>
      <c r="G870" s="1" t="s">
        <v>4937</v>
      </c>
      <c r="I870" s="1" t="s">
        <v>78</v>
      </c>
      <c r="J870" s="1" t="s">
        <v>4938</v>
      </c>
      <c r="K870" s="1" t="s">
        <v>4939</v>
      </c>
      <c r="L870" t="s">
        <v>91</v>
      </c>
      <c r="M870" t="s">
        <v>91</v>
      </c>
      <c r="N870" s="1" t="s">
        <v>4940</v>
      </c>
      <c r="O870" t="s">
        <v>91</v>
      </c>
      <c r="P870" s="1" t="s">
        <v>4941</v>
      </c>
      <c r="Q870" s="1" t="s">
        <v>4942</v>
      </c>
      <c r="R870" s="1" t="s">
        <v>820</v>
      </c>
      <c r="S870">
        <v>1259</v>
      </c>
      <c r="T870">
        <v>88130005</v>
      </c>
      <c r="U870" s="1" t="s">
        <v>108</v>
      </c>
      <c r="V870" s="1" t="s">
        <v>3165</v>
      </c>
      <c r="W870" s="1" t="s">
        <v>87</v>
      </c>
      <c r="X870">
        <v>48</v>
      </c>
      <c r="Y870">
        <v>30937333</v>
      </c>
      <c r="Z870" t="s">
        <v>91</v>
      </c>
      <c r="AA870" t="s">
        <v>91</v>
      </c>
      <c r="AB870" t="s">
        <v>91</v>
      </c>
      <c r="AC870" t="s">
        <v>91</v>
      </c>
      <c r="AD870" t="s">
        <v>91</v>
      </c>
      <c r="AE870" t="s">
        <v>91</v>
      </c>
      <c r="AF870" t="s">
        <v>91</v>
      </c>
      <c r="AG870" s="1" t="s">
        <v>146</v>
      </c>
      <c r="AH870" s="1" t="s">
        <v>91</v>
      </c>
      <c r="AI870" t="s">
        <v>91</v>
      </c>
      <c r="AJ870">
        <v>0</v>
      </c>
      <c r="AK870">
        <v>0</v>
      </c>
      <c r="AL870">
        <v>0</v>
      </c>
      <c r="AM870" t="s">
        <v>91</v>
      </c>
      <c r="AN870" t="s">
        <v>91</v>
      </c>
      <c r="AO870" t="s">
        <v>91</v>
      </c>
      <c r="AP870" t="s">
        <v>91</v>
      </c>
      <c r="AQ870" s="1" t="s">
        <v>147</v>
      </c>
      <c r="AR870" s="1" t="s">
        <v>147</v>
      </c>
      <c r="AS870" s="1" t="s">
        <v>147</v>
      </c>
      <c r="AT870" s="1" t="s">
        <v>147</v>
      </c>
      <c r="AU870" s="1" t="s">
        <v>147</v>
      </c>
      <c r="AV870" t="s">
        <v>91</v>
      </c>
      <c r="AW870" t="s">
        <v>91</v>
      </c>
      <c r="AX870" t="s">
        <v>91</v>
      </c>
      <c r="AY870" t="s">
        <v>91</v>
      </c>
      <c r="AZ870" t="s">
        <v>91</v>
      </c>
      <c r="BA870" t="s">
        <v>91</v>
      </c>
      <c r="BB870" s="2"/>
      <c r="BC870" s="2">
        <v>44536.471365740741</v>
      </c>
      <c r="BD870" t="s">
        <v>91</v>
      </c>
      <c r="BF870" s="1" t="s">
        <v>75</v>
      </c>
      <c r="BG870">
        <v>0</v>
      </c>
      <c r="BH870">
        <v>0</v>
      </c>
      <c r="BI870" s="1" t="s">
        <v>88</v>
      </c>
      <c r="BJ870">
        <v>1</v>
      </c>
      <c r="BK870" s="1" t="s">
        <v>89</v>
      </c>
      <c r="BL870" t="s">
        <v>91</v>
      </c>
      <c r="BM870" s="1" t="s">
        <v>109</v>
      </c>
      <c r="BN870" s="1" t="s">
        <v>110</v>
      </c>
      <c r="BO870" s="1" t="s">
        <v>111</v>
      </c>
      <c r="BP870" s="1" t="s">
        <v>91</v>
      </c>
      <c r="BQ870" t="s">
        <v>91</v>
      </c>
      <c r="BR870" s="3"/>
      <c r="BS870" s="3">
        <v>44536</v>
      </c>
      <c r="BT870" t="s">
        <v>91</v>
      </c>
      <c r="BU870" t="s">
        <v>91</v>
      </c>
      <c r="BV870">
        <v>9</v>
      </c>
      <c r="BW870" s="1" t="s">
        <v>4943</v>
      </c>
    </row>
    <row r="871" spans="1:75" hidden="1" x14ac:dyDescent="0.35">
      <c r="A871">
        <v>157694</v>
      </c>
      <c r="B871" s="1" t="s">
        <v>75</v>
      </c>
      <c r="C871">
        <v>80</v>
      </c>
      <c r="D871">
        <v>11121002</v>
      </c>
      <c r="E871">
        <v>121002</v>
      </c>
      <c r="F871" s="1" t="s">
        <v>2915</v>
      </c>
      <c r="G871" s="1" t="s">
        <v>4944</v>
      </c>
      <c r="H871">
        <v>0</v>
      </c>
      <c r="I871" s="1" t="s">
        <v>78</v>
      </c>
      <c r="J871" s="1" t="s">
        <v>4945</v>
      </c>
      <c r="K871" s="1" t="s">
        <v>4946</v>
      </c>
      <c r="L871" t="s">
        <v>91</v>
      </c>
      <c r="M871" t="s">
        <v>91</v>
      </c>
      <c r="N871" s="1" t="s">
        <v>4947</v>
      </c>
      <c r="O871" t="s">
        <v>91</v>
      </c>
      <c r="P871" s="1" t="s">
        <v>4948</v>
      </c>
      <c r="Q871" s="1" t="s">
        <v>2443</v>
      </c>
      <c r="R871" s="1" t="s">
        <v>254</v>
      </c>
      <c r="S871">
        <v>1259</v>
      </c>
      <c r="T871">
        <v>88102000</v>
      </c>
      <c r="U871" s="1" t="s">
        <v>3015</v>
      </c>
      <c r="V871" s="1" t="s">
        <v>2922</v>
      </c>
      <c r="W871" s="1" t="s">
        <v>87</v>
      </c>
      <c r="X871">
        <v>48</v>
      </c>
      <c r="Y871">
        <v>30351012</v>
      </c>
      <c r="Z871" t="s">
        <v>91</v>
      </c>
      <c r="AA871" t="s">
        <v>91</v>
      </c>
      <c r="AB871" t="s">
        <v>91</v>
      </c>
      <c r="AC871" t="s">
        <v>91</v>
      </c>
      <c r="AD871" t="s">
        <v>91</v>
      </c>
      <c r="AE871" t="s">
        <v>91</v>
      </c>
      <c r="AF871" t="s">
        <v>91</v>
      </c>
      <c r="AG871" s="1" t="s">
        <v>91</v>
      </c>
      <c r="AH871" s="1" t="s">
        <v>91</v>
      </c>
      <c r="AI871" t="s">
        <v>91</v>
      </c>
      <c r="AM871" t="s">
        <v>91</v>
      </c>
      <c r="AN871" t="s">
        <v>91</v>
      </c>
      <c r="AO871" t="s">
        <v>91</v>
      </c>
      <c r="AP871" t="s">
        <v>91</v>
      </c>
      <c r="AQ871" s="1" t="s">
        <v>91</v>
      </c>
      <c r="AR871" s="1" t="s">
        <v>91</v>
      </c>
      <c r="AS871" s="1" t="s">
        <v>91</v>
      </c>
      <c r="AT871" s="1" t="s">
        <v>91</v>
      </c>
      <c r="AU871" s="1" t="s">
        <v>91</v>
      </c>
      <c r="AV871" t="s">
        <v>91</v>
      </c>
      <c r="AW871" t="s">
        <v>91</v>
      </c>
      <c r="AX871" t="s">
        <v>91</v>
      </c>
      <c r="AY871" t="s">
        <v>91</v>
      </c>
      <c r="AZ871" t="s">
        <v>91</v>
      </c>
      <c r="BA871" t="s">
        <v>91</v>
      </c>
      <c r="BB871" s="2">
        <v>45118.097175925926</v>
      </c>
      <c r="BC871" s="2"/>
      <c r="BD871" t="s">
        <v>91</v>
      </c>
      <c r="BF871" s="1" t="s">
        <v>75</v>
      </c>
      <c r="BI871" s="1" t="s">
        <v>88</v>
      </c>
      <c r="BJ871">
        <v>1</v>
      </c>
      <c r="BK871" s="1" t="s">
        <v>89</v>
      </c>
      <c r="BL871" t="s">
        <v>91</v>
      </c>
      <c r="BM871" s="1" t="s">
        <v>91</v>
      </c>
      <c r="BN871" s="1" t="s">
        <v>91</v>
      </c>
      <c r="BO871" s="1" t="s">
        <v>91</v>
      </c>
      <c r="BP871" s="1" t="s">
        <v>91</v>
      </c>
      <c r="BQ871" t="s">
        <v>91</v>
      </c>
      <c r="BR871" s="3">
        <v>45118</v>
      </c>
      <c r="BS871" s="3"/>
      <c r="BT871" t="s">
        <v>91</v>
      </c>
      <c r="BU871" t="s">
        <v>91</v>
      </c>
      <c r="BW871" s="1" t="s">
        <v>1089</v>
      </c>
    </row>
    <row r="872" spans="1:75" hidden="1" x14ac:dyDescent="0.35">
      <c r="A872">
        <v>157632</v>
      </c>
      <c r="B872" s="1" t="s">
        <v>75</v>
      </c>
      <c r="C872">
        <v>80</v>
      </c>
      <c r="D872">
        <v>11121002</v>
      </c>
      <c r="E872">
        <v>121002</v>
      </c>
      <c r="F872" s="1" t="s">
        <v>2915</v>
      </c>
      <c r="G872" s="1" t="s">
        <v>4949</v>
      </c>
      <c r="H872">
        <v>0</v>
      </c>
      <c r="I872" s="1" t="s">
        <v>78</v>
      </c>
      <c r="J872" s="1" t="s">
        <v>4950</v>
      </c>
      <c r="K872" s="1" t="s">
        <v>4951</v>
      </c>
      <c r="L872" t="s">
        <v>91</v>
      </c>
      <c r="M872" t="s">
        <v>91</v>
      </c>
      <c r="N872" s="1" t="s">
        <v>91</v>
      </c>
      <c r="O872" t="s">
        <v>91</v>
      </c>
      <c r="P872" s="1" t="s">
        <v>438</v>
      </c>
      <c r="Q872" s="1" t="s">
        <v>4315</v>
      </c>
      <c r="R872" s="1" t="s">
        <v>4952</v>
      </c>
      <c r="S872">
        <v>1266</v>
      </c>
      <c r="T872">
        <v>88501000</v>
      </c>
      <c r="U872" s="1" t="s">
        <v>108</v>
      </c>
      <c r="V872" s="1" t="s">
        <v>3335</v>
      </c>
      <c r="W872" s="1" t="s">
        <v>87</v>
      </c>
      <c r="X872">
        <v>49</v>
      </c>
      <c r="Y872">
        <v>32243696</v>
      </c>
      <c r="Z872" t="s">
        <v>91</v>
      </c>
      <c r="AA872" t="s">
        <v>91</v>
      </c>
      <c r="AB872" t="s">
        <v>91</v>
      </c>
      <c r="AC872" t="s">
        <v>91</v>
      </c>
      <c r="AD872" t="s">
        <v>91</v>
      </c>
      <c r="AE872" t="s">
        <v>91</v>
      </c>
      <c r="AF872" t="s">
        <v>91</v>
      </c>
      <c r="AG872" s="1" t="s">
        <v>91</v>
      </c>
      <c r="AH872" s="1" t="s">
        <v>91</v>
      </c>
      <c r="AI872" t="s">
        <v>91</v>
      </c>
      <c r="AM872" t="s">
        <v>91</v>
      </c>
      <c r="AN872" t="s">
        <v>91</v>
      </c>
      <c r="AO872" t="s">
        <v>91</v>
      </c>
      <c r="AP872" t="s">
        <v>91</v>
      </c>
      <c r="AQ872" s="1" t="s">
        <v>91</v>
      </c>
      <c r="AR872" s="1" t="s">
        <v>91</v>
      </c>
      <c r="AS872" s="1" t="s">
        <v>91</v>
      </c>
      <c r="AT872" s="1" t="s">
        <v>91</v>
      </c>
      <c r="AU872" s="1" t="s">
        <v>91</v>
      </c>
      <c r="AV872" t="s">
        <v>91</v>
      </c>
      <c r="AW872" t="s">
        <v>91</v>
      </c>
      <c r="AX872" t="s">
        <v>91</v>
      </c>
      <c r="AY872" t="s">
        <v>91</v>
      </c>
      <c r="AZ872" t="s">
        <v>91</v>
      </c>
      <c r="BA872" t="s">
        <v>91</v>
      </c>
      <c r="BB872" s="2">
        <v>45118.097175925926</v>
      </c>
      <c r="BC872" s="2"/>
      <c r="BD872" t="s">
        <v>91</v>
      </c>
      <c r="BF872" s="1" t="s">
        <v>75</v>
      </c>
      <c r="BI872" s="1" t="s">
        <v>88</v>
      </c>
      <c r="BJ872">
        <v>1</v>
      </c>
      <c r="BK872" s="1" t="s">
        <v>89</v>
      </c>
      <c r="BL872" t="s">
        <v>91</v>
      </c>
      <c r="BM872" s="1" t="s">
        <v>91</v>
      </c>
      <c r="BN872" s="1" t="s">
        <v>91</v>
      </c>
      <c r="BO872" s="1" t="s">
        <v>91</v>
      </c>
      <c r="BP872" s="1" t="s">
        <v>91</v>
      </c>
      <c r="BQ872" t="s">
        <v>91</v>
      </c>
      <c r="BR872" s="3">
        <v>45118</v>
      </c>
      <c r="BS872" s="3"/>
      <c r="BT872" t="s">
        <v>91</v>
      </c>
      <c r="BU872" t="s">
        <v>91</v>
      </c>
      <c r="BW872" s="1" t="s">
        <v>90</v>
      </c>
    </row>
    <row r="873" spans="1:75" hidden="1" x14ac:dyDescent="0.35">
      <c r="A873">
        <v>134554</v>
      </c>
      <c r="B873" s="1" t="s">
        <v>75</v>
      </c>
      <c r="C873">
        <v>80</v>
      </c>
      <c r="D873">
        <v>11121002</v>
      </c>
      <c r="E873">
        <v>121002</v>
      </c>
      <c r="F873" s="1" t="s">
        <v>2915</v>
      </c>
      <c r="G873" s="1" t="s">
        <v>4953</v>
      </c>
      <c r="I873" s="1" t="s">
        <v>78</v>
      </c>
      <c r="J873" s="1" t="s">
        <v>4954</v>
      </c>
      <c r="K873" s="1" t="s">
        <v>4955</v>
      </c>
      <c r="L873" t="s">
        <v>91</v>
      </c>
      <c r="M873" t="s">
        <v>91</v>
      </c>
      <c r="N873" s="1" t="s">
        <v>4956</v>
      </c>
      <c r="O873" t="s">
        <v>91</v>
      </c>
      <c r="P873" s="1" t="s">
        <v>311</v>
      </c>
      <c r="Q873" s="1" t="s">
        <v>2106</v>
      </c>
      <c r="R873" s="1" t="s">
        <v>91</v>
      </c>
      <c r="S873">
        <v>1254</v>
      </c>
      <c r="T873">
        <v>88010000</v>
      </c>
      <c r="U873" s="1" t="s">
        <v>108</v>
      </c>
      <c r="V873" s="1" t="s">
        <v>2922</v>
      </c>
      <c r="W873" s="1" t="s">
        <v>87</v>
      </c>
      <c r="X873">
        <v>48</v>
      </c>
      <c r="Y873">
        <v>30912708</v>
      </c>
      <c r="Z873" t="s">
        <v>91</v>
      </c>
      <c r="AA873" t="s">
        <v>91</v>
      </c>
      <c r="AB873" t="s">
        <v>91</v>
      </c>
      <c r="AC873" t="s">
        <v>91</v>
      </c>
      <c r="AD873" t="s">
        <v>91</v>
      </c>
      <c r="AE873" t="s">
        <v>91</v>
      </c>
      <c r="AF873" t="s">
        <v>91</v>
      </c>
      <c r="AG873" s="1" t="s">
        <v>91</v>
      </c>
      <c r="AH873" s="1" t="s">
        <v>91</v>
      </c>
      <c r="AI873" t="s">
        <v>91</v>
      </c>
      <c r="AM873" t="s">
        <v>91</v>
      </c>
      <c r="AN873" t="s">
        <v>91</v>
      </c>
      <c r="AO873" t="s">
        <v>91</v>
      </c>
      <c r="AP873" t="s">
        <v>91</v>
      </c>
      <c r="AQ873" s="1" t="s">
        <v>91</v>
      </c>
      <c r="AR873" s="1" t="s">
        <v>91</v>
      </c>
      <c r="AS873" s="1" t="s">
        <v>91</v>
      </c>
      <c r="AT873" s="1" t="s">
        <v>91</v>
      </c>
      <c r="AU873" s="1" t="s">
        <v>91</v>
      </c>
      <c r="AV873" t="s">
        <v>91</v>
      </c>
      <c r="AW873" t="s">
        <v>91</v>
      </c>
      <c r="AX873" t="s">
        <v>91</v>
      </c>
      <c r="AY873" t="s">
        <v>91</v>
      </c>
      <c r="AZ873" t="s">
        <v>91</v>
      </c>
      <c r="BA873" t="s">
        <v>91</v>
      </c>
      <c r="BB873" s="2"/>
      <c r="BC873" s="2"/>
      <c r="BD873" t="s">
        <v>91</v>
      </c>
      <c r="BF873" s="1" t="s">
        <v>75</v>
      </c>
      <c r="BI873" s="1" t="s">
        <v>88</v>
      </c>
      <c r="BJ873">
        <v>1</v>
      </c>
      <c r="BK873" s="1" t="s">
        <v>89</v>
      </c>
      <c r="BL873" t="s">
        <v>91</v>
      </c>
      <c r="BM873" s="1" t="s">
        <v>109</v>
      </c>
      <c r="BN873" s="1" t="s">
        <v>110</v>
      </c>
      <c r="BO873" s="1" t="s">
        <v>180</v>
      </c>
      <c r="BP873" s="1" t="s">
        <v>91</v>
      </c>
      <c r="BQ873" t="s">
        <v>91</v>
      </c>
      <c r="BR873" s="3"/>
      <c r="BS873" s="3"/>
      <c r="BT873" t="s">
        <v>91</v>
      </c>
      <c r="BU873" t="s">
        <v>91</v>
      </c>
      <c r="BW873" s="1" t="s">
        <v>90</v>
      </c>
    </row>
    <row r="874" spans="1:75" hidden="1" x14ac:dyDescent="0.35">
      <c r="A874">
        <v>141486</v>
      </c>
      <c r="B874" s="1" t="s">
        <v>75</v>
      </c>
      <c r="C874">
        <v>80</v>
      </c>
      <c r="D874">
        <v>11121002</v>
      </c>
      <c r="E874">
        <v>121002</v>
      </c>
      <c r="F874" s="1" t="s">
        <v>2915</v>
      </c>
      <c r="G874" s="1" t="s">
        <v>4957</v>
      </c>
      <c r="H874">
        <v>0</v>
      </c>
      <c r="I874" s="1" t="s">
        <v>78</v>
      </c>
      <c r="J874" s="1" t="s">
        <v>4958</v>
      </c>
      <c r="K874" s="1" t="s">
        <v>4959</v>
      </c>
      <c r="L874" t="s">
        <v>91</v>
      </c>
      <c r="M874" t="s">
        <v>91</v>
      </c>
      <c r="N874" s="1" t="s">
        <v>4960</v>
      </c>
      <c r="O874" t="s">
        <v>91</v>
      </c>
      <c r="P874" s="1" t="s">
        <v>3491</v>
      </c>
      <c r="Q874" s="1" t="s">
        <v>4961</v>
      </c>
      <c r="R874" s="1" t="s">
        <v>91</v>
      </c>
      <c r="T874">
        <v>88056618</v>
      </c>
      <c r="U874" s="1" t="s">
        <v>4962</v>
      </c>
      <c r="V874" s="1" t="s">
        <v>2922</v>
      </c>
      <c r="W874" s="1" t="s">
        <v>87</v>
      </c>
      <c r="X874">
        <v>48</v>
      </c>
      <c r="Y874">
        <v>30912708</v>
      </c>
      <c r="Z874" t="s">
        <v>91</v>
      </c>
      <c r="AA874" t="s">
        <v>91</v>
      </c>
      <c r="AB874" t="s">
        <v>91</v>
      </c>
      <c r="AC874" t="s">
        <v>91</v>
      </c>
      <c r="AD874" t="s">
        <v>91</v>
      </c>
      <c r="AE874" t="s">
        <v>91</v>
      </c>
      <c r="AF874" t="s">
        <v>91</v>
      </c>
      <c r="AG874" s="1" t="s">
        <v>91</v>
      </c>
      <c r="AH874" s="1" t="s">
        <v>91</v>
      </c>
      <c r="AI874" t="s">
        <v>91</v>
      </c>
      <c r="AM874" t="s">
        <v>91</v>
      </c>
      <c r="AN874" t="s">
        <v>91</v>
      </c>
      <c r="AO874" t="s">
        <v>91</v>
      </c>
      <c r="AP874" t="s">
        <v>91</v>
      </c>
      <c r="AQ874" s="1" t="s">
        <v>91</v>
      </c>
      <c r="AR874" s="1" t="s">
        <v>91</v>
      </c>
      <c r="AS874" s="1" t="s">
        <v>91</v>
      </c>
      <c r="AT874" s="1" t="s">
        <v>91</v>
      </c>
      <c r="AU874" s="1" t="s">
        <v>91</v>
      </c>
      <c r="AV874" t="s">
        <v>91</v>
      </c>
      <c r="AW874" t="s">
        <v>91</v>
      </c>
      <c r="AX874" t="s">
        <v>91</v>
      </c>
      <c r="AY874" t="s">
        <v>91</v>
      </c>
      <c r="AZ874" t="s">
        <v>91</v>
      </c>
      <c r="BA874" t="s">
        <v>91</v>
      </c>
      <c r="BB874" s="2">
        <v>44474.418900462966</v>
      </c>
      <c r="BC874" s="2"/>
      <c r="BD874" t="s">
        <v>91</v>
      </c>
      <c r="BF874" s="1" t="s">
        <v>75</v>
      </c>
      <c r="BI874" s="1" t="s">
        <v>88</v>
      </c>
      <c r="BJ874">
        <v>1</v>
      </c>
      <c r="BK874" s="1" t="s">
        <v>89</v>
      </c>
      <c r="BL874" t="s">
        <v>91</v>
      </c>
      <c r="BM874" s="1" t="s">
        <v>91</v>
      </c>
      <c r="BN874" s="1" t="s">
        <v>91</v>
      </c>
      <c r="BO874" s="1" t="s">
        <v>180</v>
      </c>
      <c r="BP874" s="1" t="s">
        <v>91</v>
      </c>
      <c r="BQ874" t="s">
        <v>91</v>
      </c>
      <c r="BR874" s="3">
        <v>44474</v>
      </c>
      <c r="BS874" s="3"/>
      <c r="BT874" t="s">
        <v>91</v>
      </c>
      <c r="BU874" t="s">
        <v>91</v>
      </c>
      <c r="BW874" s="1" t="s">
        <v>90</v>
      </c>
    </row>
    <row r="875" spans="1:75" hidden="1" x14ac:dyDescent="0.35">
      <c r="A875">
        <v>134415</v>
      </c>
      <c r="B875" s="1" t="s">
        <v>75</v>
      </c>
      <c r="C875">
        <v>80</v>
      </c>
      <c r="D875">
        <v>11121002</v>
      </c>
      <c r="E875">
        <v>121002</v>
      </c>
      <c r="F875" s="1" t="s">
        <v>2915</v>
      </c>
      <c r="G875" s="1" t="s">
        <v>4963</v>
      </c>
      <c r="I875" s="1" t="s">
        <v>78</v>
      </c>
      <c r="J875" s="1" t="s">
        <v>4964</v>
      </c>
      <c r="K875" s="1" t="s">
        <v>4965</v>
      </c>
      <c r="L875" t="s">
        <v>91</v>
      </c>
      <c r="M875" t="s">
        <v>91</v>
      </c>
      <c r="N875" s="1" t="s">
        <v>4956</v>
      </c>
      <c r="O875" t="s">
        <v>91</v>
      </c>
      <c r="P875" s="1" t="s">
        <v>3748</v>
      </c>
      <c r="Q875" s="1" t="s">
        <v>2256</v>
      </c>
      <c r="R875" s="1" t="s">
        <v>954</v>
      </c>
      <c r="S875">
        <v>1259</v>
      </c>
      <c r="T875">
        <v>88101100</v>
      </c>
      <c r="U875" s="1" t="s">
        <v>3015</v>
      </c>
      <c r="V875" s="1" t="s">
        <v>3016</v>
      </c>
      <c r="W875" s="1" t="s">
        <v>87</v>
      </c>
      <c r="X875">
        <v>48</v>
      </c>
      <c r="Y875">
        <v>30666630</v>
      </c>
      <c r="Z875" t="s">
        <v>91</v>
      </c>
      <c r="AA875" t="s">
        <v>91</v>
      </c>
      <c r="AB875" t="s">
        <v>91</v>
      </c>
      <c r="AC875" t="s">
        <v>91</v>
      </c>
      <c r="AD875" t="s">
        <v>91</v>
      </c>
      <c r="AE875" t="s">
        <v>91</v>
      </c>
      <c r="AF875" t="s">
        <v>91</v>
      </c>
      <c r="AG875" s="1" t="s">
        <v>146</v>
      </c>
      <c r="AH875" s="1" t="s">
        <v>91</v>
      </c>
      <c r="AI875" t="s">
        <v>91</v>
      </c>
      <c r="AM875" t="s">
        <v>91</v>
      </c>
      <c r="AN875" t="s">
        <v>91</v>
      </c>
      <c r="AO875" t="s">
        <v>91</v>
      </c>
      <c r="AP875" t="s">
        <v>91</v>
      </c>
      <c r="AQ875" s="1" t="s">
        <v>147</v>
      </c>
      <c r="AR875" s="1" t="s">
        <v>147</v>
      </c>
      <c r="AS875" s="1" t="s">
        <v>147</v>
      </c>
      <c r="AT875" s="1" t="s">
        <v>147</v>
      </c>
      <c r="AU875" s="1" t="s">
        <v>147</v>
      </c>
      <c r="AV875" t="s">
        <v>91</v>
      </c>
      <c r="AW875" t="s">
        <v>91</v>
      </c>
      <c r="AX875" t="s">
        <v>91</v>
      </c>
      <c r="AY875" t="s">
        <v>91</v>
      </c>
      <c r="AZ875" t="s">
        <v>91</v>
      </c>
      <c r="BA875" t="s">
        <v>91</v>
      </c>
      <c r="BB875" s="2"/>
      <c r="BC875" s="2">
        <v>44517.415300925924</v>
      </c>
      <c r="BD875" t="s">
        <v>91</v>
      </c>
      <c r="BF875" s="1" t="s">
        <v>75</v>
      </c>
      <c r="BH875">
        <v>0</v>
      </c>
      <c r="BI875" s="1" t="s">
        <v>88</v>
      </c>
      <c r="BJ875">
        <v>1</v>
      </c>
      <c r="BK875" s="1" t="s">
        <v>89</v>
      </c>
      <c r="BL875" t="s">
        <v>91</v>
      </c>
      <c r="BM875" s="1" t="s">
        <v>109</v>
      </c>
      <c r="BN875" s="1" t="s">
        <v>110</v>
      </c>
      <c r="BO875" s="1" t="s">
        <v>111</v>
      </c>
      <c r="BP875" s="1" t="s">
        <v>91</v>
      </c>
      <c r="BQ875" t="s">
        <v>91</v>
      </c>
      <c r="BR875" s="3"/>
      <c r="BS875" s="3">
        <v>44517</v>
      </c>
      <c r="BT875" t="s">
        <v>91</v>
      </c>
      <c r="BU875" t="s">
        <v>91</v>
      </c>
      <c r="BV875">
        <v>9</v>
      </c>
      <c r="BW875" s="1" t="s">
        <v>4966</v>
      </c>
    </row>
    <row r="876" spans="1:75" hidden="1" x14ac:dyDescent="0.35">
      <c r="A876">
        <v>134555</v>
      </c>
      <c r="B876" s="1" t="s">
        <v>75</v>
      </c>
      <c r="C876">
        <v>80</v>
      </c>
      <c r="D876">
        <v>11121002</v>
      </c>
      <c r="E876">
        <v>121002</v>
      </c>
      <c r="F876" s="1" t="s">
        <v>2915</v>
      </c>
      <c r="G876" s="1" t="s">
        <v>4967</v>
      </c>
      <c r="I876" s="1" t="s">
        <v>78</v>
      </c>
      <c r="J876" s="1" t="s">
        <v>4968</v>
      </c>
      <c r="K876" s="1" t="s">
        <v>4969</v>
      </c>
      <c r="L876" t="s">
        <v>91</v>
      </c>
      <c r="M876" t="s">
        <v>91</v>
      </c>
      <c r="N876" s="1" t="s">
        <v>4956</v>
      </c>
      <c r="O876" t="s">
        <v>91</v>
      </c>
      <c r="P876" s="1" t="s">
        <v>682</v>
      </c>
      <c r="Q876" s="1" t="s">
        <v>330</v>
      </c>
      <c r="R876" s="1" t="s">
        <v>254</v>
      </c>
      <c r="S876">
        <v>1254</v>
      </c>
      <c r="T876">
        <v>88010060</v>
      </c>
      <c r="U876" s="1" t="s">
        <v>108</v>
      </c>
      <c r="V876" s="1" t="s">
        <v>2922</v>
      </c>
      <c r="W876" s="1" t="s">
        <v>87</v>
      </c>
      <c r="X876">
        <v>48</v>
      </c>
      <c r="Y876">
        <v>30287090</v>
      </c>
      <c r="Z876" t="s">
        <v>91</v>
      </c>
      <c r="AA876" t="s">
        <v>91</v>
      </c>
      <c r="AB876" t="s">
        <v>91</v>
      </c>
      <c r="AC876" t="s">
        <v>91</v>
      </c>
      <c r="AD876" t="s">
        <v>91</v>
      </c>
      <c r="AE876" t="s">
        <v>91</v>
      </c>
      <c r="AF876" t="s">
        <v>91</v>
      </c>
      <c r="AG876" s="1" t="s">
        <v>91</v>
      </c>
      <c r="AH876" s="1" t="s">
        <v>91</v>
      </c>
      <c r="AI876" t="s">
        <v>91</v>
      </c>
      <c r="AM876" t="s">
        <v>91</v>
      </c>
      <c r="AN876" t="s">
        <v>91</v>
      </c>
      <c r="AO876" t="s">
        <v>91</v>
      </c>
      <c r="AP876" t="s">
        <v>91</v>
      </c>
      <c r="AQ876" s="1" t="s">
        <v>91</v>
      </c>
      <c r="AR876" s="1" t="s">
        <v>91</v>
      </c>
      <c r="AS876" s="1" t="s">
        <v>91</v>
      </c>
      <c r="AT876" s="1" t="s">
        <v>91</v>
      </c>
      <c r="AU876" s="1" t="s">
        <v>91</v>
      </c>
      <c r="AV876" t="s">
        <v>91</v>
      </c>
      <c r="AW876" t="s">
        <v>91</v>
      </c>
      <c r="AX876" t="s">
        <v>91</v>
      </c>
      <c r="AY876" t="s">
        <v>91</v>
      </c>
      <c r="AZ876" t="s">
        <v>91</v>
      </c>
      <c r="BA876" t="s">
        <v>91</v>
      </c>
      <c r="BB876" s="2"/>
      <c r="BC876" s="2"/>
      <c r="BD876" t="s">
        <v>91</v>
      </c>
      <c r="BF876" s="1" t="s">
        <v>75</v>
      </c>
      <c r="BI876" s="1" t="s">
        <v>88</v>
      </c>
      <c r="BJ876">
        <v>1</v>
      </c>
      <c r="BK876" s="1" t="s">
        <v>89</v>
      </c>
      <c r="BL876" t="s">
        <v>91</v>
      </c>
      <c r="BM876" s="1" t="s">
        <v>109</v>
      </c>
      <c r="BN876" s="1" t="s">
        <v>110</v>
      </c>
      <c r="BO876" s="1" t="s">
        <v>128</v>
      </c>
      <c r="BP876" s="1" t="s">
        <v>91</v>
      </c>
      <c r="BQ876" t="s">
        <v>91</v>
      </c>
      <c r="BR876" s="3"/>
      <c r="BS876" s="3"/>
      <c r="BT876" t="s">
        <v>91</v>
      </c>
      <c r="BU876" t="s">
        <v>91</v>
      </c>
      <c r="BW876" s="1" t="s">
        <v>90</v>
      </c>
    </row>
    <row r="877" spans="1:75" hidden="1" x14ac:dyDescent="0.35">
      <c r="A877">
        <v>27</v>
      </c>
      <c r="B877" s="1" t="s">
        <v>75</v>
      </c>
      <c r="C877">
        <v>80</v>
      </c>
      <c r="D877">
        <v>11121002</v>
      </c>
      <c r="E877">
        <v>121002</v>
      </c>
      <c r="F877" s="1" t="s">
        <v>2915</v>
      </c>
      <c r="G877" s="1" t="s">
        <v>4970</v>
      </c>
      <c r="I877" s="1" t="s">
        <v>78</v>
      </c>
      <c r="J877" s="1" t="s">
        <v>4971</v>
      </c>
      <c r="K877" s="1" t="s">
        <v>4972</v>
      </c>
      <c r="L877" t="s">
        <v>91</v>
      </c>
      <c r="M877" t="s">
        <v>91</v>
      </c>
      <c r="N877" s="1" t="s">
        <v>4973</v>
      </c>
      <c r="O877" t="s">
        <v>91</v>
      </c>
      <c r="P877" s="1" t="s">
        <v>4974</v>
      </c>
      <c r="Q877" s="1" t="s">
        <v>228</v>
      </c>
      <c r="R877" s="1" t="s">
        <v>370</v>
      </c>
      <c r="S877">
        <v>1268</v>
      </c>
      <c r="T877">
        <v>88730000</v>
      </c>
      <c r="U877" s="1" t="s">
        <v>108</v>
      </c>
      <c r="V877" s="1" t="s">
        <v>4975</v>
      </c>
      <c r="W877" s="1" t="s">
        <v>87</v>
      </c>
      <c r="X877">
        <v>48</v>
      </c>
      <c r="Y877">
        <v>36571899</v>
      </c>
      <c r="Z877" t="s">
        <v>91</v>
      </c>
      <c r="AA877" t="s">
        <v>91</v>
      </c>
      <c r="AB877" t="s">
        <v>91</v>
      </c>
      <c r="AC877" t="s">
        <v>91</v>
      </c>
      <c r="AD877" t="s">
        <v>91</v>
      </c>
      <c r="AE877" t="s">
        <v>91</v>
      </c>
      <c r="AF877" t="s">
        <v>91</v>
      </c>
      <c r="AG877" s="1" t="s">
        <v>91</v>
      </c>
      <c r="AH877" s="1" t="s">
        <v>91</v>
      </c>
      <c r="AI877" t="s">
        <v>91</v>
      </c>
      <c r="AJ877">
        <v>0</v>
      </c>
      <c r="AK877">
        <v>0</v>
      </c>
      <c r="AL877">
        <v>0</v>
      </c>
      <c r="AM877" t="s">
        <v>91</v>
      </c>
      <c r="AN877" t="s">
        <v>91</v>
      </c>
      <c r="AO877" t="s">
        <v>91</v>
      </c>
      <c r="AP877" t="s">
        <v>91</v>
      </c>
      <c r="AQ877" s="1" t="s">
        <v>91</v>
      </c>
      <c r="AR877" s="1" t="s">
        <v>91</v>
      </c>
      <c r="AS877" s="1" t="s">
        <v>91</v>
      </c>
      <c r="AT877" s="1" t="s">
        <v>91</v>
      </c>
      <c r="AU877" s="1" t="s">
        <v>91</v>
      </c>
      <c r="AV877" t="s">
        <v>91</v>
      </c>
      <c r="AW877" t="s">
        <v>91</v>
      </c>
      <c r="AX877" t="s">
        <v>91</v>
      </c>
      <c r="AY877" t="s">
        <v>91</v>
      </c>
      <c r="AZ877" t="s">
        <v>91</v>
      </c>
      <c r="BA877" t="s">
        <v>91</v>
      </c>
      <c r="BB877" s="2">
        <v>43308.39271990741</v>
      </c>
      <c r="BC877" s="2"/>
      <c r="BD877" t="s">
        <v>91</v>
      </c>
      <c r="BE877">
        <v>27</v>
      </c>
      <c r="BF877" s="1" t="s">
        <v>75</v>
      </c>
      <c r="BG877">
        <v>0</v>
      </c>
      <c r="BH877">
        <v>0</v>
      </c>
      <c r="BI877" s="1" t="s">
        <v>88</v>
      </c>
      <c r="BJ877">
        <v>1</v>
      </c>
      <c r="BK877" s="1" t="s">
        <v>89</v>
      </c>
      <c r="BL877" t="s">
        <v>91</v>
      </c>
      <c r="BM877" s="1" t="s">
        <v>109</v>
      </c>
      <c r="BN877" s="1" t="s">
        <v>110</v>
      </c>
      <c r="BO877" s="1" t="s">
        <v>128</v>
      </c>
      <c r="BP877" s="1" t="s">
        <v>91</v>
      </c>
      <c r="BQ877" t="s">
        <v>91</v>
      </c>
      <c r="BR877" s="3">
        <v>43308</v>
      </c>
      <c r="BS877" s="3"/>
      <c r="BT877" t="s">
        <v>91</v>
      </c>
      <c r="BU877" t="s">
        <v>91</v>
      </c>
      <c r="BV877">
        <v>9</v>
      </c>
      <c r="BW877" s="1" t="s">
        <v>90</v>
      </c>
    </row>
    <row r="878" spans="1:75" hidden="1" x14ac:dyDescent="0.35">
      <c r="A878">
        <v>158706</v>
      </c>
      <c r="B878" s="1" t="s">
        <v>75</v>
      </c>
      <c r="C878">
        <v>80</v>
      </c>
      <c r="D878">
        <v>11121002</v>
      </c>
      <c r="E878">
        <v>121002</v>
      </c>
      <c r="F878" s="1" t="s">
        <v>2915</v>
      </c>
      <c r="G878" s="1" t="s">
        <v>4976</v>
      </c>
      <c r="I878" s="1" t="s">
        <v>78</v>
      </c>
      <c r="J878" s="1" t="s">
        <v>4977</v>
      </c>
      <c r="K878" s="1" t="s">
        <v>4978</v>
      </c>
      <c r="L878" t="s">
        <v>91</v>
      </c>
      <c r="M878" t="s">
        <v>91</v>
      </c>
      <c r="N878" s="1" t="s">
        <v>4979</v>
      </c>
      <c r="O878" t="s">
        <v>91</v>
      </c>
      <c r="P878" s="1" t="s">
        <v>4980</v>
      </c>
      <c r="Q878" s="1" t="s">
        <v>4981</v>
      </c>
      <c r="R878" s="1" t="s">
        <v>4982</v>
      </c>
      <c r="S878">
        <v>1258</v>
      </c>
      <c r="T878">
        <v>88080000</v>
      </c>
      <c r="U878" s="1" t="s">
        <v>4780</v>
      </c>
      <c r="V878" s="1" t="s">
        <v>2922</v>
      </c>
      <c r="W878" s="1" t="s">
        <v>87</v>
      </c>
      <c r="X878">
        <v>48</v>
      </c>
      <c r="Y878">
        <v>991838770</v>
      </c>
      <c r="Z878" t="s">
        <v>91</v>
      </c>
      <c r="AA878" t="s">
        <v>91</v>
      </c>
      <c r="AB878" t="s">
        <v>91</v>
      </c>
      <c r="AC878" t="s">
        <v>91</v>
      </c>
      <c r="AD878" t="s">
        <v>91</v>
      </c>
      <c r="AE878" t="s">
        <v>91</v>
      </c>
      <c r="AF878" t="s">
        <v>91</v>
      </c>
      <c r="AG878" s="1" t="s">
        <v>91</v>
      </c>
      <c r="AH878" s="1" t="s">
        <v>91</v>
      </c>
      <c r="AI878" t="s">
        <v>91</v>
      </c>
      <c r="AM878" t="s">
        <v>91</v>
      </c>
      <c r="AN878" t="s">
        <v>91</v>
      </c>
      <c r="AO878" t="s">
        <v>91</v>
      </c>
      <c r="AP878" t="s">
        <v>91</v>
      </c>
      <c r="AQ878" s="1" t="s">
        <v>91</v>
      </c>
      <c r="AR878" s="1" t="s">
        <v>91</v>
      </c>
      <c r="AS878" s="1" t="s">
        <v>91</v>
      </c>
      <c r="AT878" s="1" t="s">
        <v>91</v>
      </c>
      <c r="AU878" s="1" t="s">
        <v>91</v>
      </c>
      <c r="AV878" t="s">
        <v>91</v>
      </c>
      <c r="AW878" t="s">
        <v>91</v>
      </c>
      <c r="AX878" t="s">
        <v>91</v>
      </c>
      <c r="AY878" t="s">
        <v>91</v>
      </c>
      <c r="AZ878" t="s">
        <v>91</v>
      </c>
      <c r="BA878" t="s">
        <v>91</v>
      </c>
      <c r="BB878" s="2">
        <v>45155.700069444443</v>
      </c>
      <c r="BC878" s="2"/>
      <c r="BD878" t="s">
        <v>91</v>
      </c>
      <c r="BF878" s="1" t="s">
        <v>75</v>
      </c>
      <c r="BI878" s="1" t="s">
        <v>88</v>
      </c>
      <c r="BJ878">
        <v>1</v>
      </c>
      <c r="BK878" s="1" t="s">
        <v>89</v>
      </c>
      <c r="BL878" t="s">
        <v>91</v>
      </c>
      <c r="BM878" s="1" t="s">
        <v>91</v>
      </c>
      <c r="BN878" s="1" t="s">
        <v>91</v>
      </c>
      <c r="BO878" s="1" t="s">
        <v>91</v>
      </c>
      <c r="BP878" s="1" t="s">
        <v>91</v>
      </c>
      <c r="BQ878" t="s">
        <v>91</v>
      </c>
      <c r="BR878" s="3">
        <v>45155</v>
      </c>
      <c r="BS878" s="3"/>
      <c r="BT878" t="s">
        <v>91</v>
      </c>
      <c r="BU878" t="s">
        <v>91</v>
      </c>
      <c r="BW878" s="1" t="s">
        <v>90</v>
      </c>
    </row>
    <row r="879" spans="1:75" hidden="1" x14ac:dyDescent="0.35">
      <c r="A879">
        <v>157644</v>
      </c>
      <c r="B879" s="1" t="s">
        <v>75</v>
      </c>
      <c r="C879">
        <v>80</v>
      </c>
      <c r="D879">
        <v>11121002</v>
      </c>
      <c r="E879">
        <v>121002</v>
      </c>
      <c r="F879" s="1" t="s">
        <v>2915</v>
      </c>
      <c r="G879" s="1" t="s">
        <v>4983</v>
      </c>
      <c r="H879">
        <v>0</v>
      </c>
      <c r="I879" s="1" t="s">
        <v>78</v>
      </c>
      <c r="J879" s="1" t="s">
        <v>4984</v>
      </c>
      <c r="K879" s="1" t="s">
        <v>4985</v>
      </c>
      <c r="L879" t="s">
        <v>91</v>
      </c>
      <c r="M879" t="s">
        <v>91</v>
      </c>
      <c r="N879" s="1" t="s">
        <v>4986</v>
      </c>
      <c r="O879" t="s">
        <v>91</v>
      </c>
      <c r="P879" s="1" t="s">
        <v>4485</v>
      </c>
      <c r="Q879" s="1" t="s">
        <v>1496</v>
      </c>
      <c r="R879" s="1" t="s">
        <v>91</v>
      </c>
      <c r="S879">
        <v>1268</v>
      </c>
      <c r="T879">
        <v>88790000</v>
      </c>
      <c r="U879" s="1" t="s">
        <v>108</v>
      </c>
      <c r="V879" s="1" t="s">
        <v>2971</v>
      </c>
      <c r="W879" s="1" t="s">
        <v>87</v>
      </c>
      <c r="X879">
        <v>48</v>
      </c>
      <c r="Y879">
        <v>36440804</v>
      </c>
      <c r="Z879" t="s">
        <v>91</v>
      </c>
      <c r="AA879" t="s">
        <v>91</v>
      </c>
      <c r="AB879" t="s">
        <v>91</v>
      </c>
      <c r="AC879" t="s">
        <v>91</v>
      </c>
      <c r="AD879" t="s">
        <v>91</v>
      </c>
      <c r="AE879" t="s">
        <v>91</v>
      </c>
      <c r="AF879" t="s">
        <v>91</v>
      </c>
      <c r="AG879" s="1" t="s">
        <v>91</v>
      </c>
      <c r="AH879" s="1" t="s">
        <v>91</v>
      </c>
      <c r="AI879" t="s">
        <v>91</v>
      </c>
      <c r="AM879" t="s">
        <v>91</v>
      </c>
      <c r="AN879" t="s">
        <v>91</v>
      </c>
      <c r="AO879" t="s">
        <v>91</v>
      </c>
      <c r="AP879" t="s">
        <v>91</v>
      </c>
      <c r="AQ879" s="1" t="s">
        <v>91</v>
      </c>
      <c r="AR879" s="1" t="s">
        <v>91</v>
      </c>
      <c r="AS879" s="1" t="s">
        <v>91</v>
      </c>
      <c r="AT879" s="1" t="s">
        <v>91</v>
      </c>
      <c r="AU879" s="1" t="s">
        <v>91</v>
      </c>
      <c r="AV879" t="s">
        <v>91</v>
      </c>
      <c r="AW879" t="s">
        <v>91</v>
      </c>
      <c r="AX879" t="s">
        <v>91</v>
      </c>
      <c r="AY879" t="s">
        <v>91</v>
      </c>
      <c r="AZ879" t="s">
        <v>91</v>
      </c>
      <c r="BA879" t="s">
        <v>91</v>
      </c>
      <c r="BB879" s="2">
        <v>45118.097175925926</v>
      </c>
      <c r="BC879" s="2"/>
      <c r="BD879" t="s">
        <v>91</v>
      </c>
      <c r="BF879" s="1" t="s">
        <v>75</v>
      </c>
      <c r="BI879" s="1" t="s">
        <v>88</v>
      </c>
      <c r="BJ879">
        <v>1</v>
      </c>
      <c r="BK879" s="1" t="s">
        <v>89</v>
      </c>
      <c r="BL879" t="s">
        <v>91</v>
      </c>
      <c r="BM879" s="1" t="s">
        <v>91</v>
      </c>
      <c r="BN879" s="1" t="s">
        <v>91</v>
      </c>
      <c r="BO879" s="1" t="s">
        <v>91</v>
      </c>
      <c r="BP879" s="1" t="s">
        <v>91</v>
      </c>
      <c r="BQ879" t="s">
        <v>91</v>
      </c>
      <c r="BR879" s="3">
        <v>45118</v>
      </c>
      <c r="BS879" s="3"/>
      <c r="BT879" t="s">
        <v>91</v>
      </c>
      <c r="BU879" t="s">
        <v>91</v>
      </c>
      <c r="BW879" s="1" t="s">
        <v>90</v>
      </c>
    </row>
    <row r="880" spans="1:75" hidden="1" x14ac:dyDescent="0.35">
      <c r="A880">
        <v>152742</v>
      </c>
      <c r="B880" s="1" t="s">
        <v>75</v>
      </c>
      <c r="C880">
        <v>80</v>
      </c>
      <c r="D880">
        <v>11121002</v>
      </c>
      <c r="E880">
        <v>121002</v>
      </c>
      <c r="F880" s="1" t="s">
        <v>2915</v>
      </c>
      <c r="G880" s="1" t="s">
        <v>4987</v>
      </c>
      <c r="H880">
        <v>0</v>
      </c>
      <c r="I880" s="1" t="s">
        <v>78</v>
      </c>
      <c r="J880" s="1" t="s">
        <v>4988</v>
      </c>
      <c r="K880" s="1" t="s">
        <v>4989</v>
      </c>
      <c r="L880" t="s">
        <v>91</v>
      </c>
      <c r="M880" t="s">
        <v>91</v>
      </c>
      <c r="N880" s="1" t="s">
        <v>4990</v>
      </c>
      <c r="O880" t="s">
        <v>91</v>
      </c>
      <c r="P880" s="1" t="s">
        <v>3936</v>
      </c>
      <c r="Q880" s="1" t="s">
        <v>4584</v>
      </c>
      <c r="R880" s="1" t="s">
        <v>91</v>
      </c>
      <c r="S880">
        <v>1258</v>
      </c>
      <c r="T880">
        <v>88070800</v>
      </c>
      <c r="U880" s="1" t="s">
        <v>3953</v>
      </c>
      <c r="V880" s="1" t="s">
        <v>2922</v>
      </c>
      <c r="W880" s="1" t="s">
        <v>87</v>
      </c>
      <c r="X880">
        <v>48</v>
      </c>
      <c r="Y880">
        <v>998128524</v>
      </c>
      <c r="Z880" t="s">
        <v>91</v>
      </c>
      <c r="AA880" t="s">
        <v>91</v>
      </c>
      <c r="AB880" t="s">
        <v>91</v>
      </c>
      <c r="AC880" t="s">
        <v>91</v>
      </c>
      <c r="AD880" t="s">
        <v>91</v>
      </c>
      <c r="AE880" t="s">
        <v>91</v>
      </c>
      <c r="AF880" t="s">
        <v>91</v>
      </c>
      <c r="AG880" s="1" t="s">
        <v>91</v>
      </c>
      <c r="AH880" s="1" t="s">
        <v>91</v>
      </c>
      <c r="AI880" t="s">
        <v>91</v>
      </c>
      <c r="AM880" t="s">
        <v>91</v>
      </c>
      <c r="AN880" t="s">
        <v>91</v>
      </c>
      <c r="AO880" t="s">
        <v>91</v>
      </c>
      <c r="AP880" t="s">
        <v>91</v>
      </c>
      <c r="AQ880" s="1" t="s">
        <v>91</v>
      </c>
      <c r="AR880" s="1" t="s">
        <v>91</v>
      </c>
      <c r="AS880" s="1" t="s">
        <v>91</v>
      </c>
      <c r="AT880" s="1" t="s">
        <v>91</v>
      </c>
      <c r="AU880" s="1" t="s">
        <v>91</v>
      </c>
      <c r="AV880" t="s">
        <v>91</v>
      </c>
      <c r="AW880" t="s">
        <v>91</v>
      </c>
      <c r="AX880" t="s">
        <v>91</v>
      </c>
      <c r="AY880" t="s">
        <v>91</v>
      </c>
      <c r="AZ880" t="s">
        <v>91</v>
      </c>
      <c r="BA880" t="s">
        <v>91</v>
      </c>
      <c r="BB880" s="2">
        <v>45019.565613425926</v>
      </c>
      <c r="BC880" s="2"/>
      <c r="BD880" t="s">
        <v>91</v>
      </c>
      <c r="BF880" s="1" t="s">
        <v>75</v>
      </c>
      <c r="BI880" s="1" t="s">
        <v>88</v>
      </c>
      <c r="BJ880">
        <v>1</v>
      </c>
      <c r="BK880" s="1" t="s">
        <v>89</v>
      </c>
      <c r="BL880" t="s">
        <v>91</v>
      </c>
      <c r="BM880" s="1" t="s">
        <v>91</v>
      </c>
      <c r="BN880" s="1" t="s">
        <v>91</v>
      </c>
      <c r="BO880" s="1" t="s">
        <v>91</v>
      </c>
      <c r="BP880" s="1" t="s">
        <v>91</v>
      </c>
      <c r="BQ880" t="s">
        <v>91</v>
      </c>
      <c r="BR880" s="3">
        <v>45019</v>
      </c>
      <c r="BS880" s="3"/>
      <c r="BT880" t="s">
        <v>91</v>
      </c>
      <c r="BU880" t="s">
        <v>91</v>
      </c>
      <c r="BW880" s="1" t="s">
        <v>90</v>
      </c>
    </row>
    <row r="881" spans="1:75" hidden="1" x14ac:dyDescent="0.35">
      <c r="A881">
        <v>36</v>
      </c>
      <c r="B881" s="1" t="s">
        <v>75</v>
      </c>
      <c r="C881">
        <v>80</v>
      </c>
      <c r="D881">
        <v>11121002</v>
      </c>
      <c r="E881">
        <v>121002</v>
      </c>
      <c r="F881" s="1" t="s">
        <v>2915</v>
      </c>
      <c r="G881" s="1" t="s">
        <v>4991</v>
      </c>
      <c r="I881" s="1" t="s">
        <v>78</v>
      </c>
      <c r="J881" s="1" t="s">
        <v>4992</v>
      </c>
      <c r="K881" s="1" t="s">
        <v>4993</v>
      </c>
      <c r="L881" t="s">
        <v>91</v>
      </c>
      <c r="M881" t="s">
        <v>91</v>
      </c>
      <c r="N881" s="1" t="s">
        <v>4994</v>
      </c>
      <c r="O881" t="s">
        <v>91</v>
      </c>
      <c r="P881" s="1" t="s">
        <v>4995</v>
      </c>
      <c r="Q881" s="1" t="s">
        <v>4996</v>
      </c>
      <c r="R881" s="1" t="s">
        <v>91</v>
      </c>
      <c r="S881">
        <v>1269</v>
      </c>
      <c r="T881">
        <v>88801250</v>
      </c>
      <c r="U881" s="1" t="s">
        <v>108</v>
      </c>
      <c r="V881" s="1" t="s">
        <v>3231</v>
      </c>
      <c r="W881" s="1" t="s">
        <v>87</v>
      </c>
      <c r="X881">
        <v>48</v>
      </c>
      <c r="Y881">
        <v>34330140</v>
      </c>
      <c r="Z881" t="s">
        <v>91</v>
      </c>
      <c r="AA881" t="s">
        <v>91</v>
      </c>
      <c r="AB881" t="s">
        <v>91</v>
      </c>
      <c r="AC881" t="s">
        <v>91</v>
      </c>
      <c r="AD881" t="s">
        <v>91</v>
      </c>
      <c r="AE881" t="s">
        <v>91</v>
      </c>
      <c r="AF881" t="s">
        <v>91</v>
      </c>
      <c r="AG881" s="1" t="s">
        <v>91</v>
      </c>
      <c r="AH881" s="1" t="s">
        <v>91</v>
      </c>
      <c r="AI881" t="s">
        <v>91</v>
      </c>
      <c r="AJ881">
        <v>0</v>
      </c>
      <c r="AK881">
        <v>0</v>
      </c>
      <c r="AL881">
        <v>0</v>
      </c>
      <c r="AM881" t="s">
        <v>91</v>
      </c>
      <c r="AN881" t="s">
        <v>91</v>
      </c>
      <c r="AO881" t="s">
        <v>91</v>
      </c>
      <c r="AP881" t="s">
        <v>91</v>
      </c>
      <c r="AQ881" s="1" t="s">
        <v>91</v>
      </c>
      <c r="AR881" s="1" t="s">
        <v>91</v>
      </c>
      <c r="AS881" s="1" t="s">
        <v>91</v>
      </c>
      <c r="AT881" s="1" t="s">
        <v>91</v>
      </c>
      <c r="AU881" s="1" t="s">
        <v>91</v>
      </c>
      <c r="AV881" t="s">
        <v>91</v>
      </c>
      <c r="AW881" t="s">
        <v>91</v>
      </c>
      <c r="AX881" t="s">
        <v>91</v>
      </c>
      <c r="AY881" t="s">
        <v>91</v>
      </c>
      <c r="AZ881" t="s">
        <v>91</v>
      </c>
      <c r="BA881" t="s">
        <v>91</v>
      </c>
      <c r="BB881" s="2">
        <v>43308.39271990741</v>
      </c>
      <c r="BC881" s="2"/>
      <c r="BD881" t="s">
        <v>91</v>
      </c>
      <c r="BE881">
        <v>36</v>
      </c>
      <c r="BF881" s="1" t="s">
        <v>75</v>
      </c>
      <c r="BG881">
        <v>0</v>
      </c>
      <c r="BH881">
        <v>0</v>
      </c>
      <c r="BI881" s="1" t="s">
        <v>88</v>
      </c>
      <c r="BJ881">
        <v>1</v>
      </c>
      <c r="BK881" s="1" t="s">
        <v>89</v>
      </c>
      <c r="BL881" t="s">
        <v>91</v>
      </c>
      <c r="BM881" s="1" t="s">
        <v>109</v>
      </c>
      <c r="BN881" s="1" t="s">
        <v>110</v>
      </c>
      <c r="BO881" s="1" t="s">
        <v>165</v>
      </c>
      <c r="BP881" s="1" t="s">
        <v>91</v>
      </c>
      <c r="BQ881" t="s">
        <v>91</v>
      </c>
      <c r="BR881" s="3">
        <v>43308</v>
      </c>
      <c r="BS881" s="3"/>
      <c r="BT881" t="s">
        <v>91</v>
      </c>
      <c r="BU881" t="s">
        <v>91</v>
      </c>
      <c r="BV881">
        <v>5</v>
      </c>
      <c r="BW881" s="1" t="s">
        <v>589</v>
      </c>
    </row>
    <row r="882" spans="1:75" hidden="1" x14ac:dyDescent="0.35">
      <c r="A882">
        <v>152767</v>
      </c>
      <c r="B882" s="1" t="s">
        <v>75</v>
      </c>
      <c r="C882">
        <v>80</v>
      </c>
      <c r="D882">
        <v>11121002</v>
      </c>
      <c r="E882">
        <v>121002</v>
      </c>
      <c r="F882" s="1" t="s">
        <v>2915</v>
      </c>
      <c r="G882" s="1" t="s">
        <v>4997</v>
      </c>
      <c r="H882">
        <v>0</v>
      </c>
      <c r="I882" s="1" t="s">
        <v>78</v>
      </c>
      <c r="J882" s="1" t="s">
        <v>4998</v>
      </c>
      <c r="K882" s="1" t="s">
        <v>4999</v>
      </c>
      <c r="L882" t="s">
        <v>91</v>
      </c>
      <c r="M882" t="s">
        <v>91</v>
      </c>
      <c r="N882" s="1" t="s">
        <v>5000</v>
      </c>
      <c r="O882" t="s">
        <v>91</v>
      </c>
      <c r="P882" s="1" t="s">
        <v>5001</v>
      </c>
      <c r="Q882" s="1" t="s">
        <v>3653</v>
      </c>
      <c r="R882" s="1" t="s">
        <v>5002</v>
      </c>
      <c r="S882">
        <v>1259</v>
      </c>
      <c r="T882">
        <v>88104800</v>
      </c>
      <c r="U882" s="1" t="s">
        <v>3405</v>
      </c>
      <c r="V882" s="1" t="s">
        <v>2958</v>
      </c>
      <c r="W882" s="1" t="s">
        <v>87</v>
      </c>
      <c r="X882">
        <v>51</v>
      </c>
      <c r="Y882">
        <v>999090271</v>
      </c>
      <c r="Z882" t="s">
        <v>91</v>
      </c>
      <c r="AA882" t="s">
        <v>91</v>
      </c>
      <c r="AB882" t="s">
        <v>91</v>
      </c>
      <c r="AC882" t="s">
        <v>91</v>
      </c>
      <c r="AD882" t="s">
        <v>91</v>
      </c>
      <c r="AE882" t="s">
        <v>91</v>
      </c>
      <c r="AF882" t="s">
        <v>91</v>
      </c>
      <c r="AG882" s="1" t="s">
        <v>91</v>
      </c>
      <c r="AH882" s="1" t="s">
        <v>91</v>
      </c>
      <c r="AI882" t="s">
        <v>91</v>
      </c>
      <c r="AM882" t="s">
        <v>91</v>
      </c>
      <c r="AN882" t="s">
        <v>91</v>
      </c>
      <c r="AO882" t="s">
        <v>91</v>
      </c>
      <c r="AP882" t="s">
        <v>91</v>
      </c>
      <c r="AQ882" s="1" t="s">
        <v>91</v>
      </c>
      <c r="AR882" s="1" t="s">
        <v>91</v>
      </c>
      <c r="AS882" s="1" t="s">
        <v>91</v>
      </c>
      <c r="AT882" s="1" t="s">
        <v>91</v>
      </c>
      <c r="AU882" s="1" t="s">
        <v>91</v>
      </c>
      <c r="AV882" t="s">
        <v>91</v>
      </c>
      <c r="AW882" t="s">
        <v>91</v>
      </c>
      <c r="AX882" t="s">
        <v>91</v>
      </c>
      <c r="AY882" t="s">
        <v>91</v>
      </c>
      <c r="AZ882" t="s">
        <v>91</v>
      </c>
      <c r="BA882" t="s">
        <v>91</v>
      </c>
      <c r="BB882" s="2">
        <v>45019.565613425926</v>
      </c>
      <c r="BC882" s="2"/>
      <c r="BD882" t="s">
        <v>91</v>
      </c>
      <c r="BF882" s="1" t="s">
        <v>75</v>
      </c>
      <c r="BI882" s="1" t="s">
        <v>88</v>
      </c>
      <c r="BJ882">
        <v>1</v>
      </c>
      <c r="BK882" s="1" t="s">
        <v>89</v>
      </c>
      <c r="BL882" t="s">
        <v>91</v>
      </c>
      <c r="BM882" s="1" t="s">
        <v>91</v>
      </c>
      <c r="BN882" s="1" t="s">
        <v>91</v>
      </c>
      <c r="BO882" s="1" t="s">
        <v>91</v>
      </c>
      <c r="BP882" s="1" t="s">
        <v>91</v>
      </c>
      <c r="BQ882" t="s">
        <v>91</v>
      </c>
      <c r="BR882" s="3">
        <v>45019</v>
      </c>
      <c r="BS882" s="3"/>
      <c r="BT882" t="s">
        <v>91</v>
      </c>
      <c r="BU882" t="s">
        <v>91</v>
      </c>
      <c r="BW882" s="1" t="s">
        <v>90</v>
      </c>
    </row>
    <row r="883" spans="1:75" hidden="1" x14ac:dyDescent="0.35">
      <c r="A883">
        <v>144347</v>
      </c>
      <c r="B883" s="1" t="s">
        <v>75</v>
      </c>
      <c r="C883">
        <v>80</v>
      </c>
      <c r="D883">
        <v>11121002</v>
      </c>
      <c r="E883">
        <v>121002</v>
      </c>
      <c r="F883" s="1" t="s">
        <v>2915</v>
      </c>
      <c r="G883" s="1" t="s">
        <v>5003</v>
      </c>
      <c r="I883" s="1" t="s">
        <v>78</v>
      </c>
      <c r="J883" s="1" t="s">
        <v>5004</v>
      </c>
      <c r="K883" s="1" t="s">
        <v>5005</v>
      </c>
      <c r="L883" t="s">
        <v>91</v>
      </c>
      <c r="M883" t="s">
        <v>91</v>
      </c>
      <c r="N883" s="1" t="s">
        <v>5006</v>
      </c>
      <c r="O883" t="s">
        <v>91</v>
      </c>
      <c r="P883" s="1" t="s">
        <v>3699</v>
      </c>
      <c r="Q883" s="1" t="s">
        <v>5007</v>
      </c>
      <c r="R883" s="1" t="s">
        <v>320</v>
      </c>
      <c r="S883">
        <v>1268</v>
      </c>
      <c r="T883">
        <v>88701001</v>
      </c>
      <c r="U883" s="1" t="s">
        <v>108</v>
      </c>
      <c r="V883" s="1" t="s">
        <v>3059</v>
      </c>
      <c r="W883" s="1" t="s">
        <v>87</v>
      </c>
      <c r="X883">
        <v>48</v>
      </c>
      <c r="Y883">
        <v>30522522</v>
      </c>
      <c r="Z883" t="s">
        <v>91</v>
      </c>
      <c r="AA883" t="s">
        <v>91</v>
      </c>
      <c r="AB883" t="s">
        <v>91</v>
      </c>
      <c r="AC883" t="s">
        <v>91</v>
      </c>
      <c r="AD883" t="s">
        <v>91</v>
      </c>
      <c r="AE883" t="s">
        <v>91</v>
      </c>
      <c r="AF883" t="s">
        <v>91</v>
      </c>
      <c r="AG883" s="1" t="s">
        <v>91</v>
      </c>
      <c r="AH883" s="1" t="s">
        <v>91</v>
      </c>
      <c r="AI883" t="s">
        <v>91</v>
      </c>
      <c r="AJ883">
        <v>0</v>
      </c>
      <c r="AK883">
        <v>0</v>
      </c>
      <c r="AL883">
        <v>0</v>
      </c>
      <c r="AM883" t="s">
        <v>91</v>
      </c>
      <c r="AN883" t="s">
        <v>91</v>
      </c>
      <c r="AO883" t="s">
        <v>91</v>
      </c>
      <c r="AP883" t="s">
        <v>91</v>
      </c>
      <c r="AQ883" s="1" t="s">
        <v>91</v>
      </c>
      <c r="AR883" s="1" t="s">
        <v>91</v>
      </c>
      <c r="AS883" s="1" t="s">
        <v>91</v>
      </c>
      <c r="AT883" s="1" t="s">
        <v>91</v>
      </c>
      <c r="AU883" s="1" t="s">
        <v>91</v>
      </c>
      <c r="AV883" t="s">
        <v>91</v>
      </c>
      <c r="AW883" t="s">
        <v>91</v>
      </c>
      <c r="AX883" t="s">
        <v>91</v>
      </c>
      <c r="AY883" t="s">
        <v>91</v>
      </c>
      <c r="AZ883" t="s">
        <v>91</v>
      </c>
      <c r="BA883" t="s">
        <v>91</v>
      </c>
      <c r="BB883" s="2"/>
      <c r="BC883" s="2"/>
      <c r="BD883" t="s">
        <v>91</v>
      </c>
      <c r="BF883" s="1" t="s">
        <v>75</v>
      </c>
      <c r="BG883">
        <v>0</v>
      </c>
      <c r="BH883">
        <v>0</v>
      </c>
      <c r="BI883" s="1" t="s">
        <v>88</v>
      </c>
      <c r="BJ883">
        <v>1</v>
      </c>
      <c r="BK883" s="1" t="s">
        <v>89</v>
      </c>
      <c r="BL883" t="s">
        <v>91</v>
      </c>
      <c r="BM883" s="1" t="s">
        <v>109</v>
      </c>
      <c r="BN883" s="1" t="s">
        <v>110</v>
      </c>
      <c r="BO883" s="1" t="s">
        <v>128</v>
      </c>
      <c r="BP883" s="1" t="s">
        <v>91</v>
      </c>
      <c r="BQ883" t="s">
        <v>91</v>
      </c>
      <c r="BR883" s="3"/>
      <c r="BS883" s="3"/>
      <c r="BT883" t="s">
        <v>91</v>
      </c>
      <c r="BU883" t="s">
        <v>91</v>
      </c>
      <c r="BV883">
        <v>9</v>
      </c>
      <c r="BW883" s="1" t="s">
        <v>5008</v>
      </c>
    </row>
    <row r="884" spans="1:75" hidden="1" x14ac:dyDescent="0.35">
      <c r="A884">
        <v>127436</v>
      </c>
      <c r="B884" s="1" t="s">
        <v>75</v>
      </c>
      <c r="C884">
        <v>80</v>
      </c>
      <c r="D884">
        <v>11121002</v>
      </c>
      <c r="E884">
        <v>121002</v>
      </c>
      <c r="F884" s="1" t="s">
        <v>2915</v>
      </c>
      <c r="G884" s="1" t="s">
        <v>5009</v>
      </c>
      <c r="H884">
        <v>0</v>
      </c>
      <c r="I884" s="1" t="s">
        <v>78</v>
      </c>
      <c r="J884" s="1" t="s">
        <v>5010</v>
      </c>
      <c r="K884" s="1" t="s">
        <v>5011</v>
      </c>
      <c r="L884" t="s">
        <v>91</v>
      </c>
      <c r="M884" t="s">
        <v>91</v>
      </c>
      <c r="N884" s="1" t="s">
        <v>5012</v>
      </c>
      <c r="O884" t="s">
        <v>91</v>
      </c>
      <c r="P884" s="1" t="s">
        <v>5013</v>
      </c>
      <c r="Q884" s="1" t="s">
        <v>5014</v>
      </c>
      <c r="R884" s="1" t="s">
        <v>245</v>
      </c>
      <c r="S884">
        <v>1269</v>
      </c>
      <c r="T884">
        <v>88870000</v>
      </c>
      <c r="U884" s="1" t="s">
        <v>108</v>
      </c>
      <c r="V884" s="1" t="s">
        <v>5015</v>
      </c>
      <c r="W884" s="1" t="s">
        <v>87</v>
      </c>
      <c r="X884">
        <v>48</v>
      </c>
      <c r="Y884">
        <v>34660329</v>
      </c>
      <c r="Z884" t="s">
        <v>91</v>
      </c>
      <c r="AA884" t="s">
        <v>91</v>
      </c>
      <c r="AB884" t="s">
        <v>91</v>
      </c>
      <c r="AC884" t="s">
        <v>91</v>
      </c>
      <c r="AD884" t="s">
        <v>91</v>
      </c>
      <c r="AE884" t="s">
        <v>91</v>
      </c>
      <c r="AF884" t="s">
        <v>91</v>
      </c>
      <c r="AG884" s="1" t="s">
        <v>91</v>
      </c>
      <c r="AH884" s="1" t="s">
        <v>91</v>
      </c>
      <c r="AI884" t="s">
        <v>91</v>
      </c>
      <c r="AJ884">
        <v>0</v>
      </c>
      <c r="AK884">
        <v>0</v>
      </c>
      <c r="AL884">
        <v>0</v>
      </c>
      <c r="AM884" t="s">
        <v>91</v>
      </c>
      <c r="AN884" t="s">
        <v>91</v>
      </c>
      <c r="AO884" t="s">
        <v>91</v>
      </c>
      <c r="AP884" t="s">
        <v>91</v>
      </c>
      <c r="AQ884" s="1" t="s">
        <v>91</v>
      </c>
      <c r="AR884" s="1" t="s">
        <v>91</v>
      </c>
      <c r="AS884" s="1" t="s">
        <v>91</v>
      </c>
      <c r="AT884" s="1" t="s">
        <v>91</v>
      </c>
      <c r="AU884" s="1" t="s">
        <v>91</v>
      </c>
      <c r="AV884" t="s">
        <v>91</v>
      </c>
      <c r="AW884" t="s">
        <v>91</v>
      </c>
      <c r="AX884" t="s">
        <v>91</v>
      </c>
      <c r="AY884" t="s">
        <v>91</v>
      </c>
      <c r="AZ884" t="s">
        <v>91</v>
      </c>
      <c r="BA884" t="s">
        <v>91</v>
      </c>
      <c r="BB884" s="2">
        <v>44111.380995370368</v>
      </c>
      <c r="BC884" s="2"/>
      <c r="BD884" t="s">
        <v>91</v>
      </c>
      <c r="BF884" s="1" t="s">
        <v>75</v>
      </c>
      <c r="BG884">
        <v>0</v>
      </c>
      <c r="BH884">
        <v>0</v>
      </c>
      <c r="BI884" s="1" t="s">
        <v>88</v>
      </c>
      <c r="BJ884">
        <v>1</v>
      </c>
      <c r="BK884" s="1" t="s">
        <v>89</v>
      </c>
      <c r="BL884" t="s">
        <v>91</v>
      </c>
      <c r="BM884" s="1" t="s">
        <v>109</v>
      </c>
      <c r="BN884" s="1" t="s">
        <v>110</v>
      </c>
      <c r="BO884" s="1" t="s">
        <v>128</v>
      </c>
      <c r="BP884" s="1" t="s">
        <v>91</v>
      </c>
      <c r="BQ884" t="s">
        <v>91</v>
      </c>
      <c r="BR884" s="3">
        <v>44111</v>
      </c>
      <c r="BS884" s="3"/>
      <c r="BT884" t="s">
        <v>91</v>
      </c>
      <c r="BU884" t="s">
        <v>91</v>
      </c>
      <c r="BV884">
        <v>9</v>
      </c>
      <c r="BW884" s="1" t="s">
        <v>90</v>
      </c>
    </row>
    <row r="885" spans="1:75" hidden="1" x14ac:dyDescent="0.35">
      <c r="A885">
        <v>152749</v>
      </c>
      <c r="B885" s="1" t="s">
        <v>75</v>
      </c>
      <c r="C885">
        <v>80</v>
      </c>
      <c r="D885">
        <v>11121002</v>
      </c>
      <c r="E885">
        <v>121002</v>
      </c>
      <c r="F885" s="1" t="s">
        <v>2915</v>
      </c>
      <c r="G885" s="1" t="s">
        <v>5016</v>
      </c>
      <c r="H885">
        <v>0</v>
      </c>
      <c r="I885" s="1" t="s">
        <v>78</v>
      </c>
      <c r="J885" s="1" t="s">
        <v>5017</v>
      </c>
      <c r="K885" s="1" t="s">
        <v>5017</v>
      </c>
      <c r="L885" t="s">
        <v>91</v>
      </c>
      <c r="M885" t="s">
        <v>91</v>
      </c>
      <c r="N885" s="1" t="s">
        <v>5018</v>
      </c>
      <c r="O885" t="s">
        <v>91</v>
      </c>
      <c r="P885" s="1" t="s">
        <v>3748</v>
      </c>
      <c r="Q885" s="1" t="s">
        <v>5019</v>
      </c>
      <c r="R885" s="1" t="s">
        <v>5020</v>
      </c>
      <c r="S885">
        <v>1259</v>
      </c>
      <c r="T885">
        <v>88102000</v>
      </c>
      <c r="U885" s="1" t="s">
        <v>3015</v>
      </c>
      <c r="V885" s="1" t="s">
        <v>2958</v>
      </c>
      <c r="W885" s="1" t="s">
        <v>87</v>
      </c>
      <c r="Z885" t="s">
        <v>91</v>
      </c>
      <c r="AA885" t="s">
        <v>91</v>
      </c>
      <c r="AB885" t="s">
        <v>91</v>
      </c>
      <c r="AC885" t="s">
        <v>91</v>
      </c>
      <c r="AD885" t="s">
        <v>91</v>
      </c>
      <c r="AE885" t="s">
        <v>91</v>
      </c>
      <c r="AF885" t="s">
        <v>91</v>
      </c>
      <c r="AG885" s="1" t="s">
        <v>91</v>
      </c>
      <c r="AH885" s="1" t="s">
        <v>91</v>
      </c>
      <c r="AI885" t="s">
        <v>91</v>
      </c>
      <c r="AM885" t="s">
        <v>91</v>
      </c>
      <c r="AN885" t="s">
        <v>91</v>
      </c>
      <c r="AO885" t="s">
        <v>91</v>
      </c>
      <c r="AP885" t="s">
        <v>91</v>
      </c>
      <c r="AQ885" s="1" t="s">
        <v>91</v>
      </c>
      <c r="AR885" s="1" t="s">
        <v>91</v>
      </c>
      <c r="AS885" s="1" t="s">
        <v>91</v>
      </c>
      <c r="AT885" s="1" t="s">
        <v>91</v>
      </c>
      <c r="AU885" s="1" t="s">
        <v>91</v>
      </c>
      <c r="AV885" t="s">
        <v>91</v>
      </c>
      <c r="AW885" t="s">
        <v>91</v>
      </c>
      <c r="AX885" t="s">
        <v>91</v>
      </c>
      <c r="AY885" t="s">
        <v>91</v>
      </c>
      <c r="AZ885" t="s">
        <v>91</v>
      </c>
      <c r="BA885" t="s">
        <v>91</v>
      </c>
      <c r="BB885" s="2">
        <v>45019.565613425926</v>
      </c>
      <c r="BC885" s="2"/>
      <c r="BD885" t="s">
        <v>91</v>
      </c>
      <c r="BF885" s="1" t="s">
        <v>75</v>
      </c>
      <c r="BI885" s="1" t="s">
        <v>88</v>
      </c>
      <c r="BJ885">
        <v>1</v>
      </c>
      <c r="BK885" s="1" t="s">
        <v>89</v>
      </c>
      <c r="BL885" t="s">
        <v>91</v>
      </c>
      <c r="BM885" s="1" t="s">
        <v>91</v>
      </c>
      <c r="BN885" s="1" t="s">
        <v>91</v>
      </c>
      <c r="BO885" s="1" t="s">
        <v>91</v>
      </c>
      <c r="BP885" s="1" t="s">
        <v>91</v>
      </c>
      <c r="BQ885" t="s">
        <v>91</v>
      </c>
      <c r="BR885" s="3">
        <v>45019</v>
      </c>
      <c r="BS885" s="3"/>
      <c r="BT885" t="s">
        <v>91</v>
      </c>
      <c r="BU885" t="s">
        <v>91</v>
      </c>
      <c r="BW885" s="1" t="s">
        <v>90</v>
      </c>
    </row>
    <row r="886" spans="1:75" hidden="1" x14ac:dyDescent="0.35">
      <c r="A886">
        <v>157636</v>
      </c>
      <c r="B886" s="1" t="s">
        <v>75</v>
      </c>
      <c r="C886">
        <v>80</v>
      </c>
      <c r="D886">
        <v>11121002</v>
      </c>
      <c r="E886">
        <v>121002</v>
      </c>
      <c r="F886" s="1" t="s">
        <v>2915</v>
      </c>
      <c r="G886" s="1" t="s">
        <v>5021</v>
      </c>
      <c r="H886">
        <v>0</v>
      </c>
      <c r="I886" s="1" t="s">
        <v>78</v>
      </c>
      <c r="J886" s="1" t="s">
        <v>5022</v>
      </c>
      <c r="K886" s="1" t="s">
        <v>5023</v>
      </c>
      <c r="L886" t="s">
        <v>91</v>
      </c>
      <c r="M886" t="s">
        <v>91</v>
      </c>
      <c r="N886" s="1" t="s">
        <v>91</v>
      </c>
      <c r="O886" t="s">
        <v>91</v>
      </c>
      <c r="P886" s="1" t="s">
        <v>5024</v>
      </c>
      <c r="Q886" s="1" t="s">
        <v>5025</v>
      </c>
      <c r="R886" s="1" t="s">
        <v>91</v>
      </c>
      <c r="S886">
        <v>1269</v>
      </c>
      <c r="T886">
        <v>88801040</v>
      </c>
      <c r="U886" s="1" t="s">
        <v>108</v>
      </c>
      <c r="V886" s="1" t="s">
        <v>2943</v>
      </c>
      <c r="W886" s="1" t="s">
        <v>87</v>
      </c>
      <c r="X886">
        <v>48</v>
      </c>
      <c r="Y886">
        <v>34330625</v>
      </c>
      <c r="Z886" t="s">
        <v>91</v>
      </c>
      <c r="AA886" t="s">
        <v>91</v>
      </c>
      <c r="AB886" t="s">
        <v>91</v>
      </c>
      <c r="AC886" t="s">
        <v>91</v>
      </c>
      <c r="AD886" t="s">
        <v>91</v>
      </c>
      <c r="AE886" t="s">
        <v>91</v>
      </c>
      <c r="AF886" t="s">
        <v>91</v>
      </c>
      <c r="AG886" s="1" t="s">
        <v>91</v>
      </c>
      <c r="AH886" s="1" t="s">
        <v>91</v>
      </c>
      <c r="AI886" t="s">
        <v>91</v>
      </c>
      <c r="AM886" t="s">
        <v>91</v>
      </c>
      <c r="AN886" t="s">
        <v>91</v>
      </c>
      <c r="AO886" t="s">
        <v>91</v>
      </c>
      <c r="AP886" t="s">
        <v>91</v>
      </c>
      <c r="AQ886" s="1" t="s">
        <v>91</v>
      </c>
      <c r="AR886" s="1" t="s">
        <v>91</v>
      </c>
      <c r="AS886" s="1" t="s">
        <v>91</v>
      </c>
      <c r="AT886" s="1" t="s">
        <v>91</v>
      </c>
      <c r="AU886" s="1" t="s">
        <v>91</v>
      </c>
      <c r="AV886" t="s">
        <v>91</v>
      </c>
      <c r="AW886" t="s">
        <v>91</v>
      </c>
      <c r="AX886" t="s">
        <v>91</v>
      </c>
      <c r="AY886" t="s">
        <v>91</v>
      </c>
      <c r="AZ886" t="s">
        <v>91</v>
      </c>
      <c r="BA886" t="s">
        <v>91</v>
      </c>
      <c r="BB886" s="2">
        <v>45118.097175925926</v>
      </c>
      <c r="BC886" s="2"/>
      <c r="BD886" t="s">
        <v>91</v>
      </c>
      <c r="BF886" s="1" t="s">
        <v>75</v>
      </c>
      <c r="BI886" s="1" t="s">
        <v>88</v>
      </c>
      <c r="BJ886">
        <v>1</v>
      </c>
      <c r="BK886" s="1" t="s">
        <v>89</v>
      </c>
      <c r="BL886" t="s">
        <v>91</v>
      </c>
      <c r="BM886" s="1" t="s">
        <v>91</v>
      </c>
      <c r="BN886" s="1" t="s">
        <v>91</v>
      </c>
      <c r="BO886" s="1" t="s">
        <v>91</v>
      </c>
      <c r="BP886" s="1" t="s">
        <v>91</v>
      </c>
      <c r="BQ886" t="s">
        <v>91</v>
      </c>
      <c r="BR886" s="3">
        <v>45118</v>
      </c>
      <c r="BS886" s="3"/>
      <c r="BT886" t="s">
        <v>91</v>
      </c>
      <c r="BU886" t="s">
        <v>91</v>
      </c>
      <c r="BW886" s="1" t="s">
        <v>90</v>
      </c>
    </row>
    <row r="887" spans="1:75" hidden="1" x14ac:dyDescent="0.35">
      <c r="A887">
        <v>156959</v>
      </c>
      <c r="B887" s="1" t="s">
        <v>75</v>
      </c>
      <c r="C887">
        <v>80</v>
      </c>
      <c r="D887">
        <v>11121002</v>
      </c>
      <c r="E887">
        <v>121002</v>
      </c>
      <c r="F887" s="1" t="s">
        <v>2915</v>
      </c>
      <c r="G887" s="1" t="s">
        <v>5026</v>
      </c>
      <c r="H887">
        <v>0</v>
      </c>
      <c r="I887" s="1" t="s">
        <v>78</v>
      </c>
      <c r="J887" s="1" t="s">
        <v>5027</v>
      </c>
      <c r="K887" s="1" t="s">
        <v>5028</v>
      </c>
      <c r="L887" t="s">
        <v>91</v>
      </c>
      <c r="M887" t="s">
        <v>91</v>
      </c>
      <c r="N887" s="1" t="s">
        <v>5029</v>
      </c>
      <c r="O887" t="s">
        <v>91</v>
      </c>
      <c r="P887" s="1" t="s">
        <v>3936</v>
      </c>
      <c r="Q887" s="1" t="s">
        <v>5030</v>
      </c>
      <c r="R887" s="1" t="s">
        <v>2531</v>
      </c>
      <c r="S887">
        <v>1258</v>
      </c>
      <c r="T887">
        <v>88070800</v>
      </c>
      <c r="U887" s="1" t="s">
        <v>3953</v>
      </c>
      <c r="V887" s="1" t="s">
        <v>2922</v>
      </c>
      <c r="W887" s="1" t="s">
        <v>87</v>
      </c>
      <c r="X887">
        <v>48</v>
      </c>
      <c r="Y887">
        <v>30121280</v>
      </c>
      <c r="Z887" t="s">
        <v>91</v>
      </c>
      <c r="AA887" t="s">
        <v>91</v>
      </c>
      <c r="AB887" t="s">
        <v>91</v>
      </c>
      <c r="AC887" t="s">
        <v>91</v>
      </c>
      <c r="AD887" t="s">
        <v>91</v>
      </c>
      <c r="AE887" t="s">
        <v>91</v>
      </c>
      <c r="AF887" t="s">
        <v>91</v>
      </c>
      <c r="AG887" s="1" t="s">
        <v>91</v>
      </c>
      <c r="AH887" s="1" t="s">
        <v>91</v>
      </c>
      <c r="AI887" t="s">
        <v>91</v>
      </c>
      <c r="AM887" t="s">
        <v>91</v>
      </c>
      <c r="AN887" t="s">
        <v>91</v>
      </c>
      <c r="AO887" t="s">
        <v>91</v>
      </c>
      <c r="AP887" t="s">
        <v>91</v>
      </c>
      <c r="AQ887" s="1" t="s">
        <v>91</v>
      </c>
      <c r="AR887" s="1" t="s">
        <v>91</v>
      </c>
      <c r="AS887" s="1" t="s">
        <v>91</v>
      </c>
      <c r="AT887" s="1" t="s">
        <v>91</v>
      </c>
      <c r="AU887" s="1" t="s">
        <v>91</v>
      </c>
      <c r="AV887" t="s">
        <v>91</v>
      </c>
      <c r="AW887" t="s">
        <v>91</v>
      </c>
      <c r="AX887" t="s">
        <v>91</v>
      </c>
      <c r="AY887" t="s">
        <v>91</v>
      </c>
      <c r="AZ887" t="s">
        <v>91</v>
      </c>
      <c r="BA887" t="s">
        <v>91</v>
      </c>
      <c r="BB887" s="2">
        <v>45113.505416666667</v>
      </c>
      <c r="BC887" s="2"/>
      <c r="BD887" t="s">
        <v>91</v>
      </c>
      <c r="BF887" s="1" t="s">
        <v>75</v>
      </c>
      <c r="BI887" s="1" t="s">
        <v>88</v>
      </c>
      <c r="BJ887">
        <v>1</v>
      </c>
      <c r="BK887" s="1" t="s">
        <v>89</v>
      </c>
      <c r="BL887" t="s">
        <v>91</v>
      </c>
      <c r="BM887" s="1" t="s">
        <v>91</v>
      </c>
      <c r="BN887" s="1" t="s">
        <v>91</v>
      </c>
      <c r="BO887" s="1" t="s">
        <v>91</v>
      </c>
      <c r="BP887" s="1" t="s">
        <v>91</v>
      </c>
      <c r="BQ887" t="s">
        <v>91</v>
      </c>
      <c r="BR887" s="3">
        <v>45113</v>
      </c>
      <c r="BS887" s="3"/>
      <c r="BT887" t="s">
        <v>91</v>
      </c>
      <c r="BU887" t="s">
        <v>91</v>
      </c>
      <c r="BW887" s="1" t="s">
        <v>90</v>
      </c>
    </row>
    <row r="888" spans="1:75" hidden="1" x14ac:dyDescent="0.35">
      <c r="A888">
        <v>156919</v>
      </c>
      <c r="B888" s="1" t="s">
        <v>75</v>
      </c>
      <c r="C888">
        <v>80</v>
      </c>
      <c r="D888">
        <v>11121002</v>
      </c>
      <c r="E888">
        <v>121002</v>
      </c>
      <c r="F888" s="1" t="s">
        <v>2915</v>
      </c>
      <c r="G888" s="1" t="s">
        <v>5031</v>
      </c>
      <c r="H888">
        <v>0</v>
      </c>
      <c r="I888" s="1" t="s">
        <v>78</v>
      </c>
      <c r="J888" s="1" t="s">
        <v>5032</v>
      </c>
      <c r="K888" s="1" t="s">
        <v>5033</v>
      </c>
      <c r="L888" t="s">
        <v>91</v>
      </c>
      <c r="M888" t="s">
        <v>91</v>
      </c>
      <c r="N888" s="1" t="s">
        <v>5034</v>
      </c>
      <c r="O888" t="s">
        <v>91</v>
      </c>
      <c r="P888" s="1" t="s">
        <v>525</v>
      </c>
      <c r="Q888" s="1" t="s">
        <v>5035</v>
      </c>
      <c r="R888" s="1" t="s">
        <v>91</v>
      </c>
      <c r="S888">
        <v>1268</v>
      </c>
      <c r="T888">
        <v>88780000</v>
      </c>
      <c r="U888" s="1" t="s">
        <v>108</v>
      </c>
      <c r="V888" s="1" t="s">
        <v>2929</v>
      </c>
      <c r="W888" s="1" t="s">
        <v>87</v>
      </c>
      <c r="X888">
        <v>48</v>
      </c>
      <c r="Y888">
        <v>991815775</v>
      </c>
      <c r="Z888" t="s">
        <v>91</v>
      </c>
      <c r="AA888" t="s">
        <v>91</v>
      </c>
      <c r="AB888" t="s">
        <v>91</v>
      </c>
      <c r="AC888" t="s">
        <v>91</v>
      </c>
      <c r="AD888" t="s">
        <v>91</v>
      </c>
      <c r="AE888" t="s">
        <v>91</v>
      </c>
      <c r="AF888" t="s">
        <v>91</v>
      </c>
      <c r="AG888" s="1" t="s">
        <v>91</v>
      </c>
      <c r="AH888" s="1" t="s">
        <v>91</v>
      </c>
      <c r="AI888" t="s">
        <v>91</v>
      </c>
      <c r="AM888" t="s">
        <v>91</v>
      </c>
      <c r="AN888" t="s">
        <v>91</v>
      </c>
      <c r="AO888" t="s">
        <v>91</v>
      </c>
      <c r="AP888" t="s">
        <v>91</v>
      </c>
      <c r="AQ888" s="1" t="s">
        <v>91</v>
      </c>
      <c r="AR888" s="1" t="s">
        <v>91</v>
      </c>
      <c r="AS888" s="1" t="s">
        <v>91</v>
      </c>
      <c r="AT888" s="1" t="s">
        <v>91</v>
      </c>
      <c r="AU888" s="1" t="s">
        <v>91</v>
      </c>
      <c r="AV888" t="s">
        <v>91</v>
      </c>
      <c r="AW888" t="s">
        <v>91</v>
      </c>
      <c r="AX888" t="s">
        <v>91</v>
      </c>
      <c r="AY888" t="s">
        <v>91</v>
      </c>
      <c r="AZ888" t="s">
        <v>91</v>
      </c>
      <c r="BA888" t="s">
        <v>91</v>
      </c>
      <c r="BB888" s="2">
        <v>45113.505416666667</v>
      </c>
      <c r="BC888" s="2"/>
      <c r="BD888" t="s">
        <v>91</v>
      </c>
      <c r="BF888" s="1" t="s">
        <v>75</v>
      </c>
      <c r="BI888" s="1" t="s">
        <v>88</v>
      </c>
      <c r="BJ888">
        <v>1</v>
      </c>
      <c r="BK888" s="1" t="s">
        <v>89</v>
      </c>
      <c r="BL888" t="s">
        <v>91</v>
      </c>
      <c r="BM888" s="1" t="s">
        <v>91</v>
      </c>
      <c r="BN888" s="1" t="s">
        <v>91</v>
      </c>
      <c r="BO888" s="1" t="s">
        <v>91</v>
      </c>
      <c r="BP888" s="1" t="s">
        <v>91</v>
      </c>
      <c r="BQ888" t="s">
        <v>91</v>
      </c>
      <c r="BR888" s="3">
        <v>45113</v>
      </c>
      <c r="BS888" s="3"/>
      <c r="BT888" t="s">
        <v>91</v>
      </c>
      <c r="BU888" t="s">
        <v>91</v>
      </c>
      <c r="BW888" s="1" t="s">
        <v>90</v>
      </c>
    </row>
    <row r="889" spans="1:75" hidden="1" x14ac:dyDescent="0.35">
      <c r="A889">
        <v>144356</v>
      </c>
      <c r="B889" s="1" t="s">
        <v>75</v>
      </c>
      <c r="C889">
        <v>80</v>
      </c>
      <c r="D889">
        <v>11121002</v>
      </c>
      <c r="E889">
        <v>121002</v>
      </c>
      <c r="F889" s="1" t="s">
        <v>2915</v>
      </c>
      <c r="G889" s="1" t="s">
        <v>5036</v>
      </c>
      <c r="I889" s="1" t="s">
        <v>78</v>
      </c>
      <c r="J889" s="1" t="s">
        <v>5037</v>
      </c>
      <c r="K889" s="1" t="s">
        <v>5038</v>
      </c>
      <c r="L889" t="s">
        <v>91</v>
      </c>
      <c r="M889" t="s">
        <v>91</v>
      </c>
      <c r="N889" s="1" t="s">
        <v>5039</v>
      </c>
      <c r="O889" t="s">
        <v>91</v>
      </c>
      <c r="P889" s="1" t="s">
        <v>5040</v>
      </c>
      <c r="Q889" s="1" t="s">
        <v>1841</v>
      </c>
      <c r="R889" s="1" t="s">
        <v>91</v>
      </c>
      <c r="S889">
        <v>1268</v>
      </c>
      <c r="T889">
        <v>88740000</v>
      </c>
      <c r="U889" s="1" t="s">
        <v>108</v>
      </c>
      <c r="V889" s="1" t="s">
        <v>5041</v>
      </c>
      <c r="W889" s="1" t="s">
        <v>87</v>
      </c>
      <c r="X889">
        <v>48</v>
      </c>
      <c r="Y889">
        <v>36450671</v>
      </c>
      <c r="Z889" t="s">
        <v>91</v>
      </c>
      <c r="AA889" t="s">
        <v>91</v>
      </c>
      <c r="AB889" t="s">
        <v>91</v>
      </c>
      <c r="AC889" t="s">
        <v>91</v>
      </c>
      <c r="AD889" t="s">
        <v>91</v>
      </c>
      <c r="AE889" t="s">
        <v>91</v>
      </c>
      <c r="AF889" t="s">
        <v>91</v>
      </c>
      <c r="AG889" s="1" t="s">
        <v>91</v>
      </c>
      <c r="AH889" s="1" t="s">
        <v>91</v>
      </c>
      <c r="AI889" t="s">
        <v>91</v>
      </c>
      <c r="AJ889">
        <v>0</v>
      </c>
      <c r="AK889">
        <v>0</v>
      </c>
      <c r="AL889">
        <v>0</v>
      </c>
      <c r="AM889" t="s">
        <v>91</v>
      </c>
      <c r="AN889" t="s">
        <v>91</v>
      </c>
      <c r="AO889" t="s">
        <v>91</v>
      </c>
      <c r="AP889" t="s">
        <v>91</v>
      </c>
      <c r="AQ889" s="1" t="s">
        <v>91</v>
      </c>
      <c r="AR889" s="1" t="s">
        <v>91</v>
      </c>
      <c r="AS889" s="1" t="s">
        <v>91</v>
      </c>
      <c r="AT889" s="1" t="s">
        <v>91</v>
      </c>
      <c r="AU889" s="1" t="s">
        <v>91</v>
      </c>
      <c r="AV889" t="s">
        <v>91</v>
      </c>
      <c r="AW889" t="s">
        <v>91</v>
      </c>
      <c r="AX889" t="s">
        <v>91</v>
      </c>
      <c r="AY889" t="s">
        <v>91</v>
      </c>
      <c r="AZ889" t="s">
        <v>91</v>
      </c>
      <c r="BA889" t="s">
        <v>91</v>
      </c>
      <c r="BB889" s="2"/>
      <c r="BC889" s="2"/>
      <c r="BD889" t="s">
        <v>91</v>
      </c>
      <c r="BF889" s="1" t="s">
        <v>75</v>
      </c>
      <c r="BG889">
        <v>0</v>
      </c>
      <c r="BH889">
        <v>0</v>
      </c>
      <c r="BI889" s="1" t="s">
        <v>88</v>
      </c>
      <c r="BJ889">
        <v>1</v>
      </c>
      <c r="BK889" s="1" t="s">
        <v>89</v>
      </c>
      <c r="BL889" t="s">
        <v>91</v>
      </c>
      <c r="BM889" s="1" t="s">
        <v>109</v>
      </c>
      <c r="BN889" s="1" t="s">
        <v>110</v>
      </c>
      <c r="BO889" s="1" t="s">
        <v>128</v>
      </c>
      <c r="BP889" s="1" t="s">
        <v>91</v>
      </c>
      <c r="BQ889" t="s">
        <v>91</v>
      </c>
      <c r="BR889" s="3"/>
      <c r="BS889" s="3"/>
      <c r="BT889" t="s">
        <v>91</v>
      </c>
      <c r="BU889" t="s">
        <v>91</v>
      </c>
      <c r="BV889">
        <v>9</v>
      </c>
      <c r="BW889" s="1" t="s">
        <v>3397</v>
      </c>
    </row>
    <row r="890" spans="1:75" hidden="1" x14ac:dyDescent="0.35">
      <c r="A890">
        <v>157640</v>
      </c>
      <c r="B890" s="1" t="s">
        <v>75</v>
      </c>
      <c r="C890">
        <v>80</v>
      </c>
      <c r="D890">
        <v>11121002</v>
      </c>
      <c r="E890">
        <v>121002</v>
      </c>
      <c r="F890" s="1" t="s">
        <v>2915</v>
      </c>
      <c r="G890" s="1" t="s">
        <v>5042</v>
      </c>
      <c r="H890">
        <v>0</v>
      </c>
      <c r="I890" s="1" t="s">
        <v>78</v>
      </c>
      <c r="J890" s="1" t="s">
        <v>5043</v>
      </c>
      <c r="K890" s="1" t="s">
        <v>5044</v>
      </c>
      <c r="L890" t="s">
        <v>91</v>
      </c>
      <c r="M890" t="s">
        <v>91</v>
      </c>
      <c r="N890" s="1" t="s">
        <v>5045</v>
      </c>
      <c r="O890" t="s">
        <v>91</v>
      </c>
      <c r="P890" s="1" t="s">
        <v>4460</v>
      </c>
      <c r="Q890" s="1" t="s">
        <v>5046</v>
      </c>
      <c r="R890" s="1" t="s">
        <v>5047</v>
      </c>
      <c r="T890">
        <v>88811508</v>
      </c>
      <c r="U890" s="1" t="s">
        <v>108</v>
      </c>
      <c r="V890" s="1" t="s">
        <v>2943</v>
      </c>
      <c r="W890" s="1" t="s">
        <v>87</v>
      </c>
      <c r="X890">
        <v>48</v>
      </c>
      <c r="Y890">
        <v>991163880</v>
      </c>
      <c r="Z890" t="s">
        <v>91</v>
      </c>
      <c r="AA890" t="s">
        <v>91</v>
      </c>
      <c r="AB890" t="s">
        <v>91</v>
      </c>
      <c r="AC890" t="s">
        <v>91</v>
      </c>
      <c r="AD890" t="s">
        <v>91</v>
      </c>
      <c r="AE890" t="s">
        <v>91</v>
      </c>
      <c r="AF890" t="s">
        <v>91</v>
      </c>
      <c r="AG890" s="1" t="s">
        <v>91</v>
      </c>
      <c r="AH890" s="1" t="s">
        <v>91</v>
      </c>
      <c r="AI890" t="s">
        <v>91</v>
      </c>
      <c r="AM890" t="s">
        <v>91</v>
      </c>
      <c r="AN890" t="s">
        <v>91</v>
      </c>
      <c r="AO890" t="s">
        <v>91</v>
      </c>
      <c r="AP890" t="s">
        <v>91</v>
      </c>
      <c r="AQ890" s="1" t="s">
        <v>91</v>
      </c>
      <c r="AR890" s="1" t="s">
        <v>91</v>
      </c>
      <c r="AS890" s="1" t="s">
        <v>91</v>
      </c>
      <c r="AT890" s="1" t="s">
        <v>91</v>
      </c>
      <c r="AU890" s="1" t="s">
        <v>91</v>
      </c>
      <c r="AV890" t="s">
        <v>91</v>
      </c>
      <c r="AW890" t="s">
        <v>91</v>
      </c>
      <c r="AX890" t="s">
        <v>91</v>
      </c>
      <c r="AY890" t="s">
        <v>91</v>
      </c>
      <c r="AZ890" t="s">
        <v>91</v>
      </c>
      <c r="BA890" t="s">
        <v>91</v>
      </c>
      <c r="BB890" s="2">
        <v>45118.097175925926</v>
      </c>
      <c r="BC890" s="2"/>
      <c r="BD890" t="s">
        <v>91</v>
      </c>
      <c r="BF890" s="1" t="s">
        <v>75</v>
      </c>
      <c r="BI890" s="1" t="s">
        <v>88</v>
      </c>
      <c r="BJ890">
        <v>1</v>
      </c>
      <c r="BK890" s="1" t="s">
        <v>89</v>
      </c>
      <c r="BL890" t="s">
        <v>91</v>
      </c>
      <c r="BM890" s="1" t="s">
        <v>91</v>
      </c>
      <c r="BN890" s="1" t="s">
        <v>91</v>
      </c>
      <c r="BO890" s="1" t="s">
        <v>91</v>
      </c>
      <c r="BP890" s="1" t="s">
        <v>91</v>
      </c>
      <c r="BQ890" t="s">
        <v>91</v>
      </c>
      <c r="BR890" s="3">
        <v>45118</v>
      </c>
      <c r="BS890" s="3"/>
      <c r="BT890" t="s">
        <v>91</v>
      </c>
      <c r="BU890" t="s">
        <v>91</v>
      </c>
      <c r="BW890" s="1" t="s">
        <v>90</v>
      </c>
    </row>
    <row r="891" spans="1:75" hidden="1" x14ac:dyDescent="0.35">
      <c r="A891">
        <v>156922</v>
      </c>
      <c r="B891" s="1" t="s">
        <v>75</v>
      </c>
      <c r="C891">
        <v>80</v>
      </c>
      <c r="D891">
        <v>11121002</v>
      </c>
      <c r="E891">
        <v>121002</v>
      </c>
      <c r="F891" s="1" t="s">
        <v>2915</v>
      </c>
      <c r="G891" s="1" t="s">
        <v>5048</v>
      </c>
      <c r="H891">
        <v>0</v>
      </c>
      <c r="I891" s="1" t="s">
        <v>78</v>
      </c>
      <c r="J891" s="1" t="s">
        <v>5043</v>
      </c>
      <c r="K891" s="1" t="s">
        <v>5049</v>
      </c>
      <c r="L891" t="s">
        <v>91</v>
      </c>
      <c r="M891" t="s">
        <v>91</v>
      </c>
      <c r="N891" s="1" t="s">
        <v>5045</v>
      </c>
      <c r="O891" t="s">
        <v>91</v>
      </c>
      <c r="P891" s="1" t="s">
        <v>4306</v>
      </c>
      <c r="Q891" s="1" t="s">
        <v>5050</v>
      </c>
      <c r="R891" s="1" t="s">
        <v>91</v>
      </c>
      <c r="S891">
        <v>1269</v>
      </c>
      <c r="T891">
        <v>88820000</v>
      </c>
      <c r="U891" s="1" t="s">
        <v>108</v>
      </c>
      <c r="V891" s="1" t="s">
        <v>3647</v>
      </c>
      <c r="W891" s="1" t="s">
        <v>87</v>
      </c>
      <c r="X891">
        <v>48</v>
      </c>
      <c r="Y891">
        <v>34132183</v>
      </c>
      <c r="Z891" t="s">
        <v>91</v>
      </c>
      <c r="AA891" t="s">
        <v>91</v>
      </c>
      <c r="AB891" t="s">
        <v>91</v>
      </c>
      <c r="AC891" t="s">
        <v>91</v>
      </c>
      <c r="AD891" t="s">
        <v>91</v>
      </c>
      <c r="AE891" t="s">
        <v>91</v>
      </c>
      <c r="AF891" t="s">
        <v>91</v>
      </c>
      <c r="AG891" s="1" t="s">
        <v>91</v>
      </c>
      <c r="AH891" s="1" t="s">
        <v>91</v>
      </c>
      <c r="AI891" t="s">
        <v>91</v>
      </c>
      <c r="AM891" t="s">
        <v>91</v>
      </c>
      <c r="AN891" t="s">
        <v>91</v>
      </c>
      <c r="AO891" t="s">
        <v>91</v>
      </c>
      <c r="AP891" t="s">
        <v>91</v>
      </c>
      <c r="AQ891" s="1" t="s">
        <v>91</v>
      </c>
      <c r="AR891" s="1" t="s">
        <v>91</v>
      </c>
      <c r="AS891" s="1" t="s">
        <v>91</v>
      </c>
      <c r="AT891" s="1" t="s">
        <v>91</v>
      </c>
      <c r="AU891" s="1" t="s">
        <v>91</v>
      </c>
      <c r="AV891" t="s">
        <v>91</v>
      </c>
      <c r="AW891" t="s">
        <v>91</v>
      </c>
      <c r="AX891" t="s">
        <v>91</v>
      </c>
      <c r="AY891" t="s">
        <v>91</v>
      </c>
      <c r="AZ891" t="s">
        <v>91</v>
      </c>
      <c r="BA891" t="s">
        <v>91</v>
      </c>
      <c r="BB891" s="2">
        <v>45113.505416666667</v>
      </c>
      <c r="BC891" s="2"/>
      <c r="BD891" t="s">
        <v>91</v>
      </c>
      <c r="BF891" s="1" t="s">
        <v>75</v>
      </c>
      <c r="BI891" s="1" t="s">
        <v>88</v>
      </c>
      <c r="BJ891">
        <v>1</v>
      </c>
      <c r="BK891" s="1" t="s">
        <v>89</v>
      </c>
      <c r="BL891" t="s">
        <v>91</v>
      </c>
      <c r="BM891" s="1" t="s">
        <v>91</v>
      </c>
      <c r="BN891" s="1" t="s">
        <v>91</v>
      </c>
      <c r="BO891" s="1" t="s">
        <v>91</v>
      </c>
      <c r="BP891" s="1" t="s">
        <v>91</v>
      </c>
      <c r="BQ891" t="s">
        <v>91</v>
      </c>
      <c r="BR891" s="3">
        <v>45113</v>
      </c>
      <c r="BS891" s="3"/>
      <c r="BT891" t="s">
        <v>91</v>
      </c>
      <c r="BU891" t="s">
        <v>91</v>
      </c>
      <c r="BW891" s="1" t="s">
        <v>90</v>
      </c>
    </row>
    <row r="892" spans="1:75" hidden="1" x14ac:dyDescent="0.35">
      <c r="A892">
        <v>139589</v>
      </c>
      <c r="B892" s="1" t="s">
        <v>75</v>
      </c>
      <c r="C892">
        <v>80</v>
      </c>
      <c r="D892">
        <v>11121002</v>
      </c>
      <c r="E892">
        <v>121002</v>
      </c>
      <c r="F892" s="1" t="s">
        <v>2915</v>
      </c>
      <c r="G892" s="1" t="s">
        <v>5051</v>
      </c>
      <c r="H892">
        <v>0</v>
      </c>
      <c r="I892" s="1" t="s">
        <v>78</v>
      </c>
      <c r="J892" s="1" t="s">
        <v>5052</v>
      </c>
      <c r="K892" s="1" t="s">
        <v>5053</v>
      </c>
      <c r="L892" t="s">
        <v>91</v>
      </c>
      <c r="M892" t="s">
        <v>91</v>
      </c>
      <c r="N892" s="1" t="s">
        <v>5054</v>
      </c>
      <c r="O892" t="s">
        <v>91</v>
      </c>
      <c r="P892" s="1" t="s">
        <v>311</v>
      </c>
      <c r="Q892" s="1" t="s">
        <v>2479</v>
      </c>
      <c r="R892" s="1" t="s">
        <v>5055</v>
      </c>
      <c r="S892">
        <v>1254</v>
      </c>
      <c r="T892">
        <v>88010000</v>
      </c>
      <c r="U892" s="1" t="s">
        <v>108</v>
      </c>
      <c r="V892" s="1" t="s">
        <v>3102</v>
      </c>
      <c r="W892" s="1" t="s">
        <v>87</v>
      </c>
      <c r="X892">
        <v>48</v>
      </c>
      <c r="Y892">
        <v>32225557</v>
      </c>
      <c r="Z892" t="s">
        <v>91</v>
      </c>
      <c r="AA892" t="s">
        <v>91</v>
      </c>
      <c r="AB892" t="s">
        <v>91</v>
      </c>
      <c r="AC892" t="s">
        <v>91</v>
      </c>
      <c r="AD892" t="s">
        <v>91</v>
      </c>
      <c r="AE892" t="s">
        <v>91</v>
      </c>
      <c r="AF892" t="s">
        <v>91</v>
      </c>
      <c r="AG892" s="1" t="s">
        <v>91</v>
      </c>
      <c r="AH892" s="1" t="s">
        <v>91</v>
      </c>
      <c r="AI892" t="s">
        <v>91</v>
      </c>
      <c r="AJ892">
        <v>0</v>
      </c>
      <c r="AK892">
        <v>0</v>
      </c>
      <c r="AL892">
        <v>0</v>
      </c>
      <c r="AM892" t="s">
        <v>91</v>
      </c>
      <c r="AN892" t="s">
        <v>91</v>
      </c>
      <c r="AO892" t="s">
        <v>91</v>
      </c>
      <c r="AP892" t="s">
        <v>91</v>
      </c>
      <c r="AQ892" s="1" t="s">
        <v>91</v>
      </c>
      <c r="AR892" s="1" t="s">
        <v>91</v>
      </c>
      <c r="AS892" s="1" t="s">
        <v>91</v>
      </c>
      <c r="AT892" s="1" t="s">
        <v>91</v>
      </c>
      <c r="AU892" s="1" t="s">
        <v>91</v>
      </c>
      <c r="AV892" t="s">
        <v>91</v>
      </c>
      <c r="AW892" t="s">
        <v>91</v>
      </c>
      <c r="AX892" t="s">
        <v>91</v>
      </c>
      <c r="AY892" t="s">
        <v>91</v>
      </c>
      <c r="AZ892" t="s">
        <v>91</v>
      </c>
      <c r="BA892" t="s">
        <v>91</v>
      </c>
      <c r="BB892" s="2">
        <v>44417.501979166664</v>
      </c>
      <c r="BC892" s="2"/>
      <c r="BD892" t="s">
        <v>91</v>
      </c>
      <c r="BF892" s="1" t="s">
        <v>75</v>
      </c>
      <c r="BG892">
        <v>0</v>
      </c>
      <c r="BH892">
        <v>0</v>
      </c>
      <c r="BI892" s="1" t="s">
        <v>88</v>
      </c>
      <c r="BJ892">
        <v>1</v>
      </c>
      <c r="BK892" s="1" t="s">
        <v>89</v>
      </c>
      <c r="BL892" t="s">
        <v>91</v>
      </c>
      <c r="BM892" s="1" t="s">
        <v>109</v>
      </c>
      <c r="BN892" s="1" t="s">
        <v>110</v>
      </c>
      <c r="BO892" s="1" t="s">
        <v>180</v>
      </c>
      <c r="BP892" s="1" t="s">
        <v>91</v>
      </c>
      <c r="BQ892" t="s">
        <v>91</v>
      </c>
      <c r="BR892" s="3">
        <v>44417</v>
      </c>
      <c r="BS892" s="3"/>
      <c r="BT892" t="s">
        <v>91</v>
      </c>
      <c r="BU892" t="s">
        <v>91</v>
      </c>
      <c r="BW892" s="1" t="s">
        <v>149</v>
      </c>
    </row>
    <row r="893" spans="1:75" hidden="1" x14ac:dyDescent="0.35">
      <c r="A893">
        <v>156947</v>
      </c>
      <c r="B893" s="1" t="s">
        <v>75</v>
      </c>
      <c r="C893">
        <v>80</v>
      </c>
      <c r="D893">
        <v>11121002</v>
      </c>
      <c r="E893">
        <v>121002</v>
      </c>
      <c r="F893" s="1" t="s">
        <v>2915</v>
      </c>
      <c r="G893" s="1" t="s">
        <v>5056</v>
      </c>
      <c r="H893">
        <v>0</v>
      </c>
      <c r="I893" s="1" t="s">
        <v>78</v>
      </c>
      <c r="J893" s="1" t="s">
        <v>5057</v>
      </c>
      <c r="K893" s="1" t="s">
        <v>5058</v>
      </c>
      <c r="L893" t="s">
        <v>91</v>
      </c>
      <c r="M893" t="s">
        <v>91</v>
      </c>
      <c r="N893" s="1" t="s">
        <v>5059</v>
      </c>
      <c r="O893" t="s">
        <v>91</v>
      </c>
      <c r="P893" s="1" t="s">
        <v>3142</v>
      </c>
      <c r="Q893" s="1" t="s">
        <v>5019</v>
      </c>
      <c r="R893" s="1" t="s">
        <v>254</v>
      </c>
      <c r="S893">
        <v>1259</v>
      </c>
      <c r="T893">
        <v>88102000</v>
      </c>
      <c r="U893" s="1" t="s">
        <v>3015</v>
      </c>
      <c r="V893" s="1" t="s">
        <v>2958</v>
      </c>
      <c r="W893" s="1" t="s">
        <v>87</v>
      </c>
      <c r="X893">
        <v>48</v>
      </c>
      <c r="Y893">
        <v>30353366</v>
      </c>
      <c r="Z893" t="s">
        <v>91</v>
      </c>
      <c r="AA893" t="s">
        <v>91</v>
      </c>
      <c r="AB893" t="s">
        <v>91</v>
      </c>
      <c r="AC893" t="s">
        <v>91</v>
      </c>
      <c r="AD893" t="s">
        <v>91</v>
      </c>
      <c r="AE893" t="s">
        <v>91</v>
      </c>
      <c r="AF893" t="s">
        <v>91</v>
      </c>
      <c r="AG893" s="1" t="s">
        <v>91</v>
      </c>
      <c r="AH893" s="1" t="s">
        <v>91</v>
      </c>
      <c r="AI893" t="s">
        <v>91</v>
      </c>
      <c r="AM893" t="s">
        <v>91</v>
      </c>
      <c r="AN893" t="s">
        <v>91</v>
      </c>
      <c r="AO893" t="s">
        <v>91</v>
      </c>
      <c r="AP893" t="s">
        <v>91</v>
      </c>
      <c r="AQ893" s="1" t="s">
        <v>91</v>
      </c>
      <c r="AR893" s="1" t="s">
        <v>91</v>
      </c>
      <c r="AS893" s="1" t="s">
        <v>91</v>
      </c>
      <c r="AT893" s="1" t="s">
        <v>91</v>
      </c>
      <c r="AU893" s="1" t="s">
        <v>91</v>
      </c>
      <c r="AV893" t="s">
        <v>91</v>
      </c>
      <c r="AW893" t="s">
        <v>91</v>
      </c>
      <c r="AX893" t="s">
        <v>91</v>
      </c>
      <c r="AY893" t="s">
        <v>91</v>
      </c>
      <c r="AZ893" t="s">
        <v>91</v>
      </c>
      <c r="BA893" t="s">
        <v>91</v>
      </c>
      <c r="BB893" s="2">
        <v>45113.505416666667</v>
      </c>
      <c r="BC893" s="2"/>
      <c r="BD893" t="s">
        <v>91</v>
      </c>
      <c r="BF893" s="1" t="s">
        <v>75</v>
      </c>
      <c r="BI893" s="1" t="s">
        <v>88</v>
      </c>
      <c r="BJ893">
        <v>1</v>
      </c>
      <c r="BK893" s="1" t="s">
        <v>89</v>
      </c>
      <c r="BL893" t="s">
        <v>91</v>
      </c>
      <c r="BM893" s="1" t="s">
        <v>91</v>
      </c>
      <c r="BN893" s="1" t="s">
        <v>91</v>
      </c>
      <c r="BO893" s="1" t="s">
        <v>91</v>
      </c>
      <c r="BP893" s="1" t="s">
        <v>91</v>
      </c>
      <c r="BQ893" t="s">
        <v>91</v>
      </c>
      <c r="BR893" s="3">
        <v>45113</v>
      </c>
      <c r="BS893" s="3"/>
      <c r="BT893" t="s">
        <v>91</v>
      </c>
      <c r="BU893" t="s">
        <v>91</v>
      </c>
      <c r="BW893" s="1" t="s">
        <v>90</v>
      </c>
    </row>
    <row r="894" spans="1:75" hidden="1" x14ac:dyDescent="0.35">
      <c r="A894">
        <v>134410</v>
      </c>
      <c r="B894" s="1" t="s">
        <v>75</v>
      </c>
      <c r="C894">
        <v>80</v>
      </c>
      <c r="D894">
        <v>11121002</v>
      </c>
      <c r="E894">
        <v>121002</v>
      </c>
      <c r="F894" s="1" t="s">
        <v>2915</v>
      </c>
      <c r="G894" s="1" t="s">
        <v>5060</v>
      </c>
      <c r="I894" s="1" t="s">
        <v>78</v>
      </c>
      <c r="J894" s="1" t="s">
        <v>5061</v>
      </c>
      <c r="K894" s="1" t="s">
        <v>5062</v>
      </c>
      <c r="L894" t="s">
        <v>91</v>
      </c>
      <c r="M894" t="s">
        <v>91</v>
      </c>
      <c r="N894" s="1" t="s">
        <v>5063</v>
      </c>
      <c r="O894" t="s">
        <v>91</v>
      </c>
      <c r="P894" s="1" t="s">
        <v>5064</v>
      </c>
      <c r="Q894" s="1" t="s">
        <v>2428</v>
      </c>
      <c r="R894" s="1" t="s">
        <v>91</v>
      </c>
      <c r="T894">
        <v>88037450</v>
      </c>
      <c r="U894" s="1" t="s">
        <v>2994</v>
      </c>
      <c r="V894" s="1" t="s">
        <v>3102</v>
      </c>
      <c r="W894" s="1" t="s">
        <v>87</v>
      </c>
      <c r="X894">
        <v>48</v>
      </c>
      <c r="Y894">
        <v>999518033</v>
      </c>
      <c r="Z894" t="s">
        <v>91</v>
      </c>
      <c r="AA894" t="s">
        <v>91</v>
      </c>
      <c r="AB894" t="s">
        <v>91</v>
      </c>
      <c r="AC894" t="s">
        <v>91</v>
      </c>
      <c r="AD894" t="s">
        <v>91</v>
      </c>
      <c r="AE894" t="s">
        <v>91</v>
      </c>
      <c r="AF894" t="s">
        <v>91</v>
      </c>
      <c r="AG894" s="1" t="s">
        <v>146</v>
      </c>
      <c r="AH894" s="1" t="s">
        <v>91</v>
      </c>
      <c r="AI894" t="s">
        <v>91</v>
      </c>
      <c r="AM894" t="s">
        <v>91</v>
      </c>
      <c r="AN894" t="s">
        <v>91</v>
      </c>
      <c r="AO894" t="s">
        <v>91</v>
      </c>
      <c r="AP894" t="s">
        <v>91</v>
      </c>
      <c r="AQ894" s="1" t="s">
        <v>147</v>
      </c>
      <c r="AR894" s="1" t="s">
        <v>147</v>
      </c>
      <c r="AS894" s="1" t="s">
        <v>147</v>
      </c>
      <c r="AT894" s="1" t="s">
        <v>147</v>
      </c>
      <c r="AU894" s="1" t="s">
        <v>147</v>
      </c>
      <c r="AV894" t="s">
        <v>91</v>
      </c>
      <c r="AW894" t="s">
        <v>91</v>
      </c>
      <c r="AX894" t="s">
        <v>91</v>
      </c>
      <c r="AY894" t="s">
        <v>91</v>
      </c>
      <c r="AZ894" t="s">
        <v>91</v>
      </c>
      <c r="BA894" t="s">
        <v>91</v>
      </c>
      <c r="BB894" s="2"/>
      <c r="BC894" s="2">
        <v>44536.681307870371</v>
      </c>
      <c r="BD894" t="s">
        <v>91</v>
      </c>
      <c r="BF894" s="1" t="s">
        <v>75</v>
      </c>
      <c r="BH894">
        <v>0</v>
      </c>
      <c r="BI894" s="1" t="s">
        <v>88</v>
      </c>
      <c r="BJ894">
        <v>1</v>
      </c>
      <c r="BK894" s="1" t="s">
        <v>89</v>
      </c>
      <c r="BL894" t="s">
        <v>91</v>
      </c>
      <c r="BM894" s="1" t="s">
        <v>109</v>
      </c>
      <c r="BN894" s="1" t="s">
        <v>110</v>
      </c>
      <c r="BO894" s="1" t="s">
        <v>180</v>
      </c>
      <c r="BP894" s="1" t="s">
        <v>91</v>
      </c>
      <c r="BQ894" t="s">
        <v>91</v>
      </c>
      <c r="BR894" s="3"/>
      <c r="BS894" s="3">
        <v>44536</v>
      </c>
      <c r="BT894" t="s">
        <v>91</v>
      </c>
      <c r="BU894" t="s">
        <v>91</v>
      </c>
      <c r="BV894">
        <v>9</v>
      </c>
      <c r="BW894" s="1" t="s">
        <v>804</v>
      </c>
    </row>
    <row r="895" spans="1:75" hidden="1" x14ac:dyDescent="0.35">
      <c r="A895">
        <v>157681</v>
      </c>
      <c r="B895" s="1" t="s">
        <v>75</v>
      </c>
      <c r="C895">
        <v>80</v>
      </c>
      <c r="D895">
        <v>11121002</v>
      </c>
      <c r="E895">
        <v>121002</v>
      </c>
      <c r="F895" s="1" t="s">
        <v>2915</v>
      </c>
      <c r="G895" s="1" t="s">
        <v>5065</v>
      </c>
      <c r="H895">
        <v>0</v>
      </c>
      <c r="I895" s="1" t="s">
        <v>78</v>
      </c>
      <c r="J895" s="1" t="s">
        <v>5066</v>
      </c>
      <c r="K895" s="1" t="s">
        <v>5067</v>
      </c>
      <c r="L895" t="s">
        <v>91</v>
      </c>
      <c r="M895" t="s">
        <v>91</v>
      </c>
      <c r="N895" s="1" t="s">
        <v>91</v>
      </c>
      <c r="O895" t="s">
        <v>91</v>
      </c>
      <c r="P895" s="1" t="s">
        <v>5068</v>
      </c>
      <c r="Q895" s="1" t="s">
        <v>1563</v>
      </c>
      <c r="R895" s="1" t="s">
        <v>2646</v>
      </c>
      <c r="S895">
        <v>1259</v>
      </c>
      <c r="T895">
        <v>88101000</v>
      </c>
      <c r="U895" s="1" t="s">
        <v>4027</v>
      </c>
      <c r="V895" s="1" t="s">
        <v>2958</v>
      </c>
      <c r="W895" s="1" t="s">
        <v>87</v>
      </c>
      <c r="X895">
        <v>48</v>
      </c>
      <c r="Y895">
        <v>30355040</v>
      </c>
      <c r="Z895" t="s">
        <v>91</v>
      </c>
      <c r="AA895" t="s">
        <v>91</v>
      </c>
      <c r="AB895" t="s">
        <v>91</v>
      </c>
      <c r="AC895" t="s">
        <v>91</v>
      </c>
      <c r="AD895" t="s">
        <v>91</v>
      </c>
      <c r="AE895" t="s">
        <v>91</v>
      </c>
      <c r="AF895" t="s">
        <v>91</v>
      </c>
      <c r="AG895" s="1" t="s">
        <v>91</v>
      </c>
      <c r="AH895" s="1" t="s">
        <v>91</v>
      </c>
      <c r="AI895" t="s">
        <v>91</v>
      </c>
      <c r="AM895" t="s">
        <v>91</v>
      </c>
      <c r="AN895" t="s">
        <v>91</v>
      </c>
      <c r="AO895" t="s">
        <v>91</v>
      </c>
      <c r="AP895" t="s">
        <v>91</v>
      </c>
      <c r="AQ895" s="1" t="s">
        <v>91</v>
      </c>
      <c r="AR895" s="1" t="s">
        <v>91</v>
      </c>
      <c r="AS895" s="1" t="s">
        <v>91</v>
      </c>
      <c r="AT895" s="1" t="s">
        <v>91</v>
      </c>
      <c r="AU895" s="1" t="s">
        <v>91</v>
      </c>
      <c r="AV895" t="s">
        <v>91</v>
      </c>
      <c r="AW895" t="s">
        <v>91</v>
      </c>
      <c r="AX895" t="s">
        <v>91</v>
      </c>
      <c r="AY895" t="s">
        <v>91</v>
      </c>
      <c r="AZ895" t="s">
        <v>91</v>
      </c>
      <c r="BA895" t="s">
        <v>91</v>
      </c>
      <c r="BB895" s="2">
        <v>45118.097175925926</v>
      </c>
      <c r="BC895" s="2"/>
      <c r="BD895" t="s">
        <v>91</v>
      </c>
      <c r="BF895" s="1" t="s">
        <v>75</v>
      </c>
      <c r="BI895" s="1" t="s">
        <v>88</v>
      </c>
      <c r="BJ895">
        <v>1</v>
      </c>
      <c r="BK895" s="1" t="s">
        <v>89</v>
      </c>
      <c r="BL895" t="s">
        <v>91</v>
      </c>
      <c r="BM895" s="1" t="s">
        <v>91</v>
      </c>
      <c r="BN895" s="1" t="s">
        <v>91</v>
      </c>
      <c r="BO895" s="1" t="s">
        <v>91</v>
      </c>
      <c r="BP895" s="1" t="s">
        <v>91</v>
      </c>
      <c r="BQ895" t="s">
        <v>91</v>
      </c>
      <c r="BR895" s="3">
        <v>45118</v>
      </c>
      <c r="BS895" s="3"/>
      <c r="BT895" t="s">
        <v>91</v>
      </c>
      <c r="BU895" t="s">
        <v>91</v>
      </c>
      <c r="BW895" s="1" t="s">
        <v>90</v>
      </c>
    </row>
    <row r="896" spans="1:75" hidden="1" x14ac:dyDescent="0.35">
      <c r="A896">
        <v>157686</v>
      </c>
      <c r="B896" s="1" t="s">
        <v>75</v>
      </c>
      <c r="C896">
        <v>80</v>
      </c>
      <c r="D896">
        <v>11121002</v>
      </c>
      <c r="E896">
        <v>121002</v>
      </c>
      <c r="F896" s="1" t="s">
        <v>2915</v>
      </c>
      <c r="G896" s="1" t="s">
        <v>5069</v>
      </c>
      <c r="H896">
        <v>0</v>
      </c>
      <c r="I896" s="1" t="s">
        <v>78</v>
      </c>
      <c r="J896" s="1" t="s">
        <v>5070</v>
      </c>
      <c r="K896" s="1" t="s">
        <v>5071</v>
      </c>
      <c r="L896" t="s">
        <v>91</v>
      </c>
      <c r="M896" t="s">
        <v>91</v>
      </c>
      <c r="N896" s="1" t="s">
        <v>5072</v>
      </c>
      <c r="O896" t="s">
        <v>91</v>
      </c>
      <c r="P896" s="1" t="s">
        <v>4980</v>
      </c>
      <c r="Q896" s="1" t="s">
        <v>5073</v>
      </c>
      <c r="R896" s="1" t="s">
        <v>5074</v>
      </c>
      <c r="S896">
        <v>1258</v>
      </c>
      <c r="T896">
        <v>88080000</v>
      </c>
      <c r="U896" s="1" t="s">
        <v>4780</v>
      </c>
      <c r="V896" s="1" t="s">
        <v>2922</v>
      </c>
      <c r="W896" s="1" t="s">
        <v>87</v>
      </c>
      <c r="X896">
        <v>48</v>
      </c>
      <c r="Y896">
        <v>32444195</v>
      </c>
      <c r="Z896" t="s">
        <v>91</v>
      </c>
      <c r="AA896" t="s">
        <v>91</v>
      </c>
      <c r="AB896" t="s">
        <v>91</v>
      </c>
      <c r="AC896" t="s">
        <v>91</v>
      </c>
      <c r="AD896" t="s">
        <v>91</v>
      </c>
      <c r="AE896" t="s">
        <v>91</v>
      </c>
      <c r="AF896" t="s">
        <v>91</v>
      </c>
      <c r="AG896" s="1" t="s">
        <v>91</v>
      </c>
      <c r="AH896" s="1" t="s">
        <v>91</v>
      </c>
      <c r="AI896" t="s">
        <v>91</v>
      </c>
      <c r="AM896" t="s">
        <v>91</v>
      </c>
      <c r="AN896" t="s">
        <v>91</v>
      </c>
      <c r="AO896" t="s">
        <v>91</v>
      </c>
      <c r="AP896" t="s">
        <v>91</v>
      </c>
      <c r="AQ896" s="1" t="s">
        <v>91</v>
      </c>
      <c r="AR896" s="1" t="s">
        <v>91</v>
      </c>
      <c r="AS896" s="1" t="s">
        <v>91</v>
      </c>
      <c r="AT896" s="1" t="s">
        <v>91</v>
      </c>
      <c r="AU896" s="1" t="s">
        <v>91</v>
      </c>
      <c r="AV896" t="s">
        <v>91</v>
      </c>
      <c r="AW896" t="s">
        <v>91</v>
      </c>
      <c r="AX896" t="s">
        <v>91</v>
      </c>
      <c r="AY896" t="s">
        <v>91</v>
      </c>
      <c r="AZ896" t="s">
        <v>91</v>
      </c>
      <c r="BA896" t="s">
        <v>91</v>
      </c>
      <c r="BB896" s="2">
        <v>45118.097175925926</v>
      </c>
      <c r="BC896" s="2"/>
      <c r="BD896" t="s">
        <v>91</v>
      </c>
      <c r="BF896" s="1" t="s">
        <v>75</v>
      </c>
      <c r="BI896" s="1" t="s">
        <v>88</v>
      </c>
      <c r="BJ896">
        <v>1</v>
      </c>
      <c r="BK896" s="1" t="s">
        <v>89</v>
      </c>
      <c r="BL896" t="s">
        <v>91</v>
      </c>
      <c r="BM896" s="1" t="s">
        <v>91</v>
      </c>
      <c r="BN896" s="1" t="s">
        <v>91</v>
      </c>
      <c r="BO896" s="1" t="s">
        <v>91</v>
      </c>
      <c r="BP896" s="1" t="s">
        <v>91</v>
      </c>
      <c r="BQ896" t="s">
        <v>91</v>
      </c>
      <c r="BR896" s="3">
        <v>45118</v>
      </c>
      <c r="BS896" s="3"/>
      <c r="BT896" t="s">
        <v>91</v>
      </c>
      <c r="BU896" t="s">
        <v>91</v>
      </c>
      <c r="BW896" s="1" t="s">
        <v>90</v>
      </c>
    </row>
    <row r="897" spans="1:75" hidden="1" x14ac:dyDescent="0.35">
      <c r="A897">
        <v>144858</v>
      </c>
      <c r="B897" s="1" t="s">
        <v>75</v>
      </c>
      <c r="C897">
        <v>80</v>
      </c>
      <c r="D897">
        <v>11121002</v>
      </c>
      <c r="E897">
        <v>121002</v>
      </c>
      <c r="F897" s="1" t="s">
        <v>2915</v>
      </c>
      <c r="G897" s="1" t="s">
        <v>5075</v>
      </c>
      <c r="I897" s="1" t="s">
        <v>78</v>
      </c>
      <c r="J897" s="1" t="s">
        <v>5076</v>
      </c>
      <c r="K897" s="1" t="s">
        <v>5077</v>
      </c>
      <c r="L897" t="s">
        <v>91</v>
      </c>
      <c r="M897" t="s">
        <v>91</v>
      </c>
      <c r="N897" s="1" t="s">
        <v>5078</v>
      </c>
      <c r="O897" t="s">
        <v>91</v>
      </c>
      <c r="P897" s="1" t="s">
        <v>5079</v>
      </c>
      <c r="Q897" s="1" t="s">
        <v>5080</v>
      </c>
      <c r="R897" s="1" t="s">
        <v>98</v>
      </c>
      <c r="T897">
        <v>88900043</v>
      </c>
      <c r="U897" s="1" t="s">
        <v>108</v>
      </c>
      <c r="V897" s="1" t="s">
        <v>3095</v>
      </c>
      <c r="W897" s="1" t="s">
        <v>87</v>
      </c>
      <c r="X897">
        <v>48</v>
      </c>
      <c r="Y897">
        <v>35220198</v>
      </c>
      <c r="Z897" t="s">
        <v>91</v>
      </c>
      <c r="AA897" t="s">
        <v>91</v>
      </c>
      <c r="AB897" t="s">
        <v>91</v>
      </c>
      <c r="AC897" t="s">
        <v>91</v>
      </c>
      <c r="AD897" t="s">
        <v>91</v>
      </c>
      <c r="AE897" t="s">
        <v>91</v>
      </c>
      <c r="AF897" t="s">
        <v>91</v>
      </c>
      <c r="AG897" s="1" t="s">
        <v>91</v>
      </c>
      <c r="AH897" s="1" t="s">
        <v>91</v>
      </c>
      <c r="AI897" t="s">
        <v>91</v>
      </c>
      <c r="AM897" t="s">
        <v>91</v>
      </c>
      <c r="AN897" t="s">
        <v>91</v>
      </c>
      <c r="AO897" t="s">
        <v>91</v>
      </c>
      <c r="AP897" t="s">
        <v>91</v>
      </c>
      <c r="AQ897" s="1" t="s">
        <v>91</v>
      </c>
      <c r="AR897" s="1" t="s">
        <v>91</v>
      </c>
      <c r="AS897" s="1" t="s">
        <v>91</v>
      </c>
      <c r="AT897" s="1" t="s">
        <v>91</v>
      </c>
      <c r="AU897" s="1" t="s">
        <v>91</v>
      </c>
      <c r="AV897" t="s">
        <v>91</v>
      </c>
      <c r="AW897" t="s">
        <v>91</v>
      </c>
      <c r="AX897" t="s">
        <v>91</v>
      </c>
      <c r="AY897" t="s">
        <v>91</v>
      </c>
      <c r="AZ897" t="s">
        <v>91</v>
      </c>
      <c r="BA897" t="s">
        <v>91</v>
      </c>
      <c r="BB897" s="2"/>
      <c r="BC897" s="2"/>
      <c r="BD897" t="s">
        <v>91</v>
      </c>
      <c r="BF897" s="1" t="s">
        <v>75</v>
      </c>
      <c r="BI897" s="1" t="s">
        <v>88</v>
      </c>
      <c r="BJ897">
        <v>1</v>
      </c>
      <c r="BK897" s="1" t="s">
        <v>89</v>
      </c>
      <c r="BL897" t="s">
        <v>91</v>
      </c>
      <c r="BM897" s="1" t="s">
        <v>91</v>
      </c>
      <c r="BN897" s="1" t="s">
        <v>91</v>
      </c>
      <c r="BO897" s="1" t="s">
        <v>91</v>
      </c>
      <c r="BP897" s="1" t="s">
        <v>91</v>
      </c>
      <c r="BQ897" t="s">
        <v>91</v>
      </c>
      <c r="BR897" s="3"/>
      <c r="BS897" s="3"/>
      <c r="BT897" t="s">
        <v>91</v>
      </c>
      <c r="BU897" t="s">
        <v>91</v>
      </c>
      <c r="BW897" s="1" t="s">
        <v>90</v>
      </c>
    </row>
    <row r="898" spans="1:75" hidden="1" x14ac:dyDescent="0.35">
      <c r="A898">
        <v>134544</v>
      </c>
      <c r="B898" s="1" t="s">
        <v>75</v>
      </c>
      <c r="C898">
        <v>80</v>
      </c>
      <c r="D898">
        <v>11121002</v>
      </c>
      <c r="E898">
        <v>121002</v>
      </c>
      <c r="F898" s="1" t="s">
        <v>2915</v>
      </c>
      <c r="G898" s="1" t="s">
        <v>5081</v>
      </c>
      <c r="I898" s="1" t="s">
        <v>78</v>
      </c>
      <c r="J898" s="1" t="s">
        <v>5082</v>
      </c>
      <c r="K898" s="1" t="s">
        <v>5083</v>
      </c>
      <c r="L898" t="s">
        <v>91</v>
      </c>
      <c r="M898" t="s">
        <v>91</v>
      </c>
      <c r="N898" s="1" t="s">
        <v>5084</v>
      </c>
      <c r="O898" t="s">
        <v>91</v>
      </c>
      <c r="P898" s="1" t="s">
        <v>3737</v>
      </c>
      <c r="Q898" s="1" t="s">
        <v>1865</v>
      </c>
      <c r="R898" s="1" t="s">
        <v>91</v>
      </c>
      <c r="T898">
        <v>88010913</v>
      </c>
      <c r="U898" s="1" t="s">
        <v>108</v>
      </c>
      <c r="V898" s="1" t="s">
        <v>3102</v>
      </c>
      <c r="W898" s="1" t="s">
        <v>87</v>
      </c>
      <c r="X898">
        <v>48</v>
      </c>
      <c r="Y898">
        <v>32232082</v>
      </c>
      <c r="Z898" t="s">
        <v>91</v>
      </c>
      <c r="AA898" t="s">
        <v>91</v>
      </c>
      <c r="AB898" t="s">
        <v>91</v>
      </c>
      <c r="AC898" t="s">
        <v>91</v>
      </c>
      <c r="AD898" t="s">
        <v>91</v>
      </c>
      <c r="AE898" t="s">
        <v>91</v>
      </c>
      <c r="AF898" t="s">
        <v>91</v>
      </c>
      <c r="AG898" s="1" t="s">
        <v>146</v>
      </c>
      <c r="AH898" s="1" t="s">
        <v>91</v>
      </c>
      <c r="AI898" t="s">
        <v>91</v>
      </c>
      <c r="AM898" t="s">
        <v>91</v>
      </c>
      <c r="AN898" t="s">
        <v>91</v>
      </c>
      <c r="AO898" t="s">
        <v>91</v>
      </c>
      <c r="AP898" t="s">
        <v>91</v>
      </c>
      <c r="AQ898" s="1" t="s">
        <v>147</v>
      </c>
      <c r="AR898" s="1" t="s">
        <v>147</v>
      </c>
      <c r="AS898" s="1" t="s">
        <v>147</v>
      </c>
      <c r="AT898" s="1" t="s">
        <v>147</v>
      </c>
      <c r="AU898" s="1" t="s">
        <v>147</v>
      </c>
      <c r="AV898" t="s">
        <v>91</v>
      </c>
      <c r="AW898" t="s">
        <v>91</v>
      </c>
      <c r="AX898" t="s">
        <v>91</v>
      </c>
      <c r="AY898" t="s">
        <v>91</v>
      </c>
      <c r="AZ898" t="s">
        <v>91</v>
      </c>
      <c r="BA898" t="s">
        <v>91</v>
      </c>
      <c r="BB898" s="2"/>
      <c r="BC898" s="2">
        <v>45117.426192129627</v>
      </c>
      <c r="BD898" t="s">
        <v>91</v>
      </c>
      <c r="BF898" s="1" t="s">
        <v>75</v>
      </c>
      <c r="BH898">
        <v>0</v>
      </c>
      <c r="BI898" s="1" t="s">
        <v>88</v>
      </c>
      <c r="BJ898">
        <v>1</v>
      </c>
      <c r="BK898" s="1" t="s">
        <v>89</v>
      </c>
      <c r="BL898" t="s">
        <v>91</v>
      </c>
      <c r="BM898" s="1" t="s">
        <v>109</v>
      </c>
      <c r="BN898" s="1" t="s">
        <v>110</v>
      </c>
      <c r="BO898" s="1" t="s">
        <v>180</v>
      </c>
      <c r="BP898" s="1" t="s">
        <v>91</v>
      </c>
      <c r="BQ898" t="s">
        <v>91</v>
      </c>
      <c r="BR898" s="3"/>
      <c r="BS898" s="3">
        <v>45117</v>
      </c>
      <c r="BT898" t="s">
        <v>91</v>
      </c>
      <c r="BU898" t="s">
        <v>91</v>
      </c>
      <c r="BW898" s="1" t="s">
        <v>1234</v>
      </c>
    </row>
    <row r="899" spans="1:75" hidden="1" x14ac:dyDescent="0.35">
      <c r="A899">
        <v>98455</v>
      </c>
      <c r="B899" s="1" t="s">
        <v>75</v>
      </c>
      <c r="C899">
        <v>80</v>
      </c>
      <c r="D899">
        <v>11121002</v>
      </c>
      <c r="E899">
        <v>121002</v>
      </c>
      <c r="F899" s="1" t="s">
        <v>2915</v>
      </c>
      <c r="G899" s="1" t="s">
        <v>5085</v>
      </c>
      <c r="H899">
        <v>0</v>
      </c>
      <c r="I899" s="1" t="s">
        <v>78</v>
      </c>
      <c r="J899" s="1" t="s">
        <v>5086</v>
      </c>
      <c r="K899" s="1" t="s">
        <v>5087</v>
      </c>
      <c r="L899" t="s">
        <v>91</v>
      </c>
      <c r="M899" t="s">
        <v>91</v>
      </c>
      <c r="N899" s="1" t="s">
        <v>91</v>
      </c>
      <c r="O899" t="s">
        <v>91</v>
      </c>
      <c r="P899" s="1" t="s">
        <v>4439</v>
      </c>
      <c r="Q899" s="1" t="s">
        <v>5088</v>
      </c>
      <c r="R899" s="1" t="s">
        <v>434</v>
      </c>
      <c r="S899">
        <v>1255</v>
      </c>
      <c r="T899">
        <v>88015100</v>
      </c>
      <c r="U899" s="1" t="s">
        <v>108</v>
      </c>
      <c r="V899" s="1" t="s">
        <v>3102</v>
      </c>
      <c r="W899" s="1" t="s">
        <v>87</v>
      </c>
      <c r="X899">
        <v>48</v>
      </c>
      <c r="Y899">
        <v>30625125</v>
      </c>
      <c r="Z899" t="s">
        <v>91</v>
      </c>
      <c r="AA899" t="s">
        <v>91</v>
      </c>
      <c r="AB899" t="s">
        <v>91</v>
      </c>
      <c r="AC899" t="s">
        <v>91</v>
      </c>
      <c r="AD899" t="s">
        <v>91</v>
      </c>
      <c r="AE899" t="s">
        <v>91</v>
      </c>
      <c r="AF899" t="s">
        <v>91</v>
      </c>
      <c r="AG899" s="1" t="s">
        <v>146</v>
      </c>
      <c r="AH899" s="1" t="s">
        <v>91</v>
      </c>
      <c r="AI899" t="s">
        <v>91</v>
      </c>
      <c r="AJ899">
        <v>0</v>
      </c>
      <c r="AK899">
        <v>0</v>
      </c>
      <c r="AL899">
        <v>0</v>
      </c>
      <c r="AM899" t="s">
        <v>91</v>
      </c>
      <c r="AN899" t="s">
        <v>91</v>
      </c>
      <c r="AO899" t="s">
        <v>91</v>
      </c>
      <c r="AP899" t="s">
        <v>91</v>
      </c>
      <c r="AQ899" s="1" t="s">
        <v>147</v>
      </c>
      <c r="AR899" s="1" t="s">
        <v>147</v>
      </c>
      <c r="AS899" s="1" t="s">
        <v>147</v>
      </c>
      <c r="AT899" s="1" t="s">
        <v>147</v>
      </c>
      <c r="AU899" s="1" t="s">
        <v>147</v>
      </c>
      <c r="AV899" t="s">
        <v>91</v>
      </c>
      <c r="AW899" t="s">
        <v>91</v>
      </c>
      <c r="AX899" t="s">
        <v>91</v>
      </c>
      <c r="AY899" t="s">
        <v>91</v>
      </c>
      <c r="AZ899" t="s">
        <v>91</v>
      </c>
      <c r="BA899" t="s">
        <v>91</v>
      </c>
      <c r="BB899" s="2">
        <v>43682.445138888892</v>
      </c>
      <c r="BC899" s="2">
        <v>44559.576747685183</v>
      </c>
      <c r="BD899" t="s">
        <v>91</v>
      </c>
      <c r="BF899" s="1" t="s">
        <v>75</v>
      </c>
      <c r="BG899">
        <v>0</v>
      </c>
      <c r="BH899">
        <v>0</v>
      </c>
      <c r="BI899" s="1" t="s">
        <v>88</v>
      </c>
      <c r="BJ899">
        <v>1</v>
      </c>
      <c r="BK899" s="1" t="s">
        <v>89</v>
      </c>
      <c r="BL899" t="s">
        <v>91</v>
      </c>
      <c r="BM899" s="1" t="s">
        <v>109</v>
      </c>
      <c r="BN899" s="1" t="s">
        <v>110</v>
      </c>
      <c r="BO899" s="1" t="s">
        <v>128</v>
      </c>
      <c r="BP899" s="1" t="s">
        <v>91</v>
      </c>
      <c r="BQ899" t="s">
        <v>91</v>
      </c>
      <c r="BR899" s="3">
        <v>43682</v>
      </c>
      <c r="BS899" s="3">
        <v>44559</v>
      </c>
      <c r="BT899" t="s">
        <v>91</v>
      </c>
      <c r="BU899" t="s">
        <v>91</v>
      </c>
      <c r="BV899">
        <v>9</v>
      </c>
      <c r="BW899" s="1" t="s">
        <v>255</v>
      </c>
    </row>
    <row r="900" spans="1:75" hidden="1" x14ac:dyDescent="0.35">
      <c r="A900">
        <v>156865</v>
      </c>
      <c r="B900" s="1" t="s">
        <v>75</v>
      </c>
      <c r="C900">
        <v>80</v>
      </c>
      <c r="D900">
        <v>11121002</v>
      </c>
      <c r="E900">
        <v>121002</v>
      </c>
      <c r="F900" s="1" t="s">
        <v>2915</v>
      </c>
      <c r="G900" s="1" t="s">
        <v>5089</v>
      </c>
      <c r="H900">
        <v>0</v>
      </c>
      <c r="I900" s="1" t="s">
        <v>78</v>
      </c>
      <c r="J900" s="1" t="s">
        <v>5090</v>
      </c>
      <c r="K900" s="1" t="s">
        <v>5091</v>
      </c>
      <c r="L900" t="s">
        <v>91</v>
      </c>
      <c r="M900" t="s">
        <v>91</v>
      </c>
      <c r="N900" s="1" t="s">
        <v>5092</v>
      </c>
      <c r="O900" t="s">
        <v>91</v>
      </c>
      <c r="P900" s="1" t="s">
        <v>2326</v>
      </c>
      <c r="Q900" s="1" t="s">
        <v>2814</v>
      </c>
      <c r="R900" s="1" t="s">
        <v>254</v>
      </c>
      <c r="S900">
        <v>1254</v>
      </c>
      <c r="T900">
        <v>88010030</v>
      </c>
      <c r="U900" s="1" t="s">
        <v>108</v>
      </c>
      <c r="V900" s="1" t="s">
        <v>3102</v>
      </c>
      <c r="W900" s="1" t="s">
        <v>87</v>
      </c>
      <c r="X900">
        <v>48</v>
      </c>
      <c r="Y900">
        <v>930625125</v>
      </c>
      <c r="Z900" t="s">
        <v>91</v>
      </c>
      <c r="AA900" t="s">
        <v>91</v>
      </c>
      <c r="AB900" t="s">
        <v>91</v>
      </c>
      <c r="AC900" t="s">
        <v>91</v>
      </c>
      <c r="AD900" t="s">
        <v>91</v>
      </c>
      <c r="AE900" t="s">
        <v>91</v>
      </c>
      <c r="AF900" t="s">
        <v>91</v>
      </c>
      <c r="AG900" s="1" t="s">
        <v>146</v>
      </c>
      <c r="AH900" s="1" t="s">
        <v>91</v>
      </c>
      <c r="AI900" t="s">
        <v>91</v>
      </c>
      <c r="AM900" t="s">
        <v>91</v>
      </c>
      <c r="AN900" t="s">
        <v>91</v>
      </c>
      <c r="AO900" t="s">
        <v>91</v>
      </c>
      <c r="AP900" t="s">
        <v>91</v>
      </c>
      <c r="AQ900" s="1" t="s">
        <v>147</v>
      </c>
      <c r="AR900" s="1" t="s">
        <v>147</v>
      </c>
      <c r="AS900" s="1" t="s">
        <v>147</v>
      </c>
      <c r="AT900" s="1" t="s">
        <v>147</v>
      </c>
      <c r="AU900" s="1" t="s">
        <v>147</v>
      </c>
      <c r="AV900" t="s">
        <v>91</v>
      </c>
      <c r="AW900" t="s">
        <v>91</v>
      </c>
      <c r="AX900" t="s">
        <v>91</v>
      </c>
      <c r="AY900" t="s">
        <v>91</v>
      </c>
      <c r="AZ900" t="s">
        <v>91</v>
      </c>
      <c r="BA900" t="s">
        <v>91</v>
      </c>
      <c r="BB900" s="2">
        <v>45113.505416666667</v>
      </c>
      <c r="BC900" s="2">
        <v>45117.401736111111</v>
      </c>
      <c r="BD900" t="s">
        <v>91</v>
      </c>
      <c r="BF900" s="1" t="s">
        <v>75</v>
      </c>
      <c r="BH900">
        <v>0</v>
      </c>
      <c r="BI900" s="1" t="s">
        <v>88</v>
      </c>
      <c r="BJ900">
        <v>1</v>
      </c>
      <c r="BK900" s="1" t="s">
        <v>89</v>
      </c>
      <c r="BL900" t="s">
        <v>91</v>
      </c>
      <c r="BM900" s="1" t="s">
        <v>91</v>
      </c>
      <c r="BN900" s="1" t="s">
        <v>91</v>
      </c>
      <c r="BO900" s="1" t="s">
        <v>91</v>
      </c>
      <c r="BP900" s="1" t="s">
        <v>91</v>
      </c>
      <c r="BQ900" t="s">
        <v>91</v>
      </c>
      <c r="BR900" s="3">
        <v>45113</v>
      </c>
      <c r="BS900" s="3">
        <v>45117</v>
      </c>
      <c r="BT900" t="s">
        <v>91</v>
      </c>
      <c r="BU900" t="s">
        <v>91</v>
      </c>
      <c r="BW900" s="1" t="s">
        <v>1469</v>
      </c>
    </row>
    <row r="901" spans="1:75" hidden="1" x14ac:dyDescent="0.35">
      <c r="A901">
        <v>157708</v>
      </c>
      <c r="B901" s="1" t="s">
        <v>75</v>
      </c>
      <c r="C901">
        <v>80</v>
      </c>
      <c r="D901">
        <v>11121002</v>
      </c>
      <c r="E901">
        <v>121002</v>
      </c>
      <c r="F901" s="1" t="s">
        <v>2915</v>
      </c>
      <c r="G901" s="1" t="s">
        <v>5093</v>
      </c>
      <c r="H901">
        <v>0</v>
      </c>
      <c r="I901" s="1" t="s">
        <v>78</v>
      </c>
      <c r="J901" s="1" t="s">
        <v>5094</v>
      </c>
      <c r="K901" s="1" t="s">
        <v>5095</v>
      </c>
      <c r="L901" t="s">
        <v>91</v>
      </c>
      <c r="M901" t="s">
        <v>91</v>
      </c>
      <c r="N901" s="1" t="s">
        <v>5096</v>
      </c>
      <c r="O901" t="s">
        <v>91</v>
      </c>
      <c r="P901" s="1" t="s">
        <v>5097</v>
      </c>
      <c r="Q901" s="1" t="s">
        <v>5098</v>
      </c>
      <c r="R901" s="1" t="s">
        <v>5099</v>
      </c>
      <c r="S901">
        <v>1257</v>
      </c>
      <c r="T901">
        <v>88053301</v>
      </c>
      <c r="U901" s="1" t="s">
        <v>5100</v>
      </c>
      <c r="V901" s="1" t="s">
        <v>2922</v>
      </c>
      <c r="W901" s="1" t="s">
        <v>87</v>
      </c>
      <c r="X901">
        <v>48</v>
      </c>
      <c r="Y901">
        <v>32821639</v>
      </c>
      <c r="Z901" t="s">
        <v>91</v>
      </c>
      <c r="AA901" t="s">
        <v>91</v>
      </c>
      <c r="AB901" t="s">
        <v>91</v>
      </c>
      <c r="AC901" t="s">
        <v>91</v>
      </c>
      <c r="AD901" t="s">
        <v>91</v>
      </c>
      <c r="AE901" t="s">
        <v>91</v>
      </c>
      <c r="AF901" t="s">
        <v>91</v>
      </c>
      <c r="AG901" s="1" t="s">
        <v>91</v>
      </c>
      <c r="AH901" s="1" t="s">
        <v>91</v>
      </c>
      <c r="AI901" t="s">
        <v>91</v>
      </c>
      <c r="AM901" t="s">
        <v>91</v>
      </c>
      <c r="AN901" t="s">
        <v>91</v>
      </c>
      <c r="AO901" t="s">
        <v>91</v>
      </c>
      <c r="AP901" t="s">
        <v>91</v>
      </c>
      <c r="AQ901" s="1" t="s">
        <v>91</v>
      </c>
      <c r="AR901" s="1" t="s">
        <v>91</v>
      </c>
      <c r="AS901" s="1" t="s">
        <v>91</v>
      </c>
      <c r="AT901" s="1" t="s">
        <v>91</v>
      </c>
      <c r="AU901" s="1" t="s">
        <v>91</v>
      </c>
      <c r="AV901" t="s">
        <v>91</v>
      </c>
      <c r="AW901" t="s">
        <v>91</v>
      </c>
      <c r="AX901" t="s">
        <v>91</v>
      </c>
      <c r="AY901" t="s">
        <v>91</v>
      </c>
      <c r="AZ901" t="s">
        <v>91</v>
      </c>
      <c r="BA901" t="s">
        <v>91</v>
      </c>
      <c r="BB901" s="2">
        <v>45118.097175925926</v>
      </c>
      <c r="BC901" s="2"/>
      <c r="BD901" t="s">
        <v>91</v>
      </c>
      <c r="BF901" s="1" t="s">
        <v>75</v>
      </c>
      <c r="BI901" s="1" t="s">
        <v>88</v>
      </c>
      <c r="BJ901">
        <v>1</v>
      </c>
      <c r="BK901" s="1" t="s">
        <v>89</v>
      </c>
      <c r="BL901" t="s">
        <v>91</v>
      </c>
      <c r="BM901" s="1" t="s">
        <v>91</v>
      </c>
      <c r="BN901" s="1" t="s">
        <v>91</v>
      </c>
      <c r="BO901" s="1" t="s">
        <v>91</v>
      </c>
      <c r="BP901" s="1" t="s">
        <v>91</v>
      </c>
      <c r="BQ901" t="s">
        <v>91</v>
      </c>
      <c r="BR901" s="3">
        <v>45118</v>
      </c>
      <c r="BS901" s="3"/>
      <c r="BT901" t="s">
        <v>91</v>
      </c>
      <c r="BU901" t="s">
        <v>91</v>
      </c>
      <c r="BW901" s="1" t="s">
        <v>90</v>
      </c>
    </row>
    <row r="902" spans="1:75" hidden="1" x14ac:dyDescent="0.35">
      <c r="A902">
        <v>157697</v>
      </c>
      <c r="B902" s="1" t="s">
        <v>75</v>
      </c>
      <c r="C902">
        <v>80</v>
      </c>
      <c r="D902">
        <v>11121002</v>
      </c>
      <c r="E902">
        <v>121002</v>
      </c>
      <c r="F902" s="1" t="s">
        <v>2915</v>
      </c>
      <c r="G902" s="1" t="s">
        <v>5101</v>
      </c>
      <c r="H902">
        <v>0</v>
      </c>
      <c r="I902" s="1" t="s">
        <v>78</v>
      </c>
      <c r="J902" s="1" t="s">
        <v>5102</v>
      </c>
      <c r="K902" s="1" t="s">
        <v>5103</v>
      </c>
      <c r="L902" t="s">
        <v>91</v>
      </c>
      <c r="M902" t="s">
        <v>91</v>
      </c>
      <c r="N902" s="1" t="s">
        <v>5104</v>
      </c>
      <c r="O902" t="s">
        <v>91</v>
      </c>
      <c r="P902" s="1" t="s">
        <v>5105</v>
      </c>
      <c r="Q902" s="1" t="s">
        <v>2395</v>
      </c>
      <c r="R902" s="1" t="s">
        <v>5106</v>
      </c>
      <c r="T902">
        <v>88101260</v>
      </c>
      <c r="U902" s="1" t="s">
        <v>4027</v>
      </c>
      <c r="V902" s="1" t="s">
        <v>2958</v>
      </c>
      <c r="W902" s="1" t="s">
        <v>87</v>
      </c>
      <c r="X902">
        <v>48</v>
      </c>
      <c r="Y902">
        <v>999114663</v>
      </c>
      <c r="Z902" t="s">
        <v>91</v>
      </c>
      <c r="AA902" t="s">
        <v>91</v>
      </c>
      <c r="AB902" t="s">
        <v>91</v>
      </c>
      <c r="AC902" t="s">
        <v>91</v>
      </c>
      <c r="AD902" t="s">
        <v>91</v>
      </c>
      <c r="AE902" t="s">
        <v>91</v>
      </c>
      <c r="AF902" t="s">
        <v>91</v>
      </c>
      <c r="AG902" s="1" t="s">
        <v>91</v>
      </c>
      <c r="AH902" s="1" t="s">
        <v>91</v>
      </c>
      <c r="AI902" t="s">
        <v>91</v>
      </c>
      <c r="AM902" t="s">
        <v>91</v>
      </c>
      <c r="AN902" t="s">
        <v>91</v>
      </c>
      <c r="AO902" t="s">
        <v>91</v>
      </c>
      <c r="AP902" t="s">
        <v>91</v>
      </c>
      <c r="AQ902" s="1" t="s">
        <v>91</v>
      </c>
      <c r="AR902" s="1" t="s">
        <v>91</v>
      </c>
      <c r="AS902" s="1" t="s">
        <v>91</v>
      </c>
      <c r="AT902" s="1" t="s">
        <v>91</v>
      </c>
      <c r="AU902" s="1" t="s">
        <v>91</v>
      </c>
      <c r="AV902" t="s">
        <v>91</v>
      </c>
      <c r="AW902" t="s">
        <v>91</v>
      </c>
      <c r="AX902" t="s">
        <v>91</v>
      </c>
      <c r="AY902" t="s">
        <v>91</v>
      </c>
      <c r="AZ902" t="s">
        <v>91</v>
      </c>
      <c r="BA902" t="s">
        <v>91</v>
      </c>
      <c r="BB902" s="2">
        <v>45118.097175925926</v>
      </c>
      <c r="BC902" s="2"/>
      <c r="BD902" t="s">
        <v>91</v>
      </c>
      <c r="BF902" s="1" t="s">
        <v>75</v>
      </c>
      <c r="BI902" s="1" t="s">
        <v>88</v>
      </c>
      <c r="BJ902">
        <v>1</v>
      </c>
      <c r="BK902" s="1" t="s">
        <v>89</v>
      </c>
      <c r="BL902" t="s">
        <v>91</v>
      </c>
      <c r="BM902" s="1" t="s">
        <v>91</v>
      </c>
      <c r="BN902" s="1" t="s">
        <v>91</v>
      </c>
      <c r="BO902" s="1" t="s">
        <v>91</v>
      </c>
      <c r="BP902" s="1" t="s">
        <v>91</v>
      </c>
      <c r="BQ902" t="s">
        <v>91</v>
      </c>
      <c r="BR902" s="3">
        <v>45118</v>
      </c>
      <c r="BS902" s="3"/>
      <c r="BT902" t="s">
        <v>91</v>
      </c>
      <c r="BU902" t="s">
        <v>91</v>
      </c>
      <c r="BW902" s="1" t="s">
        <v>90</v>
      </c>
    </row>
    <row r="903" spans="1:75" hidden="1" x14ac:dyDescent="0.35">
      <c r="A903">
        <v>157709</v>
      </c>
      <c r="B903" s="1" t="s">
        <v>75</v>
      </c>
      <c r="C903">
        <v>80</v>
      </c>
      <c r="D903">
        <v>11121002</v>
      </c>
      <c r="E903">
        <v>121002</v>
      </c>
      <c r="F903" s="1" t="s">
        <v>2915</v>
      </c>
      <c r="G903" s="1" t="s">
        <v>5107</v>
      </c>
      <c r="H903">
        <v>0</v>
      </c>
      <c r="I903" s="1" t="s">
        <v>78</v>
      </c>
      <c r="J903" s="1" t="s">
        <v>5108</v>
      </c>
      <c r="K903" s="1" t="s">
        <v>5109</v>
      </c>
      <c r="L903" t="s">
        <v>91</v>
      </c>
      <c r="M903" t="s">
        <v>91</v>
      </c>
      <c r="N903" s="1" t="s">
        <v>5110</v>
      </c>
      <c r="O903" t="s">
        <v>91</v>
      </c>
      <c r="P903" s="1" t="s">
        <v>5111</v>
      </c>
      <c r="Q903" s="1" t="s">
        <v>5112</v>
      </c>
      <c r="R903" s="1" t="s">
        <v>820</v>
      </c>
      <c r="S903">
        <v>1259</v>
      </c>
      <c r="T903">
        <v>88160000</v>
      </c>
      <c r="U903" s="1" t="s">
        <v>108</v>
      </c>
      <c r="V903" s="1" t="s">
        <v>3293</v>
      </c>
      <c r="W903" s="1" t="s">
        <v>87</v>
      </c>
      <c r="X903">
        <v>48</v>
      </c>
      <c r="Y903">
        <v>32435434</v>
      </c>
      <c r="Z903" t="s">
        <v>91</v>
      </c>
      <c r="AA903" t="s">
        <v>91</v>
      </c>
      <c r="AB903" t="s">
        <v>91</v>
      </c>
      <c r="AC903" t="s">
        <v>91</v>
      </c>
      <c r="AD903" t="s">
        <v>91</v>
      </c>
      <c r="AE903" t="s">
        <v>91</v>
      </c>
      <c r="AF903" t="s">
        <v>91</v>
      </c>
      <c r="AG903" s="1" t="s">
        <v>91</v>
      </c>
      <c r="AH903" s="1" t="s">
        <v>91</v>
      </c>
      <c r="AI903" t="s">
        <v>91</v>
      </c>
      <c r="AM903" t="s">
        <v>91</v>
      </c>
      <c r="AN903" t="s">
        <v>91</v>
      </c>
      <c r="AO903" t="s">
        <v>91</v>
      </c>
      <c r="AP903" t="s">
        <v>91</v>
      </c>
      <c r="AQ903" s="1" t="s">
        <v>91</v>
      </c>
      <c r="AR903" s="1" t="s">
        <v>91</v>
      </c>
      <c r="AS903" s="1" t="s">
        <v>91</v>
      </c>
      <c r="AT903" s="1" t="s">
        <v>91</v>
      </c>
      <c r="AU903" s="1" t="s">
        <v>91</v>
      </c>
      <c r="AV903" t="s">
        <v>91</v>
      </c>
      <c r="AW903" t="s">
        <v>91</v>
      </c>
      <c r="AX903" t="s">
        <v>91</v>
      </c>
      <c r="AY903" t="s">
        <v>91</v>
      </c>
      <c r="AZ903" t="s">
        <v>91</v>
      </c>
      <c r="BA903" t="s">
        <v>91</v>
      </c>
      <c r="BB903" s="2">
        <v>45118.097175925926</v>
      </c>
      <c r="BC903" s="2"/>
      <c r="BD903" t="s">
        <v>91</v>
      </c>
      <c r="BF903" s="1" t="s">
        <v>75</v>
      </c>
      <c r="BI903" s="1" t="s">
        <v>88</v>
      </c>
      <c r="BJ903">
        <v>1</v>
      </c>
      <c r="BK903" s="1" t="s">
        <v>89</v>
      </c>
      <c r="BL903" t="s">
        <v>91</v>
      </c>
      <c r="BM903" s="1" t="s">
        <v>91</v>
      </c>
      <c r="BN903" s="1" t="s">
        <v>91</v>
      </c>
      <c r="BO903" s="1" t="s">
        <v>91</v>
      </c>
      <c r="BP903" s="1" t="s">
        <v>91</v>
      </c>
      <c r="BQ903" t="s">
        <v>91</v>
      </c>
      <c r="BR903" s="3">
        <v>45118</v>
      </c>
      <c r="BS903" s="3"/>
      <c r="BT903" t="s">
        <v>91</v>
      </c>
      <c r="BU903" t="s">
        <v>91</v>
      </c>
      <c r="BW903" s="1" t="s">
        <v>90</v>
      </c>
    </row>
    <row r="904" spans="1:75" hidden="1" x14ac:dyDescent="0.35">
      <c r="A904">
        <v>20</v>
      </c>
      <c r="B904" s="1" t="s">
        <v>75</v>
      </c>
      <c r="C904">
        <v>80</v>
      </c>
      <c r="D904">
        <v>11121002</v>
      </c>
      <c r="E904">
        <v>121002</v>
      </c>
      <c r="F904" s="1" t="s">
        <v>2915</v>
      </c>
      <c r="G904" s="1" t="s">
        <v>5113</v>
      </c>
      <c r="I904" s="1" t="s">
        <v>78</v>
      </c>
      <c r="J904" s="1" t="s">
        <v>5114</v>
      </c>
      <c r="K904" s="1" t="s">
        <v>5115</v>
      </c>
      <c r="L904" t="s">
        <v>91</v>
      </c>
      <c r="M904" t="s">
        <v>91</v>
      </c>
      <c r="N904" s="1" t="s">
        <v>3178</v>
      </c>
      <c r="O904" t="s">
        <v>91</v>
      </c>
      <c r="P904" s="1" t="s">
        <v>3179</v>
      </c>
      <c r="Q904" s="1" t="s">
        <v>5116</v>
      </c>
      <c r="R904" s="1" t="s">
        <v>91</v>
      </c>
      <c r="S904">
        <v>1269</v>
      </c>
      <c r="T904">
        <v>88820000</v>
      </c>
      <c r="U904" s="1" t="s">
        <v>108</v>
      </c>
      <c r="V904" s="1" t="s">
        <v>3181</v>
      </c>
      <c r="W904" s="1" t="s">
        <v>87</v>
      </c>
      <c r="X904">
        <v>48</v>
      </c>
      <c r="Y904">
        <v>34323304</v>
      </c>
      <c r="Z904" t="s">
        <v>91</v>
      </c>
      <c r="AA904" t="s">
        <v>91</v>
      </c>
      <c r="AB904" t="s">
        <v>91</v>
      </c>
      <c r="AC904" t="s">
        <v>91</v>
      </c>
      <c r="AD904" t="s">
        <v>91</v>
      </c>
      <c r="AE904" t="s">
        <v>91</v>
      </c>
      <c r="AF904" t="s">
        <v>91</v>
      </c>
      <c r="AG904" s="1" t="s">
        <v>91</v>
      </c>
      <c r="AH904" s="1" t="s">
        <v>91</v>
      </c>
      <c r="AI904" t="s">
        <v>91</v>
      </c>
      <c r="AJ904">
        <v>0</v>
      </c>
      <c r="AK904">
        <v>0</v>
      </c>
      <c r="AL904">
        <v>0</v>
      </c>
      <c r="AM904" t="s">
        <v>91</v>
      </c>
      <c r="AN904" t="s">
        <v>91</v>
      </c>
      <c r="AO904" t="s">
        <v>91</v>
      </c>
      <c r="AP904" t="s">
        <v>91</v>
      </c>
      <c r="AQ904" s="1" t="s">
        <v>91</v>
      </c>
      <c r="AR904" s="1" t="s">
        <v>91</v>
      </c>
      <c r="AS904" s="1" t="s">
        <v>91</v>
      </c>
      <c r="AT904" s="1" t="s">
        <v>91</v>
      </c>
      <c r="AU904" s="1" t="s">
        <v>91</v>
      </c>
      <c r="AV904" t="s">
        <v>91</v>
      </c>
      <c r="AW904" t="s">
        <v>91</v>
      </c>
      <c r="AX904" t="s">
        <v>91</v>
      </c>
      <c r="AY904" t="s">
        <v>91</v>
      </c>
      <c r="AZ904" t="s">
        <v>91</v>
      </c>
      <c r="BA904" t="s">
        <v>91</v>
      </c>
      <c r="BB904" s="2">
        <v>43308.39271990741</v>
      </c>
      <c r="BC904" s="2"/>
      <c r="BD904" t="s">
        <v>91</v>
      </c>
      <c r="BE904">
        <v>20</v>
      </c>
      <c r="BF904" s="1" t="s">
        <v>75</v>
      </c>
      <c r="BG904">
        <v>0</v>
      </c>
      <c r="BH904">
        <v>0</v>
      </c>
      <c r="BI904" s="1" t="s">
        <v>88</v>
      </c>
      <c r="BJ904">
        <v>1</v>
      </c>
      <c r="BK904" s="1" t="s">
        <v>89</v>
      </c>
      <c r="BL904" t="s">
        <v>91</v>
      </c>
      <c r="BM904" s="1" t="s">
        <v>109</v>
      </c>
      <c r="BN904" s="1" t="s">
        <v>110</v>
      </c>
      <c r="BO904" s="1" t="s">
        <v>165</v>
      </c>
      <c r="BP904" s="1" t="s">
        <v>91</v>
      </c>
      <c r="BQ904" t="s">
        <v>91</v>
      </c>
      <c r="BR904" s="3">
        <v>43308</v>
      </c>
      <c r="BS904" s="3"/>
      <c r="BT904" t="s">
        <v>91</v>
      </c>
      <c r="BU904" t="s">
        <v>91</v>
      </c>
      <c r="BV904">
        <v>9</v>
      </c>
      <c r="BW904" s="1" t="s">
        <v>90</v>
      </c>
    </row>
    <row r="905" spans="1:75" hidden="1" x14ac:dyDescent="0.35">
      <c r="A905">
        <v>157719</v>
      </c>
      <c r="B905" s="1" t="s">
        <v>75</v>
      </c>
      <c r="C905">
        <v>80</v>
      </c>
      <c r="D905">
        <v>11121002</v>
      </c>
      <c r="E905">
        <v>121002</v>
      </c>
      <c r="F905" s="1" t="s">
        <v>2915</v>
      </c>
      <c r="G905" s="1" t="s">
        <v>5117</v>
      </c>
      <c r="H905">
        <v>0</v>
      </c>
      <c r="I905" s="1" t="s">
        <v>78</v>
      </c>
      <c r="J905" s="1" t="s">
        <v>5118</v>
      </c>
      <c r="K905" s="1" t="s">
        <v>5119</v>
      </c>
      <c r="L905" t="s">
        <v>91</v>
      </c>
      <c r="M905" t="s">
        <v>91</v>
      </c>
      <c r="N905" s="1" t="s">
        <v>5120</v>
      </c>
      <c r="O905" t="s">
        <v>91</v>
      </c>
      <c r="P905" s="1" t="s">
        <v>4948</v>
      </c>
      <c r="Q905" s="1" t="s">
        <v>5121</v>
      </c>
      <c r="R905" s="1" t="s">
        <v>254</v>
      </c>
      <c r="S905">
        <v>1259</v>
      </c>
      <c r="T905">
        <v>88102000</v>
      </c>
      <c r="U905" s="1" t="s">
        <v>3015</v>
      </c>
      <c r="V905" s="1" t="s">
        <v>2958</v>
      </c>
      <c r="W905" s="1" t="s">
        <v>87</v>
      </c>
      <c r="X905">
        <v>48</v>
      </c>
      <c r="Y905">
        <v>30355883</v>
      </c>
      <c r="Z905" t="s">
        <v>91</v>
      </c>
      <c r="AA905" t="s">
        <v>91</v>
      </c>
      <c r="AB905" t="s">
        <v>91</v>
      </c>
      <c r="AC905" t="s">
        <v>91</v>
      </c>
      <c r="AD905" t="s">
        <v>91</v>
      </c>
      <c r="AE905" t="s">
        <v>91</v>
      </c>
      <c r="AF905" t="s">
        <v>91</v>
      </c>
      <c r="AG905" s="1" t="s">
        <v>91</v>
      </c>
      <c r="AH905" s="1" t="s">
        <v>91</v>
      </c>
      <c r="AI905" t="s">
        <v>91</v>
      </c>
      <c r="AM905" t="s">
        <v>91</v>
      </c>
      <c r="AN905" t="s">
        <v>91</v>
      </c>
      <c r="AO905" t="s">
        <v>91</v>
      </c>
      <c r="AP905" t="s">
        <v>91</v>
      </c>
      <c r="AQ905" s="1" t="s">
        <v>91</v>
      </c>
      <c r="AR905" s="1" t="s">
        <v>91</v>
      </c>
      <c r="AS905" s="1" t="s">
        <v>91</v>
      </c>
      <c r="AT905" s="1" t="s">
        <v>91</v>
      </c>
      <c r="AU905" s="1" t="s">
        <v>91</v>
      </c>
      <c r="AV905" t="s">
        <v>91</v>
      </c>
      <c r="AW905" t="s">
        <v>91</v>
      </c>
      <c r="AX905" t="s">
        <v>91</v>
      </c>
      <c r="AY905" t="s">
        <v>91</v>
      </c>
      <c r="AZ905" t="s">
        <v>91</v>
      </c>
      <c r="BA905" t="s">
        <v>91</v>
      </c>
      <c r="BB905" s="2">
        <v>45118.097175925926</v>
      </c>
      <c r="BC905" s="2"/>
      <c r="BD905" t="s">
        <v>91</v>
      </c>
      <c r="BF905" s="1" t="s">
        <v>75</v>
      </c>
      <c r="BI905" s="1" t="s">
        <v>88</v>
      </c>
      <c r="BJ905">
        <v>1</v>
      </c>
      <c r="BK905" s="1" t="s">
        <v>89</v>
      </c>
      <c r="BL905" t="s">
        <v>91</v>
      </c>
      <c r="BM905" s="1" t="s">
        <v>91</v>
      </c>
      <c r="BN905" s="1" t="s">
        <v>91</v>
      </c>
      <c r="BO905" s="1" t="s">
        <v>91</v>
      </c>
      <c r="BP905" s="1" t="s">
        <v>91</v>
      </c>
      <c r="BQ905" t="s">
        <v>91</v>
      </c>
      <c r="BR905" s="3">
        <v>45118</v>
      </c>
      <c r="BS905" s="3"/>
      <c r="BT905" t="s">
        <v>91</v>
      </c>
      <c r="BU905" t="s">
        <v>91</v>
      </c>
      <c r="BW905" s="1" t="s">
        <v>90</v>
      </c>
    </row>
    <row r="906" spans="1:75" hidden="1" x14ac:dyDescent="0.35">
      <c r="A906">
        <v>156874</v>
      </c>
      <c r="B906" s="1" t="s">
        <v>75</v>
      </c>
      <c r="C906">
        <v>80</v>
      </c>
      <c r="D906">
        <v>11121002</v>
      </c>
      <c r="E906">
        <v>121002</v>
      </c>
      <c r="F906" s="1" t="s">
        <v>2915</v>
      </c>
      <c r="G906" s="1" t="s">
        <v>5122</v>
      </c>
      <c r="H906">
        <v>0</v>
      </c>
      <c r="I906" s="1" t="s">
        <v>78</v>
      </c>
      <c r="J906" s="1" t="s">
        <v>5123</v>
      </c>
      <c r="K906" s="1" t="s">
        <v>5124</v>
      </c>
      <c r="L906" t="s">
        <v>91</v>
      </c>
      <c r="M906" t="s">
        <v>91</v>
      </c>
      <c r="N906" s="1" t="s">
        <v>4747</v>
      </c>
      <c r="O906" t="s">
        <v>91</v>
      </c>
      <c r="P906" s="1" t="s">
        <v>3485</v>
      </c>
      <c r="Q906" s="1" t="s">
        <v>2300</v>
      </c>
      <c r="R906" s="1" t="s">
        <v>3834</v>
      </c>
      <c r="S906">
        <v>1259</v>
      </c>
      <c r="T906">
        <v>88117900</v>
      </c>
      <c r="U906" s="1" t="s">
        <v>2957</v>
      </c>
      <c r="V906" s="1" t="s">
        <v>2958</v>
      </c>
      <c r="W906" s="1" t="s">
        <v>87</v>
      </c>
      <c r="X906">
        <v>48</v>
      </c>
      <c r="Y906">
        <v>30243492</v>
      </c>
      <c r="Z906" t="s">
        <v>91</v>
      </c>
      <c r="AA906" t="s">
        <v>91</v>
      </c>
      <c r="AB906" t="s">
        <v>91</v>
      </c>
      <c r="AC906" t="s">
        <v>91</v>
      </c>
      <c r="AD906" t="s">
        <v>91</v>
      </c>
      <c r="AE906" t="s">
        <v>91</v>
      </c>
      <c r="AF906" t="s">
        <v>91</v>
      </c>
      <c r="AG906" s="1" t="s">
        <v>91</v>
      </c>
      <c r="AH906" s="1" t="s">
        <v>91</v>
      </c>
      <c r="AI906" t="s">
        <v>91</v>
      </c>
      <c r="AM906" t="s">
        <v>91</v>
      </c>
      <c r="AN906" t="s">
        <v>91</v>
      </c>
      <c r="AO906" t="s">
        <v>91</v>
      </c>
      <c r="AP906" t="s">
        <v>91</v>
      </c>
      <c r="AQ906" s="1" t="s">
        <v>91</v>
      </c>
      <c r="AR906" s="1" t="s">
        <v>91</v>
      </c>
      <c r="AS906" s="1" t="s">
        <v>91</v>
      </c>
      <c r="AT906" s="1" t="s">
        <v>91</v>
      </c>
      <c r="AU906" s="1" t="s">
        <v>91</v>
      </c>
      <c r="AV906" t="s">
        <v>91</v>
      </c>
      <c r="AW906" t="s">
        <v>91</v>
      </c>
      <c r="AX906" t="s">
        <v>91</v>
      </c>
      <c r="AY906" t="s">
        <v>91</v>
      </c>
      <c r="AZ906" t="s">
        <v>91</v>
      </c>
      <c r="BA906" t="s">
        <v>91</v>
      </c>
      <c r="BB906" s="2">
        <v>45113.505416666667</v>
      </c>
      <c r="BC906" s="2"/>
      <c r="BD906" t="s">
        <v>91</v>
      </c>
      <c r="BF906" s="1" t="s">
        <v>75</v>
      </c>
      <c r="BI906" s="1" t="s">
        <v>88</v>
      </c>
      <c r="BJ906">
        <v>1</v>
      </c>
      <c r="BK906" s="1" t="s">
        <v>89</v>
      </c>
      <c r="BL906" t="s">
        <v>91</v>
      </c>
      <c r="BM906" s="1" t="s">
        <v>91</v>
      </c>
      <c r="BN906" s="1" t="s">
        <v>91</v>
      </c>
      <c r="BO906" s="1" t="s">
        <v>91</v>
      </c>
      <c r="BP906" s="1" t="s">
        <v>91</v>
      </c>
      <c r="BQ906" t="s">
        <v>91</v>
      </c>
      <c r="BR906" s="3">
        <v>45113</v>
      </c>
      <c r="BS906" s="3"/>
      <c r="BT906" t="s">
        <v>91</v>
      </c>
      <c r="BU906" t="s">
        <v>91</v>
      </c>
      <c r="BW906" s="1" t="s">
        <v>90</v>
      </c>
    </row>
    <row r="907" spans="1:75" hidden="1" x14ac:dyDescent="0.35">
      <c r="A907">
        <v>134444</v>
      </c>
      <c r="B907" s="1" t="s">
        <v>75</v>
      </c>
      <c r="C907">
        <v>80</v>
      </c>
      <c r="D907">
        <v>11121002</v>
      </c>
      <c r="E907">
        <v>121002</v>
      </c>
      <c r="F907" s="1" t="s">
        <v>2915</v>
      </c>
      <c r="G907" s="1" t="s">
        <v>5125</v>
      </c>
      <c r="I907" s="1" t="s">
        <v>78</v>
      </c>
      <c r="J907" s="1" t="s">
        <v>5123</v>
      </c>
      <c r="K907" s="1" t="s">
        <v>5126</v>
      </c>
      <c r="L907" t="s">
        <v>91</v>
      </c>
      <c r="M907" t="s">
        <v>91</v>
      </c>
      <c r="N907" s="1" t="s">
        <v>5127</v>
      </c>
      <c r="O907" t="s">
        <v>91</v>
      </c>
      <c r="P907" s="1" t="s">
        <v>3485</v>
      </c>
      <c r="Q907" s="1" t="s">
        <v>2300</v>
      </c>
      <c r="R907" s="1" t="s">
        <v>5128</v>
      </c>
      <c r="S907">
        <v>1259</v>
      </c>
      <c r="T907">
        <v>88117292</v>
      </c>
      <c r="U907" s="1" t="s">
        <v>2957</v>
      </c>
      <c r="V907" s="1" t="s">
        <v>3016</v>
      </c>
      <c r="W907" s="1" t="s">
        <v>87</v>
      </c>
      <c r="X907">
        <v>48</v>
      </c>
      <c r="Y907">
        <v>998358386</v>
      </c>
      <c r="Z907" t="s">
        <v>91</v>
      </c>
      <c r="AA907" t="s">
        <v>91</v>
      </c>
      <c r="AB907" t="s">
        <v>91</v>
      </c>
      <c r="AC907" t="s">
        <v>91</v>
      </c>
      <c r="AD907" t="s">
        <v>91</v>
      </c>
      <c r="AE907" t="s">
        <v>91</v>
      </c>
      <c r="AF907" t="s">
        <v>91</v>
      </c>
      <c r="AG907" s="1" t="s">
        <v>146</v>
      </c>
      <c r="AH907" s="1" t="s">
        <v>91</v>
      </c>
      <c r="AI907" t="s">
        <v>91</v>
      </c>
      <c r="AM907" t="s">
        <v>91</v>
      </c>
      <c r="AN907" t="s">
        <v>91</v>
      </c>
      <c r="AO907" t="s">
        <v>91</v>
      </c>
      <c r="AP907" t="s">
        <v>91</v>
      </c>
      <c r="AQ907" s="1" t="s">
        <v>147</v>
      </c>
      <c r="AR907" s="1" t="s">
        <v>147</v>
      </c>
      <c r="AS907" s="1" t="s">
        <v>147</v>
      </c>
      <c r="AT907" s="1" t="s">
        <v>147</v>
      </c>
      <c r="AU907" s="1" t="s">
        <v>147</v>
      </c>
      <c r="AV907" t="s">
        <v>91</v>
      </c>
      <c r="AW907" t="s">
        <v>91</v>
      </c>
      <c r="AX907" t="s">
        <v>91</v>
      </c>
      <c r="AY907" t="s">
        <v>91</v>
      </c>
      <c r="AZ907" t="s">
        <v>91</v>
      </c>
      <c r="BA907" t="s">
        <v>91</v>
      </c>
      <c r="BB907" s="2"/>
      <c r="BC907" s="2">
        <v>44659.741157407407</v>
      </c>
      <c r="BD907" t="s">
        <v>91</v>
      </c>
      <c r="BF907" s="1" t="s">
        <v>75</v>
      </c>
      <c r="BH907">
        <v>0</v>
      </c>
      <c r="BI907" s="1" t="s">
        <v>88</v>
      </c>
      <c r="BJ907">
        <v>1</v>
      </c>
      <c r="BK907" s="1" t="s">
        <v>89</v>
      </c>
      <c r="BL907" t="s">
        <v>91</v>
      </c>
      <c r="BM907" s="1" t="s">
        <v>109</v>
      </c>
      <c r="BN907" s="1" t="s">
        <v>110</v>
      </c>
      <c r="BO907" s="1" t="s">
        <v>128</v>
      </c>
      <c r="BP907" s="1" t="s">
        <v>91</v>
      </c>
      <c r="BQ907" t="s">
        <v>91</v>
      </c>
      <c r="BR907" s="3"/>
      <c r="BS907" s="3">
        <v>44659</v>
      </c>
      <c r="BT907" t="s">
        <v>91</v>
      </c>
      <c r="BU907" t="s">
        <v>91</v>
      </c>
      <c r="BV907">
        <v>9</v>
      </c>
      <c r="BW907" s="1" t="s">
        <v>2004</v>
      </c>
    </row>
    <row r="908" spans="1:75" hidden="1" x14ac:dyDescent="0.35">
      <c r="A908">
        <v>159586</v>
      </c>
      <c r="B908" s="1" t="s">
        <v>75</v>
      </c>
      <c r="C908">
        <v>80</v>
      </c>
      <c r="D908">
        <v>11121002</v>
      </c>
      <c r="E908">
        <v>121002</v>
      </c>
      <c r="F908" s="1" t="s">
        <v>2915</v>
      </c>
      <c r="G908" s="1" t="s">
        <v>5129</v>
      </c>
      <c r="I908" s="1" t="s">
        <v>78</v>
      </c>
      <c r="J908" s="1" t="s">
        <v>5130</v>
      </c>
      <c r="K908" s="1" t="s">
        <v>5131</v>
      </c>
      <c r="L908" t="s">
        <v>91</v>
      </c>
      <c r="M908" t="s">
        <v>91</v>
      </c>
      <c r="N908" s="1" t="s">
        <v>1232</v>
      </c>
      <c r="O908" t="s">
        <v>91</v>
      </c>
      <c r="P908" s="1" t="s">
        <v>3031</v>
      </c>
      <c r="Q908" s="1" t="s">
        <v>3032</v>
      </c>
      <c r="R908" s="1" t="s">
        <v>4634</v>
      </c>
      <c r="S908">
        <v>1255</v>
      </c>
      <c r="T908">
        <v>88015902</v>
      </c>
      <c r="U908" s="1" t="s">
        <v>108</v>
      </c>
      <c r="V908" s="1" t="s">
        <v>2922</v>
      </c>
      <c r="W908" s="1" t="s">
        <v>87</v>
      </c>
      <c r="X908">
        <v>48</v>
      </c>
      <c r="Y908">
        <v>32259791</v>
      </c>
      <c r="Z908" t="s">
        <v>91</v>
      </c>
      <c r="AA908" t="s">
        <v>91</v>
      </c>
      <c r="AB908" t="s">
        <v>91</v>
      </c>
      <c r="AC908" t="s">
        <v>91</v>
      </c>
      <c r="AD908" t="s">
        <v>91</v>
      </c>
      <c r="AE908" t="s">
        <v>91</v>
      </c>
      <c r="AF908" t="s">
        <v>91</v>
      </c>
      <c r="AG908" s="1" t="s">
        <v>91</v>
      </c>
      <c r="AH908" s="1" t="s">
        <v>91</v>
      </c>
      <c r="AI908" t="s">
        <v>91</v>
      </c>
      <c r="AM908" t="s">
        <v>91</v>
      </c>
      <c r="AN908" t="s">
        <v>91</v>
      </c>
      <c r="AO908" t="s">
        <v>91</v>
      </c>
      <c r="AP908" t="s">
        <v>91</v>
      </c>
      <c r="AQ908" s="1" t="s">
        <v>91</v>
      </c>
      <c r="AR908" s="1" t="s">
        <v>91</v>
      </c>
      <c r="AS908" s="1" t="s">
        <v>91</v>
      </c>
      <c r="AT908" s="1" t="s">
        <v>91</v>
      </c>
      <c r="AU908" s="1" t="s">
        <v>91</v>
      </c>
      <c r="AV908" t="s">
        <v>91</v>
      </c>
      <c r="AW908" t="s">
        <v>91</v>
      </c>
      <c r="AX908" t="s">
        <v>91</v>
      </c>
      <c r="AY908" t="s">
        <v>91</v>
      </c>
      <c r="AZ908" t="s">
        <v>91</v>
      </c>
      <c r="BA908" t="s">
        <v>91</v>
      </c>
      <c r="BB908" s="2">
        <v>45194.491122685184</v>
      </c>
      <c r="BC908" s="2"/>
      <c r="BD908" t="s">
        <v>91</v>
      </c>
      <c r="BF908" s="1" t="s">
        <v>75</v>
      </c>
      <c r="BI908" s="1" t="s">
        <v>88</v>
      </c>
      <c r="BJ908">
        <v>1</v>
      </c>
      <c r="BK908" s="1" t="s">
        <v>89</v>
      </c>
      <c r="BL908" t="s">
        <v>91</v>
      </c>
      <c r="BM908" s="1" t="s">
        <v>91</v>
      </c>
      <c r="BN908" s="1" t="s">
        <v>91</v>
      </c>
      <c r="BO908" s="1" t="s">
        <v>91</v>
      </c>
      <c r="BP908" s="1" t="s">
        <v>91</v>
      </c>
      <c r="BQ908" t="s">
        <v>91</v>
      </c>
      <c r="BR908" s="3">
        <v>45194</v>
      </c>
      <c r="BS908" s="3"/>
      <c r="BT908" t="s">
        <v>91</v>
      </c>
      <c r="BU908" t="s">
        <v>91</v>
      </c>
      <c r="BW908" s="1" t="s">
        <v>90</v>
      </c>
    </row>
    <row r="909" spans="1:75" hidden="1" x14ac:dyDescent="0.35">
      <c r="A909">
        <v>157676</v>
      </c>
      <c r="B909" s="1" t="s">
        <v>75</v>
      </c>
      <c r="C909">
        <v>80</v>
      </c>
      <c r="D909">
        <v>11121002</v>
      </c>
      <c r="E909">
        <v>121002</v>
      </c>
      <c r="F909" s="1" t="s">
        <v>2915</v>
      </c>
      <c r="G909" s="1" t="s">
        <v>5132</v>
      </c>
      <c r="H909">
        <v>0</v>
      </c>
      <c r="I909" s="1" t="s">
        <v>78</v>
      </c>
      <c r="J909" s="1" t="s">
        <v>5133</v>
      </c>
      <c r="K909" s="1" t="s">
        <v>5134</v>
      </c>
      <c r="L909" t="s">
        <v>91</v>
      </c>
      <c r="M909" t="s">
        <v>91</v>
      </c>
      <c r="N909" s="1" t="s">
        <v>91</v>
      </c>
      <c r="O909" t="s">
        <v>91</v>
      </c>
      <c r="P909" s="1" t="s">
        <v>364</v>
      </c>
      <c r="Q909" s="1" t="s">
        <v>2033</v>
      </c>
      <c r="R909" s="1" t="s">
        <v>91</v>
      </c>
      <c r="S909">
        <v>1288</v>
      </c>
      <c r="T909">
        <v>89830000</v>
      </c>
      <c r="U909" s="1" t="s">
        <v>343</v>
      </c>
      <c r="V909" s="1" t="s">
        <v>3547</v>
      </c>
      <c r="W909" s="1" t="s">
        <v>87</v>
      </c>
      <c r="X909">
        <v>49</v>
      </c>
      <c r="Y909">
        <v>34454262</v>
      </c>
      <c r="Z909" t="s">
        <v>91</v>
      </c>
      <c r="AA909" t="s">
        <v>91</v>
      </c>
      <c r="AB909" t="s">
        <v>91</v>
      </c>
      <c r="AC909" t="s">
        <v>91</v>
      </c>
      <c r="AD909" t="s">
        <v>91</v>
      </c>
      <c r="AE909" t="s">
        <v>91</v>
      </c>
      <c r="AF909" t="s">
        <v>91</v>
      </c>
      <c r="AG909" s="1" t="s">
        <v>91</v>
      </c>
      <c r="AH909" s="1" t="s">
        <v>91</v>
      </c>
      <c r="AI909" t="s">
        <v>91</v>
      </c>
      <c r="AM909" t="s">
        <v>91</v>
      </c>
      <c r="AN909" t="s">
        <v>91</v>
      </c>
      <c r="AO909" t="s">
        <v>91</v>
      </c>
      <c r="AP909" t="s">
        <v>91</v>
      </c>
      <c r="AQ909" s="1" t="s">
        <v>91</v>
      </c>
      <c r="AR909" s="1" t="s">
        <v>91</v>
      </c>
      <c r="AS909" s="1" t="s">
        <v>91</v>
      </c>
      <c r="AT909" s="1" t="s">
        <v>91</v>
      </c>
      <c r="AU909" s="1" t="s">
        <v>91</v>
      </c>
      <c r="AV909" t="s">
        <v>91</v>
      </c>
      <c r="AW909" t="s">
        <v>91</v>
      </c>
      <c r="AX909" t="s">
        <v>91</v>
      </c>
      <c r="AY909" t="s">
        <v>91</v>
      </c>
      <c r="AZ909" t="s">
        <v>91</v>
      </c>
      <c r="BA909" t="s">
        <v>91</v>
      </c>
      <c r="BB909" s="2">
        <v>45118.097175925926</v>
      </c>
      <c r="BC909" s="2"/>
      <c r="BD909" t="s">
        <v>91</v>
      </c>
      <c r="BF909" s="1" t="s">
        <v>75</v>
      </c>
      <c r="BI909" s="1" t="s">
        <v>88</v>
      </c>
      <c r="BJ909">
        <v>1</v>
      </c>
      <c r="BK909" s="1" t="s">
        <v>89</v>
      </c>
      <c r="BL909" t="s">
        <v>91</v>
      </c>
      <c r="BM909" s="1" t="s">
        <v>91</v>
      </c>
      <c r="BN909" s="1" t="s">
        <v>91</v>
      </c>
      <c r="BO909" s="1" t="s">
        <v>91</v>
      </c>
      <c r="BP909" s="1" t="s">
        <v>91</v>
      </c>
      <c r="BQ909" t="s">
        <v>91</v>
      </c>
      <c r="BR909" s="3">
        <v>45118</v>
      </c>
      <c r="BS909" s="3"/>
      <c r="BT909" t="s">
        <v>91</v>
      </c>
      <c r="BU909" t="s">
        <v>91</v>
      </c>
      <c r="BW909" s="1" t="s">
        <v>90</v>
      </c>
    </row>
    <row r="910" spans="1:75" hidden="1" x14ac:dyDescent="0.35">
      <c r="A910">
        <v>157599</v>
      </c>
      <c r="B910" s="1" t="s">
        <v>75</v>
      </c>
      <c r="C910">
        <v>80</v>
      </c>
      <c r="D910">
        <v>11121002</v>
      </c>
      <c r="E910">
        <v>121002</v>
      </c>
      <c r="F910" s="1" t="s">
        <v>2915</v>
      </c>
      <c r="G910" s="1" t="s">
        <v>5135</v>
      </c>
      <c r="H910">
        <v>0</v>
      </c>
      <c r="I910" s="1" t="s">
        <v>78</v>
      </c>
      <c r="J910" s="1" t="s">
        <v>5136</v>
      </c>
      <c r="K910" s="1" t="s">
        <v>5137</v>
      </c>
      <c r="L910" t="s">
        <v>91</v>
      </c>
      <c r="M910" t="s">
        <v>91</v>
      </c>
      <c r="N910" s="1" t="s">
        <v>5138</v>
      </c>
      <c r="O910" t="s">
        <v>91</v>
      </c>
      <c r="P910" s="1" t="s">
        <v>775</v>
      </c>
      <c r="Q910" s="1" t="s">
        <v>2172</v>
      </c>
      <c r="R910" s="1" t="s">
        <v>820</v>
      </c>
      <c r="S910">
        <v>1254</v>
      </c>
      <c r="T910">
        <v>88010320</v>
      </c>
      <c r="U910" s="1" t="s">
        <v>108</v>
      </c>
      <c r="V910" s="1" t="s">
        <v>2922</v>
      </c>
      <c r="W910" s="1" t="s">
        <v>87</v>
      </c>
      <c r="X910">
        <v>48</v>
      </c>
      <c r="Y910">
        <v>32257362</v>
      </c>
      <c r="Z910" t="s">
        <v>91</v>
      </c>
      <c r="AA910" t="s">
        <v>91</v>
      </c>
      <c r="AB910" t="s">
        <v>91</v>
      </c>
      <c r="AC910" t="s">
        <v>91</v>
      </c>
      <c r="AD910" t="s">
        <v>91</v>
      </c>
      <c r="AE910" t="s">
        <v>91</v>
      </c>
      <c r="AF910" t="s">
        <v>91</v>
      </c>
      <c r="AG910" s="1" t="s">
        <v>91</v>
      </c>
      <c r="AH910" s="1" t="s">
        <v>91</v>
      </c>
      <c r="AI910" t="s">
        <v>91</v>
      </c>
      <c r="AM910" t="s">
        <v>91</v>
      </c>
      <c r="AN910" t="s">
        <v>91</v>
      </c>
      <c r="AO910" t="s">
        <v>91</v>
      </c>
      <c r="AP910" t="s">
        <v>91</v>
      </c>
      <c r="AQ910" s="1" t="s">
        <v>91</v>
      </c>
      <c r="AR910" s="1" t="s">
        <v>91</v>
      </c>
      <c r="AS910" s="1" t="s">
        <v>91</v>
      </c>
      <c r="AT910" s="1" t="s">
        <v>91</v>
      </c>
      <c r="AU910" s="1" t="s">
        <v>91</v>
      </c>
      <c r="AV910" t="s">
        <v>91</v>
      </c>
      <c r="AW910" t="s">
        <v>91</v>
      </c>
      <c r="AX910" t="s">
        <v>91</v>
      </c>
      <c r="AY910" t="s">
        <v>91</v>
      </c>
      <c r="AZ910" t="s">
        <v>91</v>
      </c>
      <c r="BA910" t="s">
        <v>91</v>
      </c>
      <c r="BB910" s="2">
        <v>45118.097175925926</v>
      </c>
      <c r="BC910" s="2"/>
      <c r="BD910" t="s">
        <v>91</v>
      </c>
      <c r="BF910" s="1" t="s">
        <v>75</v>
      </c>
      <c r="BI910" s="1" t="s">
        <v>88</v>
      </c>
      <c r="BJ910">
        <v>1</v>
      </c>
      <c r="BK910" s="1" t="s">
        <v>89</v>
      </c>
      <c r="BL910" t="s">
        <v>91</v>
      </c>
      <c r="BM910" s="1" t="s">
        <v>91</v>
      </c>
      <c r="BN910" s="1" t="s">
        <v>91</v>
      </c>
      <c r="BO910" s="1" t="s">
        <v>91</v>
      </c>
      <c r="BP910" s="1" t="s">
        <v>91</v>
      </c>
      <c r="BQ910" t="s">
        <v>91</v>
      </c>
      <c r="BR910" s="3">
        <v>45118</v>
      </c>
      <c r="BS910" s="3"/>
      <c r="BT910" t="s">
        <v>91</v>
      </c>
      <c r="BU910" t="s">
        <v>91</v>
      </c>
      <c r="BW910" s="1" t="s">
        <v>1254</v>
      </c>
    </row>
    <row r="911" spans="1:75" hidden="1" x14ac:dyDescent="0.35">
      <c r="A911">
        <v>158698</v>
      </c>
      <c r="B911" s="1" t="s">
        <v>75</v>
      </c>
      <c r="C911">
        <v>80</v>
      </c>
      <c r="D911">
        <v>11121002</v>
      </c>
      <c r="E911">
        <v>121002</v>
      </c>
      <c r="F911" s="1" t="s">
        <v>2915</v>
      </c>
      <c r="G911" s="1" t="s">
        <v>5139</v>
      </c>
      <c r="I911" s="1" t="s">
        <v>78</v>
      </c>
      <c r="J911" s="1" t="s">
        <v>5140</v>
      </c>
      <c r="K911" s="1" t="s">
        <v>5141</v>
      </c>
      <c r="L911" t="s">
        <v>91</v>
      </c>
      <c r="M911" t="s">
        <v>91</v>
      </c>
      <c r="N911" s="1" t="s">
        <v>5142</v>
      </c>
      <c r="O911" t="s">
        <v>91</v>
      </c>
      <c r="P911" s="1" t="s">
        <v>5143</v>
      </c>
      <c r="Q911" s="1" t="s">
        <v>3653</v>
      </c>
      <c r="R911" s="1" t="s">
        <v>91</v>
      </c>
      <c r="T911">
        <v>88139075</v>
      </c>
      <c r="U911" s="1" t="s">
        <v>5144</v>
      </c>
      <c r="V911" s="1" t="s">
        <v>2951</v>
      </c>
      <c r="W911" s="1" t="s">
        <v>87</v>
      </c>
      <c r="X911">
        <v>48</v>
      </c>
      <c r="Y911">
        <v>991838770</v>
      </c>
      <c r="Z911" t="s">
        <v>91</v>
      </c>
      <c r="AA911" t="s">
        <v>91</v>
      </c>
      <c r="AB911" t="s">
        <v>91</v>
      </c>
      <c r="AC911" t="s">
        <v>91</v>
      </c>
      <c r="AD911" t="s">
        <v>91</v>
      </c>
      <c r="AE911" t="s">
        <v>91</v>
      </c>
      <c r="AF911" t="s">
        <v>91</v>
      </c>
      <c r="AG911" s="1" t="s">
        <v>91</v>
      </c>
      <c r="AH911" s="1" t="s">
        <v>91</v>
      </c>
      <c r="AI911" t="s">
        <v>91</v>
      </c>
      <c r="AM911" t="s">
        <v>91</v>
      </c>
      <c r="AN911" t="s">
        <v>91</v>
      </c>
      <c r="AO911" t="s">
        <v>91</v>
      </c>
      <c r="AP911" t="s">
        <v>91</v>
      </c>
      <c r="AQ911" s="1" t="s">
        <v>91</v>
      </c>
      <c r="AR911" s="1" t="s">
        <v>91</v>
      </c>
      <c r="AS911" s="1" t="s">
        <v>91</v>
      </c>
      <c r="AT911" s="1" t="s">
        <v>91</v>
      </c>
      <c r="AU911" s="1" t="s">
        <v>91</v>
      </c>
      <c r="AV911" t="s">
        <v>91</v>
      </c>
      <c r="AW911" t="s">
        <v>91</v>
      </c>
      <c r="AX911" t="s">
        <v>91</v>
      </c>
      <c r="AY911" t="s">
        <v>91</v>
      </c>
      <c r="AZ911" t="s">
        <v>91</v>
      </c>
      <c r="BA911" t="s">
        <v>91</v>
      </c>
      <c r="BB911" s="2">
        <v>45155.700069444443</v>
      </c>
      <c r="BC911" s="2"/>
      <c r="BD911" t="s">
        <v>91</v>
      </c>
      <c r="BF911" s="1" t="s">
        <v>75</v>
      </c>
      <c r="BI911" s="1" t="s">
        <v>88</v>
      </c>
      <c r="BJ911">
        <v>1</v>
      </c>
      <c r="BK911" s="1" t="s">
        <v>89</v>
      </c>
      <c r="BL911" t="s">
        <v>91</v>
      </c>
      <c r="BM911" s="1" t="s">
        <v>91</v>
      </c>
      <c r="BN911" s="1" t="s">
        <v>91</v>
      </c>
      <c r="BO911" s="1" t="s">
        <v>91</v>
      </c>
      <c r="BP911" s="1" t="s">
        <v>91</v>
      </c>
      <c r="BQ911" t="s">
        <v>91</v>
      </c>
      <c r="BR911" s="3">
        <v>45155</v>
      </c>
      <c r="BS911" s="3"/>
      <c r="BT911" t="s">
        <v>91</v>
      </c>
      <c r="BU911" t="s">
        <v>91</v>
      </c>
      <c r="BW911" s="1" t="s">
        <v>90</v>
      </c>
    </row>
    <row r="912" spans="1:75" hidden="1" x14ac:dyDescent="0.35">
      <c r="A912">
        <v>159580</v>
      </c>
      <c r="B912" s="1" t="s">
        <v>75</v>
      </c>
      <c r="C912">
        <v>80</v>
      </c>
      <c r="D912">
        <v>11121002</v>
      </c>
      <c r="E912">
        <v>121002</v>
      </c>
      <c r="F912" s="1" t="s">
        <v>2915</v>
      </c>
      <c r="G912" s="1" t="s">
        <v>5145</v>
      </c>
      <c r="I912" s="1" t="s">
        <v>78</v>
      </c>
      <c r="J912" s="1" t="s">
        <v>5146</v>
      </c>
      <c r="K912" s="1" t="s">
        <v>5147</v>
      </c>
      <c r="L912" t="s">
        <v>91</v>
      </c>
      <c r="M912" t="s">
        <v>91</v>
      </c>
      <c r="N912" s="1" t="s">
        <v>5148</v>
      </c>
      <c r="O912" t="s">
        <v>91</v>
      </c>
      <c r="P912" s="1" t="s">
        <v>5149</v>
      </c>
      <c r="Q912" s="1" t="s">
        <v>5150</v>
      </c>
      <c r="R912" s="1" t="s">
        <v>91</v>
      </c>
      <c r="T912">
        <v>88640000</v>
      </c>
      <c r="U912" s="1" t="s">
        <v>108</v>
      </c>
      <c r="V912" s="1" t="s">
        <v>5151</v>
      </c>
      <c r="W912" s="1" t="s">
        <v>87</v>
      </c>
      <c r="X912">
        <v>49</v>
      </c>
      <c r="Y912">
        <v>34337991</v>
      </c>
      <c r="Z912" t="s">
        <v>91</v>
      </c>
      <c r="AA912" t="s">
        <v>91</v>
      </c>
      <c r="AB912" t="s">
        <v>91</v>
      </c>
      <c r="AC912" t="s">
        <v>91</v>
      </c>
      <c r="AD912" t="s">
        <v>91</v>
      </c>
      <c r="AE912" t="s">
        <v>91</v>
      </c>
      <c r="AF912" t="s">
        <v>91</v>
      </c>
      <c r="AG912" s="1" t="s">
        <v>91</v>
      </c>
      <c r="AH912" s="1" t="s">
        <v>91</v>
      </c>
      <c r="AI912" t="s">
        <v>91</v>
      </c>
      <c r="AM912" t="s">
        <v>91</v>
      </c>
      <c r="AN912" t="s">
        <v>91</v>
      </c>
      <c r="AO912" t="s">
        <v>91</v>
      </c>
      <c r="AP912" t="s">
        <v>91</v>
      </c>
      <c r="AQ912" s="1" t="s">
        <v>91</v>
      </c>
      <c r="AR912" s="1" t="s">
        <v>91</v>
      </c>
      <c r="AS912" s="1" t="s">
        <v>91</v>
      </c>
      <c r="AT912" s="1" t="s">
        <v>91</v>
      </c>
      <c r="AU912" s="1" t="s">
        <v>91</v>
      </c>
      <c r="AV912" t="s">
        <v>91</v>
      </c>
      <c r="AW912" t="s">
        <v>91</v>
      </c>
      <c r="AX912" t="s">
        <v>91</v>
      </c>
      <c r="AY912" t="s">
        <v>91</v>
      </c>
      <c r="AZ912" t="s">
        <v>91</v>
      </c>
      <c r="BA912" t="s">
        <v>91</v>
      </c>
      <c r="BB912" s="2">
        <v>45194.491122685184</v>
      </c>
      <c r="BC912" s="2"/>
      <c r="BD912" t="s">
        <v>91</v>
      </c>
      <c r="BF912" s="1" t="s">
        <v>75</v>
      </c>
      <c r="BI912" s="1" t="s">
        <v>88</v>
      </c>
      <c r="BJ912">
        <v>1</v>
      </c>
      <c r="BK912" s="1" t="s">
        <v>89</v>
      </c>
      <c r="BL912" t="s">
        <v>91</v>
      </c>
      <c r="BM912" s="1" t="s">
        <v>91</v>
      </c>
      <c r="BN912" s="1" t="s">
        <v>91</v>
      </c>
      <c r="BO912" s="1" t="s">
        <v>91</v>
      </c>
      <c r="BP912" s="1" t="s">
        <v>91</v>
      </c>
      <c r="BQ912" t="s">
        <v>91</v>
      </c>
      <c r="BR912" s="3">
        <v>45194</v>
      </c>
      <c r="BS912" s="3"/>
      <c r="BT912" t="s">
        <v>91</v>
      </c>
      <c r="BU912" t="s">
        <v>91</v>
      </c>
      <c r="BW912" s="1" t="s">
        <v>90</v>
      </c>
    </row>
    <row r="913" spans="1:75" hidden="1" x14ac:dyDescent="0.35">
      <c r="A913">
        <v>650</v>
      </c>
      <c r="B913" s="1" t="s">
        <v>75</v>
      </c>
      <c r="C913">
        <v>80</v>
      </c>
      <c r="D913">
        <v>11121002</v>
      </c>
      <c r="E913">
        <v>121002</v>
      </c>
      <c r="F913" s="1" t="s">
        <v>2915</v>
      </c>
      <c r="G913" s="1" t="s">
        <v>5152</v>
      </c>
      <c r="I913" s="1" t="s">
        <v>78</v>
      </c>
      <c r="J913" s="1" t="s">
        <v>5153</v>
      </c>
      <c r="K913" s="1" t="s">
        <v>5154</v>
      </c>
      <c r="L913" t="s">
        <v>91</v>
      </c>
      <c r="M913" t="s">
        <v>91</v>
      </c>
      <c r="N913" s="1" t="s">
        <v>5155</v>
      </c>
      <c r="O913" t="s">
        <v>91</v>
      </c>
      <c r="P913" s="1" t="s">
        <v>3722</v>
      </c>
      <c r="Q913" s="1" t="s">
        <v>5156</v>
      </c>
      <c r="R913" s="1" t="s">
        <v>254</v>
      </c>
      <c r="S913">
        <v>1259</v>
      </c>
      <c r="T913">
        <v>88131000</v>
      </c>
      <c r="U913" s="1" t="s">
        <v>108</v>
      </c>
      <c r="V913" s="1" t="s">
        <v>3165</v>
      </c>
      <c r="W913" s="1" t="s">
        <v>87</v>
      </c>
      <c r="X913">
        <v>48</v>
      </c>
      <c r="Y913">
        <v>30333953</v>
      </c>
      <c r="Z913" t="s">
        <v>91</v>
      </c>
      <c r="AA913" t="s">
        <v>91</v>
      </c>
      <c r="AB913" t="s">
        <v>91</v>
      </c>
      <c r="AC913" t="s">
        <v>91</v>
      </c>
      <c r="AD913" t="s">
        <v>91</v>
      </c>
      <c r="AE913" t="s">
        <v>91</v>
      </c>
      <c r="AF913" t="s">
        <v>91</v>
      </c>
      <c r="AG913" s="1" t="s">
        <v>146</v>
      </c>
      <c r="AH913" s="1" t="s">
        <v>91</v>
      </c>
      <c r="AI913" t="s">
        <v>91</v>
      </c>
      <c r="AJ913">
        <v>0</v>
      </c>
      <c r="AK913">
        <v>0</v>
      </c>
      <c r="AL913">
        <v>0</v>
      </c>
      <c r="AM913" t="s">
        <v>91</v>
      </c>
      <c r="AN913" t="s">
        <v>91</v>
      </c>
      <c r="AO913" t="s">
        <v>91</v>
      </c>
      <c r="AP913" t="s">
        <v>91</v>
      </c>
      <c r="AQ913" s="1" t="s">
        <v>147</v>
      </c>
      <c r="AR913" s="1" t="s">
        <v>147</v>
      </c>
      <c r="AS913" s="1" t="s">
        <v>147</v>
      </c>
      <c r="AT913" s="1" t="s">
        <v>147</v>
      </c>
      <c r="AU913" s="1" t="s">
        <v>147</v>
      </c>
      <c r="AV913" t="s">
        <v>91</v>
      </c>
      <c r="AW913" t="s">
        <v>91</v>
      </c>
      <c r="AX913" t="s">
        <v>91</v>
      </c>
      <c r="AY913" t="s">
        <v>91</v>
      </c>
      <c r="AZ913" t="s">
        <v>91</v>
      </c>
      <c r="BA913" t="s">
        <v>91</v>
      </c>
      <c r="BB913" s="2">
        <v>43308.392916666664</v>
      </c>
      <c r="BC913" s="2">
        <v>45114.714594907404</v>
      </c>
      <c r="BD913" t="s">
        <v>91</v>
      </c>
      <c r="BE913">
        <v>650</v>
      </c>
      <c r="BF913" s="1" t="s">
        <v>75</v>
      </c>
      <c r="BG913">
        <v>0</v>
      </c>
      <c r="BH913">
        <v>0</v>
      </c>
      <c r="BI913" s="1" t="s">
        <v>88</v>
      </c>
      <c r="BJ913">
        <v>1</v>
      </c>
      <c r="BK913" s="1" t="s">
        <v>89</v>
      </c>
      <c r="BL913" t="s">
        <v>91</v>
      </c>
      <c r="BM913" s="1" t="s">
        <v>109</v>
      </c>
      <c r="BN913" s="1" t="s">
        <v>110</v>
      </c>
      <c r="BO913" s="1" t="s">
        <v>128</v>
      </c>
      <c r="BP913" s="1" t="s">
        <v>91</v>
      </c>
      <c r="BQ913" t="s">
        <v>91</v>
      </c>
      <c r="BR913" s="3">
        <v>43308</v>
      </c>
      <c r="BS913" s="3">
        <v>45114</v>
      </c>
      <c r="BT913" t="s">
        <v>91</v>
      </c>
      <c r="BU913" t="s">
        <v>91</v>
      </c>
      <c r="BV913">
        <v>9</v>
      </c>
      <c r="BW913" s="1" t="s">
        <v>728</v>
      </c>
    </row>
    <row r="914" spans="1:75" hidden="1" x14ac:dyDescent="0.35">
      <c r="A914">
        <v>118704</v>
      </c>
      <c r="B914" s="1" t="s">
        <v>75</v>
      </c>
      <c r="C914">
        <v>80</v>
      </c>
      <c r="D914">
        <v>11121002</v>
      </c>
      <c r="E914">
        <v>121002</v>
      </c>
      <c r="F914" s="1" t="s">
        <v>2915</v>
      </c>
      <c r="G914" s="1" t="s">
        <v>5157</v>
      </c>
      <c r="I914" s="1" t="s">
        <v>78</v>
      </c>
      <c r="J914" s="1" t="s">
        <v>5158</v>
      </c>
      <c r="K914" s="1" t="s">
        <v>5159</v>
      </c>
      <c r="L914" t="s">
        <v>91</v>
      </c>
      <c r="M914" t="s">
        <v>91</v>
      </c>
      <c r="N914" s="1" t="s">
        <v>5155</v>
      </c>
      <c r="O914" t="s">
        <v>91</v>
      </c>
      <c r="P914" s="1" t="s">
        <v>3722</v>
      </c>
      <c r="Q914" s="1" t="s">
        <v>5160</v>
      </c>
      <c r="R914" s="1" t="s">
        <v>91</v>
      </c>
      <c r="S914">
        <v>1259</v>
      </c>
      <c r="T914">
        <v>88131000</v>
      </c>
      <c r="U914" s="1" t="s">
        <v>108</v>
      </c>
      <c r="V914" s="1" t="s">
        <v>3165</v>
      </c>
      <c r="W914" s="1" t="s">
        <v>87</v>
      </c>
      <c r="X914">
        <v>48</v>
      </c>
      <c r="Y914">
        <v>32422829</v>
      </c>
      <c r="Z914" t="s">
        <v>91</v>
      </c>
      <c r="AA914" t="s">
        <v>91</v>
      </c>
      <c r="AB914" t="s">
        <v>91</v>
      </c>
      <c r="AC914" t="s">
        <v>91</v>
      </c>
      <c r="AD914" t="s">
        <v>91</v>
      </c>
      <c r="AE914" t="s">
        <v>91</v>
      </c>
      <c r="AF914" t="s">
        <v>91</v>
      </c>
      <c r="AG914" s="1" t="s">
        <v>91</v>
      </c>
      <c r="AH914" s="1" t="s">
        <v>91</v>
      </c>
      <c r="AI914" t="s">
        <v>91</v>
      </c>
      <c r="AJ914">
        <v>0</v>
      </c>
      <c r="AK914">
        <v>0</v>
      </c>
      <c r="AL914">
        <v>0</v>
      </c>
      <c r="AM914" t="s">
        <v>91</v>
      </c>
      <c r="AN914" t="s">
        <v>91</v>
      </c>
      <c r="AO914" t="s">
        <v>91</v>
      </c>
      <c r="AP914" t="s">
        <v>91</v>
      </c>
      <c r="AQ914" s="1" t="s">
        <v>91</v>
      </c>
      <c r="AR914" s="1" t="s">
        <v>91</v>
      </c>
      <c r="AS914" s="1" t="s">
        <v>91</v>
      </c>
      <c r="AT914" s="1" t="s">
        <v>91</v>
      </c>
      <c r="AU914" s="1" t="s">
        <v>91</v>
      </c>
      <c r="AV914" t="s">
        <v>91</v>
      </c>
      <c r="AW914" t="s">
        <v>91</v>
      </c>
      <c r="AX914" t="s">
        <v>91</v>
      </c>
      <c r="AY914" t="s">
        <v>91</v>
      </c>
      <c r="AZ914" t="s">
        <v>91</v>
      </c>
      <c r="BA914" t="s">
        <v>91</v>
      </c>
      <c r="BB914" s="2"/>
      <c r="BC914" s="2"/>
      <c r="BD914" t="s">
        <v>91</v>
      </c>
      <c r="BF914" s="1" t="s">
        <v>75</v>
      </c>
      <c r="BG914">
        <v>0</v>
      </c>
      <c r="BH914">
        <v>0</v>
      </c>
      <c r="BI914" s="1" t="s">
        <v>88</v>
      </c>
      <c r="BJ914">
        <v>1</v>
      </c>
      <c r="BK914" s="1" t="s">
        <v>89</v>
      </c>
      <c r="BL914" t="s">
        <v>91</v>
      </c>
      <c r="BM914" s="1" t="s">
        <v>329</v>
      </c>
      <c r="BN914" s="1" t="s">
        <v>110</v>
      </c>
      <c r="BO914" s="1" t="s">
        <v>1040</v>
      </c>
      <c r="BP914" s="1" t="s">
        <v>91</v>
      </c>
      <c r="BQ914" t="s">
        <v>91</v>
      </c>
      <c r="BR914" s="3"/>
      <c r="BS914" s="3"/>
      <c r="BT914" t="s">
        <v>91</v>
      </c>
      <c r="BU914" t="s">
        <v>91</v>
      </c>
      <c r="BV914">
        <v>9</v>
      </c>
      <c r="BW914" s="1" t="s">
        <v>601</v>
      </c>
    </row>
    <row r="915" spans="1:75" hidden="1" x14ac:dyDescent="0.35">
      <c r="A915">
        <v>144706</v>
      </c>
      <c r="B915" s="1" t="s">
        <v>75</v>
      </c>
      <c r="C915">
        <v>80</v>
      </c>
      <c r="D915">
        <v>11121002</v>
      </c>
      <c r="E915">
        <v>121002</v>
      </c>
      <c r="F915" s="1" t="s">
        <v>2915</v>
      </c>
      <c r="G915" s="1" t="s">
        <v>5161</v>
      </c>
      <c r="I915" s="1" t="s">
        <v>78</v>
      </c>
      <c r="J915" s="1" t="s">
        <v>5162</v>
      </c>
      <c r="K915" s="1" t="s">
        <v>5163</v>
      </c>
      <c r="L915" t="s">
        <v>91</v>
      </c>
      <c r="M915" t="s">
        <v>91</v>
      </c>
      <c r="N915" s="1" t="s">
        <v>5164</v>
      </c>
      <c r="O915" t="s">
        <v>91</v>
      </c>
      <c r="P915" s="1" t="s">
        <v>5165</v>
      </c>
      <c r="Q915" s="1" t="s">
        <v>5166</v>
      </c>
      <c r="R915" s="1" t="s">
        <v>173</v>
      </c>
      <c r="S915">
        <v>1336</v>
      </c>
      <c r="T915">
        <v>95580000</v>
      </c>
      <c r="U915" s="1" t="s">
        <v>108</v>
      </c>
      <c r="V915" s="1" t="s">
        <v>5167</v>
      </c>
      <c r="W915" s="1" t="s">
        <v>157</v>
      </c>
      <c r="X915">
        <v>51</v>
      </c>
      <c r="Y915">
        <v>36671000</v>
      </c>
      <c r="Z915" t="s">
        <v>91</v>
      </c>
      <c r="AA915" t="s">
        <v>91</v>
      </c>
      <c r="AB915" t="s">
        <v>91</v>
      </c>
      <c r="AC915" t="s">
        <v>91</v>
      </c>
      <c r="AD915" t="s">
        <v>91</v>
      </c>
      <c r="AE915" t="s">
        <v>91</v>
      </c>
      <c r="AF915" t="s">
        <v>91</v>
      </c>
      <c r="AG915" s="1" t="s">
        <v>91</v>
      </c>
      <c r="AH915" s="1" t="s">
        <v>91</v>
      </c>
      <c r="AI915" t="s">
        <v>91</v>
      </c>
      <c r="AJ915">
        <v>0</v>
      </c>
      <c r="AK915">
        <v>0</v>
      </c>
      <c r="AL915">
        <v>0</v>
      </c>
      <c r="AM915" t="s">
        <v>91</v>
      </c>
      <c r="AN915" t="s">
        <v>91</v>
      </c>
      <c r="AO915" t="s">
        <v>91</v>
      </c>
      <c r="AP915" t="s">
        <v>91</v>
      </c>
      <c r="AQ915" s="1" t="s">
        <v>91</v>
      </c>
      <c r="AR915" s="1" t="s">
        <v>91</v>
      </c>
      <c r="AS915" s="1" t="s">
        <v>91</v>
      </c>
      <c r="AT915" s="1" t="s">
        <v>91</v>
      </c>
      <c r="AU915" s="1" t="s">
        <v>91</v>
      </c>
      <c r="AV915" t="s">
        <v>91</v>
      </c>
      <c r="AW915" t="s">
        <v>91</v>
      </c>
      <c r="AX915" t="s">
        <v>91</v>
      </c>
      <c r="AY915" t="s">
        <v>91</v>
      </c>
      <c r="AZ915" t="s">
        <v>91</v>
      </c>
      <c r="BA915" t="s">
        <v>91</v>
      </c>
      <c r="BB915" s="2"/>
      <c r="BC915" s="2"/>
      <c r="BD915" t="s">
        <v>91</v>
      </c>
      <c r="BF915" s="1" t="s">
        <v>75</v>
      </c>
      <c r="BG915">
        <v>0</v>
      </c>
      <c r="BH915">
        <v>0</v>
      </c>
      <c r="BI915" s="1" t="s">
        <v>88</v>
      </c>
      <c r="BJ915">
        <v>1</v>
      </c>
      <c r="BK915" s="1" t="s">
        <v>89</v>
      </c>
      <c r="BL915" t="s">
        <v>91</v>
      </c>
      <c r="BM915" s="1" t="s">
        <v>109</v>
      </c>
      <c r="BN915" s="1" t="s">
        <v>110</v>
      </c>
      <c r="BO915" s="1" t="s">
        <v>111</v>
      </c>
      <c r="BP915" s="1" t="s">
        <v>91</v>
      </c>
      <c r="BQ915" t="s">
        <v>91</v>
      </c>
      <c r="BR915" s="3"/>
      <c r="BS915" s="3"/>
      <c r="BT915" t="s">
        <v>91</v>
      </c>
      <c r="BU915" t="s">
        <v>91</v>
      </c>
      <c r="BV915">
        <v>9</v>
      </c>
      <c r="BW915" s="1" t="s">
        <v>83</v>
      </c>
    </row>
    <row r="916" spans="1:75" hidden="1" x14ac:dyDescent="0.35">
      <c r="A916">
        <v>157700</v>
      </c>
      <c r="B916" s="1" t="s">
        <v>75</v>
      </c>
      <c r="C916">
        <v>80</v>
      </c>
      <c r="D916">
        <v>11121002</v>
      </c>
      <c r="E916">
        <v>121002</v>
      </c>
      <c r="F916" s="1" t="s">
        <v>2915</v>
      </c>
      <c r="G916" s="1" t="s">
        <v>5168</v>
      </c>
      <c r="H916">
        <v>0</v>
      </c>
      <c r="I916" s="1" t="s">
        <v>78</v>
      </c>
      <c r="J916" s="1" t="s">
        <v>5169</v>
      </c>
      <c r="K916" s="1" t="s">
        <v>5170</v>
      </c>
      <c r="L916" t="s">
        <v>91</v>
      </c>
      <c r="M916" t="s">
        <v>91</v>
      </c>
      <c r="N916" s="1" t="s">
        <v>5171</v>
      </c>
      <c r="O916" t="s">
        <v>91</v>
      </c>
      <c r="P916" s="1" t="s">
        <v>3718</v>
      </c>
      <c r="Q916" s="1" t="s">
        <v>189</v>
      </c>
      <c r="R916" s="1" t="s">
        <v>91</v>
      </c>
      <c r="S916">
        <v>1259</v>
      </c>
      <c r="T916">
        <v>88102100</v>
      </c>
      <c r="U916" s="1" t="s">
        <v>3015</v>
      </c>
      <c r="V916" s="1" t="s">
        <v>2958</v>
      </c>
      <c r="W916" s="1" t="s">
        <v>87</v>
      </c>
      <c r="Y916">
        <v>32479454</v>
      </c>
      <c r="Z916" t="s">
        <v>91</v>
      </c>
      <c r="AA916" t="s">
        <v>91</v>
      </c>
      <c r="AB916" t="s">
        <v>91</v>
      </c>
      <c r="AC916" t="s">
        <v>91</v>
      </c>
      <c r="AD916" t="s">
        <v>91</v>
      </c>
      <c r="AE916" t="s">
        <v>91</v>
      </c>
      <c r="AF916" t="s">
        <v>91</v>
      </c>
      <c r="AG916" s="1" t="s">
        <v>91</v>
      </c>
      <c r="AH916" s="1" t="s">
        <v>91</v>
      </c>
      <c r="AI916" t="s">
        <v>91</v>
      </c>
      <c r="AM916" t="s">
        <v>91</v>
      </c>
      <c r="AN916" t="s">
        <v>91</v>
      </c>
      <c r="AO916" t="s">
        <v>91</v>
      </c>
      <c r="AP916" t="s">
        <v>91</v>
      </c>
      <c r="AQ916" s="1" t="s">
        <v>91</v>
      </c>
      <c r="AR916" s="1" t="s">
        <v>91</v>
      </c>
      <c r="AS916" s="1" t="s">
        <v>91</v>
      </c>
      <c r="AT916" s="1" t="s">
        <v>91</v>
      </c>
      <c r="AU916" s="1" t="s">
        <v>91</v>
      </c>
      <c r="AV916" t="s">
        <v>91</v>
      </c>
      <c r="AW916" t="s">
        <v>91</v>
      </c>
      <c r="AX916" t="s">
        <v>91</v>
      </c>
      <c r="AY916" t="s">
        <v>91</v>
      </c>
      <c r="AZ916" t="s">
        <v>91</v>
      </c>
      <c r="BA916" t="s">
        <v>91</v>
      </c>
      <c r="BB916" s="2">
        <v>45118.097175925926</v>
      </c>
      <c r="BC916" s="2"/>
      <c r="BD916" t="s">
        <v>91</v>
      </c>
      <c r="BF916" s="1" t="s">
        <v>75</v>
      </c>
      <c r="BI916" s="1" t="s">
        <v>88</v>
      </c>
      <c r="BJ916">
        <v>1</v>
      </c>
      <c r="BK916" s="1" t="s">
        <v>89</v>
      </c>
      <c r="BL916" t="s">
        <v>91</v>
      </c>
      <c r="BM916" s="1" t="s">
        <v>91</v>
      </c>
      <c r="BN916" s="1" t="s">
        <v>91</v>
      </c>
      <c r="BO916" s="1" t="s">
        <v>91</v>
      </c>
      <c r="BP916" s="1" t="s">
        <v>91</v>
      </c>
      <c r="BQ916" t="s">
        <v>91</v>
      </c>
      <c r="BR916" s="3">
        <v>45118</v>
      </c>
      <c r="BS916" s="3"/>
      <c r="BT916" t="s">
        <v>91</v>
      </c>
      <c r="BU916" t="s">
        <v>91</v>
      </c>
      <c r="BW916" s="1" t="s">
        <v>90</v>
      </c>
    </row>
    <row r="917" spans="1:75" hidden="1" x14ac:dyDescent="0.35">
      <c r="A917">
        <v>144334</v>
      </c>
      <c r="B917" s="1" t="s">
        <v>75</v>
      </c>
      <c r="C917">
        <v>80</v>
      </c>
      <c r="D917">
        <v>11121002</v>
      </c>
      <c r="E917">
        <v>121002</v>
      </c>
      <c r="F917" s="1" t="s">
        <v>2915</v>
      </c>
      <c r="G917" s="1" t="s">
        <v>5172</v>
      </c>
      <c r="I917" s="1" t="s">
        <v>78</v>
      </c>
      <c r="J917" s="1" t="s">
        <v>5173</v>
      </c>
      <c r="K917" s="1" t="s">
        <v>5174</v>
      </c>
      <c r="L917" t="s">
        <v>91</v>
      </c>
      <c r="M917" t="s">
        <v>91</v>
      </c>
      <c r="N917" s="1" t="s">
        <v>5175</v>
      </c>
      <c r="O917" t="s">
        <v>91</v>
      </c>
      <c r="P917" s="1" t="s">
        <v>5176</v>
      </c>
      <c r="Q917" s="1" t="s">
        <v>5177</v>
      </c>
      <c r="R917" s="1" t="s">
        <v>91</v>
      </c>
      <c r="S917">
        <v>1268</v>
      </c>
      <c r="T917">
        <v>88730000</v>
      </c>
      <c r="U917" s="1" t="s">
        <v>108</v>
      </c>
      <c r="V917" s="1" t="s">
        <v>4975</v>
      </c>
      <c r="W917" s="1" t="s">
        <v>87</v>
      </c>
      <c r="X917">
        <v>48</v>
      </c>
      <c r="Y917">
        <v>36570198</v>
      </c>
      <c r="Z917" t="s">
        <v>91</v>
      </c>
      <c r="AA917" t="s">
        <v>91</v>
      </c>
      <c r="AB917" t="s">
        <v>91</v>
      </c>
      <c r="AC917" t="s">
        <v>91</v>
      </c>
      <c r="AD917" t="s">
        <v>91</v>
      </c>
      <c r="AE917" t="s">
        <v>91</v>
      </c>
      <c r="AF917" t="s">
        <v>91</v>
      </c>
      <c r="AG917" s="1" t="s">
        <v>91</v>
      </c>
      <c r="AH917" s="1" t="s">
        <v>91</v>
      </c>
      <c r="AI917" t="s">
        <v>91</v>
      </c>
      <c r="AJ917">
        <v>0</v>
      </c>
      <c r="AK917">
        <v>0</v>
      </c>
      <c r="AL917">
        <v>0</v>
      </c>
      <c r="AM917" t="s">
        <v>91</v>
      </c>
      <c r="AN917" t="s">
        <v>91</v>
      </c>
      <c r="AO917" t="s">
        <v>91</v>
      </c>
      <c r="AP917" t="s">
        <v>91</v>
      </c>
      <c r="AQ917" s="1" t="s">
        <v>91</v>
      </c>
      <c r="AR917" s="1" t="s">
        <v>91</v>
      </c>
      <c r="AS917" s="1" t="s">
        <v>91</v>
      </c>
      <c r="AT917" s="1" t="s">
        <v>91</v>
      </c>
      <c r="AU917" s="1" t="s">
        <v>91</v>
      </c>
      <c r="AV917" t="s">
        <v>91</v>
      </c>
      <c r="AW917" t="s">
        <v>91</v>
      </c>
      <c r="AX917" t="s">
        <v>91</v>
      </c>
      <c r="AY917" t="s">
        <v>91</v>
      </c>
      <c r="AZ917" t="s">
        <v>91</v>
      </c>
      <c r="BA917" t="s">
        <v>91</v>
      </c>
      <c r="BB917" s="2"/>
      <c r="BC917" s="2"/>
      <c r="BD917" t="s">
        <v>91</v>
      </c>
      <c r="BF917" s="1" t="s">
        <v>75</v>
      </c>
      <c r="BG917">
        <v>0</v>
      </c>
      <c r="BH917">
        <v>0</v>
      </c>
      <c r="BI917" s="1" t="s">
        <v>88</v>
      </c>
      <c r="BJ917">
        <v>1</v>
      </c>
      <c r="BK917" s="1" t="s">
        <v>89</v>
      </c>
      <c r="BL917" t="s">
        <v>91</v>
      </c>
      <c r="BM917" s="1" t="s">
        <v>109</v>
      </c>
      <c r="BN917" s="1" t="s">
        <v>110</v>
      </c>
      <c r="BO917" s="1" t="s">
        <v>128</v>
      </c>
      <c r="BP917" s="1" t="s">
        <v>91</v>
      </c>
      <c r="BQ917" t="s">
        <v>91</v>
      </c>
      <c r="BR917" s="3"/>
      <c r="BS917" s="3"/>
      <c r="BT917" t="s">
        <v>91</v>
      </c>
      <c r="BU917" t="s">
        <v>91</v>
      </c>
      <c r="BV917">
        <v>9</v>
      </c>
      <c r="BW917" s="1" t="s">
        <v>3218</v>
      </c>
    </row>
    <row r="918" spans="1:75" hidden="1" x14ac:dyDescent="0.35">
      <c r="A918">
        <v>1585</v>
      </c>
      <c r="B918" s="1" t="s">
        <v>75</v>
      </c>
      <c r="C918">
        <v>80</v>
      </c>
      <c r="D918">
        <v>11121002</v>
      </c>
      <c r="E918">
        <v>121002</v>
      </c>
      <c r="F918" s="1" t="s">
        <v>2915</v>
      </c>
      <c r="G918" s="1" t="s">
        <v>5178</v>
      </c>
      <c r="I918" s="1" t="s">
        <v>78</v>
      </c>
      <c r="J918" s="1" t="s">
        <v>5179</v>
      </c>
      <c r="K918" s="1" t="s">
        <v>5180</v>
      </c>
      <c r="L918" t="s">
        <v>91</v>
      </c>
      <c r="M918" t="s">
        <v>91</v>
      </c>
      <c r="N918" s="1" t="s">
        <v>5181</v>
      </c>
      <c r="O918" t="s">
        <v>91</v>
      </c>
      <c r="P918" s="1" t="s">
        <v>5182</v>
      </c>
      <c r="Q918" s="1" t="s">
        <v>312</v>
      </c>
      <c r="R918" s="1" t="s">
        <v>91</v>
      </c>
      <c r="S918">
        <v>1266</v>
      </c>
      <c r="T918">
        <v>88501000</v>
      </c>
      <c r="U918" s="1" t="s">
        <v>108</v>
      </c>
      <c r="V918" s="1" t="s">
        <v>3335</v>
      </c>
      <c r="W918" s="1" t="s">
        <v>87</v>
      </c>
      <c r="X918">
        <v>49</v>
      </c>
      <c r="Y918">
        <v>32231590</v>
      </c>
      <c r="Z918" t="s">
        <v>91</v>
      </c>
      <c r="AA918" t="s">
        <v>91</v>
      </c>
      <c r="AB918" t="s">
        <v>91</v>
      </c>
      <c r="AC918" t="s">
        <v>91</v>
      </c>
      <c r="AD918" t="s">
        <v>91</v>
      </c>
      <c r="AE918" t="s">
        <v>91</v>
      </c>
      <c r="AF918" t="s">
        <v>91</v>
      </c>
      <c r="AG918" s="1" t="s">
        <v>91</v>
      </c>
      <c r="AH918" s="1" t="s">
        <v>91</v>
      </c>
      <c r="AI918" t="s">
        <v>91</v>
      </c>
      <c r="AJ918">
        <v>0</v>
      </c>
      <c r="AK918">
        <v>0</v>
      </c>
      <c r="AL918">
        <v>0</v>
      </c>
      <c r="AM918" t="s">
        <v>91</v>
      </c>
      <c r="AN918" t="s">
        <v>91</v>
      </c>
      <c r="AO918" t="s">
        <v>91</v>
      </c>
      <c r="AP918" t="s">
        <v>91</v>
      </c>
      <c r="AQ918" s="1" t="s">
        <v>91</v>
      </c>
      <c r="AR918" s="1" t="s">
        <v>91</v>
      </c>
      <c r="AS918" s="1" t="s">
        <v>91</v>
      </c>
      <c r="AT918" s="1" t="s">
        <v>91</v>
      </c>
      <c r="AU918" s="1" t="s">
        <v>91</v>
      </c>
      <c r="AV918" t="s">
        <v>91</v>
      </c>
      <c r="AW918" t="s">
        <v>91</v>
      </c>
      <c r="AX918" t="s">
        <v>91</v>
      </c>
      <c r="AY918" t="s">
        <v>91</v>
      </c>
      <c r="AZ918" t="s">
        <v>91</v>
      </c>
      <c r="BA918" t="s">
        <v>91</v>
      </c>
      <c r="BB918" s="2">
        <v>43308.39335648148</v>
      </c>
      <c r="BC918" s="2"/>
      <c r="BD918" t="s">
        <v>91</v>
      </c>
      <c r="BE918">
        <v>1585</v>
      </c>
      <c r="BF918" s="1" t="s">
        <v>75</v>
      </c>
      <c r="BG918">
        <v>0</v>
      </c>
      <c r="BH918">
        <v>0</v>
      </c>
      <c r="BI918" s="1" t="s">
        <v>88</v>
      </c>
      <c r="BJ918">
        <v>1</v>
      </c>
      <c r="BK918" s="1" t="s">
        <v>89</v>
      </c>
      <c r="BL918" t="s">
        <v>91</v>
      </c>
      <c r="BM918" s="1" t="s">
        <v>109</v>
      </c>
      <c r="BN918" s="1" t="s">
        <v>110</v>
      </c>
      <c r="BO918" s="1" t="s">
        <v>165</v>
      </c>
      <c r="BP918" s="1" t="s">
        <v>91</v>
      </c>
      <c r="BQ918" t="s">
        <v>91</v>
      </c>
      <c r="BR918" s="3">
        <v>43308</v>
      </c>
      <c r="BS918" s="3"/>
      <c r="BT918" t="s">
        <v>91</v>
      </c>
      <c r="BU918" t="s">
        <v>91</v>
      </c>
      <c r="BV918">
        <v>5</v>
      </c>
      <c r="BW918" s="1" t="s">
        <v>665</v>
      </c>
    </row>
    <row r="919" spans="1:75" hidden="1" x14ac:dyDescent="0.35">
      <c r="A919">
        <v>157617</v>
      </c>
      <c r="B919" s="1" t="s">
        <v>75</v>
      </c>
      <c r="C919">
        <v>80</v>
      </c>
      <c r="D919">
        <v>11121002</v>
      </c>
      <c r="E919">
        <v>121002</v>
      </c>
      <c r="F919" s="1" t="s">
        <v>2915</v>
      </c>
      <c r="G919" s="1" t="s">
        <v>5183</v>
      </c>
      <c r="H919">
        <v>0</v>
      </c>
      <c r="I919" s="1" t="s">
        <v>78</v>
      </c>
      <c r="J919" s="1" t="s">
        <v>5184</v>
      </c>
      <c r="K919" s="1" t="s">
        <v>5185</v>
      </c>
      <c r="L919" t="s">
        <v>91</v>
      </c>
      <c r="M919" t="s">
        <v>91</v>
      </c>
      <c r="N919" s="1" t="s">
        <v>5186</v>
      </c>
      <c r="O919" t="s">
        <v>91</v>
      </c>
      <c r="P919" s="1" t="s">
        <v>4174</v>
      </c>
      <c r="Q919" s="1" t="s">
        <v>5187</v>
      </c>
      <c r="R919" s="1" t="s">
        <v>4141</v>
      </c>
      <c r="S919">
        <v>1266</v>
      </c>
      <c r="T919">
        <v>88502170</v>
      </c>
      <c r="U919" s="1" t="s">
        <v>108</v>
      </c>
      <c r="V919" s="1" t="s">
        <v>3335</v>
      </c>
      <c r="W919" s="1" t="s">
        <v>87</v>
      </c>
      <c r="X919">
        <v>49</v>
      </c>
      <c r="Y919">
        <v>30180931</v>
      </c>
      <c r="Z919" t="s">
        <v>91</v>
      </c>
      <c r="AA919" t="s">
        <v>91</v>
      </c>
      <c r="AB919" t="s">
        <v>91</v>
      </c>
      <c r="AC919" t="s">
        <v>91</v>
      </c>
      <c r="AD919" t="s">
        <v>91</v>
      </c>
      <c r="AE919" t="s">
        <v>91</v>
      </c>
      <c r="AF919" t="s">
        <v>91</v>
      </c>
      <c r="AG919" s="1" t="s">
        <v>91</v>
      </c>
      <c r="AH919" s="1" t="s">
        <v>91</v>
      </c>
      <c r="AI919" t="s">
        <v>91</v>
      </c>
      <c r="AM919" t="s">
        <v>91</v>
      </c>
      <c r="AN919" t="s">
        <v>91</v>
      </c>
      <c r="AO919" t="s">
        <v>91</v>
      </c>
      <c r="AP919" t="s">
        <v>91</v>
      </c>
      <c r="AQ919" s="1" t="s">
        <v>91</v>
      </c>
      <c r="AR919" s="1" t="s">
        <v>91</v>
      </c>
      <c r="AS919" s="1" t="s">
        <v>91</v>
      </c>
      <c r="AT919" s="1" t="s">
        <v>91</v>
      </c>
      <c r="AU919" s="1" t="s">
        <v>91</v>
      </c>
      <c r="AV919" t="s">
        <v>91</v>
      </c>
      <c r="AW919" t="s">
        <v>91</v>
      </c>
      <c r="AX919" t="s">
        <v>91</v>
      </c>
      <c r="AY919" t="s">
        <v>91</v>
      </c>
      <c r="AZ919" t="s">
        <v>91</v>
      </c>
      <c r="BA919" t="s">
        <v>91</v>
      </c>
      <c r="BB919" s="2">
        <v>45118.097175925926</v>
      </c>
      <c r="BC919" s="2"/>
      <c r="BD919" t="s">
        <v>91</v>
      </c>
      <c r="BF919" s="1" t="s">
        <v>75</v>
      </c>
      <c r="BI919" s="1" t="s">
        <v>88</v>
      </c>
      <c r="BJ919">
        <v>1</v>
      </c>
      <c r="BK919" s="1" t="s">
        <v>89</v>
      </c>
      <c r="BL919" t="s">
        <v>91</v>
      </c>
      <c r="BM919" s="1" t="s">
        <v>91</v>
      </c>
      <c r="BN919" s="1" t="s">
        <v>91</v>
      </c>
      <c r="BO919" s="1" t="s">
        <v>91</v>
      </c>
      <c r="BP919" s="1" t="s">
        <v>91</v>
      </c>
      <c r="BQ919" t="s">
        <v>91</v>
      </c>
      <c r="BR919" s="3">
        <v>45118</v>
      </c>
      <c r="BS919" s="3"/>
      <c r="BT919" t="s">
        <v>91</v>
      </c>
      <c r="BU919" t="s">
        <v>91</v>
      </c>
      <c r="BW919" s="1" t="s">
        <v>90</v>
      </c>
    </row>
    <row r="920" spans="1:75" hidden="1" x14ac:dyDescent="0.35">
      <c r="A920">
        <v>118690</v>
      </c>
      <c r="B920" s="1" t="s">
        <v>75</v>
      </c>
      <c r="C920">
        <v>80</v>
      </c>
      <c r="D920">
        <v>11121002</v>
      </c>
      <c r="E920">
        <v>121002</v>
      </c>
      <c r="F920" s="1" t="s">
        <v>2915</v>
      </c>
      <c r="G920" s="1" t="s">
        <v>5188</v>
      </c>
      <c r="I920" s="1" t="s">
        <v>78</v>
      </c>
      <c r="J920" s="1" t="s">
        <v>5189</v>
      </c>
      <c r="K920" s="1" t="s">
        <v>5190</v>
      </c>
      <c r="L920" t="s">
        <v>91</v>
      </c>
      <c r="M920" t="s">
        <v>91</v>
      </c>
      <c r="N920" s="1" t="s">
        <v>5191</v>
      </c>
      <c r="O920" t="s">
        <v>91</v>
      </c>
      <c r="P920" s="1" t="s">
        <v>5192</v>
      </c>
      <c r="Q920" s="1" t="s">
        <v>5193</v>
      </c>
      <c r="R920" s="1" t="s">
        <v>370</v>
      </c>
      <c r="S920">
        <v>1269</v>
      </c>
      <c r="T920">
        <v>88880000</v>
      </c>
      <c r="U920" s="1" t="s">
        <v>108</v>
      </c>
      <c r="V920" s="1" t="s">
        <v>5194</v>
      </c>
      <c r="W920" s="1" t="s">
        <v>87</v>
      </c>
      <c r="X920">
        <v>48</v>
      </c>
      <c r="Y920">
        <v>34643071</v>
      </c>
      <c r="Z920" t="s">
        <v>91</v>
      </c>
      <c r="AA920" t="s">
        <v>91</v>
      </c>
      <c r="AB920" t="s">
        <v>91</v>
      </c>
      <c r="AC920" t="s">
        <v>91</v>
      </c>
      <c r="AD920" t="s">
        <v>91</v>
      </c>
      <c r="AE920" t="s">
        <v>91</v>
      </c>
      <c r="AF920" t="s">
        <v>91</v>
      </c>
      <c r="AG920" s="1" t="s">
        <v>91</v>
      </c>
      <c r="AH920" s="1" t="s">
        <v>91</v>
      </c>
      <c r="AI920" t="s">
        <v>91</v>
      </c>
      <c r="AJ920">
        <v>0</v>
      </c>
      <c r="AK920">
        <v>0</v>
      </c>
      <c r="AL920">
        <v>0</v>
      </c>
      <c r="AM920" t="s">
        <v>91</v>
      </c>
      <c r="AN920" t="s">
        <v>91</v>
      </c>
      <c r="AO920" t="s">
        <v>91</v>
      </c>
      <c r="AP920" t="s">
        <v>91</v>
      </c>
      <c r="AQ920" s="1" t="s">
        <v>91</v>
      </c>
      <c r="AR920" s="1" t="s">
        <v>91</v>
      </c>
      <c r="AS920" s="1" t="s">
        <v>91</v>
      </c>
      <c r="AT920" s="1" t="s">
        <v>91</v>
      </c>
      <c r="AU920" s="1" t="s">
        <v>91</v>
      </c>
      <c r="AV920" t="s">
        <v>91</v>
      </c>
      <c r="AW920" t="s">
        <v>91</v>
      </c>
      <c r="AX920" t="s">
        <v>91</v>
      </c>
      <c r="AY920" t="s">
        <v>91</v>
      </c>
      <c r="AZ920" t="s">
        <v>91</v>
      </c>
      <c r="BA920" t="s">
        <v>91</v>
      </c>
      <c r="BB920" s="2"/>
      <c r="BC920" s="2"/>
      <c r="BD920" t="s">
        <v>91</v>
      </c>
      <c r="BF920" s="1" t="s">
        <v>75</v>
      </c>
      <c r="BG920">
        <v>0</v>
      </c>
      <c r="BH920">
        <v>0</v>
      </c>
      <c r="BI920" s="1" t="s">
        <v>88</v>
      </c>
      <c r="BJ920">
        <v>1</v>
      </c>
      <c r="BK920" s="1" t="s">
        <v>89</v>
      </c>
      <c r="BL920" t="s">
        <v>91</v>
      </c>
      <c r="BM920" s="1" t="s">
        <v>109</v>
      </c>
      <c r="BN920" s="1" t="s">
        <v>110</v>
      </c>
      <c r="BO920" s="1" t="s">
        <v>128</v>
      </c>
      <c r="BP920" s="1" t="s">
        <v>91</v>
      </c>
      <c r="BQ920" t="s">
        <v>91</v>
      </c>
      <c r="BR920" s="3"/>
      <c r="BS920" s="3"/>
      <c r="BT920" t="s">
        <v>91</v>
      </c>
      <c r="BU920" t="s">
        <v>91</v>
      </c>
      <c r="BV920">
        <v>9</v>
      </c>
      <c r="BW920" s="1" t="s">
        <v>1899</v>
      </c>
    </row>
    <row r="921" spans="1:75" hidden="1" x14ac:dyDescent="0.35">
      <c r="A921">
        <v>144631</v>
      </c>
      <c r="B921" s="1" t="s">
        <v>75</v>
      </c>
      <c r="C921">
        <v>80</v>
      </c>
      <c r="D921">
        <v>11121002</v>
      </c>
      <c r="E921">
        <v>121002</v>
      </c>
      <c r="F921" s="1" t="s">
        <v>2915</v>
      </c>
      <c r="G921" s="1" t="s">
        <v>5195</v>
      </c>
      <c r="I921" s="1" t="s">
        <v>78</v>
      </c>
      <c r="J921" s="1" t="s">
        <v>5196</v>
      </c>
      <c r="K921" s="1" t="s">
        <v>5197</v>
      </c>
      <c r="L921" t="s">
        <v>91</v>
      </c>
      <c r="M921" t="s">
        <v>91</v>
      </c>
      <c r="N921" s="1" t="s">
        <v>5198</v>
      </c>
      <c r="O921" t="s">
        <v>91</v>
      </c>
      <c r="P921" s="1" t="s">
        <v>5199</v>
      </c>
      <c r="Q921" s="1" t="s">
        <v>5200</v>
      </c>
      <c r="R921" s="1" t="s">
        <v>3846</v>
      </c>
      <c r="S921">
        <v>1336</v>
      </c>
      <c r="T921">
        <v>95560000</v>
      </c>
      <c r="U921" s="1" t="s">
        <v>108</v>
      </c>
      <c r="V921" s="1" t="s">
        <v>3038</v>
      </c>
      <c r="W921" s="1" t="s">
        <v>157</v>
      </c>
      <c r="X921">
        <v>51</v>
      </c>
      <c r="Y921">
        <v>36643432</v>
      </c>
      <c r="Z921" t="s">
        <v>91</v>
      </c>
      <c r="AA921" t="s">
        <v>91</v>
      </c>
      <c r="AB921" t="s">
        <v>91</v>
      </c>
      <c r="AC921" t="s">
        <v>91</v>
      </c>
      <c r="AD921" t="s">
        <v>91</v>
      </c>
      <c r="AE921" t="s">
        <v>91</v>
      </c>
      <c r="AF921" t="s">
        <v>91</v>
      </c>
      <c r="AG921" s="1" t="s">
        <v>91</v>
      </c>
      <c r="AH921" s="1" t="s">
        <v>91</v>
      </c>
      <c r="AI921" t="s">
        <v>91</v>
      </c>
      <c r="AJ921">
        <v>0</v>
      </c>
      <c r="AK921">
        <v>0</v>
      </c>
      <c r="AL921">
        <v>0</v>
      </c>
      <c r="AM921" t="s">
        <v>91</v>
      </c>
      <c r="AN921" t="s">
        <v>91</v>
      </c>
      <c r="AO921" t="s">
        <v>91</v>
      </c>
      <c r="AP921" t="s">
        <v>91</v>
      </c>
      <c r="AQ921" s="1" t="s">
        <v>91</v>
      </c>
      <c r="AR921" s="1" t="s">
        <v>91</v>
      </c>
      <c r="AS921" s="1" t="s">
        <v>91</v>
      </c>
      <c r="AT921" s="1" t="s">
        <v>91</v>
      </c>
      <c r="AU921" s="1" t="s">
        <v>91</v>
      </c>
      <c r="AV921" t="s">
        <v>91</v>
      </c>
      <c r="AW921" t="s">
        <v>91</v>
      </c>
      <c r="AX921" t="s">
        <v>91</v>
      </c>
      <c r="AY921" t="s">
        <v>91</v>
      </c>
      <c r="AZ921" t="s">
        <v>91</v>
      </c>
      <c r="BA921" t="s">
        <v>91</v>
      </c>
      <c r="BB921" s="2"/>
      <c r="BC921" s="2"/>
      <c r="BD921" t="s">
        <v>91</v>
      </c>
      <c r="BF921" s="1" t="s">
        <v>75</v>
      </c>
      <c r="BG921">
        <v>0</v>
      </c>
      <c r="BH921">
        <v>0</v>
      </c>
      <c r="BI921" s="1" t="s">
        <v>88</v>
      </c>
      <c r="BJ921">
        <v>1</v>
      </c>
      <c r="BK921" s="1" t="s">
        <v>89</v>
      </c>
      <c r="BL921" t="s">
        <v>91</v>
      </c>
      <c r="BM921" s="1" t="s">
        <v>109</v>
      </c>
      <c r="BN921" s="1" t="s">
        <v>110</v>
      </c>
      <c r="BO921" s="1" t="s">
        <v>128</v>
      </c>
      <c r="BP921" s="1" t="s">
        <v>91</v>
      </c>
      <c r="BQ921" t="s">
        <v>91</v>
      </c>
      <c r="BR921" s="3"/>
      <c r="BS921" s="3"/>
      <c r="BT921" t="s">
        <v>91</v>
      </c>
      <c r="BU921" t="s">
        <v>91</v>
      </c>
      <c r="BV921">
        <v>9</v>
      </c>
      <c r="BW921" s="1" t="s">
        <v>1211</v>
      </c>
    </row>
    <row r="922" spans="1:75" hidden="1" x14ac:dyDescent="0.35">
      <c r="A922">
        <v>134550</v>
      </c>
      <c r="B922" s="1" t="s">
        <v>75</v>
      </c>
      <c r="C922">
        <v>80</v>
      </c>
      <c r="D922">
        <v>11121002</v>
      </c>
      <c r="E922">
        <v>121002</v>
      </c>
      <c r="F922" s="1" t="s">
        <v>2915</v>
      </c>
      <c r="G922" s="1" t="s">
        <v>5201</v>
      </c>
      <c r="I922" s="1" t="s">
        <v>78</v>
      </c>
      <c r="J922" s="1" t="s">
        <v>5202</v>
      </c>
      <c r="K922" s="1" t="s">
        <v>5203</v>
      </c>
      <c r="L922" t="s">
        <v>91</v>
      </c>
      <c r="M922" t="s">
        <v>91</v>
      </c>
      <c r="N922" s="1" t="s">
        <v>5204</v>
      </c>
      <c r="O922" t="s">
        <v>91</v>
      </c>
      <c r="P922" s="1" t="s">
        <v>5205</v>
      </c>
      <c r="Q922" s="1" t="s">
        <v>1496</v>
      </c>
      <c r="R922" s="1" t="s">
        <v>5206</v>
      </c>
      <c r="T922">
        <v>88132000</v>
      </c>
      <c r="U922" s="1" t="s">
        <v>3461</v>
      </c>
      <c r="V922" s="1" t="s">
        <v>3165</v>
      </c>
      <c r="W922" s="1" t="s">
        <v>87</v>
      </c>
      <c r="X922">
        <v>48</v>
      </c>
      <c r="Y922">
        <v>33444255</v>
      </c>
      <c r="Z922" t="s">
        <v>91</v>
      </c>
      <c r="AA922" t="s">
        <v>91</v>
      </c>
      <c r="AB922" t="s">
        <v>91</v>
      </c>
      <c r="AC922" t="s">
        <v>91</v>
      </c>
      <c r="AD922" t="s">
        <v>91</v>
      </c>
      <c r="AE922" t="s">
        <v>91</v>
      </c>
      <c r="AF922" t="s">
        <v>91</v>
      </c>
      <c r="AG922" s="1" t="s">
        <v>146</v>
      </c>
      <c r="AH922" s="1" t="s">
        <v>91</v>
      </c>
      <c r="AI922" t="s">
        <v>91</v>
      </c>
      <c r="AM922" t="s">
        <v>91</v>
      </c>
      <c r="AN922" t="s">
        <v>91</v>
      </c>
      <c r="AO922" t="s">
        <v>91</v>
      </c>
      <c r="AP922" t="s">
        <v>91</v>
      </c>
      <c r="AQ922" s="1" t="s">
        <v>147</v>
      </c>
      <c r="AR922" s="1" t="s">
        <v>147</v>
      </c>
      <c r="AS922" s="1" t="s">
        <v>147</v>
      </c>
      <c r="AT922" s="1" t="s">
        <v>147</v>
      </c>
      <c r="AU922" s="1" t="s">
        <v>147</v>
      </c>
      <c r="AV922" t="s">
        <v>91</v>
      </c>
      <c r="AW922" t="s">
        <v>91</v>
      </c>
      <c r="AX922" t="s">
        <v>91</v>
      </c>
      <c r="AY922" t="s">
        <v>91</v>
      </c>
      <c r="AZ922" t="s">
        <v>91</v>
      </c>
      <c r="BA922" t="s">
        <v>91</v>
      </c>
      <c r="BB922" s="2"/>
      <c r="BC922" s="2">
        <v>44685.451550925929</v>
      </c>
      <c r="BD922" t="s">
        <v>91</v>
      </c>
      <c r="BF922" s="1" t="s">
        <v>75</v>
      </c>
      <c r="BH922">
        <v>0</v>
      </c>
      <c r="BI922" s="1" t="s">
        <v>88</v>
      </c>
      <c r="BJ922">
        <v>1</v>
      </c>
      <c r="BK922" s="1" t="s">
        <v>89</v>
      </c>
      <c r="BL922" t="s">
        <v>91</v>
      </c>
      <c r="BM922" s="1" t="s">
        <v>109</v>
      </c>
      <c r="BN922" s="1" t="s">
        <v>110</v>
      </c>
      <c r="BO922" s="1" t="s">
        <v>180</v>
      </c>
      <c r="BP922" s="1" t="s">
        <v>91</v>
      </c>
      <c r="BQ922" t="s">
        <v>91</v>
      </c>
      <c r="BR922" s="3"/>
      <c r="BS922" s="3">
        <v>44685</v>
      </c>
      <c r="BT922" t="s">
        <v>91</v>
      </c>
      <c r="BU922" t="s">
        <v>91</v>
      </c>
      <c r="BW922" s="1" t="s">
        <v>1254</v>
      </c>
    </row>
    <row r="923" spans="1:75" hidden="1" x14ac:dyDescent="0.35">
      <c r="A923">
        <v>1616</v>
      </c>
      <c r="B923" s="1" t="s">
        <v>75</v>
      </c>
      <c r="C923">
        <v>80</v>
      </c>
      <c r="D923">
        <v>11121002</v>
      </c>
      <c r="E923">
        <v>121002</v>
      </c>
      <c r="F923" s="1" t="s">
        <v>2915</v>
      </c>
      <c r="G923" s="1" t="s">
        <v>5207</v>
      </c>
      <c r="I923" s="1" t="s">
        <v>78</v>
      </c>
      <c r="J923" s="1" t="s">
        <v>5208</v>
      </c>
      <c r="K923" s="1" t="s">
        <v>5209</v>
      </c>
      <c r="L923" t="s">
        <v>91</v>
      </c>
      <c r="M923" t="s">
        <v>91</v>
      </c>
      <c r="N923" s="1" t="s">
        <v>5210</v>
      </c>
      <c r="O923" t="s">
        <v>91</v>
      </c>
      <c r="P923" s="1" t="s">
        <v>5211</v>
      </c>
      <c r="Q923" s="1" t="s">
        <v>4589</v>
      </c>
      <c r="R923" s="1" t="s">
        <v>91</v>
      </c>
      <c r="S923">
        <v>1266</v>
      </c>
      <c r="T923">
        <v>88502000</v>
      </c>
      <c r="U923" s="1" t="s">
        <v>108</v>
      </c>
      <c r="V923" s="1" t="s">
        <v>3335</v>
      </c>
      <c r="W923" s="1" t="s">
        <v>87</v>
      </c>
      <c r="X923">
        <v>49</v>
      </c>
      <c r="Y923">
        <v>32232388</v>
      </c>
      <c r="Z923" t="s">
        <v>91</v>
      </c>
      <c r="AA923" t="s">
        <v>91</v>
      </c>
      <c r="AB923" t="s">
        <v>91</v>
      </c>
      <c r="AC923" t="s">
        <v>91</v>
      </c>
      <c r="AD923" t="s">
        <v>91</v>
      </c>
      <c r="AE923" t="s">
        <v>91</v>
      </c>
      <c r="AF923" t="s">
        <v>91</v>
      </c>
      <c r="AG923" s="1" t="s">
        <v>91</v>
      </c>
      <c r="AH923" s="1" t="s">
        <v>91</v>
      </c>
      <c r="AI923" t="s">
        <v>91</v>
      </c>
      <c r="AJ923">
        <v>0</v>
      </c>
      <c r="AK923">
        <v>0</v>
      </c>
      <c r="AL923">
        <v>0</v>
      </c>
      <c r="AM923" t="s">
        <v>91</v>
      </c>
      <c r="AN923" t="s">
        <v>91</v>
      </c>
      <c r="AO923" t="s">
        <v>91</v>
      </c>
      <c r="AP923" t="s">
        <v>91</v>
      </c>
      <c r="AQ923" s="1" t="s">
        <v>91</v>
      </c>
      <c r="AR923" s="1" t="s">
        <v>91</v>
      </c>
      <c r="AS923" s="1" t="s">
        <v>91</v>
      </c>
      <c r="AT923" s="1" t="s">
        <v>91</v>
      </c>
      <c r="AU923" s="1" t="s">
        <v>91</v>
      </c>
      <c r="AV923" t="s">
        <v>91</v>
      </c>
      <c r="AW923" t="s">
        <v>91</v>
      </c>
      <c r="AX923" t="s">
        <v>91</v>
      </c>
      <c r="AY923" t="s">
        <v>91</v>
      </c>
      <c r="AZ923" t="s">
        <v>91</v>
      </c>
      <c r="BA923" t="s">
        <v>91</v>
      </c>
      <c r="BB923" s="2">
        <v>43308.393379629626</v>
      </c>
      <c r="BC923" s="2"/>
      <c r="BD923" t="s">
        <v>91</v>
      </c>
      <c r="BE923">
        <v>1616</v>
      </c>
      <c r="BF923" s="1" t="s">
        <v>75</v>
      </c>
      <c r="BG923">
        <v>0</v>
      </c>
      <c r="BH923">
        <v>0</v>
      </c>
      <c r="BI923" s="1" t="s">
        <v>88</v>
      </c>
      <c r="BJ923">
        <v>1</v>
      </c>
      <c r="BK923" s="1" t="s">
        <v>89</v>
      </c>
      <c r="BL923" t="s">
        <v>91</v>
      </c>
      <c r="BM923" s="1" t="s">
        <v>164</v>
      </c>
      <c r="BN923" s="1" t="s">
        <v>110</v>
      </c>
      <c r="BO923" s="1" t="s">
        <v>165</v>
      </c>
      <c r="BP923" s="1" t="s">
        <v>91</v>
      </c>
      <c r="BQ923" t="s">
        <v>91</v>
      </c>
      <c r="BR923" s="3">
        <v>43308</v>
      </c>
      <c r="BS923" s="3"/>
      <c r="BT923" t="s">
        <v>91</v>
      </c>
      <c r="BU923" t="s">
        <v>91</v>
      </c>
      <c r="BV923">
        <v>1</v>
      </c>
      <c r="BW923" s="1" t="s">
        <v>90</v>
      </c>
    </row>
    <row r="924" spans="1:75" hidden="1" x14ac:dyDescent="0.35">
      <c r="A924">
        <v>157630</v>
      </c>
      <c r="B924" s="1" t="s">
        <v>75</v>
      </c>
      <c r="C924">
        <v>80</v>
      </c>
      <c r="D924">
        <v>11121002</v>
      </c>
      <c r="E924">
        <v>121002</v>
      </c>
      <c r="F924" s="1" t="s">
        <v>2915</v>
      </c>
      <c r="G924" s="1" t="s">
        <v>5212</v>
      </c>
      <c r="H924">
        <v>0</v>
      </c>
      <c r="I924" s="1" t="s">
        <v>78</v>
      </c>
      <c r="J924" s="1" t="s">
        <v>5213</v>
      </c>
      <c r="K924" s="1" t="s">
        <v>5214</v>
      </c>
      <c r="L924" t="s">
        <v>91</v>
      </c>
      <c r="M924" t="s">
        <v>91</v>
      </c>
      <c r="N924" s="1" t="s">
        <v>5215</v>
      </c>
      <c r="O924" t="s">
        <v>91</v>
      </c>
      <c r="P924" s="1" t="s">
        <v>5216</v>
      </c>
      <c r="Q924" s="1" t="s">
        <v>5217</v>
      </c>
      <c r="R924" s="1" t="s">
        <v>5218</v>
      </c>
      <c r="S924">
        <v>1266</v>
      </c>
      <c r="T924">
        <v>88523000</v>
      </c>
      <c r="U924" s="1" t="s">
        <v>3563</v>
      </c>
      <c r="V924" s="1" t="s">
        <v>3335</v>
      </c>
      <c r="W924" s="1" t="s">
        <v>87</v>
      </c>
      <c r="X924">
        <v>49</v>
      </c>
      <c r="Y924">
        <v>32236652</v>
      </c>
      <c r="Z924" t="s">
        <v>91</v>
      </c>
      <c r="AA924" t="s">
        <v>91</v>
      </c>
      <c r="AB924" t="s">
        <v>91</v>
      </c>
      <c r="AC924" t="s">
        <v>91</v>
      </c>
      <c r="AD924" t="s">
        <v>91</v>
      </c>
      <c r="AE924" t="s">
        <v>91</v>
      </c>
      <c r="AF924" t="s">
        <v>91</v>
      </c>
      <c r="AG924" s="1" t="s">
        <v>91</v>
      </c>
      <c r="AH924" s="1" t="s">
        <v>91</v>
      </c>
      <c r="AI924" t="s">
        <v>91</v>
      </c>
      <c r="AM924" t="s">
        <v>91</v>
      </c>
      <c r="AN924" t="s">
        <v>91</v>
      </c>
      <c r="AO924" t="s">
        <v>91</v>
      </c>
      <c r="AP924" t="s">
        <v>91</v>
      </c>
      <c r="AQ924" s="1" t="s">
        <v>91</v>
      </c>
      <c r="AR924" s="1" t="s">
        <v>91</v>
      </c>
      <c r="AS924" s="1" t="s">
        <v>91</v>
      </c>
      <c r="AT924" s="1" t="s">
        <v>91</v>
      </c>
      <c r="AU924" s="1" t="s">
        <v>91</v>
      </c>
      <c r="AV924" t="s">
        <v>91</v>
      </c>
      <c r="AW924" t="s">
        <v>91</v>
      </c>
      <c r="AX924" t="s">
        <v>91</v>
      </c>
      <c r="AY924" t="s">
        <v>91</v>
      </c>
      <c r="AZ924" t="s">
        <v>91</v>
      </c>
      <c r="BA924" t="s">
        <v>91</v>
      </c>
      <c r="BB924" s="2">
        <v>45118.097175925926</v>
      </c>
      <c r="BC924" s="2"/>
      <c r="BD924" t="s">
        <v>91</v>
      </c>
      <c r="BF924" s="1" t="s">
        <v>75</v>
      </c>
      <c r="BI924" s="1" t="s">
        <v>88</v>
      </c>
      <c r="BJ924">
        <v>1</v>
      </c>
      <c r="BK924" s="1" t="s">
        <v>89</v>
      </c>
      <c r="BL924" t="s">
        <v>91</v>
      </c>
      <c r="BM924" s="1" t="s">
        <v>91</v>
      </c>
      <c r="BN924" s="1" t="s">
        <v>91</v>
      </c>
      <c r="BO924" s="1" t="s">
        <v>91</v>
      </c>
      <c r="BP924" s="1" t="s">
        <v>91</v>
      </c>
      <c r="BQ924" t="s">
        <v>91</v>
      </c>
      <c r="BR924" s="3">
        <v>45118</v>
      </c>
      <c r="BS924" s="3"/>
      <c r="BT924" t="s">
        <v>91</v>
      </c>
      <c r="BU924" t="s">
        <v>91</v>
      </c>
      <c r="BW924" s="1" t="s">
        <v>90</v>
      </c>
    </row>
    <row r="925" spans="1:75" hidden="1" x14ac:dyDescent="0.35">
      <c r="A925">
        <v>118689</v>
      </c>
      <c r="B925" s="1" t="s">
        <v>75</v>
      </c>
      <c r="C925">
        <v>80</v>
      </c>
      <c r="D925">
        <v>11121002</v>
      </c>
      <c r="E925">
        <v>121002</v>
      </c>
      <c r="F925" s="1" t="s">
        <v>2915</v>
      </c>
      <c r="G925" s="1" t="s">
        <v>5219</v>
      </c>
      <c r="I925" s="1" t="s">
        <v>78</v>
      </c>
      <c r="J925" s="1" t="s">
        <v>5220</v>
      </c>
      <c r="K925" s="1" t="s">
        <v>5221</v>
      </c>
      <c r="L925" t="s">
        <v>91</v>
      </c>
      <c r="M925" t="s">
        <v>91</v>
      </c>
      <c r="N925" s="1" t="s">
        <v>5222</v>
      </c>
      <c r="O925" t="s">
        <v>91</v>
      </c>
      <c r="P925" s="1" t="s">
        <v>5223</v>
      </c>
      <c r="Q925" s="1" t="s">
        <v>5224</v>
      </c>
      <c r="R925" s="1" t="s">
        <v>518</v>
      </c>
      <c r="S925">
        <v>1268</v>
      </c>
      <c r="T925">
        <v>88701302</v>
      </c>
      <c r="U925" s="1" t="s">
        <v>5225</v>
      </c>
      <c r="V925" s="1" t="s">
        <v>3059</v>
      </c>
      <c r="W925" s="1" t="s">
        <v>87</v>
      </c>
      <c r="X925">
        <v>48</v>
      </c>
      <c r="Y925">
        <v>36326298</v>
      </c>
      <c r="Z925" t="s">
        <v>91</v>
      </c>
      <c r="AA925" t="s">
        <v>91</v>
      </c>
      <c r="AB925" t="s">
        <v>91</v>
      </c>
      <c r="AC925" t="s">
        <v>91</v>
      </c>
      <c r="AD925" t="s">
        <v>91</v>
      </c>
      <c r="AE925" t="s">
        <v>91</v>
      </c>
      <c r="AF925" t="s">
        <v>91</v>
      </c>
      <c r="AG925" s="1" t="s">
        <v>91</v>
      </c>
      <c r="AH925" s="1" t="s">
        <v>91</v>
      </c>
      <c r="AI925" t="s">
        <v>91</v>
      </c>
      <c r="AJ925">
        <v>0</v>
      </c>
      <c r="AK925">
        <v>0</v>
      </c>
      <c r="AL925">
        <v>0</v>
      </c>
      <c r="AM925" t="s">
        <v>91</v>
      </c>
      <c r="AN925" t="s">
        <v>91</v>
      </c>
      <c r="AO925" t="s">
        <v>91</v>
      </c>
      <c r="AP925" t="s">
        <v>91</v>
      </c>
      <c r="AQ925" s="1" t="s">
        <v>91</v>
      </c>
      <c r="AR925" s="1" t="s">
        <v>91</v>
      </c>
      <c r="AS925" s="1" t="s">
        <v>91</v>
      </c>
      <c r="AT925" s="1" t="s">
        <v>91</v>
      </c>
      <c r="AU925" s="1" t="s">
        <v>91</v>
      </c>
      <c r="AV925" t="s">
        <v>91</v>
      </c>
      <c r="AW925" t="s">
        <v>91</v>
      </c>
      <c r="AX925" t="s">
        <v>91</v>
      </c>
      <c r="AY925" t="s">
        <v>91</v>
      </c>
      <c r="AZ925" t="s">
        <v>91</v>
      </c>
      <c r="BA925" t="s">
        <v>91</v>
      </c>
      <c r="BB925" s="2"/>
      <c r="BC925" s="2"/>
      <c r="BD925" t="s">
        <v>91</v>
      </c>
      <c r="BF925" s="1" t="s">
        <v>75</v>
      </c>
      <c r="BG925">
        <v>0</v>
      </c>
      <c r="BH925">
        <v>0</v>
      </c>
      <c r="BI925" s="1" t="s">
        <v>88</v>
      </c>
      <c r="BJ925">
        <v>1</v>
      </c>
      <c r="BK925" s="1" t="s">
        <v>89</v>
      </c>
      <c r="BL925" t="s">
        <v>91</v>
      </c>
      <c r="BM925" s="1" t="s">
        <v>109</v>
      </c>
      <c r="BN925" s="1" t="s">
        <v>110</v>
      </c>
      <c r="BO925" s="1" t="s">
        <v>128</v>
      </c>
      <c r="BP925" s="1" t="s">
        <v>91</v>
      </c>
      <c r="BQ925" t="s">
        <v>91</v>
      </c>
      <c r="BR925" s="3"/>
      <c r="BS925" s="3"/>
      <c r="BT925" t="s">
        <v>91</v>
      </c>
      <c r="BU925" t="s">
        <v>91</v>
      </c>
      <c r="BV925">
        <v>9</v>
      </c>
      <c r="BW925" s="1" t="s">
        <v>419</v>
      </c>
    </row>
    <row r="926" spans="1:75" hidden="1" x14ac:dyDescent="0.35">
      <c r="A926">
        <v>156905</v>
      </c>
      <c r="B926" s="1" t="s">
        <v>75</v>
      </c>
      <c r="C926">
        <v>80</v>
      </c>
      <c r="D926">
        <v>11121002</v>
      </c>
      <c r="E926">
        <v>121002</v>
      </c>
      <c r="F926" s="1" t="s">
        <v>2915</v>
      </c>
      <c r="G926" s="1" t="s">
        <v>5226</v>
      </c>
      <c r="H926">
        <v>0</v>
      </c>
      <c r="I926" s="1" t="s">
        <v>78</v>
      </c>
      <c r="J926" s="1" t="s">
        <v>5227</v>
      </c>
      <c r="K926" s="1" t="s">
        <v>5228</v>
      </c>
      <c r="L926" t="s">
        <v>91</v>
      </c>
      <c r="M926" t="s">
        <v>91</v>
      </c>
      <c r="N926" s="1" t="s">
        <v>5229</v>
      </c>
      <c r="O926" t="s">
        <v>91</v>
      </c>
      <c r="P926" s="1" t="s">
        <v>5223</v>
      </c>
      <c r="Q926" s="1" t="s">
        <v>5230</v>
      </c>
      <c r="R926" s="1" t="s">
        <v>91</v>
      </c>
      <c r="S926">
        <v>1268</v>
      </c>
      <c r="T926">
        <v>88702100</v>
      </c>
      <c r="U926" s="1" t="s">
        <v>5225</v>
      </c>
      <c r="V926" s="1" t="s">
        <v>3900</v>
      </c>
      <c r="W926" s="1" t="s">
        <v>87</v>
      </c>
      <c r="X926">
        <v>48</v>
      </c>
      <c r="Y926">
        <v>996684529</v>
      </c>
      <c r="Z926" t="s">
        <v>91</v>
      </c>
      <c r="AA926" t="s">
        <v>91</v>
      </c>
      <c r="AB926" t="s">
        <v>91</v>
      </c>
      <c r="AC926" t="s">
        <v>91</v>
      </c>
      <c r="AD926" t="s">
        <v>91</v>
      </c>
      <c r="AE926" t="s">
        <v>91</v>
      </c>
      <c r="AF926" t="s">
        <v>91</v>
      </c>
      <c r="AG926" s="1" t="s">
        <v>91</v>
      </c>
      <c r="AH926" s="1" t="s">
        <v>91</v>
      </c>
      <c r="AI926" t="s">
        <v>91</v>
      </c>
      <c r="AM926" t="s">
        <v>91</v>
      </c>
      <c r="AN926" t="s">
        <v>91</v>
      </c>
      <c r="AO926" t="s">
        <v>91</v>
      </c>
      <c r="AP926" t="s">
        <v>91</v>
      </c>
      <c r="AQ926" s="1" t="s">
        <v>91</v>
      </c>
      <c r="AR926" s="1" t="s">
        <v>91</v>
      </c>
      <c r="AS926" s="1" t="s">
        <v>91</v>
      </c>
      <c r="AT926" s="1" t="s">
        <v>91</v>
      </c>
      <c r="AU926" s="1" t="s">
        <v>91</v>
      </c>
      <c r="AV926" t="s">
        <v>91</v>
      </c>
      <c r="AW926" t="s">
        <v>91</v>
      </c>
      <c r="AX926" t="s">
        <v>91</v>
      </c>
      <c r="AY926" t="s">
        <v>91</v>
      </c>
      <c r="AZ926" t="s">
        <v>91</v>
      </c>
      <c r="BA926" t="s">
        <v>91</v>
      </c>
      <c r="BB926" s="2">
        <v>45113.505416666667</v>
      </c>
      <c r="BC926" s="2"/>
      <c r="BD926" t="s">
        <v>91</v>
      </c>
      <c r="BF926" s="1" t="s">
        <v>75</v>
      </c>
      <c r="BI926" s="1" t="s">
        <v>88</v>
      </c>
      <c r="BJ926">
        <v>1</v>
      </c>
      <c r="BK926" s="1" t="s">
        <v>89</v>
      </c>
      <c r="BL926" t="s">
        <v>91</v>
      </c>
      <c r="BM926" s="1" t="s">
        <v>91</v>
      </c>
      <c r="BN926" s="1" t="s">
        <v>91</v>
      </c>
      <c r="BO926" s="1" t="s">
        <v>91</v>
      </c>
      <c r="BP926" s="1" t="s">
        <v>91</v>
      </c>
      <c r="BQ926" t="s">
        <v>91</v>
      </c>
      <c r="BR926" s="3">
        <v>45113</v>
      </c>
      <c r="BS926" s="3"/>
      <c r="BT926" t="s">
        <v>91</v>
      </c>
      <c r="BU926" t="s">
        <v>91</v>
      </c>
      <c r="BW926" s="1" t="s">
        <v>90</v>
      </c>
    </row>
    <row r="927" spans="1:75" hidden="1" x14ac:dyDescent="0.35">
      <c r="A927">
        <v>127484</v>
      </c>
      <c r="B927" s="1" t="s">
        <v>75</v>
      </c>
      <c r="C927">
        <v>80</v>
      </c>
      <c r="D927">
        <v>11121002</v>
      </c>
      <c r="E927">
        <v>121002</v>
      </c>
      <c r="F927" s="1" t="s">
        <v>2915</v>
      </c>
      <c r="G927" s="1" t="s">
        <v>5231</v>
      </c>
      <c r="H927">
        <v>0</v>
      </c>
      <c r="I927" s="1" t="s">
        <v>78</v>
      </c>
      <c r="J927" s="1" t="s">
        <v>5232</v>
      </c>
      <c r="K927" s="1" t="s">
        <v>5233</v>
      </c>
      <c r="L927" t="s">
        <v>91</v>
      </c>
      <c r="M927" t="s">
        <v>91</v>
      </c>
      <c r="N927" s="1" t="s">
        <v>5234</v>
      </c>
      <c r="O927" t="s">
        <v>91</v>
      </c>
      <c r="P927" s="1" t="s">
        <v>5235</v>
      </c>
      <c r="Q927" s="1" t="s">
        <v>1485</v>
      </c>
      <c r="R927" s="1" t="s">
        <v>75</v>
      </c>
      <c r="S927">
        <v>1257</v>
      </c>
      <c r="T927">
        <v>88032001</v>
      </c>
      <c r="U927" s="1" t="s">
        <v>4347</v>
      </c>
      <c r="V927" s="1" t="s">
        <v>3102</v>
      </c>
      <c r="W927" s="1" t="s">
        <v>87</v>
      </c>
      <c r="X927">
        <v>48</v>
      </c>
      <c r="Y927">
        <v>32386737</v>
      </c>
      <c r="Z927" t="s">
        <v>91</v>
      </c>
      <c r="AA927" t="s">
        <v>91</v>
      </c>
      <c r="AB927" t="s">
        <v>91</v>
      </c>
      <c r="AC927" t="s">
        <v>91</v>
      </c>
      <c r="AD927" t="s">
        <v>91</v>
      </c>
      <c r="AE927" t="s">
        <v>91</v>
      </c>
      <c r="AF927" t="s">
        <v>91</v>
      </c>
      <c r="AG927" s="1" t="s">
        <v>91</v>
      </c>
      <c r="AH927" s="1" t="s">
        <v>91</v>
      </c>
      <c r="AI927" t="s">
        <v>91</v>
      </c>
      <c r="AJ927">
        <v>0</v>
      </c>
      <c r="AK927">
        <v>0</v>
      </c>
      <c r="AL927">
        <v>0</v>
      </c>
      <c r="AM927" t="s">
        <v>91</v>
      </c>
      <c r="AN927" t="s">
        <v>91</v>
      </c>
      <c r="AO927" t="s">
        <v>91</v>
      </c>
      <c r="AP927" t="s">
        <v>91</v>
      </c>
      <c r="AQ927" s="1" t="s">
        <v>91</v>
      </c>
      <c r="AR927" s="1" t="s">
        <v>91</v>
      </c>
      <c r="AS927" s="1" t="s">
        <v>91</v>
      </c>
      <c r="AT927" s="1" t="s">
        <v>91</v>
      </c>
      <c r="AU927" s="1" t="s">
        <v>91</v>
      </c>
      <c r="AV927" t="s">
        <v>91</v>
      </c>
      <c r="AW927" t="s">
        <v>91</v>
      </c>
      <c r="AX927" t="s">
        <v>91</v>
      </c>
      <c r="AY927" t="s">
        <v>91</v>
      </c>
      <c r="AZ927" t="s">
        <v>91</v>
      </c>
      <c r="BA927" t="s">
        <v>91</v>
      </c>
      <c r="BB927" s="2">
        <v>44111.380995370368</v>
      </c>
      <c r="BC927" s="2"/>
      <c r="BD927" t="s">
        <v>91</v>
      </c>
      <c r="BF927" s="1" t="s">
        <v>75</v>
      </c>
      <c r="BG927">
        <v>0</v>
      </c>
      <c r="BH927">
        <v>0</v>
      </c>
      <c r="BI927" s="1" t="s">
        <v>88</v>
      </c>
      <c r="BJ927">
        <v>1</v>
      </c>
      <c r="BK927" s="1" t="s">
        <v>89</v>
      </c>
      <c r="BL927" t="s">
        <v>91</v>
      </c>
      <c r="BM927" s="1" t="s">
        <v>109</v>
      </c>
      <c r="BN927" s="1" t="s">
        <v>110</v>
      </c>
      <c r="BO927" s="1" t="s">
        <v>128</v>
      </c>
      <c r="BP927" s="1" t="s">
        <v>91</v>
      </c>
      <c r="BQ927" t="s">
        <v>91</v>
      </c>
      <c r="BR927" s="3">
        <v>44111</v>
      </c>
      <c r="BS927" s="3"/>
      <c r="BT927" t="s">
        <v>91</v>
      </c>
      <c r="BU927" t="s">
        <v>91</v>
      </c>
      <c r="BV927">
        <v>9</v>
      </c>
      <c r="BW927" s="1" t="s">
        <v>1383</v>
      </c>
    </row>
    <row r="928" spans="1:75" hidden="1" x14ac:dyDescent="0.35">
      <c r="A928">
        <v>157601</v>
      </c>
      <c r="B928" s="1" t="s">
        <v>75</v>
      </c>
      <c r="C928">
        <v>80</v>
      </c>
      <c r="D928">
        <v>11121002</v>
      </c>
      <c r="E928">
        <v>121002</v>
      </c>
      <c r="F928" s="1" t="s">
        <v>2915</v>
      </c>
      <c r="G928" s="1" t="s">
        <v>5236</v>
      </c>
      <c r="H928">
        <v>0</v>
      </c>
      <c r="I928" s="1" t="s">
        <v>78</v>
      </c>
      <c r="J928" s="1" t="s">
        <v>5237</v>
      </c>
      <c r="K928" s="1" t="s">
        <v>5238</v>
      </c>
      <c r="L928" t="s">
        <v>91</v>
      </c>
      <c r="M928" t="s">
        <v>91</v>
      </c>
      <c r="N928" s="1" t="s">
        <v>5239</v>
      </c>
      <c r="O928" t="s">
        <v>91</v>
      </c>
      <c r="P928" s="1" t="s">
        <v>3936</v>
      </c>
      <c r="Q928" s="1" t="s">
        <v>5240</v>
      </c>
      <c r="R928" s="1" t="s">
        <v>236</v>
      </c>
      <c r="S928">
        <v>1258</v>
      </c>
      <c r="T928">
        <v>88075400</v>
      </c>
      <c r="U928" s="1" t="s">
        <v>3468</v>
      </c>
      <c r="V928" s="1" t="s">
        <v>2922</v>
      </c>
      <c r="W928" s="1" t="s">
        <v>87</v>
      </c>
      <c r="X928">
        <v>48</v>
      </c>
      <c r="Y928">
        <v>32485222</v>
      </c>
      <c r="Z928" t="s">
        <v>91</v>
      </c>
      <c r="AA928" t="s">
        <v>91</v>
      </c>
      <c r="AB928" t="s">
        <v>91</v>
      </c>
      <c r="AC928" t="s">
        <v>91</v>
      </c>
      <c r="AD928" t="s">
        <v>91</v>
      </c>
      <c r="AE928" t="s">
        <v>91</v>
      </c>
      <c r="AF928" t="s">
        <v>91</v>
      </c>
      <c r="AG928" s="1" t="s">
        <v>91</v>
      </c>
      <c r="AH928" s="1" t="s">
        <v>91</v>
      </c>
      <c r="AI928" t="s">
        <v>91</v>
      </c>
      <c r="AM928" t="s">
        <v>91</v>
      </c>
      <c r="AN928" t="s">
        <v>91</v>
      </c>
      <c r="AO928" t="s">
        <v>91</v>
      </c>
      <c r="AP928" t="s">
        <v>91</v>
      </c>
      <c r="AQ928" s="1" t="s">
        <v>91</v>
      </c>
      <c r="AR928" s="1" t="s">
        <v>91</v>
      </c>
      <c r="AS928" s="1" t="s">
        <v>91</v>
      </c>
      <c r="AT928" s="1" t="s">
        <v>91</v>
      </c>
      <c r="AU928" s="1" t="s">
        <v>91</v>
      </c>
      <c r="AV928" t="s">
        <v>91</v>
      </c>
      <c r="AW928" t="s">
        <v>91</v>
      </c>
      <c r="AX928" t="s">
        <v>91</v>
      </c>
      <c r="AY928" t="s">
        <v>91</v>
      </c>
      <c r="AZ928" t="s">
        <v>91</v>
      </c>
      <c r="BA928" t="s">
        <v>91</v>
      </c>
      <c r="BB928" s="2">
        <v>45118.097175925926</v>
      </c>
      <c r="BC928" s="2"/>
      <c r="BD928" t="s">
        <v>91</v>
      </c>
      <c r="BF928" s="1" t="s">
        <v>75</v>
      </c>
      <c r="BI928" s="1" t="s">
        <v>88</v>
      </c>
      <c r="BJ928">
        <v>1</v>
      </c>
      <c r="BK928" s="1" t="s">
        <v>89</v>
      </c>
      <c r="BL928" t="s">
        <v>91</v>
      </c>
      <c r="BM928" s="1" t="s">
        <v>91</v>
      </c>
      <c r="BN928" s="1" t="s">
        <v>91</v>
      </c>
      <c r="BO928" s="1" t="s">
        <v>91</v>
      </c>
      <c r="BP928" s="1" t="s">
        <v>91</v>
      </c>
      <c r="BQ928" t="s">
        <v>91</v>
      </c>
      <c r="BR928" s="3">
        <v>45118</v>
      </c>
      <c r="BS928" s="3"/>
      <c r="BT928" t="s">
        <v>91</v>
      </c>
      <c r="BU928" t="s">
        <v>91</v>
      </c>
      <c r="BW928" s="1" t="s">
        <v>419</v>
      </c>
    </row>
    <row r="929" spans="1:75" hidden="1" x14ac:dyDescent="0.35">
      <c r="A929">
        <v>157732</v>
      </c>
      <c r="B929" s="1" t="s">
        <v>75</v>
      </c>
      <c r="C929">
        <v>80</v>
      </c>
      <c r="D929">
        <v>11121002</v>
      </c>
      <c r="E929">
        <v>121002</v>
      </c>
      <c r="F929" s="1" t="s">
        <v>2915</v>
      </c>
      <c r="G929" s="1" t="s">
        <v>5241</v>
      </c>
      <c r="H929">
        <v>0</v>
      </c>
      <c r="I929" s="1" t="s">
        <v>78</v>
      </c>
      <c r="J929" s="1" t="s">
        <v>5242</v>
      </c>
      <c r="K929" s="1" t="s">
        <v>5243</v>
      </c>
      <c r="L929" t="s">
        <v>91</v>
      </c>
      <c r="M929" t="s">
        <v>91</v>
      </c>
      <c r="N929" s="1" t="s">
        <v>5244</v>
      </c>
      <c r="O929" t="s">
        <v>91</v>
      </c>
      <c r="P929" s="1" t="s">
        <v>3673</v>
      </c>
      <c r="Q929" s="1" t="s">
        <v>5245</v>
      </c>
      <c r="R929" s="1" t="s">
        <v>5246</v>
      </c>
      <c r="S929">
        <v>1255</v>
      </c>
      <c r="T929">
        <v>88015231</v>
      </c>
      <c r="U929" s="1" t="s">
        <v>108</v>
      </c>
      <c r="V929" s="1" t="s">
        <v>2922</v>
      </c>
      <c r="W929" s="1" t="s">
        <v>87</v>
      </c>
      <c r="X929">
        <v>48</v>
      </c>
      <c r="Y929">
        <v>30251282</v>
      </c>
      <c r="Z929" t="s">
        <v>91</v>
      </c>
      <c r="AA929" t="s">
        <v>91</v>
      </c>
      <c r="AB929" t="s">
        <v>91</v>
      </c>
      <c r="AC929" t="s">
        <v>91</v>
      </c>
      <c r="AD929" t="s">
        <v>91</v>
      </c>
      <c r="AE929" t="s">
        <v>91</v>
      </c>
      <c r="AF929" t="s">
        <v>91</v>
      </c>
      <c r="AG929" s="1" t="s">
        <v>91</v>
      </c>
      <c r="AH929" s="1" t="s">
        <v>91</v>
      </c>
      <c r="AI929" t="s">
        <v>91</v>
      </c>
      <c r="AM929" t="s">
        <v>91</v>
      </c>
      <c r="AN929" t="s">
        <v>91</v>
      </c>
      <c r="AO929" t="s">
        <v>91</v>
      </c>
      <c r="AP929" t="s">
        <v>91</v>
      </c>
      <c r="AQ929" s="1" t="s">
        <v>91</v>
      </c>
      <c r="AR929" s="1" t="s">
        <v>91</v>
      </c>
      <c r="AS929" s="1" t="s">
        <v>91</v>
      </c>
      <c r="AT929" s="1" t="s">
        <v>91</v>
      </c>
      <c r="AU929" s="1" t="s">
        <v>91</v>
      </c>
      <c r="AV929" t="s">
        <v>91</v>
      </c>
      <c r="AW929" t="s">
        <v>91</v>
      </c>
      <c r="AX929" t="s">
        <v>91</v>
      </c>
      <c r="AY929" t="s">
        <v>91</v>
      </c>
      <c r="AZ929" t="s">
        <v>91</v>
      </c>
      <c r="BA929" t="s">
        <v>91</v>
      </c>
      <c r="BB929" s="2">
        <v>45118.097175925926</v>
      </c>
      <c r="BC929" s="2"/>
      <c r="BD929" t="s">
        <v>91</v>
      </c>
      <c r="BF929" s="1" t="s">
        <v>75</v>
      </c>
      <c r="BI929" s="1" t="s">
        <v>88</v>
      </c>
      <c r="BJ929">
        <v>1</v>
      </c>
      <c r="BK929" s="1" t="s">
        <v>89</v>
      </c>
      <c r="BL929" t="s">
        <v>91</v>
      </c>
      <c r="BM929" s="1" t="s">
        <v>91</v>
      </c>
      <c r="BN929" s="1" t="s">
        <v>91</v>
      </c>
      <c r="BO929" s="1" t="s">
        <v>91</v>
      </c>
      <c r="BP929" s="1" t="s">
        <v>91</v>
      </c>
      <c r="BQ929" t="s">
        <v>91</v>
      </c>
      <c r="BR929" s="3">
        <v>45118</v>
      </c>
      <c r="BS929" s="3"/>
      <c r="BT929" t="s">
        <v>91</v>
      </c>
      <c r="BU929" t="s">
        <v>91</v>
      </c>
      <c r="BW929" s="1" t="s">
        <v>90</v>
      </c>
    </row>
    <row r="930" spans="1:75" hidden="1" x14ac:dyDescent="0.35">
      <c r="A930">
        <v>156908</v>
      </c>
      <c r="B930" s="1" t="s">
        <v>75</v>
      </c>
      <c r="C930">
        <v>80</v>
      </c>
      <c r="D930">
        <v>11121002</v>
      </c>
      <c r="E930">
        <v>121002</v>
      </c>
      <c r="F930" s="1" t="s">
        <v>2915</v>
      </c>
      <c r="G930" s="1" t="s">
        <v>5247</v>
      </c>
      <c r="H930">
        <v>0</v>
      </c>
      <c r="I930" s="1" t="s">
        <v>78</v>
      </c>
      <c r="J930" s="1" t="s">
        <v>5248</v>
      </c>
      <c r="K930" s="1" t="s">
        <v>5249</v>
      </c>
      <c r="L930" t="s">
        <v>91</v>
      </c>
      <c r="M930" t="s">
        <v>91</v>
      </c>
      <c r="N930" s="1" t="s">
        <v>5250</v>
      </c>
      <c r="O930" t="s">
        <v>91</v>
      </c>
      <c r="P930" s="1" t="s">
        <v>2204</v>
      </c>
      <c r="Q930" s="1" t="s">
        <v>5251</v>
      </c>
      <c r="R930" s="1" t="s">
        <v>5252</v>
      </c>
      <c r="T930">
        <v>88701070</v>
      </c>
      <c r="U930" s="1" t="s">
        <v>5225</v>
      </c>
      <c r="V930" s="1" t="s">
        <v>3900</v>
      </c>
      <c r="W930" s="1" t="s">
        <v>87</v>
      </c>
      <c r="X930">
        <v>48</v>
      </c>
      <c r="Y930">
        <v>31990599</v>
      </c>
      <c r="Z930" t="s">
        <v>91</v>
      </c>
      <c r="AA930" t="s">
        <v>91</v>
      </c>
      <c r="AB930" t="s">
        <v>91</v>
      </c>
      <c r="AC930" t="s">
        <v>91</v>
      </c>
      <c r="AD930" t="s">
        <v>91</v>
      </c>
      <c r="AE930" t="s">
        <v>91</v>
      </c>
      <c r="AF930" t="s">
        <v>91</v>
      </c>
      <c r="AG930" s="1" t="s">
        <v>91</v>
      </c>
      <c r="AH930" s="1" t="s">
        <v>91</v>
      </c>
      <c r="AI930" t="s">
        <v>91</v>
      </c>
      <c r="AM930" t="s">
        <v>91</v>
      </c>
      <c r="AN930" t="s">
        <v>91</v>
      </c>
      <c r="AO930" t="s">
        <v>91</v>
      </c>
      <c r="AP930" t="s">
        <v>91</v>
      </c>
      <c r="AQ930" s="1" t="s">
        <v>91</v>
      </c>
      <c r="AR930" s="1" t="s">
        <v>91</v>
      </c>
      <c r="AS930" s="1" t="s">
        <v>91</v>
      </c>
      <c r="AT930" s="1" t="s">
        <v>91</v>
      </c>
      <c r="AU930" s="1" t="s">
        <v>91</v>
      </c>
      <c r="AV930" t="s">
        <v>91</v>
      </c>
      <c r="AW930" t="s">
        <v>91</v>
      </c>
      <c r="AX930" t="s">
        <v>91</v>
      </c>
      <c r="AY930" t="s">
        <v>91</v>
      </c>
      <c r="AZ930" t="s">
        <v>91</v>
      </c>
      <c r="BA930" t="s">
        <v>91</v>
      </c>
      <c r="BB930" s="2">
        <v>45113.505416666667</v>
      </c>
      <c r="BC930" s="2"/>
      <c r="BD930" t="s">
        <v>91</v>
      </c>
      <c r="BF930" s="1" t="s">
        <v>75</v>
      </c>
      <c r="BI930" s="1" t="s">
        <v>88</v>
      </c>
      <c r="BJ930">
        <v>1</v>
      </c>
      <c r="BK930" s="1" t="s">
        <v>89</v>
      </c>
      <c r="BL930" t="s">
        <v>91</v>
      </c>
      <c r="BM930" s="1" t="s">
        <v>91</v>
      </c>
      <c r="BN930" s="1" t="s">
        <v>91</v>
      </c>
      <c r="BO930" s="1" t="s">
        <v>91</v>
      </c>
      <c r="BP930" s="1" t="s">
        <v>91</v>
      </c>
      <c r="BQ930" t="s">
        <v>91</v>
      </c>
      <c r="BR930" s="3">
        <v>45113</v>
      </c>
      <c r="BS930" s="3"/>
      <c r="BT930" t="s">
        <v>91</v>
      </c>
      <c r="BU930" t="s">
        <v>91</v>
      </c>
      <c r="BW930" s="1" t="s">
        <v>90</v>
      </c>
    </row>
    <row r="931" spans="1:75" hidden="1" x14ac:dyDescent="0.35">
      <c r="A931">
        <v>157693</v>
      </c>
      <c r="B931" s="1" t="s">
        <v>75</v>
      </c>
      <c r="C931">
        <v>80</v>
      </c>
      <c r="D931">
        <v>11121002</v>
      </c>
      <c r="E931">
        <v>121002</v>
      </c>
      <c r="F931" s="1" t="s">
        <v>2915</v>
      </c>
      <c r="G931" s="1" t="s">
        <v>5253</v>
      </c>
      <c r="H931">
        <v>0</v>
      </c>
      <c r="I931" s="1" t="s">
        <v>78</v>
      </c>
      <c r="J931" s="1" t="s">
        <v>5254</v>
      </c>
      <c r="K931" s="1" t="s">
        <v>5255</v>
      </c>
      <c r="L931" t="s">
        <v>91</v>
      </c>
      <c r="M931" t="s">
        <v>91</v>
      </c>
      <c r="N931" s="1" t="s">
        <v>5256</v>
      </c>
      <c r="O931" t="s">
        <v>91</v>
      </c>
      <c r="P931" s="1" t="s">
        <v>4948</v>
      </c>
      <c r="Q931" s="1" t="s">
        <v>427</v>
      </c>
      <c r="R931" s="1" t="s">
        <v>3754</v>
      </c>
      <c r="S931">
        <v>1259</v>
      </c>
      <c r="T931">
        <v>88101100</v>
      </c>
      <c r="U931" s="1" t="s">
        <v>3015</v>
      </c>
      <c r="V931" s="1" t="s">
        <v>2958</v>
      </c>
      <c r="W931" s="1" t="s">
        <v>87</v>
      </c>
      <c r="X931">
        <v>48</v>
      </c>
      <c r="Y931">
        <v>996453331</v>
      </c>
      <c r="Z931" t="s">
        <v>91</v>
      </c>
      <c r="AA931" t="s">
        <v>91</v>
      </c>
      <c r="AB931" t="s">
        <v>91</v>
      </c>
      <c r="AC931" t="s">
        <v>91</v>
      </c>
      <c r="AD931" t="s">
        <v>91</v>
      </c>
      <c r="AE931" t="s">
        <v>91</v>
      </c>
      <c r="AF931" t="s">
        <v>91</v>
      </c>
      <c r="AG931" s="1" t="s">
        <v>91</v>
      </c>
      <c r="AH931" s="1" t="s">
        <v>91</v>
      </c>
      <c r="AI931" t="s">
        <v>91</v>
      </c>
      <c r="AM931" t="s">
        <v>91</v>
      </c>
      <c r="AN931" t="s">
        <v>91</v>
      </c>
      <c r="AO931" t="s">
        <v>91</v>
      </c>
      <c r="AP931" t="s">
        <v>91</v>
      </c>
      <c r="AQ931" s="1" t="s">
        <v>91</v>
      </c>
      <c r="AR931" s="1" t="s">
        <v>91</v>
      </c>
      <c r="AS931" s="1" t="s">
        <v>91</v>
      </c>
      <c r="AT931" s="1" t="s">
        <v>91</v>
      </c>
      <c r="AU931" s="1" t="s">
        <v>91</v>
      </c>
      <c r="AV931" t="s">
        <v>91</v>
      </c>
      <c r="AW931" t="s">
        <v>91</v>
      </c>
      <c r="AX931" t="s">
        <v>91</v>
      </c>
      <c r="AY931" t="s">
        <v>91</v>
      </c>
      <c r="AZ931" t="s">
        <v>91</v>
      </c>
      <c r="BA931" t="s">
        <v>91</v>
      </c>
      <c r="BB931" s="2">
        <v>45118.097175925926</v>
      </c>
      <c r="BC931" s="2"/>
      <c r="BD931" t="s">
        <v>91</v>
      </c>
      <c r="BF931" s="1" t="s">
        <v>75</v>
      </c>
      <c r="BI931" s="1" t="s">
        <v>88</v>
      </c>
      <c r="BJ931">
        <v>1</v>
      </c>
      <c r="BK931" s="1" t="s">
        <v>89</v>
      </c>
      <c r="BL931" t="s">
        <v>91</v>
      </c>
      <c r="BM931" s="1" t="s">
        <v>91</v>
      </c>
      <c r="BN931" s="1" t="s">
        <v>91</v>
      </c>
      <c r="BO931" s="1" t="s">
        <v>91</v>
      </c>
      <c r="BP931" s="1" t="s">
        <v>91</v>
      </c>
      <c r="BQ931" t="s">
        <v>91</v>
      </c>
      <c r="BR931" s="3">
        <v>45118</v>
      </c>
      <c r="BS931" s="3"/>
      <c r="BT931" t="s">
        <v>91</v>
      </c>
      <c r="BU931" t="s">
        <v>91</v>
      </c>
      <c r="BW931" s="1" t="s">
        <v>90</v>
      </c>
    </row>
    <row r="932" spans="1:75" hidden="1" x14ac:dyDescent="0.35">
      <c r="A932">
        <v>134469</v>
      </c>
      <c r="B932" s="1" t="s">
        <v>75</v>
      </c>
      <c r="C932">
        <v>80</v>
      </c>
      <c r="D932">
        <v>11121002</v>
      </c>
      <c r="E932">
        <v>121002</v>
      </c>
      <c r="F932" s="1" t="s">
        <v>2915</v>
      </c>
      <c r="G932" s="1" t="s">
        <v>5257</v>
      </c>
      <c r="I932" s="1" t="s">
        <v>78</v>
      </c>
      <c r="J932" s="1" t="s">
        <v>5258</v>
      </c>
      <c r="K932" s="1" t="s">
        <v>5259</v>
      </c>
      <c r="L932" t="s">
        <v>91</v>
      </c>
      <c r="M932" t="s">
        <v>91</v>
      </c>
      <c r="N932" s="1" t="s">
        <v>5260</v>
      </c>
      <c r="O932" t="s">
        <v>91</v>
      </c>
      <c r="P932" s="1" t="s">
        <v>5261</v>
      </c>
      <c r="Q932" s="1" t="s">
        <v>5262</v>
      </c>
      <c r="R932" s="1" t="s">
        <v>91</v>
      </c>
      <c r="S932">
        <v>1257</v>
      </c>
      <c r="T932">
        <v>88058300</v>
      </c>
      <c r="U932" s="1" t="s">
        <v>3441</v>
      </c>
      <c r="V932" s="1" t="s">
        <v>3102</v>
      </c>
      <c r="W932" s="1" t="s">
        <v>87</v>
      </c>
      <c r="X932">
        <v>48</v>
      </c>
      <c r="Y932">
        <v>32049081</v>
      </c>
      <c r="Z932" t="s">
        <v>91</v>
      </c>
      <c r="AA932" t="s">
        <v>91</v>
      </c>
      <c r="AB932" t="s">
        <v>91</v>
      </c>
      <c r="AC932" t="s">
        <v>91</v>
      </c>
      <c r="AD932" t="s">
        <v>91</v>
      </c>
      <c r="AE932" t="s">
        <v>91</v>
      </c>
      <c r="AF932" t="s">
        <v>91</v>
      </c>
      <c r="AG932" s="1" t="s">
        <v>146</v>
      </c>
      <c r="AH932" s="1" t="s">
        <v>91</v>
      </c>
      <c r="AI932" t="s">
        <v>91</v>
      </c>
      <c r="AJ932">
        <v>0</v>
      </c>
      <c r="AK932">
        <v>0</v>
      </c>
      <c r="AL932">
        <v>0</v>
      </c>
      <c r="AM932" t="s">
        <v>91</v>
      </c>
      <c r="AN932" t="s">
        <v>91</v>
      </c>
      <c r="AO932" t="s">
        <v>91</v>
      </c>
      <c r="AP932" t="s">
        <v>91</v>
      </c>
      <c r="AQ932" s="1" t="s">
        <v>147</v>
      </c>
      <c r="AR932" s="1" t="s">
        <v>147</v>
      </c>
      <c r="AS932" s="1" t="s">
        <v>147</v>
      </c>
      <c r="AT932" s="1" t="s">
        <v>147</v>
      </c>
      <c r="AU932" s="1" t="s">
        <v>147</v>
      </c>
      <c r="AV932" t="s">
        <v>91</v>
      </c>
      <c r="AW932" t="s">
        <v>91</v>
      </c>
      <c r="AX932" t="s">
        <v>91</v>
      </c>
      <c r="AY932" t="s">
        <v>91</v>
      </c>
      <c r="AZ932" t="s">
        <v>91</v>
      </c>
      <c r="BA932" t="s">
        <v>91</v>
      </c>
      <c r="BB932" s="2"/>
      <c r="BC932" s="2">
        <v>44445.612627314818</v>
      </c>
      <c r="BD932" t="s">
        <v>91</v>
      </c>
      <c r="BF932" s="1" t="s">
        <v>75</v>
      </c>
      <c r="BG932">
        <v>0</v>
      </c>
      <c r="BH932">
        <v>0</v>
      </c>
      <c r="BI932" s="1" t="s">
        <v>88</v>
      </c>
      <c r="BJ932">
        <v>1</v>
      </c>
      <c r="BK932" s="1" t="s">
        <v>89</v>
      </c>
      <c r="BL932" t="s">
        <v>91</v>
      </c>
      <c r="BM932" s="1" t="s">
        <v>109</v>
      </c>
      <c r="BN932" s="1" t="s">
        <v>110</v>
      </c>
      <c r="BO932" s="1" t="s">
        <v>180</v>
      </c>
      <c r="BP932" s="1" t="s">
        <v>91</v>
      </c>
      <c r="BQ932" t="s">
        <v>91</v>
      </c>
      <c r="BR932" s="3"/>
      <c r="BS932" s="3">
        <v>44445</v>
      </c>
      <c r="BT932" t="s">
        <v>91</v>
      </c>
      <c r="BU932" t="s">
        <v>91</v>
      </c>
      <c r="BV932">
        <v>9</v>
      </c>
      <c r="BW932" s="1" t="s">
        <v>5263</v>
      </c>
    </row>
    <row r="933" spans="1:75" hidden="1" x14ac:dyDescent="0.35">
      <c r="A933">
        <v>152734</v>
      </c>
      <c r="B933" s="1" t="s">
        <v>75</v>
      </c>
      <c r="C933">
        <v>80</v>
      </c>
      <c r="D933">
        <v>11121002</v>
      </c>
      <c r="E933">
        <v>121002</v>
      </c>
      <c r="F933" s="1" t="s">
        <v>2915</v>
      </c>
      <c r="G933" s="1" t="s">
        <v>5264</v>
      </c>
      <c r="H933">
        <v>0</v>
      </c>
      <c r="I933" s="1" t="s">
        <v>78</v>
      </c>
      <c r="J933" s="1" t="s">
        <v>5265</v>
      </c>
      <c r="K933" s="1" t="s">
        <v>5266</v>
      </c>
      <c r="L933" t="s">
        <v>91</v>
      </c>
      <c r="M933" t="s">
        <v>91</v>
      </c>
      <c r="N933" s="1" t="s">
        <v>5267</v>
      </c>
      <c r="O933" t="s">
        <v>91</v>
      </c>
      <c r="P933" s="1" t="s">
        <v>438</v>
      </c>
      <c r="Q933" s="1" t="s">
        <v>552</v>
      </c>
      <c r="R933" s="1" t="s">
        <v>91</v>
      </c>
      <c r="S933">
        <v>1266</v>
      </c>
      <c r="T933">
        <v>88501000</v>
      </c>
      <c r="U933" s="1" t="s">
        <v>108</v>
      </c>
      <c r="V933" s="1" t="s">
        <v>3335</v>
      </c>
      <c r="W933" s="1" t="s">
        <v>87</v>
      </c>
      <c r="Z933" t="s">
        <v>91</v>
      </c>
      <c r="AA933" t="s">
        <v>91</v>
      </c>
      <c r="AB933" t="s">
        <v>91</v>
      </c>
      <c r="AC933" t="s">
        <v>91</v>
      </c>
      <c r="AD933" t="s">
        <v>91</v>
      </c>
      <c r="AE933" t="s">
        <v>91</v>
      </c>
      <c r="AF933" t="s">
        <v>91</v>
      </c>
      <c r="AG933" s="1" t="s">
        <v>91</v>
      </c>
      <c r="AH933" s="1" t="s">
        <v>91</v>
      </c>
      <c r="AI933" t="s">
        <v>91</v>
      </c>
      <c r="AM933" t="s">
        <v>91</v>
      </c>
      <c r="AN933" t="s">
        <v>91</v>
      </c>
      <c r="AO933" t="s">
        <v>91</v>
      </c>
      <c r="AP933" t="s">
        <v>91</v>
      </c>
      <c r="AQ933" s="1" t="s">
        <v>91</v>
      </c>
      <c r="AR933" s="1" t="s">
        <v>91</v>
      </c>
      <c r="AS933" s="1" t="s">
        <v>91</v>
      </c>
      <c r="AT933" s="1" t="s">
        <v>91</v>
      </c>
      <c r="AU933" s="1" t="s">
        <v>91</v>
      </c>
      <c r="AV933" t="s">
        <v>91</v>
      </c>
      <c r="AW933" t="s">
        <v>91</v>
      </c>
      <c r="AX933" t="s">
        <v>91</v>
      </c>
      <c r="AY933" t="s">
        <v>91</v>
      </c>
      <c r="AZ933" t="s">
        <v>91</v>
      </c>
      <c r="BA933" t="s">
        <v>91</v>
      </c>
      <c r="BB933" s="2">
        <v>45019.565613425926</v>
      </c>
      <c r="BC933" s="2"/>
      <c r="BD933" t="s">
        <v>91</v>
      </c>
      <c r="BF933" s="1" t="s">
        <v>75</v>
      </c>
      <c r="BI933" s="1" t="s">
        <v>88</v>
      </c>
      <c r="BJ933">
        <v>1</v>
      </c>
      <c r="BK933" s="1" t="s">
        <v>89</v>
      </c>
      <c r="BL933" t="s">
        <v>91</v>
      </c>
      <c r="BM933" s="1" t="s">
        <v>91</v>
      </c>
      <c r="BN933" s="1" t="s">
        <v>91</v>
      </c>
      <c r="BO933" s="1" t="s">
        <v>91</v>
      </c>
      <c r="BP933" s="1" t="s">
        <v>91</v>
      </c>
      <c r="BQ933" t="s">
        <v>91</v>
      </c>
      <c r="BR933" s="3">
        <v>45019</v>
      </c>
      <c r="BS933" s="3"/>
      <c r="BT933" t="s">
        <v>91</v>
      </c>
      <c r="BU933" t="s">
        <v>91</v>
      </c>
      <c r="BW933" s="1" t="s">
        <v>90</v>
      </c>
    </row>
    <row r="934" spans="1:75" hidden="1" x14ac:dyDescent="0.35">
      <c r="A934">
        <v>152748</v>
      </c>
      <c r="B934" s="1" t="s">
        <v>75</v>
      </c>
      <c r="C934">
        <v>80</v>
      </c>
      <c r="D934">
        <v>11121002</v>
      </c>
      <c r="E934">
        <v>121002</v>
      </c>
      <c r="F934" s="1" t="s">
        <v>2915</v>
      </c>
      <c r="G934" s="1" t="s">
        <v>5268</v>
      </c>
      <c r="H934">
        <v>0</v>
      </c>
      <c r="I934" s="1" t="s">
        <v>78</v>
      </c>
      <c r="J934" s="1" t="s">
        <v>5269</v>
      </c>
      <c r="K934" s="1" t="s">
        <v>5270</v>
      </c>
      <c r="L934" t="s">
        <v>91</v>
      </c>
      <c r="M934" t="s">
        <v>91</v>
      </c>
      <c r="N934" s="1" t="s">
        <v>5271</v>
      </c>
      <c r="O934" t="s">
        <v>91</v>
      </c>
      <c r="P934" s="1" t="s">
        <v>5272</v>
      </c>
      <c r="Q934" s="1" t="s">
        <v>3218</v>
      </c>
      <c r="R934" s="1" t="s">
        <v>1522</v>
      </c>
      <c r="T934">
        <v>88070605</v>
      </c>
      <c r="U934" s="1" t="s">
        <v>3468</v>
      </c>
      <c r="V934" s="1" t="s">
        <v>2922</v>
      </c>
      <c r="W934" s="1" t="s">
        <v>87</v>
      </c>
      <c r="Z934" t="s">
        <v>91</v>
      </c>
      <c r="AA934" t="s">
        <v>91</v>
      </c>
      <c r="AB934" t="s">
        <v>91</v>
      </c>
      <c r="AC934" t="s">
        <v>91</v>
      </c>
      <c r="AD934" t="s">
        <v>91</v>
      </c>
      <c r="AE934" t="s">
        <v>91</v>
      </c>
      <c r="AF934" t="s">
        <v>91</v>
      </c>
      <c r="AG934" s="1" t="s">
        <v>91</v>
      </c>
      <c r="AH934" s="1" t="s">
        <v>91</v>
      </c>
      <c r="AI934" t="s">
        <v>91</v>
      </c>
      <c r="AM934" t="s">
        <v>91</v>
      </c>
      <c r="AN934" t="s">
        <v>91</v>
      </c>
      <c r="AO934" t="s">
        <v>91</v>
      </c>
      <c r="AP934" t="s">
        <v>91</v>
      </c>
      <c r="AQ934" s="1" t="s">
        <v>91</v>
      </c>
      <c r="AR934" s="1" t="s">
        <v>91</v>
      </c>
      <c r="AS934" s="1" t="s">
        <v>91</v>
      </c>
      <c r="AT934" s="1" t="s">
        <v>91</v>
      </c>
      <c r="AU934" s="1" t="s">
        <v>91</v>
      </c>
      <c r="AV934" t="s">
        <v>91</v>
      </c>
      <c r="AW934" t="s">
        <v>91</v>
      </c>
      <c r="AX934" t="s">
        <v>91</v>
      </c>
      <c r="AY934" t="s">
        <v>91</v>
      </c>
      <c r="AZ934" t="s">
        <v>91</v>
      </c>
      <c r="BA934" t="s">
        <v>91</v>
      </c>
      <c r="BB934" s="2">
        <v>45019.565613425926</v>
      </c>
      <c r="BC934" s="2"/>
      <c r="BD934" t="s">
        <v>91</v>
      </c>
      <c r="BF934" s="1" t="s">
        <v>75</v>
      </c>
      <c r="BI934" s="1" t="s">
        <v>88</v>
      </c>
      <c r="BJ934">
        <v>1</v>
      </c>
      <c r="BK934" s="1" t="s">
        <v>89</v>
      </c>
      <c r="BL934" t="s">
        <v>91</v>
      </c>
      <c r="BM934" s="1" t="s">
        <v>91</v>
      </c>
      <c r="BN934" s="1" t="s">
        <v>91</v>
      </c>
      <c r="BO934" s="1" t="s">
        <v>91</v>
      </c>
      <c r="BP934" s="1" t="s">
        <v>91</v>
      </c>
      <c r="BQ934" t="s">
        <v>91</v>
      </c>
      <c r="BR934" s="3">
        <v>45019</v>
      </c>
      <c r="BS934" s="3"/>
      <c r="BT934" t="s">
        <v>91</v>
      </c>
      <c r="BU934" t="s">
        <v>91</v>
      </c>
      <c r="BW934" s="1" t="s">
        <v>2106</v>
      </c>
    </row>
    <row r="935" spans="1:75" hidden="1" x14ac:dyDescent="0.35">
      <c r="A935">
        <v>134490</v>
      </c>
      <c r="B935" s="1" t="s">
        <v>75</v>
      </c>
      <c r="C935">
        <v>80</v>
      </c>
      <c r="D935">
        <v>11121002</v>
      </c>
      <c r="E935">
        <v>121002</v>
      </c>
      <c r="F935" s="1" t="s">
        <v>2915</v>
      </c>
      <c r="G935" s="1" t="s">
        <v>5273</v>
      </c>
      <c r="I935" s="1" t="s">
        <v>78</v>
      </c>
      <c r="J935" s="1" t="s">
        <v>5274</v>
      </c>
      <c r="K935" s="1" t="s">
        <v>5275</v>
      </c>
      <c r="L935" t="s">
        <v>91</v>
      </c>
      <c r="M935" t="s">
        <v>91</v>
      </c>
      <c r="N935" s="1" t="s">
        <v>5276</v>
      </c>
      <c r="O935" t="s">
        <v>91</v>
      </c>
      <c r="P935" s="1" t="s">
        <v>4948</v>
      </c>
      <c r="Q935" s="1" t="s">
        <v>1058</v>
      </c>
      <c r="R935" s="1" t="s">
        <v>434</v>
      </c>
      <c r="S935">
        <v>1259</v>
      </c>
      <c r="T935">
        <v>88102000</v>
      </c>
      <c r="U935" s="1" t="s">
        <v>3015</v>
      </c>
      <c r="V935" s="1" t="s">
        <v>3016</v>
      </c>
      <c r="W935" s="1" t="s">
        <v>87</v>
      </c>
      <c r="X935">
        <v>48</v>
      </c>
      <c r="Y935">
        <v>30947013</v>
      </c>
      <c r="Z935" t="s">
        <v>91</v>
      </c>
      <c r="AA935" t="s">
        <v>91</v>
      </c>
      <c r="AB935" t="s">
        <v>91</v>
      </c>
      <c r="AC935" t="s">
        <v>91</v>
      </c>
      <c r="AD935" t="s">
        <v>91</v>
      </c>
      <c r="AE935" t="s">
        <v>91</v>
      </c>
      <c r="AF935" t="s">
        <v>91</v>
      </c>
      <c r="AG935" s="1" t="s">
        <v>146</v>
      </c>
      <c r="AH935" s="1" t="s">
        <v>91</v>
      </c>
      <c r="AI935" t="s">
        <v>91</v>
      </c>
      <c r="AM935" t="s">
        <v>91</v>
      </c>
      <c r="AN935" t="s">
        <v>91</v>
      </c>
      <c r="AO935" t="s">
        <v>91</v>
      </c>
      <c r="AP935" t="s">
        <v>91</v>
      </c>
      <c r="AQ935" s="1" t="s">
        <v>147</v>
      </c>
      <c r="AR935" s="1" t="s">
        <v>147</v>
      </c>
      <c r="AS935" s="1" t="s">
        <v>147</v>
      </c>
      <c r="AT935" s="1" t="s">
        <v>147</v>
      </c>
      <c r="AU935" s="1" t="s">
        <v>147</v>
      </c>
      <c r="AV935" t="s">
        <v>91</v>
      </c>
      <c r="AW935" t="s">
        <v>91</v>
      </c>
      <c r="AX935" t="s">
        <v>91</v>
      </c>
      <c r="AY935" t="s">
        <v>91</v>
      </c>
      <c r="AZ935" t="s">
        <v>91</v>
      </c>
      <c r="BA935" t="s">
        <v>91</v>
      </c>
      <c r="BB935" s="2"/>
      <c r="BC935" s="2">
        <v>44652.593460648146</v>
      </c>
      <c r="BD935" t="s">
        <v>91</v>
      </c>
      <c r="BF935" s="1" t="s">
        <v>75</v>
      </c>
      <c r="BH935">
        <v>0</v>
      </c>
      <c r="BI935" s="1" t="s">
        <v>88</v>
      </c>
      <c r="BJ935">
        <v>1</v>
      </c>
      <c r="BK935" s="1" t="s">
        <v>89</v>
      </c>
      <c r="BL935" t="s">
        <v>91</v>
      </c>
      <c r="BM935" s="1" t="s">
        <v>109</v>
      </c>
      <c r="BN935" s="1" t="s">
        <v>110</v>
      </c>
      <c r="BO935" s="1" t="s">
        <v>165</v>
      </c>
      <c r="BP935" s="1" t="s">
        <v>91</v>
      </c>
      <c r="BQ935" t="s">
        <v>91</v>
      </c>
      <c r="BR935" s="3"/>
      <c r="BS935" s="3">
        <v>44652</v>
      </c>
      <c r="BT935" t="s">
        <v>91</v>
      </c>
      <c r="BU935" t="s">
        <v>91</v>
      </c>
      <c r="BV935">
        <v>9</v>
      </c>
      <c r="BW935" s="1" t="s">
        <v>388</v>
      </c>
    </row>
    <row r="936" spans="1:75" hidden="1" x14ac:dyDescent="0.35">
      <c r="A936">
        <v>134439</v>
      </c>
      <c r="B936" s="1" t="s">
        <v>75</v>
      </c>
      <c r="C936">
        <v>80</v>
      </c>
      <c r="D936">
        <v>11121002</v>
      </c>
      <c r="E936">
        <v>121002</v>
      </c>
      <c r="F936" s="1" t="s">
        <v>2915</v>
      </c>
      <c r="G936" s="1" t="s">
        <v>5277</v>
      </c>
      <c r="I936" s="1" t="s">
        <v>78</v>
      </c>
      <c r="J936" s="1" t="s">
        <v>5278</v>
      </c>
      <c r="K936" s="1" t="s">
        <v>5279</v>
      </c>
      <c r="L936" t="s">
        <v>91</v>
      </c>
      <c r="M936" t="s">
        <v>91</v>
      </c>
      <c r="N936" s="1" t="s">
        <v>5280</v>
      </c>
      <c r="O936" t="s">
        <v>91</v>
      </c>
      <c r="P936" s="1" t="s">
        <v>3875</v>
      </c>
      <c r="Q936" s="1" t="s">
        <v>5281</v>
      </c>
      <c r="R936" s="1" t="s">
        <v>245</v>
      </c>
      <c r="S936">
        <v>1259</v>
      </c>
      <c r="T936">
        <v>88107350</v>
      </c>
      <c r="U936" s="1" t="s">
        <v>3210</v>
      </c>
      <c r="V936" s="1" t="s">
        <v>3016</v>
      </c>
      <c r="W936" s="1" t="s">
        <v>87</v>
      </c>
      <c r="X936">
        <v>48</v>
      </c>
      <c r="Y936">
        <v>33570968</v>
      </c>
      <c r="Z936" t="s">
        <v>91</v>
      </c>
      <c r="AA936" t="s">
        <v>91</v>
      </c>
      <c r="AB936" t="s">
        <v>91</v>
      </c>
      <c r="AC936" t="s">
        <v>91</v>
      </c>
      <c r="AD936" t="s">
        <v>91</v>
      </c>
      <c r="AE936" t="s">
        <v>91</v>
      </c>
      <c r="AF936" t="s">
        <v>91</v>
      </c>
      <c r="AG936" s="1" t="s">
        <v>146</v>
      </c>
      <c r="AH936" s="1" t="s">
        <v>91</v>
      </c>
      <c r="AI936" t="s">
        <v>91</v>
      </c>
      <c r="AJ936">
        <v>0</v>
      </c>
      <c r="AK936">
        <v>0</v>
      </c>
      <c r="AL936">
        <v>0</v>
      </c>
      <c r="AM936" t="s">
        <v>91</v>
      </c>
      <c r="AN936" t="s">
        <v>91</v>
      </c>
      <c r="AO936" t="s">
        <v>91</v>
      </c>
      <c r="AP936" t="s">
        <v>91</v>
      </c>
      <c r="AQ936" s="1" t="s">
        <v>147</v>
      </c>
      <c r="AR936" s="1" t="s">
        <v>147</v>
      </c>
      <c r="AS936" s="1" t="s">
        <v>147</v>
      </c>
      <c r="AT936" s="1" t="s">
        <v>147</v>
      </c>
      <c r="AU936" s="1" t="s">
        <v>147</v>
      </c>
      <c r="AV936" t="s">
        <v>91</v>
      </c>
      <c r="AW936" t="s">
        <v>91</v>
      </c>
      <c r="AX936" t="s">
        <v>91</v>
      </c>
      <c r="AY936" t="s">
        <v>91</v>
      </c>
      <c r="AZ936" t="s">
        <v>91</v>
      </c>
      <c r="BA936" t="s">
        <v>91</v>
      </c>
      <c r="BB936" s="2"/>
      <c r="BC936" s="2">
        <v>44440.738437499997</v>
      </c>
      <c r="BD936" t="s">
        <v>91</v>
      </c>
      <c r="BF936" s="1" t="s">
        <v>75</v>
      </c>
      <c r="BG936">
        <v>0</v>
      </c>
      <c r="BH936">
        <v>0</v>
      </c>
      <c r="BI936" s="1" t="s">
        <v>88</v>
      </c>
      <c r="BJ936">
        <v>1</v>
      </c>
      <c r="BK936" s="1" t="s">
        <v>89</v>
      </c>
      <c r="BL936" t="s">
        <v>91</v>
      </c>
      <c r="BM936" s="1" t="s">
        <v>109</v>
      </c>
      <c r="BN936" s="1" t="s">
        <v>110</v>
      </c>
      <c r="BO936" s="1" t="s">
        <v>180</v>
      </c>
      <c r="BP936" s="1" t="s">
        <v>91</v>
      </c>
      <c r="BQ936" t="s">
        <v>91</v>
      </c>
      <c r="BR936" s="3"/>
      <c r="BS936" s="3">
        <v>44440</v>
      </c>
      <c r="BT936" t="s">
        <v>91</v>
      </c>
      <c r="BU936" t="s">
        <v>91</v>
      </c>
      <c r="BV936">
        <v>9</v>
      </c>
      <c r="BW936" s="1" t="s">
        <v>5282</v>
      </c>
    </row>
    <row r="937" spans="1:75" hidden="1" x14ac:dyDescent="0.35">
      <c r="A937">
        <v>134238</v>
      </c>
      <c r="B937" s="1" t="s">
        <v>75</v>
      </c>
      <c r="C937">
        <v>80</v>
      </c>
      <c r="D937">
        <v>11121002</v>
      </c>
      <c r="E937">
        <v>121002</v>
      </c>
      <c r="F937" s="1" t="s">
        <v>2915</v>
      </c>
      <c r="G937" s="1" t="s">
        <v>5283</v>
      </c>
      <c r="I937" s="1" t="s">
        <v>78</v>
      </c>
      <c r="J937" s="1" t="s">
        <v>5284</v>
      </c>
      <c r="K937" s="1" t="s">
        <v>5285</v>
      </c>
      <c r="L937" t="s">
        <v>91</v>
      </c>
      <c r="M937" t="s">
        <v>91</v>
      </c>
      <c r="N937" s="1" t="s">
        <v>3950</v>
      </c>
      <c r="O937" t="s">
        <v>91</v>
      </c>
      <c r="P937" s="1" t="s">
        <v>3568</v>
      </c>
      <c r="Q937" s="1" t="s">
        <v>3569</v>
      </c>
      <c r="R937" s="1" t="s">
        <v>5286</v>
      </c>
      <c r="S937">
        <v>1255</v>
      </c>
      <c r="T937">
        <v>88015203</v>
      </c>
      <c r="U937" s="1" t="s">
        <v>108</v>
      </c>
      <c r="V937" s="1" t="s">
        <v>2922</v>
      </c>
      <c r="W937" s="1" t="s">
        <v>87</v>
      </c>
      <c r="X937">
        <v>48</v>
      </c>
      <c r="Y937">
        <v>30283724</v>
      </c>
      <c r="Z937" t="s">
        <v>91</v>
      </c>
      <c r="AA937" t="s">
        <v>91</v>
      </c>
      <c r="AB937" t="s">
        <v>91</v>
      </c>
      <c r="AC937" t="s">
        <v>91</v>
      </c>
      <c r="AD937" t="s">
        <v>91</v>
      </c>
      <c r="AE937" t="s">
        <v>91</v>
      </c>
      <c r="AF937" t="s">
        <v>91</v>
      </c>
      <c r="AG937" s="1" t="s">
        <v>91</v>
      </c>
      <c r="AH937" s="1" t="s">
        <v>91</v>
      </c>
      <c r="AI937" t="s">
        <v>91</v>
      </c>
      <c r="AJ937">
        <v>0</v>
      </c>
      <c r="AK937">
        <v>0</v>
      </c>
      <c r="AL937">
        <v>0</v>
      </c>
      <c r="AM937" t="s">
        <v>91</v>
      </c>
      <c r="AN937" t="s">
        <v>91</v>
      </c>
      <c r="AO937" t="s">
        <v>91</v>
      </c>
      <c r="AP937" t="s">
        <v>91</v>
      </c>
      <c r="AQ937" s="1" t="s">
        <v>91</v>
      </c>
      <c r="AR937" s="1" t="s">
        <v>91</v>
      </c>
      <c r="AS937" s="1" t="s">
        <v>91</v>
      </c>
      <c r="AT937" s="1" t="s">
        <v>91</v>
      </c>
      <c r="AU937" s="1" t="s">
        <v>91</v>
      </c>
      <c r="AV937" t="s">
        <v>91</v>
      </c>
      <c r="AW937" t="s">
        <v>91</v>
      </c>
      <c r="AX937" t="s">
        <v>91</v>
      </c>
      <c r="AY937" t="s">
        <v>91</v>
      </c>
      <c r="AZ937" t="s">
        <v>91</v>
      </c>
      <c r="BA937" t="s">
        <v>91</v>
      </c>
      <c r="BB937" s="2"/>
      <c r="BC937" s="2"/>
      <c r="BD937" t="s">
        <v>91</v>
      </c>
      <c r="BF937" s="1" t="s">
        <v>75</v>
      </c>
      <c r="BG937">
        <v>0</v>
      </c>
      <c r="BH937">
        <v>0</v>
      </c>
      <c r="BI937" s="1" t="s">
        <v>88</v>
      </c>
      <c r="BJ937">
        <v>1</v>
      </c>
      <c r="BK937" s="1" t="s">
        <v>89</v>
      </c>
      <c r="BL937" t="s">
        <v>91</v>
      </c>
      <c r="BM937" s="1" t="s">
        <v>109</v>
      </c>
      <c r="BN937" s="1" t="s">
        <v>110</v>
      </c>
      <c r="BO937" s="1" t="s">
        <v>165</v>
      </c>
      <c r="BP937" s="1" t="s">
        <v>91</v>
      </c>
      <c r="BQ937" t="s">
        <v>91</v>
      </c>
      <c r="BR937" s="3"/>
      <c r="BS937" s="3"/>
      <c r="BT937" t="s">
        <v>91</v>
      </c>
      <c r="BU937" t="s">
        <v>91</v>
      </c>
      <c r="BV937">
        <v>3</v>
      </c>
      <c r="BW937" s="1" t="s">
        <v>3224</v>
      </c>
    </row>
    <row r="938" spans="1:75" hidden="1" x14ac:dyDescent="0.35">
      <c r="A938">
        <v>144363</v>
      </c>
      <c r="B938" s="1" t="s">
        <v>75</v>
      </c>
      <c r="C938">
        <v>80</v>
      </c>
      <c r="D938">
        <v>11121002</v>
      </c>
      <c r="E938">
        <v>121002</v>
      </c>
      <c r="F938" s="1" t="s">
        <v>2915</v>
      </c>
      <c r="G938" s="1" t="s">
        <v>5287</v>
      </c>
      <c r="I938" s="1" t="s">
        <v>78</v>
      </c>
      <c r="J938" s="1" t="s">
        <v>5288</v>
      </c>
      <c r="K938" s="1" t="s">
        <v>5289</v>
      </c>
      <c r="L938" t="s">
        <v>91</v>
      </c>
      <c r="M938" t="s">
        <v>91</v>
      </c>
      <c r="N938" s="1" t="s">
        <v>5290</v>
      </c>
      <c r="O938" t="s">
        <v>91</v>
      </c>
      <c r="P938" s="1" t="s">
        <v>3056</v>
      </c>
      <c r="Q938" s="1" t="s">
        <v>5291</v>
      </c>
      <c r="R938" s="1" t="s">
        <v>91</v>
      </c>
      <c r="S938">
        <v>1268</v>
      </c>
      <c r="T938">
        <v>88701001</v>
      </c>
      <c r="U938" s="1" t="s">
        <v>108</v>
      </c>
      <c r="V938" s="1" t="s">
        <v>3059</v>
      </c>
      <c r="W938" s="1" t="s">
        <v>87</v>
      </c>
      <c r="X938">
        <v>48</v>
      </c>
      <c r="Y938">
        <v>36223825</v>
      </c>
      <c r="Z938" t="s">
        <v>91</v>
      </c>
      <c r="AA938" t="s">
        <v>91</v>
      </c>
      <c r="AB938" t="s">
        <v>91</v>
      </c>
      <c r="AC938" t="s">
        <v>91</v>
      </c>
      <c r="AD938" t="s">
        <v>91</v>
      </c>
      <c r="AE938" t="s">
        <v>91</v>
      </c>
      <c r="AF938" t="s">
        <v>91</v>
      </c>
      <c r="AG938" s="1" t="s">
        <v>91</v>
      </c>
      <c r="AH938" s="1" t="s">
        <v>91</v>
      </c>
      <c r="AI938" t="s">
        <v>91</v>
      </c>
      <c r="AJ938">
        <v>0</v>
      </c>
      <c r="AK938">
        <v>0</v>
      </c>
      <c r="AL938">
        <v>0</v>
      </c>
      <c r="AM938" t="s">
        <v>91</v>
      </c>
      <c r="AN938" t="s">
        <v>91</v>
      </c>
      <c r="AO938" t="s">
        <v>91</v>
      </c>
      <c r="AP938" t="s">
        <v>91</v>
      </c>
      <c r="AQ938" s="1" t="s">
        <v>91</v>
      </c>
      <c r="AR938" s="1" t="s">
        <v>91</v>
      </c>
      <c r="AS938" s="1" t="s">
        <v>91</v>
      </c>
      <c r="AT938" s="1" t="s">
        <v>91</v>
      </c>
      <c r="AU938" s="1" t="s">
        <v>91</v>
      </c>
      <c r="AV938" t="s">
        <v>91</v>
      </c>
      <c r="AW938" t="s">
        <v>91</v>
      </c>
      <c r="AX938" t="s">
        <v>91</v>
      </c>
      <c r="AY938" t="s">
        <v>91</v>
      </c>
      <c r="AZ938" t="s">
        <v>91</v>
      </c>
      <c r="BA938" t="s">
        <v>91</v>
      </c>
      <c r="BB938" s="2"/>
      <c r="BC938" s="2"/>
      <c r="BD938" t="s">
        <v>91</v>
      </c>
      <c r="BF938" s="1" t="s">
        <v>75</v>
      </c>
      <c r="BG938">
        <v>0</v>
      </c>
      <c r="BH938">
        <v>0</v>
      </c>
      <c r="BI938" s="1" t="s">
        <v>88</v>
      </c>
      <c r="BJ938">
        <v>1</v>
      </c>
      <c r="BK938" s="1" t="s">
        <v>89</v>
      </c>
      <c r="BL938" t="s">
        <v>91</v>
      </c>
      <c r="BM938" s="1" t="s">
        <v>329</v>
      </c>
      <c r="BN938" s="1" t="s">
        <v>110</v>
      </c>
      <c r="BO938" s="1" t="s">
        <v>165</v>
      </c>
      <c r="BP938" s="1" t="s">
        <v>91</v>
      </c>
      <c r="BQ938" t="s">
        <v>91</v>
      </c>
      <c r="BR938" s="3"/>
      <c r="BS938" s="3"/>
      <c r="BT938" t="s">
        <v>91</v>
      </c>
      <c r="BU938" t="s">
        <v>91</v>
      </c>
      <c r="BV938">
        <v>5</v>
      </c>
      <c r="BW938" s="1" t="s">
        <v>1330</v>
      </c>
    </row>
    <row r="939" spans="1:75" hidden="1" x14ac:dyDescent="0.35">
      <c r="A939">
        <v>158704</v>
      </c>
      <c r="B939" s="1" t="s">
        <v>75</v>
      </c>
      <c r="C939">
        <v>80</v>
      </c>
      <c r="D939">
        <v>11121002</v>
      </c>
      <c r="E939">
        <v>121002</v>
      </c>
      <c r="F939" s="1" t="s">
        <v>2915</v>
      </c>
      <c r="G939" s="1" t="s">
        <v>5292</v>
      </c>
      <c r="I939" s="1" t="s">
        <v>78</v>
      </c>
      <c r="J939" s="1" t="s">
        <v>5293</v>
      </c>
      <c r="K939" s="1" t="s">
        <v>5294</v>
      </c>
      <c r="L939" t="s">
        <v>91</v>
      </c>
      <c r="M939" t="s">
        <v>91</v>
      </c>
      <c r="N939" s="1" t="s">
        <v>5295</v>
      </c>
      <c r="O939" t="s">
        <v>91</v>
      </c>
      <c r="P939" s="1" t="s">
        <v>5296</v>
      </c>
      <c r="Q939" s="1" t="s">
        <v>5297</v>
      </c>
      <c r="R939" s="1" t="s">
        <v>5298</v>
      </c>
      <c r="S939">
        <v>1257</v>
      </c>
      <c r="T939">
        <v>88032005</v>
      </c>
      <c r="U939" s="1" t="s">
        <v>4347</v>
      </c>
      <c r="V939" s="1" t="s">
        <v>2922</v>
      </c>
      <c r="W939" s="1" t="s">
        <v>87</v>
      </c>
      <c r="X939">
        <v>48</v>
      </c>
      <c r="Y939">
        <v>996003230</v>
      </c>
      <c r="Z939" t="s">
        <v>91</v>
      </c>
      <c r="AA939" t="s">
        <v>91</v>
      </c>
      <c r="AB939" t="s">
        <v>91</v>
      </c>
      <c r="AC939" t="s">
        <v>91</v>
      </c>
      <c r="AD939" t="s">
        <v>91</v>
      </c>
      <c r="AE939" t="s">
        <v>91</v>
      </c>
      <c r="AF939" t="s">
        <v>91</v>
      </c>
      <c r="AG939" s="1" t="s">
        <v>91</v>
      </c>
      <c r="AH939" s="1" t="s">
        <v>91</v>
      </c>
      <c r="AI939" t="s">
        <v>91</v>
      </c>
      <c r="AM939" t="s">
        <v>91</v>
      </c>
      <c r="AN939" t="s">
        <v>91</v>
      </c>
      <c r="AO939" t="s">
        <v>91</v>
      </c>
      <c r="AP939" t="s">
        <v>91</v>
      </c>
      <c r="AQ939" s="1" t="s">
        <v>91</v>
      </c>
      <c r="AR939" s="1" t="s">
        <v>91</v>
      </c>
      <c r="AS939" s="1" t="s">
        <v>91</v>
      </c>
      <c r="AT939" s="1" t="s">
        <v>91</v>
      </c>
      <c r="AU939" s="1" t="s">
        <v>91</v>
      </c>
      <c r="AV939" t="s">
        <v>91</v>
      </c>
      <c r="AW939" t="s">
        <v>91</v>
      </c>
      <c r="AX939" t="s">
        <v>91</v>
      </c>
      <c r="AY939" t="s">
        <v>91</v>
      </c>
      <c r="AZ939" t="s">
        <v>91</v>
      </c>
      <c r="BA939" t="s">
        <v>91</v>
      </c>
      <c r="BB939" s="2">
        <v>45155.700069444443</v>
      </c>
      <c r="BC939" s="2"/>
      <c r="BD939" t="s">
        <v>91</v>
      </c>
      <c r="BF939" s="1" t="s">
        <v>75</v>
      </c>
      <c r="BI939" s="1" t="s">
        <v>88</v>
      </c>
      <c r="BJ939">
        <v>1</v>
      </c>
      <c r="BK939" s="1" t="s">
        <v>89</v>
      </c>
      <c r="BL939" t="s">
        <v>91</v>
      </c>
      <c r="BM939" s="1" t="s">
        <v>91</v>
      </c>
      <c r="BN939" s="1" t="s">
        <v>91</v>
      </c>
      <c r="BO939" s="1" t="s">
        <v>91</v>
      </c>
      <c r="BP939" s="1" t="s">
        <v>91</v>
      </c>
      <c r="BQ939" t="s">
        <v>91</v>
      </c>
      <c r="BR939" s="3">
        <v>45155</v>
      </c>
      <c r="BS939" s="3"/>
      <c r="BT939" t="s">
        <v>91</v>
      </c>
      <c r="BU939" t="s">
        <v>91</v>
      </c>
      <c r="BW939" s="1" t="s">
        <v>90</v>
      </c>
    </row>
    <row r="940" spans="1:75" hidden="1" x14ac:dyDescent="0.35">
      <c r="A940">
        <v>157615</v>
      </c>
      <c r="B940" s="1" t="s">
        <v>75</v>
      </c>
      <c r="C940">
        <v>80</v>
      </c>
      <c r="D940">
        <v>11121002</v>
      </c>
      <c r="E940">
        <v>121002</v>
      </c>
      <c r="F940" s="1" t="s">
        <v>2915</v>
      </c>
      <c r="G940" s="1" t="s">
        <v>5299</v>
      </c>
      <c r="H940">
        <v>0</v>
      </c>
      <c r="I940" s="1" t="s">
        <v>78</v>
      </c>
      <c r="J940" s="1" t="s">
        <v>5300</v>
      </c>
      <c r="K940" s="1" t="s">
        <v>5301</v>
      </c>
      <c r="L940" t="s">
        <v>91</v>
      </c>
      <c r="M940" t="s">
        <v>91</v>
      </c>
      <c r="N940" s="1" t="s">
        <v>5092</v>
      </c>
      <c r="O940" t="s">
        <v>91</v>
      </c>
      <c r="P940" s="1" t="s">
        <v>311</v>
      </c>
      <c r="Q940" s="1" t="s">
        <v>1846</v>
      </c>
      <c r="R940" s="1" t="s">
        <v>3434</v>
      </c>
      <c r="S940">
        <v>1254</v>
      </c>
      <c r="T940">
        <v>88010001</v>
      </c>
      <c r="U940" s="1" t="s">
        <v>108</v>
      </c>
      <c r="V940" s="1" t="s">
        <v>2922</v>
      </c>
      <c r="W940" s="1" t="s">
        <v>87</v>
      </c>
      <c r="X940">
        <v>48</v>
      </c>
      <c r="Y940">
        <v>30625109</v>
      </c>
      <c r="Z940" t="s">
        <v>91</v>
      </c>
      <c r="AA940" t="s">
        <v>91</v>
      </c>
      <c r="AB940" t="s">
        <v>91</v>
      </c>
      <c r="AC940" t="s">
        <v>91</v>
      </c>
      <c r="AD940" t="s">
        <v>91</v>
      </c>
      <c r="AE940" t="s">
        <v>91</v>
      </c>
      <c r="AF940" t="s">
        <v>91</v>
      </c>
      <c r="AG940" s="1" t="s">
        <v>91</v>
      </c>
      <c r="AH940" s="1" t="s">
        <v>91</v>
      </c>
      <c r="AI940" t="s">
        <v>91</v>
      </c>
      <c r="AM940" t="s">
        <v>91</v>
      </c>
      <c r="AN940" t="s">
        <v>91</v>
      </c>
      <c r="AO940" t="s">
        <v>91</v>
      </c>
      <c r="AP940" t="s">
        <v>91</v>
      </c>
      <c r="AQ940" s="1" t="s">
        <v>91</v>
      </c>
      <c r="AR940" s="1" t="s">
        <v>91</v>
      </c>
      <c r="AS940" s="1" t="s">
        <v>91</v>
      </c>
      <c r="AT940" s="1" t="s">
        <v>91</v>
      </c>
      <c r="AU940" s="1" t="s">
        <v>91</v>
      </c>
      <c r="AV940" t="s">
        <v>91</v>
      </c>
      <c r="AW940" t="s">
        <v>91</v>
      </c>
      <c r="AX940" t="s">
        <v>91</v>
      </c>
      <c r="AY940" t="s">
        <v>91</v>
      </c>
      <c r="AZ940" t="s">
        <v>91</v>
      </c>
      <c r="BA940" t="s">
        <v>91</v>
      </c>
      <c r="BB940" s="2">
        <v>45118.097175925926</v>
      </c>
      <c r="BC940" s="2"/>
      <c r="BD940" t="s">
        <v>91</v>
      </c>
      <c r="BF940" s="1" t="s">
        <v>75</v>
      </c>
      <c r="BI940" s="1" t="s">
        <v>88</v>
      </c>
      <c r="BJ940">
        <v>1</v>
      </c>
      <c r="BK940" s="1" t="s">
        <v>89</v>
      </c>
      <c r="BL940" t="s">
        <v>91</v>
      </c>
      <c r="BM940" s="1" t="s">
        <v>91</v>
      </c>
      <c r="BN940" s="1" t="s">
        <v>91</v>
      </c>
      <c r="BO940" s="1" t="s">
        <v>91</v>
      </c>
      <c r="BP940" s="1" t="s">
        <v>91</v>
      </c>
      <c r="BQ940" t="s">
        <v>91</v>
      </c>
      <c r="BR940" s="3">
        <v>45118</v>
      </c>
      <c r="BS940" s="3"/>
      <c r="BT940" t="s">
        <v>91</v>
      </c>
      <c r="BU940" t="s">
        <v>91</v>
      </c>
      <c r="BW940" s="1" t="s">
        <v>90</v>
      </c>
    </row>
    <row r="941" spans="1:75" hidden="1" x14ac:dyDescent="0.35">
      <c r="A941">
        <v>134496</v>
      </c>
      <c r="B941" s="1" t="s">
        <v>75</v>
      </c>
      <c r="C941">
        <v>80</v>
      </c>
      <c r="D941">
        <v>11121002</v>
      </c>
      <c r="E941">
        <v>121002</v>
      </c>
      <c r="F941" s="1" t="s">
        <v>2915</v>
      </c>
      <c r="G941" s="1" t="s">
        <v>5302</v>
      </c>
      <c r="I941" s="1" t="s">
        <v>78</v>
      </c>
      <c r="J941" s="1" t="s">
        <v>5300</v>
      </c>
      <c r="K941" s="1" t="s">
        <v>5303</v>
      </c>
      <c r="L941" t="s">
        <v>91</v>
      </c>
      <c r="M941" t="s">
        <v>91</v>
      </c>
      <c r="N941" s="1" t="s">
        <v>5304</v>
      </c>
      <c r="O941" t="s">
        <v>91</v>
      </c>
      <c r="P941" s="1" t="s">
        <v>3722</v>
      </c>
      <c r="Q941" s="1" t="s">
        <v>3723</v>
      </c>
      <c r="R941" s="1" t="s">
        <v>434</v>
      </c>
      <c r="S941">
        <v>1259</v>
      </c>
      <c r="T941">
        <v>88131000</v>
      </c>
      <c r="U941" s="1" t="s">
        <v>108</v>
      </c>
      <c r="V941" s="1" t="s">
        <v>3165</v>
      </c>
      <c r="W941" s="1" t="s">
        <v>87</v>
      </c>
      <c r="X941">
        <v>48</v>
      </c>
      <c r="Y941">
        <v>30625107</v>
      </c>
      <c r="Z941" t="s">
        <v>91</v>
      </c>
      <c r="AA941" t="s">
        <v>91</v>
      </c>
      <c r="AB941" t="s">
        <v>91</v>
      </c>
      <c r="AC941" t="s">
        <v>91</v>
      </c>
      <c r="AD941" t="s">
        <v>91</v>
      </c>
      <c r="AE941" t="s">
        <v>91</v>
      </c>
      <c r="AF941" t="s">
        <v>91</v>
      </c>
      <c r="AG941" s="1" t="s">
        <v>146</v>
      </c>
      <c r="AH941" s="1" t="s">
        <v>91</v>
      </c>
      <c r="AI941" t="s">
        <v>91</v>
      </c>
      <c r="AM941" t="s">
        <v>91</v>
      </c>
      <c r="AN941" t="s">
        <v>91</v>
      </c>
      <c r="AO941" t="s">
        <v>91</v>
      </c>
      <c r="AP941" t="s">
        <v>91</v>
      </c>
      <c r="AQ941" s="1" t="s">
        <v>147</v>
      </c>
      <c r="AR941" s="1" t="s">
        <v>147</v>
      </c>
      <c r="AS941" s="1" t="s">
        <v>147</v>
      </c>
      <c r="AT941" s="1" t="s">
        <v>147</v>
      </c>
      <c r="AU941" s="1" t="s">
        <v>147</v>
      </c>
      <c r="AV941" t="s">
        <v>91</v>
      </c>
      <c r="AW941" t="s">
        <v>91</v>
      </c>
      <c r="AX941" t="s">
        <v>91</v>
      </c>
      <c r="AY941" t="s">
        <v>91</v>
      </c>
      <c r="AZ941" t="s">
        <v>91</v>
      </c>
      <c r="BA941" t="s">
        <v>91</v>
      </c>
      <c r="BB941" s="2"/>
      <c r="BC941" s="2">
        <v>44508.453530092593</v>
      </c>
      <c r="BD941" t="s">
        <v>91</v>
      </c>
      <c r="BF941" s="1" t="s">
        <v>75</v>
      </c>
      <c r="BH941">
        <v>0</v>
      </c>
      <c r="BI941" s="1" t="s">
        <v>88</v>
      </c>
      <c r="BJ941">
        <v>1</v>
      </c>
      <c r="BK941" s="1" t="s">
        <v>89</v>
      </c>
      <c r="BL941" t="s">
        <v>91</v>
      </c>
      <c r="BM941" s="1" t="s">
        <v>109</v>
      </c>
      <c r="BN941" s="1" t="s">
        <v>110</v>
      </c>
      <c r="BO941" s="1" t="s">
        <v>111</v>
      </c>
      <c r="BP941" s="1" t="s">
        <v>91</v>
      </c>
      <c r="BQ941" t="s">
        <v>91</v>
      </c>
      <c r="BR941" s="3"/>
      <c r="BS941" s="3">
        <v>44508</v>
      </c>
      <c r="BT941" t="s">
        <v>91</v>
      </c>
      <c r="BU941" t="s">
        <v>91</v>
      </c>
      <c r="BV941">
        <v>4</v>
      </c>
      <c r="BW941" s="1" t="s">
        <v>620</v>
      </c>
    </row>
    <row r="942" spans="1:75" hidden="1" x14ac:dyDescent="0.35">
      <c r="A942">
        <v>127480</v>
      </c>
      <c r="B942" s="1" t="s">
        <v>75</v>
      </c>
      <c r="C942">
        <v>80</v>
      </c>
      <c r="D942">
        <v>11121002</v>
      </c>
      <c r="E942">
        <v>121002</v>
      </c>
      <c r="F942" s="1" t="s">
        <v>2915</v>
      </c>
      <c r="G942" s="1" t="s">
        <v>5305</v>
      </c>
      <c r="H942">
        <v>0</v>
      </c>
      <c r="I942" s="1" t="s">
        <v>78</v>
      </c>
      <c r="J942" s="1" t="s">
        <v>5306</v>
      </c>
      <c r="K942" s="1" t="s">
        <v>5307</v>
      </c>
      <c r="L942" t="s">
        <v>91</v>
      </c>
      <c r="M942" t="s">
        <v>91</v>
      </c>
      <c r="N942" s="1" t="s">
        <v>5308</v>
      </c>
      <c r="O942" t="s">
        <v>91</v>
      </c>
      <c r="P942" s="1" t="s">
        <v>3722</v>
      </c>
      <c r="Q942" s="1" t="s">
        <v>5309</v>
      </c>
      <c r="R942" s="1" t="s">
        <v>370</v>
      </c>
      <c r="S942">
        <v>1259</v>
      </c>
      <c r="T942">
        <v>88131000</v>
      </c>
      <c r="U942" s="1" t="s">
        <v>108</v>
      </c>
      <c r="V942" s="1" t="s">
        <v>3165</v>
      </c>
      <c r="W942" s="1" t="s">
        <v>87</v>
      </c>
      <c r="X942">
        <v>48</v>
      </c>
      <c r="Y942">
        <v>32422160</v>
      </c>
      <c r="Z942" t="s">
        <v>91</v>
      </c>
      <c r="AA942" t="s">
        <v>91</v>
      </c>
      <c r="AB942" t="s">
        <v>91</v>
      </c>
      <c r="AC942" t="s">
        <v>91</v>
      </c>
      <c r="AD942" t="s">
        <v>91</v>
      </c>
      <c r="AE942" t="s">
        <v>91</v>
      </c>
      <c r="AF942" t="s">
        <v>91</v>
      </c>
      <c r="AG942" s="1" t="s">
        <v>91</v>
      </c>
      <c r="AH942" s="1" t="s">
        <v>91</v>
      </c>
      <c r="AI942" t="s">
        <v>91</v>
      </c>
      <c r="AJ942">
        <v>0</v>
      </c>
      <c r="AK942">
        <v>0</v>
      </c>
      <c r="AL942">
        <v>0</v>
      </c>
      <c r="AM942" t="s">
        <v>91</v>
      </c>
      <c r="AN942" t="s">
        <v>91</v>
      </c>
      <c r="AO942" t="s">
        <v>91</v>
      </c>
      <c r="AP942" t="s">
        <v>91</v>
      </c>
      <c r="AQ942" s="1" t="s">
        <v>91</v>
      </c>
      <c r="AR942" s="1" t="s">
        <v>91</v>
      </c>
      <c r="AS942" s="1" t="s">
        <v>91</v>
      </c>
      <c r="AT942" s="1" t="s">
        <v>91</v>
      </c>
      <c r="AU942" s="1" t="s">
        <v>91</v>
      </c>
      <c r="AV942" t="s">
        <v>91</v>
      </c>
      <c r="AW942" t="s">
        <v>91</v>
      </c>
      <c r="AX942" t="s">
        <v>91</v>
      </c>
      <c r="AY942" t="s">
        <v>91</v>
      </c>
      <c r="AZ942" t="s">
        <v>91</v>
      </c>
      <c r="BA942" t="s">
        <v>91</v>
      </c>
      <c r="BB942" s="2">
        <v>44111.380995370368</v>
      </c>
      <c r="BC942" s="2"/>
      <c r="BD942" t="s">
        <v>91</v>
      </c>
      <c r="BF942" s="1" t="s">
        <v>75</v>
      </c>
      <c r="BG942">
        <v>0</v>
      </c>
      <c r="BH942">
        <v>0</v>
      </c>
      <c r="BI942" s="1" t="s">
        <v>88</v>
      </c>
      <c r="BJ942">
        <v>1</v>
      </c>
      <c r="BK942" s="1" t="s">
        <v>89</v>
      </c>
      <c r="BL942" t="s">
        <v>91</v>
      </c>
      <c r="BM942" s="1" t="s">
        <v>109</v>
      </c>
      <c r="BN942" s="1" t="s">
        <v>110</v>
      </c>
      <c r="BO942" s="1" t="s">
        <v>180</v>
      </c>
      <c r="BP942" s="1" t="s">
        <v>91</v>
      </c>
      <c r="BQ942" t="s">
        <v>91</v>
      </c>
      <c r="BR942" s="3">
        <v>44111</v>
      </c>
      <c r="BS942" s="3"/>
      <c r="BT942" t="s">
        <v>91</v>
      </c>
      <c r="BU942" t="s">
        <v>91</v>
      </c>
      <c r="BV942">
        <v>9</v>
      </c>
      <c r="BW942" s="1" t="s">
        <v>90</v>
      </c>
    </row>
    <row r="943" spans="1:75" hidden="1" x14ac:dyDescent="0.35">
      <c r="A943">
        <v>134257</v>
      </c>
      <c r="B943" s="1" t="s">
        <v>75</v>
      </c>
      <c r="C943">
        <v>80</v>
      </c>
      <c r="D943">
        <v>11121002</v>
      </c>
      <c r="E943">
        <v>121002</v>
      </c>
      <c r="F943" s="1" t="s">
        <v>2915</v>
      </c>
      <c r="G943" s="1" t="s">
        <v>5310</v>
      </c>
      <c r="I943" s="1" t="s">
        <v>78</v>
      </c>
      <c r="J943" s="1" t="s">
        <v>5311</v>
      </c>
      <c r="K943" s="1" t="s">
        <v>5312</v>
      </c>
      <c r="L943" t="s">
        <v>91</v>
      </c>
      <c r="M943" t="s">
        <v>91</v>
      </c>
      <c r="N943" s="1" t="s">
        <v>5313</v>
      </c>
      <c r="O943" t="s">
        <v>91</v>
      </c>
      <c r="P943" s="1" t="s">
        <v>5314</v>
      </c>
      <c r="Q943" s="1" t="s">
        <v>1808</v>
      </c>
      <c r="R943" s="1" t="s">
        <v>173</v>
      </c>
      <c r="S943">
        <v>1259</v>
      </c>
      <c r="T943">
        <v>88111500</v>
      </c>
      <c r="U943" s="1" t="s">
        <v>5315</v>
      </c>
      <c r="V943" s="1" t="s">
        <v>3016</v>
      </c>
      <c r="W943" s="1" t="s">
        <v>87</v>
      </c>
      <c r="X943">
        <v>48</v>
      </c>
      <c r="Y943">
        <v>30353312</v>
      </c>
      <c r="Z943" t="s">
        <v>91</v>
      </c>
      <c r="AA943" t="s">
        <v>91</v>
      </c>
      <c r="AB943" t="s">
        <v>91</v>
      </c>
      <c r="AC943" t="s">
        <v>91</v>
      </c>
      <c r="AD943" t="s">
        <v>91</v>
      </c>
      <c r="AE943" t="s">
        <v>91</v>
      </c>
      <c r="AF943" t="s">
        <v>91</v>
      </c>
      <c r="AG943" s="1" t="s">
        <v>146</v>
      </c>
      <c r="AH943" s="1" t="s">
        <v>91</v>
      </c>
      <c r="AI943" t="s">
        <v>91</v>
      </c>
      <c r="AJ943">
        <v>0</v>
      </c>
      <c r="AK943">
        <v>0</v>
      </c>
      <c r="AL943">
        <v>0</v>
      </c>
      <c r="AM943" t="s">
        <v>91</v>
      </c>
      <c r="AN943" t="s">
        <v>91</v>
      </c>
      <c r="AO943" t="s">
        <v>91</v>
      </c>
      <c r="AP943" t="s">
        <v>91</v>
      </c>
      <c r="AQ943" s="1" t="s">
        <v>147</v>
      </c>
      <c r="AR943" s="1" t="s">
        <v>147</v>
      </c>
      <c r="AS943" s="1" t="s">
        <v>147</v>
      </c>
      <c r="AT943" s="1" t="s">
        <v>147</v>
      </c>
      <c r="AU943" s="1" t="s">
        <v>147</v>
      </c>
      <c r="AV943" t="s">
        <v>91</v>
      </c>
      <c r="AW943" t="s">
        <v>91</v>
      </c>
      <c r="AX943" t="s">
        <v>91</v>
      </c>
      <c r="AY943" t="s">
        <v>91</v>
      </c>
      <c r="AZ943" t="s">
        <v>91</v>
      </c>
      <c r="BA943" t="s">
        <v>91</v>
      </c>
      <c r="BB943" s="2"/>
      <c r="BC943" s="2">
        <v>44664.436701388891</v>
      </c>
      <c r="BD943" t="s">
        <v>91</v>
      </c>
      <c r="BF943" s="1" t="s">
        <v>75</v>
      </c>
      <c r="BG943">
        <v>0</v>
      </c>
      <c r="BH943">
        <v>0</v>
      </c>
      <c r="BI943" s="1" t="s">
        <v>88</v>
      </c>
      <c r="BJ943">
        <v>1</v>
      </c>
      <c r="BK943" s="1" t="s">
        <v>89</v>
      </c>
      <c r="BL943" t="s">
        <v>91</v>
      </c>
      <c r="BM943" s="1" t="s">
        <v>109</v>
      </c>
      <c r="BN943" s="1" t="s">
        <v>110</v>
      </c>
      <c r="BO943" s="1" t="s">
        <v>180</v>
      </c>
      <c r="BP943" s="1" t="s">
        <v>91</v>
      </c>
      <c r="BQ943" t="s">
        <v>91</v>
      </c>
      <c r="BR943" s="3"/>
      <c r="BS943" s="3">
        <v>44664</v>
      </c>
      <c r="BT943" t="s">
        <v>91</v>
      </c>
      <c r="BU943" t="s">
        <v>91</v>
      </c>
      <c r="BV943">
        <v>9</v>
      </c>
      <c r="BW943" s="1" t="s">
        <v>419</v>
      </c>
    </row>
    <row r="944" spans="1:75" hidden="1" x14ac:dyDescent="0.35">
      <c r="A944">
        <v>157592</v>
      </c>
      <c r="B944" s="1" t="s">
        <v>75</v>
      </c>
      <c r="C944">
        <v>80</v>
      </c>
      <c r="D944">
        <v>11121002</v>
      </c>
      <c r="E944">
        <v>121002</v>
      </c>
      <c r="F944" s="1" t="s">
        <v>2915</v>
      </c>
      <c r="G944" s="1" t="s">
        <v>5316</v>
      </c>
      <c r="H944">
        <v>0</v>
      </c>
      <c r="I944" s="1" t="s">
        <v>78</v>
      </c>
      <c r="J944" s="1" t="s">
        <v>5317</v>
      </c>
      <c r="K944" s="1" t="s">
        <v>5318</v>
      </c>
      <c r="L944" t="s">
        <v>91</v>
      </c>
      <c r="M944" t="s">
        <v>91</v>
      </c>
      <c r="N944" s="1" t="s">
        <v>5319</v>
      </c>
      <c r="O944" t="s">
        <v>91</v>
      </c>
      <c r="P944" s="1" t="s">
        <v>5320</v>
      </c>
      <c r="Q944" s="1" t="s">
        <v>4644</v>
      </c>
      <c r="R944" s="1" t="s">
        <v>98</v>
      </c>
      <c r="S944">
        <v>1336</v>
      </c>
      <c r="T944">
        <v>95560000</v>
      </c>
      <c r="U944" s="1" t="s">
        <v>108</v>
      </c>
      <c r="V944" s="1" t="s">
        <v>3038</v>
      </c>
      <c r="W944" s="1" t="s">
        <v>157</v>
      </c>
      <c r="X944">
        <v>51</v>
      </c>
      <c r="Y944">
        <v>36263296</v>
      </c>
      <c r="Z944" t="s">
        <v>91</v>
      </c>
      <c r="AA944" t="s">
        <v>91</v>
      </c>
      <c r="AB944" t="s">
        <v>91</v>
      </c>
      <c r="AC944" t="s">
        <v>91</v>
      </c>
      <c r="AD944" t="s">
        <v>91</v>
      </c>
      <c r="AE944" t="s">
        <v>91</v>
      </c>
      <c r="AF944" t="s">
        <v>91</v>
      </c>
      <c r="AG944" s="1" t="s">
        <v>91</v>
      </c>
      <c r="AH944" s="1" t="s">
        <v>91</v>
      </c>
      <c r="AI944" t="s">
        <v>91</v>
      </c>
      <c r="AM944" t="s">
        <v>91</v>
      </c>
      <c r="AN944" t="s">
        <v>91</v>
      </c>
      <c r="AO944" t="s">
        <v>91</v>
      </c>
      <c r="AP944" t="s">
        <v>91</v>
      </c>
      <c r="AQ944" s="1" t="s">
        <v>91</v>
      </c>
      <c r="AR944" s="1" t="s">
        <v>91</v>
      </c>
      <c r="AS944" s="1" t="s">
        <v>91</v>
      </c>
      <c r="AT944" s="1" t="s">
        <v>91</v>
      </c>
      <c r="AU944" s="1" t="s">
        <v>91</v>
      </c>
      <c r="AV944" t="s">
        <v>91</v>
      </c>
      <c r="AW944" t="s">
        <v>91</v>
      </c>
      <c r="AX944" t="s">
        <v>91</v>
      </c>
      <c r="AY944" t="s">
        <v>91</v>
      </c>
      <c r="AZ944" t="s">
        <v>91</v>
      </c>
      <c r="BA944" t="s">
        <v>91</v>
      </c>
      <c r="BB944" s="2">
        <v>45118.097175925926</v>
      </c>
      <c r="BC944" s="2"/>
      <c r="BD944" t="s">
        <v>91</v>
      </c>
      <c r="BF944" s="1" t="s">
        <v>75</v>
      </c>
      <c r="BI944" s="1" t="s">
        <v>88</v>
      </c>
      <c r="BJ944">
        <v>1</v>
      </c>
      <c r="BK944" s="1" t="s">
        <v>89</v>
      </c>
      <c r="BL944" t="s">
        <v>91</v>
      </c>
      <c r="BM944" s="1" t="s">
        <v>91</v>
      </c>
      <c r="BN944" s="1" t="s">
        <v>91</v>
      </c>
      <c r="BO944" s="1" t="s">
        <v>91</v>
      </c>
      <c r="BP944" s="1" t="s">
        <v>91</v>
      </c>
      <c r="BQ944" t="s">
        <v>91</v>
      </c>
      <c r="BR944" s="3">
        <v>45118</v>
      </c>
      <c r="BS944" s="3"/>
      <c r="BT944" t="s">
        <v>91</v>
      </c>
      <c r="BU944" t="s">
        <v>91</v>
      </c>
      <c r="BW944" s="1" t="s">
        <v>90</v>
      </c>
    </row>
    <row r="945" spans="1:75" hidden="1" x14ac:dyDescent="0.35">
      <c r="A945">
        <v>152746</v>
      </c>
      <c r="B945" s="1" t="s">
        <v>75</v>
      </c>
      <c r="C945">
        <v>80</v>
      </c>
      <c r="D945">
        <v>11121002</v>
      </c>
      <c r="E945">
        <v>121002</v>
      </c>
      <c r="F945" s="1" t="s">
        <v>2915</v>
      </c>
      <c r="G945" s="1" t="s">
        <v>5321</v>
      </c>
      <c r="H945">
        <v>0</v>
      </c>
      <c r="I945" s="1" t="s">
        <v>78</v>
      </c>
      <c r="J945" s="1" t="s">
        <v>5322</v>
      </c>
      <c r="K945" s="1" t="s">
        <v>5323</v>
      </c>
      <c r="L945" t="s">
        <v>91</v>
      </c>
      <c r="M945" t="s">
        <v>91</v>
      </c>
      <c r="N945" s="1" t="s">
        <v>5324</v>
      </c>
      <c r="O945" t="s">
        <v>91</v>
      </c>
      <c r="P945" s="1" t="s">
        <v>5325</v>
      </c>
      <c r="Q945" s="1" t="s">
        <v>3064</v>
      </c>
      <c r="R945" s="1" t="s">
        <v>5326</v>
      </c>
      <c r="S945">
        <v>1254</v>
      </c>
      <c r="T945">
        <v>88010902</v>
      </c>
      <c r="U945" s="1" t="s">
        <v>108</v>
      </c>
      <c r="V945" s="1" t="s">
        <v>2922</v>
      </c>
      <c r="W945" s="1" t="s">
        <v>87</v>
      </c>
      <c r="Z945" t="s">
        <v>91</v>
      </c>
      <c r="AA945" t="s">
        <v>91</v>
      </c>
      <c r="AB945" t="s">
        <v>91</v>
      </c>
      <c r="AC945" t="s">
        <v>91</v>
      </c>
      <c r="AD945" t="s">
        <v>91</v>
      </c>
      <c r="AE945" t="s">
        <v>91</v>
      </c>
      <c r="AF945" t="s">
        <v>91</v>
      </c>
      <c r="AG945" s="1" t="s">
        <v>91</v>
      </c>
      <c r="AH945" s="1" t="s">
        <v>91</v>
      </c>
      <c r="AI945" t="s">
        <v>91</v>
      </c>
      <c r="AM945" t="s">
        <v>91</v>
      </c>
      <c r="AN945" t="s">
        <v>91</v>
      </c>
      <c r="AO945" t="s">
        <v>91</v>
      </c>
      <c r="AP945" t="s">
        <v>91</v>
      </c>
      <c r="AQ945" s="1" t="s">
        <v>91</v>
      </c>
      <c r="AR945" s="1" t="s">
        <v>91</v>
      </c>
      <c r="AS945" s="1" t="s">
        <v>91</v>
      </c>
      <c r="AT945" s="1" t="s">
        <v>91</v>
      </c>
      <c r="AU945" s="1" t="s">
        <v>91</v>
      </c>
      <c r="AV945" t="s">
        <v>91</v>
      </c>
      <c r="AW945" t="s">
        <v>91</v>
      </c>
      <c r="AX945" t="s">
        <v>91</v>
      </c>
      <c r="AY945" t="s">
        <v>91</v>
      </c>
      <c r="AZ945" t="s">
        <v>91</v>
      </c>
      <c r="BA945" t="s">
        <v>91</v>
      </c>
      <c r="BB945" s="2">
        <v>45019.565613425926</v>
      </c>
      <c r="BC945" s="2"/>
      <c r="BD945" t="s">
        <v>91</v>
      </c>
      <c r="BF945" s="1" t="s">
        <v>75</v>
      </c>
      <c r="BI945" s="1" t="s">
        <v>88</v>
      </c>
      <c r="BJ945">
        <v>1</v>
      </c>
      <c r="BK945" s="1" t="s">
        <v>89</v>
      </c>
      <c r="BL945" t="s">
        <v>91</v>
      </c>
      <c r="BM945" s="1" t="s">
        <v>91</v>
      </c>
      <c r="BN945" s="1" t="s">
        <v>91</v>
      </c>
      <c r="BO945" s="1" t="s">
        <v>91</v>
      </c>
      <c r="BP945" s="1" t="s">
        <v>91</v>
      </c>
      <c r="BQ945" t="s">
        <v>91</v>
      </c>
      <c r="BR945" s="3">
        <v>45019</v>
      </c>
      <c r="BS945" s="3"/>
      <c r="BT945" t="s">
        <v>91</v>
      </c>
      <c r="BU945" t="s">
        <v>91</v>
      </c>
      <c r="BW945" s="1" t="s">
        <v>90</v>
      </c>
    </row>
    <row r="946" spans="1:75" hidden="1" x14ac:dyDescent="0.35">
      <c r="A946">
        <v>144677</v>
      </c>
      <c r="B946" s="1" t="s">
        <v>75</v>
      </c>
      <c r="C946">
        <v>80</v>
      </c>
      <c r="D946">
        <v>11121002</v>
      </c>
      <c r="E946">
        <v>121002</v>
      </c>
      <c r="F946" s="1" t="s">
        <v>2915</v>
      </c>
      <c r="G946" s="1" t="s">
        <v>5327</v>
      </c>
      <c r="I946" s="1" t="s">
        <v>78</v>
      </c>
      <c r="J946" s="1" t="s">
        <v>5328</v>
      </c>
      <c r="K946" s="1" t="s">
        <v>5329</v>
      </c>
      <c r="L946" t="s">
        <v>91</v>
      </c>
      <c r="M946" t="s">
        <v>91</v>
      </c>
      <c r="N946" s="1" t="s">
        <v>5330</v>
      </c>
      <c r="O946" t="s">
        <v>91</v>
      </c>
      <c r="P946" s="1" t="s">
        <v>5331</v>
      </c>
      <c r="Q946" s="1" t="s">
        <v>4315</v>
      </c>
      <c r="R946" s="1" t="s">
        <v>236</v>
      </c>
      <c r="S946">
        <v>1269</v>
      </c>
      <c r="T946">
        <v>88811500</v>
      </c>
      <c r="U946" s="1" t="s">
        <v>108</v>
      </c>
      <c r="V946" s="1" t="s">
        <v>3231</v>
      </c>
      <c r="W946" s="1" t="s">
        <v>87</v>
      </c>
      <c r="X946">
        <v>48</v>
      </c>
      <c r="Y946">
        <v>34433435</v>
      </c>
      <c r="Z946" t="s">
        <v>91</v>
      </c>
      <c r="AA946" t="s">
        <v>91</v>
      </c>
      <c r="AB946" t="s">
        <v>91</v>
      </c>
      <c r="AC946" t="s">
        <v>91</v>
      </c>
      <c r="AD946" t="s">
        <v>91</v>
      </c>
      <c r="AE946" t="s">
        <v>91</v>
      </c>
      <c r="AF946" t="s">
        <v>91</v>
      </c>
      <c r="AG946" s="1" t="s">
        <v>91</v>
      </c>
      <c r="AH946" s="1" t="s">
        <v>91</v>
      </c>
      <c r="AI946" t="s">
        <v>91</v>
      </c>
      <c r="AJ946">
        <v>0</v>
      </c>
      <c r="AK946">
        <v>0</v>
      </c>
      <c r="AL946">
        <v>0</v>
      </c>
      <c r="AM946" t="s">
        <v>91</v>
      </c>
      <c r="AN946" t="s">
        <v>91</v>
      </c>
      <c r="AO946" t="s">
        <v>91</v>
      </c>
      <c r="AP946" t="s">
        <v>91</v>
      </c>
      <c r="AQ946" s="1" t="s">
        <v>91</v>
      </c>
      <c r="AR946" s="1" t="s">
        <v>91</v>
      </c>
      <c r="AS946" s="1" t="s">
        <v>91</v>
      </c>
      <c r="AT946" s="1" t="s">
        <v>91</v>
      </c>
      <c r="AU946" s="1" t="s">
        <v>91</v>
      </c>
      <c r="AV946" t="s">
        <v>91</v>
      </c>
      <c r="AW946" t="s">
        <v>91</v>
      </c>
      <c r="AX946" t="s">
        <v>91</v>
      </c>
      <c r="AY946" t="s">
        <v>91</v>
      </c>
      <c r="AZ946" t="s">
        <v>91</v>
      </c>
      <c r="BA946" t="s">
        <v>91</v>
      </c>
      <c r="BB946" s="2"/>
      <c r="BC946" s="2"/>
      <c r="BD946" t="s">
        <v>91</v>
      </c>
      <c r="BF946" s="1" t="s">
        <v>75</v>
      </c>
      <c r="BG946">
        <v>0</v>
      </c>
      <c r="BH946">
        <v>0</v>
      </c>
      <c r="BI946" s="1" t="s">
        <v>88</v>
      </c>
      <c r="BJ946">
        <v>1</v>
      </c>
      <c r="BK946" s="1" t="s">
        <v>89</v>
      </c>
      <c r="BL946" t="s">
        <v>91</v>
      </c>
      <c r="BM946" s="1" t="s">
        <v>109</v>
      </c>
      <c r="BN946" s="1" t="s">
        <v>110</v>
      </c>
      <c r="BO946" s="1" t="s">
        <v>128</v>
      </c>
      <c r="BP946" s="1" t="s">
        <v>91</v>
      </c>
      <c r="BQ946" t="s">
        <v>91</v>
      </c>
      <c r="BR946" s="3"/>
      <c r="BS946" s="3"/>
      <c r="BT946" t="s">
        <v>91</v>
      </c>
      <c r="BU946" t="s">
        <v>91</v>
      </c>
      <c r="BV946">
        <v>9</v>
      </c>
      <c r="BW946" s="1" t="s">
        <v>2970</v>
      </c>
    </row>
    <row r="947" spans="1:75" hidden="1" x14ac:dyDescent="0.35">
      <c r="A947">
        <v>152751</v>
      </c>
      <c r="B947" s="1" t="s">
        <v>75</v>
      </c>
      <c r="C947">
        <v>80</v>
      </c>
      <c r="D947">
        <v>11121002</v>
      </c>
      <c r="E947">
        <v>121002</v>
      </c>
      <c r="F947" s="1" t="s">
        <v>2915</v>
      </c>
      <c r="G947" s="1" t="s">
        <v>5332</v>
      </c>
      <c r="H947">
        <v>0</v>
      </c>
      <c r="I947" s="1" t="s">
        <v>78</v>
      </c>
      <c r="J947" s="1" t="s">
        <v>5333</v>
      </c>
      <c r="K947" s="1" t="s">
        <v>5334</v>
      </c>
      <c r="L947" t="s">
        <v>91</v>
      </c>
      <c r="M947" t="s">
        <v>91</v>
      </c>
      <c r="N947" s="1" t="s">
        <v>5335</v>
      </c>
      <c r="O947" t="s">
        <v>91</v>
      </c>
      <c r="P947" s="1" t="s">
        <v>5336</v>
      </c>
      <c r="Q947" s="1" t="s">
        <v>253</v>
      </c>
      <c r="R947" s="1" t="s">
        <v>833</v>
      </c>
      <c r="T947">
        <v>88095710</v>
      </c>
      <c r="U947" s="1" t="s">
        <v>5337</v>
      </c>
      <c r="V947" s="1" t="s">
        <v>3102</v>
      </c>
      <c r="W947" s="1" t="s">
        <v>87</v>
      </c>
      <c r="Z947" t="s">
        <v>91</v>
      </c>
      <c r="AA947" t="s">
        <v>91</v>
      </c>
      <c r="AB947" t="s">
        <v>91</v>
      </c>
      <c r="AC947" t="s">
        <v>91</v>
      </c>
      <c r="AD947" t="s">
        <v>91</v>
      </c>
      <c r="AE947" t="s">
        <v>91</v>
      </c>
      <c r="AF947" t="s">
        <v>91</v>
      </c>
      <c r="AG947" s="1" t="s">
        <v>146</v>
      </c>
      <c r="AH947" s="1" t="s">
        <v>91</v>
      </c>
      <c r="AI947" t="s">
        <v>91</v>
      </c>
      <c r="AM947" t="s">
        <v>91</v>
      </c>
      <c r="AN947" t="s">
        <v>91</v>
      </c>
      <c r="AO947" t="s">
        <v>91</v>
      </c>
      <c r="AP947" t="s">
        <v>91</v>
      </c>
      <c r="AQ947" s="1" t="s">
        <v>147</v>
      </c>
      <c r="AR947" s="1" t="s">
        <v>147</v>
      </c>
      <c r="AS947" s="1" t="s">
        <v>147</v>
      </c>
      <c r="AT947" s="1" t="s">
        <v>147</v>
      </c>
      <c r="AU947" s="1" t="s">
        <v>147</v>
      </c>
      <c r="AV947" t="s">
        <v>91</v>
      </c>
      <c r="AW947" t="s">
        <v>91</v>
      </c>
      <c r="AX947" t="s">
        <v>91</v>
      </c>
      <c r="AY947" t="s">
        <v>91</v>
      </c>
      <c r="AZ947" t="s">
        <v>91</v>
      </c>
      <c r="BA947" t="s">
        <v>91</v>
      </c>
      <c r="BB947" s="2">
        <v>45019.565613425926</v>
      </c>
      <c r="BC947" s="2">
        <v>45054.660960648151</v>
      </c>
      <c r="BD947" t="s">
        <v>91</v>
      </c>
      <c r="BF947" s="1" t="s">
        <v>75</v>
      </c>
      <c r="BH947">
        <v>0</v>
      </c>
      <c r="BI947" s="1" t="s">
        <v>88</v>
      </c>
      <c r="BJ947">
        <v>1</v>
      </c>
      <c r="BK947" s="1" t="s">
        <v>89</v>
      </c>
      <c r="BL947" t="s">
        <v>91</v>
      </c>
      <c r="BM947" s="1" t="s">
        <v>91</v>
      </c>
      <c r="BN947" s="1" t="s">
        <v>91</v>
      </c>
      <c r="BO947" s="1" t="s">
        <v>91</v>
      </c>
      <c r="BP947" s="1" t="s">
        <v>91</v>
      </c>
      <c r="BQ947" t="s">
        <v>91</v>
      </c>
      <c r="BR947" s="3">
        <v>45019</v>
      </c>
      <c r="BS947" s="3">
        <v>45054</v>
      </c>
      <c r="BT947" t="s">
        <v>91</v>
      </c>
      <c r="BU947" t="s">
        <v>91</v>
      </c>
      <c r="BW947" s="1" t="s">
        <v>589</v>
      </c>
    </row>
    <row r="948" spans="1:75" hidden="1" x14ac:dyDescent="0.35">
      <c r="A948">
        <v>118682</v>
      </c>
      <c r="B948" s="1" t="s">
        <v>75</v>
      </c>
      <c r="C948">
        <v>80</v>
      </c>
      <c r="D948">
        <v>11121002</v>
      </c>
      <c r="E948">
        <v>121002</v>
      </c>
      <c r="F948" s="1" t="s">
        <v>2915</v>
      </c>
      <c r="G948" s="1" t="s">
        <v>5338</v>
      </c>
      <c r="I948" s="1" t="s">
        <v>78</v>
      </c>
      <c r="J948" s="1" t="s">
        <v>5339</v>
      </c>
      <c r="K948" s="1" t="s">
        <v>5340</v>
      </c>
      <c r="L948" t="s">
        <v>91</v>
      </c>
      <c r="M948" t="s">
        <v>91</v>
      </c>
      <c r="N948" s="1" t="s">
        <v>5341</v>
      </c>
      <c r="O948" t="s">
        <v>91</v>
      </c>
      <c r="P948" s="1" t="s">
        <v>5342</v>
      </c>
      <c r="Q948" s="1" t="s">
        <v>1095</v>
      </c>
      <c r="R948" s="1" t="s">
        <v>91</v>
      </c>
      <c r="S948">
        <v>1269</v>
      </c>
      <c r="T948">
        <v>88801060</v>
      </c>
      <c r="U948" s="1" t="s">
        <v>108</v>
      </c>
      <c r="V948" s="1" t="s">
        <v>3231</v>
      </c>
      <c r="W948" s="1" t="s">
        <v>87</v>
      </c>
      <c r="X948">
        <v>48</v>
      </c>
      <c r="Y948">
        <v>30451090</v>
      </c>
      <c r="Z948" t="s">
        <v>91</v>
      </c>
      <c r="AA948" t="s">
        <v>91</v>
      </c>
      <c r="AB948" t="s">
        <v>91</v>
      </c>
      <c r="AC948" t="s">
        <v>91</v>
      </c>
      <c r="AD948" t="s">
        <v>91</v>
      </c>
      <c r="AE948" t="s">
        <v>91</v>
      </c>
      <c r="AF948" t="s">
        <v>91</v>
      </c>
      <c r="AG948" s="1" t="s">
        <v>91</v>
      </c>
      <c r="AH948" s="1" t="s">
        <v>91</v>
      </c>
      <c r="AI948" t="s">
        <v>91</v>
      </c>
      <c r="AJ948">
        <v>0</v>
      </c>
      <c r="AK948">
        <v>0</v>
      </c>
      <c r="AL948">
        <v>0</v>
      </c>
      <c r="AM948" t="s">
        <v>91</v>
      </c>
      <c r="AN948" t="s">
        <v>91</v>
      </c>
      <c r="AO948" t="s">
        <v>91</v>
      </c>
      <c r="AP948" t="s">
        <v>91</v>
      </c>
      <c r="AQ948" s="1" t="s">
        <v>91</v>
      </c>
      <c r="AR948" s="1" t="s">
        <v>91</v>
      </c>
      <c r="AS948" s="1" t="s">
        <v>91</v>
      </c>
      <c r="AT948" s="1" t="s">
        <v>91</v>
      </c>
      <c r="AU948" s="1" t="s">
        <v>91</v>
      </c>
      <c r="AV948" t="s">
        <v>91</v>
      </c>
      <c r="AW948" t="s">
        <v>91</v>
      </c>
      <c r="AX948" t="s">
        <v>91</v>
      </c>
      <c r="AY948" t="s">
        <v>91</v>
      </c>
      <c r="AZ948" t="s">
        <v>91</v>
      </c>
      <c r="BA948" t="s">
        <v>91</v>
      </c>
      <c r="BB948" s="2"/>
      <c r="BC948" s="2"/>
      <c r="BD948" t="s">
        <v>91</v>
      </c>
      <c r="BF948" s="1" t="s">
        <v>75</v>
      </c>
      <c r="BG948">
        <v>0</v>
      </c>
      <c r="BH948">
        <v>0</v>
      </c>
      <c r="BI948" s="1" t="s">
        <v>88</v>
      </c>
      <c r="BJ948">
        <v>1</v>
      </c>
      <c r="BK948" s="1" t="s">
        <v>89</v>
      </c>
      <c r="BL948" t="s">
        <v>91</v>
      </c>
      <c r="BM948" s="1" t="s">
        <v>109</v>
      </c>
      <c r="BN948" s="1" t="s">
        <v>110</v>
      </c>
      <c r="BO948" s="1" t="s">
        <v>111</v>
      </c>
      <c r="BP948" s="1" t="s">
        <v>91</v>
      </c>
      <c r="BQ948" t="s">
        <v>91</v>
      </c>
      <c r="BR948" s="3"/>
      <c r="BS948" s="3"/>
      <c r="BT948" t="s">
        <v>91</v>
      </c>
      <c r="BU948" t="s">
        <v>91</v>
      </c>
      <c r="BV948">
        <v>9</v>
      </c>
      <c r="BW948" s="1" t="s">
        <v>295</v>
      </c>
    </row>
    <row r="949" spans="1:75" hidden="1" x14ac:dyDescent="0.35">
      <c r="A949">
        <v>407</v>
      </c>
      <c r="B949" s="1" t="s">
        <v>75</v>
      </c>
      <c r="C949">
        <v>80</v>
      </c>
      <c r="D949">
        <v>11121002</v>
      </c>
      <c r="E949">
        <v>121002</v>
      </c>
      <c r="F949" s="1" t="s">
        <v>2915</v>
      </c>
      <c r="G949" s="1" t="s">
        <v>5343</v>
      </c>
      <c r="I949" s="1" t="s">
        <v>78</v>
      </c>
      <c r="J949" s="1" t="s">
        <v>5344</v>
      </c>
      <c r="K949" s="1" t="s">
        <v>5345</v>
      </c>
      <c r="L949" t="s">
        <v>91</v>
      </c>
      <c r="M949" t="s">
        <v>91</v>
      </c>
      <c r="N949" s="1" t="s">
        <v>5346</v>
      </c>
      <c r="O949" t="s">
        <v>91</v>
      </c>
      <c r="P949" s="1" t="s">
        <v>5347</v>
      </c>
      <c r="Q949" s="1" t="s">
        <v>268</v>
      </c>
      <c r="R949" s="1" t="s">
        <v>5348</v>
      </c>
      <c r="S949">
        <v>1256</v>
      </c>
      <c r="T949">
        <v>88020210</v>
      </c>
      <c r="U949" s="1" t="s">
        <v>108</v>
      </c>
      <c r="V949" s="1" t="s">
        <v>2922</v>
      </c>
      <c r="W949" s="1" t="s">
        <v>87</v>
      </c>
      <c r="X949">
        <v>48</v>
      </c>
      <c r="Y949">
        <v>30288228</v>
      </c>
      <c r="Z949" t="s">
        <v>91</v>
      </c>
      <c r="AA949" t="s">
        <v>91</v>
      </c>
      <c r="AB949" t="s">
        <v>91</v>
      </c>
      <c r="AC949" t="s">
        <v>91</v>
      </c>
      <c r="AD949" t="s">
        <v>91</v>
      </c>
      <c r="AE949" t="s">
        <v>91</v>
      </c>
      <c r="AF949" t="s">
        <v>91</v>
      </c>
      <c r="AG949" s="1" t="s">
        <v>91</v>
      </c>
      <c r="AH949" s="1" t="s">
        <v>91</v>
      </c>
      <c r="AI949" t="s">
        <v>91</v>
      </c>
      <c r="AJ949">
        <v>0</v>
      </c>
      <c r="AK949">
        <v>0</v>
      </c>
      <c r="AL949">
        <v>0</v>
      </c>
      <c r="AM949" t="s">
        <v>91</v>
      </c>
      <c r="AN949" t="s">
        <v>91</v>
      </c>
      <c r="AO949" t="s">
        <v>91</v>
      </c>
      <c r="AP949" t="s">
        <v>91</v>
      </c>
      <c r="AQ949" s="1" t="s">
        <v>91</v>
      </c>
      <c r="AR949" s="1" t="s">
        <v>91</v>
      </c>
      <c r="AS949" s="1" t="s">
        <v>91</v>
      </c>
      <c r="AT949" s="1" t="s">
        <v>91</v>
      </c>
      <c r="AU949" s="1" t="s">
        <v>91</v>
      </c>
      <c r="AV949" t="s">
        <v>91</v>
      </c>
      <c r="AW949" t="s">
        <v>91</v>
      </c>
      <c r="AX949" t="s">
        <v>91</v>
      </c>
      <c r="AY949" t="s">
        <v>91</v>
      </c>
      <c r="AZ949" t="s">
        <v>91</v>
      </c>
      <c r="BA949" t="s">
        <v>91</v>
      </c>
      <c r="BB949" s="2">
        <v>43308.392835648148</v>
      </c>
      <c r="BC949" s="2"/>
      <c r="BD949" t="s">
        <v>91</v>
      </c>
      <c r="BE949">
        <v>407</v>
      </c>
      <c r="BF949" s="1" t="s">
        <v>75</v>
      </c>
      <c r="BG949">
        <v>0</v>
      </c>
      <c r="BH949">
        <v>0</v>
      </c>
      <c r="BI949" s="1" t="s">
        <v>88</v>
      </c>
      <c r="BJ949">
        <v>1</v>
      </c>
      <c r="BK949" s="1" t="s">
        <v>89</v>
      </c>
      <c r="BL949" t="s">
        <v>91</v>
      </c>
      <c r="BM949" s="1" t="s">
        <v>109</v>
      </c>
      <c r="BN949" s="1" t="s">
        <v>110</v>
      </c>
      <c r="BO949" s="1" t="s">
        <v>165</v>
      </c>
      <c r="BP949" s="1" t="s">
        <v>91</v>
      </c>
      <c r="BQ949" t="s">
        <v>91</v>
      </c>
      <c r="BR949" s="3">
        <v>43308</v>
      </c>
      <c r="BS949" s="3"/>
      <c r="BT949" t="s">
        <v>91</v>
      </c>
      <c r="BU949" t="s">
        <v>91</v>
      </c>
      <c r="BV949">
        <v>1</v>
      </c>
      <c r="BW949" s="1" t="s">
        <v>90</v>
      </c>
    </row>
    <row r="950" spans="1:75" hidden="1" x14ac:dyDescent="0.35">
      <c r="A950">
        <v>286</v>
      </c>
      <c r="B950" s="1" t="s">
        <v>75</v>
      </c>
      <c r="C950">
        <v>80</v>
      </c>
      <c r="D950">
        <v>11121002</v>
      </c>
      <c r="E950">
        <v>121002</v>
      </c>
      <c r="F950" s="1" t="s">
        <v>2915</v>
      </c>
      <c r="G950" s="1" t="s">
        <v>5349</v>
      </c>
      <c r="I950" s="1" t="s">
        <v>78</v>
      </c>
      <c r="J950" s="1" t="s">
        <v>5350</v>
      </c>
      <c r="K950" s="1" t="s">
        <v>5351</v>
      </c>
      <c r="L950" t="s">
        <v>91</v>
      </c>
      <c r="M950" t="s">
        <v>91</v>
      </c>
      <c r="N950" s="1" t="s">
        <v>5352</v>
      </c>
      <c r="O950" t="s">
        <v>91</v>
      </c>
      <c r="P950" s="1" t="s">
        <v>5353</v>
      </c>
      <c r="Q950" s="1" t="s">
        <v>5354</v>
      </c>
      <c r="R950" s="1" t="s">
        <v>2921</v>
      </c>
      <c r="S950">
        <v>1257</v>
      </c>
      <c r="T950">
        <v>88025000</v>
      </c>
      <c r="U950" s="1" t="s">
        <v>3428</v>
      </c>
      <c r="V950" s="1" t="s">
        <v>2922</v>
      </c>
      <c r="W950" s="1" t="s">
        <v>87</v>
      </c>
      <c r="X950">
        <v>48</v>
      </c>
      <c r="Y950">
        <v>33330250</v>
      </c>
      <c r="Z950" t="s">
        <v>91</v>
      </c>
      <c r="AA950" t="s">
        <v>91</v>
      </c>
      <c r="AB950" t="s">
        <v>91</v>
      </c>
      <c r="AC950" t="s">
        <v>91</v>
      </c>
      <c r="AD950" t="s">
        <v>91</v>
      </c>
      <c r="AE950" t="s">
        <v>91</v>
      </c>
      <c r="AF950" t="s">
        <v>91</v>
      </c>
      <c r="AG950" s="1" t="s">
        <v>91</v>
      </c>
      <c r="AH950" s="1" t="s">
        <v>91</v>
      </c>
      <c r="AI950" t="s">
        <v>91</v>
      </c>
      <c r="AJ950">
        <v>0</v>
      </c>
      <c r="AK950">
        <v>0</v>
      </c>
      <c r="AL950">
        <v>0</v>
      </c>
      <c r="AM950" t="s">
        <v>91</v>
      </c>
      <c r="AN950" t="s">
        <v>91</v>
      </c>
      <c r="AO950" t="s">
        <v>91</v>
      </c>
      <c r="AP950" t="s">
        <v>91</v>
      </c>
      <c r="AQ950" s="1" t="s">
        <v>91</v>
      </c>
      <c r="AR950" s="1" t="s">
        <v>91</v>
      </c>
      <c r="AS950" s="1" t="s">
        <v>91</v>
      </c>
      <c r="AT950" s="1" t="s">
        <v>91</v>
      </c>
      <c r="AU950" s="1" t="s">
        <v>91</v>
      </c>
      <c r="AV950" t="s">
        <v>91</v>
      </c>
      <c r="AW950" t="s">
        <v>91</v>
      </c>
      <c r="AX950" t="s">
        <v>91</v>
      </c>
      <c r="AY950" t="s">
        <v>91</v>
      </c>
      <c r="AZ950" t="s">
        <v>91</v>
      </c>
      <c r="BA950" t="s">
        <v>91</v>
      </c>
      <c r="BB950" s="2">
        <v>43308.392789351848</v>
      </c>
      <c r="BC950" s="2"/>
      <c r="BD950" t="s">
        <v>91</v>
      </c>
      <c r="BE950">
        <v>286</v>
      </c>
      <c r="BF950" s="1" t="s">
        <v>75</v>
      </c>
      <c r="BG950">
        <v>0</v>
      </c>
      <c r="BH950">
        <v>0</v>
      </c>
      <c r="BI950" s="1" t="s">
        <v>88</v>
      </c>
      <c r="BJ950">
        <v>1</v>
      </c>
      <c r="BK950" s="1" t="s">
        <v>89</v>
      </c>
      <c r="BL950" t="s">
        <v>91</v>
      </c>
      <c r="BM950" s="1" t="s">
        <v>109</v>
      </c>
      <c r="BN950" s="1" t="s">
        <v>110</v>
      </c>
      <c r="BO950" s="1" t="s">
        <v>1040</v>
      </c>
      <c r="BP950" s="1" t="s">
        <v>91</v>
      </c>
      <c r="BQ950" t="s">
        <v>91</v>
      </c>
      <c r="BR950" s="3">
        <v>43308</v>
      </c>
      <c r="BS950" s="3"/>
      <c r="BT950" t="s">
        <v>91</v>
      </c>
      <c r="BU950" t="s">
        <v>91</v>
      </c>
      <c r="BV950">
        <v>9</v>
      </c>
      <c r="BW950" s="1" t="s">
        <v>601</v>
      </c>
    </row>
    <row r="951" spans="1:75" hidden="1" x14ac:dyDescent="0.35">
      <c r="A951">
        <v>156952</v>
      </c>
      <c r="B951" s="1" t="s">
        <v>75</v>
      </c>
      <c r="C951">
        <v>80</v>
      </c>
      <c r="D951">
        <v>11121002</v>
      </c>
      <c r="E951">
        <v>121002</v>
      </c>
      <c r="F951" s="1" t="s">
        <v>2915</v>
      </c>
      <c r="G951" s="1" t="s">
        <v>5355</v>
      </c>
      <c r="H951">
        <v>0</v>
      </c>
      <c r="I951" s="1" t="s">
        <v>78</v>
      </c>
      <c r="J951" s="1" t="s">
        <v>5356</v>
      </c>
      <c r="K951" s="1" t="s">
        <v>5357</v>
      </c>
      <c r="L951" t="s">
        <v>91</v>
      </c>
      <c r="M951" t="s">
        <v>91</v>
      </c>
      <c r="N951" s="1" t="s">
        <v>5358</v>
      </c>
      <c r="O951" t="s">
        <v>91</v>
      </c>
      <c r="P951" s="1" t="s">
        <v>5359</v>
      </c>
      <c r="Q951" s="1" t="s">
        <v>5360</v>
      </c>
      <c r="R951" s="1" t="s">
        <v>91</v>
      </c>
      <c r="T951">
        <v>88110450</v>
      </c>
      <c r="U951" s="1" t="s">
        <v>2950</v>
      </c>
      <c r="V951" s="1" t="s">
        <v>2958</v>
      </c>
      <c r="W951" s="1" t="s">
        <v>87</v>
      </c>
      <c r="X951">
        <v>48</v>
      </c>
      <c r="Y951">
        <v>30396225</v>
      </c>
      <c r="Z951" t="s">
        <v>91</v>
      </c>
      <c r="AA951" t="s">
        <v>91</v>
      </c>
      <c r="AB951" t="s">
        <v>91</v>
      </c>
      <c r="AC951" t="s">
        <v>91</v>
      </c>
      <c r="AD951" t="s">
        <v>91</v>
      </c>
      <c r="AE951" t="s">
        <v>91</v>
      </c>
      <c r="AF951" t="s">
        <v>91</v>
      </c>
      <c r="AG951" s="1" t="s">
        <v>91</v>
      </c>
      <c r="AH951" s="1" t="s">
        <v>91</v>
      </c>
      <c r="AI951" t="s">
        <v>91</v>
      </c>
      <c r="AM951" t="s">
        <v>91</v>
      </c>
      <c r="AN951" t="s">
        <v>91</v>
      </c>
      <c r="AO951" t="s">
        <v>91</v>
      </c>
      <c r="AP951" t="s">
        <v>91</v>
      </c>
      <c r="AQ951" s="1" t="s">
        <v>91</v>
      </c>
      <c r="AR951" s="1" t="s">
        <v>91</v>
      </c>
      <c r="AS951" s="1" t="s">
        <v>91</v>
      </c>
      <c r="AT951" s="1" t="s">
        <v>91</v>
      </c>
      <c r="AU951" s="1" t="s">
        <v>91</v>
      </c>
      <c r="AV951" t="s">
        <v>91</v>
      </c>
      <c r="AW951" t="s">
        <v>91</v>
      </c>
      <c r="AX951" t="s">
        <v>91</v>
      </c>
      <c r="AY951" t="s">
        <v>91</v>
      </c>
      <c r="AZ951" t="s">
        <v>91</v>
      </c>
      <c r="BA951" t="s">
        <v>91</v>
      </c>
      <c r="BB951" s="2">
        <v>45113.505416666667</v>
      </c>
      <c r="BC951" s="2"/>
      <c r="BD951" t="s">
        <v>91</v>
      </c>
      <c r="BF951" s="1" t="s">
        <v>75</v>
      </c>
      <c r="BI951" s="1" t="s">
        <v>88</v>
      </c>
      <c r="BJ951">
        <v>1</v>
      </c>
      <c r="BK951" s="1" t="s">
        <v>89</v>
      </c>
      <c r="BL951" t="s">
        <v>91</v>
      </c>
      <c r="BM951" s="1" t="s">
        <v>91</v>
      </c>
      <c r="BN951" s="1" t="s">
        <v>91</v>
      </c>
      <c r="BO951" s="1" t="s">
        <v>91</v>
      </c>
      <c r="BP951" s="1" t="s">
        <v>91</v>
      </c>
      <c r="BQ951" t="s">
        <v>91</v>
      </c>
      <c r="BR951" s="3">
        <v>45113</v>
      </c>
      <c r="BS951" s="3"/>
      <c r="BT951" t="s">
        <v>91</v>
      </c>
      <c r="BU951" t="s">
        <v>91</v>
      </c>
      <c r="BW951" s="1" t="s">
        <v>90</v>
      </c>
    </row>
    <row r="952" spans="1:75" hidden="1" x14ac:dyDescent="0.35">
      <c r="A952">
        <v>156871</v>
      </c>
      <c r="B952" s="1" t="s">
        <v>75</v>
      </c>
      <c r="C952">
        <v>80</v>
      </c>
      <c r="D952">
        <v>11121002</v>
      </c>
      <c r="E952">
        <v>121002</v>
      </c>
      <c r="F952" s="1" t="s">
        <v>2915</v>
      </c>
      <c r="G952" s="1" t="s">
        <v>5361</v>
      </c>
      <c r="H952">
        <v>0</v>
      </c>
      <c r="I952" s="1" t="s">
        <v>78</v>
      </c>
      <c r="J952" s="1" t="s">
        <v>5362</v>
      </c>
      <c r="K952" s="1" t="s">
        <v>5363</v>
      </c>
      <c r="L952" t="s">
        <v>91</v>
      </c>
      <c r="M952" t="s">
        <v>91</v>
      </c>
      <c r="N952" s="1" t="s">
        <v>1232</v>
      </c>
      <c r="O952" t="s">
        <v>91</v>
      </c>
      <c r="P952" s="1" t="s">
        <v>873</v>
      </c>
      <c r="Q952" s="1" t="s">
        <v>2172</v>
      </c>
      <c r="R952" s="1" t="s">
        <v>91</v>
      </c>
      <c r="S952">
        <v>1259</v>
      </c>
      <c r="T952">
        <v>88160128</v>
      </c>
      <c r="U952" s="1" t="s">
        <v>108</v>
      </c>
      <c r="V952" s="1" t="s">
        <v>3293</v>
      </c>
      <c r="W952" s="1" t="s">
        <v>87</v>
      </c>
      <c r="X952">
        <v>48</v>
      </c>
      <c r="Y952">
        <v>32259791</v>
      </c>
      <c r="Z952" t="s">
        <v>91</v>
      </c>
      <c r="AA952" t="s">
        <v>91</v>
      </c>
      <c r="AB952" t="s">
        <v>91</v>
      </c>
      <c r="AC952" t="s">
        <v>91</v>
      </c>
      <c r="AD952" t="s">
        <v>91</v>
      </c>
      <c r="AE952" t="s">
        <v>91</v>
      </c>
      <c r="AF952" t="s">
        <v>91</v>
      </c>
      <c r="AG952" s="1" t="s">
        <v>91</v>
      </c>
      <c r="AH952" s="1" t="s">
        <v>91</v>
      </c>
      <c r="AI952" t="s">
        <v>91</v>
      </c>
      <c r="AM952" t="s">
        <v>91</v>
      </c>
      <c r="AN952" t="s">
        <v>91</v>
      </c>
      <c r="AO952" t="s">
        <v>91</v>
      </c>
      <c r="AP952" t="s">
        <v>91</v>
      </c>
      <c r="AQ952" s="1" t="s">
        <v>91</v>
      </c>
      <c r="AR952" s="1" t="s">
        <v>91</v>
      </c>
      <c r="AS952" s="1" t="s">
        <v>91</v>
      </c>
      <c r="AT952" s="1" t="s">
        <v>91</v>
      </c>
      <c r="AU952" s="1" t="s">
        <v>91</v>
      </c>
      <c r="AV952" t="s">
        <v>91</v>
      </c>
      <c r="AW952" t="s">
        <v>91</v>
      </c>
      <c r="AX952" t="s">
        <v>91</v>
      </c>
      <c r="AY952" t="s">
        <v>91</v>
      </c>
      <c r="AZ952" t="s">
        <v>91</v>
      </c>
      <c r="BA952" t="s">
        <v>91</v>
      </c>
      <c r="BB952" s="2">
        <v>45113.505416666667</v>
      </c>
      <c r="BC952" s="2"/>
      <c r="BD952" t="s">
        <v>91</v>
      </c>
      <c r="BF952" s="1" t="s">
        <v>75</v>
      </c>
      <c r="BI952" s="1" t="s">
        <v>88</v>
      </c>
      <c r="BJ952">
        <v>1</v>
      </c>
      <c r="BK952" s="1" t="s">
        <v>89</v>
      </c>
      <c r="BL952" t="s">
        <v>91</v>
      </c>
      <c r="BM952" s="1" t="s">
        <v>91</v>
      </c>
      <c r="BN952" s="1" t="s">
        <v>91</v>
      </c>
      <c r="BO952" s="1" t="s">
        <v>91</v>
      </c>
      <c r="BP952" s="1" t="s">
        <v>91</v>
      </c>
      <c r="BQ952" t="s">
        <v>91</v>
      </c>
      <c r="BR952" s="3">
        <v>45113</v>
      </c>
      <c r="BS952" s="3"/>
      <c r="BT952" t="s">
        <v>91</v>
      </c>
      <c r="BU952" t="s">
        <v>91</v>
      </c>
      <c r="BW952" s="1" t="s">
        <v>90</v>
      </c>
    </row>
    <row r="953" spans="1:75" hidden="1" x14ac:dyDescent="0.35">
      <c r="A953">
        <v>157722</v>
      </c>
      <c r="B953" s="1" t="s">
        <v>75</v>
      </c>
      <c r="C953">
        <v>80</v>
      </c>
      <c r="D953">
        <v>11121002</v>
      </c>
      <c r="E953">
        <v>121002</v>
      </c>
      <c r="F953" s="1" t="s">
        <v>2915</v>
      </c>
      <c r="G953" s="1" t="s">
        <v>5364</v>
      </c>
      <c r="H953">
        <v>0</v>
      </c>
      <c r="I953" s="1" t="s">
        <v>78</v>
      </c>
      <c r="J953" s="1" t="s">
        <v>5365</v>
      </c>
      <c r="K953" s="1" t="s">
        <v>5366</v>
      </c>
      <c r="L953" t="s">
        <v>91</v>
      </c>
      <c r="M953" t="s">
        <v>91</v>
      </c>
      <c r="N953" s="1" t="s">
        <v>5367</v>
      </c>
      <c r="O953" t="s">
        <v>91</v>
      </c>
      <c r="P953" s="1" t="s">
        <v>5368</v>
      </c>
      <c r="Q953" s="1" t="s">
        <v>532</v>
      </c>
      <c r="R953" s="1" t="s">
        <v>2531</v>
      </c>
      <c r="S953">
        <v>1257</v>
      </c>
      <c r="T953">
        <v>88054010</v>
      </c>
      <c r="U953" s="1" t="s">
        <v>3507</v>
      </c>
      <c r="V953" s="1" t="s">
        <v>2922</v>
      </c>
      <c r="W953" s="1" t="s">
        <v>87</v>
      </c>
      <c r="X953">
        <v>48</v>
      </c>
      <c r="Y953">
        <v>33690454</v>
      </c>
      <c r="Z953" t="s">
        <v>91</v>
      </c>
      <c r="AA953" t="s">
        <v>91</v>
      </c>
      <c r="AB953" t="s">
        <v>91</v>
      </c>
      <c r="AC953" t="s">
        <v>91</v>
      </c>
      <c r="AD953" t="s">
        <v>91</v>
      </c>
      <c r="AE953" t="s">
        <v>91</v>
      </c>
      <c r="AF953" t="s">
        <v>91</v>
      </c>
      <c r="AG953" s="1" t="s">
        <v>91</v>
      </c>
      <c r="AH953" s="1" t="s">
        <v>91</v>
      </c>
      <c r="AI953" t="s">
        <v>91</v>
      </c>
      <c r="AM953" t="s">
        <v>91</v>
      </c>
      <c r="AN953" t="s">
        <v>91</v>
      </c>
      <c r="AO953" t="s">
        <v>91</v>
      </c>
      <c r="AP953" t="s">
        <v>91</v>
      </c>
      <c r="AQ953" s="1" t="s">
        <v>91</v>
      </c>
      <c r="AR953" s="1" t="s">
        <v>91</v>
      </c>
      <c r="AS953" s="1" t="s">
        <v>91</v>
      </c>
      <c r="AT953" s="1" t="s">
        <v>91</v>
      </c>
      <c r="AU953" s="1" t="s">
        <v>91</v>
      </c>
      <c r="AV953" t="s">
        <v>91</v>
      </c>
      <c r="AW953" t="s">
        <v>91</v>
      </c>
      <c r="AX953" t="s">
        <v>91</v>
      </c>
      <c r="AY953" t="s">
        <v>91</v>
      </c>
      <c r="AZ953" t="s">
        <v>91</v>
      </c>
      <c r="BA953" t="s">
        <v>91</v>
      </c>
      <c r="BB953" s="2">
        <v>45118.097175925926</v>
      </c>
      <c r="BC953" s="2"/>
      <c r="BD953" t="s">
        <v>91</v>
      </c>
      <c r="BF953" s="1" t="s">
        <v>75</v>
      </c>
      <c r="BI953" s="1" t="s">
        <v>88</v>
      </c>
      <c r="BJ953">
        <v>1</v>
      </c>
      <c r="BK953" s="1" t="s">
        <v>89</v>
      </c>
      <c r="BL953" t="s">
        <v>91</v>
      </c>
      <c r="BM953" s="1" t="s">
        <v>91</v>
      </c>
      <c r="BN953" s="1" t="s">
        <v>91</v>
      </c>
      <c r="BO953" s="1" t="s">
        <v>91</v>
      </c>
      <c r="BP953" s="1" t="s">
        <v>91</v>
      </c>
      <c r="BQ953" t="s">
        <v>91</v>
      </c>
      <c r="BR953" s="3">
        <v>45118</v>
      </c>
      <c r="BS953" s="3"/>
      <c r="BT953" t="s">
        <v>91</v>
      </c>
      <c r="BU953" t="s">
        <v>91</v>
      </c>
      <c r="BW953" s="1" t="s">
        <v>263</v>
      </c>
    </row>
    <row r="954" spans="1:75" hidden="1" x14ac:dyDescent="0.35">
      <c r="A954">
        <v>156957</v>
      </c>
      <c r="B954" s="1" t="s">
        <v>75</v>
      </c>
      <c r="C954">
        <v>80</v>
      </c>
      <c r="D954">
        <v>11121002</v>
      </c>
      <c r="E954">
        <v>121002</v>
      </c>
      <c r="F954" s="1" t="s">
        <v>2915</v>
      </c>
      <c r="G954" s="1" t="s">
        <v>5369</v>
      </c>
      <c r="H954">
        <v>0</v>
      </c>
      <c r="I954" s="1" t="s">
        <v>78</v>
      </c>
      <c r="J954" s="1" t="s">
        <v>5370</v>
      </c>
      <c r="K954" s="1" t="s">
        <v>5371</v>
      </c>
      <c r="L954" t="s">
        <v>91</v>
      </c>
      <c r="M954" t="s">
        <v>91</v>
      </c>
      <c r="N954" s="1" t="s">
        <v>5372</v>
      </c>
      <c r="O954" t="s">
        <v>91</v>
      </c>
      <c r="P954" s="1" t="s">
        <v>4043</v>
      </c>
      <c r="Q954" s="1" t="s">
        <v>2162</v>
      </c>
      <c r="R954" s="1" t="s">
        <v>236</v>
      </c>
      <c r="S954">
        <v>1259</v>
      </c>
      <c r="T954">
        <v>88117001</v>
      </c>
      <c r="U954" s="1" t="s">
        <v>2957</v>
      </c>
      <c r="V954" s="1" t="s">
        <v>2958</v>
      </c>
      <c r="W954" s="1" t="s">
        <v>87</v>
      </c>
      <c r="X954">
        <v>48</v>
      </c>
      <c r="Y954">
        <v>32576101</v>
      </c>
      <c r="Z954" t="s">
        <v>91</v>
      </c>
      <c r="AA954" t="s">
        <v>91</v>
      </c>
      <c r="AB954" t="s">
        <v>91</v>
      </c>
      <c r="AC954" t="s">
        <v>91</v>
      </c>
      <c r="AD954" t="s">
        <v>91</v>
      </c>
      <c r="AE954" t="s">
        <v>91</v>
      </c>
      <c r="AF954" t="s">
        <v>91</v>
      </c>
      <c r="AG954" s="1" t="s">
        <v>91</v>
      </c>
      <c r="AH954" s="1" t="s">
        <v>91</v>
      </c>
      <c r="AI954" t="s">
        <v>91</v>
      </c>
      <c r="AM954" t="s">
        <v>91</v>
      </c>
      <c r="AN954" t="s">
        <v>91</v>
      </c>
      <c r="AO954" t="s">
        <v>91</v>
      </c>
      <c r="AP954" t="s">
        <v>91</v>
      </c>
      <c r="AQ954" s="1" t="s">
        <v>91</v>
      </c>
      <c r="AR954" s="1" t="s">
        <v>91</v>
      </c>
      <c r="AS954" s="1" t="s">
        <v>91</v>
      </c>
      <c r="AT954" s="1" t="s">
        <v>91</v>
      </c>
      <c r="AU954" s="1" t="s">
        <v>91</v>
      </c>
      <c r="AV954" t="s">
        <v>91</v>
      </c>
      <c r="AW954" t="s">
        <v>91</v>
      </c>
      <c r="AX954" t="s">
        <v>91</v>
      </c>
      <c r="AY954" t="s">
        <v>91</v>
      </c>
      <c r="AZ954" t="s">
        <v>91</v>
      </c>
      <c r="BA954" t="s">
        <v>91</v>
      </c>
      <c r="BB954" s="2">
        <v>45113.505416666667</v>
      </c>
      <c r="BC954" s="2"/>
      <c r="BD954" t="s">
        <v>91</v>
      </c>
      <c r="BF954" s="1" t="s">
        <v>75</v>
      </c>
      <c r="BI954" s="1" t="s">
        <v>88</v>
      </c>
      <c r="BJ954">
        <v>1</v>
      </c>
      <c r="BK954" s="1" t="s">
        <v>89</v>
      </c>
      <c r="BL954" t="s">
        <v>91</v>
      </c>
      <c r="BM954" s="1" t="s">
        <v>91</v>
      </c>
      <c r="BN954" s="1" t="s">
        <v>91</v>
      </c>
      <c r="BO954" s="1" t="s">
        <v>91</v>
      </c>
      <c r="BP954" s="1" t="s">
        <v>91</v>
      </c>
      <c r="BQ954" t="s">
        <v>91</v>
      </c>
      <c r="BR954" s="3">
        <v>45113</v>
      </c>
      <c r="BS954" s="3"/>
      <c r="BT954" t="s">
        <v>91</v>
      </c>
      <c r="BU954" t="s">
        <v>91</v>
      </c>
      <c r="BW954" s="1" t="s">
        <v>90</v>
      </c>
    </row>
    <row r="955" spans="1:75" hidden="1" x14ac:dyDescent="0.35">
      <c r="A955">
        <v>135058</v>
      </c>
      <c r="B955" s="1" t="s">
        <v>75</v>
      </c>
      <c r="C955">
        <v>80</v>
      </c>
      <c r="D955">
        <v>11121002</v>
      </c>
      <c r="E955">
        <v>121002</v>
      </c>
      <c r="F955" s="1" t="s">
        <v>2915</v>
      </c>
      <c r="G955" s="1" t="s">
        <v>5373</v>
      </c>
      <c r="H955">
        <v>0</v>
      </c>
      <c r="I955" s="1" t="s">
        <v>78</v>
      </c>
      <c r="J955" s="1" t="s">
        <v>5374</v>
      </c>
      <c r="K955" s="1" t="s">
        <v>5375</v>
      </c>
      <c r="L955" t="s">
        <v>91</v>
      </c>
      <c r="M955" t="s">
        <v>91</v>
      </c>
      <c r="N955" s="1" t="s">
        <v>5376</v>
      </c>
      <c r="O955" t="s">
        <v>91</v>
      </c>
      <c r="P955" s="1" t="s">
        <v>682</v>
      </c>
      <c r="Q955" s="1" t="s">
        <v>330</v>
      </c>
      <c r="R955" s="1" t="s">
        <v>91</v>
      </c>
      <c r="S955">
        <v>1254</v>
      </c>
      <c r="T955">
        <v>88010060</v>
      </c>
      <c r="U955" s="1" t="s">
        <v>108</v>
      </c>
      <c r="V955" s="1" t="s">
        <v>3102</v>
      </c>
      <c r="W955" s="1" t="s">
        <v>87</v>
      </c>
      <c r="X955">
        <v>48</v>
      </c>
      <c r="Y955">
        <v>33715060</v>
      </c>
      <c r="Z955" t="s">
        <v>91</v>
      </c>
      <c r="AA955" t="s">
        <v>91</v>
      </c>
      <c r="AB955" t="s">
        <v>91</v>
      </c>
      <c r="AC955" t="s">
        <v>91</v>
      </c>
      <c r="AD955" t="s">
        <v>91</v>
      </c>
      <c r="AE955" t="s">
        <v>91</v>
      </c>
      <c r="AF955" t="s">
        <v>91</v>
      </c>
      <c r="AG955" s="1" t="s">
        <v>146</v>
      </c>
      <c r="AH955" s="1" t="s">
        <v>91</v>
      </c>
      <c r="AI955" t="s">
        <v>91</v>
      </c>
      <c r="AM955" t="s">
        <v>91</v>
      </c>
      <c r="AN955" t="s">
        <v>91</v>
      </c>
      <c r="AO955" t="s">
        <v>91</v>
      </c>
      <c r="AP955" t="s">
        <v>91</v>
      </c>
      <c r="AQ955" s="1" t="s">
        <v>147</v>
      </c>
      <c r="AR955" s="1" t="s">
        <v>147</v>
      </c>
      <c r="AS955" s="1" t="s">
        <v>147</v>
      </c>
      <c r="AT955" s="1" t="s">
        <v>147</v>
      </c>
      <c r="AU955" s="1" t="s">
        <v>147</v>
      </c>
      <c r="AV955" t="s">
        <v>91</v>
      </c>
      <c r="AW955" t="s">
        <v>91</v>
      </c>
      <c r="AX955" t="s">
        <v>91</v>
      </c>
      <c r="AY955" t="s">
        <v>91</v>
      </c>
      <c r="AZ955" t="s">
        <v>91</v>
      </c>
      <c r="BA955" t="s">
        <v>91</v>
      </c>
      <c r="BB955" s="2">
        <v>44298.699571759258</v>
      </c>
      <c r="BC955" s="2">
        <v>44449.722800925927</v>
      </c>
      <c r="BD955" t="s">
        <v>91</v>
      </c>
      <c r="BF955" s="1" t="s">
        <v>75</v>
      </c>
      <c r="BH955">
        <v>0</v>
      </c>
      <c r="BI955" s="1" t="s">
        <v>88</v>
      </c>
      <c r="BJ955">
        <v>1</v>
      </c>
      <c r="BK955" s="1" t="s">
        <v>89</v>
      </c>
      <c r="BL955" t="s">
        <v>91</v>
      </c>
      <c r="BM955" s="1" t="s">
        <v>109</v>
      </c>
      <c r="BN955" s="1" t="s">
        <v>110</v>
      </c>
      <c r="BO955" s="1" t="s">
        <v>180</v>
      </c>
      <c r="BP955" s="1" t="s">
        <v>91</v>
      </c>
      <c r="BQ955" t="s">
        <v>91</v>
      </c>
      <c r="BR955" s="3">
        <v>44298</v>
      </c>
      <c r="BS955" s="3">
        <v>44449</v>
      </c>
      <c r="BT955" t="s">
        <v>91</v>
      </c>
      <c r="BU955" t="s">
        <v>91</v>
      </c>
      <c r="BW955" s="1" t="s">
        <v>5377</v>
      </c>
    </row>
    <row r="956" spans="1:75" hidden="1" x14ac:dyDescent="0.35">
      <c r="A956">
        <v>144388</v>
      </c>
      <c r="B956" s="1" t="s">
        <v>75</v>
      </c>
      <c r="C956">
        <v>80</v>
      </c>
      <c r="D956">
        <v>11121002</v>
      </c>
      <c r="E956">
        <v>121002</v>
      </c>
      <c r="F956" s="1" t="s">
        <v>2915</v>
      </c>
      <c r="G956" s="1" t="s">
        <v>5378</v>
      </c>
      <c r="I956" s="1" t="s">
        <v>78</v>
      </c>
      <c r="J956" s="1" t="s">
        <v>5379</v>
      </c>
      <c r="K956" s="1" t="s">
        <v>5380</v>
      </c>
      <c r="L956" t="s">
        <v>91</v>
      </c>
      <c r="M956" t="s">
        <v>91</v>
      </c>
      <c r="N956" s="1" t="s">
        <v>5381</v>
      </c>
      <c r="O956" t="s">
        <v>91</v>
      </c>
      <c r="P956" s="1" t="s">
        <v>5382</v>
      </c>
      <c r="Q956" s="1" t="s">
        <v>2233</v>
      </c>
      <c r="R956" s="1" t="s">
        <v>91</v>
      </c>
      <c r="S956">
        <v>1269</v>
      </c>
      <c r="T956">
        <v>88801260</v>
      </c>
      <c r="U956" s="1" t="s">
        <v>108</v>
      </c>
      <c r="V956" s="1" t="s">
        <v>3231</v>
      </c>
      <c r="W956" s="1" t="s">
        <v>87</v>
      </c>
      <c r="X956">
        <v>48</v>
      </c>
      <c r="Y956">
        <v>34336840</v>
      </c>
      <c r="Z956" t="s">
        <v>91</v>
      </c>
      <c r="AA956" t="s">
        <v>91</v>
      </c>
      <c r="AB956" t="s">
        <v>91</v>
      </c>
      <c r="AC956" t="s">
        <v>91</v>
      </c>
      <c r="AD956" t="s">
        <v>91</v>
      </c>
      <c r="AE956" t="s">
        <v>91</v>
      </c>
      <c r="AF956" t="s">
        <v>91</v>
      </c>
      <c r="AG956" s="1" t="s">
        <v>91</v>
      </c>
      <c r="AH956" s="1" t="s">
        <v>91</v>
      </c>
      <c r="AI956" t="s">
        <v>91</v>
      </c>
      <c r="AJ956">
        <v>0</v>
      </c>
      <c r="AK956">
        <v>0</v>
      </c>
      <c r="AL956">
        <v>0</v>
      </c>
      <c r="AM956" t="s">
        <v>91</v>
      </c>
      <c r="AN956" t="s">
        <v>91</v>
      </c>
      <c r="AO956" t="s">
        <v>91</v>
      </c>
      <c r="AP956" t="s">
        <v>91</v>
      </c>
      <c r="AQ956" s="1" t="s">
        <v>91</v>
      </c>
      <c r="AR956" s="1" t="s">
        <v>91</v>
      </c>
      <c r="AS956" s="1" t="s">
        <v>91</v>
      </c>
      <c r="AT956" s="1" t="s">
        <v>91</v>
      </c>
      <c r="AU956" s="1" t="s">
        <v>91</v>
      </c>
      <c r="AV956" t="s">
        <v>91</v>
      </c>
      <c r="AW956" t="s">
        <v>91</v>
      </c>
      <c r="AX956" t="s">
        <v>91</v>
      </c>
      <c r="AY956" t="s">
        <v>91</v>
      </c>
      <c r="AZ956" t="s">
        <v>91</v>
      </c>
      <c r="BA956" t="s">
        <v>91</v>
      </c>
      <c r="BB956" s="2"/>
      <c r="BC956" s="2"/>
      <c r="BD956" t="s">
        <v>91</v>
      </c>
      <c r="BF956" s="1" t="s">
        <v>75</v>
      </c>
      <c r="BG956">
        <v>0</v>
      </c>
      <c r="BH956">
        <v>0</v>
      </c>
      <c r="BI956" s="1" t="s">
        <v>88</v>
      </c>
      <c r="BJ956">
        <v>1</v>
      </c>
      <c r="BK956" s="1" t="s">
        <v>89</v>
      </c>
      <c r="BL956" t="s">
        <v>91</v>
      </c>
      <c r="BM956" s="1" t="s">
        <v>109</v>
      </c>
      <c r="BN956" s="1" t="s">
        <v>110</v>
      </c>
      <c r="BO956" s="1" t="s">
        <v>111</v>
      </c>
      <c r="BP956" s="1" t="s">
        <v>91</v>
      </c>
      <c r="BQ956" t="s">
        <v>91</v>
      </c>
      <c r="BR956" s="3"/>
      <c r="BS956" s="3"/>
      <c r="BT956" t="s">
        <v>91</v>
      </c>
      <c r="BU956" t="s">
        <v>91</v>
      </c>
      <c r="BV956">
        <v>6</v>
      </c>
      <c r="BW956" s="1" t="s">
        <v>1899</v>
      </c>
    </row>
    <row r="957" spans="1:75" hidden="1" x14ac:dyDescent="0.35">
      <c r="A957">
        <v>157641</v>
      </c>
      <c r="B957" s="1" t="s">
        <v>75</v>
      </c>
      <c r="C957">
        <v>80</v>
      </c>
      <c r="D957">
        <v>11121002</v>
      </c>
      <c r="E957">
        <v>121002</v>
      </c>
      <c r="F957" s="1" t="s">
        <v>2915</v>
      </c>
      <c r="G957" s="1" t="s">
        <v>5383</v>
      </c>
      <c r="H957">
        <v>0</v>
      </c>
      <c r="I957" s="1" t="s">
        <v>78</v>
      </c>
      <c r="J957" s="1" t="s">
        <v>5379</v>
      </c>
      <c r="K957" s="1" t="s">
        <v>5384</v>
      </c>
      <c r="L957" t="s">
        <v>91</v>
      </c>
      <c r="M957" t="s">
        <v>91</v>
      </c>
      <c r="N957" s="1" t="s">
        <v>5385</v>
      </c>
      <c r="O957" t="s">
        <v>91</v>
      </c>
      <c r="P957" s="1" t="s">
        <v>5386</v>
      </c>
      <c r="Q957" s="1" t="s">
        <v>933</v>
      </c>
      <c r="R957" s="1" t="s">
        <v>5387</v>
      </c>
      <c r="T957">
        <v>88813901</v>
      </c>
      <c r="U957" s="1" t="s">
        <v>3921</v>
      </c>
      <c r="V957" s="1" t="s">
        <v>2943</v>
      </c>
      <c r="W957" s="1" t="s">
        <v>87</v>
      </c>
      <c r="X957">
        <v>48</v>
      </c>
      <c r="Y957">
        <v>999220809</v>
      </c>
      <c r="Z957" t="s">
        <v>91</v>
      </c>
      <c r="AA957" t="s">
        <v>91</v>
      </c>
      <c r="AB957" t="s">
        <v>91</v>
      </c>
      <c r="AC957" t="s">
        <v>91</v>
      </c>
      <c r="AD957" t="s">
        <v>91</v>
      </c>
      <c r="AE957" t="s">
        <v>91</v>
      </c>
      <c r="AF957" t="s">
        <v>91</v>
      </c>
      <c r="AG957" s="1" t="s">
        <v>91</v>
      </c>
      <c r="AH957" s="1" t="s">
        <v>91</v>
      </c>
      <c r="AI957" t="s">
        <v>91</v>
      </c>
      <c r="AM957" t="s">
        <v>91</v>
      </c>
      <c r="AN957" t="s">
        <v>91</v>
      </c>
      <c r="AO957" t="s">
        <v>91</v>
      </c>
      <c r="AP957" t="s">
        <v>91</v>
      </c>
      <c r="AQ957" s="1" t="s">
        <v>91</v>
      </c>
      <c r="AR957" s="1" t="s">
        <v>91</v>
      </c>
      <c r="AS957" s="1" t="s">
        <v>91</v>
      </c>
      <c r="AT957" s="1" t="s">
        <v>91</v>
      </c>
      <c r="AU957" s="1" t="s">
        <v>91</v>
      </c>
      <c r="AV957" t="s">
        <v>91</v>
      </c>
      <c r="AW957" t="s">
        <v>91</v>
      </c>
      <c r="AX957" t="s">
        <v>91</v>
      </c>
      <c r="AY957" t="s">
        <v>91</v>
      </c>
      <c r="AZ957" t="s">
        <v>91</v>
      </c>
      <c r="BA957" t="s">
        <v>91</v>
      </c>
      <c r="BB957" s="2">
        <v>45118.097175925926</v>
      </c>
      <c r="BC957" s="2"/>
      <c r="BD957" t="s">
        <v>91</v>
      </c>
      <c r="BF957" s="1" t="s">
        <v>75</v>
      </c>
      <c r="BI957" s="1" t="s">
        <v>88</v>
      </c>
      <c r="BJ957">
        <v>1</v>
      </c>
      <c r="BK957" s="1" t="s">
        <v>89</v>
      </c>
      <c r="BL957" t="s">
        <v>91</v>
      </c>
      <c r="BM957" s="1" t="s">
        <v>91</v>
      </c>
      <c r="BN957" s="1" t="s">
        <v>91</v>
      </c>
      <c r="BO957" s="1" t="s">
        <v>91</v>
      </c>
      <c r="BP957" s="1" t="s">
        <v>91</v>
      </c>
      <c r="BQ957" t="s">
        <v>91</v>
      </c>
      <c r="BR957" s="3">
        <v>45118</v>
      </c>
      <c r="BS957" s="3"/>
      <c r="BT957" t="s">
        <v>91</v>
      </c>
      <c r="BU957" t="s">
        <v>91</v>
      </c>
      <c r="BW957" s="1" t="s">
        <v>90</v>
      </c>
    </row>
    <row r="958" spans="1:75" hidden="1" x14ac:dyDescent="0.35">
      <c r="A958">
        <v>134276</v>
      </c>
      <c r="B958" s="1" t="s">
        <v>75</v>
      </c>
      <c r="C958">
        <v>80</v>
      </c>
      <c r="D958">
        <v>11121002</v>
      </c>
      <c r="E958">
        <v>121002</v>
      </c>
      <c r="F958" s="1" t="s">
        <v>2915</v>
      </c>
      <c r="G958" s="1" t="s">
        <v>5388</v>
      </c>
      <c r="I958" s="1" t="s">
        <v>78</v>
      </c>
      <c r="J958" s="1" t="s">
        <v>5389</v>
      </c>
      <c r="K958" s="1" t="s">
        <v>5390</v>
      </c>
      <c r="L958" t="s">
        <v>91</v>
      </c>
      <c r="M958" t="s">
        <v>91</v>
      </c>
      <c r="N958" s="1" t="s">
        <v>5391</v>
      </c>
      <c r="O958" t="s">
        <v>91</v>
      </c>
      <c r="P958" s="1" t="s">
        <v>775</v>
      </c>
      <c r="Q958" s="1" t="s">
        <v>1605</v>
      </c>
      <c r="R958" s="1" t="s">
        <v>91</v>
      </c>
      <c r="S958">
        <v>1254</v>
      </c>
      <c r="T958">
        <v>88010320</v>
      </c>
      <c r="U958" s="1" t="s">
        <v>108</v>
      </c>
      <c r="V958" s="1" t="s">
        <v>3102</v>
      </c>
      <c r="W958" s="1" t="s">
        <v>87</v>
      </c>
      <c r="X958">
        <v>48</v>
      </c>
      <c r="Y958">
        <v>32234048</v>
      </c>
      <c r="Z958" t="s">
        <v>91</v>
      </c>
      <c r="AA958" t="s">
        <v>91</v>
      </c>
      <c r="AB958" t="s">
        <v>91</v>
      </c>
      <c r="AC958" t="s">
        <v>91</v>
      </c>
      <c r="AD958" t="s">
        <v>91</v>
      </c>
      <c r="AE958" t="s">
        <v>91</v>
      </c>
      <c r="AF958" t="s">
        <v>91</v>
      </c>
      <c r="AG958" s="1" t="s">
        <v>146</v>
      </c>
      <c r="AH958" s="1" t="s">
        <v>91</v>
      </c>
      <c r="AI958" t="s">
        <v>91</v>
      </c>
      <c r="AJ958">
        <v>0</v>
      </c>
      <c r="AK958">
        <v>0</v>
      </c>
      <c r="AL958">
        <v>0</v>
      </c>
      <c r="AM958" t="s">
        <v>91</v>
      </c>
      <c r="AN958" t="s">
        <v>91</v>
      </c>
      <c r="AO958" t="s">
        <v>91</v>
      </c>
      <c r="AP958" t="s">
        <v>91</v>
      </c>
      <c r="AQ958" s="1" t="s">
        <v>147</v>
      </c>
      <c r="AR958" s="1" t="s">
        <v>147</v>
      </c>
      <c r="AS958" s="1" t="s">
        <v>147</v>
      </c>
      <c r="AT958" s="1" t="s">
        <v>147</v>
      </c>
      <c r="AU958" s="1" t="s">
        <v>147</v>
      </c>
      <c r="AV958" t="s">
        <v>91</v>
      </c>
      <c r="AW958" t="s">
        <v>91</v>
      </c>
      <c r="AX958" t="s">
        <v>91</v>
      </c>
      <c r="AY958" t="s">
        <v>91</v>
      </c>
      <c r="AZ958" t="s">
        <v>91</v>
      </c>
      <c r="BA958" t="s">
        <v>91</v>
      </c>
      <c r="BB958" s="2"/>
      <c r="BC958" s="2">
        <v>44536.634201388886</v>
      </c>
      <c r="BD958" t="s">
        <v>91</v>
      </c>
      <c r="BF958" s="1" t="s">
        <v>75</v>
      </c>
      <c r="BG958">
        <v>0</v>
      </c>
      <c r="BH958">
        <v>0</v>
      </c>
      <c r="BI958" s="1" t="s">
        <v>88</v>
      </c>
      <c r="BJ958">
        <v>1</v>
      </c>
      <c r="BK958" s="1" t="s">
        <v>89</v>
      </c>
      <c r="BL958" t="s">
        <v>91</v>
      </c>
      <c r="BM958" s="1" t="s">
        <v>109</v>
      </c>
      <c r="BN958" s="1" t="s">
        <v>110</v>
      </c>
      <c r="BO958" s="1" t="s">
        <v>128</v>
      </c>
      <c r="BP958" s="1" t="s">
        <v>91</v>
      </c>
      <c r="BQ958" t="s">
        <v>91</v>
      </c>
      <c r="BR958" s="3"/>
      <c r="BS958" s="3">
        <v>44536</v>
      </c>
      <c r="BT958" t="s">
        <v>91</v>
      </c>
      <c r="BU958" t="s">
        <v>91</v>
      </c>
      <c r="BV958">
        <v>9</v>
      </c>
      <c r="BW958" s="1" t="s">
        <v>5392</v>
      </c>
    </row>
    <row r="959" spans="1:75" hidden="1" x14ac:dyDescent="0.35">
      <c r="A959">
        <v>134268</v>
      </c>
      <c r="B959" s="1" t="s">
        <v>75</v>
      </c>
      <c r="C959">
        <v>80</v>
      </c>
      <c r="D959">
        <v>11121002</v>
      </c>
      <c r="E959">
        <v>121002</v>
      </c>
      <c r="F959" s="1" t="s">
        <v>2915</v>
      </c>
      <c r="G959" s="1" t="s">
        <v>5393</v>
      </c>
      <c r="I959" s="1" t="s">
        <v>78</v>
      </c>
      <c r="J959" s="1" t="s">
        <v>5394</v>
      </c>
      <c r="K959" s="1" t="s">
        <v>5395</v>
      </c>
      <c r="L959" t="s">
        <v>91</v>
      </c>
      <c r="M959" t="s">
        <v>91</v>
      </c>
      <c r="N959" s="1" t="s">
        <v>5396</v>
      </c>
      <c r="O959" t="s">
        <v>91</v>
      </c>
      <c r="P959" s="1" t="s">
        <v>5397</v>
      </c>
      <c r="Q959" s="1" t="s">
        <v>5398</v>
      </c>
      <c r="R959" s="1" t="s">
        <v>91</v>
      </c>
      <c r="S959">
        <v>1264</v>
      </c>
      <c r="T959">
        <v>88440000</v>
      </c>
      <c r="U959" s="1" t="s">
        <v>108</v>
      </c>
      <c r="V959" s="1" t="s">
        <v>5399</v>
      </c>
      <c r="W959" s="1" t="s">
        <v>87</v>
      </c>
      <c r="X959">
        <v>47</v>
      </c>
      <c r="Y959">
        <v>35571962</v>
      </c>
      <c r="Z959" t="s">
        <v>91</v>
      </c>
      <c r="AA959" t="s">
        <v>91</v>
      </c>
      <c r="AB959" t="s">
        <v>91</v>
      </c>
      <c r="AC959" t="s">
        <v>91</v>
      </c>
      <c r="AD959" t="s">
        <v>91</v>
      </c>
      <c r="AE959" t="s">
        <v>91</v>
      </c>
      <c r="AF959" t="s">
        <v>91</v>
      </c>
      <c r="AG959" s="1" t="s">
        <v>146</v>
      </c>
      <c r="AH959" s="1" t="s">
        <v>91</v>
      </c>
      <c r="AI959" t="s">
        <v>91</v>
      </c>
      <c r="AJ959">
        <v>0</v>
      </c>
      <c r="AK959">
        <v>0</v>
      </c>
      <c r="AL959">
        <v>0</v>
      </c>
      <c r="AM959" t="s">
        <v>91</v>
      </c>
      <c r="AN959" t="s">
        <v>91</v>
      </c>
      <c r="AO959" t="s">
        <v>91</v>
      </c>
      <c r="AP959" t="s">
        <v>91</v>
      </c>
      <c r="AQ959" s="1" t="s">
        <v>147</v>
      </c>
      <c r="AR959" s="1" t="s">
        <v>147</v>
      </c>
      <c r="AS959" s="1" t="s">
        <v>147</v>
      </c>
      <c r="AT959" s="1" t="s">
        <v>147</v>
      </c>
      <c r="AU959" s="1" t="s">
        <v>147</v>
      </c>
      <c r="AV959" t="s">
        <v>91</v>
      </c>
      <c r="AW959" t="s">
        <v>91</v>
      </c>
      <c r="AX959" t="s">
        <v>91</v>
      </c>
      <c r="AY959" t="s">
        <v>91</v>
      </c>
      <c r="AZ959" t="s">
        <v>91</v>
      </c>
      <c r="BA959" t="s">
        <v>91</v>
      </c>
      <c r="BB959" s="2"/>
      <c r="BC959" s="2">
        <v>44949.61891203704</v>
      </c>
      <c r="BD959" t="s">
        <v>91</v>
      </c>
      <c r="BF959" s="1" t="s">
        <v>75</v>
      </c>
      <c r="BG959">
        <v>0</v>
      </c>
      <c r="BH959">
        <v>0</v>
      </c>
      <c r="BI959" s="1" t="s">
        <v>88</v>
      </c>
      <c r="BJ959">
        <v>1</v>
      </c>
      <c r="BK959" s="1" t="s">
        <v>89</v>
      </c>
      <c r="BL959" t="s">
        <v>91</v>
      </c>
      <c r="BM959" s="1" t="s">
        <v>109</v>
      </c>
      <c r="BN959" s="1" t="s">
        <v>110</v>
      </c>
      <c r="BO959" s="1" t="s">
        <v>180</v>
      </c>
      <c r="BP959" s="1" t="s">
        <v>91</v>
      </c>
      <c r="BQ959" t="s">
        <v>91</v>
      </c>
      <c r="BR959" s="3"/>
      <c r="BS959" s="3">
        <v>44949</v>
      </c>
      <c r="BT959" t="s">
        <v>91</v>
      </c>
      <c r="BU959" t="s">
        <v>91</v>
      </c>
      <c r="BV959">
        <v>9</v>
      </c>
      <c r="BW959" s="1" t="s">
        <v>665</v>
      </c>
    </row>
    <row r="960" spans="1:75" hidden="1" x14ac:dyDescent="0.35">
      <c r="A960">
        <v>144390</v>
      </c>
      <c r="B960" s="1" t="s">
        <v>75</v>
      </c>
      <c r="C960">
        <v>80</v>
      </c>
      <c r="D960">
        <v>11121002</v>
      </c>
      <c r="E960">
        <v>121002</v>
      </c>
      <c r="F960" s="1" t="s">
        <v>2915</v>
      </c>
      <c r="G960" s="1" t="s">
        <v>5400</v>
      </c>
      <c r="I960" s="1" t="s">
        <v>78</v>
      </c>
      <c r="J960" s="1" t="s">
        <v>5401</v>
      </c>
      <c r="K960" s="1" t="s">
        <v>5402</v>
      </c>
      <c r="L960" t="s">
        <v>91</v>
      </c>
      <c r="M960" t="s">
        <v>91</v>
      </c>
      <c r="N960" s="1" t="s">
        <v>5403</v>
      </c>
      <c r="O960" t="s">
        <v>91</v>
      </c>
      <c r="P960" s="1" t="s">
        <v>4075</v>
      </c>
      <c r="Q960" s="1" t="s">
        <v>5404</v>
      </c>
      <c r="R960" s="1" t="s">
        <v>91</v>
      </c>
      <c r="S960">
        <v>1269</v>
      </c>
      <c r="T960">
        <v>88818400</v>
      </c>
      <c r="U960" s="1" t="s">
        <v>4077</v>
      </c>
      <c r="V960" s="1" t="s">
        <v>2943</v>
      </c>
      <c r="W960" s="1" t="s">
        <v>87</v>
      </c>
      <c r="X960">
        <v>48</v>
      </c>
      <c r="Y960">
        <v>34387022</v>
      </c>
      <c r="Z960" t="s">
        <v>91</v>
      </c>
      <c r="AA960" t="s">
        <v>91</v>
      </c>
      <c r="AB960" t="s">
        <v>91</v>
      </c>
      <c r="AC960" t="s">
        <v>91</v>
      </c>
      <c r="AD960" t="s">
        <v>91</v>
      </c>
      <c r="AE960" t="s">
        <v>91</v>
      </c>
      <c r="AF960" t="s">
        <v>91</v>
      </c>
      <c r="AG960" s="1" t="s">
        <v>91</v>
      </c>
      <c r="AH960" s="1" t="s">
        <v>91</v>
      </c>
      <c r="AI960" t="s">
        <v>91</v>
      </c>
      <c r="AJ960">
        <v>0</v>
      </c>
      <c r="AK960">
        <v>0</v>
      </c>
      <c r="AL960">
        <v>0</v>
      </c>
      <c r="AM960" t="s">
        <v>91</v>
      </c>
      <c r="AN960" t="s">
        <v>91</v>
      </c>
      <c r="AO960" t="s">
        <v>91</v>
      </c>
      <c r="AP960" t="s">
        <v>91</v>
      </c>
      <c r="AQ960" s="1" t="s">
        <v>91</v>
      </c>
      <c r="AR960" s="1" t="s">
        <v>91</v>
      </c>
      <c r="AS960" s="1" t="s">
        <v>91</v>
      </c>
      <c r="AT960" s="1" t="s">
        <v>91</v>
      </c>
      <c r="AU960" s="1" t="s">
        <v>91</v>
      </c>
      <c r="AV960" t="s">
        <v>91</v>
      </c>
      <c r="AW960" t="s">
        <v>91</v>
      </c>
      <c r="AX960" t="s">
        <v>91</v>
      </c>
      <c r="AY960" t="s">
        <v>91</v>
      </c>
      <c r="AZ960" t="s">
        <v>91</v>
      </c>
      <c r="BA960" t="s">
        <v>91</v>
      </c>
      <c r="BB960" s="2"/>
      <c r="BC960" s="2"/>
      <c r="BD960" t="s">
        <v>91</v>
      </c>
      <c r="BF960" s="1" t="s">
        <v>75</v>
      </c>
      <c r="BG960">
        <v>0</v>
      </c>
      <c r="BH960">
        <v>0</v>
      </c>
      <c r="BI960" s="1" t="s">
        <v>88</v>
      </c>
      <c r="BJ960">
        <v>1</v>
      </c>
      <c r="BK960" s="1" t="s">
        <v>89</v>
      </c>
      <c r="BL960" t="s">
        <v>91</v>
      </c>
      <c r="BM960" s="1" t="s">
        <v>109</v>
      </c>
      <c r="BN960" s="1" t="s">
        <v>110</v>
      </c>
      <c r="BO960" s="1" t="s">
        <v>111</v>
      </c>
      <c r="BP960" s="1" t="s">
        <v>91</v>
      </c>
      <c r="BQ960" t="s">
        <v>91</v>
      </c>
      <c r="BR960" s="3"/>
      <c r="BS960" s="3"/>
      <c r="BT960" t="s">
        <v>91</v>
      </c>
      <c r="BU960" t="s">
        <v>91</v>
      </c>
      <c r="BV960">
        <v>9</v>
      </c>
      <c r="BW960" s="1" t="s">
        <v>478</v>
      </c>
    </row>
    <row r="961" spans="1:75" hidden="1" x14ac:dyDescent="0.35">
      <c r="A961">
        <v>156900</v>
      </c>
      <c r="B961" s="1" t="s">
        <v>75</v>
      </c>
      <c r="C961">
        <v>80</v>
      </c>
      <c r="D961">
        <v>11121002</v>
      </c>
      <c r="E961">
        <v>121002</v>
      </c>
      <c r="F961" s="1" t="s">
        <v>2915</v>
      </c>
      <c r="G961" s="1" t="s">
        <v>5405</v>
      </c>
      <c r="H961">
        <v>0</v>
      </c>
      <c r="I961" s="1" t="s">
        <v>78</v>
      </c>
      <c r="J961" s="1" t="s">
        <v>5406</v>
      </c>
      <c r="K961" s="1" t="s">
        <v>5407</v>
      </c>
      <c r="L961" t="s">
        <v>91</v>
      </c>
      <c r="M961" t="s">
        <v>91</v>
      </c>
      <c r="N961" s="1" t="s">
        <v>5408</v>
      </c>
      <c r="O961" t="s">
        <v>91</v>
      </c>
      <c r="P961" s="1" t="s">
        <v>4485</v>
      </c>
      <c r="Q961" s="1" t="s">
        <v>1496</v>
      </c>
      <c r="R961" s="1" t="s">
        <v>91</v>
      </c>
      <c r="S961">
        <v>1268</v>
      </c>
      <c r="T961">
        <v>88790000</v>
      </c>
      <c r="U961" s="1" t="s">
        <v>108</v>
      </c>
      <c r="V961" s="1" t="s">
        <v>2971</v>
      </c>
      <c r="W961" s="1" t="s">
        <v>87</v>
      </c>
      <c r="X961">
        <v>48</v>
      </c>
      <c r="Y961">
        <v>36440804</v>
      </c>
      <c r="Z961" t="s">
        <v>91</v>
      </c>
      <c r="AA961" t="s">
        <v>91</v>
      </c>
      <c r="AB961" t="s">
        <v>91</v>
      </c>
      <c r="AC961" t="s">
        <v>91</v>
      </c>
      <c r="AD961" t="s">
        <v>91</v>
      </c>
      <c r="AE961" t="s">
        <v>91</v>
      </c>
      <c r="AF961" t="s">
        <v>91</v>
      </c>
      <c r="AG961" s="1" t="s">
        <v>91</v>
      </c>
      <c r="AH961" s="1" t="s">
        <v>91</v>
      </c>
      <c r="AI961" t="s">
        <v>91</v>
      </c>
      <c r="AM961" t="s">
        <v>91</v>
      </c>
      <c r="AN961" t="s">
        <v>91</v>
      </c>
      <c r="AO961" t="s">
        <v>91</v>
      </c>
      <c r="AP961" t="s">
        <v>91</v>
      </c>
      <c r="AQ961" s="1" t="s">
        <v>91</v>
      </c>
      <c r="AR961" s="1" t="s">
        <v>91</v>
      </c>
      <c r="AS961" s="1" t="s">
        <v>91</v>
      </c>
      <c r="AT961" s="1" t="s">
        <v>91</v>
      </c>
      <c r="AU961" s="1" t="s">
        <v>91</v>
      </c>
      <c r="AV961" t="s">
        <v>91</v>
      </c>
      <c r="AW961" t="s">
        <v>91</v>
      </c>
      <c r="AX961" t="s">
        <v>91</v>
      </c>
      <c r="AY961" t="s">
        <v>91</v>
      </c>
      <c r="AZ961" t="s">
        <v>91</v>
      </c>
      <c r="BA961" t="s">
        <v>91</v>
      </c>
      <c r="BB961" s="2">
        <v>45113.505416666667</v>
      </c>
      <c r="BC961" s="2"/>
      <c r="BD961" t="s">
        <v>91</v>
      </c>
      <c r="BF961" s="1" t="s">
        <v>75</v>
      </c>
      <c r="BI961" s="1" t="s">
        <v>88</v>
      </c>
      <c r="BJ961">
        <v>1</v>
      </c>
      <c r="BK961" s="1" t="s">
        <v>89</v>
      </c>
      <c r="BL961" t="s">
        <v>91</v>
      </c>
      <c r="BM961" s="1" t="s">
        <v>91</v>
      </c>
      <c r="BN961" s="1" t="s">
        <v>91</v>
      </c>
      <c r="BO961" s="1" t="s">
        <v>91</v>
      </c>
      <c r="BP961" s="1" t="s">
        <v>91</v>
      </c>
      <c r="BQ961" t="s">
        <v>91</v>
      </c>
      <c r="BR961" s="3">
        <v>45113</v>
      </c>
      <c r="BS961" s="3"/>
      <c r="BT961" t="s">
        <v>91</v>
      </c>
      <c r="BU961" t="s">
        <v>91</v>
      </c>
      <c r="BW961" s="1" t="s">
        <v>3406</v>
      </c>
    </row>
    <row r="962" spans="1:75" hidden="1" x14ac:dyDescent="0.35">
      <c r="A962">
        <v>144357</v>
      </c>
      <c r="B962" s="1" t="s">
        <v>75</v>
      </c>
      <c r="C962">
        <v>80</v>
      </c>
      <c r="D962">
        <v>11121002</v>
      </c>
      <c r="E962">
        <v>121002</v>
      </c>
      <c r="F962" s="1" t="s">
        <v>2915</v>
      </c>
      <c r="G962" s="1" t="s">
        <v>5409</v>
      </c>
      <c r="I962" s="1" t="s">
        <v>78</v>
      </c>
      <c r="J962" s="1" t="s">
        <v>5410</v>
      </c>
      <c r="K962" s="1" t="s">
        <v>5411</v>
      </c>
      <c r="L962" t="s">
        <v>91</v>
      </c>
      <c r="M962" t="s">
        <v>91</v>
      </c>
      <c r="N962" s="1" t="s">
        <v>5412</v>
      </c>
      <c r="O962" t="s">
        <v>91</v>
      </c>
      <c r="P962" s="1" t="s">
        <v>5013</v>
      </c>
      <c r="Q962" s="1" t="s">
        <v>1650</v>
      </c>
      <c r="R962" s="1" t="s">
        <v>173</v>
      </c>
      <c r="S962">
        <v>1269</v>
      </c>
      <c r="T962">
        <v>88870000</v>
      </c>
      <c r="U962" s="1" t="s">
        <v>108</v>
      </c>
      <c r="V962" s="1" t="s">
        <v>5015</v>
      </c>
      <c r="W962" s="1" t="s">
        <v>87</v>
      </c>
      <c r="X962">
        <v>48</v>
      </c>
      <c r="Y962">
        <v>34663121</v>
      </c>
      <c r="Z962" t="s">
        <v>91</v>
      </c>
      <c r="AA962" t="s">
        <v>91</v>
      </c>
      <c r="AB962" t="s">
        <v>91</v>
      </c>
      <c r="AC962" t="s">
        <v>91</v>
      </c>
      <c r="AD962" t="s">
        <v>91</v>
      </c>
      <c r="AE962" t="s">
        <v>91</v>
      </c>
      <c r="AF962" t="s">
        <v>91</v>
      </c>
      <c r="AG962" s="1" t="s">
        <v>91</v>
      </c>
      <c r="AH962" s="1" t="s">
        <v>91</v>
      </c>
      <c r="AI962" t="s">
        <v>91</v>
      </c>
      <c r="AJ962">
        <v>0</v>
      </c>
      <c r="AK962">
        <v>0</v>
      </c>
      <c r="AL962">
        <v>0</v>
      </c>
      <c r="AM962" t="s">
        <v>91</v>
      </c>
      <c r="AN962" t="s">
        <v>91</v>
      </c>
      <c r="AO962" t="s">
        <v>91</v>
      </c>
      <c r="AP962" t="s">
        <v>91</v>
      </c>
      <c r="AQ962" s="1" t="s">
        <v>91</v>
      </c>
      <c r="AR962" s="1" t="s">
        <v>91</v>
      </c>
      <c r="AS962" s="1" t="s">
        <v>91</v>
      </c>
      <c r="AT962" s="1" t="s">
        <v>91</v>
      </c>
      <c r="AU962" s="1" t="s">
        <v>91</v>
      </c>
      <c r="AV962" t="s">
        <v>91</v>
      </c>
      <c r="AW962" t="s">
        <v>91</v>
      </c>
      <c r="AX962" t="s">
        <v>91</v>
      </c>
      <c r="AY962" t="s">
        <v>91</v>
      </c>
      <c r="AZ962" t="s">
        <v>91</v>
      </c>
      <c r="BA962" t="s">
        <v>91</v>
      </c>
      <c r="BB962" s="2"/>
      <c r="BC962" s="2"/>
      <c r="BD962" t="s">
        <v>91</v>
      </c>
      <c r="BF962" s="1" t="s">
        <v>75</v>
      </c>
      <c r="BG962">
        <v>0</v>
      </c>
      <c r="BH962">
        <v>0</v>
      </c>
      <c r="BI962" s="1" t="s">
        <v>88</v>
      </c>
      <c r="BJ962">
        <v>1</v>
      </c>
      <c r="BK962" s="1" t="s">
        <v>89</v>
      </c>
      <c r="BL962" t="s">
        <v>91</v>
      </c>
      <c r="BM962" s="1" t="s">
        <v>109</v>
      </c>
      <c r="BN962" s="1" t="s">
        <v>110</v>
      </c>
      <c r="BO962" s="1" t="s">
        <v>128</v>
      </c>
      <c r="BP962" s="1" t="s">
        <v>91</v>
      </c>
      <c r="BQ962" t="s">
        <v>91</v>
      </c>
      <c r="BR962" s="3"/>
      <c r="BS962" s="3"/>
      <c r="BT962" t="s">
        <v>91</v>
      </c>
      <c r="BU962" t="s">
        <v>91</v>
      </c>
      <c r="BV962">
        <v>9</v>
      </c>
      <c r="BW962" s="1" t="s">
        <v>3039</v>
      </c>
    </row>
    <row r="963" spans="1:75" hidden="1" x14ac:dyDescent="0.35">
      <c r="A963">
        <v>144399</v>
      </c>
      <c r="B963" s="1" t="s">
        <v>75</v>
      </c>
      <c r="C963">
        <v>80</v>
      </c>
      <c r="D963">
        <v>11121002</v>
      </c>
      <c r="E963">
        <v>121002</v>
      </c>
      <c r="F963" s="1" t="s">
        <v>2915</v>
      </c>
      <c r="G963" s="1" t="s">
        <v>5413</v>
      </c>
      <c r="I963" s="1" t="s">
        <v>78</v>
      </c>
      <c r="J963" s="1" t="s">
        <v>5414</v>
      </c>
      <c r="K963" s="1" t="s">
        <v>5415</v>
      </c>
      <c r="L963" t="s">
        <v>91</v>
      </c>
      <c r="M963" t="s">
        <v>91</v>
      </c>
      <c r="N963" s="1" t="s">
        <v>5416</v>
      </c>
      <c r="O963" t="s">
        <v>91</v>
      </c>
      <c r="P963" s="1" t="s">
        <v>3728</v>
      </c>
      <c r="Q963" s="1" t="s">
        <v>179</v>
      </c>
      <c r="R963" s="1" t="s">
        <v>91</v>
      </c>
      <c r="S963">
        <v>1269</v>
      </c>
      <c r="T963">
        <v>88840000</v>
      </c>
      <c r="U963" s="1" t="s">
        <v>108</v>
      </c>
      <c r="V963" s="1" t="s">
        <v>3729</v>
      </c>
      <c r="W963" s="1" t="s">
        <v>87</v>
      </c>
      <c r="X963">
        <v>48</v>
      </c>
      <c r="Y963">
        <v>34651222</v>
      </c>
      <c r="Z963" t="s">
        <v>91</v>
      </c>
      <c r="AA963" t="s">
        <v>91</v>
      </c>
      <c r="AB963" t="s">
        <v>91</v>
      </c>
      <c r="AC963" t="s">
        <v>91</v>
      </c>
      <c r="AD963" t="s">
        <v>91</v>
      </c>
      <c r="AE963" t="s">
        <v>91</v>
      </c>
      <c r="AF963" t="s">
        <v>91</v>
      </c>
      <c r="AG963" s="1" t="s">
        <v>91</v>
      </c>
      <c r="AH963" s="1" t="s">
        <v>91</v>
      </c>
      <c r="AI963" t="s">
        <v>91</v>
      </c>
      <c r="AJ963">
        <v>0</v>
      </c>
      <c r="AK963">
        <v>0</v>
      </c>
      <c r="AL963">
        <v>0</v>
      </c>
      <c r="AM963" t="s">
        <v>91</v>
      </c>
      <c r="AN963" t="s">
        <v>91</v>
      </c>
      <c r="AO963" t="s">
        <v>91</v>
      </c>
      <c r="AP963" t="s">
        <v>91</v>
      </c>
      <c r="AQ963" s="1" t="s">
        <v>91</v>
      </c>
      <c r="AR963" s="1" t="s">
        <v>91</v>
      </c>
      <c r="AS963" s="1" t="s">
        <v>91</v>
      </c>
      <c r="AT963" s="1" t="s">
        <v>91</v>
      </c>
      <c r="AU963" s="1" t="s">
        <v>91</v>
      </c>
      <c r="AV963" t="s">
        <v>91</v>
      </c>
      <c r="AW963" t="s">
        <v>91</v>
      </c>
      <c r="AX963" t="s">
        <v>91</v>
      </c>
      <c r="AY963" t="s">
        <v>91</v>
      </c>
      <c r="AZ963" t="s">
        <v>91</v>
      </c>
      <c r="BA963" t="s">
        <v>91</v>
      </c>
      <c r="BB963" s="2"/>
      <c r="BC963" s="2"/>
      <c r="BD963" t="s">
        <v>91</v>
      </c>
      <c r="BF963" s="1" t="s">
        <v>75</v>
      </c>
      <c r="BG963">
        <v>0</v>
      </c>
      <c r="BH963">
        <v>0</v>
      </c>
      <c r="BI963" s="1" t="s">
        <v>88</v>
      </c>
      <c r="BJ963">
        <v>1</v>
      </c>
      <c r="BK963" s="1" t="s">
        <v>89</v>
      </c>
      <c r="BL963" t="s">
        <v>91</v>
      </c>
      <c r="BM963" s="1" t="s">
        <v>329</v>
      </c>
      <c r="BN963" s="1" t="s">
        <v>110</v>
      </c>
      <c r="BO963" s="1" t="s">
        <v>165</v>
      </c>
      <c r="BP963" s="1" t="s">
        <v>91</v>
      </c>
      <c r="BQ963" t="s">
        <v>91</v>
      </c>
      <c r="BR963" s="3"/>
      <c r="BS963" s="3"/>
      <c r="BT963" t="s">
        <v>91</v>
      </c>
      <c r="BU963" t="s">
        <v>91</v>
      </c>
      <c r="BV963">
        <v>5</v>
      </c>
      <c r="BW963" s="1" t="s">
        <v>90</v>
      </c>
    </row>
    <row r="964" spans="1:75" hidden="1" x14ac:dyDescent="0.35">
      <c r="A964">
        <v>144508</v>
      </c>
      <c r="B964" s="1" t="s">
        <v>75</v>
      </c>
      <c r="C964">
        <v>80</v>
      </c>
      <c r="D964">
        <v>11121002</v>
      </c>
      <c r="E964">
        <v>121002</v>
      </c>
      <c r="F964" s="1" t="s">
        <v>2915</v>
      </c>
      <c r="G964" s="1" t="s">
        <v>5417</v>
      </c>
      <c r="I964" s="1" t="s">
        <v>78</v>
      </c>
      <c r="J964" s="1" t="s">
        <v>5418</v>
      </c>
      <c r="K964" s="1" t="s">
        <v>5419</v>
      </c>
      <c r="L964" t="s">
        <v>91</v>
      </c>
      <c r="M964" t="s">
        <v>91</v>
      </c>
      <c r="N964" s="1" t="s">
        <v>5420</v>
      </c>
      <c r="O964" t="s">
        <v>91</v>
      </c>
      <c r="P964" s="1" t="s">
        <v>5421</v>
      </c>
      <c r="Q964" s="1" t="s">
        <v>5422</v>
      </c>
      <c r="R964" s="1" t="s">
        <v>236</v>
      </c>
      <c r="S964">
        <v>1265</v>
      </c>
      <c r="T964">
        <v>88495000</v>
      </c>
      <c r="U964" s="1" t="s">
        <v>5423</v>
      </c>
      <c r="V964" s="1" t="s">
        <v>3853</v>
      </c>
      <c r="W964" s="1" t="s">
        <v>87</v>
      </c>
      <c r="X964">
        <v>48</v>
      </c>
      <c r="Y964">
        <v>988368877</v>
      </c>
      <c r="Z964" t="s">
        <v>91</v>
      </c>
      <c r="AA964" t="s">
        <v>91</v>
      </c>
      <c r="AB964" t="s">
        <v>91</v>
      </c>
      <c r="AC964" t="s">
        <v>91</v>
      </c>
      <c r="AD964" t="s">
        <v>91</v>
      </c>
      <c r="AE964" t="s">
        <v>91</v>
      </c>
      <c r="AF964" t="s">
        <v>91</v>
      </c>
      <c r="AG964" s="1" t="s">
        <v>91</v>
      </c>
      <c r="AH964" s="1" t="s">
        <v>91</v>
      </c>
      <c r="AI964" t="s">
        <v>91</v>
      </c>
      <c r="AJ964">
        <v>0</v>
      </c>
      <c r="AK964">
        <v>0</v>
      </c>
      <c r="AL964">
        <v>0</v>
      </c>
      <c r="AM964" t="s">
        <v>91</v>
      </c>
      <c r="AN964" t="s">
        <v>91</v>
      </c>
      <c r="AO964" t="s">
        <v>91</v>
      </c>
      <c r="AP964" t="s">
        <v>91</v>
      </c>
      <c r="AQ964" s="1" t="s">
        <v>91</v>
      </c>
      <c r="AR964" s="1" t="s">
        <v>91</v>
      </c>
      <c r="AS964" s="1" t="s">
        <v>91</v>
      </c>
      <c r="AT964" s="1" t="s">
        <v>91</v>
      </c>
      <c r="AU964" s="1" t="s">
        <v>91</v>
      </c>
      <c r="AV964" t="s">
        <v>91</v>
      </c>
      <c r="AW964" t="s">
        <v>91</v>
      </c>
      <c r="AX964" t="s">
        <v>91</v>
      </c>
      <c r="AY964" t="s">
        <v>91</v>
      </c>
      <c r="AZ964" t="s">
        <v>91</v>
      </c>
      <c r="BA964" t="s">
        <v>91</v>
      </c>
      <c r="BB964" s="2"/>
      <c r="BC964" s="2"/>
      <c r="BD964" t="s">
        <v>91</v>
      </c>
      <c r="BF964" s="1" t="s">
        <v>75</v>
      </c>
      <c r="BG964">
        <v>0</v>
      </c>
      <c r="BH964">
        <v>0</v>
      </c>
      <c r="BI964" s="1" t="s">
        <v>88</v>
      </c>
      <c r="BJ964">
        <v>1</v>
      </c>
      <c r="BK964" s="1" t="s">
        <v>89</v>
      </c>
      <c r="BL964" t="s">
        <v>91</v>
      </c>
      <c r="BM964" s="1" t="s">
        <v>109</v>
      </c>
      <c r="BN964" s="1" t="s">
        <v>110</v>
      </c>
      <c r="BO964" s="1" t="s">
        <v>128</v>
      </c>
      <c r="BP964" s="1" t="s">
        <v>91</v>
      </c>
      <c r="BQ964" t="s">
        <v>91</v>
      </c>
      <c r="BR964" s="3"/>
      <c r="BS964" s="3"/>
      <c r="BT964" t="s">
        <v>91</v>
      </c>
      <c r="BU964" t="s">
        <v>91</v>
      </c>
      <c r="BV964">
        <v>9</v>
      </c>
      <c r="BW964" s="1" t="s">
        <v>728</v>
      </c>
    </row>
    <row r="965" spans="1:75" hidden="1" x14ac:dyDescent="0.35">
      <c r="A965">
        <v>144361</v>
      </c>
      <c r="B965" s="1" t="s">
        <v>75</v>
      </c>
      <c r="C965">
        <v>80</v>
      </c>
      <c r="D965">
        <v>11121002</v>
      </c>
      <c r="E965">
        <v>121002</v>
      </c>
      <c r="F965" s="1" t="s">
        <v>2915</v>
      </c>
      <c r="G965" s="1" t="s">
        <v>5424</v>
      </c>
      <c r="I965" s="1" t="s">
        <v>78</v>
      </c>
      <c r="J965" s="1" t="s">
        <v>5425</v>
      </c>
      <c r="K965" s="1" t="s">
        <v>5426</v>
      </c>
      <c r="L965" t="s">
        <v>91</v>
      </c>
      <c r="M965" t="s">
        <v>91</v>
      </c>
      <c r="N965" s="1" t="s">
        <v>5427</v>
      </c>
      <c r="O965" t="s">
        <v>91</v>
      </c>
      <c r="P965" s="1" t="s">
        <v>5428</v>
      </c>
      <c r="Q965" s="1" t="s">
        <v>83</v>
      </c>
      <c r="R965" s="1" t="s">
        <v>91</v>
      </c>
      <c r="S965">
        <v>1265</v>
      </c>
      <c r="T965">
        <v>88495000</v>
      </c>
      <c r="U965" s="1" t="s">
        <v>108</v>
      </c>
      <c r="V965" s="1" t="s">
        <v>3853</v>
      </c>
      <c r="W965" s="1" t="s">
        <v>87</v>
      </c>
      <c r="X965">
        <v>48</v>
      </c>
      <c r="Y965">
        <v>32543150</v>
      </c>
      <c r="Z965" t="s">
        <v>91</v>
      </c>
      <c r="AA965" t="s">
        <v>91</v>
      </c>
      <c r="AB965" t="s">
        <v>91</v>
      </c>
      <c r="AC965" t="s">
        <v>91</v>
      </c>
      <c r="AD965" t="s">
        <v>91</v>
      </c>
      <c r="AE965" t="s">
        <v>91</v>
      </c>
      <c r="AF965" t="s">
        <v>91</v>
      </c>
      <c r="AG965" s="1" t="s">
        <v>147</v>
      </c>
      <c r="AH965" s="1" t="s">
        <v>147</v>
      </c>
      <c r="AI965" t="s">
        <v>91</v>
      </c>
      <c r="AJ965">
        <v>0</v>
      </c>
      <c r="AK965">
        <v>0</v>
      </c>
      <c r="AL965">
        <v>0</v>
      </c>
      <c r="AM965" t="s">
        <v>91</v>
      </c>
      <c r="AN965" t="s">
        <v>91</v>
      </c>
      <c r="AO965" t="s">
        <v>91</v>
      </c>
      <c r="AP965" t="s">
        <v>91</v>
      </c>
      <c r="AQ965" s="1" t="s">
        <v>147</v>
      </c>
      <c r="AR965" s="1" t="s">
        <v>147</v>
      </c>
      <c r="AS965" s="1" t="s">
        <v>91</v>
      </c>
      <c r="AT965" s="1" t="s">
        <v>91</v>
      </c>
      <c r="AU965" s="1" t="s">
        <v>147</v>
      </c>
      <c r="AV965" t="s">
        <v>91</v>
      </c>
      <c r="AW965" t="s">
        <v>91</v>
      </c>
      <c r="AX965" t="s">
        <v>91</v>
      </c>
      <c r="AY965" t="s">
        <v>91</v>
      </c>
      <c r="AZ965" t="s">
        <v>91</v>
      </c>
      <c r="BA965" t="s">
        <v>91</v>
      </c>
      <c r="BB965" s="2"/>
      <c r="BC965" s="2"/>
      <c r="BD965" t="s">
        <v>91</v>
      </c>
      <c r="BF965" s="1" t="s">
        <v>75</v>
      </c>
      <c r="BG965">
        <v>0</v>
      </c>
      <c r="BH965">
        <v>0</v>
      </c>
      <c r="BI965" s="1" t="s">
        <v>88</v>
      </c>
      <c r="BJ965">
        <v>1</v>
      </c>
      <c r="BK965" s="1" t="s">
        <v>89</v>
      </c>
      <c r="BL965" t="s">
        <v>91</v>
      </c>
      <c r="BM965" s="1" t="s">
        <v>164</v>
      </c>
      <c r="BN965" s="1" t="s">
        <v>110</v>
      </c>
      <c r="BO965" s="1" t="s">
        <v>165</v>
      </c>
      <c r="BP965" s="1" t="s">
        <v>1041</v>
      </c>
      <c r="BQ965" t="s">
        <v>91</v>
      </c>
      <c r="BR965" s="3"/>
      <c r="BS965" s="3"/>
      <c r="BT965" t="s">
        <v>91</v>
      </c>
      <c r="BU965" t="s">
        <v>91</v>
      </c>
      <c r="BV965">
        <v>1</v>
      </c>
      <c r="BW965" s="1" t="s">
        <v>728</v>
      </c>
    </row>
    <row r="966" spans="1:75" hidden="1" x14ac:dyDescent="0.35">
      <c r="A966">
        <v>127437</v>
      </c>
      <c r="B966" s="1" t="s">
        <v>75</v>
      </c>
      <c r="C966">
        <v>80</v>
      </c>
      <c r="D966">
        <v>11121002</v>
      </c>
      <c r="E966">
        <v>121002</v>
      </c>
      <c r="F966" s="1" t="s">
        <v>2915</v>
      </c>
      <c r="G966" s="1" t="s">
        <v>5429</v>
      </c>
      <c r="H966">
        <v>0</v>
      </c>
      <c r="I966" s="1" t="s">
        <v>78</v>
      </c>
      <c r="J966" s="1" t="s">
        <v>5430</v>
      </c>
      <c r="K966" s="1" t="s">
        <v>5431</v>
      </c>
      <c r="L966" t="s">
        <v>91</v>
      </c>
      <c r="M966" t="s">
        <v>91</v>
      </c>
      <c r="N966" s="1" t="s">
        <v>5432</v>
      </c>
      <c r="O966" t="s">
        <v>91</v>
      </c>
      <c r="P966" s="1" t="s">
        <v>5433</v>
      </c>
      <c r="Q966" s="1" t="s">
        <v>826</v>
      </c>
      <c r="R966" s="1" t="s">
        <v>1192</v>
      </c>
      <c r="S966">
        <v>1336</v>
      </c>
      <c r="T966">
        <v>95580000</v>
      </c>
      <c r="U966" s="1" t="s">
        <v>108</v>
      </c>
      <c r="V966" s="1" t="s">
        <v>5167</v>
      </c>
      <c r="W966" s="1" t="s">
        <v>157</v>
      </c>
      <c r="X966">
        <v>51</v>
      </c>
      <c r="Y966">
        <v>36671568</v>
      </c>
      <c r="Z966" t="s">
        <v>91</v>
      </c>
      <c r="AA966" t="s">
        <v>91</v>
      </c>
      <c r="AB966" t="s">
        <v>91</v>
      </c>
      <c r="AC966" t="s">
        <v>91</v>
      </c>
      <c r="AD966" t="s">
        <v>91</v>
      </c>
      <c r="AE966" t="s">
        <v>91</v>
      </c>
      <c r="AF966" t="s">
        <v>91</v>
      </c>
      <c r="AG966" s="1" t="s">
        <v>91</v>
      </c>
      <c r="AH966" s="1" t="s">
        <v>91</v>
      </c>
      <c r="AI966" t="s">
        <v>91</v>
      </c>
      <c r="AJ966">
        <v>0</v>
      </c>
      <c r="AK966">
        <v>0</v>
      </c>
      <c r="AL966">
        <v>0</v>
      </c>
      <c r="AM966" t="s">
        <v>91</v>
      </c>
      <c r="AN966" t="s">
        <v>91</v>
      </c>
      <c r="AO966" t="s">
        <v>91</v>
      </c>
      <c r="AP966" t="s">
        <v>91</v>
      </c>
      <c r="AQ966" s="1" t="s">
        <v>91</v>
      </c>
      <c r="AR966" s="1" t="s">
        <v>91</v>
      </c>
      <c r="AS966" s="1" t="s">
        <v>91</v>
      </c>
      <c r="AT966" s="1" t="s">
        <v>91</v>
      </c>
      <c r="AU966" s="1" t="s">
        <v>91</v>
      </c>
      <c r="AV966" t="s">
        <v>91</v>
      </c>
      <c r="AW966" t="s">
        <v>91</v>
      </c>
      <c r="AX966" t="s">
        <v>91</v>
      </c>
      <c r="AY966" t="s">
        <v>91</v>
      </c>
      <c r="AZ966" t="s">
        <v>91</v>
      </c>
      <c r="BA966" t="s">
        <v>91</v>
      </c>
      <c r="BB966" s="2">
        <v>44111.380995370368</v>
      </c>
      <c r="BC966" s="2"/>
      <c r="BD966" t="s">
        <v>91</v>
      </c>
      <c r="BF966" s="1" t="s">
        <v>75</v>
      </c>
      <c r="BG966">
        <v>0</v>
      </c>
      <c r="BH966">
        <v>0</v>
      </c>
      <c r="BI966" s="1" t="s">
        <v>88</v>
      </c>
      <c r="BJ966">
        <v>1</v>
      </c>
      <c r="BK966" s="1" t="s">
        <v>89</v>
      </c>
      <c r="BL966" t="s">
        <v>91</v>
      </c>
      <c r="BM966" s="1" t="s">
        <v>109</v>
      </c>
      <c r="BN966" s="1" t="s">
        <v>110</v>
      </c>
      <c r="BO966" s="1" t="s">
        <v>165</v>
      </c>
      <c r="BP966" s="1" t="s">
        <v>91</v>
      </c>
      <c r="BQ966" t="s">
        <v>91</v>
      </c>
      <c r="BR966" s="3">
        <v>44111</v>
      </c>
      <c r="BS966" s="3"/>
      <c r="BT966" t="s">
        <v>91</v>
      </c>
      <c r="BU966" t="s">
        <v>91</v>
      </c>
      <c r="BV966">
        <v>5</v>
      </c>
      <c r="BW966" s="1" t="s">
        <v>90</v>
      </c>
    </row>
    <row r="967" spans="1:75" hidden="1" x14ac:dyDescent="0.35">
      <c r="A967">
        <v>157726</v>
      </c>
      <c r="B967" s="1" t="s">
        <v>75</v>
      </c>
      <c r="C967">
        <v>80</v>
      </c>
      <c r="D967">
        <v>11121002</v>
      </c>
      <c r="E967">
        <v>121002</v>
      </c>
      <c r="F967" s="1" t="s">
        <v>2915</v>
      </c>
      <c r="G967" s="1" t="s">
        <v>5434</v>
      </c>
      <c r="H967">
        <v>0</v>
      </c>
      <c r="I967" s="1" t="s">
        <v>78</v>
      </c>
      <c r="J967" s="1" t="s">
        <v>5435</v>
      </c>
      <c r="K967" s="1" t="s">
        <v>5436</v>
      </c>
      <c r="L967" t="s">
        <v>91</v>
      </c>
      <c r="M967" t="s">
        <v>91</v>
      </c>
      <c r="N967" s="1" t="s">
        <v>4395</v>
      </c>
      <c r="O967" t="s">
        <v>91</v>
      </c>
      <c r="P967" s="1" t="s">
        <v>624</v>
      </c>
      <c r="Q967" s="1" t="s">
        <v>3600</v>
      </c>
      <c r="R967" s="1" t="s">
        <v>91</v>
      </c>
      <c r="S967">
        <v>1254</v>
      </c>
      <c r="T967">
        <v>88010510</v>
      </c>
      <c r="U967" s="1" t="s">
        <v>108</v>
      </c>
      <c r="V967" s="1" t="s">
        <v>2922</v>
      </c>
      <c r="W967" s="1" t="s">
        <v>87</v>
      </c>
      <c r="X967">
        <v>48</v>
      </c>
      <c r="Y967">
        <v>32240703</v>
      </c>
      <c r="Z967" t="s">
        <v>91</v>
      </c>
      <c r="AA967" t="s">
        <v>91</v>
      </c>
      <c r="AB967" t="s">
        <v>91</v>
      </c>
      <c r="AC967" t="s">
        <v>91</v>
      </c>
      <c r="AD967" t="s">
        <v>91</v>
      </c>
      <c r="AE967" t="s">
        <v>91</v>
      </c>
      <c r="AF967" t="s">
        <v>91</v>
      </c>
      <c r="AG967" s="1" t="s">
        <v>91</v>
      </c>
      <c r="AH967" s="1" t="s">
        <v>91</v>
      </c>
      <c r="AI967" t="s">
        <v>91</v>
      </c>
      <c r="AM967" t="s">
        <v>91</v>
      </c>
      <c r="AN967" t="s">
        <v>91</v>
      </c>
      <c r="AO967" t="s">
        <v>91</v>
      </c>
      <c r="AP967" t="s">
        <v>91</v>
      </c>
      <c r="AQ967" s="1" t="s">
        <v>91</v>
      </c>
      <c r="AR967" s="1" t="s">
        <v>91</v>
      </c>
      <c r="AS967" s="1" t="s">
        <v>91</v>
      </c>
      <c r="AT967" s="1" t="s">
        <v>91</v>
      </c>
      <c r="AU967" s="1" t="s">
        <v>91</v>
      </c>
      <c r="AV967" t="s">
        <v>91</v>
      </c>
      <c r="AW967" t="s">
        <v>91</v>
      </c>
      <c r="AX967" t="s">
        <v>91</v>
      </c>
      <c r="AY967" t="s">
        <v>91</v>
      </c>
      <c r="AZ967" t="s">
        <v>91</v>
      </c>
      <c r="BA967" t="s">
        <v>91</v>
      </c>
      <c r="BB967" s="2">
        <v>45118.097175925926</v>
      </c>
      <c r="BC967" s="2"/>
      <c r="BD967" t="s">
        <v>91</v>
      </c>
      <c r="BF967" s="1" t="s">
        <v>75</v>
      </c>
      <c r="BI967" s="1" t="s">
        <v>88</v>
      </c>
      <c r="BJ967">
        <v>1</v>
      </c>
      <c r="BK967" s="1" t="s">
        <v>89</v>
      </c>
      <c r="BL967" t="s">
        <v>91</v>
      </c>
      <c r="BM967" s="1" t="s">
        <v>91</v>
      </c>
      <c r="BN967" s="1" t="s">
        <v>91</v>
      </c>
      <c r="BO967" s="1" t="s">
        <v>91</v>
      </c>
      <c r="BP967" s="1" t="s">
        <v>91</v>
      </c>
      <c r="BQ967" t="s">
        <v>91</v>
      </c>
      <c r="BR967" s="3">
        <v>45118</v>
      </c>
      <c r="BS967" s="3"/>
      <c r="BT967" t="s">
        <v>91</v>
      </c>
      <c r="BU967" t="s">
        <v>91</v>
      </c>
      <c r="BW967" s="1" t="s">
        <v>90</v>
      </c>
    </row>
    <row r="968" spans="1:75" hidden="1" x14ac:dyDescent="0.35">
      <c r="A968">
        <v>291</v>
      </c>
      <c r="B968" s="1" t="s">
        <v>75</v>
      </c>
      <c r="C968">
        <v>80</v>
      </c>
      <c r="D968">
        <v>11121002</v>
      </c>
      <c r="E968">
        <v>121002</v>
      </c>
      <c r="F968" s="1" t="s">
        <v>2915</v>
      </c>
      <c r="G968" s="1" t="s">
        <v>5437</v>
      </c>
      <c r="I968" s="1" t="s">
        <v>78</v>
      </c>
      <c r="J968" s="1" t="s">
        <v>5438</v>
      </c>
      <c r="K968" s="1" t="s">
        <v>5439</v>
      </c>
      <c r="L968" t="s">
        <v>91</v>
      </c>
      <c r="M968" t="s">
        <v>91</v>
      </c>
      <c r="N968" s="1" t="s">
        <v>5440</v>
      </c>
      <c r="O968" t="s">
        <v>91</v>
      </c>
      <c r="P968" s="1" t="s">
        <v>5441</v>
      </c>
      <c r="Q968" s="1" t="s">
        <v>5442</v>
      </c>
      <c r="R968" s="1" t="s">
        <v>236</v>
      </c>
      <c r="S968">
        <v>1258</v>
      </c>
      <c r="T968">
        <v>88070650</v>
      </c>
      <c r="U968" s="1" t="s">
        <v>3953</v>
      </c>
      <c r="V968" s="1" t="s">
        <v>3102</v>
      </c>
      <c r="W968" s="1" t="s">
        <v>87</v>
      </c>
      <c r="X968">
        <v>48</v>
      </c>
      <c r="Y968">
        <v>32488683</v>
      </c>
      <c r="Z968" t="s">
        <v>91</v>
      </c>
      <c r="AA968" t="s">
        <v>91</v>
      </c>
      <c r="AB968" t="s">
        <v>91</v>
      </c>
      <c r="AC968" t="s">
        <v>91</v>
      </c>
      <c r="AD968" t="s">
        <v>91</v>
      </c>
      <c r="AE968" t="s">
        <v>91</v>
      </c>
      <c r="AF968" t="s">
        <v>91</v>
      </c>
      <c r="AG968" s="1" t="s">
        <v>91</v>
      </c>
      <c r="AH968" s="1" t="s">
        <v>91</v>
      </c>
      <c r="AI968" t="s">
        <v>91</v>
      </c>
      <c r="AJ968">
        <v>0</v>
      </c>
      <c r="AK968">
        <v>0</v>
      </c>
      <c r="AL968">
        <v>0</v>
      </c>
      <c r="AM968" t="s">
        <v>91</v>
      </c>
      <c r="AN968" t="s">
        <v>91</v>
      </c>
      <c r="AO968" t="s">
        <v>91</v>
      </c>
      <c r="AP968" t="s">
        <v>91</v>
      </c>
      <c r="AQ968" s="1" t="s">
        <v>91</v>
      </c>
      <c r="AR968" s="1" t="s">
        <v>91</v>
      </c>
      <c r="AS968" s="1" t="s">
        <v>91</v>
      </c>
      <c r="AT968" s="1" t="s">
        <v>91</v>
      </c>
      <c r="AU968" s="1" t="s">
        <v>91</v>
      </c>
      <c r="AV968" t="s">
        <v>91</v>
      </c>
      <c r="AW968" t="s">
        <v>91</v>
      </c>
      <c r="AX968" t="s">
        <v>91</v>
      </c>
      <c r="AY968" t="s">
        <v>91</v>
      </c>
      <c r="AZ968" t="s">
        <v>91</v>
      </c>
      <c r="BA968" t="s">
        <v>91</v>
      </c>
      <c r="BB968" s="2">
        <v>43308.392789351848</v>
      </c>
      <c r="BC968" s="2"/>
      <c r="BD968" t="s">
        <v>91</v>
      </c>
      <c r="BE968">
        <v>291</v>
      </c>
      <c r="BF968" s="1" t="s">
        <v>75</v>
      </c>
      <c r="BG968">
        <v>0</v>
      </c>
      <c r="BH968">
        <v>0</v>
      </c>
      <c r="BI968" s="1" t="s">
        <v>88</v>
      </c>
      <c r="BJ968">
        <v>1</v>
      </c>
      <c r="BK968" s="1" t="s">
        <v>89</v>
      </c>
      <c r="BL968" t="s">
        <v>91</v>
      </c>
      <c r="BM968" s="1" t="s">
        <v>329</v>
      </c>
      <c r="BN968" s="1" t="s">
        <v>110</v>
      </c>
      <c r="BO968" s="1" t="s">
        <v>165</v>
      </c>
      <c r="BP968" s="1" t="s">
        <v>91</v>
      </c>
      <c r="BQ968" t="s">
        <v>91</v>
      </c>
      <c r="BR968" s="3">
        <v>43308</v>
      </c>
      <c r="BS968" s="3"/>
      <c r="BT968" t="s">
        <v>91</v>
      </c>
      <c r="BU968" t="s">
        <v>91</v>
      </c>
      <c r="BV968">
        <v>7</v>
      </c>
      <c r="BW968" s="1" t="s">
        <v>419</v>
      </c>
    </row>
    <row r="969" spans="1:75" hidden="1" x14ac:dyDescent="0.35">
      <c r="A969">
        <v>134252</v>
      </c>
      <c r="B969" s="1" t="s">
        <v>75</v>
      </c>
      <c r="C969">
        <v>80</v>
      </c>
      <c r="D969">
        <v>11121002</v>
      </c>
      <c r="E969">
        <v>121002</v>
      </c>
      <c r="F969" s="1" t="s">
        <v>2915</v>
      </c>
      <c r="G969" s="1" t="s">
        <v>5443</v>
      </c>
      <c r="I969" s="1" t="s">
        <v>78</v>
      </c>
      <c r="J969" s="1" t="s">
        <v>5444</v>
      </c>
      <c r="K969" s="1" t="s">
        <v>5445</v>
      </c>
      <c r="L969" t="s">
        <v>91</v>
      </c>
      <c r="M969" t="s">
        <v>91</v>
      </c>
      <c r="N969" s="1" t="s">
        <v>5446</v>
      </c>
      <c r="O969" t="s">
        <v>91</v>
      </c>
      <c r="P969" s="1" t="s">
        <v>3556</v>
      </c>
      <c r="Q969" s="1" t="s">
        <v>3557</v>
      </c>
      <c r="R969" s="1" t="s">
        <v>254</v>
      </c>
      <c r="S969">
        <v>1254</v>
      </c>
      <c r="T969">
        <v>88010300</v>
      </c>
      <c r="U969" s="1" t="s">
        <v>108</v>
      </c>
      <c r="V969" s="1" t="s">
        <v>3102</v>
      </c>
      <c r="W969" s="1" t="s">
        <v>87</v>
      </c>
      <c r="X969">
        <v>48</v>
      </c>
      <c r="Y969">
        <v>30301949</v>
      </c>
      <c r="Z969" t="s">
        <v>91</v>
      </c>
      <c r="AA969" t="s">
        <v>91</v>
      </c>
      <c r="AB969" t="s">
        <v>91</v>
      </c>
      <c r="AC969" t="s">
        <v>91</v>
      </c>
      <c r="AD969" t="s">
        <v>91</v>
      </c>
      <c r="AE969" t="s">
        <v>91</v>
      </c>
      <c r="AF969" t="s">
        <v>91</v>
      </c>
      <c r="AG969" s="1" t="s">
        <v>146</v>
      </c>
      <c r="AH969" s="1" t="s">
        <v>91</v>
      </c>
      <c r="AI969" t="s">
        <v>91</v>
      </c>
      <c r="AJ969">
        <v>0</v>
      </c>
      <c r="AK969">
        <v>0</v>
      </c>
      <c r="AL969">
        <v>0</v>
      </c>
      <c r="AM969" t="s">
        <v>91</v>
      </c>
      <c r="AN969" t="s">
        <v>91</v>
      </c>
      <c r="AO969" t="s">
        <v>91</v>
      </c>
      <c r="AP969" t="s">
        <v>91</v>
      </c>
      <c r="AQ969" s="1" t="s">
        <v>147</v>
      </c>
      <c r="AR969" s="1" t="s">
        <v>147</v>
      </c>
      <c r="AS969" s="1" t="s">
        <v>147</v>
      </c>
      <c r="AT969" s="1" t="s">
        <v>147</v>
      </c>
      <c r="AU969" s="1" t="s">
        <v>147</v>
      </c>
      <c r="AV969" t="s">
        <v>91</v>
      </c>
      <c r="AW969" t="s">
        <v>91</v>
      </c>
      <c r="AX969" t="s">
        <v>91</v>
      </c>
      <c r="AY969" t="s">
        <v>91</v>
      </c>
      <c r="AZ969" t="s">
        <v>91</v>
      </c>
      <c r="BA969" t="s">
        <v>91</v>
      </c>
      <c r="BB969" s="2"/>
      <c r="BC969" s="2">
        <v>44655.439525462964</v>
      </c>
      <c r="BD969" t="s">
        <v>91</v>
      </c>
      <c r="BF969" s="1" t="s">
        <v>75</v>
      </c>
      <c r="BG969">
        <v>0</v>
      </c>
      <c r="BH969">
        <v>0</v>
      </c>
      <c r="BI969" s="1" t="s">
        <v>88</v>
      </c>
      <c r="BJ969">
        <v>1</v>
      </c>
      <c r="BK969" s="1" t="s">
        <v>89</v>
      </c>
      <c r="BL969" t="s">
        <v>91</v>
      </c>
      <c r="BM969" s="1" t="s">
        <v>109</v>
      </c>
      <c r="BN969" s="1" t="s">
        <v>110</v>
      </c>
      <c r="BO969" s="1" t="s">
        <v>128</v>
      </c>
      <c r="BP969" s="1" t="s">
        <v>91</v>
      </c>
      <c r="BQ969" t="s">
        <v>91</v>
      </c>
      <c r="BR969" s="3"/>
      <c r="BS969" s="3">
        <v>44655</v>
      </c>
      <c r="BT969" t="s">
        <v>91</v>
      </c>
      <c r="BU969" t="s">
        <v>91</v>
      </c>
      <c r="BV969">
        <v>9</v>
      </c>
      <c r="BW969" s="1" t="s">
        <v>589</v>
      </c>
    </row>
    <row r="970" spans="1:75" hidden="1" x14ac:dyDescent="0.35">
      <c r="A970">
        <v>134706</v>
      </c>
      <c r="B970" s="1" t="s">
        <v>75</v>
      </c>
      <c r="C970">
        <v>80</v>
      </c>
      <c r="D970">
        <v>11121002</v>
      </c>
      <c r="E970">
        <v>121002</v>
      </c>
      <c r="F970" s="1" t="s">
        <v>2915</v>
      </c>
      <c r="G970" s="1" t="s">
        <v>5447</v>
      </c>
      <c r="H970">
        <v>0</v>
      </c>
      <c r="I970" s="1" t="s">
        <v>78</v>
      </c>
      <c r="J970" s="1" t="s">
        <v>5448</v>
      </c>
      <c r="K970" s="1" t="s">
        <v>5449</v>
      </c>
      <c r="L970" t="s">
        <v>91</v>
      </c>
      <c r="M970" t="s">
        <v>91</v>
      </c>
      <c r="N970" s="1" t="s">
        <v>5450</v>
      </c>
      <c r="O970" t="s">
        <v>91</v>
      </c>
      <c r="P970" s="1" t="s">
        <v>3737</v>
      </c>
      <c r="Q970" s="1" t="s">
        <v>1865</v>
      </c>
      <c r="R970" s="1" t="s">
        <v>5451</v>
      </c>
      <c r="S970">
        <v>1254</v>
      </c>
      <c r="T970">
        <v>88010200</v>
      </c>
      <c r="U970" s="1" t="s">
        <v>108</v>
      </c>
      <c r="V970" s="1" t="s">
        <v>3102</v>
      </c>
      <c r="W970" s="1" t="s">
        <v>87</v>
      </c>
      <c r="X970">
        <v>48</v>
      </c>
      <c r="Y970">
        <v>30180303</v>
      </c>
      <c r="Z970" t="s">
        <v>91</v>
      </c>
      <c r="AA970" t="s">
        <v>91</v>
      </c>
      <c r="AB970" t="s">
        <v>91</v>
      </c>
      <c r="AC970" t="s">
        <v>91</v>
      </c>
      <c r="AD970" t="s">
        <v>91</v>
      </c>
      <c r="AE970" t="s">
        <v>91</v>
      </c>
      <c r="AF970" t="s">
        <v>91</v>
      </c>
      <c r="AG970" s="1" t="s">
        <v>146</v>
      </c>
      <c r="AH970" s="1" t="s">
        <v>91</v>
      </c>
      <c r="AI970" t="s">
        <v>91</v>
      </c>
      <c r="AM970" t="s">
        <v>91</v>
      </c>
      <c r="AN970" t="s">
        <v>91</v>
      </c>
      <c r="AO970" t="s">
        <v>91</v>
      </c>
      <c r="AP970" t="s">
        <v>91</v>
      </c>
      <c r="AQ970" s="1" t="s">
        <v>147</v>
      </c>
      <c r="AR970" s="1" t="s">
        <v>147</v>
      </c>
      <c r="AS970" s="1" t="s">
        <v>147</v>
      </c>
      <c r="AT970" s="1" t="s">
        <v>147</v>
      </c>
      <c r="AU970" s="1" t="s">
        <v>147</v>
      </c>
      <c r="AV970" t="s">
        <v>91</v>
      </c>
      <c r="AW970" t="s">
        <v>91</v>
      </c>
      <c r="AX970" t="s">
        <v>91</v>
      </c>
      <c r="AY970" t="s">
        <v>91</v>
      </c>
      <c r="AZ970" t="s">
        <v>91</v>
      </c>
      <c r="BA970" t="s">
        <v>91</v>
      </c>
      <c r="BB970" s="2">
        <v>44271.535578703704</v>
      </c>
      <c r="BC970" s="2">
        <v>45114.655659722222</v>
      </c>
      <c r="BD970" t="s">
        <v>91</v>
      </c>
      <c r="BF970" s="1" t="s">
        <v>75</v>
      </c>
      <c r="BH970">
        <v>0</v>
      </c>
      <c r="BI970" s="1" t="s">
        <v>88</v>
      </c>
      <c r="BJ970">
        <v>1</v>
      </c>
      <c r="BK970" s="1" t="s">
        <v>89</v>
      </c>
      <c r="BL970" t="s">
        <v>91</v>
      </c>
      <c r="BM970" s="1" t="s">
        <v>109</v>
      </c>
      <c r="BN970" s="1" t="s">
        <v>110</v>
      </c>
      <c r="BO970" s="1" t="s">
        <v>180</v>
      </c>
      <c r="BP970" s="1" t="s">
        <v>91</v>
      </c>
      <c r="BQ970" t="s">
        <v>91</v>
      </c>
      <c r="BR970" s="3">
        <v>44271</v>
      </c>
      <c r="BS970" s="3">
        <v>45114</v>
      </c>
      <c r="BT970" t="s">
        <v>91</v>
      </c>
      <c r="BU970" t="s">
        <v>91</v>
      </c>
      <c r="BW970" s="1" t="s">
        <v>5452</v>
      </c>
    </row>
    <row r="971" spans="1:75" hidden="1" x14ac:dyDescent="0.35">
      <c r="A971">
        <v>134292</v>
      </c>
      <c r="B971" s="1" t="s">
        <v>75</v>
      </c>
      <c r="C971">
        <v>80</v>
      </c>
      <c r="D971">
        <v>11121002</v>
      </c>
      <c r="E971">
        <v>121002</v>
      </c>
      <c r="F971" s="1" t="s">
        <v>2915</v>
      </c>
      <c r="G971" s="1" t="s">
        <v>5453</v>
      </c>
      <c r="I971" s="1" t="s">
        <v>78</v>
      </c>
      <c r="J971" s="1" t="s">
        <v>5454</v>
      </c>
      <c r="K971" s="1" t="s">
        <v>5455</v>
      </c>
      <c r="L971" t="s">
        <v>91</v>
      </c>
      <c r="M971" t="s">
        <v>91</v>
      </c>
      <c r="N971" s="1" t="s">
        <v>5456</v>
      </c>
      <c r="O971" t="s">
        <v>91</v>
      </c>
      <c r="P971" s="1" t="s">
        <v>4439</v>
      </c>
      <c r="Q971" s="1" t="s">
        <v>974</v>
      </c>
      <c r="R971" s="1" t="s">
        <v>5457</v>
      </c>
      <c r="S971">
        <v>1255</v>
      </c>
      <c r="T971">
        <v>88015100</v>
      </c>
      <c r="U971" s="1" t="s">
        <v>108</v>
      </c>
      <c r="V971" s="1" t="s">
        <v>3102</v>
      </c>
      <c r="W971" s="1" t="s">
        <v>87</v>
      </c>
      <c r="X971">
        <v>48</v>
      </c>
      <c r="Y971">
        <v>30287766</v>
      </c>
      <c r="Z971" t="s">
        <v>91</v>
      </c>
      <c r="AA971" t="s">
        <v>91</v>
      </c>
      <c r="AB971" t="s">
        <v>91</v>
      </c>
      <c r="AC971" t="s">
        <v>91</v>
      </c>
      <c r="AD971" t="s">
        <v>91</v>
      </c>
      <c r="AE971" t="s">
        <v>91</v>
      </c>
      <c r="AF971" t="s">
        <v>91</v>
      </c>
      <c r="AG971" s="1" t="s">
        <v>146</v>
      </c>
      <c r="AH971" s="1" t="s">
        <v>91</v>
      </c>
      <c r="AI971" t="s">
        <v>91</v>
      </c>
      <c r="AJ971">
        <v>0</v>
      </c>
      <c r="AK971">
        <v>0</v>
      </c>
      <c r="AL971">
        <v>0</v>
      </c>
      <c r="AM971" t="s">
        <v>91</v>
      </c>
      <c r="AN971" t="s">
        <v>91</v>
      </c>
      <c r="AO971" t="s">
        <v>91</v>
      </c>
      <c r="AP971" t="s">
        <v>91</v>
      </c>
      <c r="AQ971" s="1" t="s">
        <v>147</v>
      </c>
      <c r="AR971" s="1" t="s">
        <v>147</v>
      </c>
      <c r="AS971" s="1" t="s">
        <v>147</v>
      </c>
      <c r="AT971" s="1" t="s">
        <v>147</v>
      </c>
      <c r="AU971" s="1" t="s">
        <v>147</v>
      </c>
      <c r="AV971" t="s">
        <v>91</v>
      </c>
      <c r="AW971" t="s">
        <v>91</v>
      </c>
      <c r="AX971" t="s">
        <v>91</v>
      </c>
      <c r="AY971" t="s">
        <v>91</v>
      </c>
      <c r="AZ971" t="s">
        <v>91</v>
      </c>
      <c r="BA971" t="s">
        <v>91</v>
      </c>
      <c r="BB971" s="2"/>
      <c r="BC971" s="2">
        <v>44602.692499999997</v>
      </c>
      <c r="BD971" t="s">
        <v>91</v>
      </c>
      <c r="BF971" s="1" t="s">
        <v>75</v>
      </c>
      <c r="BG971">
        <v>0</v>
      </c>
      <c r="BH971">
        <v>0</v>
      </c>
      <c r="BI971" s="1" t="s">
        <v>88</v>
      </c>
      <c r="BJ971">
        <v>1</v>
      </c>
      <c r="BK971" s="1" t="s">
        <v>89</v>
      </c>
      <c r="BL971" t="s">
        <v>91</v>
      </c>
      <c r="BM971" s="1" t="s">
        <v>164</v>
      </c>
      <c r="BN971" s="1" t="s">
        <v>110</v>
      </c>
      <c r="BO971" s="1" t="s">
        <v>165</v>
      </c>
      <c r="BP971" s="1" t="s">
        <v>91</v>
      </c>
      <c r="BQ971" t="s">
        <v>91</v>
      </c>
      <c r="BR971" s="3"/>
      <c r="BS971" s="3">
        <v>44602</v>
      </c>
      <c r="BT971" t="s">
        <v>91</v>
      </c>
      <c r="BU971" t="s">
        <v>91</v>
      </c>
      <c r="BV971">
        <v>1</v>
      </c>
      <c r="BW971" s="1" t="s">
        <v>295</v>
      </c>
    </row>
    <row r="972" spans="1:75" hidden="1" x14ac:dyDescent="0.35">
      <c r="A972">
        <v>134495</v>
      </c>
      <c r="B972" s="1" t="s">
        <v>75</v>
      </c>
      <c r="C972">
        <v>80</v>
      </c>
      <c r="D972">
        <v>11121002</v>
      </c>
      <c r="E972">
        <v>121002</v>
      </c>
      <c r="F972" s="1" t="s">
        <v>2915</v>
      </c>
      <c r="G972" s="1" t="s">
        <v>5458</v>
      </c>
      <c r="I972" s="1" t="s">
        <v>78</v>
      </c>
      <c r="J972" s="1" t="s">
        <v>5459</v>
      </c>
      <c r="K972" s="1" t="s">
        <v>5460</v>
      </c>
      <c r="L972" t="s">
        <v>91</v>
      </c>
      <c r="M972" t="s">
        <v>91</v>
      </c>
      <c r="N972" s="1" t="s">
        <v>4125</v>
      </c>
      <c r="O972" t="s">
        <v>91</v>
      </c>
      <c r="P972" s="1" t="s">
        <v>860</v>
      </c>
      <c r="Q972" s="1" t="s">
        <v>4126</v>
      </c>
      <c r="R972" s="1" t="s">
        <v>434</v>
      </c>
      <c r="S972">
        <v>1259</v>
      </c>
      <c r="T972">
        <v>88110500</v>
      </c>
      <c r="U972" s="1" t="s">
        <v>2950</v>
      </c>
      <c r="V972" s="1" t="s">
        <v>3016</v>
      </c>
      <c r="W972" s="1" t="s">
        <v>87</v>
      </c>
      <c r="X972">
        <v>48</v>
      </c>
      <c r="Y972">
        <v>33468385</v>
      </c>
      <c r="Z972" t="s">
        <v>91</v>
      </c>
      <c r="AA972" t="s">
        <v>91</v>
      </c>
      <c r="AB972" t="s">
        <v>91</v>
      </c>
      <c r="AC972" t="s">
        <v>91</v>
      </c>
      <c r="AD972" t="s">
        <v>91</v>
      </c>
      <c r="AE972" t="s">
        <v>91</v>
      </c>
      <c r="AF972" t="s">
        <v>91</v>
      </c>
      <c r="AG972" s="1" t="s">
        <v>146</v>
      </c>
      <c r="AH972" s="1" t="s">
        <v>91</v>
      </c>
      <c r="AI972" t="s">
        <v>91</v>
      </c>
      <c r="AM972" t="s">
        <v>91</v>
      </c>
      <c r="AN972" t="s">
        <v>91</v>
      </c>
      <c r="AO972" t="s">
        <v>91</v>
      </c>
      <c r="AP972" t="s">
        <v>91</v>
      </c>
      <c r="AQ972" s="1" t="s">
        <v>147</v>
      </c>
      <c r="AR972" s="1" t="s">
        <v>147</v>
      </c>
      <c r="AS972" s="1" t="s">
        <v>147</v>
      </c>
      <c r="AT972" s="1" t="s">
        <v>147</v>
      </c>
      <c r="AU972" s="1" t="s">
        <v>147</v>
      </c>
      <c r="AV972" t="s">
        <v>91</v>
      </c>
      <c r="AW972" t="s">
        <v>91</v>
      </c>
      <c r="AX972" t="s">
        <v>91</v>
      </c>
      <c r="AY972" t="s">
        <v>91</v>
      </c>
      <c r="AZ972" t="s">
        <v>91</v>
      </c>
      <c r="BA972" t="s">
        <v>91</v>
      </c>
      <c r="BB972" s="2"/>
      <c r="BC972" s="2">
        <v>44356.488495370373</v>
      </c>
      <c r="BD972" t="s">
        <v>91</v>
      </c>
      <c r="BF972" s="1" t="s">
        <v>75</v>
      </c>
      <c r="BH972">
        <v>0</v>
      </c>
      <c r="BI972" s="1" t="s">
        <v>88</v>
      </c>
      <c r="BJ972">
        <v>1</v>
      </c>
      <c r="BK972" s="1" t="s">
        <v>89</v>
      </c>
      <c r="BL972" t="s">
        <v>91</v>
      </c>
      <c r="BM972" s="1" t="s">
        <v>109</v>
      </c>
      <c r="BN972" s="1" t="s">
        <v>110</v>
      </c>
      <c r="BO972" s="1" t="s">
        <v>180</v>
      </c>
      <c r="BP972" s="1" t="s">
        <v>91</v>
      </c>
      <c r="BQ972" t="s">
        <v>91</v>
      </c>
      <c r="BR972" s="3"/>
      <c r="BS972" s="3">
        <v>44356</v>
      </c>
      <c r="BT972" t="s">
        <v>91</v>
      </c>
      <c r="BU972" t="s">
        <v>91</v>
      </c>
      <c r="BV972">
        <v>9</v>
      </c>
      <c r="BW972" s="1" t="s">
        <v>5461</v>
      </c>
    </row>
    <row r="973" spans="1:75" hidden="1" x14ac:dyDescent="0.35">
      <c r="A973">
        <v>120513</v>
      </c>
      <c r="B973" s="1" t="s">
        <v>75</v>
      </c>
      <c r="C973">
        <v>80</v>
      </c>
      <c r="D973">
        <v>11121002</v>
      </c>
      <c r="E973">
        <v>121002</v>
      </c>
      <c r="F973" s="1" t="s">
        <v>2915</v>
      </c>
      <c r="G973" s="1" t="s">
        <v>5462</v>
      </c>
      <c r="H973">
        <v>0</v>
      </c>
      <c r="I973" s="1" t="s">
        <v>78</v>
      </c>
      <c r="J973" s="1" t="s">
        <v>5463</v>
      </c>
      <c r="K973" s="1" t="s">
        <v>5464</v>
      </c>
      <c r="L973" t="s">
        <v>91</v>
      </c>
      <c r="M973" t="s">
        <v>91</v>
      </c>
      <c r="N973" s="1" t="s">
        <v>5465</v>
      </c>
      <c r="O973" t="s">
        <v>91</v>
      </c>
      <c r="P973" s="1" t="s">
        <v>475</v>
      </c>
      <c r="Q973" s="1" t="s">
        <v>4126</v>
      </c>
      <c r="R973" s="1" t="s">
        <v>91</v>
      </c>
      <c r="S973">
        <v>1259</v>
      </c>
      <c r="T973">
        <v>88110500</v>
      </c>
      <c r="U973" s="1" t="s">
        <v>5466</v>
      </c>
      <c r="V973" s="1" t="s">
        <v>2958</v>
      </c>
      <c r="W973" s="1" t="s">
        <v>87</v>
      </c>
      <c r="X973">
        <v>48</v>
      </c>
      <c r="Y973">
        <v>33468385</v>
      </c>
      <c r="Z973" t="s">
        <v>91</v>
      </c>
      <c r="AA973" t="s">
        <v>91</v>
      </c>
      <c r="AB973" t="s">
        <v>91</v>
      </c>
      <c r="AC973" t="s">
        <v>91</v>
      </c>
      <c r="AD973" t="s">
        <v>91</v>
      </c>
      <c r="AE973" t="s">
        <v>91</v>
      </c>
      <c r="AF973" t="s">
        <v>91</v>
      </c>
      <c r="AG973" s="1" t="s">
        <v>91</v>
      </c>
      <c r="AH973" s="1" t="s">
        <v>91</v>
      </c>
      <c r="AI973" t="s">
        <v>91</v>
      </c>
      <c r="AM973" t="s">
        <v>91</v>
      </c>
      <c r="AN973" t="s">
        <v>91</v>
      </c>
      <c r="AO973" t="s">
        <v>91</v>
      </c>
      <c r="AP973" t="s">
        <v>91</v>
      </c>
      <c r="AQ973" s="1" t="s">
        <v>91</v>
      </c>
      <c r="AR973" s="1" t="s">
        <v>91</v>
      </c>
      <c r="AS973" s="1" t="s">
        <v>91</v>
      </c>
      <c r="AT973" s="1" t="s">
        <v>91</v>
      </c>
      <c r="AU973" s="1" t="s">
        <v>91</v>
      </c>
      <c r="AV973" t="s">
        <v>91</v>
      </c>
      <c r="AW973" t="s">
        <v>91</v>
      </c>
      <c r="AX973" t="s">
        <v>91</v>
      </c>
      <c r="AY973" t="s">
        <v>91</v>
      </c>
      <c r="AZ973" t="s">
        <v>91</v>
      </c>
      <c r="BA973" t="s">
        <v>91</v>
      </c>
      <c r="BB973" s="2">
        <v>44096.645520833335</v>
      </c>
      <c r="BC973" s="2"/>
      <c r="BD973" t="s">
        <v>91</v>
      </c>
      <c r="BF973" s="1" t="s">
        <v>75</v>
      </c>
      <c r="BI973" s="1" t="s">
        <v>88</v>
      </c>
      <c r="BJ973">
        <v>1</v>
      </c>
      <c r="BK973" s="1" t="s">
        <v>89</v>
      </c>
      <c r="BL973" t="s">
        <v>91</v>
      </c>
      <c r="BM973" s="1" t="s">
        <v>109</v>
      </c>
      <c r="BN973" s="1" t="s">
        <v>110</v>
      </c>
      <c r="BO973" s="1" t="s">
        <v>180</v>
      </c>
      <c r="BP973" s="1" t="s">
        <v>91</v>
      </c>
      <c r="BQ973" t="s">
        <v>91</v>
      </c>
      <c r="BR973" s="3">
        <v>44096</v>
      </c>
      <c r="BS973" s="3"/>
      <c r="BT973" t="s">
        <v>91</v>
      </c>
      <c r="BU973" t="s">
        <v>91</v>
      </c>
      <c r="BV973">
        <v>9</v>
      </c>
      <c r="BW973" s="1" t="s">
        <v>90</v>
      </c>
    </row>
    <row r="974" spans="1:75" hidden="1" x14ac:dyDescent="0.35">
      <c r="A974">
        <v>135252</v>
      </c>
      <c r="B974" s="1" t="s">
        <v>75</v>
      </c>
      <c r="C974">
        <v>80</v>
      </c>
      <c r="D974">
        <v>11121002</v>
      </c>
      <c r="E974">
        <v>121002</v>
      </c>
      <c r="F974" s="1" t="s">
        <v>2915</v>
      </c>
      <c r="G974" s="1" t="s">
        <v>5467</v>
      </c>
      <c r="H974">
        <v>0</v>
      </c>
      <c r="I974" s="1" t="s">
        <v>78</v>
      </c>
      <c r="J974" s="1" t="s">
        <v>5468</v>
      </c>
      <c r="K974" s="1" t="s">
        <v>5469</v>
      </c>
      <c r="L974" t="s">
        <v>91</v>
      </c>
      <c r="M974" t="s">
        <v>91</v>
      </c>
      <c r="N974" s="1" t="s">
        <v>5470</v>
      </c>
      <c r="O974" t="s">
        <v>91</v>
      </c>
      <c r="P974" s="1" t="s">
        <v>3083</v>
      </c>
      <c r="Q974" s="1" t="s">
        <v>463</v>
      </c>
      <c r="R974" s="1" t="s">
        <v>236</v>
      </c>
      <c r="T974">
        <v>88501010</v>
      </c>
      <c r="U974" s="1" t="s">
        <v>108</v>
      </c>
      <c r="V974" s="1" t="s">
        <v>3335</v>
      </c>
      <c r="W974" s="1" t="s">
        <v>87</v>
      </c>
      <c r="X974">
        <v>49</v>
      </c>
      <c r="Y974">
        <v>33809508</v>
      </c>
      <c r="Z974" t="s">
        <v>91</v>
      </c>
      <c r="AA974" t="s">
        <v>91</v>
      </c>
      <c r="AB974" t="s">
        <v>91</v>
      </c>
      <c r="AC974" t="s">
        <v>91</v>
      </c>
      <c r="AD974" t="s">
        <v>91</v>
      </c>
      <c r="AE974" t="s">
        <v>91</v>
      </c>
      <c r="AF974" t="s">
        <v>91</v>
      </c>
      <c r="AG974" s="1" t="s">
        <v>146</v>
      </c>
      <c r="AH974" s="1" t="s">
        <v>91</v>
      </c>
      <c r="AI974" t="s">
        <v>91</v>
      </c>
      <c r="AM974" t="s">
        <v>91</v>
      </c>
      <c r="AN974" t="s">
        <v>91</v>
      </c>
      <c r="AO974" t="s">
        <v>91</v>
      </c>
      <c r="AP974" t="s">
        <v>91</v>
      </c>
      <c r="AQ974" s="1" t="s">
        <v>147</v>
      </c>
      <c r="AR974" s="1" t="s">
        <v>147</v>
      </c>
      <c r="AS974" s="1" t="s">
        <v>147</v>
      </c>
      <c r="AT974" s="1" t="s">
        <v>147</v>
      </c>
      <c r="AU974" s="1" t="s">
        <v>147</v>
      </c>
      <c r="AV974" t="s">
        <v>91</v>
      </c>
      <c r="AW974" t="s">
        <v>91</v>
      </c>
      <c r="AX974" t="s">
        <v>91</v>
      </c>
      <c r="AY974" t="s">
        <v>91</v>
      </c>
      <c r="AZ974" t="s">
        <v>91</v>
      </c>
      <c r="BA974" t="s">
        <v>91</v>
      </c>
      <c r="BB974" s="2">
        <v>44326.512731481482</v>
      </c>
      <c r="BC974" s="2">
        <v>44662.462916666664</v>
      </c>
      <c r="BD974" t="s">
        <v>91</v>
      </c>
      <c r="BF974" s="1" t="s">
        <v>75</v>
      </c>
      <c r="BH974">
        <v>0</v>
      </c>
      <c r="BI974" s="1" t="s">
        <v>88</v>
      </c>
      <c r="BJ974">
        <v>1</v>
      </c>
      <c r="BK974" s="1" t="s">
        <v>89</v>
      </c>
      <c r="BL974" t="s">
        <v>91</v>
      </c>
      <c r="BM974" s="1" t="s">
        <v>109</v>
      </c>
      <c r="BN974" s="1" t="s">
        <v>110</v>
      </c>
      <c r="BO974" s="1" t="s">
        <v>165</v>
      </c>
      <c r="BP974" s="1" t="s">
        <v>91</v>
      </c>
      <c r="BQ974" t="s">
        <v>91</v>
      </c>
      <c r="BR974" s="3">
        <v>44326</v>
      </c>
      <c r="BS974" s="3">
        <v>44662</v>
      </c>
      <c r="BT974" t="s">
        <v>91</v>
      </c>
      <c r="BU974" t="s">
        <v>91</v>
      </c>
      <c r="BW974" s="1" t="s">
        <v>5471</v>
      </c>
    </row>
    <row r="975" spans="1:75" hidden="1" x14ac:dyDescent="0.35">
      <c r="A975">
        <v>159579</v>
      </c>
      <c r="B975" s="1" t="s">
        <v>75</v>
      </c>
      <c r="C975">
        <v>80</v>
      </c>
      <c r="D975">
        <v>11121002</v>
      </c>
      <c r="E975">
        <v>121002</v>
      </c>
      <c r="F975" s="1" t="s">
        <v>2915</v>
      </c>
      <c r="G975" s="1" t="s">
        <v>5472</v>
      </c>
      <c r="I975" s="1" t="s">
        <v>78</v>
      </c>
      <c r="J975" s="1" t="s">
        <v>5473</v>
      </c>
      <c r="K975" s="1" t="s">
        <v>5474</v>
      </c>
      <c r="L975" t="s">
        <v>91</v>
      </c>
      <c r="M975" t="s">
        <v>91</v>
      </c>
      <c r="N975" s="1" t="s">
        <v>5475</v>
      </c>
      <c r="O975" t="s">
        <v>91</v>
      </c>
      <c r="P975" s="1" t="s">
        <v>5476</v>
      </c>
      <c r="Q975" s="1" t="s">
        <v>5477</v>
      </c>
      <c r="R975" s="1" t="s">
        <v>91</v>
      </c>
      <c r="T975">
        <v>88771700</v>
      </c>
      <c r="U975" s="1" t="s">
        <v>108</v>
      </c>
      <c r="V975" s="1" t="s">
        <v>3683</v>
      </c>
      <c r="W975" s="1" t="s">
        <v>87</v>
      </c>
      <c r="X975">
        <v>48</v>
      </c>
      <c r="Y975">
        <v>32921114</v>
      </c>
      <c r="Z975" t="s">
        <v>91</v>
      </c>
      <c r="AA975" t="s">
        <v>91</v>
      </c>
      <c r="AB975" t="s">
        <v>91</v>
      </c>
      <c r="AC975" t="s">
        <v>91</v>
      </c>
      <c r="AD975" t="s">
        <v>91</v>
      </c>
      <c r="AE975" t="s">
        <v>91</v>
      </c>
      <c r="AF975" t="s">
        <v>91</v>
      </c>
      <c r="AG975" s="1" t="s">
        <v>91</v>
      </c>
      <c r="AH975" s="1" t="s">
        <v>91</v>
      </c>
      <c r="AI975" t="s">
        <v>91</v>
      </c>
      <c r="AM975" t="s">
        <v>91</v>
      </c>
      <c r="AN975" t="s">
        <v>91</v>
      </c>
      <c r="AO975" t="s">
        <v>91</v>
      </c>
      <c r="AP975" t="s">
        <v>91</v>
      </c>
      <c r="AQ975" s="1" t="s">
        <v>91</v>
      </c>
      <c r="AR975" s="1" t="s">
        <v>91</v>
      </c>
      <c r="AS975" s="1" t="s">
        <v>91</v>
      </c>
      <c r="AT975" s="1" t="s">
        <v>91</v>
      </c>
      <c r="AU975" s="1" t="s">
        <v>91</v>
      </c>
      <c r="AV975" t="s">
        <v>91</v>
      </c>
      <c r="AW975" t="s">
        <v>91</v>
      </c>
      <c r="AX975" t="s">
        <v>91</v>
      </c>
      <c r="AY975" t="s">
        <v>91</v>
      </c>
      <c r="AZ975" t="s">
        <v>91</v>
      </c>
      <c r="BA975" t="s">
        <v>91</v>
      </c>
      <c r="BB975" s="2">
        <v>45194.491122685184</v>
      </c>
      <c r="BC975" s="2"/>
      <c r="BD975" t="s">
        <v>91</v>
      </c>
      <c r="BF975" s="1" t="s">
        <v>75</v>
      </c>
      <c r="BI975" s="1" t="s">
        <v>88</v>
      </c>
      <c r="BJ975">
        <v>1</v>
      </c>
      <c r="BK975" s="1" t="s">
        <v>89</v>
      </c>
      <c r="BL975" t="s">
        <v>91</v>
      </c>
      <c r="BM975" s="1" t="s">
        <v>91</v>
      </c>
      <c r="BN975" s="1" t="s">
        <v>91</v>
      </c>
      <c r="BO975" s="1" t="s">
        <v>91</v>
      </c>
      <c r="BP975" s="1" t="s">
        <v>91</v>
      </c>
      <c r="BQ975" t="s">
        <v>91</v>
      </c>
      <c r="BR975" s="3">
        <v>45194</v>
      </c>
      <c r="BS975" s="3"/>
      <c r="BT975" t="s">
        <v>91</v>
      </c>
      <c r="BU975" t="s">
        <v>91</v>
      </c>
      <c r="BW975" s="1" t="s">
        <v>470</v>
      </c>
    </row>
    <row r="976" spans="1:75" hidden="1" x14ac:dyDescent="0.35">
      <c r="A976">
        <v>156949</v>
      </c>
      <c r="B976" s="1" t="s">
        <v>75</v>
      </c>
      <c r="C976">
        <v>80</v>
      </c>
      <c r="D976">
        <v>11121002</v>
      </c>
      <c r="E976">
        <v>121002</v>
      </c>
      <c r="F976" s="1" t="s">
        <v>2915</v>
      </c>
      <c r="G976" s="1" t="s">
        <v>5478</v>
      </c>
      <c r="H976">
        <v>0</v>
      </c>
      <c r="I976" s="1" t="s">
        <v>78</v>
      </c>
      <c r="J976" s="1" t="s">
        <v>5479</v>
      </c>
      <c r="K976" s="1" t="s">
        <v>5480</v>
      </c>
      <c r="L976" t="s">
        <v>91</v>
      </c>
      <c r="M976" t="s">
        <v>91</v>
      </c>
      <c r="N976" s="1" t="s">
        <v>5481</v>
      </c>
      <c r="O976" t="s">
        <v>91</v>
      </c>
      <c r="P976" s="1" t="s">
        <v>5482</v>
      </c>
      <c r="Q976" s="1" t="s">
        <v>5483</v>
      </c>
      <c r="R976" s="1" t="s">
        <v>91</v>
      </c>
      <c r="T976">
        <v>88060000</v>
      </c>
      <c r="U976" s="1" t="s">
        <v>5484</v>
      </c>
      <c r="V976" s="1" t="s">
        <v>2922</v>
      </c>
      <c r="W976" s="1" t="s">
        <v>87</v>
      </c>
      <c r="X976">
        <v>15</v>
      </c>
      <c r="Y976">
        <v>32784331</v>
      </c>
      <c r="Z976" t="s">
        <v>91</v>
      </c>
      <c r="AA976" t="s">
        <v>91</v>
      </c>
      <c r="AB976" t="s">
        <v>91</v>
      </c>
      <c r="AC976" t="s">
        <v>91</v>
      </c>
      <c r="AD976" t="s">
        <v>91</v>
      </c>
      <c r="AE976" t="s">
        <v>91</v>
      </c>
      <c r="AF976" t="s">
        <v>91</v>
      </c>
      <c r="AG976" s="1" t="s">
        <v>91</v>
      </c>
      <c r="AH976" s="1" t="s">
        <v>91</v>
      </c>
      <c r="AI976" t="s">
        <v>91</v>
      </c>
      <c r="AM976" t="s">
        <v>91</v>
      </c>
      <c r="AN976" t="s">
        <v>91</v>
      </c>
      <c r="AO976" t="s">
        <v>91</v>
      </c>
      <c r="AP976" t="s">
        <v>91</v>
      </c>
      <c r="AQ976" s="1" t="s">
        <v>91</v>
      </c>
      <c r="AR976" s="1" t="s">
        <v>91</v>
      </c>
      <c r="AS976" s="1" t="s">
        <v>91</v>
      </c>
      <c r="AT976" s="1" t="s">
        <v>91</v>
      </c>
      <c r="AU976" s="1" t="s">
        <v>91</v>
      </c>
      <c r="AV976" t="s">
        <v>91</v>
      </c>
      <c r="AW976" t="s">
        <v>91</v>
      </c>
      <c r="AX976" t="s">
        <v>91</v>
      </c>
      <c r="AY976" t="s">
        <v>91</v>
      </c>
      <c r="AZ976" t="s">
        <v>91</v>
      </c>
      <c r="BA976" t="s">
        <v>91</v>
      </c>
      <c r="BB976" s="2">
        <v>45113.505416666667</v>
      </c>
      <c r="BC976" s="2"/>
      <c r="BD976" t="s">
        <v>91</v>
      </c>
      <c r="BF976" s="1" t="s">
        <v>75</v>
      </c>
      <c r="BI976" s="1" t="s">
        <v>88</v>
      </c>
      <c r="BJ976">
        <v>1</v>
      </c>
      <c r="BK976" s="1" t="s">
        <v>89</v>
      </c>
      <c r="BL976" t="s">
        <v>91</v>
      </c>
      <c r="BM976" s="1" t="s">
        <v>91</v>
      </c>
      <c r="BN976" s="1" t="s">
        <v>91</v>
      </c>
      <c r="BO976" s="1" t="s">
        <v>91</v>
      </c>
      <c r="BP976" s="1" t="s">
        <v>91</v>
      </c>
      <c r="BQ976" t="s">
        <v>91</v>
      </c>
      <c r="BR976" s="3">
        <v>45113</v>
      </c>
      <c r="BS976" s="3"/>
      <c r="BT976" t="s">
        <v>91</v>
      </c>
      <c r="BU976" t="s">
        <v>91</v>
      </c>
      <c r="BW976" s="1" t="s">
        <v>2826</v>
      </c>
    </row>
    <row r="977" spans="1:75" hidden="1" x14ac:dyDescent="0.35">
      <c r="A977">
        <v>157688</v>
      </c>
      <c r="B977" s="1" t="s">
        <v>75</v>
      </c>
      <c r="C977">
        <v>80</v>
      </c>
      <c r="D977">
        <v>11121002</v>
      </c>
      <c r="E977">
        <v>121002</v>
      </c>
      <c r="F977" s="1" t="s">
        <v>2915</v>
      </c>
      <c r="G977" s="1" t="s">
        <v>5485</v>
      </c>
      <c r="H977">
        <v>0</v>
      </c>
      <c r="I977" s="1" t="s">
        <v>78</v>
      </c>
      <c r="J977" s="1" t="s">
        <v>5486</v>
      </c>
      <c r="K977" s="1" t="s">
        <v>5487</v>
      </c>
      <c r="L977" t="s">
        <v>91</v>
      </c>
      <c r="M977" t="s">
        <v>91</v>
      </c>
      <c r="N977" s="1" t="s">
        <v>5488</v>
      </c>
      <c r="O977" t="s">
        <v>91</v>
      </c>
      <c r="P977" s="1" t="s">
        <v>3142</v>
      </c>
      <c r="Q977" s="1" t="s">
        <v>2363</v>
      </c>
      <c r="R977" s="1" t="s">
        <v>434</v>
      </c>
      <c r="T977">
        <v>88101101</v>
      </c>
      <c r="U977" s="1" t="s">
        <v>3015</v>
      </c>
      <c r="V977" s="1" t="s">
        <v>2958</v>
      </c>
      <c r="W977" s="1" t="s">
        <v>87</v>
      </c>
      <c r="X977">
        <v>48</v>
      </c>
      <c r="Y977">
        <v>991503920</v>
      </c>
      <c r="Z977" t="s">
        <v>91</v>
      </c>
      <c r="AA977" t="s">
        <v>91</v>
      </c>
      <c r="AB977" t="s">
        <v>91</v>
      </c>
      <c r="AC977" t="s">
        <v>91</v>
      </c>
      <c r="AD977" t="s">
        <v>91</v>
      </c>
      <c r="AE977" t="s">
        <v>91</v>
      </c>
      <c r="AF977" t="s">
        <v>91</v>
      </c>
      <c r="AG977" s="1" t="s">
        <v>91</v>
      </c>
      <c r="AH977" s="1" t="s">
        <v>91</v>
      </c>
      <c r="AI977" t="s">
        <v>91</v>
      </c>
      <c r="AM977" t="s">
        <v>91</v>
      </c>
      <c r="AN977" t="s">
        <v>91</v>
      </c>
      <c r="AO977" t="s">
        <v>91</v>
      </c>
      <c r="AP977" t="s">
        <v>91</v>
      </c>
      <c r="AQ977" s="1" t="s">
        <v>91</v>
      </c>
      <c r="AR977" s="1" t="s">
        <v>91</v>
      </c>
      <c r="AS977" s="1" t="s">
        <v>91</v>
      </c>
      <c r="AT977" s="1" t="s">
        <v>91</v>
      </c>
      <c r="AU977" s="1" t="s">
        <v>91</v>
      </c>
      <c r="AV977" t="s">
        <v>91</v>
      </c>
      <c r="AW977" t="s">
        <v>91</v>
      </c>
      <c r="AX977" t="s">
        <v>91</v>
      </c>
      <c r="AY977" t="s">
        <v>91</v>
      </c>
      <c r="AZ977" t="s">
        <v>91</v>
      </c>
      <c r="BA977" t="s">
        <v>91</v>
      </c>
      <c r="BB977" s="2">
        <v>45118.097175925926</v>
      </c>
      <c r="BC977" s="2"/>
      <c r="BD977" t="s">
        <v>91</v>
      </c>
      <c r="BF977" s="1" t="s">
        <v>75</v>
      </c>
      <c r="BI977" s="1" t="s">
        <v>88</v>
      </c>
      <c r="BJ977">
        <v>1</v>
      </c>
      <c r="BK977" s="1" t="s">
        <v>89</v>
      </c>
      <c r="BL977" t="s">
        <v>91</v>
      </c>
      <c r="BM977" s="1" t="s">
        <v>91</v>
      </c>
      <c r="BN977" s="1" t="s">
        <v>91</v>
      </c>
      <c r="BO977" s="1" t="s">
        <v>91</v>
      </c>
      <c r="BP977" s="1" t="s">
        <v>91</v>
      </c>
      <c r="BQ977" t="s">
        <v>91</v>
      </c>
      <c r="BR977" s="3">
        <v>45118</v>
      </c>
      <c r="BS977" s="3"/>
      <c r="BT977" t="s">
        <v>91</v>
      </c>
      <c r="BU977" t="s">
        <v>91</v>
      </c>
      <c r="BW977" s="1" t="s">
        <v>90</v>
      </c>
    </row>
    <row r="978" spans="1:75" hidden="1" x14ac:dyDescent="0.35">
      <c r="A978">
        <v>157660</v>
      </c>
      <c r="B978" s="1" t="s">
        <v>75</v>
      </c>
      <c r="C978">
        <v>80</v>
      </c>
      <c r="D978">
        <v>11121002</v>
      </c>
      <c r="E978">
        <v>121002</v>
      </c>
      <c r="F978" s="1" t="s">
        <v>2915</v>
      </c>
      <c r="G978" s="1" t="s">
        <v>5489</v>
      </c>
      <c r="H978">
        <v>0</v>
      </c>
      <c r="I978" s="1" t="s">
        <v>78</v>
      </c>
      <c r="J978" s="1" t="s">
        <v>5490</v>
      </c>
      <c r="K978" s="1" t="s">
        <v>5491</v>
      </c>
      <c r="L978" t="s">
        <v>91</v>
      </c>
      <c r="M978" t="s">
        <v>91</v>
      </c>
      <c r="N978" s="1" t="s">
        <v>5492</v>
      </c>
      <c r="O978" t="s">
        <v>91</v>
      </c>
      <c r="P978" s="1" t="s">
        <v>525</v>
      </c>
      <c r="Q978" s="1" t="s">
        <v>5493</v>
      </c>
      <c r="R978" s="1" t="s">
        <v>91</v>
      </c>
      <c r="S978">
        <v>1268</v>
      </c>
      <c r="T978">
        <v>88780000</v>
      </c>
      <c r="U978" s="1" t="s">
        <v>108</v>
      </c>
      <c r="V978" s="1" t="s">
        <v>2929</v>
      </c>
      <c r="W978" s="1" t="s">
        <v>87</v>
      </c>
      <c r="X978">
        <v>48</v>
      </c>
      <c r="Y978">
        <v>32550580</v>
      </c>
      <c r="Z978" t="s">
        <v>91</v>
      </c>
      <c r="AA978" t="s">
        <v>91</v>
      </c>
      <c r="AB978" t="s">
        <v>91</v>
      </c>
      <c r="AC978" t="s">
        <v>91</v>
      </c>
      <c r="AD978" t="s">
        <v>91</v>
      </c>
      <c r="AE978" t="s">
        <v>91</v>
      </c>
      <c r="AF978" t="s">
        <v>91</v>
      </c>
      <c r="AG978" s="1" t="s">
        <v>91</v>
      </c>
      <c r="AH978" s="1" t="s">
        <v>91</v>
      </c>
      <c r="AI978" t="s">
        <v>91</v>
      </c>
      <c r="AM978" t="s">
        <v>91</v>
      </c>
      <c r="AN978" t="s">
        <v>91</v>
      </c>
      <c r="AO978" t="s">
        <v>91</v>
      </c>
      <c r="AP978" t="s">
        <v>91</v>
      </c>
      <c r="AQ978" s="1" t="s">
        <v>91</v>
      </c>
      <c r="AR978" s="1" t="s">
        <v>91</v>
      </c>
      <c r="AS978" s="1" t="s">
        <v>91</v>
      </c>
      <c r="AT978" s="1" t="s">
        <v>91</v>
      </c>
      <c r="AU978" s="1" t="s">
        <v>91</v>
      </c>
      <c r="AV978" t="s">
        <v>91</v>
      </c>
      <c r="AW978" t="s">
        <v>91</v>
      </c>
      <c r="AX978" t="s">
        <v>91</v>
      </c>
      <c r="AY978" t="s">
        <v>91</v>
      </c>
      <c r="AZ978" t="s">
        <v>91</v>
      </c>
      <c r="BA978" t="s">
        <v>91</v>
      </c>
      <c r="BB978" s="2">
        <v>45118.097175925926</v>
      </c>
      <c r="BC978" s="2"/>
      <c r="BD978" t="s">
        <v>91</v>
      </c>
      <c r="BF978" s="1" t="s">
        <v>75</v>
      </c>
      <c r="BI978" s="1" t="s">
        <v>88</v>
      </c>
      <c r="BJ978">
        <v>1</v>
      </c>
      <c r="BK978" s="1" t="s">
        <v>89</v>
      </c>
      <c r="BL978" t="s">
        <v>91</v>
      </c>
      <c r="BM978" s="1" t="s">
        <v>91</v>
      </c>
      <c r="BN978" s="1" t="s">
        <v>91</v>
      </c>
      <c r="BO978" s="1" t="s">
        <v>91</v>
      </c>
      <c r="BP978" s="1" t="s">
        <v>91</v>
      </c>
      <c r="BQ978" t="s">
        <v>91</v>
      </c>
      <c r="BR978" s="3">
        <v>45118</v>
      </c>
      <c r="BS978" s="3"/>
      <c r="BT978" t="s">
        <v>91</v>
      </c>
      <c r="BU978" t="s">
        <v>91</v>
      </c>
      <c r="BW978" s="1" t="s">
        <v>90</v>
      </c>
    </row>
    <row r="979" spans="1:75" hidden="1" x14ac:dyDescent="0.35">
      <c r="A979">
        <v>157670</v>
      </c>
      <c r="B979" s="1" t="s">
        <v>75</v>
      </c>
      <c r="C979">
        <v>80</v>
      </c>
      <c r="D979">
        <v>11121002</v>
      </c>
      <c r="E979">
        <v>121002</v>
      </c>
      <c r="F979" s="1" t="s">
        <v>2915</v>
      </c>
      <c r="G979" s="1" t="s">
        <v>5494</v>
      </c>
      <c r="H979">
        <v>0</v>
      </c>
      <c r="I979" s="1" t="s">
        <v>78</v>
      </c>
      <c r="J979" s="1" t="s">
        <v>5495</v>
      </c>
      <c r="K979" s="1" t="s">
        <v>5496</v>
      </c>
      <c r="L979" t="s">
        <v>91</v>
      </c>
      <c r="M979" t="s">
        <v>91</v>
      </c>
      <c r="N979" s="1" t="s">
        <v>91</v>
      </c>
      <c r="O979" t="s">
        <v>91</v>
      </c>
      <c r="P979" s="1" t="s">
        <v>5497</v>
      </c>
      <c r="Q979" s="1" t="s">
        <v>747</v>
      </c>
      <c r="R979" s="1" t="s">
        <v>327</v>
      </c>
      <c r="S979">
        <v>1270</v>
      </c>
      <c r="T979">
        <v>88920000</v>
      </c>
      <c r="U979" s="1" t="s">
        <v>108</v>
      </c>
      <c r="V979" s="1" t="s">
        <v>5498</v>
      </c>
      <c r="W979" s="1" t="s">
        <v>87</v>
      </c>
      <c r="X979">
        <v>48</v>
      </c>
      <c r="Y979">
        <v>35371919</v>
      </c>
      <c r="Z979" t="s">
        <v>91</v>
      </c>
      <c r="AA979" t="s">
        <v>91</v>
      </c>
      <c r="AB979" t="s">
        <v>91</v>
      </c>
      <c r="AC979" t="s">
        <v>91</v>
      </c>
      <c r="AD979" t="s">
        <v>91</v>
      </c>
      <c r="AE979" t="s">
        <v>91</v>
      </c>
      <c r="AF979" t="s">
        <v>91</v>
      </c>
      <c r="AG979" s="1" t="s">
        <v>91</v>
      </c>
      <c r="AH979" s="1" t="s">
        <v>91</v>
      </c>
      <c r="AI979" t="s">
        <v>91</v>
      </c>
      <c r="AM979" t="s">
        <v>91</v>
      </c>
      <c r="AN979" t="s">
        <v>91</v>
      </c>
      <c r="AO979" t="s">
        <v>91</v>
      </c>
      <c r="AP979" t="s">
        <v>91</v>
      </c>
      <c r="AQ979" s="1" t="s">
        <v>91</v>
      </c>
      <c r="AR979" s="1" t="s">
        <v>91</v>
      </c>
      <c r="AS979" s="1" t="s">
        <v>91</v>
      </c>
      <c r="AT979" s="1" t="s">
        <v>91</v>
      </c>
      <c r="AU979" s="1" t="s">
        <v>91</v>
      </c>
      <c r="AV979" t="s">
        <v>91</v>
      </c>
      <c r="AW979" t="s">
        <v>91</v>
      </c>
      <c r="AX979" t="s">
        <v>91</v>
      </c>
      <c r="AY979" t="s">
        <v>91</v>
      </c>
      <c r="AZ979" t="s">
        <v>91</v>
      </c>
      <c r="BA979" t="s">
        <v>91</v>
      </c>
      <c r="BB979" s="2">
        <v>45118.097175925926</v>
      </c>
      <c r="BC979" s="2"/>
      <c r="BD979" t="s">
        <v>91</v>
      </c>
      <c r="BF979" s="1" t="s">
        <v>75</v>
      </c>
      <c r="BI979" s="1" t="s">
        <v>88</v>
      </c>
      <c r="BJ979">
        <v>1</v>
      </c>
      <c r="BK979" s="1" t="s">
        <v>89</v>
      </c>
      <c r="BL979" t="s">
        <v>91</v>
      </c>
      <c r="BM979" s="1" t="s">
        <v>91</v>
      </c>
      <c r="BN979" s="1" t="s">
        <v>91</v>
      </c>
      <c r="BO979" s="1" t="s">
        <v>91</v>
      </c>
      <c r="BP979" s="1" t="s">
        <v>91</v>
      </c>
      <c r="BQ979" t="s">
        <v>91</v>
      </c>
      <c r="BR979" s="3">
        <v>45118</v>
      </c>
      <c r="BS979" s="3"/>
      <c r="BT979" t="s">
        <v>91</v>
      </c>
      <c r="BU979" t="s">
        <v>91</v>
      </c>
      <c r="BW979" s="1" t="s">
        <v>90</v>
      </c>
    </row>
    <row r="980" spans="1:75" hidden="1" x14ac:dyDescent="0.35">
      <c r="A980">
        <v>120512</v>
      </c>
      <c r="B980" s="1" t="s">
        <v>75</v>
      </c>
      <c r="C980">
        <v>80</v>
      </c>
      <c r="D980">
        <v>11121002</v>
      </c>
      <c r="E980">
        <v>121002</v>
      </c>
      <c r="F980" s="1" t="s">
        <v>2915</v>
      </c>
      <c r="G980" s="1" t="s">
        <v>5499</v>
      </c>
      <c r="H980">
        <v>0</v>
      </c>
      <c r="I980" s="1" t="s">
        <v>78</v>
      </c>
      <c r="J980" s="1" t="s">
        <v>5500</v>
      </c>
      <c r="K980" s="1" t="s">
        <v>5501</v>
      </c>
      <c r="L980" t="s">
        <v>91</v>
      </c>
      <c r="M980" t="s">
        <v>91</v>
      </c>
      <c r="N980" s="1" t="s">
        <v>5502</v>
      </c>
      <c r="O980" t="s">
        <v>91</v>
      </c>
      <c r="P980" s="1" t="s">
        <v>5503</v>
      </c>
      <c r="Q980" s="1" t="s">
        <v>4316</v>
      </c>
      <c r="R980" s="1" t="s">
        <v>370</v>
      </c>
      <c r="S980">
        <v>1259</v>
      </c>
      <c r="T980">
        <v>88180000</v>
      </c>
      <c r="U980" s="1" t="s">
        <v>108</v>
      </c>
      <c r="V980" s="1" t="s">
        <v>2979</v>
      </c>
      <c r="W980" s="1" t="s">
        <v>87</v>
      </c>
      <c r="X980">
        <v>48</v>
      </c>
      <c r="Y980">
        <v>33647681</v>
      </c>
      <c r="Z980" t="s">
        <v>91</v>
      </c>
      <c r="AA980" t="s">
        <v>91</v>
      </c>
      <c r="AB980" t="s">
        <v>91</v>
      </c>
      <c r="AC980" t="s">
        <v>91</v>
      </c>
      <c r="AD980" t="s">
        <v>91</v>
      </c>
      <c r="AE980" t="s">
        <v>91</v>
      </c>
      <c r="AF980" t="s">
        <v>91</v>
      </c>
      <c r="AG980" s="1" t="s">
        <v>91</v>
      </c>
      <c r="AH980" s="1" t="s">
        <v>91</v>
      </c>
      <c r="AI980" t="s">
        <v>91</v>
      </c>
      <c r="AM980" t="s">
        <v>91</v>
      </c>
      <c r="AN980" t="s">
        <v>91</v>
      </c>
      <c r="AO980" t="s">
        <v>91</v>
      </c>
      <c r="AP980" t="s">
        <v>91</v>
      </c>
      <c r="AQ980" s="1" t="s">
        <v>91</v>
      </c>
      <c r="AR980" s="1" t="s">
        <v>91</v>
      </c>
      <c r="AS980" s="1" t="s">
        <v>91</v>
      </c>
      <c r="AT980" s="1" t="s">
        <v>91</v>
      </c>
      <c r="AU980" s="1" t="s">
        <v>91</v>
      </c>
      <c r="AV980" t="s">
        <v>91</v>
      </c>
      <c r="AW980" t="s">
        <v>91</v>
      </c>
      <c r="AX980" t="s">
        <v>91</v>
      </c>
      <c r="AY980" t="s">
        <v>91</v>
      </c>
      <c r="AZ980" t="s">
        <v>91</v>
      </c>
      <c r="BA980" t="s">
        <v>91</v>
      </c>
      <c r="BB980" s="2">
        <v>44096.645520833335</v>
      </c>
      <c r="BC980" s="2"/>
      <c r="BD980" t="s">
        <v>91</v>
      </c>
      <c r="BF980" s="1" t="s">
        <v>75</v>
      </c>
      <c r="BI980" s="1" t="s">
        <v>88</v>
      </c>
      <c r="BJ980">
        <v>1</v>
      </c>
      <c r="BK980" s="1" t="s">
        <v>89</v>
      </c>
      <c r="BL980" t="s">
        <v>91</v>
      </c>
      <c r="BM980" s="1" t="s">
        <v>109</v>
      </c>
      <c r="BN980" s="1" t="s">
        <v>110</v>
      </c>
      <c r="BO980" s="1" t="s">
        <v>180</v>
      </c>
      <c r="BP980" s="1" t="s">
        <v>91</v>
      </c>
      <c r="BQ980" t="s">
        <v>91</v>
      </c>
      <c r="BR980" s="3">
        <v>44096</v>
      </c>
      <c r="BS980" s="3"/>
      <c r="BT980" t="s">
        <v>91</v>
      </c>
      <c r="BU980" t="s">
        <v>91</v>
      </c>
      <c r="BV980">
        <v>9</v>
      </c>
      <c r="BW980" s="1" t="s">
        <v>90</v>
      </c>
    </row>
    <row r="981" spans="1:75" hidden="1" x14ac:dyDescent="0.35">
      <c r="A981">
        <v>144833</v>
      </c>
      <c r="B981" s="1" t="s">
        <v>75</v>
      </c>
      <c r="C981">
        <v>80</v>
      </c>
      <c r="D981">
        <v>11121002</v>
      </c>
      <c r="E981">
        <v>121002</v>
      </c>
      <c r="F981" s="1" t="s">
        <v>2915</v>
      </c>
      <c r="G981" s="1" t="s">
        <v>5504</v>
      </c>
      <c r="I981" s="1" t="s">
        <v>78</v>
      </c>
      <c r="J981" s="1" t="s">
        <v>5505</v>
      </c>
      <c r="K981" s="1" t="s">
        <v>5506</v>
      </c>
      <c r="L981" t="s">
        <v>91</v>
      </c>
      <c r="M981" t="s">
        <v>91</v>
      </c>
      <c r="N981" s="1" t="s">
        <v>5507</v>
      </c>
      <c r="O981" t="s">
        <v>91</v>
      </c>
      <c r="P981" s="1" t="s">
        <v>5508</v>
      </c>
      <c r="Q981" s="1" t="s">
        <v>2774</v>
      </c>
      <c r="R981" s="1" t="s">
        <v>91</v>
      </c>
      <c r="S981">
        <v>1269</v>
      </c>
      <c r="T981">
        <v>88870000</v>
      </c>
      <c r="U981" s="1" t="s">
        <v>108</v>
      </c>
      <c r="V981" s="1" t="s">
        <v>5015</v>
      </c>
      <c r="W981" s="1" t="s">
        <v>87</v>
      </c>
      <c r="X981">
        <v>48</v>
      </c>
      <c r="Y981">
        <v>96426447</v>
      </c>
      <c r="Z981" t="s">
        <v>91</v>
      </c>
      <c r="AA981" t="s">
        <v>91</v>
      </c>
      <c r="AB981" t="s">
        <v>91</v>
      </c>
      <c r="AC981" t="s">
        <v>91</v>
      </c>
      <c r="AD981" t="s">
        <v>91</v>
      </c>
      <c r="AE981" t="s">
        <v>91</v>
      </c>
      <c r="AF981" t="s">
        <v>91</v>
      </c>
      <c r="AG981" s="1" t="s">
        <v>91</v>
      </c>
      <c r="AH981" s="1" t="s">
        <v>91</v>
      </c>
      <c r="AI981" t="s">
        <v>91</v>
      </c>
      <c r="AM981" t="s">
        <v>91</v>
      </c>
      <c r="AN981" t="s">
        <v>91</v>
      </c>
      <c r="AO981" t="s">
        <v>91</v>
      </c>
      <c r="AP981" t="s">
        <v>91</v>
      </c>
      <c r="AQ981" s="1" t="s">
        <v>91</v>
      </c>
      <c r="AR981" s="1" t="s">
        <v>91</v>
      </c>
      <c r="AS981" s="1" t="s">
        <v>91</v>
      </c>
      <c r="AT981" s="1" t="s">
        <v>91</v>
      </c>
      <c r="AU981" s="1" t="s">
        <v>91</v>
      </c>
      <c r="AV981" t="s">
        <v>91</v>
      </c>
      <c r="AW981" t="s">
        <v>91</v>
      </c>
      <c r="AX981" t="s">
        <v>91</v>
      </c>
      <c r="AY981" t="s">
        <v>91</v>
      </c>
      <c r="AZ981" t="s">
        <v>91</v>
      </c>
      <c r="BA981" t="s">
        <v>91</v>
      </c>
      <c r="BB981" s="2"/>
      <c r="BC981" s="2"/>
      <c r="BD981" t="s">
        <v>91</v>
      </c>
      <c r="BF981" s="1" t="s">
        <v>75</v>
      </c>
      <c r="BI981" s="1" t="s">
        <v>88</v>
      </c>
      <c r="BJ981">
        <v>1</v>
      </c>
      <c r="BK981" s="1" t="s">
        <v>89</v>
      </c>
      <c r="BL981" t="s">
        <v>91</v>
      </c>
      <c r="BM981" s="1" t="s">
        <v>109</v>
      </c>
      <c r="BN981" s="1" t="s">
        <v>110</v>
      </c>
      <c r="BO981" s="1" t="s">
        <v>180</v>
      </c>
      <c r="BP981" s="1" t="s">
        <v>91</v>
      </c>
      <c r="BQ981" t="s">
        <v>91</v>
      </c>
      <c r="BR981" s="3"/>
      <c r="BS981" s="3"/>
      <c r="BT981" t="s">
        <v>91</v>
      </c>
      <c r="BU981" t="s">
        <v>91</v>
      </c>
      <c r="BW981" s="1" t="s">
        <v>396</v>
      </c>
    </row>
    <row r="982" spans="1:75" hidden="1" x14ac:dyDescent="0.35">
      <c r="A982">
        <v>156926</v>
      </c>
      <c r="B982" s="1" t="s">
        <v>75</v>
      </c>
      <c r="C982">
        <v>80</v>
      </c>
      <c r="D982">
        <v>11121002</v>
      </c>
      <c r="E982">
        <v>121002</v>
      </c>
      <c r="F982" s="1" t="s">
        <v>2915</v>
      </c>
      <c r="G982" s="1" t="s">
        <v>5509</v>
      </c>
      <c r="H982">
        <v>0</v>
      </c>
      <c r="I982" s="1" t="s">
        <v>78</v>
      </c>
      <c r="J982" s="1" t="s">
        <v>5510</v>
      </c>
      <c r="K982" s="1" t="s">
        <v>5511</v>
      </c>
      <c r="L982" t="s">
        <v>91</v>
      </c>
      <c r="M982" t="s">
        <v>91</v>
      </c>
      <c r="N982" s="1" t="s">
        <v>5512</v>
      </c>
      <c r="O982" t="s">
        <v>91</v>
      </c>
      <c r="P982" s="1" t="s">
        <v>5513</v>
      </c>
      <c r="Q982" s="1" t="s">
        <v>5514</v>
      </c>
      <c r="R982" s="1" t="s">
        <v>4088</v>
      </c>
      <c r="S982">
        <v>1268</v>
      </c>
      <c r="T982">
        <v>88780000</v>
      </c>
      <c r="U982" s="1" t="s">
        <v>3474</v>
      </c>
      <c r="V982" s="1" t="s">
        <v>2929</v>
      </c>
      <c r="W982" s="1" t="s">
        <v>87</v>
      </c>
      <c r="X982">
        <v>48</v>
      </c>
      <c r="Y982">
        <v>996290364</v>
      </c>
      <c r="Z982" t="s">
        <v>91</v>
      </c>
      <c r="AA982" t="s">
        <v>91</v>
      </c>
      <c r="AB982" t="s">
        <v>91</v>
      </c>
      <c r="AC982" t="s">
        <v>91</v>
      </c>
      <c r="AD982" t="s">
        <v>91</v>
      </c>
      <c r="AE982" t="s">
        <v>91</v>
      </c>
      <c r="AF982" t="s">
        <v>91</v>
      </c>
      <c r="AG982" s="1" t="s">
        <v>91</v>
      </c>
      <c r="AH982" s="1" t="s">
        <v>91</v>
      </c>
      <c r="AI982" t="s">
        <v>91</v>
      </c>
      <c r="AM982" t="s">
        <v>91</v>
      </c>
      <c r="AN982" t="s">
        <v>91</v>
      </c>
      <c r="AO982" t="s">
        <v>91</v>
      </c>
      <c r="AP982" t="s">
        <v>91</v>
      </c>
      <c r="AQ982" s="1" t="s">
        <v>91</v>
      </c>
      <c r="AR982" s="1" t="s">
        <v>91</v>
      </c>
      <c r="AS982" s="1" t="s">
        <v>91</v>
      </c>
      <c r="AT982" s="1" t="s">
        <v>91</v>
      </c>
      <c r="AU982" s="1" t="s">
        <v>91</v>
      </c>
      <c r="AV982" t="s">
        <v>91</v>
      </c>
      <c r="AW982" t="s">
        <v>91</v>
      </c>
      <c r="AX982" t="s">
        <v>91</v>
      </c>
      <c r="AY982" t="s">
        <v>91</v>
      </c>
      <c r="AZ982" t="s">
        <v>91</v>
      </c>
      <c r="BA982" t="s">
        <v>91</v>
      </c>
      <c r="BB982" s="2">
        <v>45113.505416666667</v>
      </c>
      <c r="BC982" s="2"/>
      <c r="BD982" t="s">
        <v>91</v>
      </c>
      <c r="BF982" s="1" t="s">
        <v>75</v>
      </c>
      <c r="BI982" s="1" t="s">
        <v>88</v>
      </c>
      <c r="BJ982">
        <v>1</v>
      </c>
      <c r="BK982" s="1" t="s">
        <v>89</v>
      </c>
      <c r="BL982" t="s">
        <v>91</v>
      </c>
      <c r="BM982" s="1" t="s">
        <v>91</v>
      </c>
      <c r="BN982" s="1" t="s">
        <v>91</v>
      </c>
      <c r="BO982" s="1" t="s">
        <v>91</v>
      </c>
      <c r="BP982" s="1" t="s">
        <v>91</v>
      </c>
      <c r="BQ982" t="s">
        <v>91</v>
      </c>
      <c r="BR982" s="3">
        <v>45113</v>
      </c>
      <c r="BS982" s="3"/>
      <c r="BT982" t="s">
        <v>91</v>
      </c>
      <c r="BU982" t="s">
        <v>91</v>
      </c>
      <c r="BW982" s="1" t="s">
        <v>90</v>
      </c>
    </row>
    <row r="983" spans="1:75" hidden="1" x14ac:dyDescent="0.35">
      <c r="A983">
        <v>144836</v>
      </c>
      <c r="B983" s="1" t="s">
        <v>75</v>
      </c>
      <c r="C983">
        <v>80</v>
      </c>
      <c r="D983">
        <v>11121002</v>
      </c>
      <c r="E983">
        <v>121002</v>
      </c>
      <c r="F983" s="1" t="s">
        <v>2915</v>
      </c>
      <c r="G983" s="1" t="s">
        <v>5515</v>
      </c>
      <c r="I983" s="1" t="s">
        <v>78</v>
      </c>
      <c r="J983" s="1" t="s">
        <v>5516</v>
      </c>
      <c r="K983" s="1" t="s">
        <v>5517</v>
      </c>
      <c r="L983" t="s">
        <v>91</v>
      </c>
      <c r="M983" t="s">
        <v>91</v>
      </c>
      <c r="N983" s="1" t="s">
        <v>5518</v>
      </c>
      <c r="O983" t="s">
        <v>91</v>
      </c>
      <c r="P983" s="1" t="s">
        <v>4521</v>
      </c>
      <c r="Q983" s="1" t="s">
        <v>5200</v>
      </c>
      <c r="R983" s="1" t="s">
        <v>91</v>
      </c>
      <c r="S983">
        <v>1265</v>
      </c>
      <c r="T983">
        <v>88495000</v>
      </c>
      <c r="U983" s="1" t="s">
        <v>108</v>
      </c>
      <c r="V983" s="1" t="s">
        <v>3853</v>
      </c>
      <c r="W983" s="1" t="s">
        <v>87</v>
      </c>
      <c r="X983">
        <v>48</v>
      </c>
      <c r="Y983">
        <v>991135522</v>
      </c>
      <c r="Z983" t="s">
        <v>91</v>
      </c>
      <c r="AA983" t="s">
        <v>91</v>
      </c>
      <c r="AB983" t="s">
        <v>91</v>
      </c>
      <c r="AC983" t="s">
        <v>91</v>
      </c>
      <c r="AD983" t="s">
        <v>91</v>
      </c>
      <c r="AE983" t="s">
        <v>91</v>
      </c>
      <c r="AF983" t="s">
        <v>91</v>
      </c>
      <c r="AG983" s="1" t="s">
        <v>91</v>
      </c>
      <c r="AH983" s="1" t="s">
        <v>91</v>
      </c>
      <c r="AI983" t="s">
        <v>91</v>
      </c>
      <c r="AM983" t="s">
        <v>91</v>
      </c>
      <c r="AN983" t="s">
        <v>91</v>
      </c>
      <c r="AO983" t="s">
        <v>91</v>
      </c>
      <c r="AP983" t="s">
        <v>91</v>
      </c>
      <c r="AQ983" s="1" t="s">
        <v>91</v>
      </c>
      <c r="AR983" s="1" t="s">
        <v>91</v>
      </c>
      <c r="AS983" s="1" t="s">
        <v>91</v>
      </c>
      <c r="AT983" s="1" t="s">
        <v>91</v>
      </c>
      <c r="AU983" s="1" t="s">
        <v>91</v>
      </c>
      <c r="AV983" t="s">
        <v>91</v>
      </c>
      <c r="AW983" t="s">
        <v>91</v>
      </c>
      <c r="AX983" t="s">
        <v>91</v>
      </c>
      <c r="AY983" t="s">
        <v>91</v>
      </c>
      <c r="AZ983" t="s">
        <v>91</v>
      </c>
      <c r="BA983" t="s">
        <v>91</v>
      </c>
      <c r="BB983" s="2"/>
      <c r="BC983" s="2"/>
      <c r="BD983" t="s">
        <v>91</v>
      </c>
      <c r="BF983" s="1" t="s">
        <v>75</v>
      </c>
      <c r="BI983" s="1" t="s">
        <v>88</v>
      </c>
      <c r="BJ983">
        <v>1</v>
      </c>
      <c r="BK983" s="1" t="s">
        <v>89</v>
      </c>
      <c r="BL983" t="s">
        <v>91</v>
      </c>
      <c r="BM983" s="1" t="s">
        <v>91</v>
      </c>
      <c r="BN983" s="1" t="s">
        <v>91</v>
      </c>
      <c r="BO983" s="1" t="s">
        <v>180</v>
      </c>
      <c r="BP983" s="1" t="s">
        <v>91</v>
      </c>
      <c r="BQ983" t="s">
        <v>91</v>
      </c>
      <c r="BR983" s="3"/>
      <c r="BS983" s="3"/>
      <c r="BT983" t="s">
        <v>91</v>
      </c>
      <c r="BU983" t="s">
        <v>91</v>
      </c>
      <c r="BW983" s="1" t="s">
        <v>90</v>
      </c>
    </row>
    <row r="984" spans="1:75" hidden="1" x14ac:dyDescent="0.35">
      <c r="A984">
        <v>144381</v>
      </c>
      <c r="B984" s="1" t="s">
        <v>75</v>
      </c>
      <c r="C984">
        <v>80</v>
      </c>
      <c r="D984">
        <v>11121002</v>
      </c>
      <c r="E984">
        <v>121002</v>
      </c>
      <c r="F984" s="1" t="s">
        <v>2915</v>
      </c>
      <c r="G984" s="1" t="s">
        <v>5519</v>
      </c>
      <c r="I984" s="1" t="s">
        <v>78</v>
      </c>
      <c r="J984" s="1" t="s">
        <v>5520</v>
      </c>
      <c r="K984" s="1" t="s">
        <v>5521</v>
      </c>
      <c r="L984" t="s">
        <v>91</v>
      </c>
      <c r="M984" t="s">
        <v>91</v>
      </c>
      <c r="N984" s="1" t="s">
        <v>5522</v>
      </c>
      <c r="O984" t="s">
        <v>91</v>
      </c>
      <c r="P984" s="1" t="s">
        <v>4574</v>
      </c>
      <c r="Q984" s="1" t="s">
        <v>3738</v>
      </c>
      <c r="R984" s="1" t="s">
        <v>91</v>
      </c>
      <c r="S984">
        <v>1269</v>
      </c>
      <c r="T984">
        <v>88801500</v>
      </c>
      <c r="U984" s="1" t="s">
        <v>108</v>
      </c>
      <c r="V984" s="1" t="s">
        <v>3231</v>
      </c>
      <c r="W984" s="1" t="s">
        <v>87</v>
      </c>
      <c r="X984">
        <v>48</v>
      </c>
      <c r="Y984">
        <v>34335697</v>
      </c>
      <c r="Z984" t="s">
        <v>91</v>
      </c>
      <c r="AA984" t="s">
        <v>91</v>
      </c>
      <c r="AB984" t="s">
        <v>91</v>
      </c>
      <c r="AC984" t="s">
        <v>91</v>
      </c>
      <c r="AD984" t="s">
        <v>91</v>
      </c>
      <c r="AE984" t="s">
        <v>91</v>
      </c>
      <c r="AF984" t="s">
        <v>91</v>
      </c>
      <c r="AG984" s="1" t="s">
        <v>91</v>
      </c>
      <c r="AH984" s="1" t="s">
        <v>91</v>
      </c>
      <c r="AI984" t="s">
        <v>91</v>
      </c>
      <c r="AJ984">
        <v>0</v>
      </c>
      <c r="AK984">
        <v>0</v>
      </c>
      <c r="AL984">
        <v>0</v>
      </c>
      <c r="AM984" t="s">
        <v>91</v>
      </c>
      <c r="AN984" t="s">
        <v>91</v>
      </c>
      <c r="AO984" t="s">
        <v>91</v>
      </c>
      <c r="AP984" t="s">
        <v>91</v>
      </c>
      <c r="AQ984" s="1" t="s">
        <v>91</v>
      </c>
      <c r="AR984" s="1" t="s">
        <v>91</v>
      </c>
      <c r="AS984" s="1" t="s">
        <v>91</v>
      </c>
      <c r="AT984" s="1" t="s">
        <v>91</v>
      </c>
      <c r="AU984" s="1" t="s">
        <v>91</v>
      </c>
      <c r="AV984" t="s">
        <v>91</v>
      </c>
      <c r="AW984" t="s">
        <v>91</v>
      </c>
      <c r="AX984" t="s">
        <v>91</v>
      </c>
      <c r="AY984" t="s">
        <v>91</v>
      </c>
      <c r="AZ984" t="s">
        <v>91</v>
      </c>
      <c r="BA984" t="s">
        <v>91</v>
      </c>
      <c r="BB984" s="2"/>
      <c r="BC984" s="2"/>
      <c r="BD984" t="s">
        <v>91</v>
      </c>
      <c r="BF984" s="1" t="s">
        <v>75</v>
      </c>
      <c r="BG984">
        <v>0</v>
      </c>
      <c r="BH984">
        <v>0</v>
      </c>
      <c r="BI984" s="1" t="s">
        <v>88</v>
      </c>
      <c r="BJ984">
        <v>1</v>
      </c>
      <c r="BK984" s="1" t="s">
        <v>89</v>
      </c>
      <c r="BL984" t="s">
        <v>91</v>
      </c>
      <c r="BM984" s="1" t="s">
        <v>329</v>
      </c>
      <c r="BN984" s="1" t="s">
        <v>110</v>
      </c>
      <c r="BO984" s="1" t="s">
        <v>165</v>
      </c>
      <c r="BP984" s="1" t="s">
        <v>91</v>
      </c>
      <c r="BQ984" t="s">
        <v>91</v>
      </c>
      <c r="BR984" s="3"/>
      <c r="BS984" s="3"/>
      <c r="BT984" t="s">
        <v>91</v>
      </c>
      <c r="BU984" t="s">
        <v>91</v>
      </c>
      <c r="BV984">
        <v>1</v>
      </c>
      <c r="BW984" s="1" t="s">
        <v>540</v>
      </c>
    </row>
    <row r="985" spans="1:75" hidden="1" x14ac:dyDescent="0.35">
      <c r="A985">
        <v>134301</v>
      </c>
      <c r="B985" s="1" t="s">
        <v>75</v>
      </c>
      <c r="C985">
        <v>80</v>
      </c>
      <c r="D985">
        <v>11121002</v>
      </c>
      <c r="E985">
        <v>121002</v>
      </c>
      <c r="F985" s="1" t="s">
        <v>2915</v>
      </c>
      <c r="G985" s="1" t="s">
        <v>5523</v>
      </c>
      <c r="I985" s="1" t="s">
        <v>78</v>
      </c>
      <c r="J985" s="1" t="s">
        <v>5524</v>
      </c>
      <c r="K985" s="1" t="s">
        <v>5525</v>
      </c>
      <c r="L985" t="s">
        <v>91</v>
      </c>
      <c r="M985" t="s">
        <v>91</v>
      </c>
      <c r="N985" s="1" t="s">
        <v>5526</v>
      </c>
      <c r="O985" t="s">
        <v>91</v>
      </c>
      <c r="P985" s="1" t="s">
        <v>4504</v>
      </c>
      <c r="Q985" s="1" t="s">
        <v>570</v>
      </c>
      <c r="R985" s="1" t="s">
        <v>107</v>
      </c>
      <c r="S985">
        <v>1266</v>
      </c>
      <c r="T985">
        <v>88501120</v>
      </c>
      <c r="U985" s="1" t="s">
        <v>108</v>
      </c>
      <c r="V985" s="1" t="s">
        <v>3335</v>
      </c>
      <c r="W985" s="1" t="s">
        <v>87</v>
      </c>
      <c r="X985">
        <v>49</v>
      </c>
      <c r="Y985">
        <v>32223970</v>
      </c>
      <c r="Z985" t="s">
        <v>91</v>
      </c>
      <c r="AA985" t="s">
        <v>91</v>
      </c>
      <c r="AB985" t="s">
        <v>91</v>
      </c>
      <c r="AC985" t="s">
        <v>91</v>
      </c>
      <c r="AD985" t="s">
        <v>91</v>
      </c>
      <c r="AE985" t="s">
        <v>91</v>
      </c>
      <c r="AF985" t="s">
        <v>91</v>
      </c>
      <c r="AG985" s="1" t="s">
        <v>146</v>
      </c>
      <c r="AH985" s="1" t="s">
        <v>91</v>
      </c>
      <c r="AI985" t="s">
        <v>91</v>
      </c>
      <c r="AJ985">
        <v>0</v>
      </c>
      <c r="AK985">
        <v>0</v>
      </c>
      <c r="AL985">
        <v>0</v>
      </c>
      <c r="AM985" t="s">
        <v>91</v>
      </c>
      <c r="AN985" t="s">
        <v>91</v>
      </c>
      <c r="AO985" t="s">
        <v>91</v>
      </c>
      <c r="AP985" t="s">
        <v>91</v>
      </c>
      <c r="AQ985" s="1" t="s">
        <v>147</v>
      </c>
      <c r="AR985" s="1" t="s">
        <v>147</v>
      </c>
      <c r="AS985" s="1" t="s">
        <v>147</v>
      </c>
      <c r="AT985" s="1" t="s">
        <v>147</v>
      </c>
      <c r="AU985" s="1" t="s">
        <v>147</v>
      </c>
      <c r="AV985" t="s">
        <v>91</v>
      </c>
      <c r="AW985" t="s">
        <v>91</v>
      </c>
      <c r="AX985" t="s">
        <v>91</v>
      </c>
      <c r="AY985" t="s">
        <v>91</v>
      </c>
      <c r="AZ985" t="s">
        <v>91</v>
      </c>
      <c r="BA985" t="s">
        <v>91</v>
      </c>
      <c r="BB985" s="2"/>
      <c r="BC985" s="2">
        <v>44684.616909722223</v>
      </c>
      <c r="BD985" t="s">
        <v>91</v>
      </c>
      <c r="BF985" s="1" t="s">
        <v>75</v>
      </c>
      <c r="BG985">
        <v>0</v>
      </c>
      <c r="BH985">
        <v>0</v>
      </c>
      <c r="BI985" s="1" t="s">
        <v>88</v>
      </c>
      <c r="BJ985">
        <v>1</v>
      </c>
      <c r="BK985" s="1" t="s">
        <v>89</v>
      </c>
      <c r="BL985" t="s">
        <v>91</v>
      </c>
      <c r="BM985" s="1" t="s">
        <v>109</v>
      </c>
      <c r="BN985" s="1" t="s">
        <v>148</v>
      </c>
      <c r="BO985" s="1" t="s">
        <v>128</v>
      </c>
      <c r="BP985" s="1" t="s">
        <v>91</v>
      </c>
      <c r="BQ985" t="s">
        <v>91</v>
      </c>
      <c r="BR985" s="3"/>
      <c r="BS985" s="3">
        <v>44684</v>
      </c>
      <c r="BT985" t="s">
        <v>91</v>
      </c>
      <c r="BU985" t="s">
        <v>91</v>
      </c>
      <c r="BV985">
        <v>1</v>
      </c>
      <c r="BW985" s="1" t="s">
        <v>589</v>
      </c>
    </row>
    <row r="986" spans="1:75" hidden="1" x14ac:dyDescent="0.35">
      <c r="A986">
        <v>144378</v>
      </c>
      <c r="B986" s="1" t="s">
        <v>75</v>
      </c>
      <c r="C986">
        <v>80</v>
      </c>
      <c r="D986">
        <v>11121002</v>
      </c>
      <c r="E986">
        <v>121002</v>
      </c>
      <c r="F986" s="1" t="s">
        <v>2915</v>
      </c>
      <c r="G986" s="1" t="s">
        <v>5527</v>
      </c>
      <c r="I986" s="1" t="s">
        <v>78</v>
      </c>
      <c r="J986" s="1" t="s">
        <v>5528</v>
      </c>
      <c r="K986" s="1" t="s">
        <v>5529</v>
      </c>
      <c r="L986" t="s">
        <v>91</v>
      </c>
      <c r="M986" t="s">
        <v>91</v>
      </c>
      <c r="N986" s="1" t="s">
        <v>5530</v>
      </c>
      <c r="O986" t="s">
        <v>91</v>
      </c>
      <c r="P986" s="1" t="s">
        <v>4063</v>
      </c>
      <c r="Q986" s="1" t="s">
        <v>300</v>
      </c>
      <c r="R986" s="1" t="s">
        <v>236</v>
      </c>
      <c r="S986">
        <v>1269</v>
      </c>
      <c r="T986">
        <v>88801505</v>
      </c>
      <c r="U986" s="1" t="s">
        <v>108</v>
      </c>
      <c r="V986" s="1" t="s">
        <v>3231</v>
      </c>
      <c r="W986" s="1" t="s">
        <v>87</v>
      </c>
      <c r="X986">
        <v>48</v>
      </c>
      <c r="Y986">
        <v>34137017</v>
      </c>
      <c r="Z986" t="s">
        <v>91</v>
      </c>
      <c r="AA986" t="s">
        <v>91</v>
      </c>
      <c r="AB986" t="s">
        <v>91</v>
      </c>
      <c r="AC986" t="s">
        <v>91</v>
      </c>
      <c r="AD986" t="s">
        <v>91</v>
      </c>
      <c r="AE986" t="s">
        <v>91</v>
      </c>
      <c r="AF986" t="s">
        <v>91</v>
      </c>
      <c r="AG986" s="1" t="s">
        <v>91</v>
      </c>
      <c r="AH986" s="1" t="s">
        <v>91</v>
      </c>
      <c r="AI986" t="s">
        <v>91</v>
      </c>
      <c r="AJ986">
        <v>0</v>
      </c>
      <c r="AK986">
        <v>0</v>
      </c>
      <c r="AL986">
        <v>0</v>
      </c>
      <c r="AM986" t="s">
        <v>91</v>
      </c>
      <c r="AN986" t="s">
        <v>91</v>
      </c>
      <c r="AO986" t="s">
        <v>91</v>
      </c>
      <c r="AP986" t="s">
        <v>91</v>
      </c>
      <c r="AQ986" s="1" t="s">
        <v>91</v>
      </c>
      <c r="AR986" s="1" t="s">
        <v>91</v>
      </c>
      <c r="AS986" s="1" t="s">
        <v>91</v>
      </c>
      <c r="AT986" s="1" t="s">
        <v>91</v>
      </c>
      <c r="AU986" s="1" t="s">
        <v>91</v>
      </c>
      <c r="AV986" t="s">
        <v>91</v>
      </c>
      <c r="AW986" t="s">
        <v>91</v>
      </c>
      <c r="AX986" t="s">
        <v>91</v>
      </c>
      <c r="AY986" t="s">
        <v>91</v>
      </c>
      <c r="AZ986" t="s">
        <v>91</v>
      </c>
      <c r="BA986" t="s">
        <v>91</v>
      </c>
      <c r="BB986" s="2"/>
      <c r="BC986" s="2"/>
      <c r="BD986" t="s">
        <v>91</v>
      </c>
      <c r="BF986" s="1" t="s">
        <v>75</v>
      </c>
      <c r="BG986">
        <v>0</v>
      </c>
      <c r="BH986">
        <v>0</v>
      </c>
      <c r="BI986" s="1" t="s">
        <v>88</v>
      </c>
      <c r="BJ986">
        <v>1</v>
      </c>
      <c r="BK986" s="1" t="s">
        <v>89</v>
      </c>
      <c r="BL986" t="s">
        <v>91</v>
      </c>
      <c r="BM986" s="1" t="s">
        <v>109</v>
      </c>
      <c r="BN986" s="1" t="s">
        <v>148</v>
      </c>
      <c r="BO986" s="1" t="s">
        <v>111</v>
      </c>
      <c r="BP986" s="1" t="s">
        <v>91</v>
      </c>
      <c r="BQ986" t="s">
        <v>91</v>
      </c>
      <c r="BR986" s="3"/>
      <c r="BS986" s="3"/>
      <c r="BT986" t="s">
        <v>91</v>
      </c>
      <c r="BU986" t="s">
        <v>91</v>
      </c>
      <c r="BV986">
        <v>6</v>
      </c>
      <c r="BW986" s="1" t="s">
        <v>1563</v>
      </c>
    </row>
    <row r="987" spans="1:75" hidden="1" x14ac:dyDescent="0.35">
      <c r="A987">
        <v>35</v>
      </c>
      <c r="B987" s="1" t="s">
        <v>75</v>
      </c>
      <c r="C987">
        <v>80</v>
      </c>
      <c r="D987">
        <v>11121002</v>
      </c>
      <c r="E987">
        <v>121002</v>
      </c>
      <c r="F987" s="1" t="s">
        <v>2915</v>
      </c>
      <c r="G987" s="1" t="s">
        <v>5531</v>
      </c>
      <c r="I987" s="1" t="s">
        <v>78</v>
      </c>
      <c r="J987" s="1" t="s">
        <v>5532</v>
      </c>
      <c r="K987" s="1" t="s">
        <v>5533</v>
      </c>
      <c r="L987" t="s">
        <v>91</v>
      </c>
      <c r="M987" t="s">
        <v>91</v>
      </c>
      <c r="N987" s="1" t="s">
        <v>5534</v>
      </c>
      <c r="O987" t="s">
        <v>91</v>
      </c>
      <c r="P987" s="1" t="s">
        <v>5535</v>
      </c>
      <c r="Q987" s="1" t="s">
        <v>841</v>
      </c>
      <c r="R987" s="1" t="s">
        <v>236</v>
      </c>
      <c r="S987">
        <v>1269</v>
      </c>
      <c r="T987">
        <v>88870000</v>
      </c>
      <c r="U987" s="1" t="s">
        <v>108</v>
      </c>
      <c r="V987" s="1" t="s">
        <v>5015</v>
      </c>
      <c r="W987" s="1" t="s">
        <v>87</v>
      </c>
      <c r="X987">
        <v>48</v>
      </c>
      <c r="Y987">
        <v>34660771</v>
      </c>
      <c r="Z987" t="s">
        <v>91</v>
      </c>
      <c r="AA987" t="s">
        <v>91</v>
      </c>
      <c r="AB987" t="s">
        <v>91</v>
      </c>
      <c r="AC987" t="s">
        <v>91</v>
      </c>
      <c r="AD987" t="s">
        <v>91</v>
      </c>
      <c r="AE987" t="s">
        <v>91</v>
      </c>
      <c r="AF987" t="s">
        <v>91</v>
      </c>
      <c r="AG987" s="1" t="s">
        <v>91</v>
      </c>
      <c r="AH987" s="1" t="s">
        <v>91</v>
      </c>
      <c r="AI987" t="s">
        <v>91</v>
      </c>
      <c r="AJ987">
        <v>0</v>
      </c>
      <c r="AK987">
        <v>0</v>
      </c>
      <c r="AL987">
        <v>0</v>
      </c>
      <c r="AM987" t="s">
        <v>91</v>
      </c>
      <c r="AN987" t="s">
        <v>91</v>
      </c>
      <c r="AO987" t="s">
        <v>91</v>
      </c>
      <c r="AP987" t="s">
        <v>91</v>
      </c>
      <c r="AQ987" s="1" t="s">
        <v>91</v>
      </c>
      <c r="AR987" s="1" t="s">
        <v>91</v>
      </c>
      <c r="AS987" s="1" t="s">
        <v>91</v>
      </c>
      <c r="AT987" s="1" t="s">
        <v>91</v>
      </c>
      <c r="AU987" s="1" t="s">
        <v>91</v>
      </c>
      <c r="AV987" t="s">
        <v>91</v>
      </c>
      <c r="AW987" t="s">
        <v>91</v>
      </c>
      <c r="AX987" t="s">
        <v>91</v>
      </c>
      <c r="AY987" t="s">
        <v>91</v>
      </c>
      <c r="AZ987" t="s">
        <v>91</v>
      </c>
      <c r="BA987" t="s">
        <v>91</v>
      </c>
      <c r="BB987" s="2">
        <v>43308.39271990741</v>
      </c>
      <c r="BC987" s="2"/>
      <c r="BD987" t="s">
        <v>91</v>
      </c>
      <c r="BE987">
        <v>35</v>
      </c>
      <c r="BF987" s="1" t="s">
        <v>75</v>
      </c>
      <c r="BG987">
        <v>0</v>
      </c>
      <c r="BH987">
        <v>0</v>
      </c>
      <c r="BI987" s="1" t="s">
        <v>88</v>
      </c>
      <c r="BJ987">
        <v>1</v>
      </c>
      <c r="BK987" s="1" t="s">
        <v>89</v>
      </c>
      <c r="BL987" t="s">
        <v>91</v>
      </c>
      <c r="BM987" s="1" t="s">
        <v>109</v>
      </c>
      <c r="BN987" s="1" t="s">
        <v>110</v>
      </c>
      <c r="BO987" s="1" t="s">
        <v>180</v>
      </c>
      <c r="BP987" s="1" t="s">
        <v>91</v>
      </c>
      <c r="BQ987" t="s">
        <v>91</v>
      </c>
      <c r="BR987" s="3">
        <v>43308</v>
      </c>
      <c r="BS987" s="3"/>
      <c r="BT987" t="s">
        <v>91</v>
      </c>
      <c r="BU987" t="s">
        <v>91</v>
      </c>
      <c r="BV987">
        <v>9</v>
      </c>
      <c r="BW987" s="1" t="s">
        <v>3304</v>
      </c>
    </row>
    <row r="988" spans="1:75" hidden="1" x14ac:dyDescent="0.35">
      <c r="A988">
        <v>156925</v>
      </c>
      <c r="B988" s="1" t="s">
        <v>75</v>
      </c>
      <c r="C988">
        <v>80</v>
      </c>
      <c r="D988">
        <v>11121002</v>
      </c>
      <c r="E988">
        <v>121002</v>
      </c>
      <c r="F988" s="1" t="s">
        <v>2915</v>
      </c>
      <c r="G988" s="1" t="s">
        <v>5536</v>
      </c>
      <c r="H988">
        <v>0</v>
      </c>
      <c r="I988" s="1" t="s">
        <v>78</v>
      </c>
      <c r="J988" s="1" t="s">
        <v>5537</v>
      </c>
      <c r="K988" s="1" t="s">
        <v>5538</v>
      </c>
      <c r="L988" t="s">
        <v>91</v>
      </c>
      <c r="M988" t="s">
        <v>91</v>
      </c>
      <c r="N988" s="1" t="s">
        <v>5539</v>
      </c>
      <c r="O988" t="s">
        <v>91</v>
      </c>
      <c r="P988" s="1" t="s">
        <v>5540</v>
      </c>
      <c r="Q988" s="1" t="s">
        <v>4238</v>
      </c>
      <c r="R988" s="1" t="s">
        <v>5541</v>
      </c>
      <c r="T988">
        <v>88701170</v>
      </c>
      <c r="U988" s="1" t="s">
        <v>108</v>
      </c>
      <c r="V988" s="1" t="s">
        <v>3900</v>
      </c>
      <c r="W988" s="1" t="s">
        <v>87</v>
      </c>
      <c r="X988">
        <v>48</v>
      </c>
      <c r="Y988">
        <v>30523288</v>
      </c>
      <c r="Z988" t="s">
        <v>91</v>
      </c>
      <c r="AA988" t="s">
        <v>91</v>
      </c>
      <c r="AB988" t="s">
        <v>91</v>
      </c>
      <c r="AC988" t="s">
        <v>91</v>
      </c>
      <c r="AD988" t="s">
        <v>91</v>
      </c>
      <c r="AE988" t="s">
        <v>91</v>
      </c>
      <c r="AF988" t="s">
        <v>91</v>
      </c>
      <c r="AG988" s="1" t="s">
        <v>91</v>
      </c>
      <c r="AH988" s="1" t="s">
        <v>91</v>
      </c>
      <c r="AI988" t="s">
        <v>91</v>
      </c>
      <c r="AM988" t="s">
        <v>91</v>
      </c>
      <c r="AN988" t="s">
        <v>91</v>
      </c>
      <c r="AO988" t="s">
        <v>91</v>
      </c>
      <c r="AP988" t="s">
        <v>91</v>
      </c>
      <c r="AQ988" s="1" t="s">
        <v>91</v>
      </c>
      <c r="AR988" s="1" t="s">
        <v>91</v>
      </c>
      <c r="AS988" s="1" t="s">
        <v>91</v>
      </c>
      <c r="AT988" s="1" t="s">
        <v>91</v>
      </c>
      <c r="AU988" s="1" t="s">
        <v>91</v>
      </c>
      <c r="AV988" t="s">
        <v>91</v>
      </c>
      <c r="AW988" t="s">
        <v>91</v>
      </c>
      <c r="AX988" t="s">
        <v>91</v>
      </c>
      <c r="AY988" t="s">
        <v>91</v>
      </c>
      <c r="AZ988" t="s">
        <v>91</v>
      </c>
      <c r="BA988" t="s">
        <v>91</v>
      </c>
      <c r="BB988" s="2">
        <v>45113.505416666667</v>
      </c>
      <c r="BC988" s="2"/>
      <c r="BD988" t="s">
        <v>91</v>
      </c>
      <c r="BF988" s="1" t="s">
        <v>75</v>
      </c>
      <c r="BI988" s="1" t="s">
        <v>88</v>
      </c>
      <c r="BJ988">
        <v>1</v>
      </c>
      <c r="BK988" s="1" t="s">
        <v>89</v>
      </c>
      <c r="BL988" t="s">
        <v>91</v>
      </c>
      <c r="BM988" s="1" t="s">
        <v>91</v>
      </c>
      <c r="BN988" s="1" t="s">
        <v>91</v>
      </c>
      <c r="BO988" s="1" t="s">
        <v>91</v>
      </c>
      <c r="BP988" s="1" t="s">
        <v>91</v>
      </c>
      <c r="BQ988" t="s">
        <v>91</v>
      </c>
      <c r="BR988" s="3">
        <v>45113</v>
      </c>
      <c r="BS988" s="3"/>
      <c r="BT988" t="s">
        <v>91</v>
      </c>
      <c r="BU988" t="s">
        <v>91</v>
      </c>
      <c r="BW988" s="1" t="s">
        <v>90</v>
      </c>
    </row>
    <row r="989" spans="1:75" hidden="1" x14ac:dyDescent="0.35">
      <c r="A989">
        <v>144352</v>
      </c>
      <c r="B989" s="1" t="s">
        <v>75</v>
      </c>
      <c r="C989">
        <v>80</v>
      </c>
      <c r="D989">
        <v>11121002</v>
      </c>
      <c r="E989">
        <v>121002</v>
      </c>
      <c r="F989" s="1" t="s">
        <v>2915</v>
      </c>
      <c r="G989" s="1" t="s">
        <v>5542</v>
      </c>
      <c r="I989" s="1" t="s">
        <v>78</v>
      </c>
      <c r="J989" s="1" t="s">
        <v>5543</v>
      </c>
      <c r="K989" s="1" t="s">
        <v>5544</v>
      </c>
      <c r="L989" t="s">
        <v>91</v>
      </c>
      <c r="M989" t="s">
        <v>91</v>
      </c>
      <c r="N989" s="1" t="s">
        <v>5545</v>
      </c>
      <c r="O989" t="s">
        <v>91</v>
      </c>
      <c r="P989" s="1" t="s">
        <v>5176</v>
      </c>
      <c r="Q989" s="1" t="s">
        <v>5050</v>
      </c>
      <c r="R989" s="1" t="s">
        <v>91</v>
      </c>
      <c r="S989">
        <v>1268</v>
      </c>
      <c r="T989">
        <v>88730000</v>
      </c>
      <c r="U989" s="1" t="s">
        <v>108</v>
      </c>
      <c r="V989" s="1" t="s">
        <v>4975</v>
      </c>
      <c r="W989" s="1" t="s">
        <v>87</v>
      </c>
      <c r="X989">
        <v>48</v>
      </c>
      <c r="Y989">
        <v>36570847</v>
      </c>
      <c r="Z989" t="s">
        <v>91</v>
      </c>
      <c r="AA989" t="s">
        <v>91</v>
      </c>
      <c r="AB989" t="s">
        <v>91</v>
      </c>
      <c r="AC989" t="s">
        <v>91</v>
      </c>
      <c r="AD989" t="s">
        <v>91</v>
      </c>
      <c r="AE989" t="s">
        <v>91</v>
      </c>
      <c r="AF989" t="s">
        <v>91</v>
      </c>
      <c r="AG989" s="1" t="s">
        <v>91</v>
      </c>
      <c r="AH989" s="1" t="s">
        <v>91</v>
      </c>
      <c r="AI989" t="s">
        <v>91</v>
      </c>
      <c r="AJ989">
        <v>0</v>
      </c>
      <c r="AK989">
        <v>0</v>
      </c>
      <c r="AL989">
        <v>0</v>
      </c>
      <c r="AM989" t="s">
        <v>91</v>
      </c>
      <c r="AN989" t="s">
        <v>91</v>
      </c>
      <c r="AO989" t="s">
        <v>91</v>
      </c>
      <c r="AP989" t="s">
        <v>91</v>
      </c>
      <c r="AQ989" s="1" t="s">
        <v>91</v>
      </c>
      <c r="AR989" s="1" t="s">
        <v>91</v>
      </c>
      <c r="AS989" s="1" t="s">
        <v>91</v>
      </c>
      <c r="AT989" s="1" t="s">
        <v>91</v>
      </c>
      <c r="AU989" s="1" t="s">
        <v>91</v>
      </c>
      <c r="AV989" t="s">
        <v>91</v>
      </c>
      <c r="AW989" t="s">
        <v>91</v>
      </c>
      <c r="AX989" t="s">
        <v>91</v>
      </c>
      <c r="AY989" t="s">
        <v>91</v>
      </c>
      <c r="AZ989" t="s">
        <v>91</v>
      </c>
      <c r="BA989" t="s">
        <v>91</v>
      </c>
      <c r="BB989" s="2"/>
      <c r="BC989" s="2"/>
      <c r="BD989" t="s">
        <v>91</v>
      </c>
      <c r="BF989" s="1" t="s">
        <v>75</v>
      </c>
      <c r="BG989">
        <v>0</v>
      </c>
      <c r="BH989">
        <v>0</v>
      </c>
      <c r="BI989" s="1" t="s">
        <v>88</v>
      </c>
      <c r="BJ989">
        <v>1</v>
      </c>
      <c r="BK989" s="1" t="s">
        <v>89</v>
      </c>
      <c r="BL989" t="s">
        <v>91</v>
      </c>
      <c r="BM989" s="1" t="s">
        <v>109</v>
      </c>
      <c r="BN989" s="1" t="s">
        <v>110</v>
      </c>
      <c r="BO989" s="1" t="s">
        <v>128</v>
      </c>
      <c r="BP989" s="1" t="s">
        <v>91</v>
      </c>
      <c r="BQ989" t="s">
        <v>91</v>
      </c>
      <c r="BR989" s="3"/>
      <c r="BS989" s="3"/>
      <c r="BT989" t="s">
        <v>91</v>
      </c>
      <c r="BU989" t="s">
        <v>91</v>
      </c>
      <c r="BV989">
        <v>9</v>
      </c>
      <c r="BW989" s="1" t="s">
        <v>3218</v>
      </c>
    </row>
    <row r="990" spans="1:75" hidden="1" x14ac:dyDescent="0.35">
      <c r="A990">
        <v>134278</v>
      </c>
      <c r="B990" s="1" t="s">
        <v>75</v>
      </c>
      <c r="C990">
        <v>80</v>
      </c>
      <c r="D990">
        <v>11121002</v>
      </c>
      <c r="E990">
        <v>121002</v>
      </c>
      <c r="F990" s="1" t="s">
        <v>2915</v>
      </c>
      <c r="G990" s="1" t="s">
        <v>5546</v>
      </c>
      <c r="I990" s="1" t="s">
        <v>78</v>
      </c>
      <c r="J990" s="1" t="s">
        <v>5547</v>
      </c>
      <c r="K990" s="1" t="s">
        <v>5548</v>
      </c>
      <c r="L990" t="s">
        <v>91</v>
      </c>
      <c r="M990" t="s">
        <v>91</v>
      </c>
      <c r="N990" s="1" t="s">
        <v>5549</v>
      </c>
      <c r="O990" t="s">
        <v>91</v>
      </c>
      <c r="P990" s="1" t="s">
        <v>3466</v>
      </c>
      <c r="Q990" s="1" t="s">
        <v>5550</v>
      </c>
      <c r="R990" s="1" t="s">
        <v>91</v>
      </c>
      <c r="S990">
        <v>1258</v>
      </c>
      <c r="T990">
        <v>88070100</v>
      </c>
      <c r="U990" s="1" t="s">
        <v>3468</v>
      </c>
      <c r="V990" s="1" t="s">
        <v>3102</v>
      </c>
      <c r="W990" s="1" t="s">
        <v>87</v>
      </c>
      <c r="X990">
        <v>48</v>
      </c>
      <c r="Y990">
        <v>32444216</v>
      </c>
      <c r="Z990" t="s">
        <v>91</v>
      </c>
      <c r="AA990" t="s">
        <v>91</v>
      </c>
      <c r="AB990" t="s">
        <v>91</v>
      </c>
      <c r="AC990" t="s">
        <v>91</v>
      </c>
      <c r="AD990" t="s">
        <v>91</v>
      </c>
      <c r="AE990" t="s">
        <v>91</v>
      </c>
      <c r="AF990" t="s">
        <v>91</v>
      </c>
      <c r="AG990" s="1" t="s">
        <v>146</v>
      </c>
      <c r="AH990" s="1" t="s">
        <v>91</v>
      </c>
      <c r="AI990" t="s">
        <v>91</v>
      </c>
      <c r="AJ990">
        <v>0</v>
      </c>
      <c r="AK990">
        <v>0</v>
      </c>
      <c r="AL990">
        <v>0</v>
      </c>
      <c r="AM990" t="s">
        <v>91</v>
      </c>
      <c r="AN990" t="s">
        <v>91</v>
      </c>
      <c r="AO990" t="s">
        <v>91</v>
      </c>
      <c r="AP990" t="s">
        <v>91</v>
      </c>
      <c r="AQ990" s="1" t="s">
        <v>147</v>
      </c>
      <c r="AR990" s="1" t="s">
        <v>147</v>
      </c>
      <c r="AS990" s="1" t="s">
        <v>147</v>
      </c>
      <c r="AT990" s="1" t="s">
        <v>147</v>
      </c>
      <c r="AU990" s="1" t="s">
        <v>147</v>
      </c>
      <c r="AV990" t="s">
        <v>91</v>
      </c>
      <c r="AW990" t="s">
        <v>91</v>
      </c>
      <c r="AX990" t="s">
        <v>91</v>
      </c>
      <c r="AY990" t="s">
        <v>91</v>
      </c>
      <c r="AZ990" t="s">
        <v>91</v>
      </c>
      <c r="BA990" t="s">
        <v>91</v>
      </c>
      <c r="BB990" s="2"/>
      <c r="BC990" s="2">
        <v>45114.643055555556</v>
      </c>
      <c r="BD990" t="s">
        <v>91</v>
      </c>
      <c r="BF990" s="1" t="s">
        <v>75</v>
      </c>
      <c r="BG990">
        <v>0</v>
      </c>
      <c r="BH990">
        <v>0</v>
      </c>
      <c r="BI990" s="1" t="s">
        <v>88</v>
      </c>
      <c r="BJ990">
        <v>1</v>
      </c>
      <c r="BK990" s="1" t="s">
        <v>89</v>
      </c>
      <c r="BL990" t="s">
        <v>91</v>
      </c>
      <c r="BM990" s="1" t="s">
        <v>109</v>
      </c>
      <c r="BN990" s="1" t="s">
        <v>148</v>
      </c>
      <c r="BO990" s="1" t="s">
        <v>165</v>
      </c>
      <c r="BP990" s="1" t="s">
        <v>91</v>
      </c>
      <c r="BQ990" t="s">
        <v>91</v>
      </c>
      <c r="BR990" s="3"/>
      <c r="BS990" s="3">
        <v>45114</v>
      </c>
      <c r="BT990" t="s">
        <v>91</v>
      </c>
      <c r="BU990" t="s">
        <v>91</v>
      </c>
      <c r="BV990">
        <v>7</v>
      </c>
      <c r="BW990" s="1" t="s">
        <v>83</v>
      </c>
    </row>
    <row r="991" spans="1:75" hidden="1" x14ac:dyDescent="0.35">
      <c r="A991">
        <v>157678</v>
      </c>
      <c r="B991" s="1" t="s">
        <v>75</v>
      </c>
      <c r="C991">
        <v>80</v>
      </c>
      <c r="D991">
        <v>11121002</v>
      </c>
      <c r="E991">
        <v>121002</v>
      </c>
      <c r="F991" s="1" t="s">
        <v>2915</v>
      </c>
      <c r="G991" s="1" t="s">
        <v>5551</v>
      </c>
      <c r="H991">
        <v>0</v>
      </c>
      <c r="I991" s="1" t="s">
        <v>78</v>
      </c>
      <c r="J991" s="1" t="s">
        <v>5552</v>
      </c>
      <c r="K991" s="1" t="s">
        <v>5553</v>
      </c>
      <c r="L991" t="s">
        <v>91</v>
      </c>
      <c r="M991" t="s">
        <v>91</v>
      </c>
      <c r="N991" s="1" t="s">
        <v>91</v>
      </c>
      <c r="O991" t="s">
        <v>91</v>
      </c>
      <c r="P991" s="1" t="s">
        <v>4460</v>
      </c>
      <c r="Q991" s="1" t="s">
        <v>5554</v>
      </c>
      <c r="R991" s="1" t="s">
        <v>91</v>
      </c>
      <c r="T991">
        <v>88811508</v>
      </c>
      <c r="U991" s="1" t="s">
        <v>108</v>
      </c>
      <c r="V991" s="1" t="s">
        <v>2943</v>
      </c>
      <c r="W991" s="1" t="s">
        <v>87</v>
      </c>
      <c r="X991">
        <v>48</v>
      </c>
      <c r="Y991">
        <v>34330140</v>
      </c>
      <c r="Z991" t="s">
        <v>91</v>
      </c>
      <c r="AA991" t="s">
        <v>91</v>
      </c>
      <c r="AB991" t="s">
        <v>91</v>
      </c>
      <c r="AC991" t="s">
        <v>91</v>
      </c>
      <c r="AD991" t="s">
        <v>91</v>
      </c>
      <c r="AE991" t="s">
        <v>91</v>
      </c>
      <c r="AF991" t="s">
        <v>91</v>
      </c>
      <c r="AG991" s="1" t="s">
        <v>91</v>
      </c>
      <c r="AH991" s="1" t="s">
        <v>91</v>
      </c>
      <c r="AI991" t="s">
        <v>91</v>
      </c>
      <c r="AM991" t="s">
        <v>91</v>
      </c>
      <c r="AN991" t="s">
        <v>91</v>
      </c>
      <c r="AO991" t="s">
        <v>91</v>
      </c>
      <c r="AP991" t="s">
        <v>91</v>
      </c>
      <c r="AQ991" s="1" t="s">
        <v>91</v>
      </c>
      <c r="AR991" s="1" t="s">
        <v>91</v>
      </c>
      <c r="AS991" s="1" t="s">
        <v>91</v>
      </c>
      <c r="AT991" s="1" t="s">
        <v>91</v>
      </c>
      <c r="AU991" s="1" t="s">
        <v>91</v>
      </c>
      <c r="AV991" t="s">
        <v>91</v>
      </c>
      <c r="AW991" t="s">
        <v>91</v>
      </c>
      <c r="AX991" t="s">
        <v>91</v>
      </c>
      <c r="AY991" t="s">
        <v>91</v>
      </c>
      <c r="AZ991" t="s">
        <v>91</v>
      </c>
      <c r="BA991" t="s">
        <v>91</v>
      </c>
      <c r="BB991" s="2">
        <v>45118.097175925926</v>
      </c>
      <c r="BC991" s="2"/>
      <c r="BD991" t="s">
        <v>91</v>
      </c>
      <c r="BF991" s="1" t="s">
        <v>75</v>
      </c>
      <c r="BI991" s="1" t="s">
        <v>88</v>
      </c>
      <c r="BJ991">
        <v>1</v>
      </c>
      <c r="BK991" s="1" t="s">
        <v>89</v>
      </c>
      <c r="BL991" t="s">
        <v>91</v>
      </c>
      <c r="BM991" s="1" t="s">
        <v>91</v>
      </c>
      <c r="BN991" s="1" t="s">
        <v>91</v>
      </c>
      <c r="BO991" s="1" t="s">
        <v>91</v>
      </c>
      <c r="BP991" s="1" t="s">
        <v>91</v>
      </c>
      <c r="BQ991" t="s">
        <v>91</v>
      </c>
      <c r="BR991" s="3">
        <v>45118</v>
      </c>
      <c r="BS991" s="3"/>
      <c r="BT991" t="s">
        <v>91</v>
      </c>
      <c r="BU991" t="s">
        <v>91</v>
      </c>
      <c r="BW991" s="1" t="s">
        <v>90</v>
      </c>
    </row>
    <row r="992" spans="1:75" hidden="1" x14ac:dyDescent="0.35">
      <c r="A992">
        <v>88</v>
      </c>
      <c r="B992" s="1" t="s">
        <v>75</v>
      </c>
      <c r="C992">
        <v>80</v>
      </c>
      <c r="D992">
        <v>11121002</v>
      </c>
      <c r="E992">
        <v>121002</v>
      </c>
      <c r="F992" s="1" t="s">
        <v>2915</v>
      </c>
      <c r="G992" s="1" t="s">
        <v>5555</v>
      </c>
      <c r="I992" s="1" t="s">
        <v>78</v>
      </c>
      <c r="J992" s="1" t="s">
        <v>5556</v>
      </c>
      <c r="K992" s="1" t="s">
        <v>5557</v>
      </c>
      <c r="L992" t="s">
        <v>91</v>
      </c>
      <c r="M992" t="s">
        <v>91</v>
      </c>
      <c r="N992" s="1" t="s">
        <v>5558</v>
      </c>
      <c r="O992" t="s">
        <v>91</v>
      </c>
      <c r="P992" s="1" t="s">
        <v>5559</v>
      </c>
      <c r="Q992" s="1" t="s">
        <v>570</v>
      </c>
      <c r="R992" s="1" t="s">
        <v>5560</v>
      </c>
      <c r="S992">
        <v>1270</v>
      </c>
      <c r="T992">
        <v>88900005</v>
      </c>
      <c r="U992" s="1" t="s">
        <v>108</v>
      </c>
      <c r="V992" s="1" t="s">
        <v>3266</v>
      </c>
      <c r="W992" s="1" t="s">
        <v>87</v>
      </c>
      <c r="X992">
        <v>48</v>
      </c>
      <c r="Y992">
        <v>35240204</v>
      </c>
      <c r="Z992" t="s">
        <v>91</v>
      </c>
      <c r="AA992" t="s">
        <v>91</v>
      </c>
      <c r="AB992" t="s">
        <v>91</v>
      </c>
      <c r="AC992" t="s">
        <v>91</v>
      </c>
      <c r="AD992" t="s">
        <v>91</v>
      </c>
      <c r="AE992" t="s">
        <v>91</v>
      </c>
      <c r="AF992" t="s">
        <v>91</v>
      </c>
      <c r="AG992" s="1" t="s">
        <v>91</v>
      </c>
      <c r="AH992" s="1" t="s">
        <v>91</v>
      </c>
      <c r="AI992" t="s">
        <v>91</v>
      </c>
      <c r="AJ992">
        <v>0</v>
      </c>
      <c r="AK992">
        <v>0</v>
      </c>
      <c r="AL992">
        <v>0</v>
      </c>
      <c r="AM992" t="s">
        <v>91</v>
      </c>
      <c r="AN992" t="s">
        <v>91</v>
      </c>
      <c r="AO992" t="s">
        <v>91</v>
      </c>
      <c r="AP992" t="s">
        <v>91</v>
      </c>
      <c r="AQ992" s="1" t="s">
        <v>91</v>
      </c>
      <c r="AR992" s="1" t="s">
        <v>91</v>
      </c>
      <c r="AS992" s="1" t="s">
        <v>91</v>
      </c>
      <c r="AT992" s="1" t="s">
        <v>91</v>
      </c>
      <c r="AU992" s="1" t="s">
        <v>91</v>
      </c>
      <c r="AV992" t="s">
        <v>91</v>
      </c>
      <c r="AW992" t="s">
        <v>91</v>
      </c>
      <c r="AX992" t="s">
        <v>91</v>
      </c>
      <c r="AY992" t="s">
        <v>91</v>
      </c>
      <c r="AZ992" t="s">
        <v>91</v>
      </c>
      <c r="BA992" t="s">
        <v>91</v>
      </c>
      <c r="BB992" s="2">
        <v>43308.392743055556</v>
      </c>
      <c r="BC992" s="2"/>
      <c r="BD992" t="s">
        <v>91</v>
      </c>
      <c r="BE992">
        <v>88</v>
      </c>
      <c r="BF992" s="1" t="s">
        <v>75</v>
      </c>
      <c r="BG992">
        <v>0</v>
      </c>
      <c r="BH992">
        <v>0</v>
      </c>
      <c r="BI992" s="1" t="s">
        <v>88</v>
      </c>
      <c r="BJ992">
        <v>1</v>
      </c>
      <c r="BK992" s="1" t="s">
        <v>89</v>
      </c>
      <c r="BL992" t="s">
        <v>91</v>
      </c>
      <c r="BM992" s="1" t="s">
        <v>109</v>
      </c>
      <c r="BN992" s="1" t="s">
        <v>110</v>
      </c>
      <c r="BO992" s="1" t="s">
        <v>111</v>
      </c>
      <c r="BP992" s="1" t="s">
        <v>91</v>
      </c>
      <c r="BQ992" t="s">
        <v>91</v>
      </c>
      <c r="BR992" s="3">
        <v>43308</v>
      </c>
      <c r="BS992" s="3"/>
      <c r="BT992" t="s">
        <v>91</v>
      </c>
      <c r="BU992" t="s">
        <v>91</v>
      </c>
      <c r="BV992">
        <v>9</v>
      </c>
      <c r="BW992" s="1" t="s">
        <v>3211</v>
      </c>
    </row>
    <row r="993" spans="1:75" hidden="1" x14ac:dyDescent="0.35">
      <c r="A993">
        <v>127440</v>
      </c>
      <c r="B993" s="1" t="s">
        <v>75</v>
      </c>
      <c r="C993">
        <v>80</v>
      </c>
      <c r="D993">
        <v>11121002</v>
      </c>
      <c r="E993">
        <v>121002</v>
      </c>
      <c r="F993" s="1" t="s">
        <v>2915</v>
      </c>
      <c r="G993" s="1" t="s">
        <v>5561</v>
      </c>
      <c r="H993">
        <v>0</v>
      </c>
      <c r="I993" s="1" t="s">
        <v>78</v>
      </c>
      <c r="J993" s="1" t="s">
        <v>5562</v>
      </c>
      <c r="K993" s="1" t="s">
        <v>5563</v>
      </c>
      <c r="L993" t="s">
        <v>91</v>
      </c>
      <c r="M993" t="s">
        <v>91</v>
      </c>
      <c r="N993" s="1" t="s">
        <v>5564</v>
      </c>
      <c r="O993" t="s">
        <v>91</v>
      </c>
      <c r="P993" s="1" t="s">
        <v>1210</v>
      </c>
      <c r="Q993" s="1" t="s">
        <v>1383</v>
      </c>
      <c r="R993" s="1" t="s">
        <v>91</v>
      </c>
      <c r="S993">
        <v>1269</v>
      </c>
      <c r="T993">
        <v>88801040</v>
      </c>
      <c r="U993" s="1" t="s">
        <v>108</v>
      </c>
      <c r="V993" s="1" t="s">
        <v>3231</v>
      </c>
      <c r="W993" s="1" t="s">
        <v>87</v>
      </c>
      <c r="X993">
        <v>48</v>
      </c>
      <c r="Y993">
        <v>34330591</v>
      </c>
      <c r="Z993" t="s">
        <v>91</v>
      </c>
      <c r="AA993" t="s">
        <v>91</v>
      </c>
      <c r="AB993" t="s">
        <v>91</v>
      </c>
      <c r="AC993" t="s">
        <v>91</v>
      </c>
      <c r="AD993" t="s">
        <v>91</v>
      </c>
      <c r="AE993" t="s">
        <v>91</v>
      </c>
      <c r="AF993" t="s">
        <v>91</v>
      </c>
      <c r="AG993" s="1" t="s">
        <v>91</v>
      </c>
      <c r="AH993" s="1" t="s">
        <v>91</v>
      </c>
      <c r="AI993" t="s">
        <v>91</v>
      </c>
      <c r="AJ993">
        <v>0</v>
      </c>
      <c r="AK993">
        <v>0</v>
      </c>
      <c r="AL993">
        <v>0</v>
      </c>
      <c r="AM993" t="s">
        <v>91</v>
      </c>
      <c r="AN993" t="s">
        <v>91</v>
      </c>
      <c r="AO993" t="s">
        <v>91</v>
      </c>
      <c r="AP993" t="s">
        <v>91</v>
      </c>
      <c r="AQ993" s="1" t="s">
        <v>91</v>
      </c>
      <c r="AR993" s="1" t="s">
        <v>91</v>
      </c>
      <c r="AS993" s="1" t="s">
        <v>91</v>
      </c>
      <c r="AT993" s="1" t="s">
        <v>91</v>
      </c>
      <c r="AU993" s="1" t="s">
        <v>91</v>
      </c>
      <c r="AV993" t="s">
        <v>91</v>
      </c>
      <c r="AW993" t="s">
        <v>91</v>
      </c>
      <c r="AX993" t="s">
        <v>91</v>
      </c>
      <c r="AY993" t="s">
        <v>91</v>
      </c>
      <c r="AZ993" t="s">
        <v>91</v>
      </c>
      <c r="BA993" t="s">
        <v>91</v>
      </c>
      <c r="BB993" s="2">
        <v>44111.380995370368</v>
      </c>
      <c r="BC993" s="2"/>
      <c r="BD993" t="s">
        <v>91</v>
      </c>
      <c r="BF993" s="1" t="s">
        <v>75</v>
      </c>
      <c r="BG993">
        <v>0</v>
      </c>
      <c r="BH993">
        <v>0</v>
      </c>
      <c r="BI993" s="1" t="s">
        <v>88</v>
      </c>
      <c r="BJ993">
        <v>1</v>
      </c>
      <c r="BK993" s="1" t="s">
        <v>89</v>
      </c>
      <c r="BL993" t="s">
        <v>91</v>
      </c>
      <c r="BM993" s="1" t="s">
        <v>109</v>
      </c>
      <c r="BN993" s="1" t="s">
        <v>110</v>
      </c>
      <c r="BO993" s="1" t="s">
        <v>180</v>
      </c>
      <c r="BP993" s="1" t="s">
        <v>91</v>
      </c>
      <c r="BQ993" t="s">
        <v>91</v>
      </c>
      <c r="BR993" s="3">
        <v>44111</v>
      </c>
      <c r="BS993" s="3"/>
      <c r="BT993" t="s">
        <v>91</v>
      </c>
      <c r="BU993" t="s">
        <v>91</v>
      </c>
      <c r="BV993">
        <v>9</v>
      </c>
      <c r="BW993" s="1" t="s">
        <v>1171</v>
      </c>
    </row>
    <row r="994" spans="1:75" hidden="1" x14ac:dyDescent="0.35">
      <c r="A994">
        <v>134287</v>
      </c>
      <c r="B994" s="1" t="s">
        <v>75</v>
      </c>
      <c r="C994">
        <v>80</v>
      </c>
      <c r="D994">
        <v>11121002</v>
      </c>
      <c r="E994">
        <v>121002</v>
      </c>
      <c r="F994" s="1" t="s">
        <v>2915</v>
      </c>
      <c r="G994" s="1" t="s">
        <v>5565</v>
      </c>
      <c r="I994" s="1" t="s">
        <v>78</v>
      </c>
      <c r="J994" s="1" t="s">
        <v>5566</v>
      </c>
      <c r="K994" s="1" t="s">
        <v>5567</v>
      </c>
      <c r="L994" t="s">
        <v>91</v>
      </c>
      <c r="M994" t="s">
        <v>91</v>
      </c>
      <c r="N994" s="1" t="s">
        <v>5568</v>
      </c>
      <c r="O994" t="s">
        <v>91</v>
      </c>
      <c r="P994" s="1" t="s">
        <v>5569</v>
      </c>
      <c r="Q994" s="1" t="s">
        <v>1324</v>
      </c>
      <c r="R994" s="1" t="s">
        <v>4088</v>
      </c>
      <c r="S994">
        <v>1254</v>
      </c>
      <c r="T994">
        <v>88010001</v>
      </c>
      <c r="U994" s="1" t="s">
        <v>108</v>
      </c>
      <c r="V994" s="1" t="s">
        <v>3102</v>
      </c>
      <c r="W994" s="1" t="s">
        <v>87</v>
      </c>
      <c r="X994">
        <v>48</v>
      </c>
      <c r="Y994">
        <v>30248320</v>
      </c>
      <c r="Z994" t="s">
        <v>91</v>
      </c>
      <c r="AA994" t="s">
        <v>91</v>
      </c>
      <c r="AB994" t="s">
        <v>91</v>
      </c>
      <c r="AC994" t="s">
        <v>91</v>
      </c>
      <c r="AD994" t="s">
        <v>91</v>
      </c>
      <c r="AE994" t="s">
        <v>91</v>
      </c>
      <c r="AF994" t="s">
        <v>91</v>
      </c>
      <c r="AG994" s="1" t="s">
        <v>146</v>
      </c>
      <c r="AH994" s="1" t="s">
        <v>91</v>
      </c>
      <c r="AI994" t="s">
        <v>91</v>
      </c>
      <c r="AJ994">
        <v>0</v>
      </c>
      <c r="AK994">
        <v>0</v>
      </c>
      <c r="AL994">
        <v>0</v>
      </c>
      <c r="AM994" t="s">
        <v>91</v>
      </c>
      <c r="AN994" t="s">
        <v>91</v>
      </c>
      <c r="AO994" t="s">
        <v>91</v>
      </c>
      <c r="AP994" t="s">
        <v>91</v>
      </c>
      <c r="AQ994" s="1" t="s">
        <v>147</v>
      </c>
      <c r="AR994" s="1" t="s">
        <v>147</v>
      </c>
      <c r="AS994" s="1" t="s">
        <v>147</v>
      </c>
      <c r="AT994" s="1" t="s">
        <v>147</v>
      </c>
      <c r="AU994" s="1" t="s">
        <v>147</v>
      </c>
      <c r="AV994" t="s">
        <v>91</v>
      </c>
      <c r="AW994" t="s">
        <v>91</v>
      </c>
      <c r="AX994" t="s">
        <v>91</v>
      </c>
      <c r="AY994" t="s">
        <v>91</v>
      </c>
      <c r="AZ994" t="s">
        <v>91</v>
      </c>
      <c r="BA994" t="s">
        <v>91</v>
      </c>
      <c r="BB994" s="2"/>
      <c r="BC994" s="2">
        <v>44659.661793981482</v>
      </c>
      <c r="BD994" t="s">
        <v>91</v>
      </c>
      <c r="BF994" s="1" t="s">
        <v>75</v>
      </c>
      <c r="BG994">
        <v>0</v>
      </c>
      <c r="BH994">
        <v>0</v>
      </c>
      <c r="BI994" s="1" t="s">
        <v>88</v>
      </c>
      <c r="BJ994">
        <v>1</v>
      </c>
      <c r="BK994" s="1" t="s">
        <v>89</v>
      </c>
      <c r="BL994" t="s">
        <v>91</v>
      </c>
      <c r="BM994" s="1" t="s">
        <v>164</v>
      </c>
      <c r="BN994" s="1" t="s">
        <v>110</v>
      </c>
      <c r="BO994" s="1" t="s">
        <v>165</v>
      </c>
      <c r="BP994" s="1" t="s">
        <v>91</v>
      </c>
      <c r="BQ994" t="s">
        <v>91</v>
      </c>
      <c r="BR994" s="3"/>
      <c r="BS994" s="3">
        <v>44659</v>
      </c>
      <c r="BT994" t="s">
        <v>91</v>
      </c>
      <c r="BU994" t="s">
        <v>91</v>
      </c>
      <c r="BV994">
        <v>1</v>
      </c>
      <c r="BW994" s="1" t="s">
        <v>120</v>
      </c>
    </row>
    <row r="995" spans="1:75" hidden="1" x14ac:dyDescent="0.35">
      <c r="A995">
        <v>144336</v>
      </c>
      <c r="B995" s="1" t="s">
        <v>75</v>
      </c>
      <c r="C995">
        <v>80</v>
      </c>
      <c r="D995">
        <v>11121002</v>
      </c>
      <c r="E995">
        <v>121002</v>
      </c>
      <c r="F995" s="1" t="s">
        <v>2915</v>
      </c>
      <c r="G995" s="1" t="s">
        <v>5570</v>
      </c>
      <c r="I995" s="1" t="s">
        <v>78</v>
      </c>
      <c r="J995" s="1" t="s">
        <v>5571</v>
      </c>
      <c r="K995" s="1" t="s">
        <v>5572</v>
      </c>
      <c r="L995" t="s">
        <v>91</v>
      </c>
      <c r="M995" t="s">
        <v>91</v>
      </c>
      <c r="N995" s="1" t="s">
        <v>5573</v>
      </c>
      <c r="O995" t="s">
        <v>91</v>
      </c>
      <c r="P995" s="1" t="s">
        <v>5574</v>
      </c>
      <c r="Q995" s="1" t="s">
        <v>5019</v>
      </c>
      <c r="R995" s="1" t="s">
        <v>370</v>
      </c>
      <c r="S995">
        <v>1268</v>
      </c>
      <c r="T995">
        <v>88780000</v>
      </c>
      <c r="U995" s="1" t="s">
        <v>108</v>
      </c>
      <c r="V995" s="1" t="s">
        <v>2929</v>
      </c>
      <c r="W995" s="1" t="s">
        <v>87</v>
      </c>
      <c r="X995">
        <v>48</v>
      </c>
      <c r="Y995">
        <v>32551803</v>
      </c>
      <c r="Z995" t="s">
        <v>91</v>
      </c>
      <c r="AA995" t="s">
        <v>91</v>
      </c>
      <c r="AB995" t="s">
        <v>91</v>
      </c>
      <c r="AC995" t="s">
        <v>91</v>
      </c>
      <c r="AD995" t="s">
        <v>91</v>
      </c>
      <c r="AE995" t="s">
        <v>91</v>
      </c>
      <c r="AF995" t="s">
        <v>91</v>
      </c>
      <c r="AG995" s="1" t="s">
        <v>91</v>
      </c>
      <c r="AH995" s="1" t="s">
        <v>91</v>
      </c>
      <c r="AI995" t="s">
        <v>91</v>
      </c>
      <c r="AJ995">
        <v>0</v>
      </c>
      <c r="AK995">
        <v>0</v>
      </c>
      <c r="AL995">
        <v>0</v>
      </c>
      <c r="AM995" t="s">
        <v>91</v>
      </c>
      <c r="AN995" t="s">
        <v>91</v>
      </c>
      <c r="AO995" t="s">
        <v>91</v>
      </c>
      <c r="AP995" t="s">
        <v>91</v>
      </c>
      <c r="AQ995" s="1" t="s">
        <v>91</v>
      </c>
      <c r="AR995" s="1" t="s">
        <v>91</v>
      </c>
      <c r="AS995" s="1" t="s">
        <v>91</v>
      </c>
      <c r="AT995" s="1" t="s">
        <v>91</v>
      </c>
      <c r="AU995" s="1" t="s">
        <v>91</v>
      </c>
      <c r="AV995" t="s">
        <v>91</v>
      </c>
      <c r="AW995" t="s">
        <v>91</v>
      </c>
      <c r="AX995" t="s">
        <v>91</v>
      </c>
      <c r="AY995" t="s">
        <v>91</v>
      </c>
      <c r="AZ995" t="s">
        <v>91</v>
      </c>
      <c r="BA995" t="s">
        <v>91</v>
      </c>
      <c r="BB995" s="2"/>
      <c r="BC995" s="2"/>
      <c r="BD995" t="s">
        <v>91</v>
      </c>
      <c r="BF995" s="1" t="s">
        <v>75</v>
      </c>
      <c r="BG995">
        <v>0</v>
      </c>
      <c r="BH995">
        <v>0</v>
      </c>
      <c r="BI995" s="1" t="s">
        <v>88</v>
      </c>
      <c r="BJ995">
        <v>1</v>
      </c>
      <c r="BK995" s="1" t="s">
        <v>89</v>
      </c>
      <c r="BL995" t="s">
        <v>91</v>
      </c>
      <c r="BM995" s="1" t="s">
        <v>639</v>
      </c>
      <c r="BN995" s="1" t="s">
        <v>110</v>
      </c>
      <c r="BO995" s="1" t="s">
        <v>165</v>
      </c>
      <c r="BP995" s="1" t="s">
        <v>91</v>
      </c>
      <c r="BQ995" t="s">
        <v>91</v>
      </c>
      <c r="BR995" s="3"/>
      <c r="BS995" s="3"/>
      <c r="BT995" t="s">
        <v>91</v>
      </c>
      <c r="BU995" t="s">
        <v>91</v>
      </c>
      <c r="BV995">
        <v>1</v>
      </c>
      <c r="BW995" s="1" t="s">
        <v>1077</v>
      </c>
    </row>
    <row r="996" spans="1:75" hidden="1" x14ac:dyDescent="0.35">
      <c r="A996">
        <v>134509</v>
      </c>
      <c r="B996" s="1" t="s">
        <v>75</v>
      </c>
      <c r="C996">
        <v>80</v>
      </c>
      <c r="D996">
        <v>11121002</v>
      </c>
      <c r="E996">
        <v>121002</v>
      </c>
      <c r="F996" s="1" t="s">
        <v>2915</v>
      </c>
      <c r="G996" s="1" t="s">
        <v>5575</v>
      </c>
      <c r="I996" s="1" t="s">
        <v>78</v>
      </c>
      <c r="J996" s="1" t="s">
        <v>5576</v>
      </c>
      <c r="K996" s="1" t="s">
        <v>5577</v>
      </c>
      <c r="L996" t="s">
        <v>91</v>
      </c>
      <c r="M996" t="s">
        <v>91</v>
      </c>
      <c r="N996" s="1" t="s">
        <v>5578</v>
      </c>
      <c r="O996" t="s">
        <v>91</v>
      </c>
      <c r="P996" s="1" t="s">
        <v>438</v>
      </c>
      <c r="Q996" s="1" t="s">
        <v>4259</v>
      </c>
      <c r="R996" s="1" t="s">
        <v>820</v>
      </c>
      <c r="S996">
        <v>1266</v>
      </c>
      <c r="T996">
        <v>88501000</v>
      </c>
      <c r="U996" s="1" t="s">
        <v>108</v>
      </c>
      <c r="V996" s="1" t="s">
        <v>3335</v>
      </c>
      <c r="W996" s="1" t="s">
        <v>87</v>
      </c>
      <c r="X996">
        <v>49</v>
      </c>
      <c r="Y996">
        <v>30455818</v>
      </c>
      <c r="Z996" t="s">
        <v>91</v>
      </c>
      <c r="AA996" t="s">
        <v>91</v>
      </c>
      <c r="AB996" t="s">
        <v>91</v>
      </c>
      <c r="AC996" t="s">
        <v>91</v>
      </c>
      <c r="AD996" t="s">
        <v>91</v>
      </c>
      <c r="AE996" t="s">
        <v>91</v>
      </c>
      <c r="AF996" t="s">
        <v>91</v>
      </c>
      <c r="AG996" s="1" t="s">
        <v>91</v>
      </c>
      <c r="AH996" s="1" t="s">
        <v>91</v>
      </c>
      <c r="AI996" t="s">
        <v>91</v>
      </c>
      <c r="AM996" t="s">
        <v>91</v>
      </c>
      <c r="AN996" t="s">
        <v>91</v>
      </c>
      <c r="AO996" t="s">
        <v>91</v>
      </c>
      <c r="AP996" t="s">
        <v>91</v>
      </c>
      <c r="AQ996" s="1" t="s">
        <v>91</v>
      </c>
      <c r="AR996" s="1" t="s">
        <v>91</v>
      </c>
      <c r="AS996" s="1" t="s">
        <v>91</v>
      </c>
      <c r="AT996" s="1" t="s">
        <v>91</v>
      </c>
      <c r="AU996" s="1" t="s">
        <v>91</v>
      </c>
      <c r="AV996" t="s">
        <v>91</v>
      </c>
      <c r="AW996" t="s">
        <v>91</v>
      </c>
      <c r="AX996" t="s">
        <v>91</v>
      </c>
      <c r="AY996" t="s">
        <v>91</v>
      </c>
      <c r="AZ996" t="s">
        <v>91</v>
      </c>
      <c r="BA996" t="s">
        <v>91</v>
      </c>
      <c r="BB996" s="2"/>
      <c r="BC996" s="2"/>
      <c r="BD996" t="s">
        <v>91</v>
      </c>
      <c r="BF996" s="1" t="s">
        <v>75</v>
      </c>
      <c r="BI996" s="1" t="s">
        <v>88</v>
      </c>
      <c r="BJ996">
        <v>1</v>
      </c>
      <c r="BK996" s="1" t="s">
        <v>89</v>
      </c>
      <c r="BL996" t="s">
        <v>91</v>
      </c>
      <c r="BM996" s="1" t="s">
        <v>109</v>
      </c>
      <c r="BN996" s="1" t="s">
        <v>110</v>
      </c>
      <c r="BO996" s="1" t="s">
        <v>128</v>
      </c>
      <c r="BP996" s="1" t="s">
        <v>91</v>
      </c>
      <c r="BQ996" t="s">
        <v>91</v>
      </c>
      <c r="BR996" s="3"/>
      <c r="BS996" s="3"/>
      <c r="BT996" t="s">
        <v>91</v>
      </c>
      <c r="BU996" t="s">
        <v>91</v>
      </c>
      <c r="BV996">
        <v>4</v>
      </c>
      <c r="BW996" s="1" t="s">
        <v>90</v>
      </c>
    </row>
    <row r="997" spans="1:75" hidden="1" x14ac:dyDescent="0.35">
      <c r="A997">
        <v>157658</v>
      </c>
      <c r="B997" s="1" t="s">
        <v>75</v>
      </c>
      <c r="C997">
        <v>80</v>
      </c>
      <c r="D997">
        <v>11121002</v>
      </c>
      <c r="E997">
        <v>121002</v>
      </c>
      <c r="F997" s="1" t="s">
        <v>2915</v>
      </c>
      <c r="G997" s="1" t="s">
        <v>5579</v>
      </c>
      <c r="H997">
        <v>0</v>
      </c>
      <c r="I997" s="1" t="s">
        <v>78</v>
      </c>
      <c r="J997" s="1" t="s">
        <v>5580</v>
      </c>
      <c r="K997" s="1" t="s">
        <v>5581</v>
      </c>
      <c r="L997" t="s">
        <v>91</v>
      </c>
      <c r="M997" t="s">
        <v>91</v>
      </c>
      <c r="N997" s="1" t="s">
        <v>5582</v>
      </c>
      <c r="O997" t="s">
        <v>91</v>
      </c>
      <c r="P997" s="1" t="s">
        <v>4913</v>
      </c>
      <c r="Q997" s="1" t="s">
        <v>2970</v>
      </c>
      <c r="R997" s="1" t="s">
        <v>91</v>
      </c>
      <c r="S997">
        <v>1268</v>
      </c>
      <c r="T997">
        <v>88790000</v>
      </c>
      <c r="U997" s="1" t="s">
        <v>108</v>
      </c>
      <c r="V997" s="1" t="s">
        <v>2971</v>
      </c>
      <c r="W997" s="1" t="s">
        <v>87</v>
      </c>
      <c r="X997">
        <v>48</v>
      </c>
      <c r="Y997">
        <v>34370449</v>
      </c>
      <c r="Z997" t="s">
        <v>91</v>
      </c>
      <c r="AA997" t="s">
        <v>91</v>
      </c>
      <c r="AB997" t="s">
        <v>91</v>
      </c>
      <c r="AC997" t="s">
        <v>91</v>
      </c>
      <c r="AD997" t="s">
        <v>91</v>
      </c>
      <c r="AE997" t="s">
        <v>91</v>
      </c>
      <c r="AF997" t="s">
        <v>91</v>
      </c>
      <c r="AG997" s="1" t="s">
        <v>91</v>
      </c>
      <c r="AH997" s="1" t="s">
        <v>91</v>
      </c>
      <c r="AI997" t="s">
        <v>91</v>
      </c>
      <c r="AM997" t="s">
        <v>91</v>
      </c>
      <c r="AN997" t="s">
        <v>91</v>
      </c>
      <c r="AO997" t="s">
        <v>91</v>
      </c>
      <c r="AP997" t="s">
        <v>91</v>
      </c>
      <c r="AQ997" s="1" t="s">
        <v>91</v>
      </c>
      <c r="AR997" s="1" t="s">
        <v>91</v>
      </c>
      <c r="AS997" s="1" t="s">
        <v>91</v>
      </c>
      <c r="AT997" s="1" t="s">
        <v>91</v>
      </c>
      <c r="AU997" s="1" t="s">
        <v>91</v>
      </c>
      <c r="AV997" t="s">
        <v>91</v>
      </c>
      <c r="AW997" t="s">
        <v>91</v>
      </c>
      <c r="AX997" t="s">
        <v>91</v>
      </c>
      <c r="AY997" t="s">
        <v>91</v>
      </c>
      <c r="AZ997" t="s">
        <v>91</v>
      </c>
      <c r="BA997" t="s">
        <v>91</v>
      </c>
      <c r="BB997" s="2">
        <v>45118.097175925926</v>
      </c>
      <c r="BC997" s="2"/>
      <c r="BD997" t="s">
        <v>91</v>
      </c>
      <c r="BF997" s="1" t="s">
        <v>75</v>
      </c>
      <c r="BI997" s="1" t="s">
        <v>88</v>
      </c>
      <c r="BJ997">
        <v>1</v>
      </c>
      <c r="BK997" s="1" t="s">
        <v>89</v>
      </c>
      <c r="BL997" t="s">
        <v>91</v>
      </c>
      <c r="BM997" s="1" t="s">
        <v>91</v>
      </c>
      <c r="BN997" s="1" t="s">
        <v>91</v>
      </c>
      <c r="BO997" s="1" t="s">
        <v>91</v>
      </c>
      <c r="BP997" s="1" t="s">
        <v>91</v>
      </c>
      <c r="BQ997" t="s">
        <v>91</v>
      </c>
      <c r="BR997" s="3">
        <v>45118</v>
      </c>
      <c r="BS997" s="3"/>
      <c r="BT997" t="s">
        <v>91</v>
      </c>
      <c r="BU997" t="s">
        <v>91</v>
      </c>
      <c r="BW997" s="1" t="s">
        <v>90</v>
      </c>
    </row>
    <row r="998" spans="1:75" hidden="1" x14ac:dyDescent="0.35">
      <c r="A998">
        <v>134300</v>
      </c>
      <c r="B998" s="1" t="s">
        <v>75</v>
      </c>
      <c r="C998">
        <v>80</v>
      </c>
      <c r="D998">
        <v>11121002</v>
      </c>
      <c r="E998">
        <v>121002</v>
      </c>
      <c r="F998" s="1" t="s">
        <v>2915</v>
      </c>
      <c r="G998" s="1" t="s">
        <v>5583</v>
      </c>
      <c r="I998" s="1" t="s">
        <v>78</v>
      </c>
      <c r="J998" s="1" t="s">
        <v>5584</v>
      </c>
      <c r="K998" s="1" t="s">
        <v>5585</v>
      </c>
      <c r="L998" t="s">
        <v>91</v>
      </c>
      <c r="M998" t="s">
        <v>91</v>
      </c>
      <c r="N998" s="1" t="s">
        <v>5578</v>
      </c>
      <c r="O998" t="s">
        <v>91</v>
      </c>
      <c r="P998" s="1" t="s">
        <v>5211</v>
      </c>
      <c r="Q998" s="1" t="s">
        <v>657</v>
      </c>
      <c r="R998" s="1" t="s">
        <v>91</v>
      </c>
      <c r="S998">
        <v>1266</v>
      </c>
      <c r="T998">
        <v>88502000</v>
      </c>
      <c r="U998" s="1" t="s">
        <v>108</v>
      </c>
      <c r="V998" s="1" t="s">
        <v>3335</v>
      </c>
      <c r="W998" s="1" t="s">
        <v>87</v>
      </c>
      <c r="X998">
        <v>49</v>
      </c>
      <c r="Y998">
        <v>32291322</v>
      </c>
      <c r="Z998" t="s">
        <v>91</v>
      </c>
      <c r="AA998" t="s">
        <v>91</v>
      </c>
      <c r="AB998" t="s">
        <v>91</v>
      </c>
      <c r="AC998" t="s">
        <v>91</v>
      </c>
      <c r="AD998" t="s">
        <v>91</v>
      </c>
      <c r="AE998" t="s">
        <v>91</v>
      </c>
      <c r="AF998" t="s">
        <v>91</v>
      </c>
      <c r="AG998" s="1" t="s">
        <v>91</v>
      </c>
      <c r="AH998" s="1" t="s">
        <v>91</v>
      </c>
      <c r="AI998" t="s">
        <v>91</v>
      </c>
      <c r="AJ998">
        <v>0</v>
      </c>
      <c r="AK998">
        <v>0</v>
      </c>
      <c r="AL998">
        <v>0</v>
      </c>
      <c r="AM998" t="s">
        <v>91</v>
      </c>
      <c r="AN998" t="s">
        <v>91</v>
      </c>
      <c r="AO998" t="s">
        <v>91</v>
      </c>
      <c r="AP998" t="s">
        <v>91</v>
      </c>
      <c r="AQ998" s="1" t="s">
        <v>91</v>
      </c>
      <c r="AR998" s="1" t="s">
        <v>91</v>
      </c>
      <c r="AS998" s="1" t="s">
        <v>91</v>
      </c>
      <c r="AT998" s="1" t="s">
        <v>91</v>
      </c>
      <c r="AU998" s="1" t="s">
        <v>91</v>
      </c>
      <c r="AV998" t="s">
        <v>91</v>
      </c>
      <c r="AW998" t="s">
        <v>91</v>
      </c>
      <c r="AX998" t="s">
        <v>91</v>
      </c>
      <c r="AY998" t="s">
        <v>91</v>
      </c>
      <c r="AZ998" t="s">
        <v>91</v>
      </c>
      <c r="BA998" t="s">
        <v>91</v>
      </c>
      <c r="BB998" s="2"/>
      <c r="BC998" s="2"/>
      <c r="BD998" t="s">
        <v>91</v>
      </c>
      <c r="BF998" s="1" t="s">
        <v>75</v>
      </c>
      <c r="BG998">
        <v>0</v>
      </c>
      <c r="BH998">
        <v>0</v>
      </c>
      <c r="BI998" s="1" t="s">
        <v>88</v>
      </c>
      <c r="BJ998">
        <v>1</v>
      </c>
      <c r="BK998" s="1" t="s">
        <v>89</v>
      </c>
      <c r="BL998" t="s">
        <v>91</v>
      </c>
      <c r="BM998" s="1" t="s">
        <v>109</v>
      </c>
      <c r="BN998" s="1" t="s">
        <v>110</v>
      </c>
      <c r="BO998" s="1" t="s">
        <v>180</v>
      </c>
      <c r="BP998" s="1" t="s">
        <v>91</v>
      </c>
      <c r="BQ998" t="s">
        <v>91</v>
      </c>
      <c r="BR998" s="3"/>
      <c r="BS998" s="3"/>
      <c r="BT998" t="s">
        <v>91</v>
      </c>
      <c r="BU998" t="s">
        <v>91</v>
      </c>
      <c r="BV998">
        <v>8</v>
      </c>
      <c r="BW998" s="1" t="s">
        <v>90</v>
      </c>
    </row>
    <row r="999" spans="1:75" hidden="1" x14ac:dyDescent="0.35">
      <c r="A999">
        <v>158696</v>
      </c>
      <c r="B999" s="1" t="s">
        <v>75</v>
      </c>
      <c r="C999">
        <v>80</v>
      </c>
      <c r="D999">
        <v>11121002</v>
      </c>
      <c r="E999">
        <v>121002</v>
      </c>
      <c r="F999" s="1" t="s">
        <v>2915</v>
      </c>
      <c r="G999" s="1" t="s">
        <v>5586</v>
      </c>
      <c r="I999" s="1" t="s">
        <v>78</v>
      </c>
      <c r="J999" s="1" t="s">
        <v>5587</v>
      </c>
      <c r="K999" s="1" t="s">
        <v>5588</v>
      </c>
      <c r="L999" t="s">
        <v>91</v>
      </c>
      <c r="M999" t="s">
        <v>91</v>
      </c>
      <c r="N999" s="1" t="s">
        <v>5589</v>
      </c>
      <c r="O999" t="s">
        <v>91</v>
      </c>
      <c r="P999" s="1" t="s">
        <v>5590</v>
      </c>
      <c r="Q999" s="1" t="s">
        <v>5591</v>
      </c>
      <c r="R999" s="1" t="s">
        <v>5592</v>
      </c>
      <c r="S999">
        <v>1259</v>
      </c>
      <c r="T999">
        <v>88160130</v>
      </c>
      <c r="U999" s="1" t="s">
        <v>108</v>
      </c>
      <c r="V999" s="1" t="s">
        <v>3293</v>
      </c>
      <c r="W999" s="1" t="s">
        <v>87</v>
      </c>
      <c r="X999">
        <v>48</v>
      </c>
      <c r="Y999">
        <v>20123430</v>
      </c>
      <c r="Z999" t="s">
        <v>91</v>
      </c>
      <c r="AA999" t="s">
        <v>91</v>
      </c>
      <c r="AB999" t="s">
        <v>91</v>
      </c>
      <c r="AC999" t="s">
        <v>91</v>
      </c>
      <c r="AD999" t="s">
        <v>91</v>
      </c>
      <c r="AE999" t="s">
        <v>91</v>
      </c>
      <c r="AF999" t="s">
        <v>91</v>
      </c>
      <c r="AG999" s="1" t="s">
        <v>91</v>
      </c>
      <c r="AH999" s="1" t="s">
        <v>91</v>
      </c>
      <c r="AI999" t="s">
        <v>91</v>
      </c>
      <c r="AM999" t="s">
        <v>91</v>
      </c>
      <c r="AN999" t="s">
        <v>91</v>
      </c>
      <c r="AO999" t="s">
        <v>91</v>
      </c>
      <c r="AP999" t="s">
        <v>91</v>
      </c>
      <c r="AQ999" s="1" t="s">
        <v>91</v>
      </c>
      <c r="AR999" s="1" t="s">
        <v>91</v>
      </c>
      <c r="AS999" s="1" t="s">
        <v>91</v>
      </c>
      <c r="AT999" s="1" t="s">
        <v>91</v>
      </c>
      <c r="AU999" s="1" t="s">
        <v>91</v>
      </c>
      <c r="AV999" t="s">
        <v>91</v>
      </c>
      <c r="AW999" t="s">
        <v>91</v>
      </c>
      <c r="AX999" t="s">
        <v>91</v>
      </c>
      <c r="AY999" t="s">
        <v>91</v>
      </c>
      <c r="AZ999" t="s">
        <v>91</v>
      </c>
      <c r="BA999" t="s">
        <v>91</v>
      </c>
      <c r="BB999" s="2">
        <v>45155.700069444443</v>
      </c>
      <c r="BC999" s="2"/>
      <c r="BD999" t="s">
        <v>91</v>
      </c>
      <c r="BF999" s="1" t="s">
        <v>75</v>
      </c>
      <c r="BI999" s="1" t="s">
        <v>88</v>
      </c>
      <c r="BJ999">
        <v>1</v>
      </c>
      <c r="BK999" s="1" t="s">
        <v>89</v>
      </c>
      <c r="BL999" t="s">
        <v>91</v>
      </c>
      <c r="BM999" s="1" t="s">
        <v>91</v>
      </c>
      <c r="BN999" s="1" t="s">
        <v>91</v>
      </c>
      <c r="BO999" s="1" t="s">
        <v>91</v>
      </c>
      <c r="BP999" s="1" t="s">
        <v>91</v>
      </c>
      <c r="BQ999" t="s">
        <v>91</v>
      </c>
      <c r="BR999" s="3">
        <v>45155</v>
      </c>
      <c r="BS999" s="3"/>
      <c r="BT999" t="s">
        <v>91</v>
      </c>
      <c r="BU999" t="s">
        <v>91</v>
      </c>
      <c r="BW999" s="1" t="s">
        <v>90</v>
      </c>
    </row>
    <row r="1000" spans="1:75" hidden="1" x14ac:dyDescent="0.35">
      <c r="A1000">
        <v>152752</v>
      </c>
      <c r="B1000" s="1" t="s">
        <v>75</v>
      </c>
      <c r="C1000">
        <v>80</v>
      </c>
      <c r="D1000">
        <v>11121002</v>
      </c>
      <c r="E1000">
        <v>121002</v>
      </c>
      <c r="F1000" s="1" t="s">
        <v>2915</v>
      </c>
      <c r="G1000" s="1" t="s">
        <v>5593</v>
      </c>
      <c r="H1000">
        <v>0</v>
      </c>
      <c r="I1000" s="1" t="s">
        <v>78</v>
      </c>
      <c r="J1000" s="1" t="s">
        <v>5594</v>
      </c>
      <c r="K1000" s="1" t="s">
        <v>5595</v>
      </c>
      <c r="L1000" t="s">
        <v>91</v>
      </c>
      <c r="M1000" t="s">
        <v>91</v>
      </c>
      <c r="N1000" s="1" t="s">
        <v>5596</v>
      </c>
      <c r="O1000" t="s">
        <v>91</v>
      </c>
      <c r="P1000" s="1" t="s">
        <v>5597</v>
      </c>
      <c r="Q1000" s="1" t="s">
        <v>211</v>
      </c>
      <c r="R1000" s="1" t="s">
        <v>5598</v>
      </c>
      <c r="S1000">
        <v>1259</v>
      </c>
      <c r="T1000">
        <v>88101300</v>
      </c>
      <c r="U1000" s="1" t="s">
        <v>4027</v>
      </c>
      <c r="V1000" s="1" t="s">
        <v>2958</v>
      </c>
      <c r="W1000" s="1" t="s">
        <v>87</v>
      </c>
      <c r="Z1000" t="s">
        <v>91</v>
      </c>
      <c r="AA1000" t="s">
        <v>91</v>
      </c>
      <c r="AB1000" t="s">
        <v>91</v>
      </c>
      <c r="AC1000" t="s">
        <v>91</v>
      </c>
      <c r="AD1000" t="s">
        <v>91</v>
      </c>
      <c r="AE1000" t="s">
        <v>91</v>
      </c>
      <c r="AF1000" t="s">
        <v>91</v>
      </c>
      <c r="AG1000" s="1" t="s">
        <v>91</v>
      </c>
      <c r="AH1000" s="1" t="s">
        <v>91</v>
      </c>
      <c r="AI1000" t="s">
        <v>91</v>
      </c>
      <c r="AM1000" t="s">
        <v>91</v>
      </c>
      <c r="AN1000" t="s">
        <v>91</v>
      </c>
      <c r="AO1000" t="s">
        <v>91</v>
      </c>
      <c r="AP1000" t="s">
        <v>91</v>
      </c>
      <c r="AQ1000" s="1" t="s">
        <v>91</v>
      </c>
      <c r="AR1000" s="1" t="s">
        <v>91</v>
      </c>
      <c r="AS1000" s="1" t="s">
        <v>91</v>
      </c>
      <c r="AT1000" s="1" t="s">
        <v>91</v>
      </c>
      <c r="AU1000" s="1" t="s">
        <v>91</v>
      </c>
      <c r="AV1000" t="s">
        <v>91</v>
      </c>
      <c r="AW1000" t="s">
        <v>91</v>
      </c>
      <c r="AX1000" t="s">
        <v>91</v>
      </c>
      <c r="AY1000" t="s">
        <v>91</v>
      </c>
      <c r="AZ1000" t="s">
        <v>91</v>
      </c>
      <c r="BA1000" t="s">
        <v>91</v>
      </c>
      <c r="BB1000" s="2">
        <v>45019.565613425926</v>
      </c>
      <c r="BC1000" s="2"/>
      <c r="BD1000" t="s">
        <v>91</v>
      </c>
      <c r="BF1000" s="1" t="s">
        <v>75</v>
      </c>
      <c r="BI1000" s="1" t="s">
        <v>88</v>
      </c>
      <c r="BJ1000">
        <v>1</v>
      </c>
      <c r="BK1000" s="1" t="s">
        <v>89</v>
      </c>
      <c r="BL1000" t="s">
        <v>91</v>
      </c>
      <c r="BM1000" s="1" t="s">
        <v>91</v>
      </c>
      <c r="BN1000" s="1" t="s">
        <v>91</v>
      </c>
      <c r="BO1000" s="1" t="s">
        <v>91</v>
      </c>
      <c r="BP1000" s="1" t="s">
        <v>91</v>
      </c>
      <c r="BQ1000" t="s">
        <v>91</v>
      </c>
      <c r="BR1000" s="3">
        <v>45019</v>
      </c>
      <c r="BS1000" s="3"/>
      <c r="BT1000" t="s">
        <v>91</v>
      </c>
      <c r="BU1000" t="s">
        <v>91</v>
      </c>
      <c r="BW1000" s="1" t="s">
        <v>90</v>
      </c>
    </row>
    <row r="1001" spans="1:75" hidden="1" x14ac:dyDescent="0.35">
      <c r="A1001">
        <v>134316</v>
      </c>
      <c r="B1001" s="1" t="s">
        <v>75</v>
      </c>
      <c r="C1001">
        <v>80</v>
      </c>
      <c r="D1001">
        <v>11121002</v>
      </c>
      <c r="E1001">
        <v>121002</v>
      </c>
      <c r="F1001" s="1" t="s">
        <v>2915</v>
      </c>
      <c r="G1001" s="1" t="s">
        <v>5599</v>
      </c>
      <c r="I1001" s="1" t="s">
        <v>78</v>
      </c>
      <c r="J1001" s="1" t="s">
        <v>5600</v>
      </c>
      <c r="K1001" s="1" t="s">
        <v>5601</v>
      </c>
      <c r="L1001" t="s">
        <v>91</v>
      </c>
      <c r="M1001" t="s">
        <v>91</v>
      </c>
      <c r="N1001" s="1" t="s">
        <v>5602</v>
      </c>
      <c r="O1001" t="s">
        <v>91</v>
      </c>
      <c r="P1001" s="1" t="s">
        <v>5603</v>
      </c>
      <c r="Q1001" s="1" t="s">
        <v>1156</v>
      </c>
      <c r="R1001" s="1" t="s">
        <v>173</v>
      </c>
      <c r="S1001">
        <v>1259</v>
      </c>
      <c r="T1001">
        <v>88130220</v>
      </c>
      <c r="U1001" s="1" t="s">
        <v>2951</v>
      </c>
      <c r="V1001" s="1" t="s">
        <v>3165</v>
      </c>
      <c r="W1001" s="1" t="s">
        <v>87</v>
      </c>
      <c r="X1001">
        <v>48</v>
      </c>
      <c r="Y1001">
        <v>32865110</v>
      </c>
      <c r="Z1001" t="s">
        <v>91</v>
      </c>
      <c r="AA1001" t="s">
        <v>91</v>
      </c>
      <c r="AB1001" t="s">
        <v>91</v>
      </c>
      <c r="AC1001" t="s">
        <v>91</v>
      </c>
      <c r="AD1001" t="s">
        <v>91</v>
      </c>
      <c r="AE1001" t="s">
        <v>91</v>
      </c>
      <c r="AF1001" t="s">
        <v>91</v>
      </c>
      <c r="AG1001" s="1" t="s">
        <v>146</v>
      </c>
      <c r="AH1001" s="1" t="s">
        <v>91</v>
      </c>
      <c r="AI1001" t="s">
        <v>91</v>
      </c>
      <c r="AJ1001">
        <v>0</v>
      </c>
      <c r="AK1001">
        <v>0</v>
      </c>
      <c r="AL1001">
        <v>0</v>
      </c>
      <c r="AM1001" t="s">
        <v>91</v>
      </c>
      <c r="AN1001" t="s">
        <v>91</v>
      </c>
      <c r="AO1001" t="s">
        <v>91</v>
      </c>
      <c r="AP1001" t="s">
        <v>91</v>
      </c>
      <c r="AQ1001" s="1" t="s">
        <v>147</v>
      </c>
      <c r="AR1001" s="1" t="s">
        <v>147</v>
      </c>
      <c r="AS1001" s="1" t="s">
        <v>147</v>
      </c>
      <c r="AT1001" s="1" t="s">
        <v>147</v>
      </c>
      <c r="AU1001" s="1" t="s">
        <v>147</v>
      </c>
      <c r="AV1001" t="s">
        <v>91</v>
      </c>
      <c r="AW1001" t="s">
        <v>91</v>
      </c>
      <c r="AX1001" t="s">
        <v>91</v>
      </c>
      <c r="AY1001" t="s">
        <v>91</v>
      </c>
      <c r="AZ1001" t="s">
        <v>91</v>
      </c>
      <c r="BA1001" t="s">
        <v>91</v>
      </c>
      <c r="BB1001" s="2"/>
      <c r="BC1001" s="2">
        <v>44559.631574074076</v>
      </c>
      <c r="BD1001" t="s">
        <v>91</v>
      </c>
      <c r="BF1001" s="1" t="s">
        <v>75</v>
      </c>
      <c r="BG1001">
        <v>0</v>
      </c>
      <c r="BH1001">
        <v>0</v>
      </c>
      <c r="BI1001" s="1" t="s">
        <v>88</v>
      </c>
      <c r="BJ1001">
        <v>1</v>
      </c>
      <c r="BK1001" s="1" t="s">
        <v>89</v>
      </c>
      <c r="BL1001" t="s">
        <v>91</v>
      </c>
      <c r="BM1001" s="1" t="s">
        <v>109</v>
      </c>
      <c r="BN1001" s="1" t="s">
        <v>110</v>
      </c>
      <c r="BO1001" s="1" t="s">
        <v>128</v>
      </c>
      <c r="BP1001" s="1" t="s">
        <v>91</v>
      </c>
      <c r="BQ1001" t="s">
        <v>91</v>
      </c>
      <c r="BR1001" s="3"/>
      <c r="BS1001" s="3">
        <v>44559</v>
      </c>
      <c r="BT1001" t="s">
        <v>91</v>
      </c>
      <c r="BU1001" t="s">
        <v>91</v>
      </c>
      <c r="BV1001">
        <v>5</v>
      </c>
      <c r="BW1001" s="1" t="s">
        <v>83</v>
      </c>
    </row>
    <row r="1002" spans="1:75" hidden="1" x14ac:dyDescent="0.35">
      <c r="A1002">
        <v>134265</v>
      </c>
      <c r="B1002" s="1" t="s">
        <v>75</v>
      </c>
      <c r="C1002">
        <v>80</v>
      </c>
      <c r="D1002">
        <v>11121002</v>
      </c>
      <c r="E1002">
        <v>121002</v>
      </c>
      <c r="F1002" s="1" t="s">
        <v>2915</v>
      </c>
      <c r="G1002" s="1" t="s">
        <v>5604</v>
      </c>
      <c r="I1002" s="1" t="s">
        <v>78</v>
      </c>
      <c r="J1002" s="1" t="s">
        <v>5605</v>
      </c>
      <c r="K1002" s="1" t="s">
        <v>5606</v>
      </c>
      <c r="L1002" t="s">
        <v>91</v>
      </c>
      <c r="M1002" t="s">
        <v>91</v>
      </c>
      <c r="N1002" s="1" t="s">
        <v>5607</v>
      </c>
      <c r="O1002" t="s">
        <v>91</v>
      </c>
      <c r="P1002" s="1" t="s">
        <v>682</v>
      </c>
      <c r="Q1002" s="1" t="s">
        <v>3653</v>
      </c>
      <c r="R1002" s="1" t="s">
        <v>173</v>
      </c>
      <c r="S1002">
        <v>1259</v>
      </c>
      <c r="T1002">
        <v>88130200</v>
      </c>
      <c r="U1002" s="1" t="s">
        <v>108</v>
      </c>
      <c r="V1002" s="1" t="s">
        <v>3165</v>
      </c>
      <c r="W1002" s="1" t="s">
        <v>87</v>
      </c>
      <c r="X1002">
        <v>48</v>
      </c>
      <c r="Y1002">
        <v>33740810</v>
      </c>
      <c r="Z1002" t="s">
        <v>91</v>
      </c>
      <c r="AA1002" t="s">
        <v>91</v>
      </c>
      <c r="AB1002" t="s">
        <v>91</v>
      </c>
      <c r="AC1002" t="s">
        <v>91</v>
      </c>
      <c r="AD1002" t="s">
        <v>91</v>
      </c>
      <c r="AE1002" t="s">
        <v>91</v>
      </c>
      <c r="AF1002" t="s">
        <v>91</v>
      </c>
      <c r="AG1002" s="1" t="s">
        <v>146</v>
      </c>
      <c r="AH1002" s="1" t="s">
        <v>91</v>
      </c>
      <c r="AI1002" t="s">
        <v>91</v>
      </c>
      <c r="AJ1002">
        <v>0</v>
      </c>
      <c r="AK1002">
        <v>0</v>
      </c>
      <c r="AL1002">
        <v>0</v>
      </c>
      <c r="AM1002" t="s">
        <v>91</v>
      </c>
      <c r="AN1002" t="s">
        <v>91</v>
      </c>
      <c r="AO1002" t="s">
        <v>91</v>
      </c>
      <c r="AP1002" t="s">
        <v>91</v>
      </c>
      <c r="AQ1002" s="1" t="s">
        <v>147</v>
      </c>
      <c r="AR1002" s="1" t="s">
        <v>147</v>
      </c>
      <c r="AS1002" s="1" t="s">
        <v>147</v>
      </c>
      <c r="AT1002" s="1" t="s">
        <v>147</v>
      </c>
      <c r="AU1002" s="1" t="s">
        <v>147</v>
      </c>
      <c r="AV1002" t="s">
        <v>91</v>
      </c>
      <c r="AW1002" t="s">
        <v>91</v>
      </c>
      <c r="AX1002" t="s">
        <v>91</v>
      </c>
      <c r="AY1002" t="s">
        <v>91</v>
      </c>
      <c r="AZ1002" t="s">
        <v>91</v>
      </c>
      <c r="BA1002" t="s">
        <v>91</v>
      </c>
      <c r="BB1002" s="2"/>
      <c r="BC1002" s="2">
        <v>44755.427060185182</v>
      </c>
      <c r="BD1002" t="s">
        <v>91</v>
      </c>
      <c r="BF1002" s="1" t="s">
        <v>75</v>
      </c>
      <c r="BG1002">
        <v>0</v>
      </c>
      <c r="BH1002">
        <v>0</v>
      </c>
      <c r="BI1002" s="1" t="s">
        <v>88</v>
      </c>
      <c r="BJ1002">
        <v>1</v>
      </c>
      <c r="BK1002" s="1" t="s">
        <v>89</v>
      </c>
      <c r="BL1002" t="s">
        <v>91</v>
      </c>
      <c r="BM1002" s="1" t="s">
        <v>109</v>
      </c>
      <c r="BN1002" s="1" t="s">
        <v>110</v>
      </c>
      <c r="BO1002" s="1" t="s">
        <v>180</v>
      </c>
      <c r="BP1002" s="1" t="s">
        <v>91</v>
      </c>
      <c r="BQ1002" t="s">
        <v>91</v>
      </c>
      <c r="BR1002" s="3"/>
      <c r="BS1002" s="3">
        <v>44755</v>
      </c>
      <c r="BT1002" t="s">
        <v>91</v>
      </c>
      <c r="BU1002" t="s">
        <v>91</v>
      </c>
      <c r="BV1002">
        <v>9</v>
      </c>
      <c r="BW1002" s="1" t="s">
        <v>1259</v>
      </c>
    </row>
    <row r="1003" spans="1:75" hidden="1" x14ac:dyDescent="0.35">
      <c r="A1003">
        <v>120556</v>
      </c>
      <c r="B1003" s="1" t="s">
        <v>75</v>
      </c>
      <c r="C1003">
        <v>80</v>
      </c>
      <c r="D1003">
        <v>11121002</v>
      </c>
      <c r="E1003">
        <v>121002</v>
      </c>
      <c r="F1003" s="1" t="s">
        <v>2915</v>
      </c>
      <c r="G1003" s="1" t="s">
        <v>5608</v>
      </c>
      <c r="H1003">
        <v>0</v>
      </c>
      <c r="I1003" s="1" t="s">
        <v>78</v>
      </c>
      <c r="J1003" s="1" t="s">
        <v>5609</v>
      </c>
      <c r="K1003" s="1" t="s">
        <v>5610</v>
      </c>
      <c r="L1003" t="s">
        <v>91</v>
      </c>
      <c r="M1003" t="s">
        <v>91</v>
      </c>
      <c r="N1003" s="1" t="s">
        <v>5611</v>
      </c>
      <c r="O1003" t="s">
        <v>91</v>
      </c>
      <c r="P1003" s="1" t="s">
        <v>775</v>
      </c>
      <c r="Q1003" s="1" t="s">
        <v>905</v>
      </c>
      <c r="R1003" s="1" t="s">
        <v>91</v>
      </c>
      <c r="S1003">
        <v>1254</v>
      </c>
      <c r="T1003">
        <v>88010320</v>
      </c>
      <c r="U1003" s="1" t="s">
        <v>108</v>
      </c>
      <c r="V1003" s="1" t="s">
        <v>2922</v>
      </c>
      <c r="W1003" s="1" t="s">
        <v>87</v>
      </c>
      <c r="X1003">
        <v>48</v>
      </c>
      <c r="Y1003">
        <v>32237825</v>
      </c>
      <c r="Z1003" t="s">
        <v>91</v>
      </c>
      <c r="AA1003" t="s">
        <v>91</v>
      </c>
      <c r="AB1003" t="s">
        <v>91</v>
      </c>
      <c r="AC1003" t="s">
        <v>91</v>
      </c>
      <c r="AD1003" t="s">
        <v>91</v>
      </c>
      <c r="AE1003" t="s">
        <v>91</v>
      </c>
      <c r="AF1003" t="s">
        <v>91</v>
      </c>
      <c r="AG1003" s="1" t="s">
        <v>91</v>
      </c>
      <c r="AH1003" s="1" t="s">
        <v>91</v>
      </c>
      <c r="AI1003" t="s">
        <v>91</v>
      </c>
      <c r="AM1003" t="s">
        <v>91</v>
      </c>
      <c r="AN1003" t="s">
        <v>91</v>
      </c>
      <c r="AO1003" t="s">
        <v>91</v>
      </c>
      <c r="AP1003" t="s">
        <v>91</v>
      </c>
      <c r="AQ1003" s="1" t="s">
        <v>91</v>
      </c>
      <c r="AR1003" s="1" t="s">
        <v>91</v>
      </c>
      <c r="AS1003" s="1" t="s">
        <v>91</v>
      </c>
      <c r="AT1003" s="1" t="s">
        <v>91</v>
      </c>
      <c r="AU1003" s="1" t="s">
        <v>91</v>
      </c>
      <c r="AV1003" t="s">
        <v>91</v>
      </c>
      <c r="AW1003" t="s">
        <v>91</v>
      </c>
      <c r="AX1003" t="s">
        <v>91</v>
      </c>
      <c r="AY1003" t="s">
        <v>91</v>
      </c>
      <c r="AZ1003" t="s">
        <v>91</v>
      </c>
      <c r="BA1003" t="s">
        <v>91</v>
      </c>
      <c r="BB1003" s="2">
        <v>44096.645520833335</v>
      </c>
      <c r="BC1003" s="2"/>
      <c r="BD1003" t="s">
        <v>91</v>
      </c>
      <c r="BF1003" s="1" t="s">
        <v>75</v>
      </c>
      <c r="BI1003" s="1" t="s">
        <v>88</v>
      </c>
      <c r="BJ1003">
        <v>1</v>
      </c>
      <c r="BK1003" s="1" t="s">
        <v>89</v>
      </c>
      <c r="BL1003" t="s">
        <v>91</v>
      </c>
      <c r="BM1003" s="1" t="s">
        <v>109</v>
      </c>
      <c r="BN1003" s="1" t="s">
        <v>110</v>
      </c>
      <c r="BO1003" s="1" t="s">
        <v>180</v>
      </c>
      <c r="BP1003" s="1" t="s">
        <v>91</v>
      </c>
      <c r="BQ1003" t="s">
        <v>91</v>
      </c>
      <c r="BR1003" s="3">
        <v>44096</v>
      </c>
      <c r="BS1003" s="3"/>
      <c r="BT1003" t="s">
        <v>91</v>
      </c>
      <c r="BU1003" t="s">
        <v>91</v>
      </c>
      <c r="BV1003">
        <v>9</v>
      </c>
      <c r="BW1003" s="1" t="s">
        <v>90</v>
      </c>
    </row>
    <row r="1004" spans="1:75" hidden="1" x14ac:dyDescent="0.35">
      <c r="A1004">
        <v>157707</v>
      </c>
      <c r="B1004" s="1" t="s">
        <v>75</v>
      </c>
      <c r="C1004">
        <v>80</v>
      </c>
      <c r="D1004">
        <v>11121002</v>
      </c>
      <c r="E1004">
        <v>121002</v>
      </c>
      <c r="F1004" s="1" t="s">
        <v>2915</v>
      </c>
      <c r="G1004" s="1" t="s">
        <v>5612</v>
      </c>
      <c r="H1004">
        <v>0</v>
      </c>
      <c r="I1004" s="1" t="s">
        <v>78</v>
      </c>
      <c r="J1004" s="1" t="s">
        <v>5613</v>
      </c>
      <c r="K1004" s="1" t="s">
        <v>5614</v>
      </c>
      <c r="L1004" t="s">
        <v>91</v>
      </c>
      <c r="M1004" t="s">
        <v>91</v>
      </c>
      <c r="N1004" s="1" t="s">
        <v>5615</v>
      </c>
      <c r="O1004" t="s">
        <v>91</v>
      </c>
      <c r="P1004" s="1" t="s">
        <v>4948</v>
      </c>
      <c r="Q1004" s="1" t="s">
        <v>356</v>
      </c>
      <c r="R1004" s="1" t="s">
        <v>3390</v>
      </c>
      <c r="S1004">
        <v>1259</v>
      </c>
      <c r="T1004">
        <v>88102000</v>
      </c>
      <c r="U1004" s="1" t="s">
        <v>3015</v>
      </c>
      <c r="V1004" s="1" t="s">
        <v>2958</v>
      </c>
      <c r="W1004" s="1" t="s">
        <v>87</v>
      </c>
      <c r="X1004">
        <v>48</v>
      </c>
      <c r="Y1004">
        <v>32479454</v>
      </c>
      <c r="Z1004" t="s">
        <v>91</v>
      </c>
      <c r="AA1004" t="s">
        <v>91</v>
      </c>
      <c r="AB1004" t="s">
        <v>91</v>
      </c>
      <c r="AC1004" t="s">
        <v>91</v>
      </c>
      <c r="AD1004" t="s">
        <v>91</v>
      </c>
      <c r="AE1004" t="s">
        <v>91</v>
      </c>
      <c r="AF1004" t="s">
        <v>91</v>
      </c>
      <c r="AG1004" s="1" t="s">
        <v>91</v>
      </c>
      <c r="AH1004" s="1" t="s">
        <v>91</v>
      </c>
      <c r="AI1004" t="s">
        <v>91</v>
      </c>
      <c r="AM1004" t="s">
        <v>91</v>
      </c>
      <c r="AN1004" t="s">
        <v>91</v>
      </c>
      <c r="AO1004" t="s">
        <v>91</v>
      </c>
      <c r="AP1004" t="s">
        <v>91</v>
      </c>
      <c r="AQ1004" s="1" t="s">
        <v>91</v>
      </c>
      <c r="AR1004" s="1" t="s">
        <v>91</v>
      </c>
      <c r="AS1004" s="1" t="s">
        <v>91</v>
      </c>
      <c r="AT1004" s="1" t="s">
        <v>91</v>
      </c>
      <c r="AU1004" s="1" t="s">
        <v>91</v>
      </c>
      <c r="AV1004" t="s">
        <v>91</v>
      </c>
      <c r="AW1004" t="s">
        <v>91</v>
      </c>
      <c r="AX1004" t="s">
        <v>91</v>
      </c>
      <c r="AY1004" t="s">
        <v>91</v>
      </c>
      <c r="AZ1004" t="s">
        <v>91</v>
      </c>
      <c r="BA1004" t="s">
        <v>91</v>
      </c>
      <c r="BB1004" s="2">
        <v>45118.097175925926</v>
      </c>
      <c r="BC1004" s="2"/>
      <c r="BD1004" t="s">
        <v>91</v>
      </c>
      <c r="BF1004" s="1" t="s">
        <v>75</v>
      </c>
      <c r="BI1004" s="1" t="s">
        <v>88</v>
      </c>
      <c r="BJ1004">
        <v>1</v>
      </c>
      <c r="BK1004" s="1" t="s">
        <v>89</v>
      </c>
      <c r="BL1004" t="s">
        <v>91</v>
      </c>
      <c r="BM1004" s="1" t="s">
        <v>91</v>
      </c>
      <c r="BN1004" s="1" t="s">
        <v>91</v>
      </c>
      <c r="BO1004" s="1" t="s">
        <v>91</v>
      </c>
      <c r="BP1004" s="1" t="s">
        <v>91</v>
      </c>
      <c r="BQ1004" t="s">
        <v>91</v>
      </c>
      <c r="BR1004" s="3">
        <v>45118</v>
      </c>
      <c r="BS1004" s="3"/>
      <c r="BT1004" t="s">
        <v>91</v>
      </c>
      <c r="BU1004" t="s">
        <v>91</v>
      </c>
      <c r="BW1004" s="1" t="s">
        <v>90</v>
      </c>
    </row>
    <row r="1005" spans="1:75" hidden="1" x14ac:dyDescent="0.35">
      <c r="A1005">
        <v>144513</v>
      </c>
      <c r="B1005" s="1" t="s">
        <v>75</v>
      </c>
      <c r="C1005">
        <v>80</v>
      </c>
      <c r="D1005">
        <v>11121002</v>
      </c>
      <c r="E1005">
        <v>121002</v>
      </c>
      <c r="F1005" s="1" t="s">
        <v>2915</v>
      </c>
      <c r="G1005" s="1" t="s">
        <v>5616</v>
      </c>
      <c r="I1005" s="1" t="s">
        <v>78</v>
      </c>
      <c r="J1005" s="1" t="s">
        <v>5617</v>
      </c>
      <c r="K1005" s="1" t="s">
        <v>5618</v>
      </c>
      <c r="L1005" t="s">
        <v>91</v>
      </c>
      <c r="M1005" t="s">
        <v>91</v>
      </c>
      <c r="N1005" s="1" t="s">
        <v>5619</v>
      </c>
      <c r="O1005" t="s">
        <v>91</v>
      </c>
      <c r="P1005" s="1" t="s">
        <v>4627</v>
      </c>
      <c r="Q1005" s="1" t="s">
        <v>5620</v>
      </c>
      <c r="R1005" s="1" t="s">
        <v>245</v>
      </c>
      <c r="S1005">
        <v>1269</v>
      </c>
      <c r="T1005">
        <v>88880000</v>
      </c>
      <c r="U1005" s="1" t="s">
        <v>108</v>
      </c>
      <c r="V1005" s="1" t="s">
        <v>4628</v>
      </c>
      <c r="W1005" s="1" t="s">
        <v>87</v>
      </c>
      <c r="X1005">
        <v>48</v>
      </c>
      <c r="Y1005">
        <v>988297957</v>
      </c>
      <c r="Z1005" t="s">
        <v>91</v>
      </c>
      <c r="AA1005" t="s">
        <v>91</v>
      </c>
      <c r="AB1005" t="s">
        <v>91</v>
      </c>
      <c r="AC1005" t="s">
        <v>91</v>
      </c>
      <c r="AD1005" t="s">
        <v>91</v>
      </c>
      <c r="AE1005" t="s">
        <v>91</v>
      </c>
      <c r="AF1005" t="s">
        <v>91</v>
      </c>
      <c r="AG1005" s="1" t="s">
        <v>91</v>
      </c>
      <c r="AH1005" s="1" t="s">
        <v>91</v>
      </c>
      <c r="AI1005" t="s">
        <v>91</v>
      </c>
      <c r="AJ1005">
        <v>0</v>
      </c>
      <c r="AK1005">
        <v>0</v>
      </c>
      <c r="AL1005">
        <v>0</v>
      </c>
      <c r="AM1005" t="s">
        <v>91</v>
      </c>
      <c r="AN1005" t="s">
        <v>91</v>
      </c>
      <c r="AO1005" t="s">
        <v>91</v>
      </c>
      <c r="AP1005" t="s">
        <v>91</v>
      </c>
      <c r="AQ1005" s="1" t="s">
        <v>91</v>
      </c>
      <c r="AR1005" s="1" t="s">
        <v>91</v>
      </c>
      <c r="AS1005" s="1" t="s">
        <v>91</v>
      </c>
      <c r="AT1005" s="1" t="s">
        <v>91</v>
      </c>
      <c r="AU1005" s="1" t="s">
        <v>91</v>
      </c>
      <c r="AV1005" t="s">
        <v>91</v>
      </c>
      <c r="AW1005" t="s">
        <v>91</v>
      </c>
      <c r="AX1005" t="s">
        <v>91</v>
      </c>
      <c r="AY1005" t="s">
        <v>91</v>
      </c>
      <c r="AZ1005" t="s">
        <v>91</v>
      </c>
      <c r="BA1005" t="s">
        <v>91</v>
      </c>
      <c r="BB1005" s="2"/>
      <c r="BC1005" s="2"/>
      <c r="BD1005" t="s">
        <v>91</v>
      </c>
      <c r="BF1005" s="1" t="s">
        <v>75</v>
      </c>
      <c r="BG1005">
        <v>0</v>
      </c>
      <c r="BH1005">
        <v>0</v>
      </c>
      <c r="BI1005" s="1" t="s">
        <v>88</v>
      </c>
      <c r="BJ1005">
        <v>1</v>
      </c>
      <c r="BK1005" s="1" t="s">
        <v>89</v>
      </c>
      <c r="BL1005" t="s">
        <v>91</v>
      </c>
      <c r="BM1005" s="1" t="s">
        <v>109</v>
      </c>
      <c r="BN1005" s="1" t="s">
        <v>110</v>
      </c>
      <c r="BO1005" s="1" t="s">
        <v>128</v>
      </c>
      <c r="BP1005" s="1" t="s">
        <v>91</v>
      </c>
      <c r="BQ1005" t="s">
        <v>91</v>
      </c>
      <c r="BR1005" s="3"/>
      <c r="BS1005" s="3"/>
      <c r="BT1005" t="s">
        <v>91</v>
      </c>
      <c r="BU1005" t="s">
        <v>91</v>
      </c>
      <c r="BV1005">
        <v>9</v>
      </c>
      <c r="BW1005" s="1" t="s">
        <v>90</v>
      </c>
    </row>
    <row r="1006" spans="1:75" hidden="1" x14ac:dyDescent="0.35">
      <c r="A1006">
        <v>157631</v>
      </c>
      <c r="B1006" s="1" t="s">
        <v>75</v>
      </c>
      <c r="C1006">
        <v>80</v>
      </c>
      <c r="D1006">
        <v>11121002</v>
      </c>
      <c r="E1006">
        <v>121002</v>
      </c>
      <c r="F1006" s="1" t="s">
        <v>2915</v>
      </c>
      <c r="G1006" s="1" t="s">
        <v>5621</v>
      </c>
      <c r="H1006">
        <v>0</v>
      </c>
      <c r="I1006" s="1" t="s">
        <v>78</v>
      </c>
      <c r="J1006" s="1" t="s">
        <v>5622</v>
      </c>
      <c r="K1006" s="1" t="s">
        <v>5623</v>
      </c>
      <c r="L1006" t="s">
        <v>91</v>
      </c>
      <c r="M1006" t="s">
        <v>91</v>
      </c>
      <c r="N1006" s="1" t="s">
        <v>5624</v>
      </c>
      <c r="O1006" t="s">
        <v>91</v>
      </c>
      <c r="P1006" s="1" t="s">
        <v>3722</v>
      </c>
      <c r="Q1006" s="1" t="s">
        <v>5625</v>
      </c>
      <c r="R1006" s="1" t="s">
        <v>91</v>
      </c>
      <c r="S1006">
        <v>1259</v>
      </c>
      <c r="T1006">
        <v>88131000</v>
      </c>
      <c r="U1006" s="1" t="s">
        <v>108</v>
      </c>
      <c r="V1006" s="1" t="s">
        <v>2951</v>
      </c>
      <c r="W1006" s="1" t="s">
        <v>87</v>
      </c>
      <c r="X1006">
        <v>48</v>
      </c>
      <c r="Y1006">
        <v>30333060</v>
      </c>
      <c r="Z1006" t="s">
        <v>91</v>
      </c>
      <c r="AA1006" t="s">
        <v>91</v>
      </c>
      <c r="AB1006" t="s">
        <v>91</v>
      </c>
      <c r="AC1006" t="s">
        <v>91</v>
      </c>
      <c r="AD1006" t="s">
        <v>91</v>
      </c>
      <c r="AE1006" t="s">
        <v>91</v>
      </c>
      <c r="AF1006" t="s">
        <v>91</v>
      </c>
      <c r="AG1006" s="1" t="s">
        <v>91</v>
      </c>
      <c r="AH1006" s="1" t="s">
        <v>91</v>
      </c>
      <c r="AI1006" t="s">
        <v>91</v>
      </c>
      <c r="AM1006" t="s">
        <v>91</v>
      </c>
      <c r="AN1006" t="s">
        <v>91</v>
      </c>
      <c r="AO1006" t="s">
        <v>91</v>
      </c>
      <c r="AP1006" t="s">
        <v>91</v>
      </c>
      <c r="AQ1006" s="1" t="s">
        <v>91</v>
      </c>
      <c r="AR1006" s="1" t="s">
        <v>91</v>
      </c>
      <c r="AS1006" s="1" t="s">
        <v>91</v>
      </c>
      <c r="AT1006" s="1" t="s">
        <v>91</v>
      </c>
      <c r="AU1006" s="1" t="s">
        <v>91</v>
      </c>
      <c r="AV1006" t="s">
        <v>91</v>
      </c>
      <c r="AW1006" t="s">
        <v>91</v>
      </c>
      <c r="AX1006" t="s">
        <v>91</v>
      </c>
      <c r="AY1006" t="s">
        <v>91</v>
      </c>
      <c r="AZ1006" t="s">
        <v>91</v>
      </c>
      <c r="BA1006" t="s">
        <v>91</v>
      </c>
      <c r="BB1006" s="2">
        <v>45118.097175925926</v>
      </c>
      <c r="BC1006" s="2"/>
      <c r="BD1006" t="s">
        <v>91</v>
      </c>
      <c r="BF1006" s="1" t="s">
        <v>75</v>
      </c>
      <c r="BI1006" s="1" t="s">
        <v>88</v>
      </c>
      <c r="BJ1006">
        <v>1</v>
      </c>
      <c r="BK1006" s="1" t="s">
        <v>89</v>
      </c>
      <c r="BL1006" t="s">
        <v>91</v>
      </c>
      <c r="BM1006" s="1" t="s">
        <v>91</v>
      </c>
      <c r="BN1006" s="1" t="s">
        <v>91</v>
      </c>
      <c r="BO1006" s="1" t="s">
        <v>91</v>
      </c>
      <c r="BP1006" s="1" t="s">
        <v>91</v>
      </c>
      <c r="BQ1006" t="s">
        <v>91</v>
      </c>
      <c r="BR1006" s="3">
        <v>45118</v>
      </c>
      <c r="BS1006" s="3"/>
      <c r="BT1006" t="s">
        <v>91</v>
      </c>
      <c r="BU1006" t="s">
        <v>91</v>
      </c>
      <c r="BW1006" s="1" t="s">
        <v>90</v>
      </c>
    </row>
    <row r="1007" spans="1:75" hidden="1" x14ac:dyDescent="0.35">
      <c r="A1007">
        <v>136655</v>
      </c>
      <c r="B1007" s="1" t="s">
        <v>75</v>
      </c>
      <c r="C1007">
        <v>80</v>
      </c>
      <c r="D1007">
        <v>11121002</v>
      </c>
      <c r="E1007">
        <v>121002</v>
      </c>
      <c r="F1007" s="1" t="s">
        <v>2915</v>
      </c>
      <c r="G1007" s="1" t="s">
        <v>5626</v>
      </c>
      <c r="H1007">
        <v>0</v>
      </c>
      <c r="I1007" s="1" t="s">
        <v>78</v>
      </c>
      <c r="J1007" s="1" t="s">
        <v>5627</v>
      </c>
      <c r="K1007" s="1" t="s">
        <v>5628</v>
      </c>
      <c r="L1007" t="s">
        <v>91</v>
      </c>
      <c r="M1007" t="s">
        <v>91</v>
      </c>
      <c r="N1007" s="1" t="s">
        <v>5629</v>
      </c>
      <c r="O1007" t="s">
        <v>91</v>
      </c>
      <c r="P1007" s="1" t="s">
        <v>5630</v>
      </c>
      <c r="Q1007" s="1" t="s">
        <v>5631</v>
      </c>
      <c r="R1007" s="1" t="s">
        <v>5632</v>
      </c>
      <c r="T1007">
        <v>88137315</v>
      </c>
      <c r="U1007" s="1" t="s">
        <v>5633</v>
      </c>
      <c r="V1007" s="1" t="s">
        <v>3165</v>
      </c>
      <c r="W1007" s="1" t="s">
        <v>87</v>
      </c>
      <c r="X1007">
        <v>48</v>
      </c>
      <c r="Y1007">
        <v>996708641</v>
      </c>
      <c r="Z1007" t="s">
        <v>91</v>
      </c>
      <c r="AA1007" t="s">
        <v>91</v>
      </c>
      <c r="AB1007" t="s">
        <v>91</v>
      </c>
      <c r="AC1007" t="s">
        <v>91</v>
      </c>
      <c r="AD1007" t="s">
        <v>91</v>
      </c>
      <c r="AE1007" t="s">
        <v>91</v>
      </c>
      <c r="AF1007" t="s">
        <v>91</v>
      </c>
      <c r="AG1007" s="1" t="s">
        <v>146</v>
      </c>
      <c r="AH1007" s="1" t="s">
        <v>91</v>
      </c>
      <c r="AI1007" t="s">
        <v>91</v>
      </c>
      <c r="AM1007" t="s">
        <v>91</v>
      </c>
      <c r="AN1007" t="s">
        <v>91</v>
      </c>
      <c r="AO1007" t="s">
        <v>91</v>
      </c>
      <c r="AP1007" t="s">
        <v>91</v>
      </c>
      <c r="AQ1007" s="1" t="s">
        <v>147</v>
      </c>
      <c r="AR1007" s="1" t="s">
        <v>147</v>
      </c>
      <c r="AS1007" s="1" t="s">
        <v>147</v>
      </c>
      <c r="AT1007" s="1" t="s">
        <v>147</v>
      </c>
      <c r="AU1007" s="1" t="s">
        <v>147</v>
      </c>
      <c r="AV1007" t="s">
        <v>91</v>
      </c>
      <c r="AW1007" t="s">
        <v>91</v>
      </c>
      <c r="AX1007" t="s">
        <v>91</v>
      </c>
      <c r="AY1007" t="s">
        <v>91</v>
      </c>
      <c r="AZ1007" t="s">
        <v>91</v>
      </c>
      <c r="BA1007" t="s">
        <v>91</v>
      </c>
      <c r="BB1007" s="2">
        <v>44369.449745370373</v>
      </c>
      <c r="BC1007" s="2">
        <v>44755.464537037034</v>
      </c>
      <c r="BD1007" t="s">
        <v>91</v>
      </c>
      <c r="BF1007" s="1" t="s">
        <v>75</v>
      </c>
      <c r="BH1007">
        <v>0</v>
      </c>
      <c r="BI1007" s="1" t="s">
        <v>88</v>
      </c>
      <c r="BJ1007">
        <v>1</v>
      </c>
      <c r="BK1007" s="1" t="s">
        <v>89</v>
      </c>
      <c r="BL1007" t="s">
        <v>91</v>
      </c>
      <c r="BM1007" s="1" t="s">
        <v>109</v>
      </c>
      <c r="BN1007" s="1" t="s">
        <v>110</v>
      </c>
      <c r="BO1007" s="1" t="s">
        <v>165</v>
      </c>
      <c r="BP1007" s="1" t="s">
        <v>91</v>
      </c>
      <c r="BQ1007" t="s">
        <v>91</v>
      </c>
      <c r="BR1007" s="3">
        <v>44369</v>
      </c>
      <c r="BS1007" s="3">
        <v>44755</v>
      </c>
      <c r="BT1007" t="s">
        <v>91</v>
      </c>
      <c r="BU1007" t="s">
        <v>91</v>
      </c>
      <c r="BW1007" s="1" t="s">
        <v>83</v>
      </c>
    </row>
    <row r="1008" spans="1:75" hidden="1" x14ac:dyDescent="0.35">
      <c r="A1008">
        <v>115046</v>
      </c>
      <c r="B1008" s="1" t="s">
        <v>75</v>
      </c>
      <c r="C1008">
        <v>80</v>
      </c>
      <c r="D1008">
        <v>11121002</v>
      </c>
      <c r="E1008">
        <v>121002</v>
      </c>
      <c r="F1008" s="1" t="s">
        <v>2915</v>
      </c>
      <c r="G1008" s="1" t="s">
        <v>5634</v>
      </c>
      <c r="H1008">
        <v>0</v>
      </c>
      <c r="I1008" s="1" t="s">
        <v>78</v>
      </c>
      <c r="J1008" s="1" t="s">
        <v>5635</v>
      </c>
      <c r="K1008" s="1" t="s">
        <v>5636</v>
      </c>
      <c r="L1008" t="s">
        <v>91</v>
      </c>
      <c r="M1008" t="s">
        <v>91</v>
      </c>
      <c r="N1008" s="1" t="s">
        <v>5234</v>
      </c>
      <c r="O1008" t="s">
        <v>91</v>
      </c>
      <c r="P1008" s="1" t="s">
        <v>5637</v>
      </c>
      <c r="Q1008" s="1" t="s">
        <v>5638</v>
      </c>
      <c r="R1008" s="1" t="s">
        <v>5639</v>
      </c>
      <c r="S1008">
        <v>1257</v>
      </c>
      <c r="T1008">
        <v>88058001</v>
      </c>
      <c r="U1008" s="1" t="s">
        <v>3311</v>
      </c>
      <c r="V1008" s="1" t="s">
        <v>3102</v>
      </c>
      <c r="W1008" s="1" t="s">
        <v>87</v>
      </c>
      <c r="X1008">
        <v>48</v>
      </c>
      <c r="Y1008">
        <v>33691887</v>
      </c>
      <c r="Z1008" t="s">
        <v>91</v>
      </c>
      <c r="AA1008" t="s">
        <v>91</v>
      </c>
      <c r="AB1008" t="s">
        <v>91</v>
      </c>
      <c r="AC1008" t="s">
        <v>91</v>
      </c>
      <c r="AD1008" t="s">
        <v>91</v>
      </c>
      <c r="AE1008" t="s">
        <v>91</v>
      </c>
      <c r="AF1008" t="s">
        <v>91</v>
      </c>
      <c r="AG1008" s="1" t="s">
        <v>91</v>
      </c>
      <c r="AH1008" s="1" t="s">
        <v>91</v>
      </c>
      <c r="AI1008" t="s">
        <v>91</v>
      </c>
      <c r="AJ1008">
        <v>0</v>
      </c>
      <c r="AK1008">
        <v>0</v>
      </c>
      <c r="AL1008">
        <v>0</v>
      </c>
      <c r="AM1008" t="s">
        <v>91</v>
      </c>
      <c r="AN1008" t="s">
        <v>91</v>
      </c>
      <c r="AO1008" t="s">
        <v>91</v>
      </c>
      <c r="AP1008" t="s">
        <v>91</v>
      </c>
      <c r="AQ1008" s="1" t="s">
        <v>91</v>
      </c>
      <c r="AR1008" s="1" t="s">
        <v>91</v>
      </c>
      <c r="AS1008" s="1" t="s">
        <v>91</v>
      </c>
      <c r="AT1008" s="1" t="s">
        <v>91</v>
      </c>
      <c r="AU1008" s="1" t="s">
        <v>91</v>
      </c>
      <c r="AV1008" t="s">
        <v>91</v>
      </c>
      <c r="AW1008" t="s">
        <v>91</v>
      </c>
      <c r="AX1008" t="s">
        <v>91</v>
      </c>
      <c r="AY1008" t="s">
        <v>91</v>
      </c>
      <c r="AZ1008" t="s">
        <v>91</v>
      </c>
      <c r="BA1008" t="s">
        <v>91</v>
      </c>
      <c r="BB1008" s="2">
        <v>43847.468888888892</v>
      </c>
      <c r="BC1008" s="2"/>
      <c r="BD1008" t="s">
        <v>91</v>
      </c>
      <c r="BF1008" s="1" t="s">
        <v>75</v>
      </c>
      <c r="BG1008">
        <v>0</v>
      </c>
      <c r="BH1008">
        <v>0</v>
      </c>
      <c r="BI1008" s="1" t="s">
        <v>88</v>
      </c>
      <c r="BJ1008">
        <v>1</v>
      </c>
      <c r="BK1008" s="1" t="s">
        <v>89</v>
      </c>
      <c r="BL1008" t="s">
        <v>91</v>
      </c>
      <c r="BM1008" s="1" t="s">
        <v>109</v>
      </c>
      <c r="BN1008" s="1" t="s">
        <v>110</v>
      </c>
      <c r="BO1008" s="1" t="s">
        <v>128</v>
      </c>
      <c r="BP1008" s="1" t="s">
        <v>91</v>
      </c>
      <c r="BQ1008" t="s">
        <v>91</v>
      </c>
      <c r="BR1008" s="3">
        <v>43847</v>
      </c>
      <c r="BS1008" s="3"/>
      <c r="BT1008" t="s">
        <v>91</v>
      </c>
      <c r="BU1008" t="s">
        <v>91</v>
      </c>
      <c r="BV1008">
        <v>9</v>
      </c>
      <c r="BW1008" s="1" t="s">
        <v>1324</v>
      </c>
    </row>
    <row r="1009" spans="1:75" hidden="1" x14ac:dyDescent="0.35">
      <c r="A1009">
        <v>157737</v>
      </c>
      <c r="B1009" s="1" t="s">
        <v>75</v>
      </c>
      <c r="C1009">
        <v>80</v>
      </c>
      <c r="D1009">
        <v>11121002</v>
      </c>
      <c r="E1009">
        <v>121002</v>
      </c>
      <c r="F1009" s="1" t="s">
        <v>2915</v>
      </c>
      <c r="G1009" s="1" t="s">
        <v>5640</v>
      </c>
      <c r="H1009">
        <v>0</v>
      </c>
      <c r="I1009" s="1" t="s">
        <v>78</v>
      </c>
      <c r="J1009" s="1" t="s">
        <v>5641</v>
      </c>
      <c r="K1009" s="1" t="s">
        <v>5642</v>
      </c>
      <c r="L1009" t="s">
        <v>91</v>
      </c>
      <c r="M1009" t="s">
        <v>91</v>
      </c>
      <c r="N1009" s="1" t="s">
        <v>91</v>
      </c>
      <c r="O1009" t="s">
        <v>91</v>
      </c>
      <c r="P1009" s="1" t="s">
        <v>3007</v>
      </c>
      <c r="Q1009" s="1" t="s">
        <v>5643</v>
      </c>
      <c r="R1009" s="1" t="s">
        <v>91</v>
      </c>
      <c r="S1009">
        <v>1259</v>
      </c>
      <c r="T1009">
        <v>88106501</v>
      </c>
      <c r="U1009" s="1" t="s">
        <v>2987</v>
      </c>
      <c r="V1009" s="1" t="s">
        <v>2958</v>
      </c>
      <c r="W1009" s="1" t="s">
        <v>87</v>
      </c>
      <c r="X1009">
        <v>48</v>
      </c>
      <c r="Y1009">
        <v>33574945</v>
      </c>
      <c r="Z1009" t="s">
        <v>91</v>
      </c>
      <c r="AA1009" t="s">
        <v>91</v>
      </c>
      <c r="AB1009" t="s">
        <v>91</v>
      </c>
      <c r="AC1009" t="s">
        <v>91</v>
      </c>
      <c r="AD1009" t="s">
        <v>91</v>
      </c>
      <c r="AE1009" t="s">
        <v>91</v>
      </c>
      <c r="AF1009" t="s">
        <v>91</v>
      </c>
      <c r="AG1009" s="1" t="s">
        <v>91</v>
      </c>
      <c r="AH1009" s="1" t="s">
        <v>91</v>
      </c>
      <c r="AI1009" t="s">
        <v>91</v>
      </c>
      <c r="AM1009" t="s">
        <v>91</v>
      </c>
      <c r="AN1009" t="s">
        <v>91</v>
      </c>
      <c r="AO1009" t="s">
        <v>91</v>
      </c>
      <c r="AP1009" t="s">
        <v>91</v>
      </c>
      <c r="AQ1009" s="1" t="s">
        <v>91</v>
      </c>
      <c r="AR1009" s="1" t="s">
        <v>91</v>
      </c>
      <c r="AS1009" s="1" t="s">
        <v>91</v>
      </c>
      <c r="AT1009" s="1" t="s">
        <v>91</v>
      </c>
      <c r="AU1009" s="1" t="s">
        <v>91</v>
      </c>
      <c r="AV1009" t="s">
        <v>91</v>
      </c>
      <c r="AW1009" t="s">
        <v>91</v>
      </c>
      <c r="AX1009" t="s">
        <v>91</v>
      </c>
      <c r="AY1009" t="s">
        <v>91</v>
      </c>
      <c r="AZ1009" t="s">
        <v>91</v>
      </c>
      <c r="BA1009" t="s">
        <v>91</v>
      </c>
      <c r="BB1009" s="2">
        <v>45118.097175925926</v>
      </c>
      <c r="BC1009" s="2"/>
      <c r="BD1009" t="s">
        <v>91</v>
      </c>
      <c r="BF1009" s="1" t="s">
        <v>75</v>
      </c>
      <c r="BI1009" s="1" t="s">
        <v>88</v>
      </c>
      <c r="BJ1009">
        <v>1</v>
      </c>
      <c r="BK1009" s="1" t="s">
        <v>89</v>
      </c>
      <c r="BL1009" t="s">
        <v>91</v>
      </c>
      <c r="BM1009" s="1" t="s">
        <v>91</v>
      </c>
      <c r="BN1009" s="1" t="s">
        <v>91</v>
      </c>
      <c r="BO1009" s="1" t="s">
        <v>91</v>
      </c>
      <c r="BP1009" s="1" t="s">
        <v>91</v>
      </c>
      <c r="BQ1009" t="s">
        <v>91</v>
      </c>
      <c r="BR1009" s="3">
        <v>45118</v>
      </c>
      <c r="BS1009" s="3"/>
      <c r="BT1009" t="s">
        <v>91</v>
      </c>
      <c r="BU1009" t="s">
        <v>91</v>
      </c>
      <c r="BW1009" s="1" t="s">
        <v>90</v>
      </c>
    </row>
    <row r="1010" spans="1:75" hidden="1" x14ac:dyDescent="0.35">
      <c r="A1010">
        <v>144325</v>
      </c>
      <c r="B1010" s="1" t="s">
        <v>75</v>
      </c>
      <c r="C1010">
        <v>80</v>
      </c>
      <c r="D1010">
        <v>11121002</v>
      </c>
      <c r="E1010">
        <v>121002</v>
      </c>
      <c r="F1010" s="1" t="s">
        <v>2915</v>
      </c>
      <c r="G1010" s="1" t="s">
        <v>5644</v>
      </c>
      <c r="I1010" s="1" t="s">
        <v>78</v>
      </c>
      <c r="J1010" s="1" t="s">
        <v>5645</v>
      </c>
      <c r="K1010" s="1" t="s">
        <v>5646</v>
      </c>
      <c r="L1010" t="s">
        <v>91</v>
      </c>
      <c r="M1010" t="s">
        <v>91</v>
      </c>
      <c r="N1010" s="1" t="s">
        <v>5647</v>
      </c>
      <c r="O1010" t="s">
        <v>91</v>
      </c>
      <c r="P1010" s="1" t="s">
        <v>4884</v>
      </c>
      <c r="Q1010" s="1" t="s">
        <v>5648</v>
      </c>
      <c r="R1010" s="1" t="s">
        <v>664</v>
      </c>
      <c r="S1010">
        <v>1269</v>
      </c>
      <c r="T1010">
        <v>88806001</v>
      </c>
      <c r="U1010" s="1" t="s">
        <v>5649</v>
      </c>
      <c r="V1010" s="1" t="s">
        <v>3231</v>
      </c>
      <c r="W1010" s="1" t="s">
        <v>87</v>
      </c>
      <c r="X1010">
        <v>48</v>
      </c>
      <c r="Y1010">
        <v>34370219</v>
      </c>
      <c r="Z1010" t="s">
        <v>91</v>
      </c>
      <c r="AA1010" t="s">
        <v>91</v>
      </c>
      <c r="AB1010" t="s">
        <v>91</v>
      </c>
      <c r="AC1010" t="s">
        <v>91</v>
      </c>
      <c r="AD1010" t="s">
        <v>91</v>
      </c>
      <c r="AE1010" t="s">
        <v>91</v>
      </c>
      <c r="AF1010" t="s">
        <v>91</v>
      </c>
      <c r="AG1010" s="1" t="s">
        <v>91</v>
      </c>
      <c r="AH1010" s="1" t="s">
        <v>91</v>
      </c>
      <c r="AI1010" t="s">
        <v>91</v>
      </c>
      <c r="AJ1010">
        <v>0</v>
      </c>
      <c r="AK1010">
        <v>0</v>
      </c>
      <c r="AL1010">
        <v>0</v>
      </c>
      <c r="AM1010" t="s">
        <v>91</v>
      </c>
      <c r="AN1010" t="s">
        <v>91</v>
      </c>
      <c r="AO1010" t="s">
        <v>91</v>
      </c>
      <c r="AP1010" t="s">
        <v>91</v>
      </c>
      <c r="AQ1010" s="1" t="s">
        <v>91</v>
      </c>
      <c r="AR1010" s="1" t="s">
        <v>91</v>
      </c>
      <c r="AS1010" s="1" t="s">
        <v>91</v>
      </c>
      <c r="AT1010" s="1" t="s">
        <v>91</v>
      </c>
      <c r="AU1010" s="1" t="s">
        <v>91</v>
      </c>
      <c r="AV1010" t="s">
        <v>91</v>
      </c>
      <c r="AW1010" t="s">
        <v>91</v>
      </c>
      <c r="AX1010" t="s">
        <v>91</v>
      </c>
      <c r="AY1010" t="s">
        <v>91</v>
      </c>
      <c r="AZ1010" t="s">
        <v>91</v>
      </c>
      <c r="BA1010" t="s">
        <v>91</v>
      </c>
      <c r="BB1010" s="2"/>
      <c r="BC1010" s="2"/>
      <c r="BD1010" t="s">
        <v>91</v>
      </c>
      <c r="BF1010" s="1" t="s">
        <v>75</v>
      </c>
      <c r="BG1010">
        <v>0</v>
      </c>
      <c r="BH1010">
        <v>0</v>
      </c>
      <c r="BI1010" s="1" t="s">
        <v>88</v>
      </c>
      <c r="BJ1010">
        <v>1</v>
      </c>
      <c r="BK1010" s="1" t="s">
        <v>89</v>
      </c>
      <c r="BL1010" t="s">
        <v>91</v>
      </c>
      <c r="BM1010" s="1" t="s">
        <v>109</v>
      </c>
      <c r="BN1010" s="1" t="s">
        <v>110</v>
      </c>
      <c r="BO1010" s="1" t="s">
        <v>165</v>
      </c>
      <c r="BP1010" s="1" t="s">
        <v>91</v>
      </c>
      <c r="BQ1010" t="s">
        <v>91</v>
      </c>
      <c r="BR1010" s="3"/>
      <c r="BS1010" s="3"/>
      <c r="BT1010" t="s">
        <v>91</v>
      </c>
      <c r="BU1010" t="s">
        <v>91</v>
      </c>
      <c r="BV1010">
        <v>9</v>
      </c>
      <c r="BW1010" s="1" t="s">
        <v>90</v>
      </c>
    </row>
    <row r="1011" spans="1:75" hidden="1" x14ac:dyDescent="0.35">
      <c r="A1011">
        <v>144703</v>
      </c>
      <c r="B1011" s="1" t="s">
        <v>75</v>
      </c>
      <c r="C1011">
        <v>80</v>
      </c>
      <c r="D1011">
        <v>11121002</v>
      </c>
      <c r="E1011">
        <v>121002</v>
      </c>
      <c r="F1011" s="1" t="s">
        <v>2915</v>
      </c>
      <c r="G1011" s="1" t="s">
        <v>5650</v>
      </c>
      <c r="I1011" s="1" t="s">
        <v>78</v>
      </c>
      <c r="J1011" s="1" t="s">
        <v>5651</v>
      </c>
      <c r="K1011" s="1" t="s">
        <v>5652</v>
      </c>
      <c r="L1011" t="s">
        <v>91</v>
      </c>
      <c r="M1011" t="s">
        <v>91</v>
      </c>
      <c r="N1011" s="1" t="s">
        <v>5653</v>
      </c>
      <c r="O1011" t="s">
        <v>91</v>
      </c>
      <c r="P1011" s="1" t="s">
        <v>5654</v>
      </c>
      <c r="Q1011" s="1" t="s">
        <v>5655</v>
      </c>
      <c r="R1011" s="1" t="s">
        <v>91</v>
      </c>
      <c r="S1011">
        <v>1268</v>
      </c>
      <c r="T1011">
        <v>88750000</v>
      </c>
      <c r="U1011" s="1" t="s">
        <v>108</v>
      </c>
      <c r="V1011" s="1" t="s">
        <v>5656</v>
      </c>
      <c r="W1011" s="1" t="s">
        <v>87</v>
      </c>
      <c r="X1011">
        <v>48</v>
      </c>
      <c r="Y1011">
        <v>36582811</v>
      </c>
      <c r="Z1011" t="s">
        <v>91</v>
      </c>
      <c r="AA1011" t="s">
        <v>91</v>
      </c>
      <c r="AB1011" t="s">
        <v>91</v>
      </c>
      <c r="AC1011" t="s">
        <v>91</v>
      </c>
      <c r="AD1011" t="s">
        <v>91</v>
      </c>
      <c r="AE1011" t="s">
        <v>91</v>
      </c>
      <c r="AF1011" t="s">
        <v>91</v>
      </c>
      <c r="AG1011" s="1" t="s">
        <v>91</v>
      </c>
      <c r="AH1011" s="1" t="s">
        <v>91</v>
      </c>
      <c r="AI1011" t="s">
        <v>91</v>
      </c>
      <c r="AM1011" t="s">
        <v>91</v>
      </c>
      <c r="AN1011" t="s">
        <v>91</v>
      </c>
      <c r="AO1011" t="s">
        <v>91</v>
      </c>
      <c r="AP1011" t="s">
        <v>91</v>
      </c>
      <c r="AQ1011" s="1" t="s">
        <v>91</v>
      </c>
      <c r="AR1011" s="1" t="s">
        <v>91</v>
      </c>
      <c r="AS1011" s="1" t="s">
        <v>91</v>
      </c>
      <c r="AT1011" s="1" t="s">
        <v>91</v>
      </c>
      <c r="AU1011" s="1" t="s">
        <v>91</v>
      </c>
      <c r="AV1011" t="s">
        <v>91</v>
      </c>
      <c r="AW1011" t="s">
        <v>91</v>
      </c>
      <c r="AX1011" t="s">
        <v>91</v>
      </c>
      <c r="AY1011" t="s">
        <v>91</v>
      </c>
      <c r="AZ1011" t="s">
        <v>91</v>
      </c>
      <c r="BA1011" t="s">
        <v>91</v>
      </c>
      <c r="BB1011" s="2"/>
      <c r="BC1011" s="2"/>
      <c r="BD1011" t="s">
        <v>91</v>
      </c>
      <c r="BF1011" s="1" t="s">
        <v>75</v>
      </c>
      <c r="BI1011" s="1" t="s">
        <v>88</v>
      </c>
      <c r="BJ1011">
        <v>1</v>
      </c>
      <c r="BK1011" s="1" t="s">
        <v>89</v>
      </c>
      <c r="BL1011" t="s">
        <v>91</v>
      </c>
      <c r="BM1011" s="1" t="s">
        <v>109</v>
      </c>
      <c r="BN1011" s="1" t="s">
        <v>110</v>
      </c>
      <c r="BO1011" s="1" t="s">
        <v>91</v>
      </c>
      <c r="BP1011" s="1" t="s">
        <v>91</v>
      </c>
      <c r="BQ1011" t="s">
        <v>91</v>
      </c>
      <c r="BR1011" s="3"/>
      <c r="BS1011" s="3"/>
      <c r="BT1011" t="s">
        <v>91</v>
      </c>
      <c r="BU1011" t="s">
        <v>91</v>
      </c>
      <c r="BV1011">
        <v>9</v>
      </c>
      <c r="BW1011" s="1" t="s">
        <v>3261</v>
      </c>
    </row>
    <row r="1012" spans="1:75" hidden="1" x14ac:dyDescent="0.35">
      <c r="A1012">
        <v>159582</v>
      </c>
      <c r="B1012" s="1" t="s">
        <v>75</v>
      </c>
      <c r="C1012">
        <v>80</v>
      </c>
      <c r="D1012">
        <v>11121002</v>
      </c>
      <c r="E1012">
        <v>121002</v>
      </c>
      <c r="F1012" s="1" t="s">
        <v>2915</v>
      </c>
      <c r="G1012" s="1" t="s">
        <v>5657</v>
      </c>
      <c r="I1012" s="1" t="s">
        <v>78</v>
      </c>
      <c r="J1012" s="1" t="s">
        <v>5658</v>
      </c>
      <c r="K1012" s="1" t="s">
        <v>5659</v>
      </c>
      <c r="L1012" t="s">
        <v>91</v>
      </c>
      <c r="M1012" t="s">
        <v>91</v>
      </c>
      <c r="N1012" s="1" t="s">
        <v>5660</v>
      </c>
      <c r="O1012" t="s">
        <v>91</v>
      </c>
      <c r="P1012" s="1" t="s">
        <v>5661</v>
      </c>
      <c r="Q1012" s="1" t="s">
        <v>1750</v>
      </c>
      <c r="R1012" s="1" t="s">
        <v>1127</v>
      </c>
      <c r="S1012">
        <v>1269</v>
      </c>
      <c r="T1012">
        <v>88880000</v>
      </c>
      <c r="U1012" s="1" t="s">
        <v>108</v>
      </c>
      <c r="V1012" s="1" t="s">
        <v>4628</v>
      </c>
      <c r="W1012" s="1" t="s">
        <v>87</v>
      </c>
      <c r="X1012">
        <v>48</v>
      </c>
      <c r="Y1012">
        <v>99800949</v>
      </c>
      <c r="Z1012" t="s">
        <v>91</v>
      </c>
      <c r="AA1012" t="s">
        <v>91</v>
      </c>
      <c r="AB1012" t="s">
        <v>91</v>
      </c>
      <c r="AC1012" t="s">
        <v>91</v>
      </c>
      <c r="AD1012" t="s">
        <v>91</v>
      </c>
      <c r="AE1012" t="s">
        <v>91</v>
      </c>
      <c r="AF1012" t="s">
        <v>91</v>
      </c>
      <c r="AG1012" s="1" t="s">
        <v>91</v>
      </c>
      <c r="AH1012" s="1" t="s">
        <v>91</v>
      </c>
      <c r="AI1012" t="s">
        <v>91</v>
      </c>
      <c r="AM1012" t="s">
        <v>91</v>
      </c>
      <c r="AN1012" t="s">
        <v>91</v>
      </c>
      <c r="AO1012" t="s">
        <v>91</v>
      </c>
      <c r="AP1012" t="s">
        <v>91</v>
      </c>
      <c r="AQ1012" s="1" t="s">
        <v>91</v>
      </c>
      <c r="AR1012" s="1" t="s">
        <v>91</v>
      </c>
      <c r="AS1012" s="1" t="s">
        <v>91</v>
      </c>
      <c r="AT1012" s="1" t="s">
        <v>91</v>
      </c>
      <c r="AU1012" s="1" t="s">
        <v>91</v>
      </c>
      <c r="AV1012" t="s">
        <v>91</v>
      </c>
      <c r="AW1012" t="s">
        <v>91</v>
      </c>
      <c r="AX1012" t="s">
        <v>91</v>
      </c>
      <c r="AY1012" t="s">
        <v>91</v>
      </c>
      <c r="AZ1012" t="s">
        <v>91</v>
      </c>
      <c r="BA1012" t="s">
        <v>91</v>
      </c>
      <c r="BB1012" s="2">
        <v>45194.491122685184</v>
      </c>
      <c r="BC1012" s="2"/>
      <c r="BD1012" t="s">
        <v>91</v>
      </c>
      <c r="BF1012" s="1" t="s">
        <v>75</v>
      </c>
      <c r="BI1012" s="1" t="s">
        <v>88</v>
      </c>
      <c r="BJ1012">
        <v>1</v>
      </c>
      <c r="BK1012" s="1" t="s">
        <v>89</v>
      </c>
      <c r="BL1012" t="s">
        <v>91</v>
      </c>
      <c r="BM1012" s="1" t="s">
        <v>91</v>
      </c>
      <c r="BN1012" s="1" t="s">
        <v>91</v>
      </c>
      <c r="BO1012" s="1" t="s">
        <v>91</v>
      </c>
      <c r="BP1012" s="1" t="s">
        <v>91</v>
      </c>
      <c r="BQ1012" t="s">
        <v>91</v>
      </c>
      <c r="BR1012" s="3">
        <v>45194</v>
      </c>
      <c r="BS1012" s="3"/>
      <c r="BT1012" t="s">
        <v>91</v>
      </c>
      <c r="BU1012" t="s">
        <v>91</v>
      </c>
      <c r="BW1012" s="1" t="s">
        <v>90</v>
      </c>
    </row>
    <row r="1013" spans="1:75" hidden="1" x14ac:dyDescent="0.35">
      <c r="A1013">
        <v>118687</v>
      </c>
      <c r="B1013" s="1" t="s">
        <v>75</v>
      </c>
      <c r="C1013">
        <v>80</v>
      </c>
      <c r="D1013">
        <v>11121002</v>
      </c>
      <c r="E1013">
        <v>121002</v>
      </c>
      <c r="F1013" s="1" t="s">
        <v>2915</v>
      </c>
      <c r="G1013" s="1" t="s">
        <v>5662</v>
      </c>
      <c r="I1013" s="1" t="s">
        <v>78</v>
      </c>
      <c r="J1013" s="1" t="s">
        <v>5663</v>
      </c>
      <c r="K1013" s="1" t="s">
        <v>5664</v>
      </c>
      <c r="L1013" t="s">
        <v>91</v>
      </c>
      <c r="M1013" t="s">
        <v>91</v>
      </c>
      <c r="N1013" s="1" t="s">
        <v>5665</v>
      </c>
      <c r="O1013" t="s">
        <v>91</v>
      </c>
      <c r="P1013" s="1" t="s">
        <v>1794</v>
      </c>
      <c r="Q1013" s="1" t="s">
        <v>840</v>
      </c>
      <c r="R1013" s="1" t="s">
        <v>2986</v>
      </c>
      <c r="S1013">
        <v>1269</v>
      </c>
      <c r="T1013">
        <v>88801530</v>
      </c>
      <c r="U1013" s="1" t="s">
        <v>108</v>
      </c>
      <c r="V1013" s="1" t="s">
        <v>3231</v>
      </c>
      <c r="W1013" s="1" t="s">
        <v>87</v>
      </c>
      <c r="X1013">
        <v>48</v>
      </c>
      <c r="Y1013">
        <v>34428431</v>
      </c>
      <c r="Z1013" t="s">
        <v>91</v>
      </c>
      <c r="AA1013" t="s">
        <v>91</v>
      </c>
      <c r="AB1013" t="s">
        <v>91</v>
      </c>
      <c r="AC1013" t="s">
        <v>91</v>
      </c>
      <c r="AD1013" t="s">
        <v>91</v>
      </c>
      <c r="AE1013" t="s">
        <v>91</v>
      </c>
      <c r="AF1013" t="s">
        <v>91</v>
      </c>
      <c r="AG1013" s="1" t="s">
        <v>91</v>
      </c>
      <c r="AH1013" s="1" t="s">
        <v>91</v>
      </c>
      <c r="AI1013" t="s">
        <v>91</v>
      </c>
      <c r="AJ1013">
        <v>0</v>
      </c>
      <c r="AK1013">
        <v>0</v>
      </c>
      <c r="AL1013">
        <v>0</v>
      </c>
      <c r="AM1013" t="s">
        <v>91</v>
      </c>
      <c r="AN1013" t="s">
        <v>91</v>
      </c>
      <c r="AO1013" t="s">
        <v>91</v>
      </c>
      <c r="AP1013" t="s">
        <v>91</v>
      </c>
      <c r="AQ1013" s="1" t="s">
        <v>91</v>
      </c>
      <c r="AR1013" s="1" t="s">
        <v>91</v>
      </c>
      <c r="AS1013" s="1" t="s">
        <v>91</v>
      </c>
      <c r="AT1013" s="1" t="s">
        <v>91</v>
      </c>
      <c r="AU1013" s="1" t="s">
        <v>91</v>
      </c>
      <c r="AV1013" t="s">
        <v>91</v>
      </c>
      <c r="AW1013" t="s">
        <v>91</v>
      </c>
      <c r="AX1013" t="s">
        <v>91</v>
      </c>
      <c r="AY1013" t="s">
        <v>91</v>
      </c>
      <c r="AZ1013" t="s">
        <v>91</v>
      </c>
      <c r="BA1013" t="s">
        <v>91</v>
      </c>
      <c r="BB1013" s="2"/>
      <c r="BC1013" s="2"/>
      <c r="BD1013" t="s">
        <v>91</v>
      </c>
      <c r="BF1013" s="1" t="s">
        <v>75</v>
      </c>
      <c r="BG1013">
        <v>0</v>
      </c>
      <c r="BH1013">
        <v>0</v>
      </c>
      <c r="BI1013" s="1" t="s">
        <v>88</v>
      </c>
      <c r="BJ1013">
        <v>1</v>
      </c>
      <c r="BK1013" s="1" t="s">
        <v>89</v>
      </c>
      <c r="BL1013" t="s">
        <v>91</v>
      </c>
      <c r="BM1013" s="1" t="s">
        <v>109</v>
      </c>
      <c r="BN1013" s="1" t="s">
        <v>110</v>
      </c>
      <c r="BO1013" s="1" t="s">
        <v>180</v>
      </c>
      <c r="BP1013" s="1" t="s">
        <v>91</v>
      </c>
      <c r="BQ1013" t="s">
        <v>91</v>
      </c>
      <c r="BR1013" s="3"/>
      <c r="BS1013" s="3"/>
      <c r="BT1013" t="s">
        <v>91</v>
      </c>
      <c r="BU1013" t="s">
        <v>91</v>
      </c>
      <c r="BV1013">
        <v>9</v>
      </c>
      <c r="BW1013" s="1" t="s">
        <v>90</v>
      </c>
    </row>
    <row r="1014" spans="1:75" hidden="1" x14ac:dyDescent="0.35">
      <c r="A1014">
        <v>367</v>
      </c>
      <c r="B1014" s="1" t="s">
        <v>75</v>
      </c>
      <c r="C1014">
        <v>80</v>
      </c>
      <c r="D1014">
        <v>11121002</v>
      </c>
      <c r="E1014">
        <v>121002</v>
      </c>
      <c r="F1014" s="1" t="s">
        <v>2915</v>
      </c>
      <c r="G1014" s="1" t="s">
        <v>5666</v>
      </c>
      <c r="I1014" s="1" t="s">
        <v>78</v>
      </c>
      <c r="J1014" s="1" t="s">
        <v>5667</v>
      </c>
      <c r="K1014" s="1" t="s">
        <v>5668</v>
      </c>
      <c r="L1014" t="s">
        <v>91</v>
      </c>
      <c r="M1014" t="s">
        <v>91</v>
      </c>
      <c r="N1014" s="1" t="s">
        <v>5669</v>
      </c>
      <c r="O1014" t="s">
        <v>91</v>
      </c>
      <c r="P1014" s="1" t="s">
        <v>5670</v>
      </c>
      <c r="Q1014" s="1" t="s">
        <v>4016</v>
      </c>
      <c r="R1014" s="1" t="s">
        <v>5671</v>
      </c>
      <c r="S1014">
        <v>1254</v>
      </c>
      <c r="T1014">
        <v>88010010</v>
      </c>
      <c r="U1014" s="1" t="s">
        <v>108</v>
      </c>
      <c r="V1014" s="1" t="s">
        <v>3102</v>
      </c>
      <c r="W1014" s="1" t="s">
        <v>87</v>
      </c>
      <c r="X1014">
        <v>48</v>
      </c>
      <c r="Y1014">
        <v>33242389</v>
      </c>
      <c r="Z1014" t="s">
        <v>91</v>
      </c>
      <c r="AA1014" t="s">
        <v>91</v>
      </c>
      <c r="AB1014" t="s">
        <v>91</v>
      </c>
      <c r="AC1014" t="s">
        <v>91</v>
      </c>
      <c r="AD1014" t="s">
        <v>91</v>
      </c>
      <c r="AE1014" t="s">
        <v>91</v>
      </c>
      <c r="AF1014" t="s">
        <v>91</v>
      </c>
      <c r="AG1014" s="1" t="s">
        <v>91</v>
      </c>
      <c r="AH1014" s="1" t="s">
        <v>91</v>
      </c>
      <c r="AI1014" t="s">
        <v>91</v>
      </c>
      <c r="AJ1014">
        <v>0</v>
      </c>
      <c r="AK1014">
        <v>0</v>
      </c>
      <c r="AL1014">
        <v>0</v>
      </c>
      <c r="AM1014" t="s">
        <v>91</v>
      </c>
      <c r="AN1014" t="s">
        <v>91</v>
      </c>
      <c r="AO1014" t="s">
        <v>91</v>
      </c>
      <c r="AP1014" t="s">
        <v>91</v>
      </c>
      <c r="AQ1014" s="1" t="s">
        <v>91</v>
      </c>
      <c r="AR1014" s="1" t="s">
        <v>91</v>
      </c>
      <c r="AS1014" s="1" t="s">
        <v>91</v>
      </c>
      <c r="AT1014" s="1" t="s">
        <v>91</v>
      </c>
      <c r="AU1014" s="1" t="s">
        <v>91</v>
      </c>
      <c r="AV1014" t="s">
        <v>91</v>
      </c>
      <c r="AW1014" t="s">
        <v>91</v>
      </c>
      <c r="AX1014" t="s">
        <v>91</v>
      </c>
      <c r="AY1014" t="s">
        <v>91</v>
      </c>
      <c r="AZ1014" t="s">
        <v>91</v>
      </c>
      <c r="BA1014" t="s">
        <v>91</v>
      </c>
      <c r="BB1014" s="2">
        <v>43308.392812500002</v>
      </c>
      <c r="BC1014" s="2"/>
      <c r="BD1014" t="s">
        <v>91</v>
      </c>
      <c r="BE1014">
        <v>367</v>
      </c>
      <c r="BF1014" s="1" t="s">
        <v>75</v>
      </c>
      <c r="BG1014">
        <v>0</v>
      </c>
      <c r="BH1014">
        <v>0</v>
      </c>
      <c r="BI1014" s="1" t="s">
        <v>88</v>
      </c>
      <c r="BJ1014">
        <v>1</v>
      </c>
      <c r="BK1014" s="1" t="s">
        <v>89</v>
      </c>
      <c r="BL1014" t="s">
        <v>91</v>
      </c>
      <c r="BM1014" s="1" t="s">
        <v>109</v>
      </c>
      <c r="BN1014" s="1" t="s">
        <v>110</v>
      </c>
      <c r="BO1014" s="1" t="s">
        <v>128</v>
      </c>
      <c r="BP1014" s="1" t="s">
        <v>91</v>
      </c>
      <c r="BQ1014" t="s">
        <v>91</v>
      </c>
      <c r="BR1014" s="3">
        <v>43308</v>
      </c>
      <c r="BS1014" s="3"/>
      <c r="BT1014" t="s">
        <v>91</v>
      </c>
      <c r="BU1014" t="s">
        <v>91</v>
      </c>
      <c r="BV1014">
        <v>9</v>
      </c>
      <c r="BW1014" s="1" t="s">
        <v>3578</v>
      </c>
    </row>
    <row r="1015" spans="1:75" hidden="1" x14ac:dyDescent="0.35">
      <c r="A1015">
        <v>152760</v>
      </c>
      <c r="B1015" s="1" t="s">
        <v>75</v>
      </c>
      <c r="C1015">
        <v>80</v>
      </c>
      <c r="D1015">
        <v>11121002</v>
      </c>
      <c r="E1015">
        <v>121002</v>
      </c>
      <c r="F1015" s="1" t="s">
        <v>2915</v>
      </c>
      <c r="G1015" s="1" t="s">
        <v>5672</v>
      </c>
      <c r="H1015">
        <v>0</v>
      </c>
      <c r="I1015" s="1" t="s">
        <v>78</v>
      </c>
      <c r="J1015" s="1" t="s">
        <v>5673</v>
      </c>
      <c r="K1015" s="1" t="s">
        <v>5673</v>
      </c>
      <c r="L1015" t="s">
        <v>91</v>
      </c>
      <c r="M1015" t="s">
        <v>91</v>
      </c>
      <c r="N1015" s="1" t="s">
        <v>5674</v>
      </c>
      <c r="O1015" t="s">
        <v>91</v>
      </c>
      <c r="P1015" s="1" t="s">
        <v>5675</v>
      </c>
      <c r="Q1015" s="1" t="s">
        <v>2277</v>
      </c>
      <c r="R1015" s="1" t="s">
        <v>236</v>
      </c>
      <c r="S1015">
        <v>1259</v>
      </c>
      <c r="T1015">
        <v>88160138</v>
      </c>
      <c r="U1015" s="1" t="s">
        <v>108</v>
      </c>
      <c r="V1015" s="1" t="s">
        <v>3293</v>
      </c>
      <c r="W1015" s="1" t="s">
        <v>87</v>
      </c>
      <c r="Z1015" t="s">
        <v>91</v>
      </c>
      <c r="AA1015" t="s">
        <v>91</v>
      </c>
      <c r="AB1015" t="s">
        <v>91</v>
      </c>
      <c r="AC1015" t="s">
        <v>91</v>
      </c>
      <c r="AD1015" t="s">
        <v>91</v>
      </c>
      <c r="AE1015" t="s">
        <v>91</v>
      </c>
      <c r="AF1015" t="s">
        <v>91</v>
      </c>
      <c r="AG1015" s="1" t="s">
        <v>91</v>
      </c>
      <c r="AH1015" s="1" t="s">
        <v>91</v>
      </c>
      <c r="AI1015" t="s">
        <v>91</v>
      </c>
      <c r="AM1015" t="s">
        <v>91</v>
      </c>
      <c r="AN1015" t="s">
        <v>91</v>
      </c>
      <c r="AO1015" t="s">
        <v>91</v>
      </c>
      <c r="AP1015" t="s">
        <v>91</v>
      </c>
      <c r="AQ1015" s="1" t="s">
        <v>91</v>
      </c>
      <c r="AR1015" s="1" t="s">
        <v>91</v>
      </c>
      <c r="AS1015" s="1" t="s">
        <v>91</v>
      </c>
      <c r="AT1015" s="1" t="s">
        <v>91</v>
      </c>
      <c r="AU1015" s="1" t="s">
        <v>91</v>
      </c>
      <c r="AV1015" t="s">
        <v>91</v>
      </c>
      <c r="AW1015" t="s">
        <v>91</v>
      </c>
      <c r="AX1015" t="s">
        <v>91</v>
      </c>
      <c r="AY1015" t="s">
        <v>91</v>
      </c>
      <c r="AZ1015" t="s">
        <v>91</v>
      </c>
      <c r="BA1015" t="s">
        <v>91</v>
      </c>
      <c r="BB1015" s="2">
        <v>45019.565613425926</v>
      </c>
      <c r="BC1015" s="2"/>
      <c r="BD1015" t="s">
        <v>91</v>
      </c>
      <c r="BF1015" s="1" t="s">
        <v>75</v>
      </c>
      <c r="BI1015" s="1" t="s">
        <v>88</v>
      </c>
      <c r="BJ1015">
        <v>1</v>
      </c>
      <c r="BK1015" s="1" t="s">
        <v>89</v>
      </c>
      <c r="BL1015" t="s">
        <v>91</v>
      </c>
      <c r="BM1015" s="1" t="s">
        <v>91</v>
      </c>
      <c r="BN1015" s="1" t="s">
        <v>91</v>
      </c>
      <c r="BO1015" s="1" t="s">
        <v>91</v>
      </c>
      <c r="BP1015" s="1" t="s">
        <v>91</v>
      </c>
      <c r="BQ1015" t="s">
        <v>91</v>
      </c>
      <c r="BR1015" s="3">
        <v>45019</v>
      </c>
      <c r="BS1015" s="3"/>
      <c r="BT1015" t="s">
        <v>91</v>
      </c>
      <c r="BU1015" t="s">
        <v>91</v>
      </c>
      <c r="BW1015" s="1" t="s">
        <v>90</v>
      </c>
    </row>
    <row r="1016" spans="1:75" hidden="1" x14ac:dyDescent="0.35">
      <c r="A1016">
        <v>292</v>
      </c>
      <c r="B1016" s="1" t="s">
        <v>75</v>
      </c>
      <c r="C1016">
        <v>80</v>
      </c>
      <c r="D1016">
        <v>11121002</v>
      </c>
      <c r="E1016">
        <v>121002</v>
      </c>
      <c r="F1016" s="1" t="s">
        <v>2915</v>
      </c>
      <c r="G1016" s="1" t="s">
        <v>5676</v>
      </c>
      <c r="I1016" s="1" t="s">
        <v>78</v>
      </c>
      <c r="J1016" s="1" t="s">
        <v>5677</v>
      </c>
      <c r="K1016" s="1" t="s">
        <v>5678</v>
      </c>
      <c r="L1016" t="s">
        <v>91</v>
      </c>
      <c r="M1016" t="s">
        <v>91</v>
      </c>
      <c r="N1016" s="1" t="s">
        <v>3950</v>
      </c>
      <c r="O1016" t="s">
        <v>91</v>
      </c>
      <c r="P1016" s="1" t="s">
        <v>3568</v>
      </c>
      <c r="Q1016" s="1" t="s">
        <v>5679</v>
      </c>
      <c r="R1016" s="1" t="s">
        <v>91</v>
      </c>
      <c r="S1016">
        <v>1255</v>
      </c>
      <c r="T1016">
        <v>88015210</v>
      </c>
      <c r="U1016" s="1" t="s">
        <v>108</v>
      </c>
      <c r="V1016" s="1" t="s">
        <v>3102</v>
      </c>
      <c r="W1016" s="1" t="s">
        <v>87</v>
      </c>
      <c r="X1016">
        <v>48</v>
      </c>
      <c r="Y1016">
        <v>30289724</v>
      </c>
      <c r="Z1016" t="s">
        <v>91</v>
      </c>
      <c r="AA1016" t="s">
        <v>91</v>
      </c>
      <c r="AB1016" t="s">
        <v>91</v>
      </c>
      <c r="AC1016" t="s">
        <v>91</v>
      </c>
      <c r="AD1016" t="s">
        <v>91</v>
      </c>
      <c r="AE1016" t="s">
        <v>91</v>
      </c>
      <c r="AF1016" t="s">
        <v>91</v>
      </c>
      <c r="AG1016" s="1" t="s">
        <v>91</v>
      </c>
      <c r="AH1016" s="1" t="s">
        <v>91</v>
      </c>
      <c r="AI1016" t="s">
        <v>91</v>
      </c>
      <c r="AJ1016">
        <v>0</v>
      </c>
      <c r="AK1016">
        <v>0</v>
      </c>
      <c r="AL1016">
        <v>0</v>
      </c>
      <c r="AM1016" t="s">
        <v>91</v>
      </c>
      <c r="AN1016" t="s">
        <v>91</v>
      </c>
      <c r="AO1016" t="s">
        <v>91</v>
      </c>
      <c r="AP1016" t="s">
        <v>91</v>
      </c>
      <c r="AQ1016" s="1" t="s">
        <v>91</v>
      </c>
      <c r="AR1016" s="1" t="s">
        <v>91</v>
      </c>
      <c r="AS1016" s="1" t="s">
        <v>91</v>
      </c>
      <c r="AT1016" s="1" t="s">
        <v>91</v>
      </c>
      <c r="AU1016" s="1" t="s">
        <v>91</v>
      </c>
      <c r="AV1016" t="s">
        <v>91</v>
      </c>
      <c r="AW1016" t="s">
        <v>91</v>
      </c>
      <c r="AX1016" t="s">
        <v>91</v>
      </c>
      <c r="AY1016" t="s">
        <v>91</v>
      </c>
      <c r="AZ1016" t="s">
        <v>91</v>
      </c>
      <c r="BA1016" t="s">
        <v>91</v>
      </c>
      <c r="BB1016" s="2">
        <v>43308.392789351848</v>
      </c>
      <c r="BC1016" s="2"/>
      <c r="BD1016" t="s">
        <v>91</v>
      </c>
      <c r="BE1016">
        <v>292</v>
      </c>
      <c r="BF1016" s="1" t="s">
        <v>75</v>
      </c>
      <c r="BG1016">
        <v>0</v>
      </c>
      <c r="BH1016">
        <v>0</v>
      </c>
      <c r="BI1016" s="1" t="s">
        <v>88</v>
      </c>
      <c r="BJ1016">
        <v>1</v>
      </c>
      <c r="BK1016" s="1" t="s">
        <v>89</v>
      </c>
      <c r="BL1016" t="s">
        <v>91</v>
      </c>
      <c r="BM1016" s="1" t="s">
        <v>164</v>
      </c>
      <c r="BN1016" s="1" t="s">
        <v>148</v>
      </c>
      <c r="BO1016" s="1" t="s">
        <v>165</v>
      </c>
      <c r="BP1016" s="1" t="s">
        <v>91</v>
      </c>
      <c r="BQ1016" t="s">
        <v>91</v>
      </c>
      <c r="BR1016" s="3">
        <v>43308</v>
      </c>
      <c r="BS1016" s="3"/>
      <c r="BT1016" t="s">
        <v>91</v>
      </c>
      <c r="BU1016" t="s">
        <v>91</v>
      </c>
      <c r="BV1016">
        <v>1</v>
      </c>
      <c r="BW1016" s="1" t="s">
        <v>90</v>
      </c>
    </row>
    <row r="1017" spans="1:75" hidden="1" x14ac:dyDescent="0.35">
      <c r="A1017">
        <v>157704</v>
      </c>
      <c r="B1017" s="1" t="s">
        <v>75</v>
      </c>
      <c r="C1017">
        <v>80</v>
      </c>
      <c r="D1017">
        <v>11121002</v>
      </c>
      <c r="E1017">
        <v>121002</v>
      </c>
      <c r="F1017" s="1" t="s">
        <v>2915</v>
      </c>
      <c r="G1017" s="1" t="s">
        <v>5680</v>
      </c>
      <c r="H1017">
        <v>0</v>
      </c>
      <c r="I1017" s="1" t="s">
        <v>78</v>
      </c>
      <c r="J1017" s="1" t="s">
        <v>5681</v>
      </c>
      <c r="K1017" s="1" t="s">
        <v>5682</v>
      </c>
      <c r="L1017" t="s">
        <v>91</v>
      </c>
      <c r="M1017" t="s">
        <v>91</v>
      </c>
      <c r="N1017" s="1" t="s">
        <v>5683</v>
      </c>
      <c r="O1017" t="s">
        <v>91</v>
      </c>
      <c r="P1017" s="1" t="s">
        <v>5684</v>
      </c>
      <c r="Q1017" s="1" t="s">
        <v>163</v>
      </c>
      <c r="R1017" s="1" t="s">
        <v>4791</v>
      </c>
      <c r="S1017">
        <v>1255</v>
      </c>
      <c r="T1017">
        <v>88015203</v>
      </c>
      <c r="U1017" s="1" t="s">
        <v>108</v>
      </c>
      <c r="V1017" s="1" t="s">
        <v>2922</v>
      </c>
      <c r="W1017" s="1" t="s">
        <v>87</v>
      </c>
      <c r="X1017">
        <v>48</v>
      </c>
      <c r="Y1017">
        <v>30289524</v>
      </c>
      <c r="Z1017" t="s">
        <v>91</v>
      </c>
      <c r="AA1017" t="s">
        <v>91</v>
      </c>
      <c r="AB1017" t="s">
        <v>91</v>
      </c>
      <c r="AC1017" t="s">
        <v>91</v>
      </c>
      <c r="AD1017" t="s">
        <v>91</v>
      </c>
      <c r="AE1017" t="s">
        <v>91</v>
      </c>
      <c r="AF1017" t="s">
        <v>91</v>
      </c>
      <c r="AG1017" s="1" t="s">
        <v>91</v>
      </c>
      <c r="AH1017" s="1" t="s">
        <v>91</v>
      </c>
      <c r="AI1017" t="s">
        <v>91</v>
      </c>
      <c r="AM1017" t="s">
        <v>91</v>
      </c>
      <c r="AN1017" t="s">
        <v>91</v>
      </c>
      <c r="AO1017" t="s">
        <v>91</v>
      </c>
      <c r="AP1017" t="s">
        <v>91</v>
      </c>
      <c r="AQ1017" s="1" t="s">
        <v>91</v>
      </c>
      <c r="AR1017" s="1" t="s">
        <v>91</v>
      </c>
      <c r="AS1017" s="1" t="s">
        <v>91</v>
      </c>
      <c r="AT1017" s="1" t="s">
        <v>91</v>
      </c>
      <c r="AU1017" s="1" t="s">
        <v>91</v>
      </c>
      <c r="AV1017" t="s">
        <v>91</v>
      </c>
      <c r="AW1017" t="s">
        <v>91</v>
      </c>
      <c r="AX1017" t="s">
        <v>91</v>
      </c>
      <c r="AY1017" t="s">
        <v>91</v>
      </c>
      <c r="AZ1017" t="s">
        <v>91</v>
      </c>
      <c r="BA1017" t="s">
        <v>91</v>
      </c>
      <c r="BB1017" s="2">
        <v>45118.097175925926</v>
      </c>
      <c r="BC1017" s="2"/>
      <c r="BD1017" t="s">
        <v>91</v>
      </c>
      <c r="BF1017" s="1" t="s">
        <v>75</v>
      </c>
      <c r="BI1017" s="1" t="s">
        <v>88</v>
      </c>
      <c r="BJ1017">
        <v>1</v>
      </c>
      <c r="BK1017" s="1" t="s">
        <v>89</v>
      </c>
      <c r="BL1017" t="s">
        <v>91</v>
      </c>
      <c r="BM1017" s="1" t="s">
        <v>91</v>
      </c>
      <c r="BN1017" s="1" t="s">
        <v>91</v>
      </c>
      <c r="BO1017" s="1" t="s">
        <v>91</v>
      </c>
      <c r="BP1017" s="1" t="s">
        <v>91</v>
      </c>
      <c r="BQ1017" t="s">
        <v>91</v>
      </c>
      <c r="BR1017" s="3">
        <v>45118</v>
      </c>
      <c r="BS1017" s="3"/>
      <c r="BT1017" t="s">
        <v>91</v>
      </c>
      <c r="BU1017" t="s">
        <v>91</v>
      </c>
      <c r="BW1017" s="1" t="s">
        <v>90</v>
      </c>
    </row>
    <row r="1018" spans="1:75" hidden="1" x14ac:dyDescent="0.35">
      <c r="A1018">
        <v>157731</v>
      </c>
      <c r="B1018" s="1" t="s">
        <v>75</v>
      </c>
      <c r="C1018">
        <v>80</v>
      </c>
      <c r="D1018">
        <v>11121002</v>
      </c>
      <c r="E1018">
        <v>121002</v>
      </c>
      <c r="F1018" s="1" t="s">
        <v>2915</v>
      </c>
      <c r="G1018" s="1" t="s">
        <v>5685</v>
      </c>
      <c r="H1018">
        <v>0</v>
      </c>
      <c r="I1018" s="1" t="s">
        <v>78</v>
      </c>
      <c r="J1018" s="1" t="s">
        <v>5686</v>
      </c>
      <c r="K1018" s="1" t="s">
        <v>5687</v>
      </c>
      <c r="L1018" t="s">
        <v>91</v>
      </c>
      <c r="M1018" t="s">
        <v>91</v>
      </c>
      <c r="N1018" s="1" t="s">
        <v>5688</v>
      </c>
      <c r="O1018" t="s">
        <v>91</v>
      </c>
      <c r="P1018" s="1" t="s">
        <v>5689</v>
      </c>
      <c r="Q1018" s="1" t="s">
        <v>1716</v>
      </c>
      <c r="R1018" s="1" t="s">
        <v>320</v>
      </c>
      <c r="S1018">
        <v>1259</v>
      </c>
      <c r="T1018">
        <v>88106555</v>
      </c>
      <c r="U1018" s="1" t="s">
        <v>4055</v>
      </c>
      <c r="V1018" s="1" t="s">
        <v>2958</v>
      </c>
      <c r="W1018" s="1" t="s">
        <v>87</v>
      </c>
      <c r="X1018">
        <v>48</v>
      </c>
      <c r="Y1018">
        <v>32471030</v>
      </c>
      <c r="Z1018" t="s">
        <v>91</v>
      </c>
      <c r="AA1018" t="s">
        <v>91</v>
      </c>
      <c r="AB1018" t="s">
        <v>91</v>
      </c>
      <c r="AC1018" t="s">
        <v>91</v>
      </c>
      <c r="AD1018" t="s">
        <v>91</v>
      </c>
      <c r="AE1018" t="s">
        <v>91</v>
      </c>
      <c r="AF1018" t="s">
        <v>91</v>
      </c>
      <c r="AG1018" s="1" t="s">
        <v>91</v>
      </c>
      <c r="AH1018" s="1" t="s">
        <v>91</v>
      </c>
      <c r="AI1018" t="s">
        <v>91</v>
      </c>
      <c r="AM1018" t="s">
        <v>91</v>
      </c>
      <c r="AN1018" t="s">
        <v>91</v>
      </c>
      <c r="AO1018" t="s">
        <v>91</v>
      </c>
      <c r="AP1018" t="s">
        <v>91</v>
      </c>
      <c r="AQ1018" s="1" t="s">
        <v>91</v>
      </c>
      <c r="AR1018" s="1" t="s">
        <v>91</v>
      </c>
      <c r="AS1018" s="1" t="s">
        <v>91</v>
      </c>
      <c r="AT1018" s="1" t="s">
        <v>91</v>
      </c>
      <c r="AU1018" s="1" t="s">
        <v>91</v>
      </c>
      <c r="AV1018" t="s">
        <v>91</v>
      </c>
      <c r="AW1018" t="s">
        <v>91</v>
      </c>
      <c r="AX1018" t="s">
        <v>91</v>
      </c>
      <c r="AY1018" t="s">
        <v>91</v>
      </c>
      <c r="AZ1018" t="s">
        <v>91</v>
      </c>
      <c r="BA1018" t="s">
        <v>91</v>
      </c>
      <c r="BB1018" s="2">
        <v>45118.097175925926</v>
      </c>
      <c r="BC1018" s="2"/>
      <c r="BD1018" t="s">
        <v>91</v>
      </c>
      <c r="BF1018" s="1" t="s">
        <v>75</v>
      </c>
      <c r="BI1018" s="1" t="s">
        <v>88</v>
      </c>
      <c r="BJ1018">
        <v>1</v>
      </c>
      <c r="BK1018" s="1" t="s">
        <v>89</v>
      </c>
      <c r="BL1018" t="s">
        <v>91</v>
      </c>
      <c r="BM1018" s="1" t="s">
        <v>91</v>
      </c>
      <c r="BN1018" s="1" t="s">
        <v>91</v>
      </c>
      <c r="BO1018" s="1" t="s">
        <v>91</v>
      </c>
      <c r="BP1018" s="1" t="s">
        <v>91</v>
      </c>
      <c r="BQ1018" t="s">
        <v>91</v>
      </c>
      <c r="BR1018" s="3">
        <v>45118</v>
      </c>
      <c r="BS1018" s="3"/>
      <c r="BT1018" t="s">
        <v>91</v>
      </c>
      <c r="BU1018" t="s">
        <v>91</v>
      </c>
      <c r="BW1018" s="1" t="s">
        <v>90</v>
      </c>
    </row>
    <row r="1019" spans="1:75" hidden="1" x14ac:dyDescent="0.35">
      <c r="A1019">
        <v>157702</v>
      </c>
      <c r="B1019" s="1" t="s">
        <v>75</v>
      </c>
      <c r="C1019">
        <v>80</v>
      </c>
      <c r="D1019">
        <v>11121002</v>
      </c>
      <c r="E1019">
        <v>121002</v>
      </c>
      <c r="F1019" s="1" t="s">
        <v>2915</v>
      </c>
      <c r="G1019" s="1" t="s">
        <v>5690</v>
      </c>
      <c r="H1019">
        <v>0</v>
      </c>
      <c r="I1019" s="1" t="s">
        <v>78</v>
      </c>
      <c r="J1019" s="1" t="s">
        <v>5691</v>
      </c>
      <c r="K1019" s="1" t="s">
        <v>5692</v>
      </c>
      <c r="L1019" t="s">
        <v>91</v>
      </c>
      <c r="M1019" t="s">
        <v>91</v>
      </c>
      <c r="N1019" s="1" t="s">
        <v>5693</v>
      </c>
      <c r="O1019" t="s">
        <v>91</v>
      </c>
      <c r="P1019" s="1" t="s">
        <v>5694</v>
      </c>
      <c r="Q1019" s="1" t="s">
        <v>456</v>
      </c>
      <c r="R1019" s="1" t="s">
        <v>236</v>
      </c>
      <c r="T1019">
        <v>88123001</v>
      </c>
      <c r="U1019" s="1" t="s">
        <v>5695</v>
      </c>
      <c r="V1019" s="1" t="s">
        <v>2958</v>
      </c>
      <c r="W1019" s="1" t="s">
        <v>87</v>
      </c>
      <c r="X1019">
        <v>48</v>
      </c>
      <c r="Y1019">
        <v>32470138</v>
      </c>
      <c r="Z1019" t="s">
        <v>91</v>
      </c>
      <c r="AA1019" t="s">
        <v>91</v>
      </c>
      <c r="AB1019" t="s">
        <v>91</v>
      </c>
      <c r="AC1019" t="s">
        <v>91</v>
      </c>
      <c r="AD1019" t="s">
        <v>91</v>
      </c>
      <c r="AE1019" t="s">
        <v>91</v>
      </c>
      <c r="AF1019" t="s">
        <v>91</v>
      </c>
      <c r="AG1019" s="1" t="s">
        <v>91</v>
      </c>
      <c r="AH1019" s="1" t="s">
        <v>91</v>
      </c>
      <c r="AI1019" t="s">
        <v>91</v>
      </c>
      <c r="AM1019" t="s">
        <v>91</v>
      </c>
      <c r="AN1019" t="s">
        <v>91</v>
      </c>
      <c r="AO1019" t="s">
        <v>91</v>
      </c>
      <c r="AP1019" t="s">
        <v>91</v>
      </c>
      <c r="AQ1019" s="1" t="s">
        <v>91</v>
      </c>
      <c r="AR1019" s="1" t="s">
        <v>91</v>
      </c>
      <c r="AS1019" s="1" t="s">
        <v>91</v>
      </c>
      <c r="AT1019" s="1" t="s">
        <v>91</v>
      </c>
      <c r="AU1019" s="1" t="s">
        <v>91</v>
      </c>
      <c r="AV1019" t="s">
        <v>91</v>
      </c>
      <c r="AW1019" t="s">
        <v>91</v>
      </c>
      <c r="AX1019" t="s">
        <v>91</v>
      </c>
      <c r="AY1019" t="s">
        <v>91</v>
      </c>
      <c r="AZ1019" t="s">
        <v>91</v>
      </c>
      <c r="BA1019" t="s">
        <v>91</v>
      </c>
      <c r="BB1019" s="2">
        <v>45118.097175925926</v>
      </c>
      <c r="BC1019" s="2"/>
      <c r="BD1019" t="s">
        <v>91</v>
      </c>
      <c r="BF1019" s="1" t="s">
        <v>75</v>
      </c>
      <c r="BI1019" s="1" t="s">
        <v>88</v>
      </c>
      <c r="BJ1019">
        <v>1</v>
      </c>
      <c r="BK1019" s="1" t="s">
        <v>89</v>
      </c>
      <c r="BL1019" t="s">
        <v>91</v>
      </c>
      <c r="BM1019" s="1" t="s">
        <v>91</v>
      </c>
      <c r="BN1019" s="1" t="s">
        <v>91</v>
      </c>
      <c r="BO1019" s="1" t="s">
        <v>91</v>
      </c>
      <c r="BP1019" s="1" t="s">
        <v>91</v>
      </c>
      <c r="BQ1019" t="s">
        <v>91</v>
      </c>
      <c r="BR1019" s="3">
        <v>45118</v>
      </c>
      <c r="BS1019" s="3"/>
      <c r="BT1019" t="s">
        <v>91</v>
      </c>
      <c r="BU1019" t="s">
        <v>91</v>
      </c>
      <c r="BW1019" s="1" t="s">
        <v>90</v>
      </c>
    </row>
    <row r="1020" spans="1:75" hidden="1" x14ac:dyDescent="0.35">
      <c r="A1020">
        <v>134282</v>
      </c>
      <c r="B1020" s="1" t="s">
        <v>75</v>
      </c>
      <c r="C1020">
        <v>80</v>
      </c>
      <c r="D1020">
        <v>11121002</v>
      </c>
      <c r="E1020">
        <v>121002</v>
      </c>
      <c r="F1020" s="1" t="s">
        <v>2915</v>
      </c>
      <c r="G1020" s="1" t="s">
        <v>5696</v>
      </c>
      <c r="I1020" s="1" t="s">
        <v>78</v>
      </c>
      <c r="J1020" s="1" t="s">
        <v>5697</v>
      </c>
      <c r="K1020" s="1" t="s">
        <v>5698</v>
      </c>
      <c r="L1020" t="s">
        <v>91</v>
      </c>
      <c r="M1020" t="s">
        <v>91</v>
      </c>
      <c r="N1020" s="1" t="s">
        <v>5699</v>
      </c>
      <c r="O1020" t="s">
        <v>91</v>
      </c>
      <c r="P1020" s="1" t="s">
        <v>5670</v>
      </c>
      <c r="Q1020" s="1" t="s">
        <v>3000</v>
      </c>
      <c r="R1020" s="1" t="s">
        <v>91</v>
      </c>
      <c r="S1020">
        <v>1254</v>
      </c>
      <c r="T1020">
        <v>88010010</v>
      </c>
      <c r="U1020" s="1" t="s">
        <v>108</v>
      </c>
      <c r="V1020" s="1" t="s">
        <v>3102</v>
      </c>
      <c r="W1020" s="1" t="s">
        <v>87</v>
      </c>
      <c r="X1020">
        <v>48</v>
      </c>
      <c r="Y1020">
        <v>32229588</v>
      </c>
      <c r="Z1020" t="s">
        <v>91</v>
      </c>
      <c r="AA1020" t="s">
        <v>91</v>
      </c>
      <c r="AB1020" t="s">
        <v>91</v>
      </c>
      <c r="AC1020" t="s">
        <v>91</v>
      </c>
      <c r="AD1020" t="s">
        <v>91</v>
      </c>
      <c r="AE1020" t="s">
        <v>91</v>
      </c>
      <c r="AF1020" t="s">
        <v>91</v>
      </c>
      <c r="AG1020" s="1" t="s">
        <v>146</v>
      </c>
      <c r="AH1020" s="1" t="s">
        <v>91</v>
      </c>
      <c r="AI1020" t="s">
        <v>91</v>
      </c>
      <c r="AJ1020">
        <v>0</v>
      </c>
      <c r="AK1020">
        <v>0</v>
      </c>
      <c r="AL1020">
        <v>0</v>
      </c>
      <c r="AM1020" t="s">
        <v>91</v>
      </c>
      <c r="AN1020" t="s">
        <v>91</v>
      </c>
      <c r="AO1020" t="s">
        <v>91</v>
      </c>
      <c r="AP1020" t="s">
        <v>91</v>
      </c>
      <c r="AQ1020" s="1" t="s">
        <v>147</v>
      </c>
      <c r="AR1020" s="1" t="s">
        <v>147</v>
      </c>
      <c r="AS1020" s="1" t="s">
        <v>147</v>
      </c>
      <c r="AT1020" s="1" t="s">
        <v>147</v>
      </c>
      <c r="AU1020" s="1" t="s">
        <v>147</v>
      </c>
      <c r="AV1020" t="s">
        <v>91</v>
      </c>
      <c r="AW1020" t="s">
        <v>91</v>
      </c>
      <c r="AX1020" t="s">
        <v>91</v>
      </c>
      <c r="AY1020" t="s">
        <v>91</v>
      </c>
      <c r="AZ1020" t="s">
        <v>91</v>
      </c>
      <c r="BA1020" t="s">
        <v>91</v>
      </c>
      <c r="BB1020" s="2"/>
      <c r="BC1020" s="2">
        <v>44662.436111111114</v>
      </c>
      <c r="BD1020" t="s">
        <v>91</v>
      </c>
      <c r="BF1020" s="1" t="s">
        <v>75</v>
      </c>
      <c r="BG1020">
        <v>0</v>
      </c>
      <c r="BH1020">
        <v>0</v>
      </c>
      <c r="BI1020" s="1" t="s">
        <v>88</v>
      </c>
      <c r="BJ1020">
        <v>1</v>
      </c>
      <c r="BK1020" s="1" t="s">
        <v>89</v>
      </c>
      <c r="BL1020" t="s">
        <v>91</v>
      </c>
      <c r="BM1020" s="1" t="s">
        <v>109</v>
      </c>
      <c r="BN1020" s="1" t="s">
        <v>110</v>
      </c>
      <c r="BO1020" s="1" t="s">
        <v>1040</v>
      </c>
      <c r="BP1020" s="1" t="s">
        <v>91</v>
      </c>
      <c r="BQ1020" t="s">
        <v>91</v>
      </c>
      <c r="BR1020" s="3"/>
      <c r="BS1020" s="3">
        <v>44662</v>
      </c>
      <c r="BT1020" t="s">
        <v>91</v>
      </c>
      <c r="BU1020" t="s">
        <v>91</v>
      </c>
      <c r="BV1020">
        <v>6</v>
      </c>
      <c r="BW1020" s="1" t="s">
        <v>255</v>
      </c>
    </row>
    <row r="1021" spans="1:75" hidden="1" x14ac:dyDescent="0.35">
      <c r="A1021">
        <v>127486</v>
      </c>
      <c r="B1021" s="1" t="s">
        <v>75</v>
      </c>
      <c r="C1021">
        <v>80</v>
      </c>
      <c r="D1021">
        <v>11121002</v>
      </c>
      <c r="E1021">
        <v>121002</v>
      </c>
      <c r="F1021" s="1" t="s">
        <v>2915</v>
      </c>
      <c r="G1021" s="1" t="s">
        <v>5700</v>
      </c>
      <c r="H1021">
        <v>0</v>
      </c>
      <c r="I1021" s="1" t="s">
        <v>78</v>
      </c>
      <c r="J1021" s="1" t="s">
        <v>5701</v>
      </c>
      <c r="K1021" s="1" t="s">
        <v>5702</v>
      </c>
      <c r="L1021" t="s">
        <v>91</v>
      </c>
      <c r="M1021" t="s">
        <v>91</v>
      </c>
      <c r="N1021" s="1" t="s">
        <v>5703</v>
      </c>
      <c r="O1021" t="s">
        <v>91</v>
      </c>
      <c r="P1021" s="1" t="s">
        <v>5704</v>
      </c>
      <c r="Q1021" s="1" t="s">
        <v>244</v>
      </c>
      <c r="R1021" s="1" t="s">
        <v>5705</v>
      </c>
      <c r="S1021">
        <v>1256</v>
      </c>
      <c r="T1021">
        <v>88020000</v>
      </c>
      <c r="U1021" s="1" t="s">
        <v>108</v>
      </c>
      <c r="V1021" s="1" t="s">
        <v>3102</v>
      </c>
      <c r="W1021" s="1" t="s">
        <v>87</v>
      </c>
      <c r="X1021">
        <v>48</v>
      </c>
      <c r="Y1021">
        <v>32229602</v>
      </c>
      <c r="Z1021" t="s">
        <v>91</v>
      </c>
      <c r="AA1021" t="s">
        <v>91</v>
      </c>
      <c r="AB1021" t="s">
        <v>91</v>
      </c>
      <c r="AC1021" t="s">
        <v>91</v>
      </c>
      <c r="AD1021" t="s">
        <v>91</v>
      </c>
      <c r="AE1021" t="s">
        <v>91</v>
      </c>
      <c r="AF1021" t="s">
        <v>91</v>
      </c>
      <c r="AG1021" s="1" t="s">
        <v>91</v>
      </c>
      <c r="AH1021" s="1" t="s">
        <v>91</v>
      </c>
      <c r="AI1021" t="s">
        <v>91</v>
      </c>
      <c r="AJ1021">
        <v>0</v>
      </c>
      <c r="AK1021">
        <v>0</v>
      </c>
      <c r="AL1021">
        <v>0</v>
      </c>
      <c r="AM1021" t="s">
        <v>91</v>
      </c>
      <c r="AN1021" t="s">
        <v>91</v>
      </c>
      <c r="AO1021" t="s">
        <v>91</v>
      </c>
      <c r="AP1021" t="s">
        <v>91</v>
      </c>
      <c r="AQ1021" s="1" t="s">
        <v>91</v>
      </c>
      <c r="AR1021" s="1" t="s">
        <v>91</v>
      </c>
      <c r="AS1021" s="1" t="s">
        <v>91</v>
      </c>
      <c r="AT1021" s="1" t="s">
        <v>91</v>
      </c>
      <c r="AU1021" s="1" t="s">
        <v>91</v>
      </c>
      <c r="AV1021" t="s">
        <v>91</v>
      </c>
      <c r="AW1021" t="s">
        <v>91</v>
      </c>
      <c r="AX1021" t="s">
        <v>91</v>
      </c>
      <c r="AY1021" t="s">
        <v>91</v>
      </c>
      <c r="AZ1021" t="s">
        <v>91</v>
      </c>
      <c r="BA1021" t="s">
        <v>91</v>
      </c>
      <c r="BB1021" s="2">
        <v>44111.380995370368</v>
      </c>
      <c r="BC1021" s="2"/>
      <c r="BD1021" t="s">
        <v>91</v>
      </c>
      <c r="BF1021" s="1" t="s">
        <v>75</v>
      </c>
      <c r="BG1021">
        <v>0</v>
      </c>
      <c r="BH1021">
        <v>0</v>
      </c>
      <c r="BI1021" s="1" t="s">
        <v>88</v>
      </c>
      <c r="BJ1021">
        <v>1</v>
      </c>
      <c r="BK1021" s="1" t="s">
        <v>89</v>
      </c>
      <c r="BL1021" t="s">
        <v>91</v>
      </c>
      <c r="BM1021" s="1" t="s">
        <v>109</v>
      </c>
      <c r="BN1021" s="1" t="s">
        <v>110</v>
      </c>
      <c r="BO1021" s="1" t="s">
        <v>128</v>
      </c>
      <c r="BP1021" s="1" t="s">
        <v>91</v>
      </c>
      <c r="BQ1021" t="s">
        <v>91</v>
      </c>
      <c r="BR1021" s="3">
        <v>44111</v>
      </c>
      <c r="BS1021" s="3"/>
      <c r="BT1021" t="s">
        <v>91</v>
      </c>
      <c r="BU1021" t="s">
        <v>91</v>
      </c>
      <c r="BV1021">
        <v>9</v>
      </c>
      <c r="BW1021" s="1" t="s">
        <v>90</v>
      </c>
    </row>
    <row r="1022" spans="1:75" hidden="1" x14ac:dyDescent="0.35">
      <c r="A1022">
        <v>134334</v>
      </c>
      <c r="B1022" s="1" t="s">
        <v>75</v>
      </c>
      <c r="C1022">
        <v>80</v>
      </c>
      <c r="D1022">
        <v>11121002</v>
      </c>
      <c r="E1022">
        <v>121002</v>
      </c>
      <c r="F1022" s="1" t="s">
        <v>2915</v>
      </c>
      <c r="G1022" s="1" t="s">
        <v>5706</v>
      </c>
      <c r="I1022" s="1" t="s">
        <v>78</v>
      </c>
      <c r="J1022" s="1" t="s">
        <v>5707</v>
      </c>
      <c r="K1022" s="1" t="s">
        <v>5708</v>
      </c>
      <c r="L1022" t="s">
        <v>91</v>
      </c>
      <c r="M1022" t="s">
        <v>91</v>
      </c>
      <c r="N1022" s="1" t="s">
        <v>5709</v>
      </c>
      <c r="O1022" t="s">
        <v>91</v>
      </c>
      <c r="P1022" s="1" t="s">
        <v>311</v>
      </c>
      <c r="Q1022" s="1" t="s">
        <v>3153</v>
      </c>
      <c r="R1022" s="1" t="s">
        <v>5710</v>
      </c>
      <c r="S1022">
        <v>1254</v>
      </c>
      <c r="T1022">
        <v>88010000</v>
      </c>
      <c r="U1022" s="1" t="s">
        <v>108</v>
      </c>
      <c r="V1022" s="1" t="s">
        <v>3102</v>
      </c>
      <c r="W1022" s="1" t="s">
        <v>87</v>
      </c>
      <c r="X1022">
        <v>48</v>
      </c>
      <c r="Y1022">
        <v>32241879</v>
      </c>
      <c r="Z1022" t="s">
        <v>91</v>
      </c>
      <c r="AA1022" t="s">
        <v>91</v>
      </c>
      <c r="AB1022" t="s">
        <v>91</v>
      </c>
      <c r="AC1022" t="s">
        <v>91</v>
      </c>
      <c r="AD1022" t="s">
        <v>91</v>
      </c>
      <c r="AE1022" t="s">
        <v>91</v>
      </c>
      <c r="AF1022" t="s">
        <v>91</v>
      </c>
      <c r="AG1022" s="1" t="s">
        <v>146</v>
      </c>
      <c r="AH1022" s="1" t="s">
        <v>91</v>
      </c>
      <c r="AI1022" t="s">
        <v>91</v>
      </c>
      <c r="AM1022" t="s">
        <v>91</v>
      </c>
      <c r="AN1022" t="s">
        <v>91</v>
      </c>
      <c r="AO1022" t="s">
        <v>91</v>
      </c>
      <c r="AP1022" t="s">
        <v>91</v>
      </c>
      <c r="AQ1022" s="1" t="s">
        <v>147</v>
      </c>
      <c r="AR1022" s="1" t="s">
        <v>147</v>
      </c>
      <c r="AS1022" s="1" t="s">
        <v>147</v>
      </c>
      <c r="AT1022" s="1" t="s">
        <v>147</v>
      </c>
      <c r="AU1022" s="1" t="s">
        <v>147</v>
      </c>
      <c r="AV1022" t="s">
        <v>91</v>
      </c>
      <c r="AW1022" t="s">
        <v>91</v>
      </c>
      <c r="AX1022" t="s">
        <v>91</v>
      </c>
      <c r="AY1022" t="s">
        <v>91</v>
      </c>
      <c r="AZ1022" t="s">
        <v>91</v>
      </c>
      <c r="BA1022" t="s">
        <v>91</v>
      </c>
      <c r="BB1022" s="2"/>
      <c r="BC1022" s="2">
        <v>44608.435995370368</v>
      </c>
      <c r="BD1022" t="s">
        <v>91</v>
      </c>
      <c r="BF1022" s="1" t="s">
        <v>75</v>
      </c>
      <c r="BH1022">
        <v>0</v>
      </c>
      <c r="BI1022" s="1" t="s">
        <v>88</v>
      </c>
      <c r="BJ1022">
        <v>1</v>
      </c>
      <c r="BK1022" s="1" t="s">
        <v>89</v>
      </c>
      <c r="BL1022" t="s">
        <v>91</v>
      </c>
      <c r="BM1022" s="1" t="s">
        <v>109</v>
      </c>
      <c r="BN1022" s="1" t="s">
        <v>110</v>
      </c>
      <c r="BO1022" s="1" t="s">
        <v>165</v>
      </c>
      <c r="BP1022" s="1" t="s">
        <v>91</v>
      </c>
      <c r="BQ1022" t="s">
        <v>91</v>
      </c>
      <c r="BR1022" s="3"/>
      <c r="BS1022" s="3">
        <v>44608</v>
      </c>
      <c r="BT1022" t="s">
        <v>91</v>
      </c>
      <c r="BU1022" t="s">
        <v>91</v>
      </c>
      <c r="BV1022">
        <v>9</v>
      </c>
      <c r="BW1022" s="1" t="s">
        <v>388</v>
      </c>
    </row>
    <row r="1023" spans="1:75" hidden="1" x14ac:dyDescent="0.35">
      <c r="A1023">
        <v>134335</v>
      </c>
      <c r="B1023" s="1" t="s">
        <v>75</v>
      </c>
      <c r="C1023">
        <v>80</v>
      </c>
      <c r="D1023">
        <v>11121002</v>
      </c>
      <c r="E1023">
        <v>121002</v>
      </c>
      <c r="F1023" s="1" t="s">
        <v>2915</v>
      </c>
      <c r="G1023" s="1" t="s">
        <v>5711</v>
      </c>
      <c r="I1023" s="1" t="s">
        <v>78</v>
      </c>
      <c r="J1023" s="1" t="s">
        <v>5707</v>
      </c>
      <c r="K1023" s="1" t="s">
        <v>5712</v>
      </c>
      <c r="L1023" t="s">
        <v>91</v>
      </c>
      <c r="M1023" t="s">
        <v>91</v>
      </c>
      <c r="N1023" s="1" t="s">
        <v>5713</v>
      </c>
      <c r="O1023" t="s">
        <v>91</v>
      </c>
      <c r="P1023" s="1" t="s">
        <v>311</v>
      </c>
      <c r="Q1023" s="1" t="s">
        <v>3101</v>
      </c>
      <c r="R1023" s="1" t="s">
        <v>417</v>
      </c>
      <c r="S1023">
        <v>1254</v>
      </c>
      <c r="T1023">
        <v>88010000</v>
      </c>
      <c r="U1023" s="1" t="s">
        <v>108</v>
      </c>
      <c r="V1023" s="1" t="s">
        <v>2922</v>
      </c>
      <c r="W1023" s="1" t="s">
        <v>87</v>
      </c>
      <c r="X1023">
        <v>48</v>
      </c>
      <c r="Y1023">
        <v>32223490</v>
      </c>
      <c r="Z1023" t="s">
        <v>91</v>
      </c>
      <c r="AA1023" t="s">
        <v>91</v>
      </c>
      <c r="AB1023" t="s">
        <v>91</v>
      </c>
      <c r="AC1023" t="s">
        <v>91</v>
      </c>
      <c r="AD1023" t="s">
        <v>91</v>
      </c>
      <c r="AE1023" t="s">
        <v>91</v>
      </c>
      <c r="AF1023" t="s">
        <v>91</v>
      </c>
      <c r="AG1023" s="1" t="s">
        <v>91</v>
      </c>
      <c r="AH1023" s="1" t="s">
        <v>91</v>
      </c>
      <c r="AI1023" t="s">
        <v>91</v>
      </c>
      <c r="AM1023" t="s">
        <v>91</v>
      </c>
      <c r="AN1023" t="s">
        <v>91</v>
      </c>
      <c r="AO1023" t="s">
        <v>91</v>
      </c>
      <c r="AP1023" t="s">
        <v>91</v>
      </c>
      <c r="AQ1023" s="1" t="s">
        <v>91</v>
      </c>
      <c r="AR1023" s="1" t="s">
        <v>91</v>
      </c>
      <c r="AS1023" s="1" t="s">
        <v>91</v>
      </c>
      <c r="AT1023" s="1" t="s">
        <v>91</v>
      </c>
      <c r="AU1023" s="1" t="s">
        <v>91</v>
      </c>
      <c r="AV1023" t="s">
        <v>91</v>
      </c>
      <c r="AW1023" t="s">
        <v>91</v>
      </c>
      <c r="AX1023" t="s">
        <v>91</v>
      </c>
      <c r="AY1023" t="s">
        <v>91</v>
      </c>
      <c r="AZ1023" t="s">
        <v>91</v>
      </c>
      <c r="BA1023" t="s">
        <v>91</v>
      </c>
      <c r="BB1023" s="2"/>
      <c r="BC1023" s="2"/>
      <c r="BD1023" t="s">
        <v>91</v>
      </c>
      <c r="BF1023" s="1" t="s">
        <v>75</v>
      </c>
      <c r="BI1023" s="1" t="s">
        <v>88</v>
      </c>
      <c r="BJ1023">
        <v>1</v>
      </c>
      <c r="BK1023" s="1" t="s">
        <v>89</v>
      </c>
      <c r="BL1023" t="s">
        <v>91</v>
      </c>
      <c r="BM1023" s="1" t="s">
        <v>109</v>
      </c>
      <c r="BN1023" s="1" t="s">
        <v>110</v>
      </c>
      <c r="BO1023" s="1" t="s">
        <v>180</v>
      </c>
      <c r="BP1023" s="1" t="s">
        <v>91</v>
      </c>
      <c r="BQ1023" t="s">
        <v>91</v>
      </c>
      <c r="BR1023" s="3"/>
      <c r="BS1023" s="3"/>
      <c r="BT1023" t="s">
        <v>91</v>
      </c>
      <c r="BU1023" t="s">
        <v>91</v>
      </c>
      <c r="BV1023">
        <v>9</v>
      </c>
      <c r="BW1023" s="1" t="s">
        <v>5714</v>
      </c>
    </row>
    <row r="1024" spans="1:75" hidden="1" x14ac:dyDescent="0.35">
      <c r="A1024">
        <v>156863</v>
      </c>
      <c r="B1024" s="1" t="s">
        <v>75</v>
      </c>
      <c r="C1024">
        <v>80</v>
      </c>
      <c r="D1024">
        <v>11121002</v>
      </c>
      <c r="E1024">
        <v>121002</v>
      </c>
      <c r="F1024" s="1" t="s">
        <v>2915</v>
      </c>
      <c r="G1024" s="1" t="s">
        <v>5715</v>
      </c>
      <c r="H1024">
        <v>0</v>
      </c>
      <c r="I1024" s="1" t="s">
        <v>78</v>
      </c>
      <c r="J1024" s="1" t="s">
        <v>5716</v>
      </c>
      <c r="K1024" s="1" t="s">
        <v>5717</v>
      </c>
      <c r="L1024" t="s">
        <v>91</v>
      </c>
      <c r="M1024" t="s">
        <v>91</v>
      </c>
      <c r="N1024" s="1" t="s">
        <v>5718</v>
      </c>
      <c r="O1024" t="s">
        <v>91</v>
      </c>
      <c r="P1024" s="1" t="s">
        <v>3083</v>
      </c>
      <c r="Q1024" s="1" t="s">
        <v>2580</v>
      </c>
      <c r="R1024" s="1" t="s">
        <v>91</v>
      </c>
      <c r="T1024">
        <v>88201010</v>
      </c>
      <c r="U1024" s="1" t="s">
        <v>108</v>
      </c>
      <c r="V1024" s="1" t="s">
        <v>3335</v>
      </c>
      <c r="W1024" s="1" t="s">
        <v>87</v>
      </c>
      <c r="X1024">
        <v>49</v>
      </c>
      <c r="Y1024">
        <v>30344395</v>
      </c>
      <c r="Z1024" t="s">
        <v>91</v>
      </c>
      <c r="AA1024" t="s">
        <v>91</v>
      </c>
      <c r="AB1024" t="s">
        <v>91</v>
      </c>
      <c r="AC1024" t="s">
        <v>91</v>
      </c>
      <c r="AD1024" t="s">
        <v>91</v>
      </c>
      <c r="AE1024" t="s">
        <v>91</v>
      </c>
      <c r="AF1024" t="s">
        <v>91</v>
      </c>
      <c r="AG1024" s="1" t="s">
        <v>91</v>
      </c>
      <c r="AH1024" s="1" t="s">
        <v>91</v>
      </c>
      <c r="AI1024" t="s">
        <v>91</v>
      </c>
      <c r="AM1024" t="s">
        <v>91</v>
      </c>
      <c r="AN1024" t="s">
        <v>91</v>
      </c>
      <c r="AO1024" t="s">
        <v>91</v>
      </c>
      <c r="AP1024" t="s">
        <v>91</v>
      </c>
      <c r="AQ1024" s="1" t="s">
        <v>91</v>
      </c>
      <c r="AR1024" s="1" t="s">
        <v>91</v>
      </c>
      <c r="AS1024" s="1" t="s">
        <v>91</v>
      </c>
      <c r="AT1024" s="1" t="s">
        <v>91</v>
      </c>
      <c r="AU1024" s="1" t="s">
        <v>91</v>
      </c>
      <c r="AV1024" t="s">
        <v>91</v>
      </c>
      <c r="AW1024" t="s">
        <v>91</v>
      </c>
      <c r="AX1024" t="s">
        <v>91</v>
      </c>
      <c r="AY1024" t="s">
        <v>91</v>
      </c>
      <c r="AZ1024" t="s">
        <v>91</v>
      </c>
      <c r="BA1024" t="s">
        <v>91</v>
      </c>
      <c r="BB1024" s="2">
        <v>45113.505416666667</v>
      </c>
      <c r="BC1024" s="2"/>
      <c r="BD1024" t="s">
        <v>91</v>
      </c>
      <c r="BF1024" s="1" t="s">
        <v>75</v>
      </c>
      <c r="BI1024" s="1" t="s">
        <v>88</v>
      </c>
      <c r="BJ1024">
        <v>1</v>
      </c>
      <c r="BK1024" s="1" t="s">
        <v>89</v>
      </c>
      <c r="BL1024" t="s">
        <v>91</v>
      </c>
      <c r="BM1024" s="1" t="s">
        <v>91</v>
      </c>
      <c r="BN1024" s="1" t="s">
        <v>91</v>
      </c>
      <c r="BO1024" s="1" t="s">
        <v>91</v>
      </c>
      <c r="BP1024" s="1" t="s">
        <v>91</v>
      </c>
      <c r="BQ1024" t="s">
        <v>91</v>
      </c>
      <c r="BR1024" s="3">
        <v>45113</v>
      </c>
      <c r="BS1024" s="3"/>
      <c r="BT1024" t="s">
        <v>91</v>
      </c>
      <c r="BU1024" t="s">
        <v>91</v>
      </c>
      <c r="BW1024" s="1" t="s">
        <v>90</v>
      </c>
    </row>
    <row r="1025" spans="1:75" hidden="1" x14ac:dyDescent="0.35">
      <c r="A1025">
        <v>156864</v>
      </c>
      <c r="B1025" s="1" t="s">
        <v>75</v>
      </c>
      <c r="C1025">
        <v>80</v>
      </c>
      <c r="D1025">
        <v>11121002</v>
      </c>
      <c r="E1025">
        <v>121002</v>
      </c>
      <c r="F1025" s="1" t="s">
        <v>2915</v>
      </c>
      <c r="G1025" s="1" t="s">
        <v>5719</v>
      </c>
      <c r="H1025">
        <v>0</v>
      </c>
      <c r="I1025" s="1" t="s">
        <v>78</v>
      </c>
      <c r="J1025" s="1" t="s">
        <v>5716</v>
      </c>
      <c r="K1025" s="1" t="s">
        <v>5720</v>
      </c>
      <c r="L1025" t="s">
        <v>91</v>
      </c>
      <c r="M1025" t="s">
        <v>91</v>
      </c>
      <c r="N1025" s="1" t="s">
        <v>5718</v>
      </c>
      <c r="O1025" t="s">
        <v>91</v>
      </c>
      <c r="P1025" s="1" t="s">
        <v>5721</v>
      </c>
      <c r="Q1025" s="1" t="s">
        <v>5722</v>
      </c>
      <c r="R1025" s="1" t="s">
        <v>370</v>
      </c>
      <c r="S1025">
        <v>1267</v>
      </c>
      <c r="T1025">
        <v>88650000</v>
      </c>
      <c r="U1025" s="1" t="s">
        <v>5723</v>
      </c>
      <c r="V1025" s="1" t="s">
        <v>3352</v>
      </c>
      <c r="W1025" s="1" t="s">
        <v>87</v>
      </c>
      <c r="X1025">
        <v>49</v>
      </c>
      <c r="Y1025">
        <v>30344395</v>
      </c>
      <c r="Z1025" t="s">
        <v>91</v>
      </c>
      <c r="AA1025" t="s">
        <v>91</v>
      </c>
      <c r="AB1025" t="s">
        <v>91</v>
      </c>
      <c r="AC1025" t="s">
        <v>91</v>
      </c>
      <c r="AD1025" t="s">
        <v>91</v>
      </c>
      <c r="AE1025" t="s">
        <v>91</v>
      </c>
      <c r="AF1025" t="s">
        <v>91</v>
      </c>
      <c r="AG1025" s="1" t="s">
        <v>91</v>
      </c>
      <c r="AH1025" s="1" t="s">
        <v>91</v>
      </c>
      <c r="AI1025" t="s">
        <v>91</v>
      </c>
      <c r="AM1025" t="s">
        <v>91</v>
      </c>
      <c r="AN1025" t="s">
        <v>91</v>
      </c>
      <c r="AO1025" t="s">
        <v>91</v>
      </c>
      <c r="AP1025" t="s">
        <v>91</v>
      </c>
      <c r="AQ1025" s="1" t="s">
        <v>91</v>
      </c>
      <c r="AR1025" s="1" t="s">
        <v>91</v>
      </c>
      <c r="AS1025" s="1" t="s">
        <v>91</v>
      </c>
      <c r="AT1025" s="1" t="s">
        <v>91</v>
      </c>
      <c r="AU1025" s="1" t="s">
        <v>91</v>
      </c>
      <c r="AV1025" t="s">
        <v>91</v>
      </c>
      <c r="AW1025" t="s">
        <v>91</v>
      </c>
      <c r="AX1025" t="s">
        <v>91</v>
      </c>
      <c r="AY1025" t="s">
        <v>91</v>
      </c>
      <c r="AZ1025" t="s">
        <v>91</v>
      </c>
      <c r="BA1025" t="s">
        <v>91</v>
      </c>
      <c r="BB1025" s="2">
        <v>45113.505416666667</v>
      </c>
      <c r="BC1025" s="2"/>
      <c r="BD1025" t="s">
        <v>91</v>
      </c>
      <c r="BF1025" s="1" t="s">
        <v>75</v>
      </c>
      <c r="BI1025" s="1" t="s">
        <v>88</v>
      </c>
      <c r="BJ1025">
        <v>1</v>
      </c>
      <c r="BK1025" s="1" t="s">
        <v>89</v>
      </c>
      <c r="BL1025" t="s">
        <v>91</v>
      </c>
      <c r="BM1025" s="1" t="s">
        <v>91</v>
      </c>
      <c r="BN1025" s="1" t="s">
        <v>91</v>
      </c>
      <c r="BO1025" s="1" t="s">
        <v>91</v>
      </c>
      <c r="BP1025" s="1" t="s">
        <v>91</v>
      </c>
      <c r="BQ1025" t="s">
        <v>91</v>
      </c>
      <c r="BR1025" s="3">
        <v>45113</v>
      </c>
      <c r="BS1025" s="3"/>
      <c r="BT1025" t="s">
        <v>91</v>
      </c>
      <c r="BU1025" t="s">
        <v>91</v>
      </c>
      <c r="BW1025" s="1" t="s">
        <v>90</v>
      </c>
    </row>
    <row r="1026" spans="1:75" hidden="1" x14ac:dyDescent="0.35">
      <c r="A1026">
        <v>144502</v>
      </c>
      <c r="B1026" s="1" t="s">
        <v>75</v>
      </c>
      <c r="C1026">
        <v>80</v>
      </c>
      <c r="D1026">
        <v>11121002</v>
      </c>
      <c r="E1026">
        <v>121002</v>
      </c>
      <c r="F1026" s="1" t="s">
        <v>2915</v>
      </c>
      <c r="G1026" s="1" t="s">
        <v>5724</v>
      </c>
      <c r="I1026" s="1" t="s">
        <v>78</v>
      </c>
      <c r="J1026" s="1" t="s">
        <v>5725</v>
      </c>
      <c r="K1026" s="1" t="s">
        <v>5726</v>
      </c>
      <c r="L1026" t="s">
        <v>91</v>
      </c>
      <c r="M1026" t="s">
        <v>91</v>
      </c>
      <c r="N1026" s="1" t="s">
        <v>5727</v>
      </c>
      <c r="O1026" t="s">
        <v>91</v>
      </c>
      <c r="P1026" s="1" t="s">
        <v>3179</v>
      </c>
      <c r="Q1026" s="1" t="s">
        <v>5728</v>
      </c>
      <c r="R1026" s="1" t="s">
        <v>370</v>
      </c>
      <c r="S1026">
        <v>1269</v>
      </c>
      <c r="T1026">
        <v>88820000</v>
      </c>
      <c r="U1026" s="1" t="s">
        <v>108</v>
      </c>
      <c r="V1026" s="1" t="s">
        <v>3181</v>
      </c>
      <c r="W1026" s="1" t="s">
        <v>87</v>
      </c>
      <c r="X1026">
        <v>48</v>
      </c>
      <c r="Y1026">
        <v>34322513</v>
      </c>
      <c r="Z1026" t="s">
        <v>91</v>
      </c>
      <c r="AA1026" t="s">
        <v>91</v>
      </c>
      <c r="AB1026" t="s">
        <v>91</v>
      </c>
      <c r="AC1026" t="s">
        <v>91</v>
      </c>
      <c r="AD1026" t="s">
        <v>91</v>
      </c>
      <c r="AE1026" t="s">
        <v>91</v>
      </c>
      <c r="AF1026" t="s">
        <v>91</v>
      </c>
      <c r="AG1026" s="1" t="s">
        <v>91</v>
      </c>
      <c r="AH1026" s="1" t="s">
        <v>91</v>
      </c>
      <c r="AI1026" t="s">
        <v>91</v>
      </c>
      <c r="AJ1026">
        <v>0</v>
      </c>
      <c r="AK1026">
        <v>0</v>
      </c>
      <c r="AL1026">
        <v>0</v>
      </c>
      <c r="AM1026" t="s">
        <v>91</v>
      </c>
      <c r="AN1026" t="s">
        <v>91</v>
      </c>
      <c r="AO1026" t="s">
        <v>91</v>
      </c>
      <c r="AP1026" t="s">
        <v>91</v>
      </c>
      <c r="AQ1026" s="1" t="s">
        <v>91</v>
      </c>
      <c r="AR1026" s="1" t="s">
        <v>91</v>
      </c>
      <c r="AS1026" s="1" t="s">
        <v>91</v>
      </c>
      <c r="AT1026" s="1" t="s">
        <v>91</v>
      </c>
      <c r="AU1026" s="1" t="s">
        <v>91</v>
      </c>
      <c r="AV1026" t="s">
        <v>91</v>
      </c>
      <c r="AW1026" t="s">
        <v>91</v>
      </c>
      <c r="AX1026" t="s">
        <v>91</v>
      </c>
      <c r="AY1026" t="s">
        <v>91</v>
      </c>
      <c r="AZ1026" t="s">
        <v>91</v>
      </c>
      <c r="BA1026" t="s">
        <v>91</v>
      </c>
      <c r="BB1026" s="2"/>
      <c r="BC1026" s="2"/>
      <c r="BD1026" t="s">
        <v>91</v>
      </c>
      <c r="BF1026" s="1" t="s">
        <v>75</v>
      </c>
      <c r="BG1026">
        <v>0</v>
      </c>
      <c r="BH1026">
        <v>0</v>
      </c>
      <c r="BI1026" s="1" t="s">
        <v>88</v>
      </c>
      <c r="BJ1026">
        <v>1</v>
      </c>
      <c r="BK1026" s="1" t="s">
        <v>89</v>
      </c>
      <c r="BL1026" t="s">
        <v>91</v>
      </c>
      <c r="BM1026" s="1" t="s">
        <v>109</v>
      </c>
      <c r="BN1026" s="1" t="s">
        <v>110</v>
      </c>
      <c r="BO1026" s="1" t="s">
        <v>128</v>
      </c>
      <c r="BP1026" s="1" t="s">
        <v>91</v>
      </c>
      <c r="BQ1026" t="s">
        <v>91</v>
      </c>
      <c r="BR1026" s="3"/>
      <c r="BS1026" s="3"/>
      <c r="BT1026" t="s">
        <v>91</v>
      </c>
      <c r="BU1026" t="s">
        <v>91</v>
      </c>
      <c r="BV1026">
        <v>9</v>
      </c>
      <c r="BW1026" s="1" t="s">
        <v>5729</v>
      </c>
    </row>
    <row r="1027" spans="1:75" hidden="1" x14ac:dyDescent="0.35">
      <c r="A1027">
        <v>157633</v>
      </c>
      <c r="B1027" s="1" t="s">
        <v>75</v>
      </c>
      <c r="C1027">
        <v>80</v>
      </c>
      <c r="D1027">
        <v>11121002</v>
      </c>
      <c r="E1027">
        <v>121002</v>
      </c>
      <c r="F1027" s="1" t="s">
        <v>2915</v>
      </c>
      <c r="G1027" s="1" t="s">
        <v>5730</v>
      </c>
      <c r="H1027">
        <v>0</v>
      </c>
      <c r="I1027" s="1" t="s">
        <v>78</v>
      </c>
      <c r="J1027" s="1" t="s">
        <v>5731</v>
      </c>
      <c r="K1027" s="1" t="s">
        <v>5732</v>
      </c>
      <c r="L1027" t="s">
        <v>91</v>
      </c>
      <c r="M1027" t="s">
        <v>91</v>
      </c>
      <c r="N1027" s="1" t="s">
        <v>91</v>
      </c>
      <c r="O1027" t="s">
        <v>91</v>
      </c>
      <c r="P1027" s="1" t="s">
        <v>3276</v>
      </c>
      <c r="Q1027" s="1" t="s">
        <v>1171</v>
      </c>
      <c r="R1027" s="1" t="s">
        <v>954</v>
      </c>
      <c r="S1027">
        <v>1259</v>
      </c>
      <c r="T1027">
        <v>88130101</v>
      </c>
      <c r="U1027" s="1" t="s">
        <v>108</v>
      </c>
      <c r="V1027" s="1" t="s">
        <v>2951</v>
      </c>
      <c r="W1027" s="1" t="s">
        <v>87</v>
      </c>
      <c r="X1027">
        <v>48</v>
      </c>
      <c r="Y1027">
        <v>32422656</v>
      </c>
      <c r="Z1027" t="s">
        <v>91</v>
      </c>
      <c r="AA1027" t="s">
        <v>91</v>
      </c>
      <c r="AB1027" t="s">
        <v>91</v>
      </c>
      <c r="AC1027" t="s">
        <v>91</v>
      </c>
      <c r="AD1027" t="s">
        <v>91</v>
      </c>
      <c r="AE1027" t="s">
        <v>91</v>
      </c>
      <c r="AF1027" t="s">
        <v>91</v>
      </c>
      <c r="AG1027" s="1" t="s">
        <v>91</v>
      </c>
      <c r="AH1027" s="1" t="s">
        <v>91</v>
      </c>
      <c r="AI1027" t="s">
        <v>91</v>
      </c>
      <c r="AM1027" t="s">
        <v>91</v>
      </c>
      <c r="AN1027" t="s">
        <v>91</v>
      </c>
      <c r="AO1027" t="s">
        <v>91</v>
      </c>
      <c r="AP1027" t="s">
        <v>91</v>
      </c>
      <c r="AQ1027" s="1" t="s">
        <v>91</v>
      </c>
      <c r="AR1027" s="1" t="s">
        <v>91</v>
      </c>
      <c r="AS1027" s="1" t="s">
        <v>91</v>
      </c>
      <c r="AT1027" s="1" t="s">
        <v>91</v>
      </c>
      <c r="AU1027" s="1" t="s">
        <v>91</v>
      </c>
      <c r="AV1027" t="s">
        <v>91</v>
      </c>
      <c r="AW1027" t="s">
        <v>91</v>
      </c>
      <c r="AX1027" t="s">
        <v>91</v>
      </c>
      <c r="AY1027" t="s">
        <v>91</v>
      </c>
      <c r="AZ1027" t="s">
        <v>91</v>
      </c>
      <c r="BA1027" t="s">
        <v>91</v>
      </c>
      <c r="BB1027" s="2">
        <v>45118.097175925926</v>
      </c>
      <c r="BC1027" s="2"/>
      <c r="BD1027" t="s">
        <v>91</v>
      </c>
      <c r="BF1027" s="1" t="s">
        <v>75</v>
      </c>
      <c r="BI1027" s="1" t="s">
        <v>88</v>
      </c>
      <c r="BJ1027">
        <v>1</v>
      </c>
      <c r="BK1027" s="1" t="s">
        <v>89</v>
      </c>
      <c r="BL1027" t="s">
        <v>91</v>
      </c>
      <c r="BM1027" s="1" t="s">
        <v>91</v>
      </c>
      <c r="BN1027" s="1" t="s">
        <v>91</v>
      </c>
      <c r="BO1027" s="1" t="s">
        <v>91</v>
      </c>
      <c r="BP1027" s="1" t="s">
        <v>91</v>
      </c>
      <c r="BQ1027" t="s">
        <v>91</v>
      </c>
      <c r="BR1027" s="3">
        <v>45118</v>
      </c>
      <c r="BS1027" s="3"/>
      <c r="BT1027" t="s">
        <v>91</v>
      </c>
      <c r="BU1027" t="s">
        <v>91</v>
      </c>
      <c r="BW1027" s="1" t="s">
        <v>90</v>
      </c>
    </row>
    <row r="1028" spans="1:75" hidden="1" x14ac:dyDescent="0.35">
      <c r="A1028">
        <v>135401</v>
      </c>
      <c r="B1028" s="1" t="s">
        <v>75</v>
      </c>
      <c r="C1028">
        <v>80</v>
      </c>
      <c r="D1028">
        <v>11121002</v>
      </c>
      <c r="E1028">
        <v>121002</v>
      </c>
      <c r="F1028" s="1" t="s">
        <v>2915</v>
      </c>
      <c r="G1028" s="1" t="s">
        <v>5733</v>
      </c>
      <c r="H1028">
        <v>0</v>
      </c>
      <c r="I1028" s="1" t="s">
        <v>78</v>
      </c>
      <c r="J1028" s="1" t="s">
        <v>5734</v>
      </c>
      <c r="K1028" s="1" t="s">
        <v>5735</v>
      </c>
      <c r="L1028" t="s">
        <v>91</v>
      </c>
      <c r="M1028" t="s">
        <v>91</v>
      </c>
      <c r="N1028" s="1" t="s">
        <v>5736</v>
      </c>
      <c r="O1028" t="s">
        <v>91</v>
      </c>
      <c r="P1028" s="1" t="s">
        <v>3083</v>
      </c>
      <c r="Q1028" s="1" t="s">
        <v>759</v>
      </c>
      <c r="R1028" s="1" t="s">
        <v>236</v>
      </c>
      <c r="T1028">
        <v>88501010</v>
      </c>
      <c r="U1028" s="1" t="s">
        <v>108</v>
      </c>
      <c r="V1028" s="1" t="s">
        <v>3335</v>
      </c>
      <c r="W1028" s="1" t="s">
        <v>87</v>
      </c>
      <c r="X1028">
        <v>49</v>
      </c>
      <c r="Y1028">
        <v>33809694</v>
      </c>
      <c r="Z1028" t="s">
        <v>91</v>
      </c>
      <c r="AA1028" t="s">
        <v>91</v>
      </c>
      <c r="AB1028" t="s">
        <v>91</v>
      </c>
      <c r="AC1028" t="s">
        <v>91</v>
      </c>
      <c r="AD1028" t="s">
        <v>91</v>
      </c>
      <c r="AE1028" t="s">
        <v>91</v>
      </c>
      <c r="AF1028" t="s">
        <v>91</v>
      </c>
      <c r="AG1028" s="1" t="s">
        <v>146</v>
      </c>
      <c r="AH1028" s="1" t="s">
        <v>91</v>
      </c>
      <c r="AI1028" t="s">
        <v>91</v>
      </c>
      <c r="AM1028" t="s">
        <v>91</v>
      </c>
      <c r="AN1028" t="s">
        <v>91</v>
      </c>
      <c r="AO1028" t="s">
        <v>91</v>
      </c>
      <c r="AP1028" t="s">
        <v>91</v>
      </c>
      <c r="AQ1028" s="1" t="s">
        <v>147</v>
      </c>
      <c r="AR1028" s="1" t="s">
        <v>147</v>
      </c>
      <c r="AS1028" s="1" t="s">
        <v>147</v>
      </c>
      <c r="AT1028" s="1" t="s">
        <v>147</v>
      </c>
      <c r="AU1028" s="1" t="s">
        <v>147</v>
      </c>
      <c r="AV1028" t="s">
        <v>91</v>
      </c>
      <c r="AW1028" t="s">
        <v>91</v>
      </c>
      <c r="AX1028" t="s">
        <v>91</v>
      </c>
      <c r="AY1028" t="s">
        <v>91</v>
      </c>
      <c r="AZ1028" t="s">
        <v>91</v>
      </c>
      <c r="BA1028" t="s">
        <v>91</v>
      </c>
      <c r="BB1028" s="2">
        <v>44341.239039351851</v>
      </c>
      <c r="BC1028" s="2">
        <v>44543.569965277777</v>
      </c>
      <c r="BD1028" t="s">
        <v>91</v>
      </c>
      <c r="BF1028" s="1" t="s">
        <v>75</v>
      </c>
      <c r="BH1028">
        <v>0</v>
      </c>
      <c r="BI1028" s="1" t="s">
        <v>88</v>
      </c>
      <c r="BJ1028">
        <v>1</v>
      </c>
      <c r="BK1028" s="1" t="s">
        <v>89</v>
      </c>
      <c r="BL1028" t="s">
        <v>91</v>
      </c>
      <c r="BM1028" s="1" t="s">
        <v>109</v>
      </c>
      <c r="BN1028" s="1" t="s">
        <v>110</v>
      </c>
      <c r="BO1028" s="1" t="s">
        <v>165</v>
      </c>
      <c r="BP1028" s="1" t="s">
        <v>91</v>
      </c>
      <c r="BQ1028" t="s">
        <v>91</v>
      </c>
      <c r="BR1028" s="3">
        <v>44341</v>
      </c>
      <c r="BS1028" s="3">
        <v>44543</v>
      </c>
      <c r="BT1028" t="s">
        <v>91</v>
      </c>
      <c r="BU1028" t="s">
        <v>91</v>
      </c>
      <c r="BW1028" s="1" t="s">
        <v>3894</v>
      </c>
    </row>
    <row r="1029" spans="1:75" hidden="1" x14ac:dyDescent="0.35">
      <c r="A1029">
        <v>156882</v>
      </c>
      <c r="B1029" s="1" t="s">
        <v>75</v>
      </c>
      <c r="C1029">
        <v>80</v>
      </c>
      <c r="D1029">
        <v>11121002</v>
      </c>
      <c r="E1029">
        <v>121002</v>
      </c>
      <c r="F1029" s="1" t="s">
        <v>2915</v>
      </c>
      <c r="G1029" s="1" t="s">
        <v>5737</v>
      </c>
      <c r="H1029">
        <v>0</v>
      </c>
      <c r="I1029" s="1" t="s">
        <v>78</v>
      </c>
      <c r="J1029" s="1" t="s">
        <v>5738</v>
      </c>
      <c r="K1029" s="1" t="s">
        <v>5739</v>
      </c>
      <c r="L1029" t="s">
        <v>91</v>
      </c>
      <c r="M1029" t="s">
        <v>91</v>
      </c>
      <c r="N1029" s="1" t="s">
        <v>5740</v>
      </c>
      <c r="O1029" t="s">
        <v>91</v>
      </c>
      <c r="P1029" s="1" t="s">
        <v>5741</v>
      </c>
      <c r="Q1029" s="1" t="s">
        <v>5742</v>
      </c>
      <c r="R1029" s="1" t="s">
        <v>91</v>
      </c>
      <c r="S1029">
        <v>1267</v>
      </c>
      <c r="T1029">
        <v>88680000</v>
      </c>
      <c r="U1029" s="1" t="s">
        <v>108</v>
      </c>
      <c r="V1029" s="1" t="s">
        <v>213</v>
      </c>
      <c r="W1029" s="1" t="s">
        <v>87</v>
      </c>
      <c r="X1029">
        <v>49</v>
      </c>
      <c r="Y1029">
        <v>98171589</v>
      </c>
      <c r="Z1029" t="s">
        <v>91</v>
      </c>
      <c r="AA1029" t="s">
        <v>91</v>
      </c>
      <c r="AB1029" t="s">
        <v>91</v>
      </c>
      <c r="AC1029" t="s">
        <v>91</v>
      </c>
      <c r="AD1029" t="s">
        <v>91</v>
      </c>
      <c r="AE1029" t="s">
        <v>91</v>
      </c>
      <c r="AF1029" t="s">
        <v>91</v>
      </c>
      <c r="AG1029" s="1" t="s">
        <v>91</v>
      </c>
      <c r="AH1029" s="1" t="s">
        <v>91</v>
      </c>
      <c r="AI1029" t="s">
        <v>91</v>
      </c>
      <c r="AM1029" t="s">
        <v>91</v>
      </c>
      <c r="AN1029" t="s">
        <v>91</v>
      </c>
      <c r="AO1029" t="s">
        <v>91</v>
      </c>
      <c r="AP1029" t="s">
        <v>91</v>
      </c>
      <c r="AQ1029" s="1" t="s">
        <v>91</v>
      </c>
      <c r="AR1029" s="1" t="s">
        <v>91</v>
      </c>
      <c r="AS1029" s="1" t="s">
        <v>91</v>
      </c>
      <c r="AT1029" s="1" t="s">
        <v>91</v>
      </c>
      <c r="AU1029" s="1" t="s">
        <v>91</v>
      </c>
      <c r="AV1029" t="s">
        <v>91</v>
      </c>
      <c r="AW1029" t="s">
        <v>91</v>
      </c>
      <c r="AX1029" t="s">
        <v>91</v>
      </c>
      <c r="AY1029" t="s">
        <v>91</v>
      </c>
      <c r="AZ1029" t="s">
        <v>91</v>
      </c>
      <c r="BA1029" t="s">
        <v>91</v>
      </c>
      <c r="BB1029" s="2">
        <v>45113.505416666667</v>
      </c>
      <c r="BC1029" s="2"/>
      <c r="BD1029" t="s">
        <v>91</v>
      </c>
      <c r="BF1029" s="1" t="s">
        <v>75</v>
      </c>
      <c r="BI1029" s="1" t="s">
        <v>88</v>
      </c>
      <c r="BJ1029">
        <v>1</v>
      </c>
      <c r="BK1029" s="1" t="s">
        <v>89</v>
      </c>
      <c r="BL1029" t="s">
        <v>91</v>
      </c>
      <c r="BM1029" s="1" t="s">
        <v>91</v>
      </c>
      <c r="BN1029" s="1" t="s">
        <v>91</v>
      </c>
      <c r="BO1029" s="1" t="s">
        <v>91</v>
      </c>
      <c r="BP1029" s="1" t="s">
        <v>91</v>
      </c>
      <c r="BQ1029" t="s">
        <v>91</v>
      </c>
      <c r="BR1029" s="3">
        <v>45113</v>
      </c>
      <c r="BS1029" s="3"/>
      <c r="BT1029" t="s">
        <v>91</v>
      </c>
      <c r="BU1029" t="s">
        <v>91</v>
      </c>
      <c r="BW1029" s="1" t="s">
        <v>90</v>
      </c>
    </row>
    <row r="1030" spans="1:75" hidden="1" x14ac:dyDescent="0.35">
      <c r="A1030">
        <v>141888</v>
      </c>
      <c r="B1030" s="1" t="s">
        <v>75</v>
      </c>
      <c r="C1030">
        <v>80</v>
      </c>
      <c r="D1030">
        <v>11121002</v>
      </c>
      <c r="E1030">
        <v>121002</v>
      </c>
      <c r="F1030" s="1" t="s">
        <v>2915</v>
      </c>
      <c r="G1030" s="1" t="s">
        <v>5743</v>
      </c>
      <c r="H1030">
        <v>0</v>
      </c>
      <c r="I1030" s="1" t="s">
        <v>78</v>
      </c>
      <c r="J1030" s="1" t="s">
        <v>5744</v>
      </c>
      <c r="K1030" s="1" t="s">
        <v>5745</v>
      </c>
      <c r="L1030" t="s">
        <v>91</v>
      </c>
      <c r="M1030" t="s">
        <v>91</v>
      </c>
      <c r="N1030" s="1" t="s">
        <v>5746</v>
      </c>
      <c r="O1030" t="s">
        <v>91</v>
      </c>
      <c r="P1030" s="1" t="s">
        <v>3718</v>
      </c>
      <c r="Q1030" s="1" t="s">
        <v>862</v>
      </c>
      <c r="R1030" s="1" t="s">
        <v>434</v>
      </c>
      <c r="S1030">
        <v>1259</v>
      </c>
      <c r="T1030">
        <v>88102100</v>
      </c>
      <c r="U1030" s="1" t="s">
        <v>3015</v>
      </c>
      <c r="V1030" s="1" t="s">
        <v>3016</v>
      </c>
      <c r="W1030" s="1" t="s">
        <v>87</v>
      </c>
      <c r="X1030">
        <v>48</v>
      </c>
      <c r="Y1030">
        <v>991028798</v>
      </c>
      <c r="Z1030" t="s">
        <v>91</v>
      </c>
      <c r="AA1030" t="s">
        <v>91</v>
      </c>
      <c r="AB1030" t="s">
        <v>91</v>
      </c>
      <c r="AC1030" t="s">
        <v>91</v>
      </c>
      <c r="AD1030" t="s">
        <v>91</v>
      </c>
      <c r="AE1030" t="s">
        <v>91</v>
      </c>
      <c r="AF1030" t="s">
        <v>91</v>
      </c>
      <c r="AG1030" s="1" t="s">
        <v>146</v>
      </c>
      <c r="AH1030" s="1" t="s">
        <v>91</v>
      </c>
      <c r="AI1030" t="s">
        <v>91</v>
      </c>
      <c r="AM1030" t="s">
        <v>91</v>
      </c>
      <c r="AN1030" t="s">
        <v>91</v>
      </c>
      <c r="AO1030" t="s">
        <v>91</v>
      </c>
      <c r="AP1030" t="s">
        <v>91</v>
      </c>
      <c r="AQ1030" s="1" t="s">
        <v>147</v>
      </c>
      <c r="AR1030" s="1" t="s">
        <v>147</v>
      </c>
      <c r="AS1030" s="1" t="s">
        <v>147</v>
      </c>
      <c r="AT1030" s="1" t="s">
        <v>147</v>
      </c>
      <c r="AU1030" s="1" t="s">
        <v>147</v>
      </c>
      <c r="AV1030" t="s">
        <v>91</v>
      </c>
      <c r="AW1030" t="s">
        <v>91</v>
      </c>
      <c r="AX1030" t="s">
        <v>91</v>
      </c>
      <c r="AY1030" t="s">
        <v>91</v>
      </c>
      <c r="AZ1030" t="s">
        <v>91</v>
      </c>
      <c r="BA1030" t="s">
        <v>91</v>
      </c>
      <c r="BB1030" s="2">
        <v>44497.815659722219</v>
      </c>
      <c r="BC1030" s="2">
        <v>44669.499791666669</v>
      </c>
      <c r="BD1030" t="s">
        <v>91</v>
      </c>
      <c r="BF1030" s="1" t="s">
        <v>75</v>
      </c>
      <c r="BH1030">
        <v>0</v>
      </c>
      <c r="BI1030" s="1" t="s">
        <v>88</v>
      </c>
      <c r="BJ1030">
        <v>1</v>
      </c>
      <c r="BK1030" s="1" t="s">
        <v>89</v>
      </c>
      <c r="BL1030" t="s">
        <v>91</v>
      </c>
      <c r="BM1030" s="1" t="s">
        <v>91</v>
      </c>
      <c r="BN1030" s="1" t="s">
        <v>91</v>
      </c>
      <c r="BO1030" s="1" t="s">
        <v>128</v>
      </c>
      <c r="BP1030" s="1" t="s">
        <v>91</v>
      </c>
      <c r="BQ1030" t="s">
        <v>91</v>
      </c>
      <c r="BR1030" s="3">
        <v>44497</v>
      </c>
      <c r="BS1030" s="3">
        <v>44669</v>
      </c>
      <c r="BT1030" t="s">
        <v>91</v>
      </c>
      <c r="BU1030" t="s">
        <v>91</v>
      </c>
      <c r="BW1030" s="1" t="s">
        <v>263</v>
      </c>
    </row>
    <row r="1031" spans="1:75" hidden="1" x14ac:dyDescent="0.35">
      <c r="A1031">
        <v>157696</v>
      </c>
      <c r="B1031" s="1" t="s">
        <v>75</v>
      </c>
      <c r="C1031">
        <v>80</v>
      </c>
      <c r="D1031">
        <v>11121002</v>
      </c>
      <c r="E1031">
        <v>121002</v>
      </c>
      <c r="F1031" s="1" t="s">
        <v>2915</v>
      </c>
      <c r="G1031" s="1" t="s">
        <v>5747</v>
      </c>
      <c r="H1031">
        <v>0</v>
      </c>
      <c r="I1031" s="1" t="s">
        <v>78</v>
      </c>
      <c r="J1031" s="1" t="s">
        <v>5748</v>
      </c>
      <c r="K1031" s="1" t="s">
        <v>5749</v>
      </c>
      <c r="L1031" t="s">
        <v>91</v>
      </c>
      <c r="M1031" t="s">
        <v>91</v>
      </c>
      <c r="N1031" s="1" t="s">
        <v>5750</v>
      </c>
      <c r="O1031" t="s">
        <v>91</v>
      </c>
      <c r="P1031" s="1" t="s">
        <v>5751</v>
      </c>
      <c r="Q1031" s="1" t="s">
        <v>3224</v>
      </c>
      <c r="R1031" s="1" t="s">
        <v>954</v>
      </c>
      <c r="S1031">
        <v>1255</v>
      </c>
      <c r="T1031">
        <v>88015240</v>
      </c>
      <c r="U1031" s="1" t="s">
        <v>108</v>
      </c>
      <c r="V1031" s="1" t="s">
        <v>2922</v>
      </c>
      <c r="W1031" s="1" t="s">
        <v>87</v>
      </c>
      <c r="X1031">
        <v>48</v>
      </c>
      <c r="Y1031">
        <v>33242666</v>
      </c>
      <c r="Z1031" t="s">
        <v>91</v>
      </c>
      <c r="AA1031" t="s">
        <v>91</v>
      </c>
      <c r="AB1031" t="s">
        <v>91</v>
      </c>
      <c r="AC1031" t="s">
        <v>91</v>
      </c>
      <c r="AD1031" t="s">
        <v>91</v>
      </c>
      <c r="AE1031" t="s">
        <v>91</v>
      </c>
      <c r="AF1031" t="s">
        <v>91</v>
      </c>
      <c r="AG1031" s="1" t="s">
        <v>91</v>
      </c>
      <c r="AH1031" s="1" t="s">
        <v>91</v>
      </c>
      <c r="AI1031" t="s">
        <v>91</v>
      </c>
      <c r="AM1031" t="s">
        <v>91</v>
      </c>
      <c r="AN1031" t="s">
        <v>91</v>
      </c>
      <c r="AO1031" t="s">
        <v>91</v>
      </c>
      <c r="AP1031" t="s">
        <v>91</v>
      </c>
      <c r="AQ1031" s="1" t="s">
        <v>91</v>
      </c>
      <c r="AR1031" s="1" t="s">
        <v>91</v>
      </c>
      <c r="AS1031" s="1" t="s">
        <v>91</v>
      </c>
      <c r="AT1031" s="1" t="s">
        <v>91</v>
      </c>
      <c r="AU1031" s="1" t="s">
        <v>91</v>
      </c>
      <c r="AV1031" t="s">
        <v>91</v>
      </c>
      <c r="AW1031" t="s">
        <v>91</v>
      </c>
      <c r="AX1031" t="s">
        <v>91</v>
      </c>
      <c r="AY1031" t="s">
        <v>91</v>
      </c>
      <c r="AZ1031" t="s">
        <v>91</v>
      </c>
      <c r="BA1031" t="s">
        <v>91</v>
      </c>
      <c r="BB1031" s="2">
        <v>45118.097175925926</v>
      </c>
      <c r="BC1031" s="2"/>
      <c r="BD1031" t="s">
        <v>91</v>
      </c>
      <c r="BF1031" s="1" t="s">
        <v>75</v>
      </c>
      <c r="BI1031" s="1" t="s">
        <v>88</v>
      </c>
      <c r="BJ1031">
        <v>1</v>
      </c>
      <c r="BK1031" s="1" t="s">
        <v>89</v>
      </c>
      <c r="BL1031" t="s">
        <v>91</v>
      </c>
      <c r="BM1031" s="1" t="s">
        <v>91</v>
      </c>
      <c r="BN1031" s="1" t="s">
        <v>91</v>
      </c>
      <c r="BO1031" s="1" t="s">
        <v>91</v>
      </c>
      <c r="BP1031" s="1" t="s">
        <v>91</v>
      </c>
      <c r="BQ1031" t="s">
        <v>91</v>
      </c>
      <c r="BR1031" s="3">
        <v>45118</v>
      </c>
      <c r="BS1031" s="3"/>
      <c r="BT1031" t="s">
        <v>91</v>
      </c>
      <c r="BU1031" t="s">
        <v>91</v>
      </c>
      <c r="BW1031" s="1" t="s">
        <v>90</v>
      </c>
    </row>
    <row r="1032" spans="1:75" hidden="1" x14ac:dyDescent="0.35">
      <c r="A1032">
        <v>157672</v>
      </c>
      <c r="B1032" s="1" t="s">
        <v>75</v>
      </c>
      <c r="C1032">
        <v>80</v>
      </c>
      <c r="D1032">
        <v>11121002</v>
      </c>
      <c r="E1032">
        <v>121002</v>
      </c>
      <c r="F1032" s="1" t="s">
        <v>2915</v>
      </c>
      <c r="G1032" s="1" t="s">
        <v>5752</v>
      </c>
      <c r="H1032">
        <v>0</v>
      </c>
      <c r="I1032" s="1" t="s">
        <v>78</v>
      </c>
      <c r="J1032" s="1" t="s">
        <v>5753</v>
      </c>
      <c r="K1032" s="1" t="s">
        <v>5754</v>
      </c>
      <c r="L1032" t="s">
        <v>91</v>
      </c>
      <c r="M1032" t="s">
        <v>91</v>
      </c>
      <c r="N1032" s="1" t="s">
        <v>5755</v>
      </c>
      <c r="O1032" t="s">
        <v>91</v>
      </c>
      <c r="P1032" s="1" t="s">
        <v>873</v>
      </c>
      <c r="Q1032" s="1" t="s">
        <v>1949</v>
      </c>
      <c r="R1032" s="1" t="s">
        <v>236</v>
      </c>
      <c r="S1032">
        <v>1270</v>
      </c>
      <c r="T1032">
        <v>88900035</v>
      </c>
      <c r="U1032" s="1" t="s">
        <v>343</v>
      </c>
      <c r="V1032" s="1" t="s">
        <v>3095</v>
      </c>
      <c r="W1032" s="1" t="s">
        <v>87</v>
      </c>
      <c r="X1032">
        <v>48</v>
      </c>
      <c r="Y1032">
        <v>35241633</v>
      </c>
      <c r="Z1032" t="s">
        <v>91</v>
      </c>
      <c r="AA1032" t="s">
        <v>91</v>
      </c>
      <c r="AB1032" t="s">
        <v>91</v>
      </c>
      <c r="AC1032" t="s">
        <v>91</v>
      </c>
      <c r="AD1032" t="s">
        <v>91</v>
      </c>
      <c r="AE1032" t="s">
        <v>91</v>
      </c>
      <c r="AF1032" t="s">
        <v>91</v>
      </c>
      <c r="AG1032" s="1" t="s">
        <v>91</v>
      </c>
      <c r="AH1032" s="1" t="s">
        <v>91</v>
      </c>
      <c r="AI1032" t="s">
        <v>91</v>
      </c>
      <c r="AM1032" t="s">
        <v>91</v>
      </c>
      <c r="AN1032" t="s">
        <v>91</v>
      </c>
      <c r="AO1032" t="s">
        <v>91</v>
      </c>
      <c r="AP1032" t="s">
        <v>91</v>
      </c>
      <c r="AQ1032" s="1" t="s">
        <v>91</v>
      </c>
      <c r="AR1032" s="1" t="s">
        <v>91</v>
      </c>
      <c r="AS1032" s="1" t="s">
        <v>91</v>
      </c>
      <c r="AT1032" s="1" t="s">
        <v>91</v>
      </c>
      <c r="AU1032" s="1" t="s">
        <v>91</v>
      </c>
      <c r="AV1032" t="s">
        <v>91</v>
      </c>
      <c r="AW1032" t="s">
        <v>91</v>
      </c>
      <c r="AX1032" t="s">
        <v>91</v>
      </c>
      <c r="AY1032" t="s">
        <v>91</v>
      </c>
      <c r="AZ1032" t="s">
        <v>91</v>
      </c>
      <c r="BA1032" t="s">
        <v>91</v>
      </c>
      <c r="BB1032" s="2">
        <v>45118.097175925926</v>
      </c>
      <c r="BC1032" s="2"/>
      <c r="BD1032" t="s">
        <v>91</v>
      </c>
      <c r="BF1032" s="1" t="s">
        <v>75</v>
      </c>
      <c r="BI1032" s="1" t="s">
        <v>88</v>
      </c>
      <c r="BJ1032">
        <v>1</v>
      </c>
      <c r="BK1032" s="1" t="s">
        <v>89</v>
      </c>
      <c r="BL1032" t="s">
        <v>91</v>
      </c>
      <c r="BM1032" s="1" t="s">
        <v>91</v>
      </c>
      <c r="BN1032" s="1" t="s">
        <v>91</v>
      </c>
      <c r="BO1032" s="1" t="s">
        <v>91</v>
      </c>
      <c r="BP1032" s="1" t="s">
        <v>91</v>
      </c>
      <c r="BQ1032" t="s">
        <v>91</v>
      </c>
      <c r="BR1032" s="3">
        <v>45118</v>
      </c>
      <c r="BS1032" s="3"/>
      <c r="BT1032" t="s">
        <v>91</v>
      </c>
      <c r="BU1032" t="s">
        <v>91</v>
      </c>
      <c r="BW1032" s="1" t="s">
        <v>90</v>
      </c>
    </row>
    <row r="1033" spans="1:75" hidden="1" x14ac:dyDescent="0.35">
      <c r="A1033">
        <v>137499</v>
      </c>
      <c r="B1033" s="1" t="s">
        <v>75</v>
      </c>
      <c r="C1033">
        <v>80</v>
      </c>
      <c r="D1033">
        <v>11121002</v>
      </c>
      <c r="E1033">
        <v>121002</v>
      </c>
      <c r="F1033" s="1" t="s">
        <v>2915</v>
      </c>
      <c r="G1033" s="1" t="s">
        <v>5756</v>
      </c>
      <c r="H1033">
        <v>0</v>
      </c>
      <c r="I1033" s="1" t="s">
        <v>78</v>
      </c>
      <c r="J1033" s="1" t="s">
        <v>5757</v>
      </c>
      <c r="K1033" s="1" t="s">
        <v>5758</v>
      </c>
      <c r="L1033" t="s">
        <v>91</v>
      </c>
      <c r="M1033" t="s">
        <v>91</v>
      </c>
      <c r="N1033" s="1" t="s">
        <v>5759</v>
      </c>
      <c r="O1033" t="s">
        <v>91</v>
      </c>
      <c r="P1033" s="1" t="s">
        <v>4384</v>
      </c>
      <c r="Q1033" s="1" t="s">
        <v>4526</v>
      </c>
      <c r="R1033" s="1" t="s">
        <v>5760</v>
      </c>
      <c r="T1033">
        <v>88036003</v>
      </c>
      <c r="U1033" s="1" t="s">
        <v>4386</v>
      </c>
      <c r="V1033" s="1" t="s">
        <v>3102</v>
      </c>
      <c r="W1033" s="1" t="s">
        <v>87</v>
      </c>
      <c r="X1033">
        <v>49</v>
      </c>
      <c r="Y1033">
        <v>988514629</v>
      </c>
      <c r="Z1033" t="s">
        <v>91</v>
      </c>
      <c r="AA1033" t="s">
        <v>91</v>
      </c>
      <c r="AB1033" t="s">
        <v>91</v>
      </c>
      <c r="AC1033" t="s">
        <v>91</v>
      </c>
      <c r="AD1033" t="s">
        <v>91</v>
      </c>
      <c r="AE1033" t="s">
        <v>91</v>
      </c>
      <c r="AF1033" t="s">
        <v>91</v>
      </c>
      <c r="AG1033" s="1" t="s">
        <v>146</v>
      </c>
      <c r="AH1033" s="1" t="s">
        <v>91</v>
      </c>
      <c r="AI1033" t="s">
        <v>91</v>
      </c>
      <c r="AM1033" t="s">
        <v>91</v>
      </c>
      <c r="AN1033" t="s">
        <v>91</v>
      </c>
      <c r="AO1033" t="s">
        <v>91</v>
      </c>
      <c r="AP1033" t="s">
        <v>91</v>
      </c>
      <c r="AQ1033" s="1" t="s">
        <v>147</v>
      </c>
      <c r="AR1033" s="1" t="s">
        <v>147</v>
      </c>
      <c r="AS1033" s="1" t="s">
        <v>147</v>
      </c>
      <c r="AT1033" s="1" t="s">
        <v>147</v>
      </c>
      <c r="AU1033" s="1" t="s">
        <v>147</v>
      </c>
      <c r="AV1033" t="s">
        <v>91</v>
      </c>
      <c r="AW1033" t="s">
        <v>91</v>
      </c>
      <c r="AX1033" t="s">
        <v>91</v>
      </c>
      <c r="AY1033" t="s">
        <v>91</v>
      </c>
      <c r="AZ1033" t="s">
        <v>91</v>
      </c>
      <c r="BA1033" t="s">
        <v>91</v>
      </c>
      <c r="BB1033" s="2">
        <v>44376.418483796297</v>
      </c>
      <c r="BC1033" s="2">
        <v>44378.632650462961</v>
      </c>
      <c r="BD1033" t="s">
        <v>91</v>
      </c>
      <c r="BF1033" s="1" t="s">
        <v>75</v>
      </c>
      <c r="BH1033">
        <v>0</v>
      </c>
      <c r="BI1033" s="1" t="s">
        <v>88</v>
      </c>
      <c r="BJ1033">
        <v>1</v>
      </c>
      <c r="BK1033" s="1" t="s">
        <v>89</v>
      </c>
      <c r="BL1033" t="s">
        <v>91</v>
      </c>
      <c r="BM1033" s="1" t="s">
        <v>109</v>
      </c>
      <c r="BN1033" s="1" t="s">
        <v>110</v>
      </c>
      <c r="BO1033" s="1" t="s">
        <v>128</v>
      </c>
      <c r="BP1033" s="1" t="s">
        <v>91</v>
      </c>
      <c r="BQ1033" t="s">
        <v>91</v>
      </c>
      <c r="BR1033" s="3">
        <v>44376</v>
      </c>
      <c r="BS1033" s="3">
        <v>44378</v>
      </c>
      <c r="BT1033" t="s">
        <v>91</v>
      </c>
      <c r="BU1033" t="s">
        <v>91</v>
      </c>
      <c r="BW1033" s="1" t="s">
        <v>5761</v>
      </c>
    </row>
    <row r="1034" spans="1:75" hidden="1" x14ac:dyDescent="0.35">
      <c r="A1034">
        <v>388</v>
      </c>
      <c r="B1034" s="1" t="s">
        <v>75</v>
      </c>
      <c r="C1034">
        <v>80</v>
      </c>
      <c r="D1034">
        <v>11121002</v>
      </c>
      <c r="E1034">
        <v>121002</v>
      </c>
      <c r="F1034" s="1" t="s">
        <v>2915</v>
      </c>
      <c r="G1034" s="1" t="s">
        <v>5762</v>
      </c>
      <c r="I1034" s="1" t="s">
        <v>78</v>
      </c>
      <c r="J1034" s="1" t="s">
        <v>5763</v>
      </c>
      <c r="K1034" s="1" t="s">
        <v>5764</v>
      </c>
      <c r="L1034" t="s">
        <v>91</v>
      </c>
      <c r="M1034" t="s">
        <v>91</v>
      </c>
      <c r="N1034" s="1" t="s">
        <v>5765</v>
      </c>
      <c r="O1034" t="s">
        <v>91</v>
      </c>
      <c r="P1034" s="1" t="s">
        <v>5766</v>
      </c>
      <c r="Q1034" s="1" t="s">
        <v>2233</v>
      </c>
      <c r="R1034" s="1" t="s">
        <v>954</v>
      </c>
      <c r="S1034">
        <v>1259</v>
      </c>
      <c r="T1034">
        <v>88102000</v>
      </c>
      <c r="U1034" s="1" t="s">
        <v>3015</v>
      </c>
      <c r="V1034" s="1" t="s">
        <v>3016</v>
      </c>
      <c r="W1034" s="1" t="s">
        <v>87</v>
      </c>
      <c r="X1034">
        <v>48</v>
      </c>
      <c r="Y1034">
        <v>32592662</v>
      </c>
      <c r="Z1034" t="s">
        <v>91</v>
      </c>
      <c r="AA1034" t="s">
        <v>91</v>
      </c>
      <c r="AB1034" t="s">
        <v>91</v>
      </c>
      <c r="AC1034" t="s">
        <v>91</v>
      </c>
      <c r="AD1034" t="s">
        <v>91</v>
      </c>
      <c r="AE1034" t="s">
        <v>91</v>
      </c>
      <c r="AF1034" t="s">
        <v>91</v>
      </c>
      <c r="AG1034" s="1" t="s">
        <v>91</v>
      </c>
      <c r="AH1034" s="1" t="s">
        <v>91</v>
      </c>
      <c r="AI1034" t="s">
        <v>91</v>
      </c>
      <c r="AJ1034">
        <v>0</v>
      </c>
      <c r="AK1034">
        <v>0</v>
      </c>
      <c r="AL1034">
        <v>0</v>
      </c>
      <c r="AM1034" t="s">
        <v>91</v>
      </c>
      <c r="AN1034" t="s">
        <v>91</v>
      </c>
      <c r="AO1034" t="s">
        <v>91</v>
      </c>
      <c r="AP1034" t="s">
        <v>91</v>
      </c>
      <c r="AQ1034" s="1" t="s">
        <v>91</v>
      </c>
      <c r="AR1034" s="1" t="s">
        <v>91</v>
      </c>
      <c r="AS1034" s="1" t="s">
        <v>91</v>
      </c>
      <c r="AT1034" s="1" t="s">
        <v>91</v>
      </c>
      <c r="AU1034" s="1" t="s">
        <v>91</v>
      </c>
      <c r="AV1034" t="s">
        <v>91</v>
      </c>
      <c r="AW1034" t="s">
        <v>91</v>
      </c>
      <c r="AX1034" t="s">
        <v>91</v>
      </c>
      <c r="AY1034" t="s">
        <v>91</v>
      </c>
      <c r="AZ1034" t="s">
        <v>91</v>
      </c>
      <c r="BA1034" t="s">
        <v>91</v>
      </c>
      <c r="BB1034" s="2">
        <v>43308.392824074072</v>
      </c>
      <c r="BC1034" s="2"/>
      <c r="BD1034" t="s">
        <v>91</v>
      </c>
      <c r="BE1034">
        <v>388</v>
      </c>
      <c r="BF1034" s="1" t="s">
        <v>75</v>
      </c>
      <c r="BG1034">
        <v>0</v>
      </c>
      <c r="BH1034">
        <v>0</v>
      </c>
      <c r="BI1034" s="1" t="s">
        <v>88</v>
      </c>
      <c r="BJ1034">
        <v>1</v>
      </c>
      <c r="BK1034" s="1" t="s">
        <v>89</v>
      </c>
      <c r="BL1034" t="s">
        <v>91</v>
      </c>
      <c r="BM1034" s="1" t="s">
        <v>164</v>
      </c>
      <c r="BN1034" s="1" t="s">
        <v>110</v>
      </c>
      <c r="BO1034" s="1" t="s">
        <v>165</v>
      </c>
      <c r="BP1034" s="1" t="s">
        <v>91</v>
      </c>
      <c r="BQ1034" t="s">
        <v>91</v>
      </c>
      <c r="BR1034" s="3">
        <v>43308</v>
      </c>
      <c r="BS1034" s="3"/>
      <c r="BT1034" t="s">
        <v>91</v>
      </c>
      <c r="BU1034" t="s">
        <v>91</v>
      </c>
      <c r="BV1034">
        <v>1</v>
      </c>
      <c r="BW1034" s="1" t="s">
        <v>478</v>
      </c>
    </row>
    <row r="1035" spans="1:75" hidden="1" x14ac:dyDescent="0.35">
      <c r="A1035">
        <v>144337</v>
      </c>
      <c r="B1035" s="1" t="s">
        <v>75</v>
      </c>
      <c r="C1035">
        <v>80</v>
      </c>
      <c r="D1035">
        <v>11121002</v>
      </c>
      <c r="E1035">
        <v>121002</v>
      </c>
      <c r="F1035" s="1" t="s">
        <v>2915</v>
      </c>
      <c r="G1035" s="1" t="s">
        <v>5767</v>
      </c>
      <c r="I1035" s="1" t="s">
        <v>78</v>
      </c>
      <c r="J1035" s="1" t="s">
        <v>5768</v>
      </c>
      <c r="K1035" s="1" t="s">
        <v>5769</v>
      </c>
      <c r="L1035" t="s">
        <v>91</v>
      </c>
      <c r="M1035" t="s">
        <v>91</v>
      </c>
      <c r="N1035" s="1" t="s">
        <v>5578</v>
      </c>
      <c r="O1035" t="s">
        <v>91</v>
      </c>
      <c r="P1035" s="1" t="s">
        <v>260</v>
      </c>
      <c r="Q1035" s="1" t="s">
        <v>2106</v>
      </c>
      <c r="R1035" s="1" t="s">
        <v>370</v>
      </c>
      <c r="S1035">
        <v>1269</v>
      </c>
      <c r="T1035">
        <v>88804150</v>
      </c>
      <c r="U1035" s="1" t="s">
        <v>5770</v>
      </c>
      <c r="V1035" s="1" t="s">
        <v>3231</v>
      </c>
      <c r="W1035" s="1" t="s">
        <v>87</v>
      </c>
      <c r="X1035">
        <v>48</v>
      </c>
      <c r="Y1035">
        <v>30455818</v>
      </c>
      <c r="Z1035" t="s">
        <v>91</v>
      </c>
      <c r="AA1035" t="s">
        <v>91</v>
      </c>
      <c r="AB1035" t="s">
        <v>91</v>
      </c>
      <c r="AC1035" t="s">
        <v>91</v>
      </c>
      <c r="AD1035" t="s">
        <v>91</v>
      </c>
      <c r="AE1035" t="s">
        <v>91</v>
      </c>
      <c r="AF1035" t="s">
        <v>91</v>
      </c>
      <c r="AG1035" s="1" t="s">
        <v>91</v>
      </c>
      <c r="AH1035" s="1" t="s">
        <v>91</v>
      </c>
      <c r="AI1035" t="s">
        <v>91</v>
      </c>
      <c r="AJ1035">
        <v>0</v>
      </c>
      <c r="AK1035">
        <v>0</v>
      </c>
      <c r="AL1035">
        <v>0</v>
      </c>
      <c r="AM1035" t="s">
        <v>91</v>
      </c>
      <c r="AN1035" t="s">
        <v>91</v>
      </c>
      <c r="AO1035" t="s">
        <v>91</v>
      </c>
      <c r="AP1035" t="s">
        <v>91</v>
      </c>
      <c r="AQ1035" s="1" t="s">
        <v>91</v>
      </c>
      <c r="AR1035" s="1" t="s">
        <v>91</v>
      </c>
      <c r="AS1035" s="1" t="s">
        <v>91</v>
      </c>
      <c r="AT1035" s="1" t="s">
        <v>91</v>
      </c>
      <c r="AU1035" s="1" t="s">
        <v>91</v>
      </c>
      <c r="AV1035" t="s">
        <v>91</v>
      </c>
      <c r="AW1035" t="s">
        <v>91</v>
      </c>
      <c r="AX1035" t="s">
        <v>91</v>
      </c>
      <c r="AY1035" t="s">
        <v>91</v>
      </c>
      <c r="AZ1035" t="s">
        <v>91</v>
      </c>
      <c r="BA1035" t="s">
        <v>91</v>
      </c>
      <c r="BB1035" s="2"/>
      <c r="BC1035" s="2"/>
      <c r="BD1035" t="s">
        <v>91</v>
      </c>
      <c r="BF1035" s="1" t="s">
        <v>75</v>
      </c>
      <c r="BG1035">
        <v>0</v>
      </c>
      <c r="BH1035">
        <v>0</v>
      </c>
      <c r="BI1035" s="1" t="s">
        <v>88</v>
      </c>
      <c r="BJ1035">
        <v>1</v>
      </c>
      <c r="BK1035" s="1" t="s">
        <v>89</v>
      </c>
      <c r="BL1035" t="s">
        <v>91</v>
      </c>
      <c r="BM1035" s="1" t="s">
        <v>109</v>
      </c>
      <c r="BN1035" s="1" t="s">
        <v>110</v>
      </c>
      <c r="BO1035" s="1" t="s">
        <v>128</v>
      </c>
      <c r="BP1035" s="1" t="s">
        <v>91</v>
      </c>
      <c r="BQ1035" t="s">
        <v>91</v>
      </c>
      <c r="BR1035" s="3"/>
      <c r="BS1035" s="3"/>
      <c r="BT1035" t="s">
        <v>91</v>
      </c>
      <c r="BU1035" t="s">
        <v>91</v>
      </c>
      <c r="BV1035">
        <v>9</v>
      </c>
      <c r="BW1035" s="1" t="s">
        <v>90</v>
      </c>
    </row>
    <row r="1036" spans="1:75" hidden="1" x14ac:dyDescent="0.35">
      <c r="A1036">
        <v>144338</v>
      </c>
      <c r="B1036" s="1" t="s">
        <v>75</v>
      </c>
      <c r="C1036">
        <v>80</v>
      </c>
      <c r="D1036">
        <v>11121002</v>
      </c>
      <c r="E1036">
        <v>121002</v>
      </c>
      <c r="F1036" s="1" t="s">
        <v>2915</v>
      </c>
      <c r="G1036" s="1" t="s">
        <v>5771</v>
      </c>
      <c r="I1036" s="1" t="s">
        <v>78</v>
      </c>
      <c r="J1036" s="1" t="s">
        <v>5768</v>
      </c>
      <c r="K1036" s="1" t="s">
        <v>5772</v>
      </c>
      <c r="L1036" t="s">
        <v>91</v>
      </c>
      <c r="M1036" t="s">
        <v>91</v>
      </c>
      <c r="N1036" s="1" t="s">
        <v>5578</v>
      </c>
      <c r="O1036" t="s">
        <v>91</v>
      </c>
      <c r="P1036" s="1" t="s">
        <v>3179</v>
      </c>
      <c r="Q1036" s="1" t="s">
        <v>5773</v>
      </c>
      <c r="R1036" s="1" t="s">
        <v>173</v>
      </c>
      <c r="S1036">
        <v>1269</v>
      </c>
      <c r="T1036">
        <v>88820000</v>
      </c>
      <c r="U1036" s="1" t="s">
        <v>108</v>
      </c>
      <c r="V1036" s="1" t="s">
        <v>3181</v>
      </c>
      <c r="W1036" s="1" t="s">
        <v>87</v>
      </c>
      <c r="X1036">
        <v>48</v>
      </c>
      <c r="Y1036">
        <v>34373245</v>
      </c>
      <c r="Z1036" t="s">
        <v>91</v>
      </c>
      <c r="AA1036" t="s">
        <v>91</v>
      </c>
      <c r="AB1036" t="s">
        <v>91</v>
      </c>
      <c r="AC1036" t="s">
        <v>91</v>
      </c>
      <c r="AD1036" t="s">
        <v>91</v>
      </c>
      <c r="AE1036" t="s">
        <v>91</v>
      </c>
      <c r="AF1036" t="s">
        <v>91</v>
      </c>
      <c r="AG1036" s="1" t="s">
        <v>91</v>
      </c>
      <c r="AH1036" s="1" t="s">
        <v>91</v>
      </c>
      <c r="AI1036" t="s">
        <v>91</v>
      </c>
      <c r="AJ1036">
        <v>0</v>
      </c>
      <c r="AK1036">
        <v>0</v>
      </c>
      <c r="AL1036">
        <v>0</v>
      </c>
      <c r="AM1036" t="s">
        <v>91</v>
      </c>
      <c r="AN1036" t="s">
        <v>91</v>
      </c>
      <c r="AO1036" t="s">
        <v>91</v>
      </c>
      <c r="AP1036" t="s">
        <v>91</v>
      </c>
      <c r="AQ1036" s="1" t="s">
        <v>91</v>
      </c>
      <c r="AR1036" s="1" t="s">
        <v>91</v>
      </c>
      <c r="AS1036" s="1" t="s">
        <v>91</v>
      </c>
      <c r="AT1036" s="1" t="s">
        <v>91</v>
      </c>
      <c r="AU1036" s="1" t="s">
        <v>91</v>
      </c>
      <c r="AV1036" t="s">
        <v>91</v>
      </c>
      <c r="AW1036" t="s">
        <v>91</v>
      </c>
      <c r="AX1036" t="s">
        <v>91</v>
      </c>
      <c r="AY1036" t="s">
        <v>91</v>
      </c>
      <c r="AZ1036" t="s">
        <v>91</v>
      </c>
      <c r="BA1036" t="s">
        <v>91</v>
      </c>
      <c r="BB1036" s="2"/>
      <c r="BC1036" s="2"/>
      <c r="BD1036" t="s">
        <v>91</v>
      </c>
      <c r="BF1036" s="1" t="s">
        <v>75</v>
      </c>
      <c r="BG1036">
        <v>0</v>
      </c>
      <c r="BH1036">
        <v>0</v>
      </c>
      <c r="BI1036" s="1" t="s">
        <v>88</v>
      </c>
      <c r="BJ1036">
        <v>1</v>
      </c>
      <c r="BK1036" s="1" t="s">
        <v>89</v>
      </c>
      <c r="BL1036" t="s">
        <v>91</v>
      </c>
      <c r="BM1036" s="1" t="s">
        <v>109</v>
      </c>
      <c r="BN1036" s="1" t="s">
        <v>110</v>
      </c>
      <c r="BO1036" s="1" t="s">
        <v>180</v>
      </c>
      <c r="BP1036" s="1" t="s">
        <v>91</v>
      </c>
      <c r="BQ1036" t="s">
        <v>91</v>
      </c>
      <c r="BR1036" s="3"/>
      <c r="BS1036" s="3"/>
      <c r="BT1036" t="s">
        <v>91</v>
      </c>
      <c r="BU1036" t="s">
        <v>91</v>
      </c>
      <c r="BV1036">
        <v>9</v>
      </c>
      <c r="BW1036" s="1" t="s">
        <v>90</v>
      </c>
    </row>
    <row r="1037" spans="1:75" hidden="1" x14ac:dyDescent="0.35">
      <c r="A1037">
        <v>144684</v>
      </c>
      <c r="B1037" s="1" t="s">
        <v>75</v>
      </c>
      <c r="C1037">
        <v>80</v>
      </c>
      <c r="D1037">
        <v>11121002</v>
      </c>
      <c r="E1037">
        <v>121002</v>
      </c>
      <c r="F1037" s="1" t="s">
        <v>2915</v>
      </c>
      <c r="G1037" s="1" t="s">
        <v>5774</v>
      </c>
      <c r="I1037" s="1" t="s">
        <v>78</v>
      </c>
      <c r="J1037" s="1" t="s">
        <v>5768</v>
      </c>
      <c r="K1037" s="1" t="s">
        <v>5775</v>
      </c>
      <c r="L1037" t="s">
        <v>91</v>
      </c>
      <c r="M1037" t="s">
        <v>91</v>
      </c>
      <c r="N1037" s="1" t="s">
        <v>5578</v>
      </c>
      <c r="O1037" t="s">
        <v>91</v>
      </c>
      <c r="P1037" s="1" t="s">
        <v>4460</v>
      </c>
      <c r="Q1037" s="1" t="s">
        <v>2117</v>
      </c>
      <c r="R1037" s="1" t="s">
        <v>5776</v>
      </c>
      <c r="S1037">
        <v>1269</v>
      </c>
      <c r="T1037">
        <v>88801250</v>
      </c>
      <c r="U1037" s="1" t="s">
        <v>108</v>
      </c>
      <c r="V1037" s="1" t="s">
        <v>3231</v>
      </c>
      <c r="W1037" s="1" t="s">
        <v>87</v>
      </c>
      <c r="X1037">
        <v>48</v>
      </c>
      <c r="Y1037">
        <v>30455970</v>
      </c>
      <c r="Z1037" t="s">
        <v>91</v>
      </c>
      <c r="AA1037" t="s">
        <v>91</v>
      </c>
      <c r="AB1037" t="s">
        <v>91</v>
      </c>
      <c r="AC1037" t="s">
        <v>91</v>
      </c>
      <c r="AD1037" t="s">
        <v>91</v>
      </c>
      <c r="AE1037" t="s">
        <v>91</v>
      </c>
      <c r="AF1037" t="s">
        <v>91</v>
      </c>
      <c r="AG1037" s="1" t="s">
        <v>91</v>
      </c>
      <c r="AH1037" s="1" t="s">
        <v>91</v>
      </c>
      <c r="AI1037" t="s">
        <v>91</v>
      </c>
      <c r="AJ1037">
        <v>0</v>
      </c>
      <c r="AK1037">
        <v>0</v>
      </c>
      <c r="AL1037">
        <v>0</v>
      </c>
      <c r="AM1037" t="s">
        <v>91</v>
      </c>
      <c r="AN1037" t="s">
        <v>91</v>
      </c>
      <c r="AO1037" t="s">
        <v>91</v>
      </c>
      <c r="AP1037" t="s">
        <v>91</v>
      </c>
      <c r="AQ1037" s="1" t="s">
        <v>91</v>
      </c>
      <c r="AR1037" s="1" t="s">
        <v>91</v>
      </c>
      <c r="AS1037" s="1" t="s">
        <v>91</v>
      </c>
      <c r="AT1037" s="1" t="s">
        <v>91</v>
      </c>
      <c r="AU1037" s="1" t="s">
        <v>91</v>
      </c>
      <c r="AV1037" t="s">
        <v>91</v>
      </c>
      <c r="AW1037" t="s">
        <v>91</v>
      </c>
      <c r="AX1037" t="s">
        <v>91</v>
      </c>
      <c r="AY1037" t="s">
        <v>91</v>
      </c>
      <c r="AZ1037" t="s">
        <v>91</v>
      </c>
      <c r="BA1037" t="s">
        <v>91</v>
      </c>
      <c r="BB1037" s="2"/>
      <c r="BC1037" s="2"/>
      <c r="BD1037" t="s">
        <v>91</v>
      </c>
      <c r="BF1037" s="1" t="s">
        <v>75</v>
      </c>
      <c r="BG1037">
        <v>0</v>
      </c>
      <c r="BH1037">
        <v>0</v>
      </c>
      <c r="BI1037" s="1" t="s">
        <v>88</v>
      </c>
      <c r="BJ1037">
        <v>1</v>
      </c>
      <c r="BK1037" s="1" t="s">
        <v>89</v>
      </c>
      <c r="BL1037" t="s">
        <v>91</v>
      </c>
      <c r="BM1037" s="1" t="s">
        <v>109</v>
      </c>
      <c r="BN1037" s="1" t="s">
        <v>110</v>
      </c>
      <c r="BO1037" s="1" t="s">
        <v>111</v>
      </c>
      <c r="BP1037" s="1" t="s">
        <v>91</v>
      </c>
      <c r="BQ1037" t="s">
        <v>91</v>
      </c>
      <c r="BR1037" s="3"/>
      <c r="BS1037" s="3"/>
      <c r="BT1037" t="s">
        <v>91</v>
      </c>
      <c r="BU1037" t="s">
        <v>91</v>
      </c>
      <c r="BV1037">
        <v>4</v>
      </c>
      <c r="BW1037" s="1" t="s">
        <v>90</v>
      </c>
    </row>
    <row r="1038" spans="1:75" hidden="1" x14ac:dyDescent="0.35">
      <c r="A1038">
        <v>156866</v>
      </c>
      <c r="B1038" s="1" t="s">
        <v>75</v>
      </c>
      <c r="C1038">
        <v>80</v>
      </c>
      <c r="D1038">
        <v>11121002</v>
      </c>
      <c r="E1038">
        <v>121002</v>
      </c>
      <c r="F1038" s="1" t="s">
        <v>2915</v>
      </c>
      <c r="G1038" s="1" t="s">
        <v>5777</v>
      </c>
      <c r="H1038">
        <v>0</v>
      </c>
      <c r="I1038" s="1" t="s">
        <v>78</v>
      </c>
      <c r="J1038" s="1" t="s">
        <v>5778</v>
      </c>
      <c r="K1038" s="1" t="s">
        <v>5779</v>
      </c>
      <c r="L1038" t="s">
        <v>91</v>
      </c>
      <c r="M1038" t="s">
        <v>91</v>
      </c>
      <c r="N1038" s="1" t="s">
        <v>5780</v>
      </c>
      <c r="O1038" t="s">
        <v>91</v>
      </c>
      <c r="P1038" s="1" t="s">
        <v>5781</v>
      </c>
      <c r="Q1038" s="1" t="s">
        <v>5782</v>
      </c>
      <c r="R1038" s="1" t="s">
        <v>5783</v>
      </c>
      <c r="T1038">
        <v>88524400</v>
      </c>
      <c r="U1038" s="1" t="s">
        <v>5784</v>
      </c>
      <c r="V1038" s="1" t="s">
        <v>3335</v>
      </c>
      <c r="W1038" s="1" t="s">
        <v>87</v>
      </c>
      <c r="X1038">
        <v>49</v>
      </c>
      <c r="Y1038">
        <v>998287839</v>
      </c>
      <c r="Z1038" t="s">
        <v>91</v>
      </c>
      <c r="AA1038" t="s">
        <v>91</v>
      </c>
      <c r="AB1038" t="s">
        <v>91</v>
      </c>
      <c r="AC1038" t="s">
        <v>91</v>
      </c>
      <c r="AD1038" t="s">
        <v>91</v>
      </c>
      <c r="AE1038" t="s">
        <v>91</v>
      </c>
      <c r="AF1038" t="s">
        <v>91</v>
      </c>
      <c r="AG1038" s="1" t="s">
        <v>91</v>
      </c>
      <c r="AH1038" s="1" t="s">
        <v>91</v>
      </c>
      <c r="AI1038" t="s">
        <v>91</v>
      </c>
      <c r="AM1038" t="s">
        <v>91</v>
      </c>
      <c r="AN1038" t="s">
        <v>91</v>
      </c>
      <c r="AO1038" t="s">
        <v>91</v>
      </c>
      <c r="AP1038" t="s">
        <v>91</v>
      </c>
      <c r="AQ1038" s="1" t="s">
        <v>91</v>
      </c>
      <c r="AR1038" s="1" t="s">
        <v>91</v>
      </c>
      <c r="AS1038" s="1" t="s">
        <v>91</v>
      </c>
      <c r="AT1038" s="1" t="s">
        <v>91</v>
      </c>
      <c r="AU1038" s="1" t="s">
        <v>91</v>
      </c>
      <c r="AV1038" t="s">
        <v>91</v>
      </c>
      <c r="AW1038" t="s">
        <v>91</v>
      </c>
      <c r="AX1038" t="s">
        <v>91</v>
      </c>
      <c r="AY1038" t="s">
        <v>91</v>
      </c>
      <c r="AZ1038" t="s">
        <v>91</v>
      </c>
      <c r="BA1038" t="s">
        <v>91</v>
      </c>
      <c r="BB1038" s="2">
        <v>45113.505416666667</v>
      </c>
      <c r="BC1038" s="2"/>
      <c r="BD1038" t="s">
        <v>91</v>
      </c>
      <c r="BF1038" s="1" t="s">
        <v>75</v>
      </c>
      <c r="BI1038" s="1" t="s">
        <v>88</v>
      </c>
      <c r="BJ1038">
        <v>1</v>
      </c>
      <c r="BK1038" s="1" t="s">
        <v>89</v>
      </c>
      <c r="BL1038" t="s">
        <v>91</v>
      </c>
      <c r="BM1038" s="1" t="s">
        <v>91</v>
      </c>
      <c r="BN1038" s="1" t="s">
        <v>91</v>
      </c>
      <c r="BO1038" s="1" t="s">
        <v>91</v>
      </c>
      <c r="BP1038" s="1" t="s">
        <v>91</v>
      </c>
      <c r="BQ1038" t="s">
        <v>91</v>
      </c>
      <c r="BR1038" s="3">
        <v>45113</v>
      </c>
      <c r="BS1038" s="3"/>
      <c r="BT1038" t="s">
        <v>91</v>
      </c>
      <c r="BU1038" t="s">
        <v>91</v>
      </c>
      <c r="BW1038" s="1" t="s">
        <v>90</v>
      </c>
    </row>
    <row r="1039" spans="1:75" hidden="1" x14ac:dyDescent="0.35">
      <c r="A1039">
        <v>134552</v>
      </c>
      <c r="B1039" s="1" t="s">
        <v>75</v>
      </c>
      <c r="C1039">
        <v>80</v>
      </c>
      <c r="D1039">
        <v>11121002</v>
      </c>
      <c r="E1039">
        <v>121002</v>
      </c>
      <c r="F1039" s="1" t="s">
        <v>2915</v>
      </c>
      <c r="G1039" s="1" t="s">
        <v>5785</v>
      </c>
      <c r="I1039" s="1" t="s">
        <v>78</v>
      </c>
      <c r="J1039" s="1" t="s">
        <v>5778</v>
      </c>
      <c r="K1039" s="1" t="s">
        <v>5786</v>
      </c>
      <c r="L1039" t="s">
        <v>91</v>
      </c>
      <c r="M1039" t="s">
        <v>91</v>
      </c>
      <c r="N1039" s="1" t="s">
        <v>5787</v>
      </c>
      <c r="O1039" t="s">
        <v>91</v>
      </c>
      <c r="P1039" s="1" t="s">
        <v>5788</v>
      </c>
      <c r="Q1039" s="1" t="s">
        <v>1042</v>
      </c>
      <c r="R1039" s="1" t="s">
        <v>5789</v>
      </c>
      <c r="T1039">
        <v>88502175</v>
      </c>
      <c r="U1039" s="1" t="s">
        <v>108</v>
      </c>
      <c r="V1039" s="1" t="s">
        <v>3335</v>
      </c>
      <c r="W1039" s="1" t="s">
        <v>87</v>
      </c>
      <c r="X1039">
        <v>49</v>
      </c>
      <c r="Y1039">
        <v>33800525</v>
      </c>
      <c r="Z1039" t="s">
        <v>91</v>
      </c>
      <c r="AA1039" t="s">
        <v>91</v>
      </c>
      <c r="AB1039" t="s">
        <v>91</v>
      </c>
      <c r="AC1039" t="s">
        <v>91</v>
      </c>
      <c r="AD1039" t="s">
        <v>91</v>
      </c>
      <c r="AE1039" t="s">
        <v>91</v>
      </c>
      <c r="AF1039" t="s">
        <v>91</v>
      </c>
      <c r="AG1039" s="1" t="s">
        <v>146</v>
      </c>
      <c r="AH1039" s="1" t="s">
        <v>91</v>
      </c>
      <c r="AI1039" t="s">
        <v>91</v>
      </c>
      <c r="AM1039" t="s">
        <v>91</v>
      </c>
      <c r="AN1039" t="s">
        <v>91</v>
      </c>
      <c r="AO1039" t="s">
        <v>91</v>
      </c>
      <c r="AP1039" t="s">
        <v>91</v>
      </c>
      <c r="AQ1039" s="1" t="s">
        <v>147</v>
      </c>
      <c r="AR1039" s="1" t="s">
        <v>147</v>
      </c>
      <c r="AS1039" s="1" t="s">
        <v>147</v>
      </c>
      <c r="AT1039" s="1" t="s">
        <v>147</v>
      </c>
      <c r="AU1039" s="1" t="s">
        <v>147</v>
      </c>
      <c r="AV1039" t="s">
        <v>91</v>
      </c>
      <c r="AW1039" t="s">
        <v>91</v>
      </c>
      <c r="AX1039" t="s">
        <v>91</v>
      </c>
      <c r="AY1039" t="s">
        <v>91</v>
      </c>
      <c r="AZ1039" t="s">
        <v>91</v>
      </c>
      <c r="BA1039" t="s">
        <v>91</v>
      </c>
      <c r="BB1039" s="2"/>
      <c r="BC1039" s="2">
        <v>44550.357071759259</v>
      </c>
      <c r="BD1039" t="s">
        <v>91</v>
      </c>
      <c r="BF1039" s="1" t="s">
        <v>75</v>
      </c>
      <c r="BH1039">
        <v>0</v>
      </c>
      <c r="BI1039" s="1" t="s">
        <v>88</v>
      </c>
      <c r="BJ1039">
        <v>1</v>
      </c>
      <c r="BK1039" s="1" t="s">
        <v>89</v>
      </c>
      <c r="BL1039" t="s">
        <v>91</v>
      </c>
      <c r="BM1039" s="1" t="s">
        <v>109</v>
      </c>
      <c r="BN1039" s="1" t="s">
        <v>110</v>
      </c>
      <c r="BO1039" s="1" t="s">
        <v>111</v>
      </c>
      <c r="BP1039" s="1" t="s">
        <v>91</v>
      </c>
      <c r="BQ1039" t="s">
        <v>91</v>
      </c>
      <c r="BR1039" s="3"/>
      <c r="BS1039" s="3">
        <v>44550</v>
      </c>
      <c r="BT1039" t="s">
        <v>91</v>
      </c>
      <c r="BU1039" t="s">
        <v>91</v>
      </c>
      <c r="BW1039" s="1" t="s">
        <v>5790</v>
      </c>
    </row>
    <row r="1040" spans="1:75" hidden="1" x14ac:dyDescent="0.35">
      <c r="A1040">
        <v>134304</v>
      </c>
      <c r="B1040" s="1" t="s">
        <v>75</v>
      </c>
      <c r="C1040">
        <v>80</v>
      </c>
      <c r="D1040">
        <v>11121002</v>
      </c>
      <c r="E1040">
        <v>121002</v>
      </c>
      <c r="F1040" s="1" t="s">
        <v>2915</v>
      </c>
      <c r="G1040" s="1" t="s">
        <v>5791</v>
      </c>
      <c r="I1040" s="1" t="s">
        <v>78</v>
      </c>
      <c r="J1040" s="1" t="s">
        <v>5792</v>
      </c>
      <c r="K1040" s="1" t="s">
        <v>5793</v>
      </c>
      <c r="L1040" t="s">
        <v>91</v>
      </c>
      <c r="M1040" t="s">
        <v>91</v>
      </c>
      <c r="N1040" s="1" t="s">
        <v>5794</v>
      </c>
      <c r="O1040" t="s">
        <v>91</v>
      </c>
      <c r="P1040" s="1" t="s">
        <v>5795</v>
      </c>
      <c r="Q1040" s="1" t="s">
        <v>1143</v>
      </c>
      <c r="R1040" s="1" t="s">
        <v>370</v>
      </c>
      <c r="S1040">
        <v>1266</v>
      </c>
      <c r="T1040">
        <v>88501160</v>
      </c>
      <c r="U1040" s="1" t="s">
        <v>108</v>
      </c>
      <c r="V1040" s="1" t="s">
        <v>3335</v>
      </c>
      <c r="W1040" s="1" t="s">
        <v>87</v>
      </c>
      <c r="X1040">
        <v>49</v>
      </c>
      <c r="Y1040">
        <v>32220345</v>
      </c>
      <c r="Z1040" t="s">
        <v>91</v>
      </c>
      <c r="AA1040" t="s">
        <v>91</v>
      </c>
      <c r="AB1040" t="s">
        <v>91</v>
      </c>
      <c r="AC1040" t="s">
        <v>91</v>
      </c>
      <c r="AD1040" t="s">
        <v>91</v>
      </c>
      <c r="AE1040" t="s">
        <v>91</v>
      </c>
      <c r="AF1040" t="s">
        <v>91</v>
      </c>
      <c r="AG1040" s="1" t="s">
        <v>146</v>
      </c>
      <c r="AH1040" s="1" t="s">
        <v>91</v>
      </c>
      <c r="AI1040" t="s">
        <v>91</v>
      </c>
      <c r="AJ1040">
        <v>0</v>
      </c>
      <c r="AK1040">
        <v>0</v>
      </c>
      <c r="AL1040">
        <v>0</v>
      </c>
      <c r="AM1040" t="s">
        <v>91</v>
      </c>
      <c r="AN1040" t="s">
        <v>91</v>
      </c>
      <c r="AO1040" t="s">
        <v>91</v>
      </c>
      <c r="AP1040" t="s">
        <v>91</v>
      </c>
      <c r="AQ1040" s="1" t="s">
        <v>147</v>
      </c>
      <c r="AR1040" s="1" t="s">
        <v>147</v>
      </c>
      <c r="AS1040" s="1" t="s">
        <v>147</v>
      </c>
      <c r="AT1040" s="1" t="s">
        <v>147</v>
      </c>
      <c r="AU1040" s="1" t="s">
        <v>147</v>
      </c>
      <c r="AV1040" t="s">
        <v>91</v>
      </c>
      <c r="AW1040" t="s">
        <v>91</v>
      </c>
      <c r="AX1040" t="s">
        <v>91</v>
      </c>
      <c r="AY1040" t="s">
        <v>91</v>
      </c>
      <c r="AZ1040" t="s">
        <v>91</v>
      </c>
      <c r="BA1040" t="s">
        <v>91</v>
      </c>
      <c r="BB1040" s="2"/>
      <c r="BC1040" s="2">
        <v>44550.680162037039</v>
      </c>
      <c r="BD1040" t="s">
        <v>91</v>
      </c>
      <c r="BF1040" s="1" t="s">
        <v>75</v>
      </c>
      <c r="BG1040">
        <v>0</v>
      </c>
      <c r="BH1040">
        <v>0</v>
      </c>
      <c r="BI1040" s="1" t="s">
        <v>88</v>
      </c>
      <c r="BJ1040">
        <v>1</v>
      </c>
      <c r="BK1040" s="1" t="s">
        <v>89</v>
      </c>
      <c r="BL1040" t="s">
        <v>91</v>
      </c>
      <c r="BM1040" s="1" t="s">
        <v>329</v>
      </c>
      <c r="BN1040" s="1" t="s">
        <v>110</v>
      </c>
      <c r="BO1040" s="1" t="s">
        <v>165</v>
      </c>
      <c r="BP1040" s="1" t="s">
        <v>91</v>
      </c>
      <c r="BQ1040" t="s">
        <v>91</v>
      </c>
      <c r="BR1040" s="3"/>
      <c r="BS1040" s="3">
        <v>44550</v>
      </c>
      <c r="BT1040" t="s">
        <v>91</v>
      </c>
      <c r="BU1040" t="s">
        <v>91</v>
      </c>
      <c r="BV1040">
        <v>1</v>
      </c>
      <c r="BW1040" s="1" t="s">
        <v>1469</v>
      </c>
    </row>
    <row r="1041" spans="1:75" hidden="1" x14ac:dyDescent="0.35">
      <c r="A1041">
        <v>157724</v>
      </c>
      <c r="B1041" s="1" t="s">
        <v>75</v>
      </c>
      <c r="C1041">
        <v>80</v>
      </c>
      <c r="D1041">
        <v>11121002</v>
      </c>
      <c r="E1041">
        <v>121002</v>
      </c>
      <c r="F1041" s="1" t="s">
        <v>2915</v>
      </c>
      <c r="G1041" s="1" t="s">
        <v>5796</v>
      </c>
      <c r="H1041">
        <v>0</v>
      </c>
      <c r="I1041" s="1" t="s">
        <v>78</v>
      </c>
      <c r="J1041" s="1" t="s">
        <v>5797</v>
      </c>
      <c r="K1041" s="1" t="s">
        <v>5798</v>
      </c>
      <c r="L1041" t="s">
        <v>91</v>
      </c>
      <c r="M1041" t="s">
        <v>91</v>
      </c>
      <c r="N1041" s="1" t="s">
        <v>91</v>
      </c>
      <c r="O1041" t="s">
        <v>91</v>
      </c>
      <c r="P1041" s="1" t="s">
        <v>3466</v>
      </c>
      <c r="Q1041" s="1" t="s">
        <v>3467</v>
      </c>
      <c r="R1041" s="1" t="s">
        <v>91</v>
      </c>
      <c r="S1041">
        <v>1258</v>
      </c>
      <c r="T1041">
        <v>88070101</v>
      </c>
      <c r="U1041" s="1" t="s">
        <v>4792</v>
      </c>
      <c r="V1041" s="1" t="s">
        <v>2922</v>
      </c>
      <c r="W1041" s="1" t="s">
        <v>87</v>
      </c>
      <c r="X1041">
        <v>48</v>
      </c>
      <c r="Y1041">
        <v>33643490</v>
      </c>
      <c r="Z1041" t="s">
        <v>91</v>
      </c>
      <c r="AA1041" t="s">
        <v>91</v>
      </c>
      <c r="AB1041" t="s">
        <v>91</v>
      </c>
      <c r="AC1041" t="s">
        <v>91</v>
      </c>
      <c r="AD1041" t="s">
        <v>91</v>
      </c>
      <c r="AE1041" t="s">
        <v>91</v>
      </c>
      <c r="AF1041" t="s">
        <v>91</v>
      </c>
      <c r="AG1041" s="1" t="s">
        <v>91</v>
      </c>
      <c r="AH1041" s="1" t="s">
        <v>91</v>
      </c>
      <c r="AI1041" t="s">
        <v>91</v>
      </c>
      <c r="AM1041" t="s">
        <v>91</v>
      </c>
      <c r="AN1041" t="s">
        <v>91</v>
      </c>
      <c r="AO1041" t="s">
        <v>91</v>
      </c>
      <c r="AP1041" t="s">
        <v>91</v>
      </c>
      <c r="AQ1041" s="1" t="s">
        <v>91</v>
      </c>
      <c r="AR1041" s="1" t="s">
        <v>91</v>
      </c>
      <c r="AS1041" s="1" t="s">
        <v>91</v>
      </c>
      <c r="AT1041" s="1" t="s">
        <v>91</v>
      </c>
      <c r="AU1041" s="1" t="s">
        <v>91</v>
      </c>
      <c r="AV1041" t="s">
        <v>91</v>
      </c>
      <c r="AW1041" t="s">
        <v>91</v>
      </c>
      <c r="AX1041" t="s">
        <v>91</v>
      </c>
      <c r="AY1041" t="s">
        <v>91</v>
      </c>
      <c r="AZ1041" t="s">
        <v>91</v>
      </c>
      <c r="BA1041" t="s">
        <v>91</v>
      </c>
      <c r="BB1041" s="2">
        <v>45118.097175925926</v>
      </c>
      <c r="BC1041" s="2"/>
      <c r="BD1041" t="s">
        <v>91</v>
      </c>
      <c r="BF1041" s="1" t="s">
        <v>75</v>
      </c>
      <c r="BI1041" s="1" t="s">
        <v>88</v>
      </c>
      <c r="BJ1041">
        <v>1</v>
      </c>
      <c r="BK1041" s="1" t="s">
        <v>89</v>
      </c>
      <c r="BL1041" t="s">
        <v>91</v>
      </c>
      <c r="BM1041" s="1" t="s">
        <v>91</v>
      </c>
      <c r="BN1041" s="1" t="s">
        <v>91</v>
      </c>
      <c r="BO1041" s="1" t="s">
        <v>91</v>
      </c>
      <c r="BP1041" s="1" t="s">
        <v>91</v>
      </c>
      <c r="BQ1041" t="s">
        <v>91</v>
      </c>
      <c r="BR1041" s="3">
        <v>45118</v>
      </c>
      <c r="BS1041" s="3"/>
      <c r="BT1041" t="s">
        <v>91</v>
      </c>
      <c r="BU1041" t="s">
        <v>91</v>
      </c>
      <c r="BW1041" s="1" t="s">
        <v>90</v>
      </c>
    </row>
    <row r="1042" spans="1:75" hidden="1" x14ac:dyDescent="0.35">
      <c r="A1042">
        <v>134293</v>
      </c>
      <c r="B1042" s="1" t="s">
        <v>75</v>
      </c>
      <c r="C1042">
        <v>80</v>
      </c>
      <c r="D1042">
        <v>11121002</v>
      </c>
      <c r="E1042">
        <v>121002</v>
      </c>
      <c r="F1042" s="1" t="s">
        <v>2915</v>
      </c>
      <c r="G1042" s="1" t="s">
        <v>5799</v>
      </c>
      <c r="I1042" s="1" t="s">
        <v>78</v>
      </c>
      <c r="J1042" s="1" t="s">
        <v>5800</v>
      </c>
      <c r="K1042" s="1" t="s">
        <v>5801</v>
      </c>
      <c r="L1042" t="s">
        <v>91</v>
      </c>
      <c r="M1042" t="s">
        <v>91</v>
      </c>
      <c r="N1042" s="1" t="s">
        <v>5802</v>
      </c>
      <c r="O1042" t="s">
        <v>91</v>
      </c>
      <c r="P1042" s="1" t="s">
        <v>3247</v>
      </c>
      <c r="Q1042" s="1" t="s">
        <v>4203</v>
      </c>
      <c r="R1042" s="1" t="s">
        <v>75</v>
      </c>
      <c r="S1042">
        <v>1259</v>
      </c>
      <c r="T1042">
        <v>88130301</v>
      </c>
      <c r="U1042" s="1" t="s">
        <v>3249</v>
      </c>
      <c r="V1042" s="1" t="s">
        <v>3165</v>
      </c>
      <c r="W1042" s="1" t="s">
        <v>87</v>
      </c>
      <c r="X1042">
        <v>48</v>
      </c>
      <c r="Y1042">
        <v>32422646</v>
      </c>
      <c r="Z1042" t="s">
        <v>91</v>
      </c>
      <c r="AA1042" t="s">
        <v>91</v>
      </c>
      <c r="AB1042" t="s">
        <v>91</v>
      </c>
      <c r="AC1042" t="s">
        <v>91</v>
      </c>
      <c r="AD1042" t="s">
        <v>91</v>
      </c>
      <c r="AE1042" t="s">
        <v>91</v>
      </c>
      <c r="AF1042" t="s">
        <v>91</v>
      </c>
      <c r="AG1042" s="1" t="s">
        <v>146</v>
      </c>
      <c r="AH1042" s="1" t="s">
        <v>91</v>
      </c>
      <c r="AI1042" t="s">
        <v>91</v>
      </c>
      <c r="AJ1042">
        <v>0</v>
      </c>
      <c r="AK1042">
        <v>0</v>
      </c>
      <c r="AL1042">
        <v>0</v>
      </c>
      <c r="AM1042" t="s">
        <v>91</v>
      </c>
      <c r="AN1042" t="s">
        <v>91</v>
      </c>
      <c r="AO1042" t="s">
        <v>91</v>
      </c>
      <c r="AP1042" t="s">
        <v>91</v>
      </c>
      <c r="AQ1042" s="1" t="s">
        <v>147</v>
      </c>
      <c r="AR1042" s="1" t="s">
        <v>147</v>
      </c>
      <c r="AS1042" s="1" t="s">
        <v>147</v>
      </c>
      <c r="AT1042" s="1" t="s">
        <v>147</v>
      </c>
      <c r="AU1042" s="1" t="s">
        <v>147</v>
      </c>
      <c r="AV1042" t="s">
        <v>91</v>
      </c>
      <c r="AW1042" t="s">
        <v>91</v>
      </c>
      <c r="AX1042" t="s">
        <v>91</v>
      </c>
      <c r="AY1042" t="s">
        <v>91</v>
      </c>
      <c r="AZ1042" t="s">
        <v>91</v>
      </c>
      <c r="BA1042" t="s">
        <v>91</v>
      </c>
      <c r="BB1042" s="2"/>
      <c r="BC1042" s="2">
        <v>44623.686620370368</v>
      </c>
      <c r="BD1042" t="s">
        <v>91</v>
      </c>
      <c r="BF1042" s="1" t="s">
        <v>75</v>
      </c>
      <c r="BG1042">
        <v>0</v>
      </c>
      <c r="BH1042">
        <v>0</v>
      </c>
      <c r="BI1042" s="1" t="s">
        <v>88</v>
      </c>
      <c r="BJ1042">
        <v>1</v>
      </c>
      <c r="BK1042" s="1" t="s">
        <v>89</v>
      </c>
      <c r="BL1042" t="s">
        <v>91</v>
      </c>
      <c r="BM1042" s="1" t="s">
        <v>109</v>
      </c>
      <c r="BN1042" s="1" t="s">
        <v>110</v>
      </c>
      <c r="BO1042" s="1" t="s">
        <v>128</v>
      </c>
      <c r="BP1042" s="1" t="s">
        <v>91</v>
      </c>
      <c r="BQ1042" t="s">
        <v>91</v>
      </c>
      <c r="BR1042" s="3"/>
      <c r="BS1042" s="3">
        <v>44623</v>
      </c>
      <c r="BT1042" t="s">
        <v>91</v>
      </c>
      <c r="BU1042" t="s">
        <v>91</v>
      </c>
      <c r="BV1042">
        <v>9</v>
      </c>
      <c r="BW1042" s="1" t="s">
        <v>601</v>
      </c>
    </row>
    <row r="1043" spans="1:75" hidden="1" x14ac:dyDescent="0.35">
      <c r="A1043">
        <v>134249</v>
      </c>
      <c r="B1043" s="1" t="s">
        <v>75</v>
      </c>
      <c r="C1043">
        <v>80</v>
      </c>
      <c r="D1043">
        <v>11121002</v>
      </c>
      <c r="E1043">
        <v>121002</v>
      </c>
      <c r="F1043" s="1" t="s">
        <v>2915</v>
      </c>
      <c r="G1043" s="1" t="s">
        <v>5803</v>
      </c>
      <c r="I1043" s="1" t="s">
        <v>78</v>
      </c>
      <c r="J1043" s="1" t="s">
        <v>5804</v>
      </c>
      <c r="K1043" s="1" t="s">
        <v>5805</v>
      </c>
      <c r="L1043" t="s">
        <v>91</v>
      </c>
      <c r="M1043" t="s">
        <v>91</v>
      </c>
      <c r="N1043" s="1" t="s">
        <v>5806</v>
      </c>
      <c r="O1043" t="s">
        <v>91</v>
      </c>
      <c r="P1043" s="1" t="s">
        <v>775</v>
      </c>
      <c r="Q1043" s="1" t="s">
        <v>463</v>
      </c>
      <c r="R1043" s="1" t="s">
        <v>1522</v>
      </c>
      <c r="S1043">
        <v>1254</v>
      </c>
      <c r="T1043">
        <v>88010320</v>
      </c>
      <c r="U1043" s="1" t="s">
        <v>108</v>
      </c>
      <c r="V1043" s="1" t="s">
        <v>3102</v>
      </c>
      <c r="W1043" s="1" t="s">
        <v>87</v>
      </c>
      <c r="X1043">
        <v>48</v>
      </c>
      <c r="Y1043">
        <v>32228068</v>
      </c>
      <c r="Z1043" t="s">
        <v>91</v>
      </c>
      <c r="AA1043" t="s">
        <v>91</v>
      </c>
      <c r="AB1043" t="s">
        <v>91</v>
      </c>
      <c r="AC1043" t="s">
        <v>91</v>
      </c>
      <c r="AD1043" t="s">
        <v>91</v>
      </c>
      <c r="AE1043" t="s">
        <v>91</v>
      </c>
      <c r="AF1043" t="s">
        <v>91</v>
      </c>
      <c r="AG1043" s="1" t="s">
        <v>146</v>
      </c>
      <c r="AH1043" s="1" t="s">
        <v>91</v>
      </c>
      <c r="AI1043" t="s">
        <v>91</v>
      </c>
      <c r="AJ1043">
        <v>0</v>
      </c>
      <c r="AK1043">
        <v>0</v>
      </c>
      <c r="AL1043">
        <v>0</v>
      </c>
      <c r="AM1043" t="s">
        <v>91</v>
      </c>
      <c r="AN1043" t="s">
        <v>91</v>
      </c>
      <c r="AO1043" t="s">
        <v>91</v>
      </c>
      <c r="AP1043" t="s">
        <v>91</v>
      </c>
      <c r="AQ1043" s="1" t="s">
        <v>147</v>
      </c>
      <c r="AR1043" s="1" t="s">
        <v>147</v>
      </c>
      <c r="AS1043" s="1" t="s">
        <v>147</v>
      </c>
      <c r="AT1043" s="1" t="s">
        <v>147</v>
      </c>
      <c r="AU1043" s="1" t="s">
        <v>147</v>
      </c>
      <c r="AV1043" t="s">
        <v>91</v>
      </c>
      <c r="AW1043" t="s">
        <v>91</v>
      </c>
      <c r="AX1043" t="s">
        <v>91</v>
      </c>
      <c r="AY1043" t="s">
        <v>91</v>
      </c>
      <c r="AZ1043" t="s">
        <v>91</v>
      </c>
      <c r="BA1043" t="s">
        <v>91</v>
      </c>
      <c r="BB1043" s="2"/>
      <c r="BC1043" s="2">
        <v>44683.554629629631</v>
      </c>
      <c r="BD1043" t="s">
        <v>91</v>
      </c>
      <c r="BF1043" s="1" t="s">
        <v>75</v>
      </c>
      <c r="BG1043">
        <v>0</v>
      </c>
      <c r="BH1043">
        <v>0</v>
      </c>
      <c r="BI1043" s="1" t="s">
        <v>88</v>
      </c>
      <c r="BJ1043">
        <v>1</v>
      </c>
      <c r="BK1043" s="1" t="s">
        <v>89</v>
      </c>
      <c r="BL1043" t="s">
        <v>91</v>
      </c>
      <c r="BM1043" s="1" t="s">
        <v>109</v>
      </c>
      <c r="BN1043" s="1" t="s">
        <v>110</v>
      </c>
      <c r="BO1043" s="1" t="s">
        <v>111</v>
      </c>
      <c r="BP1043" s="1" t="s">
        <v>91</v>
      </c>
      <c r="BQ1043" t="s">
        <v>91</v>
      </c>
      <c r="BR1043" s="3"/>
      <c r="BS1043" s="3">
        <v>44683</v>
      </c>
      <c r="BT1043" t="s">
        <v>91</v>
      </c>
      <c r="BU1043" t="s">
        <v>91</v>
      </c>
      <c r="BV1043">
        <v>7</v>
      </c>
      <c r="BW1043" s="1" t="s">
        <v>1077</v>
      </c>
    </row>
    <row r="1044" spans="1:75" hidden="1" x14ac:dyDescent="0.35">
      <c r="A1044">
        <v>158708</v>
      </c>
      <c r="B1044" s="1" t="s">
        <v>75</v>
      </c>
      <c r="C1044">
        <v>80</v>
      </c>
      <c r="D1044">
        <v>11121002</v>
      </c>
      <c r="E1044">
        <v>121002</v>
      </c>
      <c r="F1044" s="1" t="s">
        <v>2915</v>
      </c>
      <c r="G1044" s="1" t="s">
        <v>5807</v>
      </c>
      <c r="I1044" s="1" t="s">
        <v>78</v>
      </c>
      <c r="J1044" s="1" t="s">
        <v>5808</v>
      </c>
      <c r="K1044" s="1" t="s">
        <v>5809</v>
      </c>
      <c r="L1044" t="s">
        <v>91</v>
      </c>
      <c r="M1044" t="s">
        <v>91</v>
      </c>
      <c r="N1044" s="1" t="s">
        <v>5810</v>
      </c>
      <c r="O1044" t="s">
        <v>91</v>
      </c>
      <c r="P1044" s="1" t="s">
        <v>5811</v>
      </c>
      <c r="Q1044" s="1" t="s">
        <v>2674</v>
      </c>
      <c r="R1044" s="1" t="s">
        <v>236</v>
      </c>
      <c r="S1044">
        <v>1270</v>
      </c>
      <c r="T1044">
        <v>88970000</v>
      </c>
      <c r="U1044" s="1" t="s">
        <v>108</v>
      </c>
      <c r="V1044" s="1" t="s">
        <v>5812</v>
      </c>
      <c r="W1044" s="1" t="s">
        <v>87</v>
      </c>
      <c r="X1044">
        <v>48</v>
      </c>
      <c r="Y1044">
        <v>988505722</v>
      </c>
      <c r="Z1044" t="s">
        <v>91</v>
      </c>
      <c r="AA1044" t="s">
        <v>91</v>
      </c>
      <c r="AB1044" t="s">
        <v>91</v>
      </c>
      <c r="AC1044" t="s">
        <v>91</v>
      </c>
      <c r="AD1044" t="s">
        <v>91</v>
      </c>
      <c r="AE1044" t="s">
        <v>91</v>
      </c>
      <c r="AF1044" t="s">
        <v>91</v>
      </c>
      <c r="AG1044" s="1" t="s">
        <v>91</v>
      </c>
      <c r="AH1044" s="1" t="s">
        <v>91</v>
      </c>
      <c r="AI1044" t="s">
        <v>91</v>
      </c>
      <c r="AM1044" t="s">
        <v>91</v>
      </c>
      <c r="AN1044" t="s">
        <v>91</v>
      </c>
      <c r="AO1044" t="s">
        <v>91</v>
      </c>
      <c r="AP1044" t="s">
        <v>91</v>
      </c>
      <c r="AQ1044" s="1" t="s">
        <v>91</v>
      </c>
      <c r="AR1044" s="1" t="s">
        <v>91</v>
      </c>
      <c r="AS1044" s="1" t="s">
        <v>91</v>
      </c>
      <c r="AT1044" s="1" t="s">
        <v>91</v>
      </c>
      <c r="AU1044" s="1" t="s">
        <v>91</v>
      </c>
      <c r="AV1044" t="s">
        <v>91</v>
      </c>
      <c r="AW1044" t="s">
        <v>91</v>
      </c>
      <c r="AX1044" t="s">
        <v>91</v>
      </c>
      <c r="AY1044" t="s">
        <v>91</v>
      </c>
      <c r="AZ1044" t="s">
        <v>91</v>
      </c>
      <c r="BA1044" t="s">
        <v>91</v>
      </c>
      <c r="BB1044" s="2">
        <v>45155.700069444443</v>
      </c>
      <c r="BC1044" s="2"/>
      <c r="BD1044" t="s">
        <v>91</v>
      </c>
      <c r="BF1044" s="1" t="s">
        <v>75</v>
      </c>
      <c r="BI1044" s="1" t="s">
        <v>88</v>
      </c>
      <c r="BJ1044">
        <v>1</v>
      </c>
      <c r="BK1044" s="1" t="s">
        <v>89</v>
      </c>
      <c r="BL1044" t="s">
        <v>91</v>
      </c>
      <c r="BM1044" s="1" t="s">
        <v>91</v>
      </c>
      <c r="BN1044" s="1" t="s">
        <v>91</v>
      </c>
      <c r="BO1044" s="1" t="s">
        <v>91</v>
      </c>
      <c r="BP1044" s="1" t="s">
        <v>91</v>
      </c>
      <c r="BQ1044" t="s">
        <v>91</v>
      </c>
      <c r="BR1044" s="3">
        <v>45155</v>
      </c>
      <c r="BS1044" s="3"/>
      <c r="BT1044" t="s">
        <v>91</v>
      </c>
      <c r="BU1044" t="s">
        <v>91</v>
      </c>
      <c r="BW1044" s="1" t="s">
        <v>1077</v>
      </c>
    </row>
    <row r="1045" spans="1:75" hidden="1" x14ac:dyDescent="0.35">
      <c r="A1045">
        <v>134429</v>
      </c>
      <c r="B1045" s="1" t="s">
        <v>75</v>
      </c>
      <c r="C1045">
        <v>80</v>
      </c>
      <c r="D1045">
        <v>11121002</v>
      </c>
      <c r="E1045">
        <v>121002</v>
      </c>
      <c r="F1045" s="1" t="s">
        <v>2915</v>
      </c>
      <c r="G1045" s="1" t="s">
        <v>5813</v>
      </c>
      <c r="I1045" s="1" t="s">
        <v>78</v>
      </c>
      <c r="J1045" s="1" t="s">
        <v>5814</v>
      </c>
      <c r="K1045" s="1" t="s">
        <v>5815</v>
      </c>
      <c r="L1045" t="s">
        <v>91</v>
      </c>
      <c r="M1045" t="s">
        <v>91</v>
      </c>
      <c r="N1045" s="1" t="s">
        <v>5816</v>
      </c>
      <c r="O1045" t="s">
        <v>91</v>
      </c>
      <c r="P1045" s="1" t="s">
        <v>4174</v>
      </c>
      <c r="Q1045" s="1" t="s">
        <v>510</v>
      </c>
      <c r="R1045" s="1" t="s">
        <v>320</v>
      </c>
      <c r="S1045">
        <v>1255</v>
      </c>
      <c r="T1045">
        <v>88015010</v>
      </c>
      <c r="U1045" s="1" t="s">
        <v>108</v>
      </c>
      <c r="V1045" s="1" t="s">
        <v>3102</v>
      </c>
      <c r="W1045" s="1" t="s">
        <v>87</v>
      </c>
      <c r="X1045">
        <v>48</v>
      </c>
      <c r="Y1045">
        <v>33717966</v>
      </c>
      <c r="Z1045" t="s">
        <v>91</v>
      </c>
      <c r="AA1045" t="s">
        <v>91</v>
      </c>
      <c r="AB1045" t="s">
        <v>91</v>
      </c>
      <c r="AC1045" t="s">
        <v>91</v>
      </c>
      <c r="AD1045" t="s">
        <v>91</v>
      </c>
      <c r="AE1045" t="s">
        <v>91</v>
      </c>
      <c r="AF1045" t="s">
        <v>91</v>
      </c>
      <c r="AG1045" s="1" t="s">
        <v>146</v>
      </c>
      <c r="AH1045" s="1" t="s">
        <v>91</v>
      </c>
      <c r="AI1045" t="s">
        <v>91</v>
      </c>
      <c r="AM1045" t="s">
        <v>91</v>
      </c>
      <c r="AN1045" t="s">
        <v>91</v>
      </c>
      <c r="AO1045" t="s">
        <v>91</v>
      </c>
      <c r="AP1045" t="s">
        <v>91</v>
      </c>
      <c r="AQ1045" s="1" t="s">
        <v>147</v>
      </c>
      <c r="AR1045" s="1" t="s">
        <v>147</v>
      </c>
      <c r="AS1045" s="1" t="s">
        <v>147</v>
      </c>
      <c r="AT1045" s="1" t="s">
        <v>147</v>
      </c>
      <c r="AU1045" s="1" t="s">
        <v>147</v>
      </c>
      <c r="AV1045" t="s">
        <v>91</v>
      </c>
      <c r="AW1045" t="s">
        <v>91</v>
      </c>
      <c r="AX1045" t="s">
        <v>91</v>
      </c>
      <c r="AY1045" t="s">
        <v>91</v>
      </c>
      <c r="AZ1045" t="s">
        <v>91</v>
      </c>
      <c r="BA1045" t="s">
        <v>91</v>
      </c>
      <c r="BB1045" s="2"/>
      <c r="BC1045" s="2">
        <v>44526.736493055556</v>
      </c>
      <c r="BD1045" t="s">
        <v>91</v>
      </c>
      <c r="BF1045" s="1" t="s">
        <v>75</v>
      </c>
      <c r="BH1045">
        <v>0</v>
      </c>
      <c r="BI1045" s="1" t="s">
        <v>88</v>
      </c>
      <c r="BJ1045">
        <v>1</v>
      </c>
      <c r="BK1045" s="1" t="s">
        <v>89</v>
      </c>
      <c r="BL1045" t="s">
        <v>91</v>
      </c>
      <c r="BM1045" s="1" t="s">
        <v>109</v>
      </c>
      <c r="BN1045" s="1" t="s">
        <v>110</v>
      </c>
      <c r="BO1045" s="1" t="s">
        <v>128</v>
      </c>
      <c r="BP1045" s="1" t="s">
        <v>91</v>
      </c>
      <c r="BQ1045" t="s">
        <v>91</v>
      </c>
      <c r="BR1045" s="3"/>
      <c r="BS1045" s="3">
        <v>44526</v>
      </c>
      <c r="BT1045" t="s">
        <v>91</v>
      </c>
      <c r="BU1045" t="s">
        <v>91</v>
      </c>
      <c r="BV1045">
        <v>9</v>
      </c>
      <c r="BW1045" s="1" t="s">
        <v>419</v>
      </c>
    </row>
    <row r="1046" spans="1:75" hidden="1" x14ac:dyDescent="0.35">
      <c r="A1046">
        <v>158695</v>
      </c>
      <c r="B1046" s="1" t="s">
        <v>75</v>
      </c>
      <c r="C1046">
        <v>80</v>
      </c>
      <c r="D1046">
        <v>11121002</v>
      </c>
      <c r="E1046">
        <v>121002</v>
      </c>
      <c r="F1046" s="1" t="s">
        <v>2915</v>
      </c>
      <c r="G1046" s="1" t="s">
        <v>5817</v>
      </c>
      <c r="I1046" s="1" t="s">
        <v>78</v>
      </c>
      <c r="J1046" s="1" t="s">
        <v>5818</v>
      </c>
      <c r="K1046" s="1" t="s">
        <v>5819</v>
      </c>
      <c r="L1046" t="s">
        <v>91</v>
      </c>
      <c r="M1046" t="s">
        <v>91</v>
      </c>
      <c r="N1046" s="1" t="s">
        <v>5820</v>
      </c>
      <c r="O1046" t="s">
        <v>91</v>
      </c>
      <c r="P1046" s="1" t="s">
        <v>5821</v>
      </c>
      <c r="Q1046" s="1" t="s">
        <v>2808</v>
      </c>
      <c r="R1046" s="1" t="s">
        <v>5822</v>
      </c>
      <c r="T1046">
        <v>88130055</v>
      </c>
      <c r="U1046" s="1" t="s">
        <v>108</v>
      </c>
      <c r="V1046" s="1" t="s">
        <v>2951</v>
      </c>
      <c r="W1046" s="1" t="s">
        <v>87</v>
      </c>
      <c r="X1046">
        <v>48</v>
      </c>
      <c r="Y1046">
        <v>996762743</v>
      </c>
      <c r="Z1046" t="s">
        <v>91</v>
      </c>
      <c r="AA1046" t="s">
        <v>91</v>
      </c>
      <c r="AB1046" t="s">
        <v>91</v>
      </c>
      <c r="AC1046" t="s">
        <v>91</v>
      </c>
      <c r="AD1046" t="s">
        <v>91</v>
      </c>
      <c r="AE1046" t="s">
        <v>91</v>
      </c>
      <c r="AF1046" t="s">
        <v>91</v>
      </c>
      <c r="AG1046" s="1" t="s">
        <v>91</v>
      </c>
      <c r="AH1046" s="1" t="s">
        <v>91</v>
      </c>
      <c r="AI1046" t="s">
        <v>91</v>
      </c>
      <c r="AM1046" t="s">
        <v>91</v>
      </c>
      <c r="AN1046" t="s">
        <v>91</v>
      </c>
      <c r="AO1046" t="s">
        <v>91</v>
      </c>
      <c r="AP1046" t="s">
        <v>91</v>
      </c>
      <c r="AQ1046" s="1" t="s">
        <v>91</v>
      </c>
      <c r="AR1046" s="1" t="s">
        <v>91</v>
      </c>
      <c r="AS1046" s="1" t="s">
        <v>91</v>
      </c>
      <c r="AT1046" s="1" t="s">
        <v>91</v>
      </c>
      <c r="AU1046" s="1" t="s">
        <v>91</v>
      </c>
      <c r="AV1046" t="s">
        <v>91</v>
      </c>
      <c r="AW1046" t="s">
        <v>91</v>
      </c>
      <c r="AX1046" t="s">
        <v>91</v>
      </c>
      <c r="AY1046" t="s">
        <v>91</v>
      </c>
      <c r="AZ1046" t="s">
        <v>91</v>
      </c>
      <c r="BA1046" t="s">
        <v>91</v>
      </c>
      <c r="BB1046" s="2">
        <v>45155.700069444443</v>
      </c>
      <c r="BC1046" s="2"/>
      <c r="BD1046" t="s">
        <v>91</v>
      </c>
      <c r="BF1046" s="1" t="s">
        <v>75</v>
      </c>
      <c r="BI1046" s="1" t="s">
        <v>88</v>
      </c>
      <c r="BJ1046">
        <v>1</v>
      </c>
      <c r="BK1046" s="1" t="s">
        <v>89</v>
      </c>
      <c r="BL1046" t="s">
        <v>91</v>
      </c>
      <c r="BM1046" s="1" t="s">
        <v>91</v>
      </c>
      <c r="BN1046" s="1" t="s">
        <v>91</v>
      </c>
      <c r="BO1046" s="1" t="s">
        <v>91</v>
      </c>
      <c r="BP1046" s="1" t="s">
        <v>91</v>
      </c>
      <c r="BQ1046" t="s">
        <v>91</v>
      </c>
      <c r="BR1046" s="3">
        <v>45155</v>
      </c>
      <c r="BS1046" s="3"/>
      <c r="BT1046" t="s">
        <v>91</v>
      </c>
      <c r="BU1046" t="s">
        <v>91</v>
      </c>
      <c r="BW1046" s="1" t="s">
        <v>804</v>
      </c>
    </row>
    <row r="1047" spans="1:75" hidden="1" x14ac:dyDescent="0.35">
      <c r="A1047">
        <v>156872</v>
      </c>
      <c r="B1047" s="1" t="s">
        <v>75</v>
      </c>
      <c r="C1047">
        <v>80</v>
      </c>
      <c r="D1047">
        <v>11121002</v>
      </c>
      <c r="E1047">
        <v>121002</v>
      </c>
      <c r="F1047" s="1" t="s">
        <v>2915</v>
      </c>
      <c r="G1047" s="1" t="s">
        <v>5823</v>
      </c>
      <c r="H1047">
        <v>0</v>
      </c>
      <c r="I1047" s="1" t="s">
        <v>78</v>
      </c>
      <c r="J1047" s="1" t="s">
        <v>5824</v>
      </c>
      <c r="K1047" s="1" t="s">
        <v>5825</v>
      </c>
      <c r="L1047" t="s">
        <v>91</v>
      </c>
      <c r="M1047" t="s">
        <v>91</v>
      </c>
      <c r="N1047" s="1" t="s">
        <v>5826</v>
      </c>
      <c r="O1047" t="s">
        <v>91</v>
      </c>
      <c r="P1047" s="1" t="s">
        <v>5827</v>
      </c>
      <c r="Q1047" s="1" t="s">
        <v>4505</v>
      </c>
      <c r="R1047" s="1" t="s">
        <v>370</v>
      </c>
      <c r="T1047">
        <v>88460000</v>
      </c>
      <c r="U1047" s="1" t="s">
        <v>108</v>
      </c>
      <c r="V1047" s="1" t="s">
        <v>2935</v>
      </c>
      <c r="W1047" s="1" t="s">
        <v>87</v>
      </c>
      <c r="X1047">
        <v>48</v>
      </c>
      <c r="Y1047">
        <v>32741625</v>
      </c>
      <c r="Z1047" t="s">
        <v>91</v>
      </c>
      <c r="AA1047" t="s">
        <v>91</v>
      </c>
      <c r="AB1047" t="s">
        <v>91</v>
      </c>
      <c r="AC1047" t="s">
        <v>91</v>
      </c>
      <c r="AD1047" t="s">
        <v>91</v>
      </c>
      <c r="AE1047" t="s">
        <v>91</v>
      </c>
      <c r="AF1047" t="s">
        <v>91</v>
      </c>
      <c r="AG1047" s="1" t="s">
        <v>91</v>
      </c>
      <c r="AH1047" s="1" t="s">
        <v>91</v>
      </c>
      <c r="AI1047" t="s">
        <v>91</v>
      </c>
      <c r="AM1047" t="s">
        <v>91</v>
      </c>
      <c r="AN1047" t="s">
        <v>91</v>
      </c>
      <c r="AO1047" t="s">
        <v>91</v>
      </c>
      <c r="AP1047" t="s">
        <v>91</v>
      </c>
      <c r="AQ1047" s="1" t="s">
        <v>91</v>
      </c>
      <c r="AR1047" s="1" t="s">
        <v>91</v>
      </c>
      <c r="AS1047" s="1" t="s">
        <v>91</v>
      </c>
      <c r="AT1047" s="1" t="s">
        <v>91</v>
      </c>
      <c r="AU1047" s="1" t="s">
        <v>91</v>
      </c>
      <c r="AV1047" t="s">
        <v>91</v>
      </c>
      <c r="AW1047" t="s">
        <v>91</v>
      </c>
      <c r="AX1047" t="s">
        <v>91</v>
      </c>
      <c r="AY1047" t="s">
        <v>91</v>
      </c>
      <c r="AZ1047" t="s">
        <v>91</v>
      </c>
      <c r="BA1047" t="s">
        <v>91</v>
      </c>
      <c r="BB1047" s="2">
        <v>45113.505416666667</v>
      </c>
      <c r="BC1047" s="2"/>
      <c r="BD1047" t="s">
        <v>91</v>
      </c>
      <c r="BF1047" s="1" t="s">
        <v>75</v>
      </c>
      <c r="BI1047" s="1" t="s">
        <v>88</v>
      </c>
      <c r="BJ1047">
        <v>1</v>
      </c>
      <c r="BK1047" s="1" t="s">
        <v>89</v>
      </c>
      <c r="BL1047" t="s">
        <v>91</v>
      </c>
      <c r="BM1047" s="1" t="s">
        <v>91</v>
      </c>
      <c r="BN1047" s="1" t="s">
        <v>91</v>
      </c>
      <c r="BO1047" s="1" t="s">
        <v>91</v>
      </c>
      <c r="BP1047" s="1" t="s">
        <v>91</v>
      </c>
      <c r="BQ1047" t="s">
        <v>91</v>
      </c>
      <c r="BR1047" s="3">
        <v>45113</v>
      </c>
      <c r="BS1047" s="3"/>
      <c r="BT1047" t="s">
        <v>91</v>
      </c>
      <c r="BU1047" t="s">
        <v>91</v>
      </c>
      <c r="BW1047" s="1" t="s">
        <v>2526</v>
      </c>
    </row>
    <row r="1048" spans="1:75" hidden="1" x14ac:dyDescent="0.35">
      <c r="A1048">
        <v>134317</v>
      </c>
      <c r="B1048" s="1" t="s">
        <v>75</v>
      </c>
      <c r="C1048">
        <v>80</v>
      </c>
      <c r="D1048">
        <v>11121002</v>
      </c>
      <c r="E1048">
        <v>121002</v>
      </c>
      <c r="F1048" s="1" t="s">
        <v>2915</v>
      </c>
      <c r="G1048" s="1" t="s">
        <v>5828</v>
      </c>
      <c r="I1048" s="1" t="s">
        <v>78</v>
      </c>
      <c r="J1048" s="1" t="s">
        <v>5829</v>
      </c>
      <c r="K1048" s="1" t="s">
        <v>5830</v>
      </c>
      <c r="L1048" t="s">
        <v>91</v>
      </c>
      <c r="M1048" t="s">
        <v>91</v>
      </c>
      <c r="N1048" s="1" t="s">
        <v>5831</v>
      </c>
      <c r="O1048" t="s">
        <v>91</v>
      </c>
      <c r="P1048" s="1" t="s">
        <v>4174</v>
      </c>
      <c r="Q1048" s="1" t="s">
        <v>5187</v>
      </c>
      <c r="R1048" s="1" t="s">
        <v>4141</v>
      </c>
      <c r="S1048">
        <v>1266</v>
      </c>
      <c r="T1048">
        <v>88502170</v>
      </c>
      <c r="U1048" s="1" t="s">
        <v>108</v>
      </c>
      <c r="V1048" s="1" t="s">
        <v>3335</v>
      </c>
      <c r="W1048" s="1" t="s">
        <v>87</v>
      </c>
      <c r="X1048">
        <v>49</v>
      </c>
      <c r="Y1048">
        <v>30180931</v>
      </c>
      <c r="Z1048" t="s">
        <v>91</v>
      </c>
      <c r="AA1048" t="s">
        <v>91</v>
      </c>
      <c r="AB1048" t="s">
        <v>91</v>
      </c>
      <c r="AC1048" t="s">
        <v>91</v>
      </c>
      <c r="AD1048" t="s">
        <v>91</v>
      </c>
      <c r="AE1048" t="s">
        <v>91</v>
      </c>
      <c r="AF1048" t="s">
        <v>91</v>
      </c>
      <c r="AG1048" s="1" t="s">
        <v>146</v>
      </c>
      <c r="AH1048" s="1" t="s">
        <v>91</v>
      </c>
      <c r="AI1048" t="s">
        <v>91</v>
      </c>
      <c r="AJ1048">
        <v>0</v>
      </c>
      <c r="AK1048">
        <v>0</v>
      </c>
      <c r="AL1048">
        <v>0</v>
      </c>
      <c r="AM1048" t="s">
        <v>91</v>
      </c>
      <c r="AN1048" t="s">
        <v>91</v>
      </c>
      <c r="AO1048" t="s">
        <v>91</v>
      </c>
      <c r="AP1048" t="s">
        <v>91</v>
      </c>
      <c r="AQ1048" s="1" t="s">
        <v>147</v>
      </c>
      <c r="AR1048" s="1" t="s">
        <v>147</v>
      </c>
      <c r="AS1048" s="1" t="s">
        <v>147</v>
      </c>
      <c r="AT1048" s="1" t="s">
        <v>147</v>
      </c>
      <c r="AU1048" s="1" t="s">
        <v>147</v>
      </c>
      <c r="AV1048" t="s">
        <v>91</v>
      </c>
      <c r="AW1048" t="s">
        <v>91</v>
      </c>
      <c r="AX1048" t="s">
        <v>91</v>
      </c>
      <c r="AY1048" t="s">
        <v>91</v>
      </c>
      <c r="AZ1048" t="s">
        <v>91</v>
      </c>
      <c r="BA1048" t="s">
        <v>91</v>
      </c>
      <c r="BB1048" s="2"/>
      <c r="BC1048" s="2">
        <v>44683.497303240743</v>
      </c>
      <c r="BD1048" t="s">
        <v>91</v>
      </c>
      <c r="BF1048" s="1" t="s">
        <v>75</v>
      </c>
      <c r="BG1048">
        <v>0</v>
      </c>
      <c r="BH1048">
        <v>0</v>
      </c>
      <c r="BI1048" s="1" t="s">
        <v>88</v>
      </c>
      <c r="BJ1048">
        <v>1</v>
      </c>
      <c r="BK1048" s="1" t="s">
        <v>89</v>
      </c>
      <c r="BL1048" t="s">
        <v>91</v>
      </c>
      <c r="BM1048" s="1" t="s">
        <v>109</v>
      </c>
      <c r="BN1048" s="1" t="s">
        <v>110</v>
      </c>
      <c r="BO1048" s="1" t="s">
        <v>165</v>
      </c>
      <c r="BP1048" s="1" t="s">
        <v>91</v>
      </c>
      <c r="BQ1048" t="s">
        <v>91</v>
      </c>
      <c r="BR1048" s="3"/>
      <c r="BS1048" s="3">
        <v>44683</v>
      </c>
      <c r="BT1048" t="s">
        <v>91</v>
      </c>
      <c r="BU1048" t="s">
        <v>91</v>
      </c>
      <c r="BV1048">
        <v>5</v>
      </c>
      <c r="BW1048" s="1" t="s">
        <v>620</v>
      </c>
    </row>
    <row r="1049" spans="1:75" hidden="1" x14ac:dyDescent="0.35">
      <c r="A1049">
        <v>127485</v>
      </c>
      <c r="B1049" s="1" t="s">
        <v>75</v>
      </c>
      <c r="C1049">
        <v>80</v>
      </c>
      <c r="D1049">
        <v>11121002</v>
      </c>
      <c r="E1049">
        <v>121002</v>
      </c>
      <c r="F1049" s="1" t="s">
        <v>2915</v>
      </c>
      <c r="G1049" s="1" t="s">
        <v>5832</v>
      </c>
      <c r="H1049">
        <v>0</v>
      </c>
      <c r="I1049" s="1" t="s">
        <v>78</v>
      </c>
      <c r="J1049" s="1" t="s">
        <v>5833</v>
      </c>
      <c r="K1049" s="1" t="s">
        <v>5834</v>
      </c>
      <c r="L1049" t="s">
        <v>91</v>
      </c>
      <c r="M1049" t="s">
        <v>91</v>
      </c>
      <c r="N1049" s="1" t="s">
        <v>5835</v>
      </c>
      <c r="O1049" t="s">
        <v>91</v>
      </c>
      <c r="P1049" s="1" t="s">
        <v>5836</v>
      </c>
      <c r="Q1049" s="1" t="s">
        <v>5638</v>
      </c>
      <c r="R1049" s="1" t="s">
        <v>91</v>
      </c>
      <c r="S1049">
        <v>1257</v>
      </c>
      <c r="T1049">
        <v>88058600</v>
      </c>
      <c r="U1049" s="1" t="s">
        <v>3441</v>
      </c>
      <c r="V1049" s="1" t="s">
        <v>2922</v>
      </c>
      <c r="W1049" s="1" t="s">
        <v>87</v>
      </c>
      <c r="X1049">
        <v>48</v>
      </c>
      <c r="Y1049">
        <v>33691887</v>
      </c>
      <c r="Z1049" t="s">
        <v>91</v>
      </c>
      <c r="AA1049" t="s">
        <v>91</v>
      </c>
      <c r="AB1049" t="s">
        <v>91</v>
      </c>
      <c r="AC1049" t="s">
        <v>91</v>
      </c>
      <c r="AD1049" t="s">
        <v>91</v>
      </c>
      <c r="AE1049" t="s">
        <v>91</v>
      </c>
      <c r="AF1049" t="s">
        <v>91</v>
      </c>
      <c r="AG1049" s="1" t="s">
        <v>91</v>
      </c>
      <c r="AH1049" s="1" t="s">
        <v>91</v>
      </c>
      <c r="AI1049" t="s">
        <v>91</v>
      </c>
      <c r="AM1049" t="s">
        <v>91</v>
      </c>
      <c r="AN1049" t="s">
        <v>91</v>
      </c>
      <c r="AO1049" t="s">
        <v>91</v>
      </c>
      <c r="AP1049" t="s">
        <v>91</v>
      </c>
      <c r="AQ1049" s="1" t="s">
        <v>91</v>
      </c>
      <c r="AR1049" s="1" t="s">
        <v>91</v>
      </c>
      <c r="AS1049" s="1" t="s">
        <v>91</v>
      </c>
      <c r="AT1049" s="1" t="s">
        <v>91</v>
      </c>
      <c r="AU1049" s="1" t="s">
        <v>91</v>
      </c>
      <c r="AV1049" t="s">
        <v>91</v>
      </c>
      <c r="AW1049" t="s">
        <v>91</v>
      </c>
      <c r="AX1049" t="s">
        <v>91</v>
      </c>
      <c r="AY1049" t="s">
        <v>91</v>
      </c>
      <c r="AZ1049" t="s">
        <v>91</v>
      </c>
      <c r="BA1049" t="s">
        <v>91</v>
      </c>
      <c r="BB1049" s="2">
        <v>44111.380995370368</v>
      </c>
      <c r="BC1049" s="2"/>
      <c r="BD1049" t="s">
        <v>91</v>
      </c>
      <c r="BF1049" s="1" t="s">
        <v>75</v>
      </c>
      <c r="BI1049" s="1" t="s">
        <v>88</v>
      </c>
      <c r="BJ1049">
        <v>1</v>
      </c>
      <c r="BK1049" s="1" t="s">
        <v>89</v>
      </c>
      <c r="BL1049" t="s">
        <v>91</v>
      </c>
      <c r="BM1049" s="1" t="s">
        <v>109</v>
      </c>
      <c r="BN1049" s="1" t="s">
        <v>110</v>
      </c>
      <c r="BO1049" s="1" t="s">
        <v>180</v>
      </c>
      <c r="BP1049" s="1" t="s">
        <v>91</v>
      </c>
      <c r="BQ1049" t="s">
        <v>91</v>
      </c>
      <c r="BR1049" s="3">
        <v>44111</v>
      </c>
      <c r="BS1049" s="3"/>
      <c r="BT1049" t="s">
        <v>91</v>
      </c>
      <c r="BU1049" t="s">
        <v>91</v>
      </c>
      <c r="BV1049">
        <v>6</v>
      </c>
      <c r="BW1049" s="1" t="s">
        <v>90</v>
      </c>
    </row>
    <row r="1050" spans="1:75" hidden="1" x14ac:dyDescent="0.35">
      <c r="A1050">
        <v>156897</v>
      </c>
      <c r="B1050" s="1" t="s">
        <v>75</v>
      </c>
      <c r="C1050">
        <v>80</v>
      </c>
      <c r="D1050">
        <v>11121002</v>
      </c>
      <c r="E1050">
        <v>121002</v>
      </c>
      <c r="F1050" s="1" t="s">
        <v>2915</v>
      </c>
      <c r="G1050" s="1" t="s">
        <v>5837</v>
      </c>
      <c r="H1050">
        <v>0</v>
      </c>
      <c r="I1050" s="1" t="s">
        <v>78</v>
      </c>
      <c r="J1050" s="1" t="s">
        <v>5838</v>
      </c>
      <c r="K1050" s="1" t="s">
        <v>5839</v>
      </c>
      <c r="L1050" t="s">
        <v>91</v>
      </c>
      <c r="M1050" t="s">
        <v>91</v>
      </c>
      <c r="N1050" s="1" t="s">
        <v>5840</v>
      </c>
      <c r="O1050" t="s">
        <v>91</v>
      </c>
      <c r="P1050" s="1" t="s">
        <v>4460</v>
      </c>
      <c r="Q1050" s="1" t="s">
        <v>5019</v>
      </c>
      <c r="R1050" s="1" t="s">
        <v>91</v>
      </c>
      <c r="S1050">
        <v>1269</v>
      </c>
      <c r="T1050">
        <v>88801250</v>
      </c>
      <c r="U1050" s="1" t="s">
        <v>108</v>
      </c>
      <c r="V1050" s="1" t="s">
        <v>2943</v>
      </c>
      <c r="W1050" s="1" t="s">
        <v>87</v>
      </c>
      <c r="X1050">
        <v>48</v>
      </c>
      <c r="Y1050">
        <v>30561902</v>
      </c>
      <c r="Z1050" t="s">
        <v>91</v>
      </c>
      <c r="AA1050" t="s">
        <v>91</v>
      </c>
      <c r="AB1050" t="s">
        <v>91</v>
      </c>
      <c r="AC1050" t="s">
        <v>91</v>
      </c>
      <c r="AD1050" t="s">
        <v>91</v>
      </c>
      <c r="AE1050" t="s">
        <v>91</v>
      </c>
      <c r="AF1050" t="s">
        <v>91</v>
      </c>
      <c r="AG1050" s="1" t="s">
        <v>91</v>
      </c>
      <c r="AH1050" s="1" t="s">
        <v>91</v>
      </c>
      <c r="AI1050" t="s">
        <v>91</v>
      </c>
      <c r="AM1050" t="s">
        <v>91</v>
      </c>
      <c r="AN1050" t="s">
        <v>91</v>
      </c>
      <c r="AO1050" t="s">
        <v>91</v>
      </c>
      <c r="AP1050" t="s">
        <v>91</v>
      </c>
      <c r="AQ1050" s="1" t="s">
        <v>91</v>
      </c>
      <c r="AR1050" s="1" t="s">
        <v>91</v>
      </c>
      <c r="AS1050" s="1" t="s">
        <v>91</v>
      </c>
      <c r="AT1050" s="1" t="s">
        <v>91</v>
      </c>
      <c r="AU1050" s="1" t="s">
        <v>91</v>
      </c>
      <c r="AV1050" t="s">
        <v>91</v>
      </c>
      <c r="AW1050" t="s">
        <v>91</v>
      </c>
      <c r="AX1050" t="s">
        <v>91</v>
      </c>
      <c r="AY1050" t="s">
        <v>91</v>
      </c>
      <c r="AZ1050" t="s">
        <v>91</v>
      </c>
      <c r="BA1050" t="s">
        <v>91</v>
      </c>
      <c r="BB1050" s="2">
        <v>45113.505416666667</v>
      </c>
      <c r="BC1050" s="2"/>
      <c r="BD1050" t="s">
        <v>91</v>
      </c>
      <c r="BF1050" s="1" t="s">
        <v>75</v>
      </c>
      <c r="BI1050" s="1" t="s">
        <v>88</v>
      </c>
      <c r="BJ1050">
        <v>1</v>
      </c>
      <c r="BK1050" s="1" t="s">
        <v>89</v>
      </c>
      <c r="BL1050" t="s">
        <v>91</v>
      </c>
      <c r="BM1050" s="1" t="s">
        <v>91</v>
      </c>
      <c r="BN1050" s="1" t="s">
        <v>91</v>
      </c>
      <c r="BO1050" s="1" t="s">
        <v>91</v>
      </c>
      <c r="BP1050" s="1" t="s">
        <v>91</v>
      </c>
      <c r="BQ1050" t="s">
        <v>91</v>
      </c>
      <c r="BR1050" s="3">
        <v>45113</v>
      </c>
      <c r="BS1050" s="3"/>
      <c r="BT1050" t="s">
        <v>91</v>
      </c>
      <c r="BU1050" t="s">
        <v>91</v>
      </c>
      <c r="BW1050" s="1" t="s">
        <v>90</v>
      </c>
    </row>
    <row r="1051" spans="1:75" hidden="1" x14ac:dyDescent="0.35">
      <c r="A1051">
        <v>144819</v>
      </c>
      <c r="B1051" s="1" t="s">
        <v>75</v>
      </c>
      <c r="C1051">
        <v>80</v>
      </c>
      <c r="D1051">
        <v>11121002</v>
      </c>
      <c r="E1051">
        <v>121002</v>
      </c>
      <c r="F1051" s="1" t="s">
        <v>2915</v>
      </c>
      <c r="G1051" s="1" t="s">
        <v>5841</v>
      </c>
      <c r="I1051" s="1" t="s">
        <v>78</v>
      </c>
      <c r="J1051" s="1" t="s">
        <v>5838</v>
      </c>
      <c r="K1051" s="1" t="s">
        <v>5842</v>
      </c>
      <c r="L1051" t="s">
        <v>91</v>
      </c>
      <c r="M1051" t="s">
        <v>91</v>
      </c>
      <c r="N1051" s="1" t="s">
        <v>5843</v>
      </c>
      <c r="O1051" t="s">
        <v>91</v>
      </c>
      <c r="P1051" s="1" t="s">
        <v>4574</v>
      </c>
      <c r="Q1051" s="1" t="s">
        <v>862</v>
      </c>
      <c r="R1051" s="1" t="s">
        <v>320</v>
      </c>
      <c r="T1051">
        <v>88801045</v>
      </c>
      <c r="U1051" s="1" t="s">
        <v>108</v>
      </c>
      <c r="V1051" s="1" t="s">
        <v>3231</v>
      </c>
      <c r="W1051" s="1" t="s">
        <v>87</v>
      </c>
      <c r="X1051">
        <v>48</v>
      </c>
      <c r="Y1051">
        <v>30561902</v>
      </c>
      <c r="Z1051" t="s">
        <v>91</v>
      </c>
      <c r="AA1051" t="s">
        <v>91</v>
      </c>
      <c r="AB1051" t="s">
        <v>91</v>
      </c>
      <c r="AC1051" t="s">
        <v>91</v>
      </c>
      <c r="AD1051" t="s">
        <v>91</v>
      </c>
      <c r="AE1051" t="s">
        <v>91</v>
      </c>
      <c r="AF1051" t="s">
        <v>91</v>
      </c>
      <c r="AG1051" s="1" t="s">
        <v>91</v>
      </c>
      <c r="AH1051" s="1" t="s">
        <v>91</v>
      </c>
      <c r="AI1051" t="s">
        <v>91</v>
      </c>
      <c r="AJ1051">
        <v>0</v>
      </c>
      <c r="AK1051">
        <v>0</v>
      </c>
      <c r="AL1051">
        <v>0</v>
      </c>
      <c r="AM1051" t="s">
        <v>91</v>
      </c>
      <c r="AN1051" t="s">
        <v>91</v>
      </c>
      <c r="AO1051" t="s">
        <v>91</v>
      </c>
      <c r="AP1051" t="s">
        <v>91</v>
      </c>
      <c r="AQ1051" s="1" t="s">
        <v>91</v>
      </c>
      <c r="AR1051" s="1" t="s">
        <v>91</v>
      </c>
      <c r="AS1051" s="1" t="s">
        <v>91</v>
      </c>
      <c r="AT1051" s="1" t="s">
        <v>91</v>
      </c>
      <c r="AU1051" s="1" t="s">
        <v>91</v>
      </c>
      <c r="AV1051" t="s">
        <v>91</v>
      </c>
      <c r="AW1051" t="s">
        <v>91</v>
      </c>
      <c r="AX1051" t="s">
        <v>91</v>
      </c>
      <c r="AY1051" t="s">
        <v>91</v>
      </c>
      <c r="AZ1051" t="s">
        <v>91</v>
      </c>
      <c r="BA1051" t="s">
        <v>91</v>
      </c>
      <c r="BB1051" s="2"/>
      <c r="BC1051" s="2"/>
      <c r="BD1051" t="s">
        <v>91</v>
      </c>
      <c r="BF1051" s="1" t="s">
        <v>75</v>
      </c>
      <c r="BG1051">
        <v>0</v>
      </c>
      <c r="BH1051">
        <v>0</v>
      </c>
      <c r="BI1051" s="1" t="s">
        <v>88</v>
      </c>
      <c r="BJ1051">
        <v>1</v>
      </c>
      <c r="BK1051" s="1" t="s">
        <v>89</v>
      </c>
      <c r="BL1051" t="s">
        <v>91</v>
      </c>
      <c r="BM1051" s="1" t="s">
        <v>109</v>
      </c>
      <c r="BN1051" s="1" t="s">
        <v>110</v>
      </c>
      <c r="BO1051" s="1" t="s">
        <v>128</v>
      </c>
      <c r="BP1051" s="1" t="s">
        <v>91</v>
      </c>
      <c r="BQ1051" t="s">
        <v>91</v>
      </c>
      <c r="BR1051" s="3"/>
      <c r="BS1051" s="3"/>
      <c r="BT1051" t="s">
        <v>91</v>
      </c>
      <c r="BU1051" t="s">
        <v>91</v>
      </c>
      <c r="BW1051" s="1" t="s">
        <v>589</v>
      </c>
    </row>
    <row r="1052" spans="1:75" hidden="1" x14ac:dyDescent="0.35">
      <c r="A1052">
        <v>157690</v>
      </c>
      <c r="B1052" s="1" t="s">
        <v>75</v>
      </c>
      <c r="C1052">
        <v>80</v>
      </c>
      <c r="D1052">
        <v>11121002</v>
      </c>
      <c r="E1052">
        <v>121002</v>
      </c>
      <c r="F1052" s="1" t="s">
        <v>2915</v>
      </c>
      <c r="G1052" s="1" t="s">
        <v>5844</v>
      </c>
      <c r="H1052">
        <v>0</v>
      </c>
      <c r="I1052" s="1" t="s">
        <v>78</v>
      </c>
      <c r="J1052" s="1" t="s">
        <v>5845</v>
      </c>
      <c r="K1052" s="1" t="s">
        <v>5846</v>
      </c>
      <c r="L1052" t="s">
        <v>91</v>
      </c>
      <c r="M1052" t="s">
        <v>91</v>
      </c>
      <c r="N1052" s="1" t="s">
        <v>5847</v>
      </c>
      <c r="O1052" t="s">
        <v>91</v>
      </c>
      <c r="P1052" s="1" t="s">
        <v>5359</v>
      </c>
      <c r="Q1052" s="1" t="s">
        <v>5360</v>
      </c>
      <c r="R1052" s="1" t="s">
        <v>5848</v>
      </c>
      <c r="T1052">
        <v>88110450</v>
      </c>
      <c r="U1052" s="1" t="s">
        <v>2950</v>
      </c>
      <c r="V1052" s="1" t="s">
        <v>2958</v>
      </c>
      <c r="W1052" s="1" t="s">
        <v>87</v>
      </c>
      <c r="X1052">
        <v>48</v>
      </c>
      <c r="Y1052">
        <v>30396225</v>
      </c>
      <c r="Z1052" t="s">
        <v>91</v>
      </c>
      <c r="AA1052" t="s">
        <v>91</v>
      </c>
      <c r="AB1052" t="s">
        <v>91</v>
      </c>
      <c r="AC1052" t="s">
        <v>91</v>
      </c>
      <c r="AD1052" t="s">
        <v>91</v>
      </c>
      <c r="AE1052" t="s">
        <v>91</v>
      </c>
      <c r="AF1052" t="s">
        <v>91</v>
      </c>
      <c r="AG1052" s="1" t="s">
        <v>91</v>
      </c>
      <c r="AH1052" s="1" t="s">
        <v>91</v>
      </c>
      <c r="AI1052" t="s">
        <v>91</v>
      </c>
      <c r="AM1052" t="s">
        <v>91</v>
      </c>
      <c r="AN1052" t="s">
        <v>91</v>
      </c>
      <c r="AO1052" t="s">
        <v>91</v>
      </c>
      <c r="AP1052" t="s">
        <v>91</v>
      </c>
      <c r="AQ1052" s="1" t="s">
        <v>91</v>
      </c>
      <c r="AR1052" s="1" t="s">
        <v>91</v>
      </c>
      <c r="AS1052" s="1" t="s">
        <v>91</v>
      </c>
      <c r="AT1052" s="1" t="s">
        <v>91</v>
      </c>
      <c r="AU1052" s="1" t="s">
        <v>91</v>
      </c>
      <c r="AV1052" t="s">
        <v>91</v>
      </c>
      <c r="AW1052" t="s">
        <v>91</v>
      </c>
      <c r="AX1052" t="s">
        <v>91</v>
      </c>
      <c r="AY1052" t="s">
        <v>91</v>
      </c>
      <c r="AZ1052" t="s">
        <v>91</v>
      </c>
      <c r="BA1052" t="s">
        <v>91</v>
      </c>
      <c r="BB1052" s="2">
        <v>45118.097175925926</v>
      </c>
      <c r="BC1052" s="2"/>
      <c r="BD1052" t="s">
        <v>91</v>
      </c>
      <c r="BF1052" s="1" t="s">
        <v>75</v>
      </c>
      <c r="BI1052" s="1" t="s">
        <v>88</v>
      </c>
      <c r="BJ1052">
        <v>1</v>
      </c>
      <c r="BK1052" s="1" t="s">
        <v>89</v>
      </c>
      <c r="BL1052" t="s">
        <v>91</v>
      </c>
      <c r="BM1052" s="1" t="s">
        <v>91</v>
      </c>
      <c r="BN1052" s="1" t="s">
        <v>91</v>
      </c>
      <c r="BO1052" s="1" t="s">
        <v>91</v>
      </c>
      <c r="BP1052" s="1" t="s">
        <v>91</v>
      </c>
      <c r="BQ1052" t="s">
        <v>91</v>
      </c>
      <c r="BR1052" s="3">
        <v>45118</v>
      </c>
      <c r="BS1052" s="3"/>
      <c r="BT1052" t="s">
        <v>91</v>
      </c>
      <c r="BU1052" t="s">
        <v>91</v>
      </c>
      <c r="BW1052" s="1" t="s">
        <v>90</v>
      </c>
    </row>
    <row r="1053" spans="1:75" hidden="1" x14ac:dyDescent="0.35">
      <c r="A1053">
        <v>152753</v>
      </c>
      <c r="B1053" s="1" t="s">
        <v>75</v>
      </c>
      <c r="C1053">
        <v>80</v>
      </c>
      <c r="D1053">
        <v>11121002</v>
      </c>
      <c r="E1053">
        <v>121002</v>
      </c>
      <c r="F1053" s="1" t="s">
        <v>2915</v>
      </c>
      <c r="G1053" s="1" t="s">
        <v>5849</v>
      </c>
      <c r="H1053">
        <v>0</v>
      </c>
      <c r="I1053" s="1" t="s">
        <v>78</v>
      </c>
      <c r="J1053" s="1" t="s">
        <v>5850</v>
      </c>
      <c r="K1053" s="1" t="s">
        <v>5850</v>
      </c>
      <c r="L1053" t="s">
        <v>91</v>
      </c>
      <c r="M1053" t="s">
        <v>91</v>
      </c>
      <c r="N1053" s="1" t="s">
        <v>5851</v>
      </c>
      <c r="O1053" t="s">
        <v>91</v>
      </c>
      <c r="P1053" s="1" t="s">
        <v>5852</v>
      </c>
      <c r="Q1053" s="1" t="s">
        <v>1211</v>
      </c>
      <c r="R1053" s="1" t="s">
        <v>5853</v>
      </c>
      <c r="S1053">
        <v>1259</v>
      </c>
      <c r="T1053">
        <v>88101200</v>
      </c>
      <c r="U1053" s="1" t="s">
        <v>4027</v>
      </c>
      <c r="V1053" s="1" t="s">
        <v>2958</v>
      </c>
      <c r="W1053" s="1" t="s">
        <v>87</v>
      </c>
      <c r="X1053">
        <v>48</v>
      </c>
      <c r="Y1053">
        <v>984679307</v>
      </c>
      <c r="Z1053" t="s">
        <v>91</v>
      </c>
      <c r="AA1053" t="s">
        <v>91</v>
      </c>
      <c r="AB1053" t="s">
        <v>91</v>
      </c>
      <c r="AC1053" t="s">
        <v>91</v>
      </c>
      <c r="AD1053" t="s">
        <v>91</v>
      </c>
      <c r="AE1053" t="s">
        <v>91</v>
      </c>
      <c r="AF1053" t="s">
        <v>91</v>
      </c>
      <c r="AG1053" s="1" t="s">
        <v>91</v>
      </c>
      <c r="AH1053" s="1" t="s">
        <v>91</v>
      </c>
      <c r="AI1053" t="s">
        <v>91</v>
      </c>
      <c r="AM1053" t="s">
        <v>91</v>
      </c>
      <c r="AN1053" t="s">
        <v>91</v>
      </c>
      <c r="AO1053" t="s">
        <v>91</v>
      </c>
      <c r="AP1053" t="s">
        <v>91</v>
      </c>
      <c r="AQ1053" s="1" t="s">
        <v>91</v>
      </c>
      <c r="AR1053" s="1" t="s">
        <v>91</v>
      </c>
      <c r="AS1053" s="1" t="s">
        <v>91</v>
      </c>
      <c r="AT1053" s="1" t="s">
        <v>91</v>
      </c>
      <c r="AU1053" s="1" t="s">
        <v>91</v>
      </c>
      <c r="AV1053" t="s">
        <v>91</v>
      </c>
      <c r="AW1053" t="s">
        <v>91</v>
      </c>
      <c r="AX1053" t="s">
        <v>91</v>
      </c>
      <c r="AY1053" t="s">
        <v>91</v>
      </c>
      <c r="AZ1053" t="s">
        <v>91</v>
      </c>
      <c r="BA1053" t="s">
        <v>91</v>
      </c>
      <c r="BB1053" s="2">
        <v>45019.565613425926</v>
      </c>
      <c r="BC1053" s="2"/>
      <c r="BD1053" t="s">
        <v>91</v>
      </c>
      <c r="BF1053" s="1" t="s">
        <v>75</v>
      </c>
      <c r="BI1053" s="1" t="s">
        <v>88</v>
      </c>
      <c r="BJ1053">
        <v>1</v>
      </c>
      <c r="BK1053" s="1" t="s">
        <v>89</v>
      </c>
      <c r="BL1053" t="s">
        <v>91</v>
      </c>
      <c r="BM1053" s="1" t="s">
        <v>91</v>
      </c>
      <c r="BN1053" s="1" t="s">
        <v>91</v>
      </c>
      <c r="BO1053" s="1" t="s">
        <v>91</v>
      </c>
      <c r="BP1053" s="1" t="s">
        <v>91</v>
      </c>
      <c r="BQ1053" t="s">
        <v>91</v>
      </c>
      <c r="BR1053" s="3">
        <v>45019</v>
      </c>
      <c r="BS1053" s="3"/>
      <c r="BT1053" t="s">
        <v>91</v>
      </c>
      <c r="BU1053" t="s">
        <v>91</v>
      </c>
      <c r="BW1053" s="1" t="s">
        <v>90</v>
      </c>
    </row>
    <row r="1054" spans="1:75" hidden="1" x14ac:dyDescent="0.35">
      <c r="A1054">
        <v>441</v>
      </c>
      <c r="B1054" s="1" t="s">
        <v>75</v>
      </c>
      <c r="C1054">
        <v>80</v>
      </c>
      <c r="D1054">
        <v>11121002</v>
      </c>
      <c r="E1054">
        <v>121002</v>
      </c>
      <c r="F1054" s="1" t="s">
        <v>2915</v>
      </c>
      <c r="G1054" s="1" t="s">
        <v>5854</v>
      </c>
      <c r="I1054" s="1" t="s">
        <v>78</v>
      </c>
      <c r="J1054" s="1" t="s">
        <v>5855</v>
      </c>
      <c r="K1054" s="1" t="s">
        <v>5856</v>
      </c>
      <c r="L1054" t="s">
        <v>91</v>
      </c>
      <c r="M1054" t="s">
        <v>91</v>
      </c>
      <c r="N1054" s="1" t="s">
        <v>3297</v>
      </c>
      <c r="O1054" t="s">
        <v>91</v>
      </c>
      <c r="P1054" s="1" t="s">
        <v>2326</v>
      </c>
      <c r="Q1054" s="1" t="s">
        <v>1394</v>
      </c>
      <c r="R1054" s="1" t="s">
        <v>91</v>
      </c>
      <c r="S1054">
        <v>1254</v>
      </c>
      <c r="T1054">
        <v>88010030</v>
      </c>
      <c r="U1054" s="1" t="s">
        <v>108</v>
      </c>
      <c r="V1054" s="1" t="s">
        <v>3102</v>
      </c>
      <c r="W1054" s="1" t="s">
        <v>87</v>
      </c>
      <c r="X1054">
        <v>48</v>
      </c>
      <c r="Y1054">
        <v>30625138</v>
      </c>
      <c r="Z1054" t="s">
        <v>91</v>
      </c>
      <c r="AA1054" t="s">
        <v>91</v>
      </c>
      <c r="AB1054" t="s">
        <v>91</v>
      </c>
      <c r="AC1054" t="s">
        <v>91</v>
      </c>
      <c r="AD1054" t="s">
        <v>91</v>
      </c>
      <c r="AE1054" t="s">
        <v>91</v>
      </c>
      <c r="AF1054" t="s">
        <v>91</v>
      </c>
      <c r="AG1054" s="1" t="s">
        <v>91</v>
      </c>
      <c r="AH1054" s="1" t="s">
        <v>91</v>
      </c>
      <c r="AI1054" t="s">
        <v>91</v>
      </c>
      <c r="AJ1054">
        <v>0</v>
      </c>
      <c r="AK1054">
        <v>0</v>
      </c>
      <c r="AL1054">
        <v>0</v>
      </c>
      <c r="AM1054" t="s">
        <v>91</v>
      </c>
      <c r="AN1054" t="s">
        <v>91</v>
      </c>
      <c r="AO1054" t="s">
        <v>91</v>
      </c>
      <c r="AP1054" t="s">
        <v>91</v>
      </c>
      <c r="AQ1054" s="1" t="s">
        <v>91</v>
      </c>
      <c r="AR1054" s="1" t="s">
        <v>91</v>
      </c>
      <c r="AS1054" s="1" t="s">
        <v>91</v>
      </c>
      <c r="AT1054" s="1" t="s">
        <v>91</v>
      </c>
      <c r="AU1054" s="1" t="s">
        <v>91</v>
      </c>
      <c r="AV1054" t="s">
        <v>91</v>
      </c>
      <c r="AW1054" t="s">
        <v>91</v>
      </c>
      <c r="AX1054" t="s">
        <v>91</v>
      </c>
      <c r="AY1054" t="s">
        <v>91</v>
      </c>
      <c r="AZ1054" t="s">
        <v>91</v>
      </c>
      <c r="BA1054" t="s">
        <v>91</v>
      </c>
      <c r="BB1054" s="2">
        <v>43308.392858796295</v>
      </c>
      <c r="BC1054" s="2"/>
      <c r="BD1054" t="s">
        <v>91</v>
      </c>
      <c r="BE1054">
        <v>441</v>
      </c>
      <c r="BF1054" s="1" t="s">
        <v>75</v>
      </c>
      <c r="BG1054">
        <v>0</v>
      </c>
      <c r="BH1054">
        <v>0</v>
      </c>
      <c r="BI1054" s="1" t="s">
        <v>88</v>
      </c>
      <c r="BJ1054">
        <v>1</v>
      </c>
      <c r="BK1054" s="1" t="s">
        <v>89</v>
      </c>
      <c r="BL1054" t="s">
        <v>91</v>
      </c>
      <c r="BM1054" s="1" t="s">
        <v>109</v>
      </c>
      <c r="BN1054" s="1" t="s">
        <v>110</v>
      </c>
      <c r="BO1054" s="1" t="s">
        <v>165</v>
      </c>
      <c r="BP1054" s="1" t="s">
        <v>91</v>
      </c>
      <c r="BQ1054" t="s">
        <v>91</v>
      </c>
      <c r="BR1054" s="3">
        <v>43308</v>
      </c>
      <c r="BS1054" s="3"/>
      <c r="BT1054" t="s">
        <v>91</v>
      </c>
      <c r="BU1054" t="s">
        <v>91</v>
      </c>
      <c r="BV1054">
        <v>3</v>
      </c>
      <c r="BW1054" s="1" t="s">
        <v>90</v>
      </c>
    </row>
    <row r="1055" spans="1:75" hidden="1" x14ac:dyDescent="0.35">
      <c r="A1055">
        <v>134270</v>
      </c>
      <c r="B1055" s="1" t="s">
        <v>75</v>
      </c>
      <c r="C1055">
        <v>80</v>
      </c>
      <c r="D1055">
        <v>11121002</v>
      </c>
      <c r="E1055">
        <v>121002</v>
      </c>
      <c r="F1055" s="1" t="s">
        <v>2915</v>
      </c>
      <c r="G1055" s="1" t="s">
        <v>5857</v>
      </c>
      <c r="I1055" s="1" t="s">
        <v>78</v>
      </c>
      <c r="J1055" s="1" t="s">
        <v>5858</v>
      </c>
      <c r="K1055" s="1" t="s">
        <v>5859</v>
      </c>
      <c r="L1055" t="s">
        <v>91</v>
      </c>
      <c r="M1055" t="s">
        <v>91</v>
      </c>
      <c r="N1055" s="1" t="s">
        <v>5860</v>
      </c>
      <c r="O1055" t="s">
        <v>91</v>
      </c>
      <c r="P1055" s="1" t="s">
        <v>5861</v>
      </c>
      <c r="Q1055" s="1" t="s">
        <v>3129</v>
      </c>
      <c r="R1055" s="1" t="s">
        <v>5862</v>
      </c>
      <c r="S1055">
        <v>1257</v>
      </c>
      <c r="T1055">
        <v>88032005</v>
      </c>
      <c r="U1055" s="1" t="s">
        <v>4347</v>
      </c>
      <c r="V1055" s="1" t="s">
        <v>2922</v>
      </c>
      <c r="W1055" s="1" t="s">
        <v>87</v>
      </c>
      <c r="X1055">
        <v>48</v>
      </c>
      <c r="Y1055">
        <v>32383113</v>
      </c>
      <c r="Z1055" t="s">
        <v>91</v>
      </c>
      <c r="AA1055" t="s">
        <v>91</v>
      </c>
      <c r="AB1055" t="s">
        <v>91</v>
      </c>
      <c r="AC1055" t="s">
        <v>91</v>
      </c>
      <c r="AD1055" t="s">
        <v>91</v>
      </c>
      <c r="AE1055" t="s">
        <v>91</v>
      </c>
      <c r="AF1055" t="s">
        <v>91</v>
      </c>
      <c r="AG1055" s="1" t="s">
        <v>91</v>
      </c>
      <c r="AH1055" s="1" t="s">
        <v>91</v>
      </c>
      <c r="AI1055" t="s">
        <v>91</v>
      </c>
      <c r="AJ1055">
        <v>0</v>
      </c>
      <c r="AK1055">
        <v>0</v>
      </c>
      <c r="AL1055">
        <v>0</v>
      </c>
      <c r="AM1055" t="s">
        <v>91</v>
      </c>
      <c r="AN1055" t="s">
        <v>91</v>
      </c>
      <c r="AO1055" t="s">
        <v>91</v>
      </c>
      <c r="AP1055" t="s">
        <v>91</v>
      </c>
      <c r="AQ1055" s="1" t="s">
        <v>91</v>
      </c>
      <c r="AR1055" s="1" t="s">
        <v>91</v>
      </c>
      <c r="AS1055" s="1" t="s">
        <v>91</v>
      </c>
      <c r="AT1055" s="1" t="s">
        <v>91</v>
      </c>
      <c r="AU1055" s="1" t="s">
        <v>91</v>
      </c>
      <c r="AV1055" t="s">
        <v>91</v>
      </c>
      <c r="AW1055" t="s">
        <v>91</v>
      </c>
      <c r="AX1055" t="s">
        <v>91</v>
      </c>
      <c r="AY1055" t="s">
        <v>91</v>
      </c>
      <c r="AZ1055" t="s">
        <v>91</v>
      </c>
      <c r="BA1055" t="s">
        <v>91</v>
      </c>
      <c r="BB1055" s="2"/>
      <c r="BC1055" s="2"/>
      <c r="BD1055" t="s">
        <v>91</v>
      </c>
      <c r="BF1055" s="1" t="s">
        <v>75</v>
      </c>
      <c r="BG1055">
        <v>0</v>
      </c>
      <c r="BH1055">
        <v>0</v>
      </c>
      <c r="BI1055" s="1" t="s">
        <v>88</v>
      </c>
      <c r="BJ1055">
        <v>1</v>
      </c>
      <c r="BK1055" s="1" t="s">
        <v>89</v>
      </c>
      <c r="BL1055" t="s">
        <v>91</v>
      </c>
      <c r="BM1055" s="1" t="s">
        <v>109</v>
      </c>
      <c r="BN1055" s="1" t="s">
        <v>110</v>
      </c>
      <c r="BO1055" s="1" t="s">
        <v>128</v>
      </c>
      <c r="BP1055" s="1" t="s">
        <v>91</v>
      </c>
      <c r="BQ1055" t="s">
        <v>91</v>
      </c>
      <c r="BR1055" s="3"/>
      <c r="BS1055" s="3"/>
      <c r="BT1055" t="s">
        <v>91</v>
      </c>
      <c r="BU1055" t="s">
        <v>91</v>
      </c>
      <c r="BV1055">
        <v>7</v>
      </c>
      <c r="BW1055" s="1" t="s">
        <v>144</v>
      </c>
    </row>
    <row r="1056" spans="1:75" hidden="1" x14ac:dyDescent="0.35">
      <c r="A1056">
        <v>156960</v>
      </c>
      <c r="B1056" s="1" t="s">
        <v>75</v>
      </c>
      <c r="C1056">
        <v>80</v>
      </c>
      <c r="D1056">
        <v>11121002</v>
      </c>
      <c r="E1056">
        <v>121002</v>
      </c>
      <c r="F1056" s="1" t="s">
        <v>2915</v>
      </c>
      <c r="G1056" s="1" t="s">
        <v>5863</v>
      </c>
      <c r="H1056">
        <v>0</v>
      </c>
      <c r="I1056" s="1" t="s">
        <v>78</v>
      </c>
      <c r="J1056" s="1" t="s">
        <v>5858</v>
      </c>
      <c r="K1056" s="1" t="s">
        <v>5864</v>
      </c>
      <c r="L1056" t="s">
        <v>91</v>
      </c>
      <c r="M1056" t="s">
        <v>91</v>
      </c>
      <c r="N1056" s="1" t="s">
        <v>5865</v>
      </c>
      <c r="O1056" t="s">
        <v>91</v>
      </c>
      <c r="P1056" s="1" t="s">
        <v>3403</v>
      </c>
      <c r="Q1056" s="1" t="s">
        <v>3653</v>
      </c>
      <c r="R1056" s="1" t="s">
        <v>5866</v>
      </c>
      <c r="S1056">
        <v>1259</v>
      </c>
      <c r="T1056">
        <v>88104801</v>
      </c>
      <c r="U1056" s="1" t="s">
        <v>3405</v>
      </c>
      <c r="V1056" s="1" t="s">
        <v>2958</v>
      </c>
      <c r="W1056" s="1" t="s">
        <v>87</v>
      </c>
      <c r="X1056">
        <v>48</v>
      </c>
      <c r="Y1056">
        <v>30949179</v>
      </c>
      <c r="Z1056" t="s">
        <v>91</v>
      </c>
      <c r="AA1056" t="s">
        <v>91</v>
      </c>
      <c r="AB1056" t="s">
        <v>91</v>
      </c>
      <c r="AC1056" t="s">
        <v>91</v>
      </c>
      <c r="AD1056" t="s">
        <v>91</v>
      </c>
      <c r="AE1056" t="s">
        <v>91</v>
      </c>
      <c r="AF1056" t="s">
        <v>91</v>
      </c>
      <c r="AG1056" s="1" t="s">
        <v>91</v>
      </c>
      <c r="AH1056" s="1" t="s">
        <v>91</v>
      </c>
      <c r="AI1056" t="s">
        <v>91</v>
      </c>
      <c r="AM1056" t="s">
        <v>91</v>
      </c>
      <c r="AN1056" t="s">
        <v>91</v>
      </c>
      <c r="AO1056" t="s">
        <v>91</v>
      </c>
      <c r="AP1056" t="s">
        <v>91</v>
      </c>
      <c r="AQ1056" s="1" t="s">
        <v>91</v>
      </c>
      <c r="AR1056" s="1" t="s">
        <v>91</v>
      </c>
      <c r="AS1056" s="1" t="s">
        <v>91</v>
      </c>
      <c r="AT1056" s="1" t="s">
        <v>91</v>
      </c>
      <c r="AU1056" s="1" t="s">
        <v>91</v>
      </c>
      <c r="AV1056" t="s">
        <v>91</v>
      </c>
      <c r="AW1056" t="s">
        <v>91</v>
      </c>
      <c r="AX1056" t="s">
        <v>91</v>
      </c>
      <c r="AY1056" t="s">
        <v>91</v>
      </c>
      <c r="AZ1056" t="s">
        <v>91</v>
      </c>
      <c r="BA1056" t="s">
        <v>91</v>
      </c>
      <c r="BB1056" s="2">
        <v>45113.505416666667</v>
      </c>
      <c r="BC1056" s="2"/>
      <c r="BD1056" t="s">
        <v>91</v>
      </c>
      <c r="BF1056" s="1" t="s">
        <v>75</v>
      </c>
      <c r="BI1056" s="1" t="s">
        <v>88</v>
      </c>
      <c r="BJ1056">
        <v>1</v>
      </c>
      <c r="BK1056" s="1" t="s">
        <v>89</v>
      </c>
      <c r="BL1056" t="s">
        <v>91</v>
      </c>
      <c r="BM1056" s="1" t="s">
        <v>91</v>
      </c>
      <c r="BN1056" s="1" t="s">
        <v>91</v>
      </c>
      <c r="BO1056" s="1" t="s">
        <v>91</v>
      </c>
      <c r="BP1056" s="1" t="s">
        <v>91</v>
      </c>
      <c r="BQ1056" t="s">
        <v>91</v>
      </c>
      <c r="BR1056" s="3">
        <v>45113</v>
      </c>
      <c r="BS1056" s="3"/>
      <c r="BT1056" t="s">
        <v>91</v>
      </c>
      <c r="BU1056" t="s">
        <v>91</v>
      </c>
      <c r="BW1056" s="1" t="s">
        <v>90</v>
      </c>
    </row>
    <row r="1057" spans="1:75" hidden="1" x14ac:dyDescent="0.35">
      <c r="A1057">
        <v>158700</v>
      </c>
      <c r="B1057" s="1" t="s">
        <v>75</v>
      </c>
      <c r="C1057">
        <v>80</v>
      </c>
      <c r="D1057">
        <v>11121002</v>
      </c>
      <c r="E1057">
        <v>121002</v>
      </c>
      <c r="F1057" s="1" t="s">
        <v>2915</v>
      </c>
      <c r="G1057" s="1" t="s">
        <v>5867</v>
      </c>
      <c r="I1057" s="1" t="s">
        <v>78</v>
      </c>
      <c r="J1057" s="1" t="s">
        <v>5868</v>
      </c>
      <c r="K1057" s="1" t="s">
        <v>5869</v>
      </c>
      <c r="L1057" t="s">
        <v>91</v>
      </c>
      <c r="M1057" t="s">
        <v>91</v>
      </c>
      <c r="N1057" s="1" t="s">
        <v>5142</v>
      </c>
      <c r="O1057" t="s">
        <v>91</v>
      </c>
      <c r="P1057" s="1" t="s">
        <v>5870</v>
      </c>
      <c r="Q1057" s="1" t="s">
        <v>601</v>
      </c>
      <c r="R1057" s="1" t="s">
        <v>2894</v>
      </c>
      <c r="T1057">
        <v>88330904</v>
      </c>
      <c r="U1057" s="1" t="s">
        <v>108</v>
      </c>
      <c r="V1057" s="1" t="s">
        <v>5871</v>
      </c>
      <c r="W1057" s="1" t="s">
        <v>87</v>
      </c>
      <c r="X1057">
        <v>48</v>
      </c>
      <c r="Y1057">
        <v>991838770</v>
      </c>
      <c r="Z1057" t="s">
        <v>91</v>
      </c>
      <c r="AA1057" t="s">
        <v>91</v>
      </c>
      <c r="AB1057" t="s">
        <v>91</v>
      </c>
      <c r="AC1057" t="s">
        <v>91</v>
      </c>
      <c r="AD1057" t="s">
        <v>91</v>
      </c>
      <c r="AE1057" t="s">
        <v>91</v>
      </c>
      <c r="AF1057" t="s">
        <v>91</v>
      </c>
      <c r="AG1057" s="1" t="s">
        <v>91</v>
      </c>
      <c r="AH1057" s="1" t="s">
        <v>91</v>
      </c>
      <c r="AI1057" t="s">
        <v>91</v>
      </c>
      <c r="AM1057" t="s">
        <v>91</v>
      </c>
      <c r="AN1057" t="s">
        <v>91</v>
      </c>
      <c r="AO1057" t="s">
        <v>91</v>
      </c>
      <c r="AP1057" t="s">
        <v>91</v>
      </c>
      <c r="AQ1057" s="1" t="s">
        <v>91</v>
      </c>
      <c r="AR1057" s="1" t="s">
        <v>91</v>
      </c>
      <c r="AS1057" s="1" t="s">
        <v>91</v>
      </c>
      <c r="AT1057" s="1" t="s">
        <v>91</v>
      </c>
      <c r="AU1057" s="1" t="s">
        <v>91</v>
      </c>
      <c r="AV1057" t="s">
        <v>91</v>
      </c>
      <c r="AW1057" t="s">
        <v>91</v>
      </c>
      <c r="AX1057" t="s">
        <v>91</v>
      </c>
      <c r="AY1057" t="s">
        <v>91</v>
      </c>
      <c r="AZ1057" t="s">
        <v>91</v>
      </c>
      <c r="BA1057" t="s">
        <v>91</v>
      </c>
      <c r="BB1057" s="2">
        <v>45155.700069444443</v>
      </c>
      <c r="BC1057" s="2"/>
      <c r="BD1057" t="s">
        <v>91</v>
      </c>
      <c r="BF1057" s="1" t="s">
        <v>75</v>
      </c>
      <c r="BI1057" s="1" t="s">
        <v>88</v>
      </c>
      <c r="BJ1057">
        <v>1</v>
      </c>
      <c r="BK1057" s="1" t="s">
        <v>89</v>
      </c>
      <c r="BL1057" t="s">
        <v>91</v>
      </c>
      <c r="BM1057" s="1" t="s">
        <v>91</v>
      </c>
      <c r="BN1057" s="1" t="s">
        <v>91</v>
      </c>
      <c r="BO1057" s="1" t="s">
        <v>91</v>
      </c>
      <c r="BP1057" s="1" t="s">
        <v>91</v>
      </c>
      <c r="BQ1057" t="s">
        <v>91</v>
      </c>
      <c r="BR1057" s="3">
        <v>45155</v>
      </c>
      <c r="BS1057" s="3"/>
      <c r="BT1057" t="s">
        <v>91</v>
      </c>
      <c r="BU1057" t="s">
        <v>91</v>
      </c>
      <c r="BW1057" s="1" t="s">
        <v>90</v>
      </c>
    </row>
    <row r="1058" spans="1:75" hidden="1" x14ac:dyDescent="0.35">
      <c r="A1058">
        <v>158701</v>
      </c>
      <c r="B1058" s="1" t="s">
        <v>75</v>
      </c>
      <c r="C1058">
        <v>80</v>
      </c>
      <c r="D1058">
        <v>11121002</v>
      </c>
      <c r="E1058">
        <v>121002</v>
      </c>
      <c r="F1058" s="1" t="s">
        <v>2915</v>
      </c>
      <c r="G1058" s="1" t="s">
        <v>5872</v>
      </c>
      <c r="I1058" s="1" t="s">
        <v>78</v>
      </c>
      <c r="J1058" s="1" t="s">
        <v>5873</v>
      </c>
      <c r="K1058" s="1" t="s">
        <v>5874</v>
      </c>
      <c r="L1058" t="s">
        <v>91</v>
      </c>
      <c r="M1058" t="s">
        <v>91</v>
      </c>
      <c r="N1058" s="1" t="s">
        <v>5142</v>
      </c>
      <c r="O1058" t="s">
        <v>91</v>
      </c>
      <c r="P1058" s="1" t="s">
        <v>3752</v>
      </c>
      <c r="Q1058" s="1" t="s">
        <v>2162</v>
      </c>
      <c r="R1058" s="1" t="s">
        <v>236</v>
      </c>
      <c r="S1058">
        <v>1259</v>
      </c>
      <c r="T1058">
        <v>88110001</v>
      </c>
      <c r="U1058" s="1" t="s">
        <v>2957</v>
      </c>
      <c r="V1058" s="1" t="s">
        <v>2958</v>
      </c>
      <c r="W1058" s="1" t="s">
        <v>87</v>
      </c>
      <c r="X1058">
        <v>48</v>
      </c>
      <c r="Y1058">
        <v>991838770</v>
      </c>
      <c r="Z1058" t="s">
        <v>91</v>
      </c>
      <c r="AA1058" t="s">
        <v>91</v>
      </c>
      <c r="AB1058" t="s">
        <v>91</v>
      </c>
      <c r="AC1058" t="s">
        <v>91</v>
      </c>
      <c r="AD1058" t="s">
        <v>91</v>
      </c>
      <c r="AE1058" t="s">
        <v>91</v>
      </c>
      <c r="AF1058" t="s">
        <v>91</v>
      </c>
      <c r="AG1058" s="1" t="s">
        <v>91</v>
      </c>
      <c r="AH1058" s="1" t="s">
        <v>91</v>
      </c>
      <c r="AI1058" t="s">
        <v>91</v>
      </c>
      <c r="AM1058" t="s">
        <v>91</v>
      </c>
      <c r="AN1058" t="s">
        <v>91</v>
      </c>
      <c r="AO1058" t="s">
        <v>91</v>
      </c>
      <c r="AP1058" t="s">
        <v>91</v>
      </c>
      <c r="AQ1058" s="1" t="s">
        <v>91</v>
      </c>
      <c r="AR1058" s="1" t="s">
        <v>91</v>
      </c>
      <c r="AS1058" s="1" t="s">
        <v>91</v>
      </c>
      <c r="AT1058" s="1" t="s">
        <v>91</v>
      </c>
      <c r="AU1058" s="1" t="s">
        <v>91</v>
      </c>
      <c r="AV1058" t="s">
        <v>91</v>
      </c>
      <c r="AW1058" t="s">
        <v>91</v>
      </c>
      <c r="AX1058" t="s">
        <v>91</v>
      </c>
      <c r="AY1058" t="s">
        <v>91</v>
      </c>
      <c r="AZ1058" t="s">
        <v>91</v>
      </c>
      <c r="BA1058" t="s">
        <v>91</v>
      </c>
      <c r="BB1058" s="2">
        <v>45155.700069444443</v>
      </c>
      <c r="BC1058" s="2"/>
      <c r="BD1058" t="s">
        <v>91</v>
      </c>
      <c r="BF1058" s="1" t="s">
        <v>75</v>
      </c>
      <c r="BI1058" s="1" t="s">
        <v>88</v>
      </c>
      <c r="BJ1058">
        <v>1</v>
      </c>
      <c r="BK1058" s="1" t="s">
        <v>89</v>
      </c>
      <c r="BL1058" t="s">
        <v>91</v>
      </c>
      <c r="BM1058" s="1" t="s">
        <v>91</v>
      </c>
      <c r="BN1058" s="1" t="s">
        <v>91</v>
      </c>
      <c r="BO1058" s="1" t="s">
        <v>91</v>
      </c>
      <c r="BP1058" s="1" t="s">
        <v>91</v>
      </c>
      <c r="BQ1058" t="s">
        <v>91</v>
      </c>
      <c r="BR1058" s="3">
        <v>45155</v>
      </c>
      <c r="BS1058" s="3"/>
      <c r="BT1058" t="s">
        <v>91</v>
      </c>
      <c r="BU1058" t="s">
        <v>91</v>
      </c>
      <c r="BW1058" s="1" t="s">
        <v>90</v>
      </c>
    </row>
    <row r="1059" spans="1:75" hidden="1" x14ac:dyDescent="0.35">
      <c r="A1059">
        <v>159569</v>
      </c>
      <c r="B1059" s="1" t="s">
        <v>75</v>
      </c>
      <c r="C1059">
        <v>80</v>
      </c>
      <c r="D1059">
        <v>11121002</v>
      </c>
      <c r="E1059">
        <v>121002</v>
      </c>
      <c r="F1059" s="1" t="s">
        <v>2915</v>
      </c>
      <c r="G1059" s="1" t="s">
        <v>5875</v>
      </c>
      <c r="I1059" s="1" t="s">
        <v>78</v>
      </c>
      <c r="J1059" s="1" t="s">
        <v>5876</v>
      </c>
      <c r="K1059" s="1" t="s">
        <v>5877</v>
      </c>
      <c r="L1059" t="s">
        <v>91</v>
      </c>
      <c r="M1059" t="s">
        <v>91</v>
      </c>
      <c r="N1059" s="1" t="s">
        <v>5878</v>
      </c>
      <c r="O1059" t="s">
        <v>91</v>
      </c>
      <c r="P1059" s="1" t="s">
        <v>5879</v>
      </c>
      <c r="Q1059" s="1" t="s">
        <v>5880</v>
      </c>
      <c r="R1059" s="1" t="s">
        <v>5881</v>
      </c>
      <c r="T1059">
        <v>88060300</v>
      </c>
      <c r="U1059" s="1" t="s">
        <v>3441</v>
      </c>
      <c r="V1059" s="1" t="s">
        <v>2922</v>
      </c>
      <c r="W1059" s="1" t="s">
        <v>87</v>
      </c>
      <c r="X1059">
        <v>31</v>
      </c>
      <c r="Y1059">
        <v>971564738</v>
      </c>
      <c r="Z1059" t="s">
        <v>91</v>
      </c>
      <c r="AA1059" t="s">
        <v>91</v>
      </c>
      <c r="AB1059" t="s">
        <v>91</v>
      </c>
      <c r="AC1059" t="s">
        <v>91</v>
      </c>
      <c r="AD1059" t="s">
        <v>91</v>
      </c>
      <c r="AE1059" t="s">
        <v>91</v>
      </c>
      <c r="AF1059" t="s">
        <v>91</v>
      </c>
      <c r="AG1059" s="1" t="s">
        <v>91</v>
      </c>
      <c r="AH1059" s="1" t="s">
        <v>91</v>
      </c>
      <c r="AI1059" t="s">
        <v>91</v>
      </c>
      <c r="AM1059" t="s">
        <v>91</v>
      </c>
      <c r="AN1059" t="s">
        <v>91</v>
      </c>
      <c r="AO1059" t="s">
        <v>91</v>
      </c>
      <c r="AP1059" t="s">
        <v>91</v>
      </c>
      <c r="AQ1059" s="1" t="s">
        <v>91</v>
      </c>
      <c r="AR1059" s="1" t="s">
        <v>91</v>
      </c>
      <c r="AS1059" s="1" t="s">
        <v>91</v>
      </c>
      <c r="AT1059" s="1" t="s">
        <v>91</v>
      </c>
      <c r="AU1059" s="1" t="s">
        <v>91</v>
      </c>
      <c r="AV1059" t="s">
        <v>91</v>
      </c>
      <c r="AW1059" t="s">
        <v>91</v>
      </c>
      <c r="AX1059" t="s">
        <v>91</v>
      </c>
      <c r="AY1059" t="s">
        <v>91</v>
      </c>
      <c r="AZ1059" t="s">
        <v>91</v>
      </c>
      <c r="BA1059" t="s">
        <v>91</v>
      </c>
      <c r="BB1059" s="2">
        <v>45194.491122685184</v>
      </c>
      <c r="BC1059" s="2"/>
      <c r="BD1059" t="s">
        <v>91</v>
      </c>
      <c r="BF1059" s="1" t="s">
        <v>75</v>
      </c>
      <c r="BI1059" s="1" t="s">
        <v>88</v>
      </c>
      <c r="BJ1059">
        <v>1</v>
      </c>
      <c r="BK1059" s="1" t="s">
        <v>89</v>
      </c>
      <c r="BL1059" t="s">
        <v>91</v>
      </c>
      <c r="BM1059" s="1" t="s">
        <v>91</v>
      </c>
      <c r="BN1059" s="1" t="s">
        <v>91</v>
      </c>
      <c r="BO1059" s="1" t="s">
        <v>91</v>
      </c>
      <c r="BP1059" s="1" t="s">
        <v>91</v>
      </c>
      <c r="BQ1059" t="s">
        <v>91</v>
      </c>
      <c r="BR1059" s="3">
        <v>45194</v>
      </c>
      <c r="BS1059" s="3"/>
      <c r="BT1059" t="s">
        <v>91</v>
      </c>
      <c r="BU1059" t="s">
        <v>91</v>
      </c>
      <c r="BW1059" s="1" t="s">
        <v>419</v>
      </c>
    </row>
    <row r="1060" spans="1:75" hidden="1" x14ac:dyDescent="0.35">
      <c r="A1060">
        <v>144509</v>
      </c>
      <c r="B1060" s="1" t="s">
        <v>75</v>
      </c>
      <c r="C1060">
        <v>80</v>
      </c>
      <c r="D1060">
        <v>11121002</v>
      </c>
      <c r="E1060">
        <v>121002</v>
      </c>
      <c r="F1060" s="1" t="s">
        <v>2915</v>
      </c>
      <c r="G1060" s="1" t="s">
        <v>5882</v>
      </c>
      <c r="I1060" s="1" t="s">
        <v>78</v>
      </c>
      <c r="J1060" s="1" t="s">
        <v>5883</v>
      </c>
      <c r="K1060" s="1" t="s">
        <v>5884</v>
      </c>
      <c r="L1060" t="s">
        <v>91</v>
      </c>
      <c r="M1060" t="s">
        <v>91</v>
      </c>
      <c r="N1060" s="1" t="s">
        <v>5885</v>
      </c>
      <c r="O1060" t="s">
        <v>91</v>
      </c>
      <c r="P1060" s="1" t="s">
        <v>5886</v>
      </c>
      <c r="Q1060" s="1" t="s">
        <v>5887</v>
      </c>
      <c r="R1060" s="1" t="s">
        <v>91</v>
      </c>
      <c r="S1060">
        <v>1268</v>
      </c>
      <c r="T1060">
        <v>88790000</v>
      </c>
      <c r="U1060" s="1" t="s">
        <v>108</v>
      </c>
      <c r="V1060" s="1" t="s">
        <v>2971</v>
      </c>
      <c r="W1060" s="1" t="s">
        <v>87</v>
      </c>
      <c r="X1060">
        <v>48</v>
      </c>
      <c r="Y1060">
        <v>998555185</v>
      </c>
      <c r="Z1060" t="s">
        <v>91</v>
      </c>
      <c r="AA1060" t="s">
        <v>91</v>
      </c>
      <c r="AB1060" t="s">
        <v>91</v>
      </c>
      <c r="AC1060" t="s">
        <v>91</v>
      </c>
      <c r="AD1060" t="s">
        <v>91</v>
      </c>
      <c r="AE1060" t="s">
        <v>91</v>
      </c>
      <c r="AF1060" t="s">
        <v>91</v>
      </c>
      <c r="AG1060" s="1" t="s">
        <v>91</v>
      </c>
      <c r="AH1060" s="1" t="s">
        <v>91</v>
      </c>
      <c r="AI1060" t="s">
        <v>91</v>
      </c>
      <c r="AJ1060">
        <v>0</v>
      </c>
      <c r="AK1060">
        <v>0</v>
      </c>
      <c r="AL1060">
        <v>0</v>
      </c>
      <c r="AM1060" t="s">
        <v>91</v>
      </c>
      <c r="AN1060" t="s">
        <v>91</v>
      </c>
      <c r="AO1060" t="s">
        <v>91</v>
      </c>
      <c r="AP1060" t="s">
        <v>91</v>
      </c>
      <c r="AQ1060" s="1" t="s">
        <v>91</v>
      </c>
      <c r="AR1060" s="1" t="s">
        <v>91</v>
      </c>
      <c r="AS1060" s="1" t="s">
        <v>91</v>
      </c>
      <c r="AT1060" s="1" t="s">
        <v>91</v>
      </c>
      <c r="AU1060" s="1" t="s">
        <v>91</v>
      </c>
      <c r="AV1060" t="s">
        <v>91</v>
      </c>
      <c r="AW1060" t="s">
        <v>91</v>
      </c>
      <c r="AX1060" t="s">
        <v>91</v>
      </c>
      <c r="AY1060" t="s">
        <v>91</v>
      </c>
      <c r="AZ1060" t="s">
        <v>91</v>
      </c>
      <c r="BA1060" t="s">
        <v>91</v>
      </c>
      <c r="BB1060" s="2"/>
      <c r="BC1060" s="2"/>
      <c r="BD1060" t="s">
        <v>91</v>
      </c>
      <c r="BF1060" s="1" t="s">
        <v>75</v>
      </c>
      <c r="BG1060">
        <v>0</v>
      </c>
      <c r="BH1060">
        <v>0</v>
      </c>
      <c r="BI1060" s="1" t="s">
        <v>88</v>
      </c>
      <c r="BJ1060">
        <v>1</v>
      </c>
      <c r="BK1060" s="1" t="s">
        <v>89</v>
      </c>
      <c r="BL1060" t="s">
        <v>91</v>
      </c>
      <c r="BM1060" s="1" t="s">
        <v>109</v>
      </c>
      <c r="BN1060" s="1" t="s">
        <v>110</v>
      </c>
      <c r="BO1060" s="1" t="s">
        <v>180</v>
      </c>
      <c r="BP1060" s="1" t="s">
        <v>91</v>
      </c>
      <c r="BQ1060" t="s">
        <v>91</v>
      </c>
      <c r="BR1060" s="3"/>
      <c r="BS1060" s="3"/>
      <c r="BT1060" t="s">
        <v>91</v>
      </c>
      <c r="BU1060" t="s">
        <v>91</v>
      </c>
      <c r="BV1060">
        <v>9</v>
      </c>
      <c r="BW1060" s="1" t="s">
        <v>90</v>
      </c>
    </row>
    <row r="1061" spans="1:75" hidden="1" x14ac:dyDescent="0.35">
      <c r="A1061">
        <v>156870</v>
      </c>
      <c r="B1061" s="1" t="s">
        <v>75</v>
      </c>
      <c r="C1061">
        <v>80</v>
      </c>
      <c r="D1061">
        <v>11121002</v>
      </c>
      <c r="E1061">
        <v>121002</v>
      </c>
      <c r="F1061" s="1" t="s">
        <v>2915</v>
      </c>
      <c r="G1061" s="1" t="s">
        <v>5888</v>
      </c>
      <c r="H1061">
        <v>0</v>
      </c>
      <c r="I1061" s="1" t="s">
        <v>78</v>
      </c>
      <c r="J1061" s="1" t="s">
        <v>5889</v>
      </c>
      <c r="K1061" s="1" t="s">
        <v>5890</v>
      </c>
      <c r="L1061" t="s">
        <v>91</v>
      </c>
      <c r="M1061" t="s">
        <v>91</v>
      </c>
      <c r="N1061" s="1" t="s">
        <v>5891</v>
      </c>
      <c r="O1061" t="s">
        <v>91</v>
      </c>
      <c r="P1061" s="1" t="s">
        <v>3083</v>
      </c>
      <c r="Q1061" s="1" t="s">
        <v>526</v>
      </c>
      <c r="R1061" s="1" t="s">
        <v>91</v>
      </c>
      <c r="T1061">
        <v>88501010</v>
      </c>
      <c r="U1061" s="1" t="s">
        <v>108</v>
      </c>
      <c r="V1061" s="1" t="s">
        <v>3335</v>
      </c>
      <c r="W1061" s="1" t="s">
        <v>87</v>
      </c>
      <c r="X1061">
        <v>49</v>
      </c>
      <c r="Y1061">
        <v>935059997</v>
      </c>
      <c r="Z1061" t="s">
        <v>91</v>
      </c>
      <c r="AA1061" t="s">
        <v>91</v>
      </c>
      <c r="AB1061" t="s">
        <v>91</v>
      </c>
      <c r="AC1061" t="s">
        <v>91</v>
      </c>
      <c r="AD1061" t="s">
        <v>91</v>
      </c>
      <c r="AE1061" t="s">
        <v>91</v>
      </c>
      <c r="AF1061" t="s">
        <v>91</v>
      </c>
      <c r="AG1061" s="1" t="s">
        <v>91</v>
      </c>
      <c r="AH1061" s="1" t="s">
        <v>91</v>
      </c>
      <c r="AI1061" t="s">
        <v>91</v>
      </c>
      <c r="AM1061" t="s">
        <v>91</v>
      </c>
      <c r="AN1061" t="s">
        <v>91</v>
      </c>
      <c r="AO1061" t="s">
        <v>91</v>
      </c>
      <c r="AP1061" t="s">
        <v>91</v>
      </c>
      <c r="AQ1061" s="1" t="s">
        <v>91</v>
      </c>
      <c r="AR1061" s="1" t="s">
        <v>91</v>
      </c>
      <c r="AS1061" s="1" t="s">
        <v>91</v>
      </c>
      <c r="AT1061" s="1" t="s">
        <v>91</v>
      </c>
      <c r="AU1061" s="1" t="s">
        <v>91</v>
      </c>
      <c r="AV1061" t="s">
        <v>91</v>
      </c>
      <c r="AW1061" t="s">
        <v>91</v>
      </c>
      <c r="AX1061" t="s">
        <v>91</v>
      </c>
      <c r="AY1061" t="s">
        <v>91</v>
      </c>
      <c r="AZ1061" t="s">
        <v>91</v>
      </c>
      <c r="BA1061" t="s">
        <v>91</v>
      </c>
      <c r="BB1061" s="2">
        <v>45113.505416666667</v>
      </c>
      <c r="BC1061" s="2"/>
      <c r="BD1061" t="s">
        <v>91</v>
      </c>
      <c r="BF1061" s="1" t="s">
        <v>75</v>
      </c>
      <c r="BI1061" s="1" t="s">
        <v>88</v>
      </c>
      <c r="BJ1061">
        <v>1</v>
      </c>
      <c r="BK1061" s="1" t="s">
        <v>89</v>
      </c>
      <c r="BL1061" t="s">
        <v>91</v>
      </c>
      <c r="BM1061" s="1" t="s">
        <v>91</v>
      </c>
      <c r="BN1061" s="1" t="s">
        <v>91</v>
      </c>
      <c r="BO1061" s="1" t="s">
        <v>91</v>
      </c>
      <c r="BP1061" s="1" t="s">
        <v>91</v>
      </c>
      <c r="BQ1061" t="s">
        <v>91</v>
      </c>
      <c r="BR1061" s="3">
        <v>45113</v>
      </c>
      <c r="BS1061" s="3"/>
      <c r="BT1061" t="s">
        <v>91</v>
      </c>
      <c r="BU1061" t="s">
        <v>91</v>
      </c>
      <c r="BW1061" s="1" t="s">
        <v>699</v>
      </c>
    </row>
    <row r="1062" spans="1:75" hidden="1" x14ac:dyDescent="0.35">
      <c r="A1062">
        <v>134332</v>
      </c>
      <c r="B1062" s="1" t="s">
        <v>75</v>
      </c>
      <c r="C1062">
        <v>80</v>
      </c>
      <c r="D1062">
        <v>11121002</v>
      </c>
      <c r="E1062">
        <v>121002</v>
      </c>
      <c r="F1062" s="1" t="s">
        <v>2915</v>
      </c>
      <c r="G1062" s="1" t="s">
        <v>5892</v>
      </c>
      <c r="I1062" s="1" t="s">
        <v>78</v>
      </c>
      <c r="J1062" s="1" t="s">
        <v>5893</v>
      </c>
      <c r="K1062" s="1" t="s">
        <v>5894</v>
      </c>
      <c r="L1062" t="s">
        <v>91</v>
      </c>
      <c r="M1062" t="s">
        <v>91</v>
      </c>
      <c r="N1062" s="1" t="s">
        <v>5324</v>
      </c>
      <c r="O1062" t="s">
        <v>91</v>
      </c>
      <c r="P1062" s="1" t="s">
        <v>311</v>
      </c>
      <c r="Q1062" s="1" t="s">
        <v>3064</v>
      </c>
      <c r="R1062" s="1" t="s">
        <v>5326</v>
      </c>
      <c r="S1062">
        <v>1254</v>
      </c>
      <c r="T1062">
        <v>88010902</v>
      </c>
      <c r="U1062" s="1" t="s">
        <v>108</v>
      </c>
      <c r="V1062" s="1" t="s">
        <v>3102</v>
      </c>
      <c r="W1062" s="1" t="s">
        <v>87</v>
      </c>
      <c r="X1062">
        <v>41</v>
      </c>
      <c r="Y1062">
        <v>999550611</v>
      </c>
      <c r="Z1062" t="s">
        <v>91</v>
      </c>
      <c r="AA1062" t="s">
        <v>91</v>
      </c>
      <c r="AB1062" t="s">
        <v>91</v>
      </c>
      <c r="AC1062" t="s">
        <v>91</v>
      </c>
      <c r="AD1062" t="s">
        <v>91</v>
      </c>
      <c r="AE1062" t="s">
        <v>91</v>
      </c>
      <c r="AF1062" t="s">
        <v>91</v>
      </c>
      <c r="AG1062" s="1" t="s">
        <v>146</v>
      </c>
      <c r="AH1062" s="1" t="s">
        <v>91</v>
      </c>
      <c r="AI1062" t="s">
        <v>91</v>
      </c>
      <c r="AM1062" t="s">
        <v>91</v>
      </c>
      <c r="AN1062" t="s">
        <v>91</v>
      </c>
      <c r="AO1062" t="s">
        <v>91</v>
      </c>
      <c r="AP1062" t="s">
        <v>91</v>
      </c>
      <c r="AQ1062" s="1" t="s">
        <v>147</v>
      </c>
      <c r="AR1062" s="1" t="s">
        <v>147</v>
      </c>
      <c r="AS1062" s="1" t="s">
        <v>147</v>
      </c>
      <c r="AT1062" s="1" t="s">
        <v>147</v>
      </c>
      <c r="AU1062" s="1" t="s">
        <v>147</v>
      </c>
      <c r="AV1062" t="s">
        <v>91</v>
      </c>
      <c r="AW1062" t="s">
        <v>91</v>
      </c>
      <c r="AX1062" t="s">
        <v>91</v>
      </c>
      <c r="AY1062" t="s">
        <v>91</v>
      </c>
      <c r="AZ1062" t="s">
        <v>91</v>
      </c>
      <c r="BA1062" t="s">
        <v>91</v>
      </c>
      <c r="BB1062" s="2"/>
      <c r="BC1062" s="2">
        <v>45114.71398148148</v>
      </c>
      <c r="BD1062" t="s">
        <v>91</v>
      </c>
      <c r="BF1062" s="1" t="s">
        <v>75</v>
      </c>
      <c r="BH1062">
        <v>0</v>
      </c>
      <c r="BI1062" s="1" t="s">
        <v>88</v>
      </c>
      <c r="BJ1062">
        <v>1</v>
      </c>
      <c r="BK1062" s="1" t="s">
        <v>89</v>
      </c>
      <c r="BL1062" t="s">
        <v>91</v>
      </c>
      <c r="BM1062" s="1" t="s">
        <v>109</v>
      </c>
      <c r="BN1062" s="1" t="s">
        <v>110</v>
      </c>
      <c r="BO1062" s="1" t="s">
        <v>180</v>
      </c>
      <c r="BP1062" s="1" t="s">
        <v>91</v>
      </c>
      <c r="BQ1062" t="s">
        <v>91</v>
      </c>
      <c r="BR1062" s="3"/>
      <c r="BS1062" s="3">
        <v>45114</v>
      </c>
      <c r="BT1062" t="s">
        <v>91</v>
      </c>
      <c r="BU1062" t="s">
        <v>91</v>
      </c>
      <c r="BW1062" s="1" t="s">
        <v>120</v>
      </c>
    </row>
    <row r="1063" spans="1:75" hidden="1" x14ac:dyDescent="0.35">
      <c r="A1063">
        <v>144697</v>
      </c>
      <c r="B1063" s="1" t="s">
        <v>75</v>
      </c>
      <c r="C1063">
        <v>80</v>
      </c>
      <c r="D1063">
        <v>11121002</v>
      </c>
      <c r="E1063">
        <v>121002</v>
      </c>
      <c r="F1063" s="1" t="s">
        <v>2915</v>
      </c>
      <c r="G1063" s="1" t="s">
        <v>5895</v>
      </c>
      <c r="I1063" s="1" t="s">
        <v>78</v>
      </c>
      <c r="J1063" s="1" t="s">
        <v>5896</v>
      </c>
      <c r="K1063" s="1" t="s">
        <v>5897</v>
      </c>
      <c r="L1063" t="s">
        <v>91</v>
      </c>
      <c r="M1063" t="s">
        <v>91</v>
      </c>
      <c r="N1063" s="1" t="s">
        <v>5898</v>
      </c>
      <c r="O1063" t="s">
        <v>91</v>
      </c>
      <c r="P1063" s="1" t="s">
        <v>2204</v>
      </c>
      <c r="Q1063" s="1" t="s">
        <v>2162</v>
      </c>
      <c r="R1063" s="1" t="s">
        <v>91</v>
      </c>
      <c r="S1063">
        <v>1268</v>
      </c>
      <c r="T1063">
        <v>88701100</v>
      </c>
      <c r="U1063" s="1" t="s">
        <v>108</v>
      </c>
      <c r="V1063" s="1" t="s">
        <v>3059</v>
      </c>
      <c r="W1063" s="1" t="s">
        <v>87</v>
      </c>
      <c r="X1063">
        <v>48</v>
      </c>
      <c r="Y1063">
        <v>36262492</v>
      </c>
      <c r="Z1063" t="s">
        <v>91</v>
      </c>
      <c r="AA1063" t="s">
        <v>91</v>
      </c>
      <c r="AB1063" t="s">
        <v>91</v>
      </c>
      <c r="AC1063" t="s">
        <v>91</v>
      </c>
      <c r="AD1063" t="s">
        <v>91</v>
      </c>
      <c r="AE1063" t="s">
        <v>91</v>
      </c>
      <c r="AF1063" t="s">
        <v>91</v>
      </c>
      <c r="AG1063" s="1" t="s">
        <v>91</v>
      </c>
      <c r="AH1063" s="1" t="s">
        <v>91</v>
      </c>
      <c r="AI1063" t="s">
        <v>91</v>
      </c>
      <c r="AJ1063">
        <v>0</v>
      </c>
      <c r="AK1063">
        <v>0</v>
      </c>
      <c r="AL1063">
        <v>0</v>
      </c>
      <c r="AM1063" t="s">
        <v>91</v>
      </c>
      <c r="AN1063" t="s">
        <v>91</v>
      </c>
      <c r="AO1063" t="s">
        <v>91</v>
      </c>
      <c r="AP1063" t="s">
        <v>91</v>
      </c>
      <c r="AQ1063" s="1" t="s">
        <v>91</v>
      </c>
      <c r="AR1063" s="1" t="s">
        <v>91</v>
      </c>
      <c r="AS1063" s="1" t="s">
        <v>91</v>
      </c>
      <c r="AT1063" s="1" t="s">
        <v>91</v>
      </c>
      <c r="AU1063" s="1" t="s">
        <v>91</v>
      </c>
      <c r="AV1063" t="s">
        <v>91</v>
      </c>
      <c r="AW1063" t="s">
        <v>91</v>
      </c>
      <c r="AX1063" t="s">
        <v>91</v>
      </c>
      <c r="AY1063" t="s">
        <v>91</v>
      </c>
      <c r="AZ1063" t="s">
        <v>91</v>
      </c>
      <c r="BA1063" t="s">
        <v>91</v>
      </c>
      <c r="BB1063" s="2"/>
      <c r="BC1063" s="2"/>
      <c r="BD1063" t="s">
        <v>91</v>
      </c>
      <c r="BF1063" s="1" t="s">
        <v>75</v>
      </c>
      <c r="BG1063">
        <v>0</v>
      </c>
      <c r="BH1063">
        <v>0</v>
      </c>
      <c r="BI1063" s="1" t="s">
        <v>88</v>
      </c>
      <c r="BJ1063">
        <v>1</v>
      </c>
      <c r="BK1063" s="1" t="s">
        <v>89</v>
      </c>
      <c r="BL1063" t="s">
        <v>91</v>
      </c>
      <c r="BM1063" s="1" t="s">
        <v>109</v>
      </c>
      <c r="BN1063" s="1" t="s">
        <v>110</v>
      </c>
      <c r="BO1063" s="1" t="s">
        <v>128</v>
      </c>
      <c r="BP1063" s="1" t="s">
        <v>91</v>
      </c>
      <c r="BQ1063" t="s">
        <v>91</v>
      </c>
      <c r="BR1063" s="3"/>
      <c r="BS1063" s="3"/>
      <c r="BT1063" t="s">
        <v>91</v>
      </c>
      <c r="BU1063" t="s">
        <v>91</v>
      </c>
      <c r="BV1063">
        <v>5</v>
      </c>
      <c r="BW1063" s="1" t="s">
        <v>90</v>
      </c>
    </row>
    <row r="1064" spans="1:75" hidden="1" x14ac:dyDescent="0.35">
      <c r="A1064">
        <v>157715</v>
      </c>
      <c r="B1064" s="1" t="s">
        <v>75</v>
      </c>
      <c r="C1064">
        <v>80</v>
      </c>
      <c r="D1064">
        <v>11121002</v>
      </c>
      <c r="E1064">
        <v>121002</v>
      </c>
      <c r="F1064" s="1" t="s">
        <v>2915</v>
      </c>
      <c r="G1064" s="1" t="s">
        <v>5899</v>
      </c>
      <c r="H1064">
        <v>0</v>
      </c>
      <c r="I1064" s="1" t="s">
        <v>78</v>
      </c>
      <c r="J1064" s="1" t="s">
        <v>5900</v>
      </c>
      <c r="K1064" s="1" t="s">
        <v>5901</v>
      </c>
      <c r="L1064" t="s">
        <v>91</v>
      </c>
      <c r="M1064" t="s">
        <v>91</v>
      </c>
      <c r="N1064" s="1" t="s">
        <v>91</v>
      </c>
      <c r="O1064" t="s">
        <v>91</v>
      </c>
      <c r="P1064" s="1" t="s">
        <v>5684</v>
      </c>
      <c r="Q1064" s="1" t="s">
        <v>4220</v>
      </c>
      <c r="R1064" s="1" t="s">
        <v>5902</v>
      </c>
      <c r="S1064">
        <v>1255</v>
      </c>
      <c r="T1064">
        <v>88015205</v>
      </c>
      <c r="U1064" s="1" t="s">
        <v>108</v>
      </c>
      <c r="V1064" s="1" t="s">
        <v>2922</v>
      </c>
      <c r="W1064" s="1" t="s">
        <v>87</v>
      </c>
      <c r="X1064">
        <v>48</v>
      </c>
      <c r="Y1064">
        <v>32070107</v>
      </c>
      <c r="Z1064" t="s">
        <v>91</v>
      </c>
      <c r="AA1064" t="s">
        <v>91</v>
      </c>
      <c r="AB1064" t="s">
        <v>91</v>
      </c>
      <c r="AC1064" t="s">
        <v>91</v>
      </c>
      <c r="AD1064" t="s">
        <v>91</v>
      </c>
      <c r="AE1064" t="s">
        <v>91</v>
      </c>
      <c r="AF1064" t="s">
        <v>91</v>
      </c>
      <c r="AG1064" s="1" t="s">
        <v>91</v>
      </c>
      <c r="AH1064" s="1" t="s">
        <v>91</v>
      </c>
      <c r="AI1064" t="s">
        <v>91</v>
      </c>
      <c r="AM1064" t="s">
        <v>91</v>
      </c>
      <c r="AN1064" t="s">
        <v>91</v>
      </c>
      <c r="AO1064" t="s">
        <v>91</v>
      </c>
      <c r="AP1064" t="s">
        <v>91</v>
      </c>
      <c r="AQ1064" s="1" t="s">
        <v>91</v>
      </c>
      <c r="AR1064" s="1" t="s">
        <v>91</v>
      </c>
      <c r="AS1064" s="1" t="s">
        <v>91</v>
      </c>
      <c r="AT1064" s="1" t="s">
        <v>91</v>
      </c>
      <c r="AU1064" s="1" t="s">
        <v>91</v>
      </c>
      <c r="AV1064" t="s">
        <v>91</v>
      </c>
      <c r="AW1064" t="s">
        <v>91</v>
      </c>
      <c r="AX1064" t="s">
        <v>91</v>
      </c>
      <c r="AY1064" t="s">
        <v>91</v>
      </c>
      <c r="AZ1064" t="s">
        <v>91</v>
      </c>
      <c r="BA1064" t="s">
        <v>91</v>
      </c>
      <c r="BB1064" s="2">
        <v>45118.097175925926</v>
      </c>
      <c r="BC1064" s="2"/>
      <c r="BD1064" t="s">
        <v>91</v>
      </c>
      <c r="BF1064" s="1" t="s">
        <v>75</v>
      </c>
      <c r="BI1064" s="1" t="s">
        <v>88</v>
      </c>
      <c r="BJ1064">
        <v>1</v>
      </c>
      <c r="BK1064" s="1" t="s">
        <v>89</v>
      </c>
      <c r="BL1064" t="s">
        <v>91</v>
      </c>
      <c r="BM1064" s="1" t="s">
        <v>91</v>
      </c>
      <c r="BN1064" s="1" t="s">
        <v>91</v>
      </c>
      <c r="BO1064" s="1" t="s">
        <v>91</v>
      </c>
      <c r="BP1064" s="1" t="s">
        <v>91</v>
      </c>
      <c r="BQ1064" t="s">
        <v>91</v>
      </c>
      <c r="BR1064" s="3">
        <v>45118</v>
      </c>
      <c r="BS1064" s="3"/>
      <c r="BT1064" t="s">
        <v>91</v>
      </c>
      <c r="BU1064" t="s">
        <v>91</v>
      </c>
      <c r="BW1064" s="1" t="s">
        <v>90</v>
      </c>
    </row>
    <row r="1065" spans="1:75" hidden="1" x14ac:dyDescent="0.35">
      <c r="A1065">
        <v>157645</v>
      </c>
      <c r="B1065" s="1" t="s">
        <v>75</v>
      </c>
      <c r="C1065">
        <v>80</v>
      </c>
      <c r="D1065">
        <v>11121002</v>
      </c>
      <c r="E1065">
        <v>121002</v>
      </c>
      <c r="F1065" s="1" t="s">
        <v>2915</v>
      </c>
      <c r="G1065" s="1" t="s">
        <v>5903</v>
      </c>
      <c r="H1065">
        <v>0</v>
      </c>
      <c r="I1065" s="1" t="s">
        <v>78</v>
      </c>
      <c r="J1065" s="1" t="s">
        <v>5904</v>
      </c>
      <c r="K1065" s="1" t="s">
        <v>5905</v>
      </c>
      <c r="L1065" t="s">
        <v>91</v>
      </c>
      <c r="M1065" t="s">
        <v>91</v>
      </c>
      <c r="N1065" s="1" t="s">
        <v>5906</v>
      </c>
      <c r="O1065" t="s">
        <v>91</v>
      </c>
      <c r="P1065" s="1" t="s">
        <v>5907</v>
      </c>
      <c r="Q1065" s="1" t="s">
        <v>1870</v>
      </c>
      <c r="R1065" s="1" t="s">
        <v>91</v>
      </c>
      <c r="S1065">
        <v>1270</v>
      </c>
      <c r="T1065">
        <v>88915000</v>
      </c>
      <c r="U1065" s="1" t="s">
        <v>5908</v>
      </c>
      <c r="V1065" s="1" t="s">
        <v>5909</v>
      </c>
      <c r="W1065" s="1" t="s">
        <v>87</v>
      </c>
      <c r="X1065">
        <v>48</v>
      </c>
      <c r="Y1065">
        <v>35240849</v>
      </c>
      <c r="Z1065" t="s">
        <v>91</v>
      </c>
      <c r="AA1065" t="s">
        <v>91</v>
      </c>
      <c r="AB1065" t="s">
        <v>91</v>
      </c>
      <c r="AC1065" t="s">
        <v>91</v>
      </c>
      <c r="AD1065" t="s">
        <v>91</v>
      </c>
      <c r="AE1065" t="s">
        <v>91</v>
      </c>
      <c r="AF1065" t="s">
        <v>91</v>
      </c>
      <c r="AG1065" s="1" t="s">
        <v>91</v>
      </c>
      <c r="AH1065" s="1" t="s">
        <v>91</v>
      </c>
      <c r="AI1065" t="s">
        <v>91</v>
      </c>
      <c r="AM1065" t="s">
        <v>91</v>
      </c>
      <c r="AN1065" t="s">
        <v>91</v>
      </c>
      <c r="AO1065" t="s">
        <v>91</v>
      </c>
      <c r="AP1065" t="s">
        <v>91</v>
      </c>
      <c r="AQ1065" s="1" t="s">
        <v>91</v>
      </c>
      <c r="AR1065" s="1" t="s">
        <v>91</v>
      </c>
      <c r="AS1065" s="1" t="s">
        <v>91</v>
      </c>
      <c r="AT1065" s="1" t="s">
        <v>91</v>
      </c>
      <c r="AU1065" s="1" t="s">
        <v>91</v>
      </c>
      <c r="AV1065" t="s">
        <v>91</v>
      </c>
      <c r="AW1065" t="s">
        <v>91</v>
      </c>
      <c r="AX1065" t="s">
        <v>91</v>
      </c>
      <c r="AY1065" t="s">
        <v>91</v>
      </c>
      <c r="AZ1065" t="s">
        <v>91</v>
      </c>
      <c r="BA1065" t="s">
        <v>91</v>
      </c>
      <c r="BB1065" s="2">
        <v>45118.097175925926</v>
      </c>
      <c r="BC1065" s="2"/>
      <c r="BD1065" t="s">
        <v>91</v>
      </c>
      <c r="BF1065" s="1" t="s">
        <v>75</v>
      </c>
      <c r="BI1065" s="1" t="s">
        <v>88</v>
      </c>
      <c r="BJ1065">
        <v>1</v>
      </c>
      <c r="BK1065" s="1" t="s">
        <v>89</v>
      </c>
      <c r="BL1065" t="s">
        <v>91</v>
      </c>
      <c r="BM1065" s="1" t="s">
        <v>91</v>
      </c>
      <c r="BN1065" s="1" t="s">
        <v>91</v>
      </c>
      <c r="BO1065" s="1" t="s">
        <v>91</v>
      </c>
      <c r="BP1065" s="1" t="s">
        <v>91</v>
      </c>
      <c r="BQ1065" t="s">
        <v>91</v>
      </c>
      <c r="BR1065" s="3">
        <v>45118</v>
      </c>
      <c r="BS1065" s="3"/>
      <c r="BT1065" t="s">
        <v>91</v>
      </c>
      <c r="BU1065" t="s">
        <v>91</v>
      </c>
      <c r="BW1065" s="1" t="s">
        <v>90</v>
      </c>
    </row>
    <row r="1066" spans="1:75" hidden="1" x14ac:dyDescent="0.35">
      <c r="A1066">
        <v>157668</v>
      </c>
      <c r="B1066" s="1" t="s">
        <v>75</v>
      </c>
      <c r="C1066">
        <v>80</v>
      </c>
      <c r="D1066">
        <v>11121002</v>
      </c>
      <c r="E1066">
        <v>121002</v>
      </c>
      <c r="F1066" s="1" t="s">
        <v>2915</v>
      </c>
      <c r="G1066" s="1" t="s">
        <v>5910</v>
      </c>
      <c r="H1066">
        <v>0</v>
      </c>
      <c r="I1066" s="1" t="s">
        <v>78</v>
      </c>
      <c r="J1066" s="1" t="s">
        <v>5911</v>
      </c>
      <c r="K1066" s="1" t="s">
        <v>5912</v>
      </c>
      <c r="L1066" t="s">
        <v>91</v>
      </c>
      <c r="M1066" t="s">
        <v>91</v>
      </c>
      <c r="N1066" s="1" t="s">
        <v>5913</v>
      </c>
      <c r="O1066" t="s">
        <v>91</v>
      </c>
      <c r="P1066" s="1" t="s">
        <v>5914</v>
      </c>
      <c r="Q1066" s="1" t="s">
        <v>5915</v>
      </c>
      <c r="R1066" s="1" t="s">
        <v>5916</v>
      </c>
      <c r="S1066">
        <v>1270</v>
      </c>
      <c r="T1066">
        <v>88904174</v>
      </c>
      <c r="U1066" s="1" t="s">
        <v>5917</v>
      </c>
      <c r="V1066" s="1" t="s">
        <v>3095</v>
      </c>
      <c r="W1066" s="1" t="s">
        <v>87</v>
      </c>
      <c r="X1066">
        <v>48</v>
      </c>
      <c r="Y1066">
        <v>35240058</v>
      </c>
      <c r="Z1066" t="s">
        <v>91</v>
      </c>
      <c r="AA1066" t="s">
        <v>91</v>
      </c>
      <c r="AB1066" t="s">
        <v>91</v>
      </c>
      <c r="AC1066" t="s">
        <v>91</v>
      </c>
      <c r="AD1066" t="s">
        <v>91</v>
      </c>
      <c r="AE1066" t="s">
        <v>91</v>
      </c>
      <c r="AF1066" t="s">
        <v>91</v>
      </c>
      <c r="AG1066" s="1" t="s">
        <v>91</v>
      </c>
      <c r="AH1066" s="1" t="s">
        <v>91</v>
      </c>
      <c r="AI1066" t="s">
        <v>91</v>
      </c>
      <c r="AM1066" t="s">
        <v>91</v>
      </c>
      <c r="AN1066" t="s">
        <v>91</v>
      </c>
      <c r="AO1066" t="s">
        <v>91</v>
      </c>
      <c r="AP1066" t="s">
        <v>91</v>
      </c>
      <c r="AQ1066" s="1" t="s">
        <v>91</v>
      </c>
      <c r="AR1066" s="1" t="s">
        <v>91</v>
      </c>
      <c r="AS1066" s="1" t="s">
        <v>91</v>
      </c>
      <c r="AT1066" s="1" t="s">
        <v>91</v>
      </c>
      <c r="AU1066" s="1" t="s">
        <v>91</v>
      </c>
      <c r="AV1066" t="s">
        <v>91</v>
      </c>
      <c r="AW1066" t="s">
        <v>91</v>
      </c>
      <c r="AX1066" t="s">
        <v>91</v>
      </c>
      <c r="AY1066" t="s">
        <v>91</v>
      </c>
      <c r="AZ1066" t="s">
        <v>91</v>
      </c>
      <c r="BA1066" t="s">
        <v>91</v>
      </c>
      <c r="BB1066" s="2">
        <v>45118.097175925926</v>
      </c>
      <c r="BC1066" s="2"/>
      <c r="BD1066" t="s">
        <v>91</v>
      </c>
      <c r="BF1066" s="1" t="s">
        <v>75</v>
      </c>
      <c r="BI1066" s="1" t="s">
        <v>88</v>
      </c>
      <c r="BJ1066">
        <v>1</v>
      </c>
      <c r="BK1066" s="1" t="s">
        <v>89</v>
      </c>
      <c r="BL1066" t="s">
        <v>91</v>
      </c>
      <c r="BM1066" s="1" t="s">
        <v>91</v>
      </c>
      <c r="BN1066" s="1" t="s">
        <v>91</v>
      </c>
      <c r="BO1066" s="1" t="s">
        <v>91</v>
      </c>
      <c r="BP1066" s="1" t="s">
        <v>91</v>
      </c>
      <c r="BQ1066" t="s">
        <v>91</v>
      </c>
      <c r="BR1066" s="3">
        <v>45118</v>
      </c>
      <c r="BS1066" s="3"/>
      <c r="BT1066" t="s">
        <v>91</v>
      </c>
      <c r="BU1066" t="s">
        <v>91</v>
      </c>
      <c r="BW1066" s="1" t="s">
        <v>90</v>
      </c>
    </row>
    <row r="1067" spans="1:75" hidden="1" x14ac:dyDescent="0.35">
      <c r="A1067">
        <v>144329</v>
      </c>
      <c r="B1067" s="1" t="s">
        <v>75</v>
      </c>
      <c r="C1067">
        <v>80</v>
      </c>
      <c r="D1067">
        <v>11121002</v>
      </c>
      <c r="E1067">
        <v>121002</v>
      </c>
      <c r="F1067" s="1" t="s">
        <v>2915</v>
      </c>
      <c r="G1067" s="1" t="s">
        <v>5918</v>
      </c>
      <c r="I1067" s="1" t="s">
        <v>78</v>
      </c>
      <c r="J1067" s="1" t="s">
        <v>5919</v>
      </c>
      <c r="K1067" s="1" t="s">
        <v>5920</v>
      </c>
      <c r="L1067" t="s">
        <v>91</v>
      </c>
      <c r="M1067" t="s">
        <v>91</v>
      </c>
      <c r="N1067" s="1" t="s">
        <v>5921</v>
      </c>
      <c r="O1067" t="s">
        <v>91</v>
      </c>
      <c r="P1067" s="1" t="s">
        <v>260</v>
      </c>
      <c r="Q1067" s="1" t="s">
        <v>5922</v>
      </c>
      <c r="R1067" s="1" t="s">
        <v>370</v>
      </c>
      <c r="S1067">
        <v>1270</v>
      </c>
      <c r="T1067">
        <v>88960000</v>
      </c>
      <c r="U1067" s="1" t="s">
        <v>3694</v>
      </c>
      <c r="V1067" s="1" t="s">
        <v>3694</v>
      </c>
      <c r="W1067" s="1" t="s">
        <v>87</v>
      </c>
      <c r="X1067">
        <v>48</v>
      </c>
      <c r="Y1067">
        <v>35330438</v>
      </c>
      <c r="Z1067" t="s">
        <v>91</v>
      </c>
      <c r="AA1067" t="s">
        <v>91</v>
      </c>
      <c r="AB1067" t="s">
        <v>91</v>
      </c>
      <c r="AC1067" t="s">
        <v>91</v>
      </c>
      <c r="AD1067" t="s">
        <v>91</v>
      </c>
      <c r="AE1067" t="s">
        <v>91</v>
      </c>
      <c r="AF1067" t="s">
        <v>91</v>
      </c>
      <c r="AG1067" s="1" t="s">
        <v>91</v>
      </c>
      <c r="AH1067" s="1" t="s">
        <v>91</v>
      </c>
      <c r="AI1067" t="s">
        <v>91</v>
      </c>
      <c r="AJ1067">
        <v>0</v>
      </c>
      <c r="AK1067">
        <v>0</v>
      </c>
      <c r="AL1067">
        <v>0</v>
      </c>
      <c r="AM1067" t="s">
        <v>91</v>
      </c>
      <c r="AN1067" t="s">
        <v>91</v>
      </c>
      <c r="AO1067" t="s">
        <v>91</v>
      </c>
      <c r="AP1067" t="s">
        <v>91</v>
      </c>
      <c r="AQ1067" s="1" t="s">
        <v>91</v>
      </c>
      <c r="AR1067" s="1" t="s">
        <v>91</v>
      </c>
      <c r="AS1067" s="1" t="s">
        <v>91</v>
      </c>
      <c r="AT1067" s="1" t="s">
        <v>91</v>
      </c>
      <c r="AU1067" s="1" t="s">
        <v>91</v>
      </c>
      <c r="AV1067" t="s">
        <v>91</v>
      </c>
      <c r="AW1067" t="s">
        <v>91</v>
      </c>
      <c r="AX1067" t="s">
        <v>91</v>
      </c>
      <c r="AY1067" t="s">
        <v>91</v>
      </c>
      <c r="AZ1067" t="s">
        <v>91</v>
      </c>
      <c r="BA1067" t="s">
        <v>91</v>
      </c>
      <c r="BB1067" s="2"/>
      <c r="BC1067" s="2"/>
      <c r="BD1067" t="s">
        <v>91</v>
      </c>
      <c r="BF1067" s="1" t="s">
        <v>75</v>
      </c>
      <c r="BG1067">
        <v>0</v>
      </c>
      <c r="BH1067">
        <v>0</v>
      </c>
      <c r="BI1067" s="1" t="s">
        <v>88</v>
      </c>
      <c r="BJ1067">
        <v>1</v>
      </c>
      <c r="BK1067" s="1" t="s">
        <v>89</v>
      </c>
      <c r="BL1067" t="s">
        <v>91</v>
      </c>
      <c r="BM1067" s="1" t="s">
        <v>329</v>
      </c>
      <c r="BN1067" s="1" t="s">
        <v>110</v>
      </c>
      <c r="BO1067" s="1" t="s">
        <v>165</v>
      </c>
      <c r="BP1067" s="1" t="s">
        <v>91</v>
      </c>
      <c r="BQ1067" t="s">
        <v>91</v>
      </c>
      <c r="BR1067" s="3"/>
      <c r="BS1067" s="3"/>
      <c r="BT1067" t="s">
        <v>91</v>
      </c>
      <c r="BU1067" t="s">
        <v>91</v>
      </c>
      <c r="BV1067">
        <v>5</v>
      </c>
      <c r="BW1067" s="1" t="s">
        <v>478</v>
      </c>
    </row>
    <row r="1068" spans="1:75" hidden="1" x14ac:dyDescent="0.35">
      <c r="A1068">
        <v>158707</v>
      </c>
      <c r="B1068" s="1" t="s">
        <v>75</v>
      </c>
      <c r="C1068">
        <v>80</v>
      </c>
      <c r="D1068">
        <v>11121002</v>
      </c>
      <c r="E1068">
        <v>121002</v>
      </c>
      <c r="F1068" s="1" t="s">
        <v>2915</v>
      </c>
      <c r="G1068" s="1" t="s">
        <v>5923</v>
      </c>
      <c r="I1068" s="1" t="s">
        <v>78</v>
      </c>
      <c r="J1068" s="1" t="s">
        <v>5924</v>
      </c>
      <c r="K1068" s="1" t="s">
        <v>5925</v>
      </c>
      <c r="L1068" t="s">
        <v>91</v>
      </c>
      <c r="M1068" t="s">
        <v>91</v>
      </c>
      <c r="N1068" s="1" t="s">
        <v>5926</v>
      </c>
      <c r="O1068" t="s">
        <v>91</v>
      </c>
      <c r="P1068" s="1" t="s">
        <v>5927</v>
      </c>
      <c r="Q1068" s="1" t="s">
        <v>1575</v>
      </c>
      <c r="R1068" s="1" t="s">
        <v>1522</v>
      </c>
      <c r="S1068">
        <v>1259</v>
      </c>
      <c r="T1068">
        <v>88130220</v>
      </c>
      <c r="U1068" s="1" t="s">
        <v>108</v>
      </c>
      <c r="V1068" s="1" t="s">
        <v>2951</v>
      </c>
      <c r="W1068" s="1" t="s">
        <v>87</v>
      </c>
      <c r="X1068">
        <v>48</v>
      </c>
      <c r="Y1068">
        <v>30863262</v>
      </c>
      <c r="Z1068" t="s">
        <v>91</v>
      </c>
      <c r="AA1068" t="s">
        <v>91</v>
      </c>
      <c r="AB1068" t="s">
        <v>91</v>
      </c>
      <c r="AC1068" t="s">
        <v>91</v>
      </c>
      <c r="AD1068" t="s">
        <v>91</v>
      </c>
      <c r="AE1068" t="s">
        <v>91</v>
      </c>
      <c r="AF1068" t="s">
        <v>91</v>
      </c>
      <c r="AG1068" s="1" t="s">
        <v>91</v>
      </c>
      <c r="AH1068" s="1" t="s">
        <v>91</v>
      </c>
      <c r="AI1068" t="s">
        <v>91</v>
      </c>
      <c r="AM1068" t="s">
        <v>91</v>
      </c>
      <c r="AN1068" t="s">
        <v>91</v>
      </c>
      <c r="AO1068" t="s">
        <v>91</v>
      </c>
      <c r="AP1068" t="s">
        <v>91</v>
      </c>
      <c r="AQ1068" s="1" t="s">
        <v>91</v>
      </c>
      <c r="AR1068" s="1" t="s">
        <v>91</v>
      </c>
      <c r="AS1068" s="1" t="s">
        <v>91</v>
      </c>
      <c r="AT1068" s="1" t="s">
        <v>91</v>
      </c>
      <c r="AU1068" s="1" t="s">
        <v>91</v>
      </c>
      <c r="AV1068" t="s">
        <v>91</v>
      </c>
      <c r="AW1068" t="s">
        <v>91</v>
      </c>
      <c r="AX1068" t="s">
        <v>91</v>
      </c>
      <c r="AY1068" t="s">
        <v>91</v>
      </c>
      <c r="AZ1068" t="s">
        <v>91</v>
      </c>
      <c r="BA1068" t="s">
        <v>91</v>
      </c>
      <c r="BB1068" s="2">
        <v>45155.700069444443</v>
      </c>
      <c r="BC1068" s="2"/>
      <c r="BD1068" t="s">
        <v>91</v>
      </c>
      <c r="BF1068" s="1" t="s">
        <v>75</v>
      </c>
      <c r="BI1068" s="1" t="s">
        <v>88</v>
      </c>
      <c r="BJ1068">
        <v>1</v>
      </c>
      <c r="BK1068" s="1" t="s">
        <v>89</v>
      </c>
      <c r="BL1068" t="s">
        <v>91</v>
      </c>
      <c r="BM1068" s="1" t="s">
        <v>91</v>
      </c>
      <c r="BN1068" s="1" t="s">
        <v>91</v>
      </c>
      <c r="BO1068" s="1" t="s">
        <v>91</v>
      </c>
      <c r="BP1068" s="1" t="s">
        <v>91</v>
      </c>
      <c r="BQ1068" t="s">
        <v>91</v>
      </c>
      <c r="BR1068" s="3">
        <v>45155</v>
      </c>
      <c r="BS1068" s="3"/>
      <c r="BT1068" t="s">
        <v>91</v>
      </c>
      <c r="BU1068" t="s">
        <v>91</v>
      </c>
      <c r="BW1068" s="1" t="s">
        <v>1260</v>
      </c>
    </row>
    <row r="1069" spans="1:75" hidden="1" x14ac:dyDescent="0.35">
      <c r="A1069">
        <v>127439</v>
      </c>
      <c r="B1069" s="1" t="s">
        <v>75</v>
      </c>
      <c r="C1069">
        <v>80</v>
      </c>
      <c r="D1069">
        <v>11121002</v>
      </c>
      <c r="E1069">
        <v>121002</v>
      </c>
      <c r="F1069" s="1" t="s">
        <v>2915</v>
      </c>
      <c r="G1069" s="1" t="s">
        <v>5928</v>
      </c>
      <c r="H1069">
        <v>0</v>
      </c>
      <c r="I1069" s="1" t="s">
        <v>78</v>
      </c>
      <c r="J1069" s="1" t="s">
        <v>5929</v>
      </c>
      <c r="K1069" s="1" t="s">
        <v>5930</v>
      </c>
      <c r="L1069" t="s">
        <v>91</v>
      </c>
      <c r="M1069" t="s">
        <v>91</v>
      </c>
      <c r="N1069" s="1" t="s">
        <v>5931</v>
      </c>
      <c r="O1069" t="s">
        <v>91</v>
      </c>
      <c r="P1069" s="1" t="s">
        <v>5932</v>
      </c>
      <c r="Q1069" s="1" t="s">
        <v>3397</v>
      </c>
      <c r="R1069" s="1" t="s">
        <v>245</v>
      </c>
      <c r="S1069">
        <v>1269</v>
      </c>
      <c r="T1069">
        <v>88862000</v>
      </c>
      <c r="U1069" s="1" t="s">
        <v>108</v>
      </c>
      <c r="V1069" s="1" t="s">
        <v>5933</v>
      </c>
      <c r="W1069" s="1" t="s">
        <v>87</v>
      </c>
      <c r="X1069">
        <v>48</v>
      </c>
      <c r="Y1069">
        <v>34353069</v>
      </c>
      <c r="Z1069" t="s">
        <v>91</v>
      </c>
      <c r="AA1069" t="s">
        <v>91</v>
      </c>
      <c r="AB1069" t="s">
        <v>91</v>
      </c>
      <c r="AC1069" t="s">
        <v>91</v>
      </c>
      <c r="AD1069" t="s">
        <v>91</v>
      </c>
      <c r="AE1069" t="s">
        <v>91</v>
      </c>
      <c r="AF1069" t="s">
        <v>91</v>
      </c>
      <c r="AG1069" s="1" t="s">
        <v>91</v>
      </c>
      <c r="AH1069" s="1" t="s">
        <v>91</v>
      </c>
      <c r="AI1069" t="s">
        <v>91</v>
      </c>
      <c r="AJ1069">
        <v>0</v>
      </c>
      <c r="AK1069">
        <v>0</v>
      </c>
      <c r="AL1069">
        <v>0</v>
      </c>
      <c r="AM1069" t="s">
        <v>91</v>
      </c>
      <c r="AN1069" t="s">
        <v>91</v>
      </c>
      <c r="AO1069" t="s">
        <v>91</v>
      </c>
      <c r="AP1069" t="s">
        <v>91</v>
      </c>
      <c r="AQ1069" s="1" t="s">
        <v>91</v>
      </c>
      <c r="AR1069" s="1" t="s">
        <v>91</v>
      </c>
      <c r="AS1069" s="1" t="s">
        <v>91</v>
      </c>
      <c r="AT1069" s="1" t="s">
        <v>91</v>
      </c>
      <c r="AU1069" s="1" t="s">
        <v>91</v>
      </c>
      <c r="AV1069" t="s">
        <v>91</v>
      </c>
      <c r="AW1069" t="s">
        <v>91</v>
      </c>
      <c r="AX1069" t="s">
        <v>91</v>
      </c>
      <c r="AY1069" t="s">
        <v>91</v>
      </c>
      <c r="AZ1069" t="s">
        <v>91</v>
      </c>
      <c r="BA1069" t="s">
        <v>91</v>
      </c>
      <c r="BB1069" s="2">
        <v>44111.380995370368</v>
      </c>
      <c r="BC1069" s="2"/>
      <c r="BD1069" t="s">
        <v>91</v>
      </c>
      <c r="BF1069" s="1" t="s">
        <v>75</v>
      </c>
      <c r="BG1069">
        <v>0</v>
      </c>
      <c r="BH1069">
        <v>0</v>
      </c>
      <c r="BI1069" s="1" t="s">
        <v>88</v>
      </c>
      <c r="BJ1069">
        <v>1</v>
      </c>
      <c r="BK1069" s="1" t="s">
        <v>89</v>
      </c>
      <c r="BL1069" t="s">
        <v>91</v>
      </c>
      <c r="BM1069" s="1" t="s">
        <v>109</v>
      </c>
      <c r="BN1069" s="1" t="s">
        <v>110</v>
      </c>
      <c r="BO1069" s="1" t="s">
        <v>128</v>
      </c>
      <c r="BP1069" s="1" t="s">
        <v>91</v>
      </c>
      <c r="BQ1069" t="s">
        <v>91</v>
      </c>
      <c r="BR1069" s="3">
        <v>44111</v>
      </c>
      <c r="BS1069" s="3"/>
      <c r="BT1069" t="s">
        <v>91</v>
      </c>
      <c r="BU1069" t="s">
        <v>91</v>
      </c>
      <c r="BV1069">
        <v>9</v>
      </c>
      <c r="BW1069" s="1" t="s">
        <v>3096</v>
      </c>
    </row>
    <row r="1070" spans="1:75" hidden="1" x14ac:dyDescent="0.35">
      <c r="A1070">
        <v>157689</v>
      </c>
      <c r="B1070" s="1" t="s">
        <v>75</v>
      </c>
      <c r="C1070">
        <v>80</v>
      </c>
      <c r="D1070">
        <v>11121002</v>
      </c>
      <c r="E1070">
        <v>121002</v>
      </c>
      <c r="F1070" s="1" t="s">
        <v>2915</v>
      </c>
      <c r="G1070" s="1" t="s">
        <v>5934</v>
      </c>
      <c r="H1070">
        <v>0</v>
      </c>
      <c r="I1070" s="1" t="s">
        <v>78</v>
      </c>
      <c r="J1070" s="1" t="s">
        <v>5935</v>
      </c>
      <c r="K1070" s="1" t="s">
        <v>5936</v>
      </c>
      <c r="L1070" t="s">
        <v>91</v>
      </c>
      <c r="M1070" t="s">
        <v>91</v>
      </c>
      <c r="N1070" s="1" t="s">
        <v>5937</v>
      </c>
      <c r="O1070" t="s">
        <v>91</v>
      </c>
      <c r="P1070" s="1" t="s">
        <v>5482</v>
      </c>
      <c r="Q1070" s="1" t="s">
        <v>5938</v>
      </c>
      <c r="R1070" s="1" t="s">
        <v>370</v>
      </c>
      <c r="T1070">
        <v>88060000</v>
      </c>
      <c r="U1070" s="1" t="s">
        <v>5939</v>
      </c>
      <c r="V1070" s="1" t="s">
        <v>2922</v>
      </c>
      <c r="W1070" s="1" t="s">
        <v>87</v>
      </c>
      <c r="X1070">
        <v>51</v>
      </c>
      <c r="Y1070">
        <v>996031363</v>
      </c>
      <c r="Z1070" t="s">
        <v>91</v>
      </c>
      <c r="AA1070" t="s">
        <v>91</v>
      </c>
      <c r="AB1070" t="s">
        <v>91</v>
      </c>
      <c r="AC1070" t="s">
        <v>91</v>
      </c>
      <c r="AD1070" t="s">
        <v>91</v>
      </c>
      <c r="AE1070" t="s">
        <v>91</v>
      </c>
      <c r="AF1070" t="s">
        <v>91</v>
      </c>
      <c r="AG1070" s="1" t="s">
        <v>91</v>
      </c>
      <c r="AH1070" s="1" t="s">
        <v>91</v>
      </c>
      <c r="AI1070" t="s">
        <v>91</v>
      </c>
      <c r="AM1070" t="s">
        <v>91</v>
      </c>
      <c r="AN1070" t="s">
        <v>91</v>
      </c>
      <c r="AO1070" t="s">
        <v>91</v>
      </c>
      <c r="AP1070" t="s">
        <v>91</v>
      </c>
      <c r="AQ1070" s="1" t="s">
        <v>91</v>
      </c>
      <c r="AR1070" s="1" t="s">
        <v>91</v>
      </c>
      <c r="AS1070" s="1" t="s">
        <v>91</v>
      </c>
      <c r="AT1070" s="1" t="s">
        <v>91</v>
      </c>
      <c r="AU1070" s="1" t="s">
        <v>91</v>
      </c>
      <c r="AV1070" t="s">
        <v>91</v>
      </c>
      <c r="AW1070" t="s">
        <v>91</v>
      </c>
      <c r="AX1070" t="s">
        <v>91</v>
      </c>
      <c r="AY1070" t="s">
        <v>91</v>
      </c>
      <c r="AZ1070" t="s">
        <v>91</v>
      </c>
      <c r="BA1070" t="s">
        <v>91</v>
      </c>
      <c r="BB1070" s="2">
        <v>45118.097175925926</v>
      </c>
      <c r="BC1070" s="2"/>
      <c r="BD1070" t="s">
        <v>91</v>
      </c>
      <c r="BF1070" s="1" t="s">
        <v>75</v>
      </c>
      <c r="BI1070" s="1" t="s">
        <v>88</v>
      </c>
      <c r="BJ1070">
        <v>1</v>
      </c>
      <c r="BK1070" s="1" t="s">
        <v>89</v>
      </c>
      <c r="BL1070" t="s">
        <v>91</v>
      </c>
      <c r="BM1070" s="1" t="s">
        <v>91</v>
      </c>
      <c r="BN1070" s="1" t="s">
        <v>91</v>
      </c>
      <c r="BO1070" s="1" t="s">
        <v>91</v>
      </c>
      <c r="BP1070" s="1" t="s">
        <v>91</v>
      </c>
      <c r="BQ1070" t="s">
        <v>91</v>
      </c>
      <c r="BR1070" s="3">
        <v>45118</v>
      </c>
      <c r="BS1070" s="3"/>
      <c r="BT1070" t="s">
        <v>91</v>
      </c>
      <c r="BU1070" t="s">
        <v>91</v>
      </c>
      <c r="BW1070" s="1" t="s">
        <v>90</v>
      </c>
    </row>
    <row r="1071" spans="1:75" hidden="1" x14ac:dyDescent="0.35">
      <c r="A1071">
        <v>1532</v>
      </c>
      <c r="B1071" s="1" t="s">
        <v>75</v>
      </c>
      <c r="C1071">
        <v>80</v>
      </c>
      <c r="D1071">
        <v>11121002</v>
      </c>
      <c r="E1071">
        <v>121002</v>
      </c>
      <c r="F1071" s="1" t="s">
        <v>2915</v>
      </c>
      <c r="G1071" s="1" t="s">
        <v>5940</v>
      </c>
      <c r="I1071" s="1" t="s">
        <v>78</v>
      </c>
      <c r="J1071" s="1" t="s">
        <v>5941</v>
      </c>
      <c r="K1071" s="1" t="s">
        <v>5942</v>
      </c>
      <c r="L1071" t="s">
        <v>91</v>
      </c>
      <c r="M1071" t="s">
        <v>91</v>
      </c>
      <c r="N1071" s="1" t="s">
        <v>5831</v>
      </c>
      <c r="O1071" t="s">
        <v>91</v>
      </c>
      <c r="P1071" s="1" t="s">
        <v>5943</v>
      </c>
      <c r="Q1071" s="1" t="s">
        <v>841</v>
      </c>
      <c r="R1071" s="1" t="s">
        <v>91</v>
      </c>
      <c r="S1071">
        <v>1266</v>
      </c>
      <c r="T1071">
        <v>88501020</v>
      </c>
      <c r="U1071" s="1" t="s">
        <v>108</v>
      </c>
      <c r="V1071" s="1" t="s">
        <v>3335</v>
      </c>
      <c r="W1071" s="1" t="s">
        <v>87</v>
      </c>
      <c r="X1071">
        <v>49</v>
      </c>
      <c r="Y1071">
        <v>32227651</v>
      </c>
      <c r="Z1071" t="s">
        <v>91</v>
      </c>
      <c r="AA1071" t="s">
        <v>91</v>
      </c>
      <c r="AB1071" t="s">
        <v>91</v>
      </c>
      <c r="AC1071" t="s">
        <v>91</v>
      </c>
      <c r="AD1071" t="s">
        <v>91</v>
      </c>
      <c r="AE1071" t="s">
        <v>91</v>
      </c>
      <c r="AF1071" t="s">
        <v>91</v>
      </c>
      <c r="AG1071" s="1" t="s">
        <v>91</v>
      </c>
      <c r="AH1071" s="1" t="s">
        <v>91</v>
      </c>
      <c r="AI1071" t="s">
        <v>91</v>
      </c>
      <c r="AJ1071">
        <v>0</v>
      </c>
      <c r="AK1071">
        <v>0</v>
      </c>
      <c r="AL1071">
        <v>0</v>
      </c>
      <c r="AM1071" t="s">
        <v>91</v>
      </c>
      <c r="AN1071" t="s">
        <v>91</v>
      </c>
      <c r="AO1071" t="s">
        <v>91</v>
      </c>
      <c r="AP1071" t="s">
        <v>91</v>
      </c>
      <c r="AQ1071" s="1" t="s">
        <v>91</v>
      </c>
      <c r="AR1071" s="1" t="s">
        <v>91</v>
      </c>
      <c r="AS1071" s="1" t="s">
        <v>91</v>
      </c>
      <c r="AT1071" s="1" t="s">
        <v>91</v>
      </c>
      <c r="AU1071" s="1" t="s">
        <v>91</v>
      </c>
      <c r="AV1071" t="s">
        <v>91</v>
      </c>
      <c r="AW1071" t="s">
        <v>91</v>
      </c>
      <c r="AX1071" t="s">
        <v>91</v>
      </c>
      <c r="AY1071" t="s">
        <v>91</v>
      </c>
      <c r="AZ1071" t="s">
        <v>91</v>
      </c>
      <c r="BA1071" t="s">
        <v>91</v>
      </c>
      <c r="BB1071" s="2">
        <v>43308.393333333333</v>
      </c>
      <c r="BC1071" s="2"/>
      <c r="BD1071" t="s">
        <v>91</v>
      </c>
      <c r="BE1071">
        <v>1532</v>
      </c>
      <c r="BF1071" s="1" t="s">
        <v>75</v>
      </c>
      <c r="BG1071">
        <v>0</v>
      </c>
      <c r="BH1071">
        <v>0</v>
      </c>
      <c r="BI1071" s="1" t="s">
        <v>88</v>
      </c>
      <c r="BJ1071">
        <v>1</v>
      </c>
      <c r="BK1071" s="1" t="s">
        <v>89</v>
      </c>
      <c r="BL1071" t="s">
        <v>91</v>
      </c>
      <c r="BM1071" s="1" t="s">
        <v>164</v>
      </c>
      <c r="BN1071" s="1" t="s">
        <v>110</v>
      </c>
      <c r="BO1071" s="1" t="s">
        <v>165</v>
      </c>
      <c r="BP1071" s="1" t="s">
        <v>91</v>
      </c>
      <c r="BQ1071" t="s">
        <v>91</v>
      </c>
      <c r="BR1071" s="3">
        <v>43308</v>
      </c>
      <c r="BS1071" s="3"/>
      <c r="BT1071" t="s">
        <v>91</v>
      </c>
      <c r="BU1071" t="s">
        <v>91</v>
      </c>
      <c r="BV1071">
        <v>1</v>
      </c>
      <c r="BW1071" s="1" t="s">
        <v>155</v>
      </c>
    </row>
    <row r="1072" spans="1:75" hidden="1" x14ac:dyDescent="0.35">
      <c r="A1072">
        <v>134277</v>
      </c>
      <c r="B1072" s="1" t="s">
        <v>75</v>
      </c>
      <c r="C1072">
        <v>80</v>
      </c>
      <c r="D1072">
        <v>11121002</v>
      </c>
      <c r="E1072">
        <v>121002</v>
      </c>
      <c r="F1072" s="1" t="s">
        <v>2915</v>
      </c>
      <c r="G1072" s="1" t="s">
        <v>5944</v>
      </c>
      <c r="I1072" s="1" t="s">
        <v>78</v>
      </c>
      <c r="J1072" s="1" t="s">
        <v>5945</v>
      </c>
      <c r="K1072" s="1" t="s">
        <v>5946</v>
      </c>
      <c r="L1072" t="s">
        <v>91</v>
      </c>
      <c r="M1072" t="s">
        <v>91</v>
      </c>
      <c r="N1072" s="1" t="s">
        <v>5947</v>
      </c>
      <c r="O1072" t="s">
        <v>91</v>
      </c>
      <c r="P1072" s="1" t="s">
        <v>3120</v>
      </c>
      <c r="Q1072" s="1" t="s">
        <v>5948</v>
      </c>
      <c r="R1072" s="1" t="s">
        <v>91</v>
      </c>
      <c r="S1072">
        <v>1259</v>
      </c>
      <c r="T1072">
        <v>88140000</v>
      </c>
      <c r="U1072" s="1" t="s">
        <v>108</v>
      </c>
      <c r="V1072" s="1" t="s">
        <v>3123</v>
      </c>
      <c r="W1072" s="1" t="s">
        <v>87</v>
      </c>
      <c r="X1072">
        <v>48</v>
      </c>
      <c r="Y1072">
        <v>32451473</v>
      </c>
      <c r="Z1072" t="s">
        <v>91</v>
      </c>
      <c r="AA1072" t="s">
        <v>91</v>
      </c>
      <c r="AB1072" t="s">
        <v>91</v>
      </c>
      <c r="AC1072" t="s">
        <v>91</v>
      </c>
      <c r="AD1072" t="s">
        <v>91</v>
      </c>
      <c r="AE1072" t="s">
        <v>91</v>
      </c>
      <c r="AF1072" t="s">
        <v>91</v>
      </c>
      <c r="AG1072" s="1" t="s">
        <v>146</v>
      </c>
      <c r="AH1072" s="1" t="s">
        <v>91</v>
      </c>
      <c r="AI1072" t="s">
        <v>91</v>
      </c>
      <c r="AJ1072">
        <v>0</v>
      </c>
      <c r="AK1072">
        <v>0</v>
      </c>
      <c r="AL1072">
        <v>0</v>
      </c>
      <c r="AM1072" t="s">
        <v>91</v>
      </c>
      <c r="AN1072" t="s">
        <v>91</v>
      </c>
      <c r="AO1072" t="s">
        <v>91</v>
      </c>
      <c r="AP1072" t="s">
        <v>91</v>
      </c>
      <c r="AQ1072" s="1" t="s">
        <v>147</v>
      </c>
      <c r="AR1072" s="1" t="s">
        <v>147</v>
      </c>
      <c r="AS1072" s="1" t="s">
        <v>147</v>
      </c>
      <c r="AT1072" s="1" t="s">
        <v>147</v>
      </c>
      <c r="AU1072" s="1" t="s">
        <v>147</v>
      </c>
      <c r="AV1072" t="s">
        <v>91</v>
      </c>
      <c r="AW1072" t="s">
        <v>91</v>
      </c>
      <c r="AX1072" t="s">
        <v>91</v>
      </c>
      <c r="AY1072" t="s">
        <v>91</v>
      </c>
      <c r="AZ1072" t="s">
        <v>91</v>
      </c>
      <c r="BA1072" t="s">
        <v>91</v>
      </c>
      <c r="BB1072" s="2"/>
      <c r="BC1072" s="2">
        <v>44683.480752314812</v>
      </c>
      <c r="BD1072" t="s">
        <v>91</v>
      </c>
      <c r="BF1072" s="1" t="s">
        <v>75</v>
      </c>
      <c r="BG1072">
        <v>0</v>
      </c>
      <c r="BH1072">
        <v>0</v>
      </c>
      <c r="BI1072" s="1" t="s">
        <v>88</v>
      </c>
      <c r="BJ1072">
        <v>1</v>
      </c>
      <c r="BK1072" s="1" t="s">
        <v>89</v>
      </c>
      <c r="BL1072" t="s">
        <v>91</v>
      </c>
      <c r="BM1072" s="1" t="s">
        <v>329</v>
      </c>
      <c r="BN1072" s="1" t="s">
        <v>110</v>
      </c>
      <c r="BO1072" s="1" t="s">
        <v>165</v>
      </c>
      <c r="BP1072" s="1" t="s">
        <v>91</v>
      </c>
      <c r="BQ1072" t="s">
        <v>91</v>
      </c>
      <c r="BR1072" s="3"/>
      <c r="BS1072" s="3">
        <v>44683</v>
      </c>
      <c r="BT1072" t="s">
        <v>91</v>
      </c>
      <c r="BU1072" t="s">
        <v>91</v>
      </c>
      <c r="BV1072">
        <v>5</v>
      </c>
      <c r="BW1072" s="1" t="s">
        <v>735</v>
      </c>
    </row>
    <row r="1073" spans="1:75" hidden="1" x14ac:dyDescent="0.35">
      <c r="A1073">
        <v>156867</v>
      </c>
      <c r="B1073" s="1" t="s">
        <v>75</v>
      </c>
      <c r="C1073">
        <v>80</v>
      </c>
      <c r="D1073">
        <v>11121002</v>
      </c>
      <c r="E1073">
        <v>121002</v>
      </c>
      <c r="F1073" s="1" t="s">
        <v>2915</v>
      </c>
      <c r="G1073" s="1" t="s">
        <v>5949</v>
      </c>
      <c r="H1073">
        <v>0</v>
      </c>
      <c r="I1073" s="1" t="s">
        <v>78</v>
      </c>
      <c r="J1073" s="1" t="s">
        <v>5950</v>
      </c>
      <c r="K1073" s="1" t="s">
        <v>5951</v>
      </c>
      <c r="L1073" t="s">
        <v>91</v>
      </c>
      <c r="M1073" t="s">
        <v>91</v>
      </c>
      <c r="N1073" s="1" t="s">
        <v>5952</v>
      </c>
      <c r="O1073" t="s">
        <v>91</v>
      </c>
      <c r="P1073" s="1" t="s">
        <v>5953</v>
      </c>
      <c r="Q1073" s="1" t="s">
        <v>1496</v>
      </c>
      <c r="R1073" s="1" t="s">
        <v>5954</v>
      </c>
      <c r="T1073">
        <v>88137100</v>
      </c>
      <c r="U1073" s="1" t="s">
        <v>5955</v>
      </c>
      <c r="V1073" s="1" t="s">
        <v>2951</v>
      </c>
      <c r="W1073" s="1" t="s">
        <v>87</v>
      </c>
      <c r="X1073">
        <v>48</v>
      </c>
      <c r="Y1073">
        <v>999158436</v>
      </c>
      <c r="Z1073" t="s">
        <v>91</v>
      </c>
      <c r="AA1073" t="s">
        <v>91</v>
      </c>
      <c r="AB1073" t="s">
        <v>91</v>
      </c>
      <c r="AC1073" t="s">
        <v>91</v>
      </c>
      <c r="AD1073" t="s">
        <v>91</v>
      </c>
      <c r="AE1073" t="s">
        <v>91</v>
      </c>
      <c r="AF1073" t="s">
        <v>91</v>
      </c>
      <c r="AG1073" s="1" t="s">
        <v>91</v>
      </c>
      <c r="AH1073" s="1" t="s">
        <v>91</v>
      </c>
      <c r="AI1073" t="s">
        <v>91</v>
      </c>
      <c r="AM1073" t="s">
        <v>91</v>
      </c>
      <c r="AN1073" t="s">
        <v>91</v>
      </c>
      <c r="AO1073" t="s">
        <v>91</v>
      </c>
      <c r="AP1073" t="s">
        <v>91</v>
      </c>
      <c r="AQ1073" s="1" t="s">
        <v>91</v>
      </c>
      <c r="AR1073" s="1" t="s">
        <v>91</v>
      </c>
      <c r="AS1073" s="1" t="s">
        <v>91</v>
      </c>
      <c r="AT1073" s="1" t="s">
        <v>91</v>
      </c>
      <c r="AU1073" s="1" t="s">
        <v>91</v>
      </c>
      <c r="AV1073" t="s">
        <v>91</v>
      </c>
      <c r="AW1073" t="s">
        <v>91</v>
      </c>
      <c r="AX1073" t="s">
        <v>91</v>
      </c>
      <c r="AY1073" t="s">
        <v>91</v>
      </c>
      <c r="AZ1073" t="s">
        <v>91</v>
      </c>
      <c r="BA1073" t="s">
        <v>91</v>
      </c>
      <c r="BB1073" s="2">
        <v>45113.505416666667</v>
      </c>
      <c r="BC1073" s="2"/>
      <c r="BD1073" t="s">
        <v>91</v>
      </c>
      <c r="BF1073" s="1" t="s">
        <v>75</v>
      </c>
      <c r="BI1073" s="1" t="s">
        <v>88</v>
      </c>
      <c r="BJ1073">
        <v>1</v>
      </c>
      <c r="BK1073" s="1" t="s">
        <v>89</v>
      </c>
      <c r="BL1073" t="s">
        <v>91</v>
      </c>
      <c r="BM1073" s="1" t="s">
        <v>91</v>
      </c>
      <c r="BN1073" s="1" t="s">
        <v>91</v>
      </c>
      <c r="BO1073" s="1" t="s">
        <v>91</v>
      </c>
      <c r="BP1073" s="1" t="s">
        <v>91</v>
      </c>
      <c r="BQ1073" t="s">
        <v>91</v>
      </c>
      <c r="BR1073" s="3">
        <v>45113</v>
      </c>
      <c r="BS1073" s="3"/>
      <c r="BT1073" t="s">
        <v>91</v>
      </c>
      <c r="BU1073" t="s">
        <v>91</v>
      </c>
      <c r="BW1073" s="1" t="s">
        <v>470</v>
      </c>
    </row>
    <row r="1074" spans="1:75" hidden="1" x14ac:dyDescent="0.35">
      <c r="A1074">
        <v>157669</v>
      </c>
      <c r="B1074" s="1" t="s">
        <v>75</v>
      </c>
      <c r="C1074">
        <v>80</v>
      </c>
      <c r="D1074">
        <v>11121002</v>
      </c>
      <c r="E1074">
        <v>121002</v>
      </c>
      <c r="F1074" s="1" t="s">
        <v>2915</v>
      </c>
      <c r="G1074" s="1" t="s">
        <v>5956</v>
      </c>
      <c r="H1074">
        <v>0</v>
      </c>
      <c r="I1074" s="1" t="s">
        <v>78</v>
      </c>
      <c r="J1074" s="1" t="s">
        <v>5957</v>
      </c>
      <c r="K1074" s="1" t="s">
        <v>5958</v>
      </c>
      <c r="L1074" t="s">
        <v>91</v>
      </c>
      <c r="M1074" t="s">
        <v>91</v>
      </c>
      <c r="N1074" s="1" t="s">
        <v>5959</v>
      </c>
      <c r="O1074" t="s">
        <v>91</v>
      </c>
      <c r="P1074" s="1" t="s">
        <v>5960</v>
      </c>
      <c r="Q1074" s="1" t="s">
        <v>5961</v>
      </c>
      <c r="R1074" s="1" t="s">
        <v>5916</v>
      </c>
      <c r="S1074">
        <v>1270</v>
      </c>
      <c r="T1074">
        <v>88915000</v>
      </c>
      <c r="U1074" s="1" t="s">
        <v>108</v>
      </c>
      <c r="V1074" s="1" t="s">
        <v>5909</v>
      </c>
      <c r="W1074" s="1" t="s">
        <v>87</v>
      </c>
      <c r="X1074">
        <v>48</v>
      </c>
      <c r="Y1074">
        <v>35231337</v>
      </c>
      <c r="Z1074" t="s">
        <v>91</v>
      </c>
      <c r="AA1074" t="s">
        <v>91</v>
      </c>
      <c r="AB1074" t="s">
        <v>91</v>
      </c>
      <c r="AC1074" t="s">
        <v>91</v>
      </c>
      <c r="AD1074" t="s">
        <v>91</v>
      </c>
      <c r="AE1074" t="s">
        <v>91</v>
      </c>
      <c r="AF1074" t="s">
        <v>91</v>
      </c>
      <c r="AG1074" s="1" t="s">
        <v>91</v>
      </c>
      <c r="AH1074" s="1" t="s">
        <v>91</v>
      </c>
      <c r="AI1074" t="s">
        <v>91</v>
      </c>
      <c r="AM1074" t="s">
        <v>91</v>
      </c>
      <c r="AN1074" t="s">
        <v>91</v>
      </c>
      <c r="AO1074" t="s">
        <v>91</v>
      </c>
      <c r="AP1074" t="s">
        <v>91</v>
      </c>
      <c r="AQ1074" s="1" t="s">
        <v>91</v>
      </c>
      <c r="AR1074" s="1" t="s">
        <v>91</v>
      </c>
      <c r="AS1074" s="1" t="s">
        <v>91</v>
      </c>
      <c r="AT1074" s="1" t="s">
        <v>91</v>
      </c>
      <c r="AU1074" s="1" t="s">
        <v>91</v>
      </c>
      <c r="AV1074" t="s">
        <v>91</v>
      </c>
      <c r="AW1074" t="s">
        <v>91</v>
      </c>
      <c r="AX1074" t="s">
        <v>91</v>
      </c>
      <c r="AY1074" t="s">
        <v>91</v>
      </c>
      <c r="AZ1074" t="s">
        <v>91</v>
      </c>
      <c r="BA1074" t="s">
        <v>91</v>
      </c>
      <c r="BB1074" s="2">
        <v>45118.097175925926</v>
      </c>
      <c r="BC1074" s="2"/>
      <c r="BD1074" t="s">
        <v>91</v>
      </c>
      <c r="BF1074" s="1" t="s">
        <v>75</v>
      </c>
      <c r="BI1074" s="1" t="s">
        <v>88</v>
      </c>
      <c r="BJ1074">
        <v>1</v>
      </c>
      <c r="BK1074" s="1" t="s">
        <v>89</v>
      </c>
      <c r="BL1074" t="s">
        <v>91</v>
      </c>
      <c r="BM1074" s="1" t="s">
        <v>91</v>
      </c>
      <c r="BN1074" s="1" t="s">
        <v>91</v>
      </c>
      <c r="BO1074" s="1" t="s">
        <v>91</v>
      </c>
      <c r="BP1074" s="1" t="s">
        <v>91</v>
      </c>
      <c r="BQ1074" t="s">
        <v>91</v>
      </c>
      <c r="BR1074" s="3">
        <v>45118</v>
      </c>
      <c r="BS1074" s="3"/>
      <c r="BT1074" t="s">
        <v>91</v>
      </c>
      <c r="BU1074" t="s">
        <v>91</v>
      </c>
      <c r="BW1074" s="1" t="s">
        <v>90</v>
      </c>
    </row>
    <row r="1075" spans="1:75" hidden="1" x14ac:dyDescent="0.35">
      <c r="A1075">
        <v>144641</v>
      </c>
      <c r="B1075" s="1" t="s">
        <v>75</v>
      </c>
      <c r="C1075">
        <v>80</v>
      </c>
      <c r="D1075">
        <v>11121002</v>
      </c>
      <c r="E1075">
        <v>121002</v>
      </c>
      <c r="F1075" s="1" t="s">
        <v>2915</v>
      </c>
      <c r="G1075" s="1" t="s">
        <v>5962</v>
      </c>
      <c r="I1075" s="1" t="s">
        <v>78</v>
      </c>
      <c r="J1075" s="1" t="s">
        <v>5963</v>
      </c>
      <c r="K1075" s="1" t="s">
        <v>5964</v>
      </c>
      <c r="L1075" t="s">
        <v>91</v>
      </c>
      <c r="M1075" t="s">
        <v>91</v>
      </c>
      <c r="N1075" s="1" t="s">
        <v>5965</v>
      </c>
      <c r="O1075" t="s">
        <v>91</v>
      </c>
      <c r="P1075" s="1" t="s">
        <v>5966</v>
      </c>
      <c r="Q1075" s="1" t="s">
        <v>5967</v>
      </c>
      <c r="R1075" s="1" t="s">
        <v>91</v>
      </c>
      <c r="S1075">
        <v>1335</v>
      </c>
      <c r="T1075">
        <v>95535000</v>
      </c>
      <c r="U1075" s="1" t="s">
        <v>108</v>
      </c>
      <c r="V1075" s="1" t="s">
        <v>5968</v>
      </c>
      <c r="W1075" s="1" t="s">
        <v>157</v>
      </c>
      <c r="X1075">
        <v>51</v>
      </c>
      <c r="Y1075">
        <v>36661882</v>
      </c>
      <c r="Z1075" t="s">
        <v>91</v>
      </c>
      <c r="AA1075" t="s">
        <v>91</v>
      </c>
      <c r="AB1075" t="s">
        <v>91</v>
      </c>
      <c r="AC1075" t="s">
        <v>91</v>
      </c>
      <c r="AD1075" t="s">
        <v>91</v>
      </c>
      <c r="AE1075" t="s">
        <v>91</v>
      </c>
      <c r="AF1075" t="s">
        <v>91</v>
      </c>
      <c r="AG1075" s="1" t="s">
        <v>91</v>
      </c>
      <c r="AH1075" s="1" t="s">
        <v>91</v>
      </c>
      <c r="AI1075" t="s">
        <v>91</v>
      </c>
      <c r="AM1075" t="s">
        <v>91</v>
      </c>
      <c r="AN1075" t="s">
        <v>91</v>
      </c>
      <c r="AO1075" t="s">
        <v>91</v>
      </c>
      <c r="AP1075" t="s">
        <v>91</v>
      </c>
      <c r="AQ1075" s="1" t="s">
        <v>91</v>
      </c>
      <c r="AR1075" s="1" t="s">
        <v>91</v>
      </c>
      <c r="AS1075" s="1" t="s">
        <v>91</v>
      </c>
      <c r="AT1075" s="1" t="s">
        <v>91</v>
      </c>
      <c r="AU1075" s="1" t="s">
        <v>91</v>
      </c>
      <c r="AV1075" t="s">
        <v>91</v>
      </c>
      <c r="AW1075" t="s">
        <v>91</v>
      </c>
      <c r="AX1075" t="s">
        <v>91</v>
      </c>
      <c r="AY1075" t="s">
        <v>91</v>
      </c>
      <c r="AZ1075" t="s">
        <v>91</v>
      </c>
      <c r="BA1075" t="s">
        <v>91</v>
      </c>
      <c r="BB1075" s="2"/>
      <c r="BC1075" s="2"/>
      <c r="BD1075" t="s">
        <v>91</v>
      </c>
      <c r="BF1075" s="1" t="s">
        <v>75</v>
      </c>
      <c r="BI1075" s="1" t="s">
        <v>88</v>
      </c>
      <c r="BJ1075">
        <v>1</v>
      </c>
      <c r="BK1075" s="1" t="s">
        <v>89</v>
      </c>
      <c r="BL1075" t="s">
        <v>91</v>
      </c>
      <c r="BM1075" s="1" t="s">
        <v>109</v>
      </c>
      <c r="BN1075" s="1" t="s">
        <v>148</v>
      </c>
      <c r="BO1075" s="1" t="s">
        <v>165</v>
      </c>
      <c r="BP1075" s="1" t="s">
        <v>91</v>
      </c>
      <c r="BQ1075" t="s">
        <v>91</v>
      </c>
      <c r="BR1075" s="3"/>
      <c r="BS1075" s="3"/>
      <c r="BT1075" t="s">
        <v>91</v>
      </c>
      <c r="BU1075" t="s">
        <v>91</v>
      </c>
      <c r="BV1075">
        <v>1</v>
      </c>
      <c r="BW1075" s="1" t="s">
        <v>90</v>
      </c>
    </row>
    <row r="1076" spans="1:75" hidden="1" x14ac:dyDescent="0.35">
      <c r="A1076">
        <v>157584</v>
      </c>
      <c r="B1076" s="1" t="s">
        <v>75</v>
      </c>
      <c r="C1076">
        <v>80</v>
      </c>
      <c r="D1076">
        <v>11121002</v>
      </c>
      <c r="E1076">
        <v>121002</v>
      </c>
      <c r="F1076" s="1" t="s">
        <v>2915</v>
      </c>
      <c r="G1076" s="1" t="s">
        <v>5969</v>
      </c>
      <c r="H1076">
        <v>0</v>
      </c>
      <c r="I1076" s="1" t="s">
        <v>78</v>
      </c>
      <c r="J1076" s="1" t="s">
        <v>5970</v>
      </c>
      <c r="K1076" s="1" t="s">
        <v>5971</v>
      </c>
      <c r="L1076" t="s">
        <v>91</v>
      </c>
      <c r="M1076" t="s">
        <v>91</v>
      </c>
      <c r="N1076" s="1" t="s">
        <v>5972</v>
      </c>
      <c r="O1076" t="s">
        <v>91</v>
      </c>
      <c r="P1076" s="1" t="s">
        <v>3142</v>
      </c>
      <c r="Q1076" s="1" t="s">
        <v>3749</v>
      </c>
      <c r="R1076" s="1" t="s">
        <v>91</v>
      </c>
      <c r="S1076">
        <v>1259</v>
      </c>
      <c r="T1076">
        <v>88102000</v>
      </c>
      <c r="U1076" s="1" t="s">
        <v>3015</v>
      </c>
      <c r="V1076" s="1" t="s">
        <v>2958</v>
      </c>
      <c r="W1076" s="1" t="s">
        <v>87</v>
      </c>
      <c r="X1076">
        <v>48</v>
      </c>
      <c r="Y1076">
        <v>30353353</v>
      </c>
      <c r="Z1076" t="s">
        <v>91</v>
      </c>
      <c r="AA1076" t="s">
        <v>91</v>
      </c>
      <c r="AB1076" t="s">
        <v>91</v>
      </c>
      <c r="AC1076" t="s">
        <v>91</v>
      </c>
      <c r="AD1076" t="s">
        <v>91</v>
      </c>
      <c r="AE1076" t="s">
        <v>91</v>
      </c>
      <c r="AF1076" t="s">
        <v>91</v>
      </c>
      <c r="AG1076" s="1" t="s">
        <v>91</v>
      </c>
      <c r="AH1076" s="1" t="s">
        <v>91</v>
      </c>
      <c r="AI1076" t="s">
        <v>91</v>
      </c>
      <c r="AM1076" t="s">
        <v>91</v>
      </c>
      <c r="AN1076" t="s">
        <v>91</v>
      </c>
      <c r="AO1076" t="s">
        <v>91</v>
      </c>
      <c r="AP1076" t="s">
        <v>91</v>
      </c>
      <c r="AQ1076" s="1" t="s">
        <v>91</v>
      </c>
      <c r="AR1076" s="1" t="s">
        <v>91</v>
      </c>
      <c r="AS1076" s="1" t="s">
        <v>91</v>
      </c>
      <c r="AT1076" s="1" t="s">
        <v>91</v>
      </c>
      <c r="AU1076" s="1" t="s">
        <v>91</v>
      </c>
      <c r="AV1076" t="s">
        <v>91</v>
      </c>
      <c r="AW1076" t="s">
        <v>91</v>
      </c>
      <c r="AX1076" t="s">
        <v>91</v>
      </c>
      <c r="AY1076" t="s">
        <v>91</v>
      </c>
      <c r="AZ1076" t="s">
        <v>91</v>
      </c>
      <c r="BA1076" t="s">
        <v>91</v>
      </c>
      <c r="BB1076" s="2">
        <v>45118.097175925926</v>
      </c>
      <c r="BC1076" s="2"/>
      <c r="BD1076" t="s">
        <v>91</v>
      </c>
      <c r="BF1076" s="1" t="s">
        <v>75</v>
      </c>
      <c r="BI1076" s="1" t="s">
        <v>88</v>
      </c>
      <c r="BJ1076">
        <v>1</v>
      </c>
      <c r="BK1076" s="1" t="s">
        <v>89</v>
      </c>
      <c r="BL1076" t="s">
        <v>91</v>
      </c>
      <c r="BM1076" s="1" t="s">
        <v>91</v>
      </c>
      <c r="BN1076" s="1" t="s">
        <v>91</v>
      </c>
      <c r="BO1076" s="1" t="s">
        <v>91</v>
      </c>
      <c r="BP1076" s="1" t="s">
        <v>91</v>
      </c>
      <c r="BQ1076" t="s">
        <v>91</v>
      </c>
      <c r="BR1076" s="3">
        <v>45118</v>
      </c>
      <c r="BS1076" s="3"/>
      <c r="BT1076" t="s">
        <v>91</v>
      </c>
      <c r="BU1076" t="s">
        <v>91</v>
      </c>
      <c r="BW1076" s="1" t="s">
        <v>90</v>
      </c>
    </row>
    <row r="1077" spans="1:75" hidden="1" x14ac:dyDescent="0.35">
      <c r="A1077">
        <v>134239</v>
      </c>
      <c r="B1077" s="1" t="s">
        <v>75</v>
      </c>
      <c r="C1077">
        <v>80</v>
      </c>
      <c r="D1077">
        <v>11121002</v>
      </c>
      <c r="E1077">
        <v>121002</v>
      </c>
      <c r="F1077" s="1" t="s">
        <v>2915</v>
      </c>
      <c r="G1077" s="1" t="s">
        <v>5973</v>
      </c>
      <c r="I1077" s="1" t="s">
        <v>78</v>
      </c>
      <c r="J1077" s="1" t="s">
        <v>5974</v>
      </c>
      <c r="K1077" s="1" t="s">
        <v>5975</v>
      </c>
      <c r="L1077" t="s">
        <v>91</v>
      </c>
      <c r="M1077" t="s">
        <v>91</v>
      </c>
      <c r="N1077" s="1" t="s">
        <v>4295</v>
      </c>
      <c r="O1077" t="s">
        <v>91</v>
      </c>
      <c r="P1077" s="1" t="s">
        <v>2976</v>
      </c>
      <c r="Q1077" s="1" t="s">
        <v>5976</v>
      </c>
      <c r="R1077" s="1" t="s">
        <v>91</v>
      </c>
      <c r="S1077">
        <v>1259</v>
      </c>
      <c r="T1077">
        <v>88180000</v>
      </c>
      <c r="U1077" s="1" t="s">
        <v>108</v>
      </c>
      <c r="V1077" s="1" t="s">
        <v>3599</v>
      </c>
      <c r="W1077" s="1" t="s">
        <v>87</v>
      </c>
      <c r="X1077">
        <v>48</v>
      </c>
      <c r="Y1077">
        <v>32720273</v>
      </c>
      <c r="Z1077" t="s">
        <v>91</v>
      </c>
      <c r="AA1077" t="s">
        <v>91</v>
      </c>
      <c r="AB1077" t="s">
        <v>91</v>
      </c>
      <c r="AC1077" t="s">
        <v>91</v>
      </c>
      <c r="AD1077" t="s">
        <v>91</v>
      </c>
      <c r="AE1077" t="s">
        <v>91</v>
      </c>
      <c r="AF1077" t="s">
        <v>91</v>
      </c>
      <c r="AG1077" s="1" t="s">
        <v>146</v>
      </c>
      <c r="AH1077" s="1" t="s">
        <v>91</v>
      </c>
      <c r="AI1077" t="s">
        <v>91</v>
      </c>
      <c r="AJ1077">
        <v>0</v>
      </c>
      <c r="AK1077">
        <v>0</v>
      </c>
      <c r="AL1077">
        <v>0</v>
      </c>
      <c r="AM1077" t="s">
        <v>91</v>
      </c>
      <c r="AN1077" t="s">
        <v>91</v>
      </c>
      <c r="AO1077" t="s">
        <v>91</v>
      </c>
      <c r="AP1077" t="s">
        <v>91</v>
      </c>
      <c r="AQ1077" s="1" t="s">
        <v>147</v>
      </c>
      <c r="AR1077" s="1" t="s">
        <v>147</v>
      </c>
      <c r="AS1077" s="1" t="s">
        <v>147</v>
      </c>
      <c r="AT1077" s="1" t="s">
        <v>147</v>
      </c>
      <c r="AU1077" s="1" t="s">
        <v>147</v>
      </c>
      <c r="AV1077" t="s">
        <v>91</v>
      </c>
      <c r="AW1077" t="s">
        <v>91</v>
      </c>
      <c r="AX1077" t="s">
        <v>91</v>
      </c>
      <c r="AY1077" t="s">
        <v>91</v>
      </c>
      <c r="AZ1077" t="s">
        <v>91</v>
      </c>
      <c r="BA1077" t="s">
        <v>91</v>
      </c>
      <c r="BB1077" s="2"/>
      <c r="BC1077" s="2">
        <v>44655.374479166669</v>
      </c>
      <c r="BD1077" t="s">
        <v>91</v>
      </c>
      <c r="BF1077" s="1" t="s">
        <v>75</v>
      </c>
      <c r="BG1077">
        <v>0</v>
      </c>
      <c r="BH1077">
        <v>0</v>
      </c>
      <c r="BI1077" s="1" t="s">
        <v>88</v>
      </c>
      <c r="BJ1077">
        <v>1</v>
      </c>
      <c r="BK1077" s="1" t="s">
        <v>89</v>
      </c>
      <c r="BL1077" t="s">
        <v>91</v>
      </c>
      <c r="BM1077" s="1" t="s">
        <v>109</v>
      </c>
      <c r="BN1077" s="1" t="s">
        <v>148</v>
      </c>
      <c r="BO1077" s="1" t="s">
        <v>165</v>
      </c>
      <c r="BP1077" s="1" t="s">
        <v>91</v>
      </c>
      <c r="BQ1077" t="s">
        <v>91</v>
      </c>
      <c r="BR1077" s="3"/>
      <c r="BS1077" s="3">
        <v>44655</v>
      </c>
      <c r="BT1077" t="s">
        <v>91</v>
      </c>
      <c r="BU1077" t="s">
        <v>91</v>
      </c>
      <c r="BV1077">
        <v>9</v>
      </c>
      <c r="BW1077" s="1" t="s">
        <v>1156</v>
      </c>
    </row>
    <row r="1078" spans="1:75" hidden="1" x14ac:dyDescent="0.35">
      <c r="A1078">
        <v>157624</v>
      </c>
      <c r="B1078" s="1" t="s">
        <v>75</v>
      </c>
      <c r="C1078">
        <v>80</v>
      </c>
      <c r="D1078">
        <v>11121002</v>
      </c>
      <c r="E1078">
        <v>121002</v>
      </c>
      <c r="F1078" s="1" t="s">
        <v>2915</v>
      </c>
      <c r="G1078" s="1" t="s">
        <v>5977</v>
      </c>
      <c r="H1078">
        <v>0</v>
      </c>
      <c r="I1078" s="1" t="s">
        <v>78</v>
      </c>
      <c r="J1078" s="1" t="s">
        <v>5978</v>
      </c>
      <c r="K1078" s="1" t="s">
        <v>5979</v>
      </c>
      <c r="L1078" t="s">
        <v>91</v>
      </c>
      <c r="M1078" t="s">
        <v>91</v>
      </c>
      <c r="N1078" s="1" t="s">
        <v>5980</v>
      </c>
      <c r="O1078" t="s">
        <v>91</v>
      </c>
      <c r="P1078" s="1" t="s">
        <v>5721</v>
      </c>
      <c r="Q1078" s="1" t="s">
        <v>5981</v>
      </c>
      <c r="R1078" s="1" t="s">
        <v>833</v>
      </c>
      <c r="S1078">
        <v>1267</v>
      </c>
      <c r="T1078">
        <v>88650000</v>
      </c>
      <c r="U1078" s="1" t="s">
        <v>5723</v>
      </c>
      <c r="V1078" s="1" t="s">
        <v>3352</v>
      </c>
      <c r="W1078" s="1" t="s">
        <v>87</v>
      </c>
      <c r="X1078">
        <v>49</v>
      </c>
      <c r="Y1078">
        <v>32785531</v>
      </c>
      <c r="Z1078" t="s">
        <v>91</v>
      </c>
      <c r="AA1078" t="s">
        <v>91</v>
      </c>
      <c r="AB1078" t="s">
        <v>91</v>
      </c>
      <c r="AC1078" t="s">
        <v>91</v>
      </c>
      <c r="AD1078" t="s">
        <v>91</v>
      </c>
      <c r="AE1078" t="s">
        <v>91</v>
      </c>
      <c r="AF1078" t="s">
        <v>91</v>
      </c>
      <c r="AG1078" s="1" t="s">
        <v>91</v>
      </c>
      <c r="AH1078" s="1" t="s">
        <v>91</v>
      </c>
      <c r="AI1078" t="s">
        <v>91</v>
      </c>
      <c r="AM1078" t="s">
        <v>91</v>
      </c>
      <c r="AN1078" t="s">
        <v>91</v>
      </c>
      <c r="AO1078" t="s">
        <v>91</v>
      </c>
      <c r="AP1078" t="s">
        <v>91</v>
      </c>
      <c r="AQ1078" s="1" t="s">
        <v>91</v>
      </c>
      <c r="AR1078" s="1" t="s">
        <v>91</v>
      </c>
      <c r="AS1078" s="1" t="s">
        <v>91</v>
      </c>
      <c r="AT1078" s="1" t="s">
        <v>91</v>
      </c>
      <c r="AU1078" s="1" t="s">
        <v>91</v>
      </c>
      <c r="AV1078" t="s">
        <v>91</v>
      </c>
      <c r="AW1078" t="s">
        <v>91</v>
      </c>
      <c r="AX1078" t="s">
        <v>91</v>
      </c>
      <c r="AY1078" t="s">
        <v>91</v>
      </c>
      <c r="AZ1078" t="s">
        <v>91</v>
      </c>
      <c r="BA1078" t="s">
        <v>91</v>
      </c>
      <c r="BB1078" s="2">
        <v>45118.097175925926</v>
      </c>
      <c r="BC1078" s="2"/>
      <c r="BD1078" t="s">
        <v>91</v>
      </c>
      <c r="BF1078" s="1" t="s">
        <v>75</v>
      </c>
      <c r="BI1078" s="1" t="s">
        <v>88</v>
      </c>
      <c r="BJ1078">
        <v>1</v>
      </c>
      <c r="BK1078" s="1" t="s">
        <v>89</v>
      </c>
      <c r="BL1078" t="s">
        <v>91</v>
      </c>
      <c r="BM1078" s="1" t="s">
        <v>91</v>
      </c>
      <c r="BN1078" s="1" t="s">
        <v>91</v>
      </c>
      <c r="BO1078" s="1" t="s">
        <v>91</v>
      </c>
      <c r="BP1078" s="1" t="s">
        <v>91</v>
      </c>
      <c r="BQ1078" t="s">
        <v>91</v>
      </c>
      <c r="BR1078" s="3">
        <v>45118</v>
      </c>
      <c r="BS1078" s="3"/>
      <c r="BT1078" t="s">
        <v>91</v>
      </c>
      <c r="BU1078" t="s">
        <v>91</v>
      </c>
      <c r="BW1078" s="1" t="s">
        <v>90</v>
      </c>
    </row>
    <row r="1079" spans="1:75" hidden="1" x14ac:dyDescent="0.35">
      <c r="A1079">
        <v>127489</v>
      </c>
      <c r="B1079" s="1" t="s">
        <v>75</v>
      </c>
      <c r="C1079">
        <v>80</v>
      </c>
      <c r="D1079">
        <v>11121002</v>
      </c>
      <c r="E1079">
        <v>121002</v>
      </c>
      <c r="F1079" s="1" t="s">
        <v>2915</v>
      </c>
      <c r="G1079" s="1" t="s">
        <v>5982</v>
      </c>
      <c r="H1079">
        <v>0</v>
      </c>
      <c r="I1079" s="1" t="s">
        <v>78</v>
      </c>
      <c r="J1079" s="1" t="s">
        <v>5983</v>
      </c>
      <c r="K1079" s="1" t="s">
        <v>5984</v>
      </c>
      <c r="L1079" t="s">
        <v>91</v>
      </c>
      <c r="M1079" t="s">
        <v>91</v>
      </c>
      <c r="N1079" s="1" t="s">
        <v>5985</v>
      </c>
      <c r="O1079" t="s">
        <v>91</v>
      </c>
      <c r="P1079" s="1" t="s">
        <v>5986</v>
      </c>
      <c r="Q1079" s="1" t="s">
        <v>1661</v>
      </c>
      <c r="R1079" s="1" t="s">
        <v>254</v>
      </c>
      <c r="S1079">
        <v>1259</v>
      </c>
      <c r="T1079">
        <v>88101090</v>
      </c>
      <c r="U1079" s="1" t="s">
        <v>3015</v>
      </c>
      <c r="V1079" s="1" t="s">
        <v>3016</v>
      </c>
      <c r="W1079" s="1" t="s">
        <v>87</v>
      </c>
      <c r="X1079">
        <v>48</v>
      </c>
      <c r="Y1079">
        <v>30353033</v>
      </c>
      <c r="Z1079" t="s">
        <v>91</v>
      </c>
      <c r="AA1079" t="s">
        <v>91</v>
      </c>
      <c r="AB1079" t="s">
        <v>91</v>
      </c>
      <c r="AC1079" t="s">
        <v>91</v>
      </c>
      <c r="AD1079" t="s">
        <v>91</v>
      </c>
      <c r="AE1079" t="s">
        <v>91</v>
      </c>
      <c r="AF1079" t="s">
        <v>91</v>
      </c>
      <c r="AG1079" s="1" t="s">
        <v>91</v>
      </c>
      <c r="AH1079" s="1" t="s">
        <v>91</v>
      </c>
      <c r="AI1079" t="s">
        <v>91</v>
      </c>
      <c r="AJ1079">
        <v>0</v>
      </c>
      <c r="AK1079">
        <v>0</v>
      </c>
      <c r="AL1079">
        <v>0</v>
      </c>
      <c r="AM1079" t="s">
        <v>91</v>
      </c>
      <c r="AN1079" t="s">
        <v>91</v>
      </c>
      <c r="AO1079" t="s">
        <v>91</v>
      </c>
      <c r="AP1079" t="s">
        <v>91</v>
      </c>
      <c r="AQ1079" s="1" t="s">
        <v>91</v>
      </c>
      <c r="AR1079" s="1" t="s">
        <v>91</v>
      </c>
      <c r="AS1079" s="1" t="s">
        <v>91</v>
      </c>
      <c r="AT1079" s="1" t="s">
        <v>91</v>
      </c>
      <c r="AU1079" s="1" t="s">
        <v>91</v>
      </c>
      <c r="AV1079" t="s">
        <v>91</v>
      </c>
      <c r="AW1079" t="s">
        <v>91</v>
      </c>
      <c r="AX1079" t="s">
        <v>91</v>
      </c>
      <c r="AY1079" t="s">
        <v>91</v>
      </c>
      <c r="AZ1079" t="s">
        <v>91</v>
      </c>
      <c r="BA1079" t="s">
        <v>91</v>
      </c>
      <c r="BB1079" s="2">
        <v>44111.380995370368</v>
      </c>
      <c r="BC1079" s="2"/>
      <c r="BD1079" t="s">
        <v>91</v>
      </c>
      <c r="BF1079" s="1" t="s">
        <v>75</v>
      </c>
      <c r="BG1079">
        <v>0</v>
      </c>
      <c r="BH1079">
        <v>0</v>
      </c>
      <c r="BI1079" s="1" t="s">
        <v>88</v>
      </c>
      <c r="BJ1079">
        <v>1</v>
      </c>
      <c r="BK1079" s="1" t="s">
        <v>89</v>
      </c>
      <c r="BL1079" t="s">
        <v>91</v>
      </c>
      <c r="BM1079" s="1" t="s">
        <v>109</v>
      </c>
      <c r="BN1079" s="1" t="s">
        <v>110</v>
      </c>
      <c r="BO1079" s="1" t="s">
        <v>180</v>
      </c>
      <c r="BP1079" s="1" t="s">
        <v>91</v>
      </c>
      <c r="BQ1079" t="s">
        <v>91</v>
      </c>
      <c r="BR1079" s="3">
        <v>44111</v>
      </c>
      <c r="BS1079" s="3"/>
      <c r="BT1079" t="s">
        <v>91</v>
      </c>
      <c r="BU1079" t="s">
        <v>91</v>
      </c>
      <c r="BV1079">
        <v>9</v>
      </c>
      <c r="BW1079" s="1" t="s">
        <v>665</v>
      </c>
    </row>
    <row r="1080" spans="1:75" hidden="1" x14ac:dyDescent="0.35">
      <c r="A1080">
        <v>156924</v>
      </c>
      <c r="B1080" s="1" t="s">
        <v>75</v>
      </c>
      <c r="C1080">
        <v>80</v>
      </c>
      <c r="D1080">
        <v>11121002</v>
      </c>
      <c r="E1080">
        <v>121002</v>
      </c>
      <c r="F1080" s="1" t="s">
        <v>2915</v>
      </c>
      <c r="G1080" s="1" t="s">
        <v>5987</v>
      </c>
      <c r="H1080">
        <v>0</v>
      </c>
      <c r="I1080" s="1" t="s">
        <v>78</v>
      </c>
      <c r="J1080" s="1" t="s">
        <v>5988</v>
      </c>
      <c r="K1080" s="1" t="s">
        <v>5989</v>
      </c>
      <c r="L1080" t="s">
        <v>91</v>
      </c>
      <c r="M1080" t="s">
        <v>91</v>
      </c>
      <c r="N1080" s="1" t="s">
        <v>5990</v>
      </c>
      <c r="O1080" t="s">
        <v>91</v>
      </c>
      <c r="P1080" s="1" t="s">
        <v>5991</v>
      </c>
      <c r="Q1080" s="1" t="s">
        <v>2028</v>
      </c>
      <c r="R1080" s="1" t="s">
        <v>236</v>
      </c>
      <c r="S1080">
        <v>1270</v>
      </c>
      <c r="T1080">
        <v>88914000</v>
      </c>
      <c r="U1080" s="1" t="s">
        <v>108</v>
      </c>
      <c r="V1080" s="1" t="s">
        <v>5992</v>
      </c>
      <c r="W1080" s="1" t="s">
        <v>87</v>
      </c>
      <c r="X1080">
        <v>48</v>
      </c>
      <c r="Y1080">
        <v>999645449</v>
      </c>
      <c r="Z1080" t="s">
        <v>91</v>
      </c>
      <c r="AA1080" t="s">
        <v>91</v>
      </c>
      <c r="AB1080" t="s">
        <v>91</v>
      </c>
      <c r="AC1080" t="s">
        <v>91</v>
      </c>
      <c r="AD1080" t="s">
        <v>91</v>
      </c>
      <c r="AE1080" t="s">
        <v>91</v>
      </c>
      <c r="AF1080" t="s">
        <v>91</v>
      </c>
      <c r="AG1080" s="1" t="s">
        <v>91</v>
      </c>
      <c r="AH1080" s="1" t="s">
        <v>91</v>
      </c>
      <c r="AI1080" t="s">
        <v>91</v>
      </c>
      <c r="AM1080" t="s">
        <v>91</v>
      </c>
      <c r="AN1080" t="s">
        <v>91</v>
      </c>
      <c r="AO1080" t="s">
        <v>91</v>
      </c>
      <c r="AP1080" t="s">
        <v>91</v>
      </c>
      <c r="AQ1080" s="1" t="s">
        <v>91</v>
      </c>
      <c r="AR1080" s="1" t="s">
        <v>91</v>
      </c>
      <c r="AS1080" s="1" t="s">
        <v>91</v>
      </c>
      <c r="AT1080" s="1" t="s">
        <v>91</v>
      </c>
      <c r="AU1080" s="1" t="s">
        <v>91</v>
      </c>
      <c r="AV1080" t="s">
        <v>91</v>
      </c>
      <c r="AW1080" t="s">
        <v>91</v>
      </c>
      <c r="AX1080" t="s">
        <v>91</v>
      </c>
      <c r="AY1080" t="s">
        <v>91</v>
      </c>
      <c r="AZ1080" t="s">
        <v>91</v>
      </c>
      <c r="BA1080" t="s">
        <v>91</v>
      </c>
      <c r="BB1080" s="2">
        <v>45113.505416666667</v>
      </c>
      <c r="BC1080" s="2"/>
      <c r="BD1080" t="s">
        <v>91</v>
      </c>
      <c r="BF1080" s="1" t="s">
        <v>75</v>
      </c>
      <c r="BI1080" s="1" t="s">
        <v>88</v>
      </c>
      <c r="BJ1080">
        <v>1</v>
      </c>
      <c r="BK1080" s="1" t="s">
        <v>89</v>
      </c>
      <c r="BL1080" t="s">
        <v>91</v>
      </c>
      <c r="BM1080" s="1" t="s">
        <v>91</v>
      </c>
      <c r="BN1080" s="1" t="s">
        <v>91</v>
      </c>
      <c r="BO1080" s="1" t="s">
        <v>91</v>
      </c>
      <c r="BP1080" s="1" t="s">
        <v>91</v>
      </c>
      <c r="BQ1080" t="s">
        <v>91</v>
      </c>
      <c r="BR1080" s="3">
        <v>45113</v>
      </c>
      <c r="BS1080" s="3"/>
      <c r="BT1080" t="s">
        <v>91</v>
      </c>
      <c r="BU1080" t="s">
        <v>91</v>
      </c>
      <c r="BW1080" s="1" t="s">
        <v>90</v>
      </c>
    </row>
    <row r="1081" spans="1:75" hidden="1" x14ac:dyDescent="0.35">
      <c r="A1081">
        <v>127481</v>
      </c>
      <c r="B1081" s="1" t="s">
        <v>75</v>
      </c>
      <c r="C1081">
        <v>80</v>
      </c>
      <c r="D1081">
        <v>11121002</v>
      </c>
      <c r="E1081">
        <v>121002</v>
      </c>
      <c r="F1081" s="1" t="s">
        <v>2915</v>
      </c>
      <c r="G1081" s="1" t="s">
        <v>5993</v>
      </c>
      <c r="H1081">
        <v>0</v>
      </c>
      <c r="I1081" s="1" t="s">
        <v>78</v>
      </c>
      <c r="J1081" s="1" t="s">
        <v>5994</v>
      </c>
      <c r="K1081" s="1" t="s">
        <v>5995</v>
      </c>
      <c r="L1081" t="s">
        <v>91</v>
      </c>
      <c r="M1081" t="s">
        <v>91</v>
      </c>
      <c r="N1081" s="1" t="s">
        <v>5996</v>
      </c>
      <c r="O1081" t="s">
        <v>91</v>
      </c>
      <c r="P1081" s="1" t="s">
        <v>5997</v>
      </c>
      <c r="Q1081" s="1" t="s">
        <v>3798</v>
      </c>
      <c r="R1081" s="1" t="s">
        <v>254</v>
      </c>
      <c r="S1081">
        <v>1259</v>
      </c>
      <c r="T1081">
        <v>88110080</v>
      </c>
      <c r="U1081" s="1" t="s">
        <v>2950</v>
      </c>
      <c r="V1081" s="1" t="s">
        <v>2958</v>
      </c>
      <c r="W1081" s="1" t="s">
        <v>87</v>
      </c>
      <c r="X1081">
        <v>48</v>
      </c>
      <c r="Y1081">
        <v>32468764</v>
      </c>
      <c r="Z1081" t="s">
        <v>91</v>
      </c>
      <c r="AA1081" t="s">
        <v>91</v>
      </c>
      <c r="AB1081" t="s">
        <v>91</v>
      </c>
      <c r="AC1081" t="s">
        <v>91</v>
      </c>
      <c r="AD1081" t="s">
        <v>91</v>
      </c>
      <c r="AE1081" t="s">
        <v>91</v>
      </c>
      <c r="AF1081" t="s">
        <v>91</v>
      </c>
      <c r="AG1081" s="1" t="s">
        <v>91</v>
      </c>
      <c r="AH1081" s="1" t="s">
        <v>91</v>
      </c>
      <c r="AI1081" t="s">
        <v>91</v>
      </c>
      <c r="AM1081" t="s">
        <v>91</v>
      </c>
      <c r="AN1081" t="s">
        <v>91</v>
      </c>
      <c r="AO1081" t="s">
        <v>91</v>
      </c>
      <c r="AP1081" t="s">
        <v>91</v>
      </c>
      <c r="AQ1081" s="1" t="s">
        <v>91</v>
      </c>
      <c r="AR1081" s="1" t="s">
        <v>91</v>
      </c>
      <c r="AS1081" s="1" t="s">
        <v>91</v>
      </c>
      <c r="AT1081" s="1" t="s">
        <v>91</v>
      </c>
      <c r="AU1081" s="1" t="s">
        <v>91</v>
      </c>
      <c r="AV1081" t="s">
        <v>91</v>
      </c>
      <c r="AW1081" t="s">
        <v>91</v>
      </c>
      <c r="AX1081" t="s">
        <v>91</v>
      </c>
      <c r="AY1081" t="s">
        <v>91</v>
      </c>
      <c r="AZ1081" t="s">
        <v>91</v>
      </c>
      <c r="BA1081" t="s">
        <v>91</v>
      </c>
      <c r="BB1081" s="2">
        <v>44111.380995370368</v>
      </c>
      <c r="BC1081" s="2"/>
      <c r="BD1081" t="s">
        <v>91</v>
      </c>
      <c r="BF1081" s="1" t="s">
        <v>75</v>
      </c>
      <c r="BI1081" s="1" t="s">
        <v>88</v>
      </c>
      <c r="BJ1081">
        <v>1</v>
      </c>
      <c r="BK1081" s="1" t="s">
        <v>89</v>
      </c>
      <c r="BL1081" t="s">
        <v>91</v>
      </c>
      <c r="BM1081" s="1" t="s">
        <v>109</v>
      </c>
      <c r="BN1081" s="1" t="s">
        <v>110</v>
      </c>
      <c r="BO1081" s="1" t="s">
        <v>128</v>
      </c>
      <c r="BP1081" s="1" t="s">
        <v>91</v>
      </c>
      <c r="BQ1081" t="s">
        <v>91</v>
      </c>
      <c r="BR1081" s="3">
        <v>44111</v>
      </c>
      <c r="BS1081" s="3"/>
      <c r="BT1081" t="s">
        <v>91</v>
      </c>
      <c r="BU1081" t="s">
        <v>91</v>
      </c>
      <c r="BV1081">
        <v>9</v>
      </c>
      <c r="BW1081" s="1" t="s">
        <v>90</v>
      </c>
    </row>
    <row r="1082" spans="1:75" hidden="1" x14ac:dyDescent="0.35">
      <c r="A1082">
        <v>157647</v>
      </c>
      <c r="B1082" s="1" t="s">
        <v>75</v>
      </c>
      <c r="C1082">
        <v>80</v>
      </c>
      <c r="D1082">
        <v>11121002</v>
      </c>
      <c r="E1082">
        <v>121002</v>
      </c>
      <c r="F1082" s="1" t="s">
        <v>2915</v>
      </c>
      <c r="G1082" s="1" t="s">
        <v>5998</v>
      </c>
      <c r="H1082">
        <v>0</v>
      </c>
      <c r="I1082" s="1" t="s">
        <v>78</v>
      </c>
      <c r="J1082" s="1" t="s">
        <v>5999</v>
      </c>
      <c r="K1082" s="1" t="s">
        <v>6000</v>
      </c>
      <c r="L1082" t="s">
        <v>91</v>
      </c>
      <c r="M1082" t="s">
        <v>91</v>
      </c>
      <c r="N1082" s="1" t="s">
        <v>6001</v>
      </c>
      <c r="O1082" t="s">
        <v>91</v>
      </c>
      <c r="P1082" s="1" t="s">
        <v>364</v>
      </c>
      <c r="Q1082" s="1" t="s">
        <v>1205</v>
      </c>
      <c r="R1082" s="1" t="s">
        <v>91</v>
      </c>
      <c r="S1082">
        <v>1268</v>
      </c>
      <c r="T1082">
        <v>88750000</v>
      </c>
      <c r="U1082" s="1" t="s">
        <v>108</v>
      </c>
      <c r="V1082" s="1" t="s">
        <v>5656</v>
      </c>
      <c r="W1082" s="1" t="s">
        <v>87</v>
      </c>
      <c r="X1082">
        <v>48</v>
      </c>
      <c r="Y1082">
        <v>31910660</v>
      </c>
      <c r="Z1082" t="s">
        <v>91</v>
      </c>
      <c r="AA1082" t="s">
        <v>91</v>
      </c>
      <c r="AB1082" t="s">
        <v>91</v>
      </c>
      <c r="AC1082" t="s">
        <v>91</v>
      </c>
      <c r="AD1082" t="s">
        <v>91</v>
      </c>
      <c r="AE1082" t="s">
        <v>91</v>
      </c>
      <c r="AF1082" t="s">
        <v>91</v>
      </c>
      <c r="AG1082" s="1" t="s">
        <v>91</v>
      </c>
      <c r="AH1082" s="1" t="s">
        <v>91</v>
      </c>
      <c r="AI1082" t="s">
        <v>91</v>
      </c>
      <c r="AM1082" t="s">
        <v>91</v>
      </c>
      <c r="AN1082" t="s">
        <v>91</v>
      </c>
      <c r="AO1082" t="s">
        <v>91</v>
      </c>
      <c r="AP1082" t="s">
        <v>91</v>
      </c>
      <c r="AQ1082" s="1" t="s">
        <v>91</v>
      </c>
      <c r="AR1082" s="1" t="s">
        <v>91</v>
      </c>
      <c r="AS1082" s="1" t="s">
        <v>91</v>
      </c>
      <c r="AT1082" s="1" t="s">
        <v>91</v>
      </c>
      <c r="AU1082" s="1" t="s">
        <v>91</v>
      </c>
      <c r="AV1082" t="s">
        <v>91</v>
      </c>
      <c r="AW1082" t="s">
        <v>91</v>
      </c>
      <c r="AX1082" t="s">
        <v>91</v>
      </c>
      <c r="AY1082" t="s">
        <v>91</v>
      </c>
      <c r="AZ1082" t="s">
        <v>91</v>
      </c>
      <c r="BA1082" t="s">
        <v>91</v>
      </c>
      <c r="BB1082" s="2">
        <v>45118.097175925926</v>
      </c>
      <c r="BC1082" s="2"/>
      <c r="BD1082" t="s">
        <v>91</v>
      </c>
      <c r="BF1082" s="1" t="s">
        <v>75</v>
      </c>
      <c r="BI1082" s="1" t="s">
        <v>88</v>
      </c>
      <c r="BJ1082">
        <v>1</v>
      </c>
      <c r="BK1082" s="1" t="s">
        <v>89</v>
      </c>
      <c r="BL1082" t="s">
        <v>91</v>
      </c>
      <c r="BM1082" s="1" t="s">
        <v>91</v>
      </c>
      <c r="BN1082" s="1" t="s">
        <v>91</v>
      </c>
      <c r="BO1082" s="1" t="s">
        <v>91</v>
      </c>
      <c r="BP1082" s="1" t="s">
        <v>91</v>
      </c>
      <c r="BQ1082" t="s">
        <v>91</v>
      </c>
      <c r="BR1082" s="3">
        <v>45118</v>
      </c>
      <c r="BS1082" s="3"/>
      <c r="BT1082" t="s">
        <v>91</v>
      </c>
      <c r="BU1082" t="s">
        <v>91</v>
      </c>
      <c r="BW1082" s="1" t="s">
        <v>90</v>
      </c>
    </row>
    <row r="1083" spans="1:75" hidden="1" x14ac:dyDescent="0.35">
      <c r="A1083">
        <v>157650</v>
      </c>
      <c r="B1083" s="1" t="s">
        <v>75</v>
      </c>
      <c r="C1083">
        <v>80</v>
      </c>
      <c r="D1083">
        <v>11121002</v>
      </c>
      <c r="E1083">
        <v>121002</v>
      </c>
      <c r="F1083" s="1" t="s">
        <v>2915</v>
      </c>
      <c r="G1083" s="1" t="s">
        <v>6002</v>
      </c>
      <c r="H1083">
        <v>0</v>
      </c>
      <c r="I1083" s="1" t="s">
        <v>78</v>
      </c>
      <c r="J1083" s="1" t="s">
        <v>6003</v>
      </c>
      <c r="K1083" s="1" t="s">
        <v>6004</v>
      </c>
      <c r="L1083" t="s">
        <v>91</v>
      </c>
      <c r="M1083" t="s">
        <v>91</v>
      </c>
      <c r="N1083" s="1" t="s">
        <v>6005</v>
      </c>
      <c r="O1083" t="s">
        <v>91</v>
      </c>
      <c r="P1083" s="1" t="s">
        <v>1094</v>
      </c>
      <c r="Q1083" s="1" t="s">
        <v>6006</v>
      </c>
      <c r="R1083" s="1" t="s">
        <v>91</v>
      </c>
      <c r="S1083">
        <v>1268</v>
      </c>
      <c r="T1083">
        <v>88780000</v>
      </c>
      <c r="U1083" s="1" t="s">
        <v>108</v>
      </c>
      <c r="V1083" s="1" t="s">
        <v>2929</v>
      </c>
      <c r="W1083" s="1" t="s">
        <v>87</v>
      </c>
      <c r="X1083">
        <v>48</v>
      </c>
      <c r="Y1083">
        <v>33560221</v>
      </c>
      <c r="Z1083" t="s">
        <v>91</v>
      </c>
      <c r="AA1083" t="s">
        <v>91</v>
      </c>
      <c r="AB1083" t="s">
        <v>91</v>
      </c>
      <c r="AC1083" t="s">
        <v>91</v>
      </c>
      <c r="AD1083" t="s">
        <v>91</v>
      </c>
      <c r="AE1083" t="s">
        <v>91</v>
      </c>
      <c r="AF1083" t="s">
        <v>91</v>
      </c>
      <c r="AG1083" s="1" t="s">
        <v>91</v>
      </c>
      <c r="AH1083" s="1" t="s">
        <v>91</v>
      </c>
      <c r="AI1083" t="s">
        <v>91</v>
      </c>
      <c r="AM1083" t="s">
        <v>91</v>
      </c>
      <c r="AN1083" t="s">
        <v>91</v>
      </c>
      <c r="AO1083" t="s">
        <v>91</v>
      </c>
      <c r="AP1083" t="s">
        <v>91</v>
      </c>
      <c r="AQ1083" s="1" t="s">
        <v>91</v>
      </c>
      <c r="AR1083" s="1" t="s">
        <v>91</v>
      </c>
      <c r="AS1083" s="1" t="s">
        <v>91</v>
      </c>
      <c r="AT1083" s="1" t="s">
        <v>91</v>
      </c>
      <c r="AU1083" s="1" t="s">
        <v>91</v>
      </c>
      <c r="AV1083" t="s">
        <v>91</v>
      </c>
      <c r="AW1083" t="s">
        <v>91</v>
      </c>
      <c r="AX1083" t="s">
        <v>91</v>
      </c>
      <c r="AY1083" t="s">
        <v>91</v>
      </c>
      <c r="AZ1083" t="s">
        <v>91</v>
      </c>
      <c r="BA1083" t="s">
        <v>91</v>
      </c>
      <c r="BB1083" s="2">
        <v>45118.097175925926</v>
      </c>
      <c r="BC1083" s="2"/>
      <c r="BD1083" t="s">
        <v>91</v>
      </c>
      <c r="BF1083" s="1" t="s">
        <v>75</v>
      </c>
      <c r="BI1083" s="1" t="s">
        <v>88</v>
      </c>
      <c r="BJ1083">
        <v>1</v>
      </c>
      <c r="BK1083" s="1" t="s">
        <v>89</v>
      </c>
      <c r="BL1083" t="s">
        <v>91</v>
      </c>
      <c r="BM1083" s="1" t="s">
        <v>91</v>
      </c>
      <c r="BN1083" s="1" t="s">
        <v>91</v>
      </c>
      <c r="BO1083" s="1" t="s">
        <v>91</v>
      </c>
      <c r="BP1083" s="1" t="s">
        <v>91</v>
      </c>
      <c r="BQ1083" t="s">
        <v>91</v>
      </c>
      <c r="BR1083" s="3">
        <v>45118</v>
      </c>
      <c r="BS1083" s="3"/>
      <c r="BT1083" t="s">
        <v>91</v>
      </c>
      <c r="BU1083" t="s">
        <v>91</v>
      </c>
      <c r="BW1083" s="1" t="s">
        <v>90</v>
      </c>
    </row>
    <row r="1084" spans="1:75" hidden="1" x14ac:dyDescent="0.35">
      <c r="A1084">
        <v>157651</v>
      </c>
      <c r="B1084" s="1" t="s">
        <v>75</v>
      </c>
      <c r="C1084">
        <v>80</v>
      </c>
      <c r="D1084">
        <v>11121002</v>
      </c>
      <c r="E1084">
        <v>121002</v>
      </c>
      <c r="F1084" s="1" t="s">
        <v>2915</v>
      </c>
      <c r="G1084" s="1" t="s">
        <v>6007</v>
      </c>
      <c r="H1084">
        <v>0</v>
      </c>
      <c r="I1084" s="1" t="s">
        <v>78</v>
      </c>
      <c r="J1084" s="1" t="s">
        <v>6003</v>
      </c>
      <c r="K1084" s="1" t="s">
        <v>6008</v>
      </c>
      <c r="L1084" t="s">
        <v>91</v>
      </c>
      <c r="M1084" t="s">
        <v>91</v>
      </c>
      <c r="N1084" s="1" t="s">
        <v>6009</v>
      </c>
      <c r="O1084" t="s">
        <v>91</v>
      </c>
      <c r="P1084" s="1" t="s">
        <v>4521</v>
      </c>
      <c r="Q1084" s="1" t="s">
        <v>6010</v>
      </c>
      <c r="R1084" s="1" t="s">
        <v>254</v>
      </c>
      <c r="S1084">
        <v>1265</v>
      </c>
      <c r="T1084">
        <v>88495000</v>
      </c>
      <c r="U1084" s="1" t="s">
        <v>108</v>
      </c>
      <c r="V1084" s="1" t="s">
        <v>3853</v>
      </c>
      <c r="W1084" s="1" t="s">
        <v>87</v>
      </c>
      <c r="X1084">
        <v>48</v>
      </c>
      <c r="Y1084">
        <v>34250222</v>
      </c>
      <c r="Z1084" t="s">
        <v>91</v>
      </c>
      <c r="AA1084" t="s">
        <v>91</v>
      </c>
      <c r="AB1084" t="s">
        <v>91</v>
      </c>
      <c r="AC1084" t="s">
        <v>91</v>
      </c>
      <c r="AD1084" t="s">
        <v>91</v>
      </c>
      <c r="AE1084" t="s">
        <v>91</v>
      </c>
      <c r="AF1084" t="s">
        <v>91</v>
      </c>
      <c r="AG1084" s="1" t="s">
        <v>91</v>
      </c>
      <c r="AH1084" s="1" t="s">
        <v>91</v>
      </c>
      <c r="AI1084" t="s">
        <v>91</v>
      </c>
      <c r="AM1084" t="s">
        <v>91</v>
      </c>
      <c r="AN1084" t="s">
        <v>91</v>
      </c>
      <c r="AO1084" t="s">
        <v>91</v>
      </c>
      <c r="AP1084" t="s">
        <v>91</v>
      </c>
      <c r="AQ1084" s="1" t="s">
        <v>91</v>
      </c>
      <c r="AR1084" s="1" t="s">
        <v>91</v>
      </c>
      <c r="AS1084" s="1" t="s">
        <v>91</v>
      </c>
      <c r="AT1084" s="1" t="s">
        <v>91</v>
      </c>
      <c r="AU1084" s="1" t="s">
        <v>91</v>
      </c>
      <c r="AV1084" t="s">
        <v>91</v>
      </c>
      <c r="AW1084" t="s">
        <v>91</v>
      </c>
      <c r="AX1084" t="s">
        <v>91</v>
      </c>
      <c r="AY1084" t="s">
        <v>91</v>
      </c>
      <c r="AZ1084" t="s">
        <v>91</v>
      </c>
      <c r="BA1084" t="s">
        <v>91</v>
      </c>
      <c r="BB1084" s="2">
        <v>45118.097175925926</v>
      </c>
      <c r="BC1084" s="2"/>
      <c r="BD1084" t="s">
        <v>91</v>
      </c>
      <c r="BF1084" s="1" t="s">
        <v>75</v>
      </c>
      <c r="BI1084" s="1" t="s">
        <v>88</v>
      </c>
      <c r="BJ1084">
        <v>1</v>
      </c>
      <c r="BK1084" s="1" t="s">
        <v>89</v>
      </c>
      <c r="BL1084" t="s">
        <v>91</v>
      </c>
      <c r="BM1084" s="1" t="s">
        <v>91</v>
      </c>
      <c r="BN1084" s="1" t="s">
        <v>91</v>
      </c>
      <c r="BO1084" s="1" t="s">
        <v>91</v>
      </c>
      <c r="BP1084" s="1" t="s">
        <v>91</v>
      </c>
      <c r="BQ1084" t="s">
        <v>91</v>
      </c>
      <c r="BR1084" s="3">
        <v>45118</v>
      </c>
      <c r="BS1084" s="3"/>
      <c r="BT1084" t="s">
        <v>91</v>
      </c>
      <c r="BU1084" t="s">
        <v>91</v>
      </c>
      <c r="BW1084" s="1" t="s">
        <v>90</v>
      </c>
    </row>
    <row r="1085" spans="1:75" hidden="1" x14ac:dyDescent="0.35">
      <c r="A1085">
        <v>157654</v>
      </c>
      <c r="B1085" s="1" t="s">
        <v>75</v>
      </c>
      <c r="C1085">
        <v>80</v>
      </c>
      <c r="D1085">
        <v>11121002</v>
      </c>
      <c r="E1085">
        <v>121002</v>
      </c>
      <c r="F1085" s="1" t="s">
        <v>2915</v>
      </c>
      <c r="G1085" s="1" t="s">
        <v>6011</v>
      </c>
      <c r="H1085">
        <v>0</v>
      </c>
      <c r="I1085" s="1" t="s">
        <v>78</v>
      </c>
      <c r="J1085" s="1" t="s">
        <v>6003</v>
      </c>
      <c r="K1085" s="1" t="s">
        <v>6012</v>
      </c>
      <c r="L1085" t="s">
        <v>91</v>
      </c>
      <c r="M1085" t="s">
        <v>91</v>
      </c>
      <c r="N1085" s="1" t="s">
        <v>6013</v>
      </c>
      <c r="O1085" t="s">
        <v>91</v>
      </c>
      <c r="P1085" s="1" t="s">
        <v>3699</v>
      </c>
      <c r="Q1085" s="1" t="s">
        <v>6014</v>
      </c>
      <c r="R1085" s="1" t="s">
        <v>954</v>
      </c>
      <c r="T1085">
        <v>88705000</v>
      </c>
      <c r="U1085" s="1" t="s">
        <v>3760</v>
      </c>
      <c r="V1085" s="1" t="s">
        <v>3900</v>
      </c>
      <c r="W1085" s="1" t="s">
        <v>87</v>
      </c>
      <c r="X1085">
        <v>48</v>
      </c>
      <c r="Y1085">
        <v>31990220</v>
      </c>
      <c r="Z1085" t="s">
        <v>91</v>
      </c>
      <c r="AA1085" t="s">
        <v>91</v>
      </c>
      <c r="AB1085" t="s">
        <v>91</v>
      </c>
      <c r="AC1085" t="s">
        <v>91</v>
      </c>
      <c r="AD1085" t="s">
        <v>91</v>
      </c>
      <c r="AE1085" t="s">
        <v>91</v>
      </c>
      <c r="AF1085" t="s">
        <v>91</v>
      </c>
      <c r="AG1085" s="1" t="s">
        <v>91</v>
      </c>
      <c r="AH1085" s="1" t="s">
        <v>91</v>
      </c>
      <c r="AI1085" t="s">
        <v>91</v>
      </c>
      <c r="AM1085" t="s">
        <v>91</v>
      </c>
      <c r="AN1085" t="s">
        <v>91</v>
      </c>
      <c r="AO1085" t="s">
        <v>91</v>
      </c>
      <c r="AP1085" t="s">
        <v>91</v>
      </c>
      <c r="AQ1085" s="1" t="s">
        <v>91</v>
      </c>
      <c r="AR1085" s="1" t="s">
        <v>91</v>
      </c>
      <c r="AS1085" s="1" t="s">
        <v>91</v>
      </c>
      <c r="AT1085" s="1" t="s">
        <v>91</v>
      </c>
      <c r="AU1085" s="1" t="s">
        <v>91</v>
      </c>
      <c r="AV1085" t="s">
        <v>91</v>
      </c>
      <c r="AW1085" t="s">
        <v>91</v>
      </c>
      <c r="AX1085" t="s">
        <v>91</v>
      </c>
      <c r="AY1085" t="s">
        <v>91</v>
      </c>
      <c r="AZ1085" t="s">
        <v>91</v>
      </c>
      <c r="BA1085" t="s">
        <v>91</v>
      </c>
      <c r="BB1085" s="2">
        <v>45118.097175925926</v>
      </c>
      <c r="BC1085" s="2"/>
      <c r="BD1085" t="s">
        <v>91</v>
      </c>
      <c r="BF1085" s="1" t="s">
        <v>75</v>
      </c>
      <c r="BI1085" s="1" t="s">
        <v>88</v>
      </c>
      <c r="BJ1085">
        <v>1</v>
      </c>
      <c r="BK1085" s="1" t="s">
        <v>89</v>
      </c>
      <c r="BL1085" t="s">
        <v>91</v>
      </c>
      <c r="BM1085" s="1" t="s">
        <v>91</v>
      </c>
      <c r="BN1085" s="1" t="s">
        <v>91</v>
      </c>
      <c r="BO1085" s="1" t="s">
        <v>91</v>
      </c>
      <c r="BP1085" s="1" t="s">
        <v>91</v>
      </c>
      <c r="BQ1085" t="s">
        <v>91</v>
      </c>
      <c r="BR1085" s="3">
        <v>45118</v>
      </c>
      <c r="BS1085" s="3"/>
      <c r="BT1085" t="s">
        <v>91</v>
      </c>
      <c r="BU1085" t="s">
        <v>91</v>
      </c>
      <c r="BW1085" s="1" t="s">
        <v>90</v>
      </c>
    </row>
    <row r="1086" spans="1:75" hidden="1" x14ac:dyDescent="0.35">
      <c r="A1086">
        <v>118683</v>
      </c>
      <c r="B1086" s="1" t="s">
        <v>75</v>
      </c>
      <c r="C1086">
        <v>80</v>
      </c>
      <c r="D1086">
        <v>11121002</v>
      </c>
      <c r="E1086">
        <v>121002</v>
      </c>
      <c r="F1086" s="1" t="s">
        <v>2915</v>
      </c>
      <c r="G1086" s="1" t="s">
        <v>6015</v>
      </c>
      <c r="I1086" s="1" t="s">
        <v>78</v>
      </c>
      <c r="J1086" s="1" t="s">
        <v>6016</v>
      </c>
      <c r="K1086" s="1" t="s">
        <v>6017</v>
      </c>
      <c r="L1086" t="s">
        <v>91</v>
      </c>
      <c r="M1086" t="s">
        <v>91</v>
      </c>
      <c r="N1086" s="1" t="s">
        <v>6018</v>
      </c>
      <c r="O1086" t="s">
        <v>91</v>
      </c>
      <c r="P1086" s="1" t="s">
        <v>990</v>
      </c>
      <c r="Q1086" s="1" t="s">
        <v>6019</v>
      </c>
      <c r="R1086" s="1" t="s">
        <v>6020</v>
      </c>
      <c r="S1086">
        <v>1270</v>
      </c>
      <c r="T1086">
        <v>88930000</v>
      </c>
      <c r="U1086" s="1" t="s">
        <v>108</v>
      </c>
      <c r="V1086" s="1" t="s">
        <v>3089</v>
      </c>
      <c r="W1086" s="1" t="s">
        <v>87</v>
      </c>
      <c r="X1086">
        <v>48</v>
      </c>
      <c r="Y1086">
        <v>35250920</v>
      </c>
      <c r="Z1086" t="s">
        <v>91</v>
      </c>
      <c r="AA1086" t="s">
        <v>91</v>
      </c>
      <c r="AB1086" t="s">
        <v>91</v>
      </c>
      <c r="AC1086" t="s">
        <v>91</v>
      </c>
      <c r="AD1086" t="s">
        <v>91</v>
      </c>
      <c r="AE1086" t="s">
        <v>91</v>
      </c>
      <c r="AF1086" t="s">
        <v>91</v>
      </c>
      <c r="AG1086" s="1" t="s">
        <v>91</v>
      </c>
      <c r="AH1086" s="1" t="s">
        <v>91</v>
      </c>
      <c r="AI1086" t="s">
        <v>91</v>
      </c>
      <c r="AJ1086">
        <v>0</v>
      </c>
      <c r="AK1086">
        <v>0</v>
      </c>
      <c r="AL1086">
        <v>0</v>
      </c>
      <c r="AM1086" t="s">
        <v>91</v>
      </c>
      <c r="AN1086" t="s">
        <v>91</v>
      </c>
      <c r="AO1086" t="s">
        <v>91</v>
      </c>
      <c r="AP1086" t="s">
        <v>91</v>
      </c>
      <c r="AQ1086" s="1" t="s">
        <v>91</v>
      </c>
      <c r="AR1086" s="1" t="s">
        <v>91</v>
      </c>
      <c r="AS1086" s="1" t="s">
        <v>91</v>
      </c>
      <c r="AT1086" s="1" t="s">
        <v>91</v>
      </c>
      <c r="AU1086" s="1" t="s">
        <v>91</v>
      </c>
      <c r="AV1086" t="s">
        <v>91</v>
      </c>
      <c r="AW1086" t="s">
        <v>91</v>
      </c>
      <c r="AX1086" t="s">
        <v>91</v>
      </c>
      <c r="AY1086" t="s">
        <v>91</v>
      </c>
      <c r="AZ1086" t="s">
        <v>91</v>
      </c>
      <c r="BA1086" t="s">
        <v>91</v>
      </c>
      <c r="BB1086" s="2"/>
      <c r="BC1086" s="2"/>
      <c r="BD1086" t="s">
        <v>91</v>
      </c>
      <c r="BF1086" s="1" t="s">
        <v>75</v>
      </c>
      <c r="BG1086">
        <v>0</v>
      </c>
      <c r="BH1086">
        <v>0</v>
      </c>
      <c r="BI1086" s="1" t="s">
        <v>88</v>
      </c>
      <c r="BJ1086">
        <v>1</v>
      </c>
      <c r="BK1086" s="1" t="s">
        <v>89</v>
      </c>
      <c r="BL1086" t="s">
        <v>91</v>
      </c>
      <c r="BM1086" s="1" t="s">
        <v>109</v>
      </c>
      <c r="BN1086" s="1" t="s">
        <v>110</v>
      </c>
      <c r="BO1086" s="1" t="s">
        <v>111</v>
      </c>
      <c r="BP1086" s="1" t="s">
        <v>91</v>
      </c>
      <c r="BQ1086" t="s">
        <v>91</v>
      </c>
      <c r="BR1086" s="3"/>
      <c r="BS1086" s="3"/>
      <c r="BT1086" t="s">
        <v>91</v>
      </c>
      <c r="BU1086" t="s">
        <v>91</v>
      </c>
      <c r="BV1086">
        <v>9</v>
      </c>
      <c r="BW1086" s="1" t="s">
        <v>540</v>
      </c>
    </row>
    <row r="1087" spans="1:75" hidden="1" x14ac:dyDescent="0.35">
      <c r="A1087">
        <v>134225</v>
      </c>
      <c r="B1087" s="1" t="s">
        <v>75</v>
      </c>
      <c r="C1087">
        <v>80</v>
      </c>
      <c r="D1087">
        <v>11121002</v>
      </c>
      <c r="E1087">
        <v>121002</v>
      </c>
      <c r="F1087" s="1" t="s">
        <v>2915</v>
      </c>
      <c r="G1087" s="1" t="s">
        <v>6021</v>
      </c>
      <c r="I1087" s="1" t="s">
        <v>78</v>
      </c>
      <c r="J1087" s="1" t="s">
        <v>6022</v>
      </c>
      <c r="K1087" s="1" t="s">
        <v>6023</v>
      </c>
      <c r="L1087" t="s">
        <v>91</v>
      </c>
      <c r="M1087" t="s">
        <v>91</v>
      </c>
      <c r="N1087" s="1" t="s">
        <v>6024</v>
      </c>
      <c r="O1087" t="s">
        <v>91</v>
      </c>
      <c r="P1087" s="1" t="s">
        <v>6025</v>
      </c>
      <c r="Q1087" s="1" t="s">
        <v>6026</v>
      </c>
      <c r="R1087" s="1" t="s">
        <v>417</v>
      </c>
      <c r="S1087">
        <v>1257</v>
      </c>
      <c r="T1087">
        <v>88062120</v>
      </c>
      <c r="U1087" s="1" t="s">
        <v>3943</v>
      </c>
      <c r="V1087" s="1" t="s">
        <v>3102</v>
      </c>
      <c r="W1087" s="1" t="s">
        <v>87</v>
      </c>
      <c r="X1087">
        <v>48</v>
      </c>
      <c r="Y1087">
        <v>32064402</v>
      </c>
      <c r="Z1087" t="s">
        <v>91</v>
      </c>
      <c r="AA1087" t="s">
        <v>91</v>
      </c>
      <c r="AB1087" t="s">
        <v>91</v>
      </c>
      <c r="AC1087" t="s">
        <v>91</v>
      </c>
      <c r="AD1087" t="s">
        <v>91</v>
      </c>
      <c r="AE1087" t="s">
        <v>91</v>
      </c>
      <c r="AF1087" t="s">
        <v>91</v>
      </c>
      <c r="AG1087" s="1" t="s">
        <v>146</v>
      </c>
      <c r="AH1087" s="1" t="s">
        <v>91</v>
      </c>
      <c r="AI1087" t="s">
        <v>91</v>
      </c>
      <c r="AJ1087">
        <v>0</v>
      </c>
      <c r="AK1087">
        <v>0</v>
      </c>
      <c r="AL1087">
        <v>0</v>
      </c>
      <c r="AM1087" t="s">
        <v>91</v>
      </c>
      <c r="AN1087" t="s">
        <v>91</v>
      </c>
      <c r="AO1087" t="s">
        <v>91</v>
      </c>
      <c r="AP1087" t="s">
        <v>91</v>
      </c>
      <c r="AQ1087" s="1" t="s">
        <v>147</v>
      </c>
      <c r="AR1087" s="1" t="s">
        <v>147</v>
      </c>
      <c r="AS1087" s="1" t="s">
        <v>147</v>
      </c>
      <c r="AT1087" s="1" t="s">
        <v>147</v>
      </c>
      <c r="AU1087" s="1" t="s">
        <v>147</v>
      </c>
      <c r="AV1087" t="s">
        <v>91</v>
      </c>
      <c r="AW1087" t="s">
        <v>91</v>
      </c>
      <c r="AX1087" t="s">
        <v>91</v>
      </c>
      <c r="AY1087" t="s">
        <v>91</v>
      </c>
      <c r="AZ1087" t="s">
        <v>91</v>
      </c>
      <c r="BA1087" t="s">
        <v>91</v>
      </c>
      <c r="BB1087" s="2"/>
      <c r="BC1087" s="2">
        <v>44652.630312499998</v>
      </c>
      <c r="BD1087" t="s">
        <v>91</v>
      </c>
      <c r="BF1087" s="1" t="s">
        <v>75</v>
      </c>
      <c r="BG1087">
        <v>0</v>
      </c>
      <c r="BH1087">
        <v>0</v>
      </c>
      <c r="BI1087" s="1" t="s">
        <v>88</v>
      </c>
      <c r="BJ1087">
        <v>1</v>
      </c>
      <c r="BK1087" s="1" t="s">
        <v>89</v>
      </c>
      <c r="BL1087" t="s">
        <v>91</v>
      </c>
      <c r="BM1087" s="1" t="s">
        <v>329</v>
      </c>
      <c r="BN1087" s="1" t="s">
        <v>110</v>
      </c>
      <c r="BO1087" s="1" t="s">
        <v>165</v>
      </c>
      <c r="BP1087" s="1" t="s">
        <v>91</v>
      </c>
      <c r="BQ1087" t="s">
        <v>91</v>
      </c>
      <c r="BR1087" s="3"/>
      <c r="BS1087" s="3">
        <v>44652</v>
      </c>
      <c r="BT1087" t="s">
        <v>91</v>
      </c>
      <c r="BU1087" t="s">
        <v>91</v>
      </c>
      <c r="BV1087">
        <v>1</v>
      </c>
      <c r="BW1087" s="1" t="s">
        <v>3600</v>
      </c>
    </row>
    <row r="1088" spans="1:75" hidden="1" x14ac:dyDescent="0.35">
      <c r="A1088">
        <v>134315</v>
      </c>
      <c r="B1088" s="1" t="s">
        <v>75</v>
      </c>
      <c r="C1088">
        <v>80</v>
      </c>
      <c r="D1088">
        <v>11121002</v>
      </c>
      <c r="E1088">
        <v>121002</v>
      </c>
      <c r="F1088" s="1" t="s">
        <v>2915</v>
      </c>
      <c r="G1088" s="1" t="s">
        <v>6027</v>
      </c>
      <c r="I1088" s="1" t="s">
        <v>78</v>
      </c>
      <c r="J1088" s="1" t="s">
        <v>6028</v>
      </c>
      <c r="K1088" s="1" t="s">
        <v>6029</v>
      </c>
      <c r="L1088" t="s">
        <v>91</v>
      </c>
      <c r="M1088" t="s">
        <v>91</v>
      </c>
      <c r="N1088" s="1" t="s">
        <v>6024</v>
      </c>
      <c r="O1088" t="s">
        <v>91</v>
      </c>
      <c r="P1088" s="1" t="s">
        <v>4098</v>
      </c>
      <c r="Q1088" s="1" t="s">
        <v>6030</v>
      </c>
      <c r="R1088" s="1" t="s">
        <v>6031</v>
      </c>
      <c r="S1088">
        <v>1257</v>
      </c>
      <c r="T1088">
        <v>88063000</v>
      </c>
      <c r="U1088" s="1" t="s">
        <v>2964</v>
      </c>
      <c r="V1088" s="1" t="s">
        <v>3102</v>
      </c>
      <c r="W1088" s="1" t="s">
        <v>87</v>
      </c>
      <c r="X1088">
        <v>48</v>
      </c>
      <c r="Y1088">
        <v>32090861</v>
      </c>
      <c r="Z1088" t="s">
        <v>91</v>
      </c>
      <c r="AA1088" t="s">
        <v>91</v>
      </c>
      <c r="AB1088" t="s">
        <v>91</v>
      </c>
      <c r="AC1088" t="s">
        <v>91</v>
      </c>
      <c r="AD1088" t="s">
        <v>91</v>
      </c>
      <c r="AE1088" t="s">
        <v>91</v>
      </c>
      <c r="AF1088" t="s">
        <v>91</v>
      </c>
      <c r="AG1088" s="1" t="s">
        <v>146</v>
      </c>
      <c r="AH1088" s="1" t="s">
        <v>91</v>
      </c>
      <c r="AI1088" t="s">
        <v>91</v>
      </c>
      <c r="AJ1088">
        <v>0</v>
      </c>
      <c r="AK1088">
        <v>0</v>
      </c>
      <c r="AL1088">
        <v>0</v>
      </c>
      <c r="AM1088" t="s">
        <v>91</v>
      </c>
      <c r="AN1088" t="s">
        <v>91</v>
      </c>
      <c r="AO1088" t="s">
        <v>91</v>
      </c>
      <c r="AP1088" t="s">
        <v>91</v>
      </c>
      <c r="AQ1088" s="1" t="s">
        <v>147</v>
      </c>
      <c r="AR1088" s="1" t="s">
        <v>147</v>
      </c>
      <c r="AS1088" s="1" t="s">
        <v>147</v>
      </c>
      <c r="AT1088" s="1" t="s">
        <v>147</v>
      </c>
      <c r="AU1088" s="1" t="s">
        <v>147</v>
      </c>
      <c r="AV1088" t="s">
        <v>91</v>
      </c>
      <c r="AW1088" t="s">
        <v>91</v>
      </c>
      <c r="AX1088" t="s">
        <v>91</v>
      </c>
      <c r="AY1088" t="s">
        <v>91</v>
      </c>
      <c r="AZ1088" t="s">
        <v>91</v>
      </c>
      <c r="BA1088" t="s">
        <v>91</v>
      </c>
      <c r="BB1088" s="2"/>
      <c r="BC1088" s="2">
        <v>44613.576307870368</v>
      </c>
      <c r="BD1088" t="s">
        <v>91</v>
      </c>
      <c r="BF1088" s="1" t="s">
        <v>75</v>
      </c>
      <c r="BG1088">
        <v>0</v>
      </c>
      <c r="BH1088">
        <v>0</v>
      </c>
      <c r="BI1088" s="1" t="s">
        <v>88</v>
      </c>
      <c r="BJ1088">
        <v>1</v>
      </c>
      <c r="BK1088" s="1" t="s">
        <v>89</v>
      </c>
      <c r="BL1088" t="s">
        <v>91</v>
      </c>
      <c r="BM1088" s="1" t="s">
        <v>197</v>
      </c>
      <c r="BN1088" s="1" t="s">
        <v>110</v>
      </c>
      <c r="BO1088" s="1" t="s">
        <v>165</v>
      </c>
      <c r="BP1088" s="1" t="s">
        <v>91</v>
      </c>
      <c r="BQ1088" t="s">
        <v>91</v>
      </c>
      <c r="BR1088" s="3"/>
      <c r="BS1088" s="3">
        <v>44613</v>
      </c>
      <c r="BT1088" t="s">
        <v>91</v>
      </c>
      <c r="BU1088" t="s">
        <v>91</v>
      </c>
      <c r="BV1088">
        <v>5</v>
      </c>
      <c r="BW1088" s="1" t="s">
        <v>295</v>
      </c>
    </row>
    <row r="1089" spans="1:75" hidden="1" x14ac:dyDescent="0.35">
      <c r="A1089">
        <v>134310</v>
      </c>
      <c r="B1089" s="1" t="s">
        <v>75</v>
      </c>
      <c r="C1089">
        <v>80</v>
      </c>
      <c r="D1089">
        <v>11121002</v>
      </c>
      <c r="E1089">
        <v>121002</v>
      </c>
      <c r="F1089" s="1" t="s">
        <v>2915</v>
      </c>
      <c r="G1089" s="1" t="s">
        <v>6032</v>
      </c>
      <c r="I1089" s="1" t="s">
        <v>78</v>
      </c>
      <c r="J1089" s="1" t="s">
        <v>6028</v>
      </c>
      <c r="K1089" s="1" t="s">
        <v>6033</v>
      </c>
      <c r="L1089" t="s">
        <v>91</v>
      </c>
      <c r="M1089" t="s">
        <v>91</v>
      </c>
      <c r="N1089" s="1" t="s">
        <v>6034</v>
      </c>
      <c r="O1089" t="s">
        <v>91</v>
      </c>
      <c r="P1089" s="1" t="s">
        <v>4384</v>
      </c>
      <c r="Q1089" s="1" t="s">
        <v>6035</v>
      </c>
      <c r="R1089" s="1" t="s">
        <v>6036</v>
      </c>
      <c r="T1089">
        <v>88036003</v>
      </c>
      <c r="U1089" s="1" t="s">
        <v>4386</v>
      </c>
      <c r="V1089" s="1" t="s">
        <v>3102</v>
      </c>
      <c r="W1089" s="1" t="s">
        <v>87</v>
      </c>
      <c r="X1089">
        <v>48</v>
      </c>
      <c r="Y1089">
        <v>32262159</v>
      </c>
      <c r="Z1089" t="s">
        <v>91</v>
      </c>
      <c r="AA1089" t="s">
        <v>91</v>
      </c>
      <c r="AB1089" t="s">
        <v>91</v>
      </c>
      <c r="AC1089" t="s">
        <v>91</v>
      </c>
      <c r="AD1089" t="s">
        <v>91</v>
      </c>
      <c r="AE1089" t="s">
        <v>91</v>
      </c>
      <c r="AF1089" t="s">
        <v>91</v>
      </c>
      <c r="AG1089" s="1" t="s">
        <v>146</v>
      </c>
      <c r="AH1089" s="1" t="s">
        <v>91</v>
      </c>
      <c r="AI1089" t="s">
        <v>91</v>
      </c>
      <c r="AJ1089">
        <v>0</v>
      </c>
      <c r="AK1089">
        <v>0</v>
      </c>
      <c r="AL1089">
        <v>0</v>
      </c>
      <c r="AM1089" t="s">
        <v>91</v>
      </c>
      <c r="AN1089" t="s">
        <v>91</v>
      </c>
      <c r="AO1089" t="s">
        <v>91</v>
      </c>
      <c r="AP1089" t="s">
        <v>91</v>
      </c>
      <c r="AQ1089" s="1" t="s">
        <v>147</v>
      </c>
      <c r="AR1089" s="1" t="s">
        <v>147</v>
      </c>
      <c r="AS1089" s="1" t="s">
        <v>147</v>
      </c>
      <c r="AT1089" s="1" t="s">
        <v>147</v>
      </c>
      <c r="AU1089" s="1" t="s">
        <v>147</v>
      </c>
      <c r="AV1089" t="s">
        <v>91</v>
      </c>
      <c r="AW1089" t="s">
        <v>91</v>
      </c>
      <c r="AX1089" t="s">
        <v>91</v>
      </c>
      <c r="AY1089" t="s">
        <v>91</v>
      </c>
      <c r="AZ1089" t="s">
        <v>91</v>
      </c>
      <c r="BA1089" t="s">
        <v>91</v>
      </c>
      <c r="BB1089" s="2"/>
      <c r="BC1089" s="2">
        <v>44663.461944444447</v>
      </c>
      <c r="BD1089" t="s">
        <v>91</v>
      </c>
      <c r="BF1089" s="1" t="s">
        <v>75</v>
      </c>
      <c r="BG1089">
        <v>0</v>
      </c>
      <c r="BH1089">
        <v>0</v>
      </c>
      <c r="BI1089" s="1" t="s">
        <v>88</v>
      </c>
      <c r="BJ1089">
        <v>1</v>
      </c>
      <c r="BK1089" s="1" t="s">
        <v>89</v>
      </c>
      <c r="BL1089" t="s">
        <v>91</v>
      </c>
      <c r="BM1089" s="1" t="s">
        <v>329</v>
      </c>
      <c r="BN1089" s="1" t="s">
        <v>110</v>
      </c>
      <c r="BO1089" s="1" t="s">
        <v>165</v>
      </c>
      <c r="BP1089" s="1" t="s">
        <v>91</v>
      </c>
      <c r="BQ1089" t="s">
        <v>91</v>
      </c>
      <c r="BR1089" s="3"/>
      <c r="BS1089" s="3">
        <v>44663</v>
      </c>
      <c r="BT1089" t="s">
        <v>91</v>
      </c>
      <c r="BU1089" t="s">
        <v>91</v>
      </c>
      <c r="BV1089">
        <v>5</v>
      </c>
      <c r="BW1089" s="1" t="s">
        <v>665</v>
      </c>
    </row>
    <row r="1090" spans="1:75" hidden="1" x14ac:dyDescent="0.35">
      <c r="A1090">
        <v>157600</v>
      </c>
      <c r="B1090" s="1" t="s">
        <v>75</v>
      </c>
      <c r="C1090">
        <v>80</v>
      </c>
      <c r="D1090">
        <v>11121002</v>
      </c>
      <c r="E1090">
        <v>121002</v>
      </c>
      <c r="F1090" s="1" t="s">
        <v>2915</v>
      </c>
      <c r="G1090" s="1" t="s">
        <v>6037</v>
      </c>
      <c r="H1090">
        <v>0</v>
      </c>
      <c r="I1090" s="1" t="s">
        <v>78</v>
      </c>
      <c r="J1090" s="1" t="s">
        <v>6038</v>
      </c>
      <c r="K1090" s="1" t="s">
        <v>6039</v>
      </c>
      <c r="L1090" t="s">
        <v>91</v>
      </c>
      <c r="M1090" t="s">
        <v>91</v>
      </c>
      <c r="N1090" s="1" t="s">
        <v>6040</v>
      </c>
      <c r="O1090" t="s">
        <v>91</v>
      </c>
      <c r="P1090" s="1" t="s">
        <v>2326</v>
      </c>
      <c r="Q1090" s="1" t="s">
        <v>6041</v>
      </c>
      <c r="R1090" s="1" t="s">
        <v>91</v>
      </c>
      <c r="S1090">
        <v>1254</v>
      </c>
      <c r="T1090">
        <v>88010030</v>
      </c>
      <c r="U1090" s="1" t="s">
        <v>108</v>
      </c>
      <c r="V1090" s="1" t="s">
        <v>2922</v>
      </c>
      <c r="W1090" s="1" t="s">
        <v>87</v>
      </c>
      <c r="X1090">
        <v>48</v>
      </c>
      <c r="Y1090">
        <v>32228377</v>
      </c>
      <c r="Z1090" t="s">
        <v>91</v>
      </c>
      <c r="AA1090" t="s">
        <v>91</v>
      </c>
      <c r="AB1090" t="s">
        <v>91</v>
      </c>
      <c r="AC1090" t="s">
        <v>91</v>
      </c>
      <c r="AD1090" t="s">
        <v>91</v>
      </c>
      <c r="AE1090" t="s">
        <v>91</v>
      </c>
      <c r="AF1090" t="s">
        <v>91</v>
      </c>
      <c r="AG1090" s="1" t="s">
        <v>91</v>
      </c>
      <c r="AH1090" s="1" t="s">
        <v>91</v>
      </c>
      <c r="AI1090" t="s">
        <v>91</v>
      </c>
      <c r="AM1090" t="s">
        <v>91</v>
      </c>
      <c r="AN1090" t="s">
        <v>91</v>
      </c>
      <c r="AO1090" t="s">
        <v>91</v>
      </c>
      <c r="AP1090" t="s">
        <v>91</v>
      </c>
      <c r="AQ1090" s="1" t="s">
        <v>91</v>
      </c>
      <c r="AR1090" s="1" t="s">
        <v>91</v>
      </c>
      <c r="AS1090" s="1" t="s">
        <v>91</v>
      </c>
      <c r="AT1090" s="1" t="s">
        <v>91</v>
      </c>
      <c r="AU1090" s="1" t="s">
        <v>91</v>
      </c>
      <c r="AV1090" t="s">
        <v>91</v>
      </c>
      <c r="AW1090" t="s">
        <v>91</v>
      </c>
      <c r="AX1090" t="s">
        <v>91</v>
      </c>
      <c r="AY1090" t="s">
        <v>91</v>
      </c>
      <c r="AZ1090" t="s">
        <v>91</v>
      </c>
      <c r="BA1090" t="s">
        <v>91</v>
      </c>
      <c r="BB1090" s="2">
        <v>45118.097175925926</v>
      </c>
      <c r="BC1090" s="2"/>
      <c r="BD1090" t="s">
        <v>91</v>
      </c>
      <c r="BF1090" s="1" t="s">
        <v>75</v>
      </c>
      <c r="BI1090" s="1" t="s">
        <v>88</v>
      </c>
      <c r="BJ1090">
        <v>1</v>
      </c>
      <c r="BK1090" s="1" t="s">
        <v>89</v>
      </c>
      <c r="BL1090" t="s">
        <v>91</v>
      </c>
      <c r="BM1090" s="1" t="s">
        <v>91</v>
      </c>
      <c r="BN1090" s="1" t="s">
        <v>91</v>
      </c>
      <c r="BO1090" s="1" t="s">
        <v>91</v>
      </c>
      <c r="BP1090" s="1" t="s">
        <v>91</v>
      </c>
      <c r="BQ1090" t="s">
        <v>91</v>
      </c>
      <c r="BR1090" s="3">
        <v>45118</v>
      </c>
      <c r="BS1090" s="3"/>
      <c r="BT1090" t="s">
        <v>91</v>
      </c>
      <c r="BU1090" t="s">
        <v>91</v>
      </c>
      <c r="BW1090" s="1" t="s">
        <v>90</v>
      </c>
    </row>
    <row r="1091" spans="1:75" hidden="1" x14ac:dyDescent="0.35">
      <c r="A1091">
        <v>117440</v>
      </c>
      <c r="B1091" s="1" t="s">
        <v>75</v>
      </c>
      <c r="C1091">
        <v>80</v>
      </c>
      <c r="D1091">
        <v>11121002</v>
      </c>
      <c r="E1091">
        <v>121002</v>
      </c>
      <c r="F1091" s="1" t="s">
        <v>2915</v>
      </c>
      <c r="G1091" s="1" t="s">
        <v>6042</v>
      </c>
      <c r="H1091">
        <v>0</v>
      </c>
      <c r="I1091" s="1" t="s">
        <v>78</v>
      </c>
      <c r="J1091" s="1" t="s">
        <v>6043</v>
      </c>
      <c r="K1091" s="1" t="s">
        <v>6044</v>
      </c>
      <c r="L1091" t="s">
        <v>91</v>
      </c>
      <c r="M1091" t="s">
        <v>91</v>
      </c>
      <c r="N1091" s="1" t="s">
        <v>91</v>
      </c>
      <c r="O1091" t="s">
        <v>91</v>
      </c>
      <c r="P1091" s="1" t="s">
        <v>6045</v>
      </c>
      <c r="Q1091" s="1" t="s">
        <v>5648</v>
      </c>
      <c r="R1091" s="1" t="s">
        <v>370</v>
      </c>
      <c r="S1091">
        <v>1270</v>
      </c>
      <c r="T1091">
        <v>88906742</v>
      </c>
      <c r="U1091" s="1" t="s">
        <v>6046</v>
      </c>
      <c r="V1091" s="1" t="s">
        <v>3266</v>
      </c>
      <c r="W1091" s="1" t="s">
        <v>87</v>
      </c>
      <c r="X1091">
        <v>48</v>
      </c>
      <c r="Y1091">
        <v>35231941</v>
      </c>
      <c r="Z1091" t="s">
        <v>91</v>
      </c>
      <c r="AA1091" t="s">
        <v>91</v>
      </c>
      <c r="AB1091" t="s">
        <v>91</v>
      </c>
      <c r="AC1091" t="s">
        <v>91</v>
      </c>
      <c r="AD1091" t="s">
        <v>91</v>
      </c>
      <c r="AE1091" t="s">
        <v>91</v>
      </c>
      <c r="AF1091" t="s">
        <v>91</v>
      </c>
      <c r="AG1091" s="1" t="s">
        <v>91</v>
      </c>
      <c r="AH1091" s="1" t="s">
        <v>91</v>
      </c>
      <c r="AI1091" t="s">
        <v>91</v>
      </c>
      <c r="AJ1091">
        <v>0</v>
      </c>
      <c r="AK1091">
        <v>0</v>
      </c>
      <c r="AL1091">
        <v>0</v>
      </c>
      <c r="AM1091" t="s">
        <v>91</v>
      </c>
      <c r="AN1091" t="s">
        <v>91</v>
      </c>
      <c r="AO1091" t="s">
        <v>91</v>
      </c>
      <c r="AP1091" t="s">
        <v>91</v>
      </c>
      <c r="AQ1091" s="1" t="s">
        <v>91</v>
      </c>
      <c r="AR1091" s="1" t="s">
        <v>91</v>
      </c>
      <c r="AS1091" s="1" t="s">
        <v>91</v>
      </c>
      <c r="AT1091" s="1" t="s">
        <v>91</v>
      </c>
      <c r="AU1091" s="1" t="s">
        <v>91</v>
      </c>
      <c r="AV1091" t="s">
        <v>91</v>
      </c>
      <c r="AW1091" t="s">
        <v>91</v>
      </c>
      <c r="AX1091" t="s">
        <v>91</v>
      </c>
      <c r="AY1091" t="s">
        <v>91</v>
      </c>
      <c r="AZ1091" t="s">
        <v>91</v>
      </c>
      <c r="BA1091" t="s">
        <v>91</v>
      </c>
      <c r="BB1091" s="2">
        <v>44034.350266203706</v>
      </c>
      <c r="BC1091" s="2"/>
      <c r="BD1091" t="s">
        <v>91</v>
      </c>
      <c r="BF1091" s="1" t="s">
        <v>75</v>
      </c>
      <c r="BG1091">
        <v>0</v>
      </c>
      <c r="BH1091">
        <v>0</v>
      </c>
      <c r="BI1091" s="1" t="s">
        <v>88</v>
      </c>
      <c r="BJ1091">
        <v>1</v>
      </c>
      <c r="BK1091" s="1" t="s">
        <v>89</v>
      </c>
      <c r="BL1091" t="s">
        <v>91</v>
      </c>
      <c r="BM1091" s="1" t="s">
        <v>109</v>
      </c>
      <c r="BN1091" s="1" t="s">
        <v>110</v>
      </c>
      <c r="BO1091" s="1" t="s">
        <v>180</v>
      </c>
      <c r="BP1091" s="1" t="s">
        <v>91</v>
      </c>
      <c r="BQ1091" t="s">
        <v>91</v>
      </c>
      <c r="BR1091" s="3">
        <v>44034</v>
      </c>
      <c r="BS1091" s="3"/>
      <c r="BT1091" t="s">
        <v>91</v>
      </c>
      <c r="BU1091" t="s">
        <v>91</v>
      </c>
      <c r="BV1091">
        <v>9</v>
      </c>
      <c r="BW1091" s="1" t="s">
        <v>1899</v>
      </c>
    </row>
    <row r="1092" spans="1:75" hidden="1" x14ac:dyDescent="0.35">
      <c r="A1092">
        <v>144626</v>
      </c>
      <c r="B1092" s="1" t="s">
        <v>75</v>
      </c>
      <c r="C1092">
        <v>80</v>
      </c>
      <c r="D1092">
        <v>11121002</v>
      </c>
      <c r="E1092">
        <v>121002</v>
      </c>
      <c r="F1092" s="1" t="s">
        <v>2915</v>
      </c>
      <c r="G1092" s="1" t="s">
        <v>6047</v>
      </c>
      <c r="I1092" s="1" t="s">
        <v>78</v>
      </c>
      <c r="J1092" s="1" t="s">
        <v>6048</v>
      </c>
      <c r="K1092" s="1" t="s">
        <v>6049</v>
      </c>
      <c r="L1092" t="s">
        <v>91</v>
      </c>
      <c r="M1092" t="s">
        <v>91</v>
      </c>
      <c r="N1092" s="1" t="s">
        <v>3892</v>
      </c>
      <c r="O1092" t="s">
        <v>91</v>
      </c>
      <c r="P1092" s="1" t="s">
        <v>4537</v>
      </c>
      <c r="Q1092" s="1" t="s">
        <v>728</v>
      </c>
      <c r="R1092" s="1" t="s">
        <v>6050</v>
      </c>
      <c r="S1092">
        <v>1269</v>
      </c>
      <c r="T1092">
        <v>88801030</v>
      </c>
      <c r="U1092" s="1" t="s">
        <v>108</v>
      </c>
      <c r="V1092" s="1" t="s">
        <v>3231</v>
      </c>
      <c r="W1092" s="1" t="s">
        <v>87</v>
      </c>
      <c r="X1092">
        <v>48</v>
      </c>
      <c r="Y1092">
        <v>34332894</v>
      </c>
      <c r="Z1092" t="s">
        <v>91</v>
      </c>
      <c r="AA1092" t="s">
        <v>91</v>
      </c>
      <c r="AB1092" t="s">
        <v>91</v>
      </c>
      <c r="AC1092" t="s">
        <v>91</v>
      </c>
      <c r="AD1092" t="s">
        <v>91</v>
      </c>
      <c r="AE1092" t="s">
        <v>91</v>
      </c>
      <c r="AF1092" t="s">
        <v>91</v>
      </c>
      <c r="AG1092" s="1" t="s">
        <v>91</v>
      </c>
      <c r="AH1092" s="1" t="s">
        <v>91</v>
      </c>
      <c r="AI1092" t="s">
        <v>91</v>
      </c>
      <c r="AJ1092">
        <v>2</v>
      </c>
      <c r="AK1092">
        <v>2</v>
      </c>
      <c r="AL1092">
        <v>0</v>
      </c>
      <c r="AM1092" t="s">
        <v>91</v>
      </c>
      <c r="AN1092" t="s">
        <v>91</v>
      </c>
      <c r="AO1092" t="s">
        <v>91</v>
      </c>
      <c r="AP1092" t="s">
        <v>91</v>
      </c>
      <c r="AQ1092" s="1" t="s">
        <v>91</v>
      </c>
      <c r="AR1092" s="1" t="s">
        <v>91</v>
      </c>
      <c r="AS1092" s="1" t="s">
        <v>91</v>
      </c>
      <c r="AT1092" s="1" t="s">
        <v>91</v>
      </c>
      <c r="AU1092" s="1" t="s">
        <v>91</v>
      </c>
      <c r="AV1092" t="s">
        <v>91</v>
      </c>
      <c r="AW1092" t="s">
        <v>91</v>
      </c>
      <c r="AX1092" t="s">
        <v>91</v>
      </c>
      <c r="AY1092" t="s">
        <v>91</v>
      </c>
      <c r="AZ1092" t="s">
        <v>91</v>
      </c>
      <c r="BA1092" t="s">
        <v>91</v>
      </c>
      <c r="BB1092" s="2"/>
      <c r="BC1092" s="2"/>
      <c r="BD1092" t="s">
        <v>91</v>
      </c>
      <c r="BF1092" s="1" t="s">
        <v>75</v>
      </c>
      <c r="BG1092">
        <v>0</v>
      </c>
      <c r="BH1092">
        <v>0</v>
      </c>
      <c r="BI1092" s="1" t="s">
        <v>88</v>
      </c>
      <c r="BJ1092">
        <v>1</v>
      </c>
      <c r="BK1092" s="1" t="s">
        <v>89</v>
      </c>
      <c r="BL1092" t="s">
        <v>91</v>
      </c>
      <c r="BM1092" s="1" t="s">
        <v>109</v>
      </c>
      <c r="BN1092" s="1" t="s">
        <v>110</v>
      </c>
      <c r="BO1092" s="1" t="s">
        <v>165</v>
      </c>
      <c r="BP1092" s="1" t="s">
        <v>1041</v>
      </c>
      <c r="BQ1092" t="s">
        <v>91</v>
      </c>
      <c r="BR1092" s="3"/>
      <c r="BS1092" s="3"/>
      <c r="BT1092" t="s">
        <v>91</v>
      </c>
      <c r="BU1092" t="s">
        <v>91</v>
      </c>
      <c r="BV1092">
        <v>9</v>
      </c>
      <c r="BW1092" s="1" t="s">
        <v>90</v>
      </c>
    </row>
    <row r="1093" spans="1:75" hidden="1" x14ac:dyDescent="0.35">
      <c r="A1093">
        <v>137498</v>
      </c>
      <c r="B1093" s="1" t="s">
        <v>75</v>
      </c>
      <c r="C1093">
        <v>80</v>
      </c>
      <c r="D1093">
        <v>11121002</v>
      </c>
      <c r="E1093">
        <v>121002</v>
      </c>
      <c r="F1093" s="1" t="s">
        <v>2915</v>
      </c>
      <c r="G1093" s="1" t="s">
        <v>6051</v>
      </c>
      <c r="H1093">
        <v>0</v>
      </c>
      <c r="I1093" s="1" t="s">
        <v>78</v>
      </c>
      <c r="J1093" s="1" t="s">
        <v>6052</v>
      </c>
      <c r="K1093" s="1" t="s">
        <v>6053</v>
      </c>
      <c r="L1093" t="s">
        <v>91</v>
      </c>
      <c r="M1093" t="s">
        <v>91</v>
      </c>
      <c r="N1093" s="1" t="s">
        <v>6054</v>
      </c>
      <c r="O1093" t="s">
        <v>91</v>
      </c>
      <c r="P1093" s="1" t="s">
        <v>2999</v>
      </c>
      <c r="Q1093" s="1" t="s">
        <v>3000</v>
      </c>
      <c r="R1093" s="1" t="s">
        <v>6055</v>
      </c>
      <c r="T1093">
        <v>88113835</v>
      </c>
      <c r="U1093" s="1" t="s">
        <v>3001</v>
      </c>
      <c r="V1093" s="1" t="s">
        <v>3016</v>
      </c>
      <c r="W1093" s="1" t="s">
        <v>87</v>
      </c>
      <c r="X1093">
        <v>48</v>
      </c>
      <c r="Y1093">
        <v>999215716</v>
      </c>
      <c r="Z1093" t="s">
        <v>91</v>
      </c>
      <c r="AA1093" t="s">
        <v>91</v>
      </c>
      <c r="AB1093" t="s">
        <v>91</v>
      </c>
      <c r="AC1093" t="s">
        <v>91</v>
      </c>
      <c r="AD1093" t="s">
        <v>91</v>
      </c>
      <c r="AE1093" t="s">
        <v>91</v>
      </c>
      <c r="AF1093" t="s">
        <v>91</v>
      </c>
      <c r="AG1093" s="1" t="s">
        <v>146</v>
      </c>
      <c r="AH1093" s="1" t="s">
        <v>91</v>
      </c>
      <c r="AI1093" t="s">
        <v>91</v>
      </c>
      <c r="AM1093" t="s">
        <v>91</v>
      </c>
      <c r="AN1093" t="s">
        <v>91</v>
      </c>
      <c r="AO1093" t="s">
        <v>91</v>
      </c>
      <c r="AP1093" t="s">
        <v>91</v>
      </c>
      <c r="AQ1093" s="1" t="s">
        <v>147</v>
      </c>
      <c r="AR1093" s="1" t="s">
        <v>147</v>
      </c>
      <c r="AS1093" s="1" t="s">
        <v>147</v>
      </c>
      <c r="AT1093" s="1" t="s">
        <v>147</v>
      </c>
      <c r="AU1093" s="1" t="s">
        <v>147</v>
      </c>
      <c r="AV1093" t="s">
        <v>91</v>
      </c>
      <c r="AW1093" t="s">
        <v>91</v>
      </c>
      <c r="AX1093" t="s">
        <v>91</v>
      </c>
      <c r="AY1093" t="s">
        <v>91</v>
      </c>
      <c r="AZ1093" t="s">
        <v>91</v>
      </c>
      <c r="BA1093" t="s">
        <v>91</v>
      </c>
      <c r="BB1093" s="2">
        <v>44376.418483796297</v>
      </c>
      <c r="BC1093" s="2">
        <v>44670.644583333335</v>
      </c>
      <c r="BD1093" t="s">
        <v>91</v>
      </c>
      <c r="BF1093" s="1" t="s">
        <v>75</v>
      </c>
      <c r="BH1093">
        <v>0</v>
      </c>
      <c r="BI1093" s="1" t="s">
        <v>88</v>
      </c>
      <c r="BJ1093">
        <v>1</v>
      </c>
      <c r="BK1093" s="1" t="s">
        <v>89</v>
      </c>
      <c r="BL1093" t="s">
        <v>91</v>
      </c>
      <c r="BM1093" s="1" t="s">
        <v>109</v>
      </c>
      <c r="BN1093" s="1" t="s">
        <v>110</v>
      </c>
      <c r="BO1093" s="1" t="s">
        <v>91</v>
      </c>
      <c r="BP1093" s="1" t="s">
        <v>91</v>
      </c>
      <c r="BQ1093" t="s">
        <v>91</v>
      </c>
      <c r="BR1093" s="3">
        <v>44376</v>
      </c>
      <c r="BS1093" s="3">
        <v>44670</v>
      </c>
      <c r="BT1093" t="s">
        <v>91</v>
      </c>
      <c r="BU1093" t="s">
        <v>91</v>
      </c>
      <c r="BW1093" s="1" t="s">
        <v>1254</v>
      </c>
    </row>
    <row r="1094" spans="1:75" hidden="1" x14ac:dyDescent="0.35">
      <c r="A1094">
        <v>134404</v>
      </c>
      <c r="B1094" s="1" t="s">
        <v>75</v>
      </c>
      <c r="C1094">
        <v>80</v>
      </c>
      <c r="D1094">
        <v>11121002</v>
      </c>
      <c r="E1094">
        <v>121002</v>
      </c>
      <c r="F1094" s="1" t="s">
        <v>2915</v>
      </c>
      <c r="G1094" s="1" t="s">
        <v>6056</v>
      </c>
      <c r="I1094" s="1" t="s">
        <v>78</v>
      </c>
      <c r="J1094" s="1" t="s">
        <v>6057</v>
      </c>
      <c r="K1094" s="1" t="s">
        <v>6058</v>
      </c>
      <c r="L1094" t="s">
        <v>91</v>
      </c>
      <c r="M1094" t="s">
        <v>91</v>
      </c>
      <c r="N1094" s="1" t="s">
        <v>5885</v>
      </c>
      <c r="O1094" t="s">
        <v>91</v>
      </c>
      <c r="P1094" s="1" t="s">
        <v>3722</v>
      </c>
      <c r="Q1094" s="1" t="s">
        <v>6059</v>
      </c>
      <c r="R1094" s="1" t="s">
        <v>173</v>
      </c>
      <c r="S1094">
        <v>1259</v>
      </c>
      <c r="T1094">
        <v>88131000</v>
      </c>
      <c r="U1094" s="1" t="s">
        <v>108</v>
      </c>
      <c r="V1094" s="1" t="s">
        <v>3165</v>
      </c>
      <c r="W1094" s="1" t="s">
        <v>87</v>
      </c>
      <c r="X1094">
        <v>48</v>
      </c>
      <c r="Y1094">
        <v>37711994</v>
      </c>
      <c r="Z1094" t="s">
        <v>91</v>
      </c>
      <c r="AA1094" t="s">
        <v>91</v>
      </c>
      <c r="AB1094" t="s">
        <v>91</v>
      </c>
      <c r="AC1094" t="s">
        <v>91</v>
      </c>
      <c r="AD1094" t="s">
        <v>91</v>
      </c>
      <c r="AE1094" t="s">
        <v>91</v>
      </c>
      <c r="AF1094" t="s">
        <v>91</v>
      </c>
      <c r="AG1094" s="1" t="s">
        <v>146</v>
      </c>
      <c r="AH1094" s="1" t="s">
        <v>91</v>
      </c>
      <c r="AI1094" t="s">
        <v>91</v>
      </c>
      <c r="AM1094" t="s">
        <v>91</v>
      </c>
      <c r="AN1094" t="s">
        <v>91</v>
      </c>
      <c r="AO1094" t="s">
        <v>91</v>
      </c>
      <c r="AP1094" t="s">
        <v>91</v>
      </c>
      <c r="AQ1094" s="1" t="s">
        <v>147</v>
      </c>
      <c r="AR1094" s="1" t="s">
        <v>147</v>
      </c>
      <c r="AS1094" s="1" t="s">
        <v>147</v>
      </c>
      <c r="AT1094" s="1" t="s">
        <v>147</v>
      </c>
      <c r="AU1094" s="1" t="s">
        <v>147</v>
      </c>
      <c r="AV1094" t="s">
        <v>91</v>
      </c>
      <c r="AW1094" t="s">
        <v>91</v>
      </c>
      <c r="AX1094" t="s">
        <v>91</v>
      </c>
      <c r="AY1094" t="s">
        <v>91</v>
      </c>
      <c r="AZ1094" t="s">
        <v>91</v>
      </c>
      <c r="BA1094" t="s">
        <v>91</v>
      </c>
      <c r="BB1094" s="2"/>
      <c r="BC1094" s="2">
        <v>44673.509317129632</v>
      </c>
      <c r="BD1094" t="s">
        <v>91</v>
      </c>
      <c r="BF1094" s="1" t="s">
        <v>75</v>
      </c>
      <c r="BH1094">
        <v>0</v>
      </c>
      <c r="BI1094" s="1" t="s">
        <v>88</v>
      </c>
      <c r="BJ1094">
        <v>1</v>
      </c>
      <c r="BK1094" s="1" t="s">
        <v>89</v>
      </c>
      <c r="BL1094" t="s">
        <v>91</v>
      </c>
      <c r="BM1094" s="1" t="s">
        <v>109</v>
      </c>
      <c r="BN1094" s="1" t="s">
        <v>110</v>
      </c>
      <c r="BO1094" s="1" t="s">
        <v>111</v>
      </c>
      <c r="BP1094" s="1" t="s">
        <v>91</v>
      </c>
      <c r="BQ1094" t="s">
        <v>91</v>
      </c>
      <c r="BR1094" s="3"/>
      <c r="BS1094" s="3">
        <v>44673</v>
      </c>
      <c r="BT1094" t="s">
        <v>91</v>
      </c>
      <c r="BU1094" t="s">
        <v>91</v>
      </c>
      <c r="BV1094">
        <v>8</v>
      </c>
      <c r="BW1094" s="1" t="s">
        <v>149</v>
      </c>
    </row>
    <row r="1095" spans="1:75" hidden="1" x14ac:dyDescent="0.35">
      <c r="A1095">
        <v>140102</v>
      </c>
      <c r="B1095" s="1" t="s">
        <v>75</v>
      </c>
      <c r="C1095">
        <v>80</v>
      </c>
      <c r="D1095">
        <v>11121002</v>
      </c>
      <c r="E1095">
        <v>121002</v>
      </c>
      <c r="F1095" s="1" t="s">
        <v>2915</v>
      </c>
      <c r="G1095" s="1" t="s">
        <v>6060</v>
      </c>
      <c r="H1095">
        <v>0</v>
      </c>
      <c r="I1095" s="1" t="s">
        <v>78</v>
      </c>
      <c r="J1095" s="1" t="s">
        <v>6061</v>
      </c>
      <c r="K1095" s="1" t="s">
        <v>6062</v>
      </c>
      <c r="L1095" t="s">
        <v>91</v>
      </c>
      <c r="M1095" t="s">
        <v>91</v>
      </c>
      <c r="N1095" s="1" t="s">
        <v>6063</v>
      </c>
      <c r="O1095" t="s">
        <v>91</v>
      </c>
      <c r="P1095" s="1" t="s">
        <v>3790</v>
      </c>
      <c r="Q1095" s="1" t="s">
        <v>1299</v>
      </c>
      <c r="R1095" s="1" t="s">
        <v>91</v>
      </c>
      <c r="S1095">
        <v>1259</v>
      </c>
      <c r="T1095">
        <v>88135100</v>
      </c>
      <c r="U1095" s="1" t="s">
        <v>3792</v>
      </c>
      <c r="V1095" s="1" t="s">
        <v>3165</v>
      </c>
      <c r="W1095" s="1" t="s">
        <v>87</v>
      </c>
      <c r="X1095">
        <v>48</v>
      </c>
      <c r="Y1095">
        <v>999130289</v>
      </c>
      <c r="Z1095" t="s">
        <v>91</v>
      </c>
      <c r="AA1095" t="s">
        <v>91</v>
      </c>
      <c r="AB1095" t="s">
        <v>91</v>
      </c>
      <c r="AC1095" t="s">
        <v>91</v>
      </c>
      <c r="AD1095" t="s">
        <v>91</v>
      </c>
      <c r="AE1095" t="s">
        <v>91</v>
      </c>
      <c r="AF1095" t="s">
        <v>91</v>
      </c>
      <c r="AG1095" s="1" t="s">
        <v>146</v>
      </c>
      <c r="AH1095" s="1" t="s">
        <v>91</v>
      </c>
      <c r="AI1095" t="s">
        <v>91</v>
      </c>
      <c r="AM1095" t="s">
        <v>91</v>
      </c>
      <c r="AN1095" t="s">
        <v>91</v>
      </c>
      <c r="AO1095" t="s">
        <v>91</v>
      </c>
      <c r="AP1095" t="s">
        <v>91</v>
      </c>
      <c r="AQ1095" s="1" t="s">
        <v>147</v>
      </c>
      <c r="AR1095" s="1" t="s">
        <v>147</v>
      </c>
      <c r="AS1095" s="1" t="s">
        <v>147</v>
      </c>
      <c r="AT1095" s="1" t="s">
        <v>147</v>
      </c>
      <c r="AU1095" s="1" t="s">
        <v>147</v>
      </c>
      <c r="AV1095" t="s">
        <v>91</v>
      </c>
      <c r="AW1095" t="s">
        <v>91</v>
      </c>
      <c r="AX1095" t="s">
        <v>91</v>
      </c>
      <c r="AY1095" t="s">
        <v>91</v>
      </c>
      <c r="AZ1095" t="s">
        <v>91</v>
      </c>
      <c r="BA1095" t="s">
        <v>91</v>
      </c>
      <c r="BB1095" s="2">
        <v>44445.808506944442</v>
      </c>
      <c r="BC1095" s="2">
        <v>44683.416678240741</v>
      </c>
      <c r="BD1095" t="s">
        <v>91</v>
      </c>
      <c r="BF1095" s="1" t="s">
        <v>75</v>
      </c>
      <c r="BH1095">
        <v>0</v>
      </c>
      <c r="BI1095" s="1" t="s">
        <v>88</v>
      </c>
      <c r="BJ1095">
        <v>1</v>
      </c>
      <c r="BK1095" s="1" t="s">
        <v>89</v>
      </c>
      <c r="BL1095" t="s">
        <v>91</v>
      </c>
      <c r="BM1095" s="1" t="s">
        <v>109</v>
      </c>
      <c r="BN1095" s="1" t="s">
        <v>110</v>
      </c>
      <c r="BO1095" s="1" t="s">
        <v>128</v>
      </c>
      <c r="BP1095" s="1" t="s">
        <v>91</v>
      </c>
      <c r="BQ1095" t="s">
        <v>91</v>
      </c>
      <c r="BR1095" s="3">
        <v>44445</v>
      </c>
      <c r="BS1095" s="3">
        <v>44683</v>
      </c>
      <c r="BT1095" t="s">
        <v>91</v>
      </c>
      <c r="BU1095" t="s">
        <v>91</v>
      </c>
      <c r="BW1095" s="1" t="s">
        <v>665</v>
      </c>
    </row>
    <row r="1096" spans="1:75" hidden="1" x14ac:dyDescent="0.35">
      <c r="A1096">
        <v>156935</v>
      </c>
      <c r="B1096" s="1" t="s">
        <v>75</v>
      </c>
      <c r="C1096">
        <v>80</v>
      </c>
      <c r="D1096">
        <v>11121002</v>
      </c>
      <c r="E1096">
        <v>121002</v>
      </c>
      <c r="F1096" s="1" t="s">
        <v>2915</v>
      </c>
      <c r="G1096" s="1" t="s">
        <v>6064</v>
      </c>
      <c r="H1096">
        <v>0</v>
      </c>
      <c r="I1096" s="1" t="s">
        <v>78</v>
      </c>
      <c r="J1096" s="1" t="s">
        <v>6065</v>
      </c>
      <c r="K1096" s="1" t="s">
        <v>6066</v>
      </c>
      <c r="L1096" t="s">
        <v>91</v>
      </c>
      <c r="M1096" t="s">
        <v>91</v>
      </c>
      <c r="N1096" s="1" t="s">
        <v>91</v>
      </c>
      <c r="O1096" t="s">
        <v>91</v>
      </c>
      <c r="P1096" s="1" t="s">
        <v>6067</v>
      </c>
      <c r="Q1096" s="1" t="s">
        <v>6068</v>
      </c>
      <c r="R1096" s="1" t="s">
        <v>1411</v>
      </c>
      <c r="S1096">
        <v>1268</v>
      </c>
      <c r="T1096">
        <v>88790000</v>
      </c>
      <c r="U1096" s="1" t="s">
        <v>108</v>
      </c>
      <c r="V1096" s="1" t="s">
        <v>2971</v>
      </c>
      <c r="W1096" s="1" t="s">
        <v>87</v>
      </c>
      <c r="X1096">
        <v>48</v>
      </c>
      <c r="Y1096">
        <v>998657544</v>
      </c>
      <c r="Z1096" t="s">
        <v>91</v>
      </c>
      <c r="AA1096" t="s">
        <v>91</v>
      </c>
      <c r="AB1096" t="s">
        <v>91</v>
      </c>
      <c r="AC1096" t="s">
        <v>91</v>
      </c>
      <c r="AD1096" t="s">
        <v>91</v>
      </c>
      <c r="AE1096" t="s">
        <v>91</v>
      </c>
      <c r="AF1096" t="s">
        <v>91</v>
      </c>
      <c r="AG1096" s="1" t="s">
        <v>91</v>
      </c>
      <c r="AH1096" s="1" t="s">
        <v>91</v>
      </c>
      <c r="AI1096" t="s">
        <v>91</v>
      </c>
      <c r="AM1096" t="s">
        <v>91</v>
      </c>
      <c r="AN1096" t="s">
        <v>91</v>
      </c>
      <c r="AO1096" t="s">
        <v>91</v>
      </c>
      <c r="AP1096" t="s">
        <v>91</v>
      </c>
      <c r="AQ1096" s="1" t="s">
        <v>91</v>
      </c>
      <c r="AR1096" s="1" t="s">
        <v>91</v>
      </c>
      <c r="AS1096" s="1" t="s">
        <v>91</v>
      </c>
      <c r="AT1096" s="1" t="s">
        <v>91</v>
      </c>
      <c r="AU1096" s="1" t="s">
        <v>91</v>
      </c>
      <c r="AV1096" t="s">
        <v>91</v>
      </c>
      <c r="AW1096" t="s">
        <v>91</v>
      </c>
      <c r="AX1096" t="s">
        <v>91</v>
      </c>
      <c r="AY1096" t="s">
        <v>91</v>
      </c>
      <c r="AZ1096" t="s">
        <v>91</v>
      </c>
      <c r="BA1096" t="s">
        <v>91</v>
      </c>
      <c r="BB1096" s="2">
        <v>45113.505416666667</v>
      </c>
      <c r="BC1096" s="2"/>
      <c r="BD1096" t="s">
        <v>91</v>
      </c>
      <c r="BF1096" s="1" t="s">
        <v>75</v>
      </c>
      <c r="BI1096" s="1" t="s">
        <v>88</v>
      </c>
      <c r="BJ1096">
        <v>1</v>
      </c>
      <c r="BK1096" s="1" t="s">
        <v>89</v>
      </c>
      <c r="BL1096" t="s">
        <v>91</v>
      </c>
      <c r="BM1096" s="1" t="s">
        <v>91</v>
      </c>
      <c r="BN1096" s="1" t="s">
        <v>91</v>
      </c>
      <c r="BO1096" s="1" t="s">
        <v>91</v>
      </c>
      <c r="BP1096" s="1" t="s">
        <v>91</v>
      </c>
      <c r="BQ1096" t="s">
        <v>91</v>
      </c>
      <c r="BR1096" s="3">
        <v>45113</v>
      </c>
      <c r="BS1096" s="3"/>
      <c r="BT1096" t="s">
        <v>91</v>
      </c>
      <c r="BU1096" t="s">
        <v>91</v>
      </c>
      <c r="BW1096" s="1" t="s">
        <v>90</v>
      </c>
    </row>
    <row r="1097" spans="1:75" hidden="1" x14ac:dyDescent="0.35">
      <c r="A1097">
        <v>156928</v>
      </c>
      <c r="B1097" s="1" t="s">
        <v>75</v>
      </c>
      <c r="C1097">
        <v>80</v>
      </c>
      <c r="D1097">
        <v>11121002</v>
      </c>
      <c r="E1097">
        <v>121002</v>
      </c>
      <c r="F1097" s="1" t="s">
        <v>2915</v>
      </c>
      <c r="G1097" s="1" t="s">
        <v>6069</v>
      </c>
      <c r="H1097">
        <v>0</v>
      </c>
      <c r="I1097" s="1" t="s">
        <v>78</v>
      </c>
      <c r="J1097" s="1" t="s">
        <v>6070</v>
      </c>
      <c r="K1097" s="1" t="s">
        <v>6071</v>
      </c>
      <c r="L1097" t="s">
        <v>91</v>
      </c>
      <c r="M1097" t="s">
        <v>91</v>
      </c>
      <c r="N1097" s="1" t="s">
        <v>6072</v>
      </c>
      <c r="O1097" t="s">
        <v>91</v>
      </c>
      <c r="P1097" s="1" t="s">
        <v>6073</v>
      </c>
      <c r="Q1097" s="1" t="s">
        <v>6074</v>
      </c>
      <c r="R1097" s="1" t="s">
        <v>370</v>
      </c>
      <c r="S1097">
        <v>1268</v>
      </c>
      <c r="T1097">
        <v>88702700</v>
      </c>
      <c r="U1097" s="1" t="s">
        <v>6075</v>
      </c>
      <c r="V1097" s="1" t="s">
        <v>3900</v>
      </c>
      <c r="W1097" s="1" t="s">
        <v>87</v>
      </c>
      <c r="X1097">
        <v>48</v>
      </c>
      <c r="Y1097">
        <v>36328290</v>
      </c>
      <c r="Z1097" t="s">
        <v>91</v>
      </c>
      <c r="AA1097" t="s">
        <v>91</v>
      </c>
      <c r="AB1097" t="s">
        <v>91</v>
      </c>
      <c r="AC1097" t="s">
        <v>91</v>
      </c>
      <c r="AD1097" t="s">
        <v>91</v>
      </c>
      <c r="AE1097" t="s">
        <v>91</v>
      </c>
      <c r="AF1097" t="s">
        <v>91</v>
      </c>
      <c r="AG1097" s="1" t="s">
        <v>91</v>
      </c>
      <c r="AH1097" s="1" t="s">
        <v>91</v>
      </c>
      <c r="AI1097" t="s">
        <v>91</v>
      </c>
      <c r="AM1097" t="s">
        <v>91</v>
      </c>
      <c r="AN1097" t="s">
        <v>91</v>
      </c>
      <c r="AO1097" t="s">
        <v>91</v>
      </c>
      <c r="AP1097" t="s">
        <v>91</v>
      </c>
      <c r="AQ1097" s="1" t="s">
        <v>91</v>
      </c>
      <c r="AR1097" s="1" t="s">
        <v>91</v>
      </c>
      <c r="AS1097" s="1" t="s">
        <v>91</v>
      </c>
      <c r="AT1097" s="1" t="s">
        <v>91</v>
      </c>
      <c r="AU1097" s="1" t="s">
        <v>91</v>
      </c>
      <c r="AV1097" t="s">
        <v>91</v>
      </c>
      <c r="AW1097" t="s">
        <v>91</v>
      </c>
      <c r="AX1097" t="s">
        <v>91</v>
      </c>
      <c r="AY1097" t="s">
        <v>91</v>
      </c>
      <c r="AZ1097" t="s">
        <v>91</v>
      </c>
      <c r="BA1097" t="s">
        <v>91</v>
      </c>
      <c r="BB1097" s="2">
        <v>45113.505416666667</v>
      </c>
      <c r="BC1097" s="2"/>
      <c r="BD1097" t="s">
        <v>91</v>
      </c>
      <c r="BF1097" s="1" t="s">
        <v>75</v>
      </c>
      <c r="BI1097" s="1" t="s">
        <v>88</v>
      </c>
      <c r="BJ1097">
        <v>1</v>
      </c>
      <c r="BK1097" s="1" t="s">
        <v>89</v>
      </c>
      <c r="BL1097" t="s">
        <v>91</v>
      </c>
      <c r="BM1097" s="1" t="s">
        <v>91</v>
      </c>
      <c r="BN1097" s="1" t="s">
        <v>91</v>
      </c>
      <c r="BO1097" s="1" t="s">
        <v>91</v>
      </c>
      <c r="BP1097" s="1" t="s">
        <v>91</v>
      </c>
      <c r="BQ1097" t="s">
        <v>91</v>
      </c>
      <c r="BR1097" s="3">
        <v>45113</v>
      </c>
      <c r="BS1097" s="3"/>
      <c r="BT1097" t="s">
        <v>91</v>
      </c>
      <c r="BU1097" t="s">
        <v>91</v>
      </c>
      <c r="BW1097" s="1" t="s">
        <v>90</v>
      </c>
    </row>
    <row r="1098" spans="1:75" hidden="1" x14ac:dyDescent="0.35">
      <c r="A1098">
        <v>127443</v>
      </c>
      <c r="B1098" s="1" t="s">
        <v>75</v>
      </c>
      <c r="C1098">
        <v>80</v>
      </c>
      <c r="D1098">
        <v>11121002</v>
      </c>
      <c r="E1098">
        <v>121002</v>
      </c>
      <c r="F1098" s="1" t="s">
        <v>2915</v>
      </c>
      <c r="G1098" s="1" t="s">
        <v>6076</v>
      </c>
      <c r="H1098">
        <v>0</v>
      </c>
      <c r="I1098" s="1" t="s">
        <v>78</v>
      </c>
      <c r="J1098" s="1" t="s">
        <v>6077</v>
      </c>
      <c r="K1098" s="1" t="s">
        <v>6078</v>
      </c>
      <c r="L1098" t="s">
        <v>91</v>
      </c>
      <c r="M1098" t="s">
        <v>91</v>
      </c>
      <c r="N1098" s="1" t="s">
        <v>6079</v>
      </c>
      <c r="O1098" t="s">
        <v>91</v>
      </c>
      <c r="P1098" s="1" t="s">
        <v>448</v>
      </c>
      <c r="Q1098" s="1" t="s">
        <v>1319</v>
      </c>
      <c r="R1098" s="1" t="s">
        <v>91</v>
      </c>
      <c r="S1098">
        <v>1336</v>
      </c>
      <c r="T1098">
        <v>95560000</v>
      </c>
      <c r="U1098" s="1" t="s">
        <v>108</v>
      </c>
      <c r="V1098" s="1" t="s">
        <v>3038</v>
      </c>
      <c r="W1098" s="1" t="s">
        <v>157</v>
      </c>
      <c r="X1098">
        <v>51</v>
      </c>
      <c r="Y1098">
        <v>36641677</v>
      </c>
      <c r="Z1098" t="s">
        <v>91</v>
      </c>
      <c r="AA1098" t="s">
        <v>91</v>
      </c>
      <c r="AB1098" t="s">
        <v>91</v>
      </c>
      <c r="AC1098" t="s">
        <v>91</v>
      </c>
      <c r="AD1098" t="s">
        <v>91</v>
      </c>
      <c r="AE1098" t="s">
        <v>91</v>
      </c>
      <c r="AF1098" t="s">
        <v>91</v>
      </c>
      <c r="AG1098" s="1" t="s">
        <v>91</v>
      </c>
      <c r="AH1098" s="1" t="s">
        <v>91</v>
      </c>
      <c r="AI1098" t="s">
        <v>91</v>
      </c>
      <c r="AJ1098">
        <v>0</v>
      </c>
      <c r="AK1098">
        <v>0</v>
      </c>
      <c r="AL1098">
        <v>0</v>
      </c>
      <c r="AM1098" t="s">
        <v>91</v>
      </c>
      <c r="AN1098" t="s">
        <v>91</v>
      </c>
      <c r="AO1098" t="s">
        <v>91</v>
      </c>
      <c r="AP1098" t="s">
        <v>91</v>
      </c>
      <c r="AQ1098" s="1" t="s">
        <v>91</v>
      </c>
      <c r="AR1098" s="1" t="s">
        <v>91</v>
      </c>
      <c r="AS1098" s="1" t="s">
        <v>91</v>
      </c>
      <c r="AT1098" s="1" t="s">
        <v>91</v>
      </c>
      <c r="AU1098" s="1" t="s">
        <v>91</v>
      </c>
      <c r="AV1098" t="s">
        <v>91</v>
      </c>
      <c r="AW1098" t="s">
        <v>91</v>
      </c>
      <c r="AX1098" t="s">
        <v>91</v>
      </c>
      <c r="AY1098" t="s">
        <v>91</v>
      </c>
      <c r="AZ1098" t="s">
        <v>91</v>
      </c>
      <c r="BA1098" t="s">
        <v>91</v>
      </c>
      <c r="BB1098" s="2">
        <v>44111.380995370368</v>
      </c>
      <c r="BC1098" s="2"/>
      <c r="BD1098" t="s">
        <v>91</v>
      </c>
      <c r="BF1098" s="1" t="s">
        <v>75</v>
      </c>
      <c r="BG1098">
        <v>0</v>
      </c>
      <c r="BH1098">
        <v>0</v>
      </c>
      <c r="BI1098" s="1" t="s">
        <v>88</v>
      </c>
      <c r="BJ1098">
        <v>1</v>
      </c>
      <c r="BK1098" s="1" t="s">
        <v>89</v>
      </c>
      <c r="BL1098" t="s">
        <v>91</v>
      </c>
      <c r="BM1098" s="1" t="s">
        <v>329</v>
      </c>
      <c r="BN1098" s="1" t="s">
        <v>110</v>
      </c>
      <c r="BO1098" s="1" t="s">
        <v>165</v>
      </c>
      <c r="BP1098" s="1" t="s">
        <v>91</v>
      </c>
      <c r="BQ1098" t="s">
        <v>91</v>
      </c>
      <c r="BR1098" s="3">
        <v>44111</v>
      </c>
      <c r="BS1098" s="3"/>
      <c r="BT1098" t="s">
        <v>91</v>
      </c>
      <c r="BU1098" t="s">
        <v>91</v>
      </c>
      <c r="BV1098">
        <v>3</v>
      </c>
      <c r="BW1098" s="1" t="s">
        <v>3211</v>
      </c>
    </row>
    <row r="1099" spans="1:75" hidden="1" x14ac:dyDescent="0.35">
      <c r="A1099">
        <v>156927</v>
      </c>
      <c r="B1099" s="1" t="s">
        <v>75</v>
      </c>
      <c r="C1099">
        <v>80</v>
      </c>
      <c r="D1099">
        <v>11121002</v>
      </c>
      <c r="E1099">
        <v>121002</v>
      </c>
      <c r="F1099" s="1" t="s">
        <v>2915</v>
      </c>
      <c r="G1099" s="1" t="s">
        <v>6080</v>
      </c>
      <c r="H1099">
        <v>0</v>
      </c>
      <c r="I1099" s="1" t="s">
        <v>78</v>
      </c>
      <c r="J1099" s="1" t="s">
        <v>6081</v>
      </c>
      <c r="K1099" s="1" t="s">
        <v>6082</v>
      </c>
      <c r="L1099" t="s">
        <v>91</v>
      </c>
      <c r="M1099" t="s">
        <v>91</v>
      </c>
      <c r="N1099" s="1" t="s">
        <v>6083</v>
      </c>
      <c r="O1099" t="s">
        <v>91</v>
      </c>
      <c r="P1099" s="1" t="s">
        <v>1094</v>
      </c>
      <c r="Q1099" s="1" t="s">
        <v>3397</v>
      </c>
      <c r="R1099" s="1" t="s">
        <v>91</v>
      </c>
      <c r="S1099">
        <v>1269</v>
      </c>
      <c r="T1099">
        <v>88890000</v>
      </c>
      <c r="U1099" s="1" t="s">
        <v>108</v>
      </c>
      <c r="V1099" s="1" t="s">
        <v>4894</v>
      </c>
      <c r="W1099" s="1" t="s">
        <v>87</v>
      </c>
      <c r="X1099">
        <v>48</v>
      </c>
      <c r="Y1099">
        <v>36521308</v>
      </c>
      <c r="Z1099" t="s">
        <v>91</v>
      </c>
      <c r="AA1099" t="s">
        <v>91</v>
      </c>
      <c r="AB1099" t="s">
        <v>91</v>
      </c>
      <c r="AC1099" t="s">
        <v>91</v>
      </c>
      <c r="AD1099" t="s">
        <v>91</v>
      </c>
      <c r="AE1099" t="s">
        <v>91</v>
      </c>
      <c r="AF1099" t="s">
        <v>91</v>
      </c>
      <c r="AG1099" s="1" t="s">
        <v>91</v>
      </c>
      <c r="AH1099" s="1" t="s">
        <v>91</v>
      </c>
      <c r="AI1099" t="s">
        <v>91</v>
      </c>
      <c r="AM1099" t="s">
        <v>91</v>
      </c>
      <c r="AN1099" t="s">
        <v>91</v>
      </c>
      <c r="AO1099" t="s">
        <v>91</v>
      </c>
      <c r="AP1099" t="s">
        <v>91</v>
      </c>
      <c r="AQ1099" s="1" t="s">
        <v>91</v>
      </c>
      <c r="AR1099" s="1" t="s">
        <v>91</v>
      </c>
      <c r="AS1099" s="1" t="s">
        <v>91</v>
      </c>
      <c r="AT1099" s="1" t="s">
        <v>91</v>
      </c>
      <c r="AU1099" s="1" t="s">
        <v>91</v>
      </c>
      <c r="AV1099" t="s">
        <v>91</v>
      </c>
      <c r="AW1099" t="s">
        <v>91</v>
      </c>
      <c r="AX1099" t="s">
        <v>91</v>
      </c>
      <c r="AY1099" t="s">
        <v>91</v>
      </c>
      <c r="AZ1099" t="s">
        <v>91</v>
      </c>
      <c r="BA1099" t="s">
        <v>91</v>
      </c>
      <c r="BB1099" s="2">
        <v>45113.505416666667</v>
      </c>
      <c r="BC1099" s="2"/>
      <c r="BD1099" t="s">
        <v>91</v>
      </c>
      <c r="BF1099" s="1" t="s">
        <v>75</v>
      </c>
      <c r="BI1099" s="1" t="s">
        <v>88</v>
      </c>
      <c r="BJ1099">
        <v>1</v>
      </c>
      <c r="BK1099" s="1" t="s">
        <v>89</v>
      </c>
      <c r="BL1099" t="s">
        <v>91</v>
      </c>
      <c r="BM1099" s="1" t="s">
        <v>91</v>
      </c>
      <c r="BN1099" s="1" t="s">
        <v>91</v>
      </c>
      <c r="BO1099" s="1" t="s">
        <v>91</v>
      </c>
      <c r="BP1099" s="1" t="s">
        <v>91</v>
      </c>
      <c r="BQ1099" t="s">
        <v>91</v>
      </c>
      <c r="BR1099" s="3">
        <v>45113</v>
      </c>
      <c r="BS1099" s="3"/>
      <c r="BT1099" t="s">
        <v>91</v>
      </c>
      <c r="BU1099" t="s">
        <v>91</v>
      </c>
      <c r="BW1099" s="1" t="s">
        <v>90</v>
      </c>
    </row>
    <row r="1100" spans="1:75" hidden="1" x14ac:dyDescent="0.35">
      <c r="A1100">
        <v>86</v>
      </c>
      <c r="B1100" s="1" t="s">
        <v>75</v>
      </c>
      <c r="C1100">
        <v>80</v>
      </c>
      <c r="D1100">
        <v>11121002</v>
      </c>
      <c r="E1100">
        <v>121002</v>
      </c>
      <c r="F1100" s="1" t="s">
        <v>2915</v>
      </c>
      <c r="G1100" s="1" t="s">
        <v>6084</v>
      </c>
      <c r="I1100" s="1" t="s">
        <v>78</v>
      </c>
      <c r="J1100" s="1" t="s">
        <v>6085</v>
      </c>
      <c r="K1100" s="1" t="s">
        <v>6086</v>
      </c>
      <c r="L1100" t="s">
        <v>91</v>
      </c>
      <c r="M1100" t="s">
        <v>91</v>
      </c>
      <c r="N1100" s="1" t="s">
        <v>6087</v>
      </c>
      <c r="O1100" t="s">
        <v>91</v>
      </c>
      <c r="P1100" s="1" t="s">
        <v>4075</v>
      </c>
      <c r="Q1100" s="1" t="s">
        <v>2106</v>
      </c>
      <c r="R1100" s="1" t="s">
        <v>91</v>
      </c>
      <c r="S1100">
        <v>1269</v>
      </c>
      <c r="T1100">
        <v>88865000</v>
      </c>
      <c r="U1100" s="1" t="s">
        <v>108</v>
      </c>
      <c r="V1100" s="1" t="s">
        <v>4553</v>
      </c>
      <c r="W1100" s="1" t="s">
        <v>87</v>
      </c>
      <c r="X1100">
        <v>48</v>
      </c>
      <c r="Y1100">
        <v>34361535</v>
      </c>
      <c r="Z1100" t="s">
        <v>91</v>
      </c>
      <c r="AA1100" t="s">
        <v>91</v>
      </c>
      <c r="AB1100" t="s">
        <v>91</v>
      </c>
      <c r="AC1100" t="s">
        <v>91</v>
      </c>
      <c r="AD1100" t="s">
        <v>91</v>
      </c>
      <c r="AE1100" t="s">
        <v>91</v>
      </c>
      <c r="AF1100" t="s">
        <v>91</v>
      </c>
      <c r="AG1100" s="1" t="s">
        <v>91</v>
      </c>
      <c r="AH1100" s="1" t="s">
        <v>91</v>
      </c>
      <c r="AI1100" t="s">
        <v>91</v>
      </c>
      <c r="AJ1100">
        <v>0</v>
      </c>
      <c r="AK1100">
        <v>0</v>
      </c>
      <c r="AL1100">
        <v>0</v>
      </c>
      <c r="AM1100" t="s">
        <v>91</v>
      </c>
      <c r="AN1100" t="s">
        <v>91</v>
      </c>
      <c r="AO1100" t="s">
        <v>91</v>
      </c>
      <c r="AP1100" t="s">
        <v>91</v>
      </c>
      <c r="AQ1100" s="1" t="s">
        <v>91</v>
      </c>
      <c r="AR1100" s="1" t="s">
        <v>91</v>
      </c>
      <c r="AS1100" s="1" t="s">
        <v>91</v>
      </c>
      <c r="AT1100" s="1" t="s">
        <v>91</v>
      </c>
      <c r="AU1100" s="1" t="s">
        <v>91</v>
      </c>
      <c r="AV1100" t="s">
        <v>91</v>
      </c>
      <c r="AW1100" t="s">
        <v>91</v>
      </c>
      <c r="AX1100" t="s">
        <v>91</v>
      </c>
      <c r="AY1100" t="s">
        <v>91</v>
      </c>
      <c r="AZ1100" t="s">
        <v>91</v>
      </c>
      <c r="BA1100" t="s">
        <v>91</v>
      </c>
      <c r="BB1100" s="2">
        <v>43308.392743055556</v>
      </c>
      <c r="BC1100" s="2"/>
      <c r="BD1100" t="s">
        <v>91</v>
      </c>
      <c r="BE1100">
        <v>86</v>
      </c>
      <c r="BF1100" s="1" t="s">
        <v>75</v>
      </c>
      <c r="BG1100">
        <v>0</v>
      </c>
      <c r="BH1100">
        <v>0</v>
      </c>
      <c r="BI1100" s="1" t="s">
        <v>88</v>
      </c>
      <c r="BJ1100">
        <v>1</v>
      </c>
      <c r="BK1100" s="1" t="s">
        <v>89</v>
      </c>
      <c r="BL1100" t="s">
        <v>91</v>
      </c>
      <c r="BM1100" s="1" t="s">
        <v>109</v>
      </c>
      <c r="BN1100" s="1" t="s">
        <v>110</v>
      </c>
      <c r="BO1100" s="1" t="s">
        <v>128</v>
      </c>
      <c r="BP1100" s="1" t="s">
        <v>91</v>
      </c>
      <c r="BQ1100" t="s">
        <v>91</v>
      </c>
      <c r="BR1100" s="3">
        <v>43308</v>
      </c>
      <c r="BS1100" s="3"/>
      <c r="BT1100" t="s">
        <v>91</v>
      </c>
      <c r="BU1100" t="s">
        <v>91</v>
      </c>
      <c r="BV1100">
        <v>9</v>
      </c>
      <c r="BW1100" s="1" t="s">
        <v>390</v>
      </c>
    </row>
    <row r="1101" spans="1:75" hidden="1" x14ac:dyDescent="0.35">
      <c r="A1101">
        <v>144328</v>
      </c>
      <c r="B1101" s="1" t="s">
        <v>75</v>
      </c>
      <c r="C1101">
        <v>80</v>
      </c>
      <c r="D1101">
        <v>11121002</v>
      </c>
      <c r="E1101">
        <v>121002</v>
      </c>
      <c r="F1101" s="1" t="s">
        <v>2915</v>
      </c>
      <c r="G1101" s="1" t="s">
        <v>6088</v>
      </c>
      <c r="I1101" s="1" t="s">
        <v>78</v>
      </c>
      <c r="J1101" s="1" t="s">
        <v>6089</v>
      </c>
      <c r="K1101" s="1" t="s">
        <v>6090</v>
      </c>
      <c r="L1101" t="s">
        <v>91</v>
      </c>
      <c r="M1101" t="s">
        <v>91</v>
      </c>
      <c r="N1101" s="1" t="s">
        <v>6091</v>
      </c>
      <c r="O1101" t="s">
        <v>91</v>
      </c>
      <c r="P1101" s="1" t="s">
        <v>1856</v>
      </c>
      <c r="Q1101" s="1" t="s">
        <v>2162</v>
      </c>
      <c r="R1101" s="1" t="s">
        <v>236</v>
      </c>
      <c r="S1101">
        <v>1269</v>
      </c>
      <c r="T1101">
        <v>88870000</v>
      </c>
      <c r="U1101" s="1" t="s">
        <v>108</v>
      </c>
      <c r="V1101" s="1" t="s">
        <v>5015</v>
      </c>
      <c r="W1101" s="1" t="s">
        <v>87</v>
      </c>
      <c r="X1101">
        <v>48</v>
      </c>
      <c r="Y1101">
        <v>34660350</v>
      </c>
      <c r="Z1101" t="s">
        <v>91</v>
      </c>
      <c r="AA1101" t="s">
        <v>91</v>
      </c>
      <c r="AB1101" t="s">
        <v>91</v>
      </c>
      <c r="AC1101" t="s">
        <v>91</v>
      </c>
      <c r="AD1101" t="s">
        <v>91</v>
      </c>
      <c r="AE1101" t="s">
        <v>91</v>
      </c>
      <c r="AF1101" t="s">
        <v>91</v>
      </c>
      <c r="AG1101" s="1" t="s">
        <v>91</v>
      </c>
      <c r="AH1101" s="1" t="s">
        <v>91</v>
      </c>
      <c r="AI1101" t="s">
        <v>91</v>
      </c>
      <c r="AJ1101">
        <v>0</v>
      </c>
      <c r="AK1101">
        <v>0</v>
      </c>
      <c r="AL1101">
        <v>0</v>
      </c>
      <c r="AM1101" t="s">
        <v>91</v>
      </c>
      <c r="AN1101" t="s">
        <v>91</v>
      </c>
      <c r="AO1101" t="s">
        <v>91</v>
      </c>
      <c r="AP1101" t="s">
        <v>91</v>
      </c>
      <c r="AQ1101" s="1" t="s">
        <v>91</v>
      </c>
      <c r="AR1101" s="1" t="s">
        <v>91</v>
      </c>
      <c r="AS1101" s="1" t="s">
        <v>91</v>
      </c>
      <c r="AT1101" s="1" t="s">
        <v>91</v>
      </c>
      <c r="AU1101" s="1" t="s">
        <v>91</v>
      </c>
      <c r="AV1101" t="s">
        <v>91</v>
      </c>
      <c r="AW1101" t="s">
        <v>91</v>
      </c>
      <c r="AX1101" t="s">
        <v>91</v>
      </c>
      <c r="AY1101" t="s">
        <v>91</v>
      </c>
      <c r="AZ1101" t="s">
        <v>91</v>
      </c>
      <c r="BA1101" t="s">
        <v>91</v>
      </c>
      <c r="BB1101" s="2"/>
      <c r="BC1101" s="2"/>
      <c r="BD1101" t="s">
        <v>91</v>
      </c>
      <c r="BF1101" s="1" t="s">
        <v>75</v>
      </c>
      <c r="BG1101">
        <v>0</v>
      </c>
      <c r="BH1101">
        <v>0</v>
      </c>
      <c r="BI1101" s="1" t="s">
        <v>88</v>
      </c>
      <c r="BJ1101">
        <v>1</v>
      </c>
      <c r="BK1101" s="1" t="s">
        <v>89</v>
      </c>
      <c r="BL1101" t="s">
        <v>91</v>
      </c>
      <c r="BM1101" s="1" t="s">
        <v>329</v>
      </c>
      <c r="BN1101" s="1" t="s">
        <v>110</v>
      </c>
      <c r="BO1101" s="1" t="s">
        <v>165</v>
      </c>
      <c r="BP1101" s="1" t="s">
        <v>91</v>
      </c>
      <c r="BQ1101" t="s">
        <v>91</v>
      </c>
      <c r="BR1101" s="3"/>
      <c r="BS1101" s="3"/>
      <c r="BT1101" t="s">
        <v>91</v>
      </c>
      <c r="BU1101" t="s">
        <v>91</v>
      </c>
      <c r="BV1101">
        <v>1</v>
      </c>
      <c r="BW1101" s="1" t="s">
        <v>620</v>
      </c>
    </row>
    <row r="1102" spans="1:75" hidden="1" x14ac:dyDescent="0.35">
      <c r="A1102">
        <v>157591</v>
      </c>
      <c r="B1102" s="1" t="s">
        <v>75</v>
      </c>
      <c r="C1102">
        <v>80</v>
      </c>
      <c r="D1102">
        <v>11121002</v>
      </c>
      <c r="E1102">
        <v>121002</v>
      </c>
      <c r="F1102" s="1" t="s">
        <v>2915</v>
      </c>
      <c r="G1102" s="1" t="s">
        <v>6092</v>
      </c>
      <c r="H1102">
        <v>0</v>
      </c>
      <c r="I1102" s="1" t="s">
        <v>78</v>
      </c>
      <c r="J1102" s="1" t="s">
        <v>6093</v>
      </c>
      <c r="K1102" s="1" t="s">
        <v>6094</v>
      </c>
      <c r="L1102" t="s">
        <v>91</v>
      </c>
      <c r="M1102" t="s">
        <v>91</v>
      </c>
      <c r="N1102" s="1" t="s">
        <v>6095</v>
      </c>
      <c r="O1102" t="s">
        <v>91</v>
      </c>
      <c r="P1102" s="1" t="s">
        <v>5013</v>
      </c>
      <c r="Q1102" s="1" t="s">
        <v>2774</v>
      </c>
      <c r="R1102" s="1" t="s">
        <v>173</v>
      </c>
      <c r="S1102">
        <v>1269</v>
      </c>
      <c r="T1102">
        <v>88870000</v>
      </c>
      <c r="U1102" s="1" t="s">
        <v>343</v>
      </c>
      <c r="V1102" s="1" t="s">
        <v>5015</v>
      </c>
      <c r="W1102" s="1" t="s">
        <v>87</v>
      </c>
      <c r="X1102">
        <v>48</v>
      </c>
      <c r="Y1102">
        <v>34660303</v>
      </c>
      <c r="Z1102" t="s">
        <v>91</v>
      </c>
      <c r="AA1102" t="s">
        <v>91</v>
      </c>
      <c r="AB1102" t="s">
        <v>91</v>
      </c>
      <c r="AC1102" t="s">
        <v>91</v>
      </c>
      <c r="AD1102" t="s">
        <v>91</v>
      </c>
      <c r="AE1102" t="s">
        <v>91</v>
      </c>
      <c r="AF1102" t="s">
        <v>91</v>
      </c>
      <c r="AG1102" s="1" t="s">
        <v>91</v>
      </c>
      <c r="AH1102" s="1" t="s">
        <v>91</v>
      </c>
      <c r="AI1102" t="s">
        <v>91</v>
      </c>
      <c r="AM1102" t="s">
        <v>91</v>
      </c>
      <c r="AN1102" t="s">
        <v>91</v>
      </c>
      <c r="AO1102" t="s">
        <v>91</v>
      </c>
      <c r="AP1102" t="s">
        <v>91</v>
      </c>
      <c r="AQ1102" s="1" t="s">
        <v>91</v>
      </c>
      <c r="AR1102" s="1" t="s">
        <v>91</v>
      </c>
      <c r="AS1102" s="1" t="s">
        <v>91</v>
      </c>
      <c r="AT1102" s="1" t="s">
        <v>91</v>
      </c>
      <c r="AU1102" s="1" t="s">
        <v>91</v>
      </c>
      <c r="AV1102" t="s">
        <v>91</v>
      </c>
      <c r="AW1102" t="s">
        <v>91</v>
      </c>
      <c r="AX1102" t="s">
        <v>91</v>
      </c>
      <c r="AY1102" t="s">
        <v>91</v>
      </c>
      <c r="AZ1102" t="s">
        <v>91</v>
      </c>
      <c r="BA1102" t="s">
        <v>91</v>
      </c>
      <c r="BB1102" s="2">
        <v>45118.097175925926</v>
      </c>
      <c r="BC1102" s="2"/>
      <c r="BD1102" t="s">
        <v>91</v>
      </c>
      <c r="BF1102" s="1" t="s">
        <v>75</v>
      </c>
      <c r="BI1102" s="1" t="s">
        <v>88</v>
      </c>
      <c r="BJ1102">
        <v>1</v>
      </c>
      <c r="BK1102" s="1" t="s">
        <v>89</v>
      </c>
      <c r="BL1102" t="s">
        <v>91</v>
      </c>
      <c r="BM1102" s="1" t="s">
        <v>91</v>
      </c>
      <c r="BN1102" s="1" t="s">
        <v>91</v>
      </c>
      <c r="BO1102" s="1" t="s">
        <v>91</v>
      </c>
      <c r="BP1102" s="1" t="s">
        <v>91</v>
      </c>
      <c r="BQ1102" t="s">
        <v>91</v>
      </c>
      <c r="BR1102" s="3">
        <v>45118</v>
      </c>
      <c r="BS1102" s="3"/>
      <c r="BT1102" t="s">
        <v>91</v>
      </c>
      <c r="BU1102" t="s">
        <v>91</v>
      </c>
      <c r="BW1102" s="1" t="s">
        <v>255</v>
      </c>
    </row>
    <row r="1103" spans="1:75" hidden="1" x14ac:dyDescent="0.35">
      <c r="A1103">
        <v>144503</v>
      </c>
      <c r="B1103" s="1" t="s">
        <v>75</v>
      </c>
      <c r="C1103">
        <v>80</v>
      </c>
      <c r="D1103">
        <v>11121002</v>
      </c>
      <c r="E1103">
        <v>121002</v>
      </c>
      <c r="F1103" s="1" t="s">
        <v>2915</v>
      </c>
      <c r="G1103" s="1" t="s">
        <v>6096</v>
      </c>
      <c r="I1103" s="1" t="s">
        <v>78</v>
      </c>
      <c r="J1103" s="1" t="s">
        <v>6097</v>
      </c>
      <c r="K1103" s="1" t="s">
        <v>6098</v>
      </c>
      <c r="L1103" t="s">
        <v>91</v>
      </c>
      <c r="M1103" t="s">
        <v>91</v>
      </c>
      <c r="N1103" s="1" t="s">
        <v>6099</v>
      </c>
      <c r="O1103" t="s">
        <v>91</v>
      </c>
      <c r="P1103" s="1" t="s">
        <v>3699</v>
      </c>
      <c r="Q1103" s="1" t="s">
        <v>5007</v>
      </c>
      <c r="R1103" s="1" t="s">
        <v>6100</v>
      </c>
      <c r="T1103">
        <v>88701105</v>
      </c>
      <c r="U1103" s="1" t="s">
        <v>108</v>
      </c>
      <c r="V1103" s="1" t="s">
        <v>3059</v>
      </c>
      <c r="W1103" s="1" t="s">
        <v>87</v>
      </c>
      <c r="X1103">
        <v>48</v>
      </c>
      <c r="Y1103">
        <v>30523374</v>
      </c>
      <c r="Z1103" t="s">
        <v>91</v>
      </c>
      <c r="AA1103" t="s">
        <v>91</v>
      </c>
      <c r="AB1103" t="s">
        <v>91</v>
      </c>
      <c r="AC1103" t="s">
        <v>91</v>
      </c>
      <c r="AD1103" t="s">
        <v>91</v>
      </c>
      <c r="AE1103" t="s">
        <v>91</v>
      </c>
      <c r="AF1103" t="s">
        <v>91</v>
      </c>
      <c r="AG1103" s="1" t="s">
        <v>91</v>
      </c>
      <c r="AH1103" s="1" t="s">
        <v>91</v>
      </c>
      <c r="AI1103" t="s">
        <v>91</v>
      </c>
      <c r="AJ1103">
        <v>2</v>
      </c>
      <c r="AK1103">
        <v>0</v>
      </c>
      <c r="AL1103">
        <v>0</v>
      </c>
      <c r="AM1103" t="s">
        <v>91</v>
      </c>
      <c r="AN1103" t="s">
        <v>91</v>
      </c>
      <c r="AO1103" t="s">
        <v>91</v>
      </c>
      <c r="AP1103" t="s">
        <v>91</v>
      </c>
      <c r="AQ1103" s="1" t="s">
        <v>91</v>
      </c>
      <c r="AR1103" s="1" t="s">
        <v>91</v>
      </c>
      <c r="AS1103" s="1" t="s">
        <v>91</v>
      </c>
      <c r="AT1103" s="1" t="s">
        <v>91</v>
      </c>
      <c r="AU1103" s="1" t="s">
        <v>91</v>
      </c>
      <c r="AV1103" t="s">
        <v>91</v>
      </c>
      <c r="AW1103" t="s">
        <v>91</v>
      </c>
      <c r="AX1103" t="s">
        <v>91</v>
      </c>
      <c r="AY1103" t="s">
        <v>91</v>
      </c>
      <c r="AZ1103" t="s">
        <v>91</v>
      </c>
      <c r="BA1103" t="s">
        <v>91</v>
      </c>
      <c r="BB1103" s="2"/>
      <c r="BC1103" s="2"/>
      <c r="BD1103" t="s">
        <v>91</v>
      </c>
      <c r="BF1103" s="1" t="s">
        <v>75</v>
      </c>
      <c r="BG1103">
        <v>0</v>
      </c>
      <c r="BH1103">
        <v>0</v>
      </c>
      <c r="BI1103" s="1" t="s">
        <v>88</v>
      </c>
      <c r="BJ1103">
        <v>1</v>
      </c>
      <c r="BK1103" s="1" t="s">
        <v>89</v>
      </c>
      <c r="BL1103" t="s">
        <v>91</v>
      </c>
      <c r="BM1103" s="1" t="s">
        <v>164</v>
      </c>
      <c r="BN1103" s="1" t="s">
        <v>110</v>
      </c>
      <c r="BO1103" s="1" t="s">
        <v>165</v>
      </c>
      <c r="BP1103" s="1" t="s">
        <v>91</v>
      </c>
      <c r="BQ1103" t="s">
        <v>91</v>
      </c>
      <c r="BR1103" s="3"/>
      <c r="BS1103" s="3"/>
      <c r="BT1103" t="s">
        <v>91</v>
      </c>
      <c r="BU1103" t="s">
        <v>91</v>
      </c>
      <c r="BV1103">
        <v>1</v>
      </c>
      <c r="BW1103" s="1" t="s">
        <v>470</v>
      </c>
    </row>
    <row r="1104" spans="1:75" hidden="1" x14ac:dyDescent="0.35">
      <c r="A1104">
        <v>144331</v>
      </c>
      <c r="B1104" s="1" t="s">
        <v>75</v>
      </c>
      <c r="C1104">
        <v>80</v>
      </c>
      <c r="D1104">
        <v>11121002</v>
      </c>
      <c r="E1104">
        <v>121002</v>
      </c>
      <c r="F1104" s="1" t="s">
        <v>2915</v>
      </c>
      <c r="G1104" s="1" t="s">
        <v>6101</v>
      </c>
      <c r="I1104" s="1" t="s">
        <v>78</v>
      </c>
      <c r="J1104" s="1" t="s">
        <v>6102</v>
      </c>
      <c r="K1104" s="1" t="s">
        <v>6103</v>
      </c>
      <c r="L1104" t="s">
        <v>91</v>
      </c>
      <c r="M1104" t="s">
        <v>91</v>
      </c>
      <c r="N1104" s="1" t="s">
        <v>6099</v>
      </c>
      <c r="O1104" t="s">
        <v>91</v>
      </c>
      <c r="P1104" s="1" t="s">
        <v>3699</v>
      </c>
      <c r="Q1104" s="1" t="s">
        <v>6104</v>
      </c>
      <c r="R1104" s="1" t="s">
        <v>236</v>
      </c>
      <c r="S1104">
        <v>1268</v>
      </c>
      <c r="T1104">
        <v>88705001</v>
      </c>
      <c r="U1104" s="1" t="s">
        <v>3760</v>
      </c>
      <c r="V1104" s="1" t="s">
        <v>3059</v>
      </c>
      <c r="W1104" s="1" t="s">
        <v>87</v>
      </c>
      <c r="X1104">
        <v>48</v>
      </c>
      <c r="Y1104">
        <v>30523373</v>
      </c>
      <c r="Z1104" t="s">
        <v>91</v>
      </c>
      <c r="AA1104" t="s">
        <v>91</v>
      </c>
      <c r="AB1104" t="s">
        <v>91</v>
      </c>
      <c r="AC1104" t="s">
        <v>91</v>
      </c>
      <c r="AD1104" t="s">
        <v>91</v>
      </c>
      <c r="AE1104" t="s">
        <v>91</v>
      </c>
      <c r="AF1104" t="s">
        <v>91</v>
      </c>
      <c r="AG1104" s="1" t="s">
        <v>91</v>
      </c>
      <c r="AH1104" s="1" t="s">
        <v>91</v>
      </c>
      <c r="AI1104" t="s">
        <v>91</v>
      </c>
      <c r="AJ1104">
        <v>0</v>
      </c>
      <c r="AK1104">
        <v>0</v>
      </c>
      <c r="AL1104">
        <v>0</v>
      </c>
      <c r="AM1104" t="s">
        <v>91</v>
      </c>
      <c r="AN1104" t="s">
        <v>91</v>
      </c>
      <c r="AO1104" t="s">
        <v>91</v>
      </c>
      <c r="AP1104" t="s">
        <v>91</v>
      </c>
      <c r="AQ1104" s="1" t="s">
        <v>91</v>
      </c>
      <c r="AR1104" s="1" t="s">
        <v>91</v>
      </c>
      <c r="AS1104" s="1" t="s">
        <v>91</v>
      </c>
      <c r="AT1104" s="1" t="s">
        <v>91</v>
      </c>
      <c r="AU1104" s="1" t="s">
        <v>91</v>
      </c>
      <c r="AV1104" t="s">
        <v>91</v>
      </c>
      <c r="AW1104" t="s">
        <v>91</v>
      </c>
      <c r="AX1104" t="s">
        <v>91</v>
      </c>
      <c r="AY1104" t="s">
        <v>91</v>
      </c>
      <c r="AZ1104" t="s">
        <v>91</v>
      </c>
      <c r="BA1104" t="s">
        <v>91</v>
      </c>
      <c r="BB1104" s="2"/>
      <c r="BC1104" s="2"/>
      <c r="BD1104" t="s">
        <v>91</v>
      </c>
      <c r="BF1104" s="1" t="s">
        <v>75</v>
      </c>
      <c r="BG1104">
        <v>0</v>
      </c>
      <c r="BH1104">
        <v>0</v>
      </c>
      <c r="BI1104" s="1" t="s">
        <v>88</v>
      </c>
      <c r="BJ1104">
        <v>1</v>
      </c>
      <c r="BK1104" s="1" t="s">
        <v>89</v>
      </c>
      <c r="BL1104" t="s">
        <v>91</v>
      </c>
      <c r="BM1104" s="1" t="s">
        <v>164</v>
      </c>
      <c r="BN1104" s="1" t="s">
        <v>110</v>
      </c>
      <c r="BO1104" s="1" t="s">
        <v>165</v>
      </c>
      <c r="BP1104" s="1" t="s">
        <v>91</v>
      </c>
      <c r="BQ1104" t="s">
        <v>91</v>
      </c>
      <c r="BR1104" s="3"/>
      <c r="BS1104" s="3"/>
      <c r="BT1104" t="s">
        <v>91</v>
      </c>
      <c r="BU1104" t="s">
        <v>91</v>
      </c>
      <c r="BV1104">
        <v>1</v>
      </c>
      <c r="BW1104" s="1" t="s">
        <v>735</v>
      </c>
    </row>
    <row r="1105" spans="1:75" hidden="1" x14ac:dyDescent="0.35">
      <c r="A1105">
        <v>7</v>
      </c>
      <c r="B1105" s="1" t="s">
        <v>75</v>
      </c>
      <c r="C1105">
        <v>80</v>
      </c>
      <c r="D1105">
        <v>11121002</v>
      </c>
      <c r="E1105">
        <v>121002</v>
      </c>
      <c r="F1105" s="1" t="s">
        <v>2915</v>
      </c>
      <c r="G1105" s="1" t="s">
        <v>6105</v>
      </c>
      <c r="I1105" s="1" t="s">
        <v>78</v>
      </c>
      <c r="J1105" s="1" t="s">
        <v>6106</v>
      </c>
      <c r="K1105" s="1" t="s">
        <v>6107</v>
      </c>
      <c r="L1105" t="s">
        <v>91</v>
      </c>
      <c r="M1105" t="s">
        <v>91</v>
      </c>
      <c r="N1105" s="1" t="s">
        <v>6108</v>
      </c>
      <c r="O1105" t="s">
        <v>91</v>
      </c>
      <c r="P1105" s="1" t="s">
        <v>5223</v>
      </c>
      <c r="Q1105" s="1" t="s">
        <v>6109</v>
      </c>
      <c r="R1105" s="1" t="s">
        <v>236</v>
      </c>
      <c r="S1105">
        <v>1268</v>
      </c>
      <c r="T1105">
        <v>88702100</v>
      </c>
      <c r="U1105" s="1" t="s">
        <v>5225</v>
      </c>
      <c r="V1105" s="1" t="s">
        <v>3059</v>
      </c>
      <c r="W1105" s="1" t="s">
        <v>87</v>
      </c>
      <c r="X1105">
        <v>48</v>
      </c>
      <c r="Y1105">
        <v>36260947</v>
      </c>
      <c r="Z1105" t="s">
        <v>91</v>
      </c>
      <c r="AA1105" t="s">
        <v>91</v>
      </c>
      <c r="AB1105" t="s">
        <v>91</v>
      </c>
      <c r="AC1105" t="s">
        <v>91</v>
      </c>
      <c r="AD1105" t="s">
        <v>91</v>
      </c>
      <c r="AE1105" t="s">
        <v>91</v>
      </c>
      <c r="AF1105" t="s">
        <v>91</v>
      </c>
      <c r="AG1105" s="1" t="s">
        <v>91</v>
      </c>
      <c r="AH1105" s="1" t="s">
        <v>91</v>
      </c>
      <c r="AI1105" t="s">
        <v>91</v>
      </c>
      <c r="AJ1105">
        <v>0</v>
      </c>
      <c r="AK1105">
        <v>0</v>
      </c>
      <c r="AL1105">
        <v>0</v>
      </c>
      <c r="AM1105" t="s">
        <v>91</v>
      </c>
      <c r="AN1105" t="s">
        <v>91</v>
      </c>
      <c r="AO1105" t="s">
        <v>91</v>
      </c>
      <c r="AP1105" t="s">
        <v>91</v>
      </c>
      <c r="AQ1105" s="1" t="s">
        <v>91</v>
      </c>
      <c r="AR1105" s="1" t="s">
        <v>91</v>
      </c>
      <c r="AS1105" s="1" t="s">
        <v>91</v>
      </c>
      <c r="AT1105" s="1" t="s">
        <v>91</v>
      </c>
      <c r="AU1105" s="1" t="s">
        <v>91</v>
      </c>
      <c r="AV1105" t="s">
        <v>91</v>
      </c>
      <c r="AW1105" t="s">
        <v>91</v>
      </c>
      <c r="AX1105" t="s">
        <v>91</v>
      </c>
      <c r="AY1105" t="s">
        <v>91</v>
      </c>
      <c r="AZ1105" t="s">
        <v>91</v>
      </c>
      <c r="BA1105" t="s">
        <v>91</v>
      </c>
      <c r="BB1105" s="2">
        <v>43308.392708333333</v>
      </c>
      <c r="BC1105" s="2"/>
      <c r="BD1105" t="s">
        <v>91</v>
      </c>
      <c r="BE1105">
        <v>7</v>
      </c>
      <c r="BF1105" s="1" t="s">
        <v>75</v>
      </c>
      <c r="BG1105">
        <v>0</v>
      </c>
      <c r="BH1105">
        <v>0</v>
      </c>
      <c r="BI1105" s="1" t="s">
        <v>88</v>
      </c>
      <c r="BJ1105">
        <v>1</v>
      </c>
      <c r="BK1105" s="1" t="s">
        <v>89</v>
      </c>
      <c r="BL1105" t="s">
        <v>91</v>
      </c>
      <c r="BM1105" s="1" t="s">
        <v>329</v>
      </c>
      <c r="BN1105" s="1" t="s">
        <v>110</v>
      </c>
      <c r="BO1105" s="1" t="s">
        <v>165</v>
      </c>
      <c r="BP1105" s="1" t="s">
        <v>91</v>
      </c>
      <c r="BQ1105" t="s">
        <v>91</v>
      </c>
      <c r="BR1105" s="3">
        <v>43308</v>
      </c>
      <c r="BS1105" s="3"/>
      <c r="BT1105" t="s">
        <v>91</v>
      </c>
      <c r="BU1105" t="s">
        <v>91</v>
      </c>
      <c r="BV1105">
        <v>5</v>
      </c>
      <c r="BW1105" s="1" t="s">
        <v>268</v>
      </c>
    </row>
    <row r="1106" spans="1:75" hidden="1" x14ac:dyDescent="0.35">
      <c r="A1106">
        <v>144384</v>
      </c>
      <c r="B1106" s="1" t="s">
        <v>75</v>
      </c>
      <c r="C1106">
        <v>80</v>
      </c>
      <c r="D1106">
        <v>11121002</v>
      </c>
      <c r="E1106">
        <v>121002</v>
      </c>
      <c r="F1106" s="1" t="s">
        <v>2915</v>
      </c>
      <c r="G1106" s="1" t="s">
        <v>6110</v>
      </c>
      <c r="I1106" s="1" t="s">
        <v>78</v>
      </c>
      <c r="J1106" s="1" t="s">
        <v>6111</v>
      </c>
      <c r="K1106" s="1" t="s">
        <v>6112</v>
      </c>
      <c r="L1106" t="s">
        <v>91</v>
      </c>
      <c r="M1106" t="s">
        <v>91</v>
      </c>
      <c r="N1106" s="1" t="s">
        <v>6113</v>
      </c>
      <c r="O1106" t="s">
        <v>91</v>
      </c>
      <c r="P1106" s="1" t="s">
        <v>6114</v>
      </c>
      <c r="Q1106" s="1" t="s">
        <v>295</v>
      </c>
      <c r="R1106" s="1" t="s">
        <v>370</v>
      </c>
      <c r="S1106">
        <v>1269</v>
      </c>
      <c r="T1106">
        <v>88820000</v>
      </c>
      <c r="U1106" s="1" t="s">
        <v>108</v>
      </c>
      <c r="V1106" s="1" t="s">
        <v>3181</v>
      </c>
      <c r="W1106" s="1" t="s">
        <v>87</v>
      </c>
      <c r="X1106">
        <v>48</v>
      </c>
      <c r="Y1106">
        <v>34323071</v>
      </c>
      <c r="Z1106" t="s">
        <v>91</v>
      </c>
      <c r="AA1106" t="s">
        <v>91</v>
      </c>
      <c r="AB1106" t="s">
        <v>91</v>
      </c>
      <c r="AC1106" t="s">
        <v>91</v>
      </c>
      <c r="AD1106" t="s">
        <v>91</v>
      </c>
      <c r="AE1106" t="s">
        <v>91</v>
      </c>
      <c r="AF1106" t="s">
        <v>91</v>
      </c>
      <c r="AG1106" s="1" t="s">
        <v>91</v>
      </c>
      <c r="AH1106" s="1" t="s">
        <v>91</v>
      </c>
      <c r="AI1106" t="s">
        <v>91</v>
      </c>
      <c r="AJ1106">
        <v>0</v>
      </c>
      <c r="AK1106">
        <v>0</v>
      </c>
      <c r="AL1106">
        <v>0</v>
      </c>
      <c r="AM1106" t="s">
        <v>91</v>
      </c>
      <c r="AN1106" t="s">
        <v>91</v>
      </c>
      <c r="AO1106" t="s">
        <v>91</v>
      </c>
      <c r="AP1106" t="s">
        <v>91</v>
      </c>
      <c r="AQ1106" s="1" t="s">
        <v>91</v>
      </c>
      <c r="AR1106" s="1" t="s">
        <v>91</v>
      </c>
      <c r="AS1106" s="1" t="s">
        <v>91</v>
      </c>
      <c r="AT1106" s="1" t="s">
        <v>91</v>
      </c>
      <c r="AU1106" s="1" t="s">
        <v>91</v>
      </c>
      <c r="AV1106" t="s">
        <v>91</v>
      </c>
      <c r="AW1106" t="s">
        <v>91</v>
      </c>
      <c r="AX1106" t="s">
        <v>91</v>
      </c>
      <c r="AY1106" t="s">
        <v>91</v>
      </c>
      <c r="AZ1106" t="s">
        <v>91</v>
      </c>
      <c r="BA1106" t="s">
        <v>91</v>
      </c>
      <c r="BB1106" s="2"/>
      <c r="BC1106" s="2"/>
      <c r="BD1106" t="s">
        <v>91</v>
      </c>
      <c r="BF1106" s="1" t="s">
        <v>75</v>
      </c>
      <c r="BG1106">
        <v>0</v>
      </c>
      <c r="BH1106">
        <v>0</v>
      </c>
      <c r="BI1106" s="1" t="s">
        <v>88</v>
      </c>
      <c r="BJ1106">
        <v>1</v>
      </c>
      <c r="BK1106" s="1" t="s">
        <v>89</v>
      </c>
      <c r="BL1106" t="s">
        <v>91</v>
      </c>
      <c r="BM1106" s="1" t="s">
        <v>197</v>
      </c>
      <c r="BN1106" s="1" t="s">
        <v>148</v>
      </c>
      <c r="BO1106" s="1" t="s">
        <v>165</v>
      </c>
      <c r="BP1106" s="1" t="s">
        <v>91</v>
      </c>
      <c r="BQ1106" t="s">
        <v>91</v>
      </c>
      <c r="BR1106" s="3"/>
      <c r="BS1106" s="3"/>
      <c r="BT1106" t="s">
        <v>91</v>
      </c>
      <c r="BU1106" t="s">
        <v>91</v>
      </c>
      <c r="BV1106">
        <v>5</v>
      </c>
      <c r="BW1106" s="1" t="s">
        <v>390</v>
      </c>
    </row>
    <row r="1107" spans="1:75" hidden="1" x14ac:dyDescent="0.35">
      <c r="A1107">
        <v>151920</v>
      </c>
      <c r="B1107" s="1" t="s">
        <v>75</v>
      </c>
      <c r="C1107">
        <v>80</v>
      </c>
      <c r="D1107">
        <v>11121002</v>
      </c>
      <c r="E1107">
        <v>121002</v>
      </c>
      <c r="F1107" s="1" t="s">
        <v>2915</v>
      </c>
      <c r="G1107" s="1" t="s">
        <v>6115</v>
      </c>
      <c r="H1107">
        <v>0</v>
      </c>
      <c r="I1107" s="1" t="s">
        <v>78</v>
      </c>
      <c r="J1107" s="1" t="s">
        <v>6116</v>
      </c>
      <c r="K1107" s="1" t="s">
        <v>6117</v>
      </c>
      <c r="L1107" t="s">
        <v>91</v>
      </c>
      <c r="M1107" t="s">
        <v>91</v>
      </c>
      <c r="N1107" s="1" t="s">
        <v>6118</v>
      </c>
      <c r="O1107" t="s">
        <v>91</v>
      </c>
      <c r="P1107" s="1" t="s">
        <v>6119</v>
      </c>
      <c r="Q1107" s="1" t="s">
        <v>4748</v>
      </c>
      <c r="R1107" s="1" t="s">
        <v>91</v>
      </c>
      <c r="S1107">
        <v>1265</v>
      </c>
      <c r="T1107">
        <v>88450000</v>
      </c>
      <c r="U1107" s="1" t="s">
        <v>108</v>
      </c>
      <c r="V1107" s="1" t="s">
        <v>6120</v>
      </c>
      <c r="W1107" s="1" t="s">
        <v>87</v>
      </c>
      <c r="X1107">
        <v>47</v>
      </c>
      <c r="Y1107">
        <v>35333232</v>
      </c>
      <c r="Z1107" t="s">
        <v>91</v>
      </c>
      <c r="AA1107" t="s">
        <v>91</v>
      </c>
      <c r="AB1107" t="s">
        <v>91</v>
      </c>
      <c r="AC1107" t="s">
        <v>91</v>
      </c>
      <c r="AD1107" t="s">
        <v>91</v>
      </c>
      <c r="AE1107" t="s">
        <v>91</v>
      </c>
      <c r="AF1107" t="s">
        <v>91</v>
      </c>
      <c r="AG1107" s="1" t="s">
        <v>91</v>
      </c>
      <c r="AH1107" s="1" t="s">
        <v>91</v>
      </c>
      <c r="AI1107" t="s">
        <v>91</v>
      </c>
      <c r="AM1107" t="s">
        <v>91</v>
      </c>
      <c r="AN1107" t="s">
        <v>91</v>
      </c>
      <c r="AO1107" t="s">
        <v>91</v>
      </c>
      <c r="AP1107" t="s">
        <v>91</v>
      </c>
      <c r="AQ1107" s="1" t="s">
        <v>91</v>
      </c>
      <c r="AR1107" s="1" t="s">
        <v>91</v>
      </c>
      <c r="AS1107" s="1" t="s">
        <v>91</v>
      </c>
      <c r="AT1107" s="1" t="s">
        <v>91</v>
      </c>
      <c r="AU1107" s="1" t="s">
        <v>91</v>
      </c>
      <c r="AV1107" t="s">
        <v>91</v>
      </c>
      <c r="AW1107" t="s">
        <v>91</v>
      </c>
      <c r="AX1107" t="s">
        <v>91</v>
      </c>
      <c r="AY1107" t="s">
        <v>91</v>
      </c>
      <c r="AZ1107" t="s">
        <v>91</v>
      </c>
      <c r="BA1107" t="s">
        <v>91</v>
      </c>
      <c r="BB1107" s="2">
        <v>45007.718078703707</v>
      </c>
      <c r="BC1107" s="2"/>
      <c r="BD1107" t="s">
        <v>91</v>
      </c>
      <c r="BF1107" s="1" t="s">
        <v>75</v>
      </c>
      <c r="BI1107" s="1" t="s">
        <v>88</v>
      </c>
      <c r="BJ1107">
        <v>1</v>
      </c>
      <c r="BK1107" s="1" t="s">
        <v>89</v>
      </c>
      <c r="BL1107" t="s">
        <v>91</v>
      </c>
      <c r="BM1107" s="1" t="s">
        <v>109</v>
      </c>
      <c r="BN1107" s="1" t="s">
        <v>91</v>
      </c>
      <c r="BO1107" s="1" t="s">
        <v>91</v>
      </c>
      <c r="BP1107" s="1" t="s">
        <v>91</v>
      </c>
      <c r="BQ1107" t="s">
        <v>91</v>
      </c>
      <c r="BR1107" s="3">
        <v>45007</v>
      </c>
      <c r="BS1107" s="3"/>
      <c r="BT1107" t="s">
        <v>91</v>
      </c>
      <c r="BU1107" t="s">
        <v>91</v>
      </c>
      <c r="BW1107" s="1" t="s">
        <v>90</v>
      </c>
    </row>
    <row r="1108" spans="1:75" hidden="1" x14ac:dyDescent="0.35">
      <c r="A1108">
        <v>144379</v>
      </c>
      <c r="B1108" s="1" t="s">
        <v>75</v>
      </c>
      <c r="C1108">
        <v>80</v>
      </c>
      <c r="D1108">
        <v>11121002</v>
      </c>
      <c r="E1108">
        <v>121002</v>
      </c>
      <c r="F1108" s="1" t="s">
        <v>2915</v>
      </c>
      <c r="G1108" s="1" t="s">
        <v>6121</v>
      </c>
      <c r="I1108" s="1" t="s">
        <v>78</v>
      </c>
      <c r="J1108" s="1" t="s">
        <v>6122</v>
      </c>
      <c r="K1108" s="1" t="s">
        <v>6123</v>
      </c>
      <c r="L1108" t="s">
        <v>91</v>
      </c>
      <c r="M1108" t="s">
        <v>91</v>
      </c>
      <c r="N1108" s="1" t="s">
        <v>6124</v>
      </c>
      <c r="O1108" t="s">
        <v>91</v>
      </c>
      <c r="P1108" s="1" t="s">
        <v>6125</v>
      </c>
      <c r="Q1108" s="1" t="s">
        <v>4466</v>
      </c>
      <c r="R1108" s="1" t="s">
        <v>91</v>
      </c>
      <c r="S1108">
        <v>1268</v>
      </c>
      <c r="T1108">
        <v>88750000</v>
      </c>
      <c r="U1108" s="1" t="s">
        <v>108</v>
      </c>
      <c r="V1108" s="1" t="s">
        <v>3972</v>
      </c>
      <c r="W1108" s="1" t="s">
        <v>87</v>
      </c>
      <c r="X1108">
        <v>48</v>
      </c>
      <c r="Y1108">
        <v>36582902</v>
      </c>
      <c r="Z1108" t="s">
        <v>91</v>
      </c>
      <c r="AA1108" t="s">
        <v>91</v>
      </c>
      <c r="AB1108" t="s">
        <v>91</v>
      </c>
      <c r="AC1108" t="s">
        <v>91</v>
      </c>
      <c r="AD1108" t="s">
        <v>91</v>
      </c>
      <c r="AE1108" t="s">
        <v>91</v>
      </c>
      <c r="AF1108" t="s">
        <v>91</v>
      </c>
      <c r="AG1108" s="1" t="s">
        <v>91</v>
      </c>
      <c r="AH1108" s="1" t="s">
        <v>91</v>
      </c>
      <c r="AI1108" t="s">
        <v>91</v>
      </c>
      <c r="AJ1108">
        <v>0</v>
      </c>
      <c r="AK1108">
        <v>0</v>
      </c>
      <c r="AL1108">
        <v>0</v>
      </c>
      <c r="AM1108" t="s">
        <v>91</v>
      </c>
      <c r="AN1108" t="s">
        <v>91</v>
      </c>
      <c r="AO1108" t="s">
        <v>91</v>
      </c>
      <c r="AP1108" t="s">
        <v>91</v>
      </c>
      <c r="AQ1108" s="1" t="s">
        <v>91</v>
      </c>
      <c r="AR1108" s="1" t="s">
        <v>91</v>
      </c>
      <c r="AS1108" s="1" t="s">
        <v>91</v>
      </c>
      <c r="AT1108" s="1" t="s">
        <v>91</v>
      </c>
      <c r="AU1108" s="1" t="s">
        <v>91</v>
      </c>
      <c r="AV1108" t="s">
        <v>91</v>
      </c>
      <c r="AW1108" t="s">
        <v>91</v>
      </c>
      <c r="AX1108" t="s">
        <v>91</v>
      </c>
      <c r="AY1108" t="s">
        <v>91</v>
      </c>
      <c r="AZ1108" t="s">
        <v>91</v>
      </c>
      <c r="BA1108" t="s">
        <v>91</v>
      </c>
      <c r="BB1108" s="2"/>
      <c r="BC1108" s="2"/>
      <c r="BD1108" t="s">
        <v>91</v>
      </c>
      <c r="BF1108" s="1" t="s">
        <v>75</v>
      </c>
      <c r="BG1108">
        <v>0</v>
      </c>
      <c r="BH1108">
        <v>0</v>
      </c>
      <c r="BI1108" s="1" t="s">
        <v>88</v>
      </c>
      <c r="BJ1108">
        <v>1</v>
      </c>
      <c r="BK1108" s="1" t="s">
        <v>89</v>
      </c>
      <c r="BL1108" t="s">
        <v>91</v>
      </c>
      <c r="BM1108" s="1" t="s">
        <v>109</v>
      </c>
      <c r="BN1108" s="1" t="s">
        <v>110</v>
      </c>
      <c r="BO1108" s="1" t="s">
        <v>128</v>
      </c>
      <c r="BP1108" s="1" t="s">
        <v>91</v>
      </c>
      <c r="BQ1108" t="s">
        <v>91</v>
      </c>
      <c r="BR1108" s="3"/>
      <c r="BS1108" s="3"/>
      <c r="BT1108" t="s">
        <v>91</v>
      </c>
      <c r="BU1108" t="s">
        <v>91</v>
      </c>
      <c r="BV1108">
        <v>9</v>
      </c>
      <c r="BW1108" s="1" t="s">
        <v>390</v>
      </c>
    </row>
    <row r="1109" spans="1:75" hidden="1" x14ac:dyDescent="0.35">
      <c r="A1109">
        <v>2</v>
      </c>
      <c r="B1109" s="1" t="s">
        <v>75</v>
      </c>
      <c r="C1109">
        <v>80</v>
      </c>
      <c r="D1109">
        <v>11121002</v>
      </c>
      <c r="E1109">
        <v>121002</v>
      </c>
      <c r="F1109" s="1" t="s">
        <v>2915</v>
      </c>
      <c r="G1109" s="1" t="s">
        <v>6126</v>
      </c>
      <c r="I1109" s="1" t="s">
        <v>78</v>
      </c>
      <c r="J1109" s="1" t="s">
        <v>6127</v>
      </c>
      <c r="K1109" s="1" t="s">
        <v>6128</v>
      </c>
      <c r="L1109" t="s">
        <v>91</v>
      </c>
      <c r="M1109" t="s">
        <v>91</v>
      </c>
      <c r="N1109" s="1" t="s">
        <v>6129</v>
      </c>
      <c r="O1109" t="s">
        <v>91</v>
      </c>
      <c r="P1109" s="1" t="s">
        <v>311</v>
      </c>
      <c r="Q1109" s="1" t="s">
        <v>6130</v>
      </c>
      <c r="R1109" s="1" t="s">
        <v>91</v>
      </c>
      <c r="S1109">
        <v>1268</v>
      </c>
      <c r="T1109">
        <v>88750000</v>
      </c>
      <c r="U1109" s="1" t="s">
        <v>108</v>
      </c>
      <c r="V1109" s="1" t="s">
        <v>3972</v>
      </c>
      <c r="W1109" s="1" t="s">
        <v>87</v>
      </c>
      <c r="X1109">
        <v>48</v>
      </c>
      <c r="Y1109">
        <v>36582832</v>
      </c>
      <c r="Z1109" t="s">
        <v>91</v>
      </c>
      <c r="AA1109" t="s">
        <v>91</v>
      </c>
      <c r="AB1109" t="s">
        <v>91</v>
      </c>
      <c r="AC1109" t="s">
        <v>91</v>
      </c>
      <c r="AD1109" t="s">
        <v>91</v>
      </c>
      <c r="AE1109" t="s">
        <v>91</v>
      </c>
      <c r="AF1109" t="s">
        <v>91</v>
      </c>
      <c r="AG1109" s="1" t="s">
        <v>91</v>
      </c>
      <c r="AH1109" s="1" t="s">
        <v>91</v>
      </c>
      <c r="AI1109" t="s">
        <v>91</v>
      </c>
      <c r="AJ1109">
        <v>0</v>
      </c>
      <c r="AK1109">
        <v>0</v>
      </c>
      <c r="AL1109">
        <v>0</v>
      </c>
      <c r="AM1109" t="s">
        <v>91</v>
      </c>
      <c r="AN1109" t="s">
        <v>91</v>
      </c>
      <c r="AO1109" t="s">
        <v>91</v>
      </c>
      <c r="AP1109" t="s">
        <v>91</v>
      </c>
      <c r="AQ1109" s="1" t="s">
        <v>91</v>
      </c>
      <c r="AR1109" s="1" t="s">
        <v>91</v>
      </c>
      <c r="AS1109" s="1" t="s">
        <v>91</v>
      </c>
      <c r="AT1109" s="1" t="s">
        <v>91</v>
      </c>
      <c r="AU1109" s="1" t="s">
        <v>91</v>
      </c>
      <c r="AV1109" t="s">
        <v>91</v>
      </c>
      <c r="AW1109" t="s">
        <v>91</v>
      </c>
      <c r="AX1109" t="s">
        <v>91</v>
      </c>
      <c r="AY1109" t="s">
        <v>91</v>
      </c>
      <c r="AZ1109" t="s">
        <v>91</v>
      </c>
      <c r="BA1109" t="s">
        <v>91</v>
      </c>
      <c r="BB1109" s="2">
        <v>43308.392708333333</v>
      </c>
      <c r="BC1109" s="2"/>
      <c r="BD1109" t="s">
        <v>91</v>
      </c>
      <c r="BE1109">
        <v>2</v>
      </c>
      <c r="BF1109" s="1" t="s">
        <v>75</v>
      </c>
      <c r="BG1109">
        <v>0</v>
      </c>
      <c r="BH1109">
        <v>0</v>
      </c>
      <c r="BI1109" s="1" t="s">
        <v>88</v>
      </c>
      <c r="BJ1109">
        <v>1</v>
      </c>
      <c r="BK1109" s="1" t="s">
        <v>89</v>
      </c>
      <c r="BL1109" t="s">
        <v>91</v>
      </c>
      <c r="BM1109" s="1" t="s">
        <v>329</v>
      </c>
      <c r="BN1109" s="1" t="s">
        <v>110</v>
      </c>
      <c r="BO1109" s="1" t="s">
        <v>165</v>
      </c>
      <c r="BP1109" s="1" t="s">
        <v>91</v>
      </c>
      <c r="BQ1109" t="s">
        <v>91</v>
      </c>
      <c r="BR1109" s="3">
        <v>43308</v>
      </c>
      <c r="BS1109" s="3"/>
      <c r="BT1109" t="s">
        <v>91</v>
      </c>
      <c r="BU1109" t="s">
        <v>91</v>
      </c>
      <c r="BV1109">
        <v>1</v>
      </c>
      <c r="BW1109" s="1" t="s">
        <v>1650</v>
      </c>
    </row>
    <row r="1110" spans="1:75" hidden="1" x14ac:dyDescent="0.35">
      <c r="A1110">
        <v>118684</v>
      </c>
      <c r="B1110" s="1" t="s">
        <v>75</v>
      </c>
      <c r="C1110">
        <v>80</v>
      </c>
      <c r="D1110">
        <v>11121002</v>
      </c>
      <c r="E1110">
        <v>121002</v>
      </c>
      <c r="F1110" s="1" t="s">
        <v>2915</v>
      </c>
      <c r="G1110" s="1" t="s">
        <v>6131</v>
      </c>
      <c r="I1110" s="1" t="s">
        <v>78</v>
      </c>
      <c r="J1110" s="1" t="s">
        <v>6132</v>
      </c>
      <c r="K1110" s="1" t="s">
        <v>6133</v>
      </c>
      <c r="L1110" t="s">
        <v>91</v>
      </c>
      <c r="M1110" t="s">
        <v>91</v>
      </c>
      <c r="N1110" s="1" t="s">
        <v>6134</v>
      </c>
      <c r="O1110" t="s">
        <v>91</v>
      </c>
      <c r="P1110" s="1" t="s">
        <v>6135</v>
      </c>
      <c r="Q1110" s="1" t="s">
        <v>5442</v>
      </c>
      <c r="R1110" s="1" t="s">
        <v>370</v>
      </c>
      <c r="S1110">
        <v>1269</v>
      </c>
      <c r="T1110">
        <v>88845000</v>
      </c>
      <c r="U1110" s="1" t="s">
        <v>343</v>
      </c>
      <c r="V1110" s="1" t="s">
        <v>3188</v>
      </c>
      <c r="W1110" s="1" t="s">
        <v>87</v>
      </c>
      <c r="X1110">
        <v>48</v>
      </c>
      <c r="Y1110">
        <v>34470385</v>
      </c>
      <c r="Z1110" t="s">
        <v>91</v>
      </c>
      <c r="AA1110" t="s">
        <v>91</v>
      </c>
      <c r="AB1110" t="s">
        <v>91</v>
      </c>
      <c r="AC1110" t="s">
        <v>91</v>
      </c>
      <c r="AD1110" t="s">
        <v>91</v>
      </c>
      <c r="AE1110" t="s">
        <v>91</v>
      </c>
      <c r="AF1110" t="s">
        <v>91</v>
      </c>
      <c r="AG1110" s="1" t="s">
        <v>91</v>
      </c>
      <c r="AH1110" s="1" t="s">
        <v>91</v>
      </c>
      <c r="AI1110" t="s">
        <v>91</v>
      </c>
      <c r="AJ1110">
        <v>0</v>
      </c>
      <c r="AK1110">
        <v>0</v>
      </c>
      <c r="AL1110">
        <v>0</v>
      </c>
      <c r="AM1110" t="s">
        <v>91</v>
      </c>
      <c r="AN1110" t="s">
        <v>91</v>
      </c>
      <c r="AO1110" t="s">
        <v>91</v>
      </c>
      <c r="AP1110" t="s">
        <v>91</v>
      </c>
      <c r="AQ1110" s="1" t="s">
        <v>91</v>
      </c>
      <c r="AR1110" s="1" t="s">
        <v>91</v>
      </c>
      <c r="AS1110" s="1" t="s">
        <v>91</v>
      </c>
      <c r="AT1110" s="1" t="s">
        <v>91</v>
      </c>
      <c r="AU1110" s="1" t="s">
        <v>91</v>
      </c>
      <c r="AV1110" t="s">
        <v>91</v>
      </c>
      <c r="AW1110" t="s">
        <v>91</v>
      </c>
      <c r="AX1110" t="s">
        <v>91</v>
      </c>
      <c r="AY1110" t="s">
        <v>91</v>
      </c>
      <c r="AZ1110" t="s">
        <v>91</v>
      </c>
      <c r="BA1110" t="s">
        <v>91</v>
      </c>
      <c r="BB1110" s="2"/>
      <c r="BC1110" s="2"/>
      <c r="BD1110" t="s">
        <v>91</v>
      </c>
      <c r="BF1110" s="1" t="s">
        <v>75</v>
      </c>
      <c r="BG1110">
        <v>0</v>
      </c>
      <c r="BH1110">
        <v>0</v>
      </c>
      <c r="BI1110" s="1" t="s">
        <v>88</v>
      </c>
      <c r="BJ1110">
        <v>1</v>
      </c>
      <c r="BK1110" s="1" t="s">
        <v>89</v>
      </c>
      <c r="BL1110" t="s">
        <v>91</v>
      </c>
      <c r="BM1110" s="1" t="s">
        <v>109</v>
      </c>
      <c r="BN1110" s="1" t="s">
        <v>110</v>
      </c>
      <c r="BO1110" s="1" t="s">
        <v>128</v>
      </c>
      <c r="BP1110" s="1" t="s">
        <v>91</v>
      </c>
      <c r="BQ1110" t="s">
        <v>91</v>
      </c>
      <c r="BR1110" s="3"/>
      <c r="BS1110" s="3"/>
      <c r="BT1110" t="s">
        <v>91</v>
      </c>
      <c r="BU1110" t="s">
        <v>91</v>
      </c>
      <c r="BV1110">
        <v>9</v>
      </c>
      <c r="BW1110" s="1" t="s">
        <v>90</v>
      </c>
    </row>
    <row r="1111" spans="1:75" hidden="1" x14ac:dyDescent="0.35">
      <c r="A1111">
        <v>127435</v>
      </c>
      <c r="B1111" s="1" t="s">
        <v>75</v>
      </c>
      <c r="C1111">
        <v>80</v>
      </c>
      <c r="D1111">
        <v>11121002</v>
      </c>
      <c r="E1111">
        <v>121002</v>
      </c>
      <c r="F1111" s="1" t="s">
        <v>2915</v>
      </c>
      <c r="G1111" s="1" t="s">
        <v>6136</v>
      </c>
      <c r="H1111">
        <v>0</v>
      </c>
      <c r="I1111" s="1" t="s">
        <v>78</v>
      </c>
      <c r="J1111" s="1" t="s">
        <v>6137</v>
      </c>
      <c r="K1111" s="1" t="s">
        <v>6138</v>
      </c>
      <c r="L1111" t="s">
        <v>91</v>
      </c>
      <c r="M1111" t="s">
        <v>91</v>
      </c>
      <c r="N1111" s="1" t="s">
        <v>6139</v>
      </c>
      <c r="O1111" t="s">
        <v>91</v>
      </c>
      <c r="P1111" s="1" t="s">
        <v>6140</v>
      </c>
      <c r="Q1111" s="1" t="s">
        <v>1102</v>
      </c>
      <c r="R1111" s="1" t="s">
        <v>2531</v>
      </c>
      <c r="S1111">
        <v>1269</v>
      </c>
      <c r="T1111">
        <v>88815060</v>
      </c>
      <c r="U1111" s="1" t="s">
        <v>3230</v>
      </c>
      <c r="V1111" s="1" t="s">
        <v>3231</v>
      </c>
      <c r="W1111" s="1" t="s">
        <v>87</v>
      </c>
      <c r="X1111">
        <v>48</v>
      </c>
      <c r="Y1111">
        <v>34318006</v>
      </c>
      <c r="Z1111" t="s">
        <v>91</v>
      </c>
      <c r="AA1111" t="s">
        <v>91</v>
      </c>
      <c r="AB1111" t="s">
        <v>91</v>
      </c>
      <c r="AC1111" t="s">
        <v>91</v>
      </c>
      <c r="AD1111" t="s">
        <v>91</v>
      </c>
      <c r="AE1111" t="s">
        <v>91</v>
      </c>
      <c r="AF1111" t="s">
        <v>91</v>
      </c>
      <c r="AG1111" s="1" t="s">
        <v>91</v>
      </c>
      <c r="AH1111" s="1" t="s">
        <v>91</v>
      </c>
      <c r="AI1111" t="s">
        <v>91</v>
      </c>
      <c r="AJ1111">
        <v>0</v>
      </c>
      <c r="AK1111">
        <v>0</v>
      </c>
      <c r="AL1111">
        <v>0</v>
      </c>
      <c r="AM1111" t="s">
        <v>91</v>
      </c>
      <c r="AN1111" t="s">
        <v>91</v>
      </c>
      <c r="AO1111" t="s">
        <v>91</v>
      </c>
      <c r="AP1111" t="s">
        <v>91</v>
      </c>
      <c r="AQ1111" s="1" t="s">
        <v>91</v>
      </c>
      <c r="AR1111" s="1" t="s">
        <v>91</v>
      </c>
      <c r="AS1111" s="1" t="s">
        <v>91</v>
      </c>
      <c r="AT1111" s="1" t="s">
        <v>91</v>
      </c>
      <c r="AU1111" s="1" t="s">
        <v>91</v>
      </c>
      <c r="AV1111" t="s">
        <v>91</v>
      </c>
      <c r="AW1111" t="s">
        <v>91</v>
      </c>
      <c r="AX1111" t="s">
        <v>91</v>
      </c>
      <c r="AY1111" t="s">
        <v>91</v>
      </c>
      <c r="AZ1111" t="s">
        <v>91</v>
      </c>
      <c r="BA1111" t="s">
        <v>91</v>
      </c>
      <c r="BB1111" s="2">
        <v>44111.380995370368</v>
      </c>
      <c r="BC1111" s="2"/>
      <c r="BD1111" t="s">
        <v>91</v>
      </c>
      <c r="BF1111" s="1" t="s">
        <v>75</v>
      </c>
      <c r="BG1111">
        <v>0</v>
      </c>
      <c r="BH1111">
        <v>0</v>
      </c>
      <c r="BI1111" s="1" t="s">
        <v>88</v>
      </c>
      <c r="BJ1111">
        <v>1</v>
      </c>
      <c r="BK1111" s="1" t="s">
        <v>89</v>
      </c>
      <c r="BL1111" t="s">
        <v>91</v>
      </c>
      <c r="BM1111" s="1" t="s">
        <v>329</v>
      </c>
      <c r="BN1111" s="1" t="s">
        <v>148</v>
      </c>
      <c r="BO1111" s="1" t="s">
        <v>165</v>
      </c>
      <c r="BP1111" s="1" t="s">
        <v>91</v>
      </c>
      <c r="BQ1111" t="s">
        <v>91</v>
      </c>
      <c r="BR1111" s="3">
        <v>44111</v>
      </c>
      <c r="BS1111" s="3"/>
      <c r="BT1111" t="s">
        <v>91</v>
      </c>
      <c r="BU1111" t="s">
        <v>91</v>
      </c>
      <c r="BV1111">
        <v>1</v>
      </c>
      <c r="BW1111" s="1" t="s">
        <v>3096</v>
      </c>
    </row>
    <row r="1112" spans="1:75" hidden="1" x14ac:dyDescent="0.35">
      <c r="A1112">
        <v>127442</v>
      </c>
      <c r="B1112" s="1" t="s">
        <v>75</v>
      </c>
      <c r="C1112">
        <v>80</v>
      </c>
      <c r="D1112">
        <v>11121002</v>
      </c>
      <c r="E1112">
        <v>121002</v>
      </c>
      <c r="F1112" s="1" t="s">
        <v>2915</v>
      </c>
      <c r="G1112" s="1" t="s">
        <v>6141</v>
      </c>
      <c r="H1112">
        <v>0</v>
      </c>
      <c r="I1112" s="1" t="s">
        <v>78</v>
      </c>
      <c r="J1112" s="1" t="s">
        <v>6142</v>
      </c>
      <c r="K1112" s="1" t="s">
        <v>6143</v>
      </c>
      <c r="L1112" t="s">
        <v>91</v>
      </c>
      <c r="M1112" t="s">
        <v>91</v>
      </c>
      <c r="N1112" s="1" t="s">
        <v>6144</v>
      </c>
      <c r="O1112" t="s">
        <v>91</v>
      </c>
      <c r="P1112" s="1" t="s">
        <v>3645</v>
      </c>
      <c r="Q1112" s="1" t="s">
        <v>235</v>
      </c>
      <c r="R1112" s="1" t="s">
        <v>173</v>
      </c>
      <c r="S1112">
        <v>1269</v>
      </c>
      <c r="T1112">
        <v>88820000</v>
      </c>
      <c r="U1112" s="1" t="s">
        <v>108</v>
      </c>
      <c r="V1112" s="1" t="s">
        <v>3181</v>
      </c>
      <c r="W1112" s="1" t="s">
        <v>87</v>
      </c>
      <c r="X1112">
        <v>48</v>
      </c>
      <c r="Y1112">
        <v>34327907</v>
      </c>
      <c r="Z1112" t="s">
        <v>91</v>
      </c>
      <c r="AA1112" t="s">
        <v>91</v>
      </c>
      <c r="AB1112" t="s">
        <v>91</v>
      </c>
      <c r="AC1112" t="s">
        <v>91</v>
      </c>
      <c r="AD1112" t="s">
        <v>91</v>
      </c>
      <c r="AE1112" t="s">
        <v>91</v>
      </c>
      <c r="AF1112" t="s">
        <v>91</v>
      </c>
      <c r="AG1112" s="1" t="s">
        <v>91</v>
      </c>
      <c r="AH1112" s="1" t="s">
        <v>91</v>
      </c>
      <c r="AI1112" t="s">
        <v>91</v>
      </c>
      <c r="AJ1112">
        <v>0</v>
      </c>
      <c r="AK1112">
        <v>0</v>
      </c>
      <c r="AL1112">
        <v>0</v>
      </c>
      <c r="AM1112" t="s">
        <v>91</v>
      </c>
      <c r="AN1112" t="s">
        <v>91</v>
      </c>
      <c r="AO1112" t="s">
        <v>91</v>
      </c>
      <c r="AP1112" t="s">
        <v>91</v>
      </c>
      <c r="AQ1112" s="1" t="s">
        <v>91</v>
      </c>
      <c r="AR1112" s="1" t="s">
        <v>91</v>
      </c>
      <c r="AS1112" s="1" t="s">
        <v>91</v>
      </c>
      <c r="AT1112" s="1" t="s">
        <v>91</v>
      </c>
      <c r="AU1112" s="1" t="s">
        <v>91</v>
      </c>
      <c r="AV1112" t="s">
        <v>91</v>
      </c>
      <c r="AW1112" t="s">
        <v>91</v>
      </c>
      <c r="AX1112" t="s">
        <v>91</v>
      </c>
      <c r="AY1112" t="s">
        <v>91</v>
      </c>
      <c r="AZ1112" t="s">
        <v>91</v>
      </c>
      <c r="BA1112" t="s">
        <v>91</v>
      </c>
      <c r="BB1112" s="2">
        <v>44111.380995370368</v>
      </c>
      <c r="BC1112" s="2"/>
      <c r="BD1112" t="s">
        <v>91</v>
      </c>
      <c r="BF1112" s="1" t="s">
        <v>75</v>
      </c>
      <c r="BG1112">
        <v>0</v>
      </c>
      <c r="BH1112">
        <v>0</v>
      </c>
      <c r="BI1112" s="1" t="s">
        <v>88</v>
      </c>
      <c r="BJ1112">
        <v>1</v>
      </c>
      <c r="BK1112" s="1" t="s">
        <v>89</v>
      </c>
      <c r="BL1112" t="s">
        <v>91</v>
      </c>
      <c r="BM1112" s="1" t="s">
        <v>329</v>
      </c>
      <c r="BN1112" s="1" t="s">
        <v>148</v>
      </c>
      <c r="BO1112" s="1" t="s">
        <v>165</v>
      </c>
      <c r="BP1112" s="1" t="s">
        <v>91</v>
      </c>
      <c r="BQ1112" t="s">
        <v>91</v>
      </c>
      <c r="BR1112" s="3">
        <v>44111</v>
      </c>
      <c r="BS1112" s="3"/>
      <c r="BT1112" t="s">
        <v>91</v>
      </c>
      <c r="BU1112" t="s">
        <v>91</v>
      </c>
      <c r="BV1112">
        <v>5</v>
      </c>
      <c r="BW1112" s="1" t="s">
        <v>3096</v>
      </c>
    </row>
    <row r="1113" spans="1:75" hidden="1" x14ac:dyDescent="0.35">
      <c r="A1113">
        <v>157587</v>
      </c>
      <c r="B1113" s="1" t="s">
        <v>75</v>
      </c>
      <c r="C1113">
        <v>80</v>
      </c>
      <c r="D1113">
        <v>11121002</v>
      </c>
      <c r="E1113">
        <v>121002</v>
      </c>
      <c r="F1113" s="1" t="s">
        <v>2915</v>
      </c>
      <c r="G1113" s="1" t="s">
        <v>6145</v>
      </c>
      <c r="H1113">
        <v>0</v>
      </c>
      <c r="I1113" s="1" t="s">
        <v>78</v>
      </c>
      <c r="J1113" s="1" t="s">
        <v>6142</v>
      </c>
      <c r="K1113" s="1" t="s">
        <v>6146</v>
      </c>
      <c r="L1113" t="s">
        <v>91</v>
      </c>
      <c r="M1113" t="s">
        <v>91</v>
      </c>
      <c r="N1113" s="1" t="s">
        <v>6147</v>
      </c>
      <c r="O1113" t="s">
        <v>91</v>
      </c>
      <c r="P1113" s="1" t="s">
        <v>6148</v>
      </c>
      <c r="Q1113" s="1" t="s">
        <v>1452</v>
      </c>
      <c r="R1113" s="1" t="s">
        <v>91</v>
      </c>
      <c r="S1113">
        <v>1269</v>
      </c>
      <c r="T1113">
        <v>88801070</v>
      </c>
      <c r="U1113" s="1" t="s">
        <v>108</v>
      </c>
      <c r="V1113" s="1" t="s">
        <v>2943</v>
      </c>
      <c r="W1113" s="1" t="s">
        <v>87</v>
      </c>
      <c r="X1113">
        <v>48</v>
      </c>
      <c r="Y1113">
        <v>34420511</v>
      </c>
      <c r="Z1113" t="s">
        <v>91</v>
      </c>
      <c r="AA1113" t="s">
        <v>91</v>
      </c>
      <c r="AB1113" t="s">
        <v>91</v>
      </c>
      <c r="AC1113" t="s">
        <v>91</v>
      </c>
      <c r="AD1113" t="s">
        <v>91</v>
      </c>
      <c r="AE1113" t="s">
        <v>91</v>
      </c>
      <c r="AF1113" t="s">
        <v>91</v>
      </c>
      <c r="AG1113" s="1" t="s">
        <v>91</v>
      </c>
      <c r="AH1113" s="1" t="s">
        <v>91</v>
      </c>
      <c r="AI1113" t="s">
        <v>91</v>
      </c>
      <c r="AM1113" t="s">
        <v>91</v>
      </c>
      <c r="AN1113" t="s">
        <v>91</v>
      </c>
      <c r="AO1113" t="s">
        <v>91</v>
      </c>
      <c r="AP1113" t="s">
        <v>91</v>
      </c>
      <c r="AQ1113" s="1" t="s">
        <v>91</v>
      </c>
      <c r="AR1113" s="1" t="s">
        <v>91</v>
      </c>
      <c r="AS1113" s="1" t="s">
        <v>91</v>
      </c>
      <c r="AT1113" s="1" t="s">
        <v>91</v>
      </c>
      <c r="AU1113" s="1" t="s">
        <v>91</v>
      </c>
      <c r="AV1113" t="s">
        <v>91</v>
      </c>
      <c r="AW1113" t="s">
        <v>91</v>
      </c>
      <c r="AX1113" t="s">
        <v>91</v>
      </c>
      <c r="AY1113" t="s">
        <v>91</v>
      </c>
      <c r="AZ1113" t="s">
        <v>91</v>
      </c>
      <c r="BA1113" t="s">
        <v>91</v>
      </c>
      <c r="BB1113" s="2">
        <v>45118.097175925926</v>
      </c>
      <c r="BC1113" s="2"/>
      <c r="BD1113" t="s">
        <v>91</v>
      </c>
      <c r="BF1113" s="1" t="s">
        <v>75</v>
      </c>
      <c r="BI1113" s="1" t="s">
        <v>88</v>
      </c>
      <c r="BJ1113">
        <v>1</v>
      </c>
      <c r="BK1113" s="1" t="s">
        <v>89</v>
      </c>
      <c r="BL1113" t="s">
        <v>91</v>
      </c>
      <c r="BM1113" s="1" t="s">
        <v>91</v>
      </c>
      <c r="BN1113" s="1" t="s">
        <v>91</v>
      </c>
      <c r="BO1113" s="1" t="s">
        <v>91</v>
      </c>
      <c r="BP1113" s="1" t="s">
        <v>91</v>
      </c>
      <c r="BQ1113" t="s">
        <v>91</v>
      </c>
      <c r="BR1113" s="3">
        <v>45118</v>
      </c>
      <c r="BS1113" s="3"/>
      <c r="BT1113" t="s">
        <v>91</v>
      </c>
      <c r="BU1113" t="s">
        <v>91</v>
      </c>
      <c r="BW1113" s="1" t="s">
        <v>90</v>
      </c>
    </row>
    <row r="1114" spans="1:75" hidden="1" x14ac:dyDescent="0.35">
      <c r="A1114">
        <v>58</v>
      </c>
      <c r="B1114" s="1" t="s">
        <v>75</v>
      </c>
      <c r="C1114">
        <v>80</v>
      </c>
      <c r="D1114">
        <v>11121002</v>
      </c>
      <c r="E1114">
        <v>121002</v>
      </c>
      <c r="F1114" s="1" t="s">
        <v>2915</v>
      </c>
      <c r="G1114" s="1" t="s">
        <v>6149</v>
      </c>
      <c r="I1114" s="1" t="s">
        <v>78</v>
      </c>
      <c r="J1114" s="1" t="s">
        <v>6150</v>
      </c>
      <c r="K1114" s="1" t="s">
        <v>6151</v>
      </c>
      <c r="L1114" t="s">
        <v>91</v>
      </c>
      <c r="M1114" t="s">
        <v>91</v>
      </c>
      <c r="N1114" s="1" t="s">
        <v>6152</v>
      </c>
      <c r="O1114" t="s">
        <v>91</v>
      </c>
      <c r="P1114" s="1" t="s">
        <v>3179</v>
      </c>
      <c r="Q1114" s="1" t="s">
        <v>1846</v>
      </c>
      <c r="R1114" s="1" t="s">
        <v>91</v>
      </c>
      <c r="S1114">
        <v>1269</v>
      </c>
      <c r="T1114">
        <v>88820000</v>
      </c>
      <c r="U1114" s="1" t="s">
        <v>108</v>
      </c>
      <c r="V1114" s="1" t="s">
        <v>3181</v>
      </c>
      <c r="W1114" s="1" t="s">
        <v>87</v>
      </c>
      <c r="X1114">
        <v>48</v>
      </c>
      <c r="Y1114">
        <v>34323073</v>
      </c>
      <c r="Z1114" t="s">
        <v>91</v>
      </c>
      <c r="AA1114" t="s">
        <v>91</v>
      </c>
      <c r="AB1114" t="s">
        <v>91</v>
      </c>
      <c r="AC1114" t="s">
        <v>91</v>
      </c>
      <c r="AD1114" t="s">
        <v>91</v>
      </c>
      <c r="AE1114" t="s">
        <v>91</v>
      </c>
      <c r="AF1114" t="s">
        <v>91</v>
      </c>
      <c r="AG1114" s="1" t="s">
        <v>91</v>
      </c>
      <c r="AH1114" s="1" t="s">
        <v>91</v>
      </c>
      <c r="AI1114" t="s">
        <v>91</v>
      </c>
      <c r="AJ1114">
        <v>0</v>
      </c>
      <c r="AK1114">
        <v>0</v>
      </c>
      <c r="AL1114">
        <v>0</v>
      </c>
      <c r="AM1114" t="s">
        <v>91</v>
      </c>
      <c r="AN1114" t="s">
        <v>91</v>
      </c>
      <c r="AO1114" t="s">
        <v>91</v>
      </c>
      <c r="AP1114" t="s">
        <v>91</v>
      </c>
      <c r="AQ1114" s="1" t="s">
        <v>91</v>
      </c>
      <c r="AR1114" s="1" t="s">
        <v>91</v>
      </c>
      <c r="AS1114" s="1" t="s">
        <v>91</v>
      </c>
      <c r="AT1114" s="1" t="s">
        <v>91</v>
      </c>
      <c r="AU1114" s="1" t="s">
        <v>91</v>
      </c>
      <c r="AV1114" t="s">
        <v>91</v>
      </c>
      <c r="AW1114" t="s">
        <v>91</v>
      </c>
      <c r="AX1114" t="s">
        <v>91</v>
      </c>
      <c r="AY1114" t="s">
        <v>91</v>
      </c>
      <c r="AZ1114" t="s">
        <v>91</v>
      </c>
      <c r="BA1114" t="s">
        <v>91</v>
      </c>
      <c r="BB1114" s="2">
        <v>43308.392731481479</v>
      </c>
      <c r="BC1114" s="2"/>
      <c r="BD1114" t="s">
        <v>91</v>
      </c>
      <c r="BE1114">
        <v>58</v>
      </c>
      <c r="BF1114" s="1" t="s">
        <v>75</v>
      </c>
      <c r="BG1114">
        <v>0</v>
      </c>
      <c r="BH1114">
        <v>0</v>
      </c>
      <c r="BI1114" s="1" t="s">
        <v>88</v>
      </c>
      <c r="BJ1114">
        <v>1</v>
      </c>
      <c r="BK1114" s="1" t="s">
        <v>89</v>
      </c>
      <c r="BL1114" t="s">
        <v>91</v>
      </c>
      <c r="BM1114" s="1" t="s">
        <v>109</v>
      </c>
      <c r="BN1114" s="1" t="s">
        <v>110</v>
      </c>
      <c r="BO1114" s="1" t="s">
        <v>165</v>
      </c>
      <c r="BP1114" s="1" t="s">
        <v>91</v>
      </c>
      <c r="BQ1114" t="s">
        <v>91</v>
      </c>
      <c r="BR1114" s="3">
        <v>43308</v>
      </c>
      <c r="BS1114" s="3"/>
      <c r="BT1114" t="s">
        <v>91</v>
      </c>
      <c r="BU1114" t="s">
        <v>91</v>
      </c>
      <c r="BV1114">
        <v>5</v>
      </c>
      <c r="BW1114" s="1" t="s">
        <v>390</v>
      </c>
    </row>
    <row r="1115" spans="1:75" hidden="1" x14ac:dyDescent="0.35">
      <c r="A1115">
        <v>144353</v>
      </c>
      <c r="B1115" s="1" t="s">
        <v>75</v>
      </c>
      <c r="C1115">
        <v>80</v>
      </c>
      <c r="D1115">
        <v>11121002</v>
      </c>
      <c r="E1115">
        <v>121002</v>
      </c>
      <c r="F1115" s="1" t="s">
        <v>2915</v>
      </c>
      <c r="G1115" s="1" t="s">
        <v>6153</v>
      </c>
      <c r="I1115" s="1" t="s">
        <v>78</v>
      </c>
      <c r="J1115" s="1" t="s">
        <v>6154</v>
      </c>
      <c r="K1115" s="1" t="s">
        <v>6155</v>
      </c>
      <c r="L1115" t="s">
        <v>91</v>
      </c>
      <c r="M1115" t="s">
        <v>91</v>
      </c>
      <c r="N1115" s="1" t="s">
        <v>6156</v>
      </c>
      <c r="O1115" t="s">
        <v>91</v>
      </c>
      <c r="P1115" s="1" t="s">
        <v>6157</v>
      </c>
      <c r="Q1115" s="1" t="s">
        <v>2233</v>
      </c>
      <c r="R1115" s="1" t="s">
        <v>236</v>
      </c>
      <c r="S1115">
        <v>1269</v>
      </c>
      <c r="T1115">
        <v>88830000</v>
      </c>
      <c r="U1115" s="1" t="s">
        <v>108</v>
      </c>
      <c r="V1115" s="1" t="s">
        <v>6158</v>
      </c>
      <c r="W1115" s="1" t="s">
        <v>87</v>
      </c>
      <c r="X1115">
        <v>48</v>
      </c>
      <c r="Y1115">
        <v>34341749</v>
      </c>
      <c r="Z1115" t="s">
        <v>91</v>
      </c>
      <c r="AA1115" t="s">
        <v>91</v>
      </c>
      <c r="AB1115" t="s">
        <v>91</v>
      </c>
      <c r="AC1115" t="s">
        <v>91</v>
      </c>
      <c r="AD1115" t="s">
        <v>91</v>
      </c>
      <c r="AE1115" t="s">
        <v>91</v>
      </c>
      <c r="AF1115" t="s">
        <v>91</v>
      </c>
      <c r="AG1115" s="1" t="s">
        <v>91</v>
      </c>
      <c r="AH1115" s="1" t="s">
        <v>91</v>
      </c>
      <c r="AI1115" t="s">
        <v>91</v>
      </c>
      <c r="AJ1115">
        <v>3</v>
      </c>
      <c r="AK1115">
        <v>0</v>
      </c>
      <c r="AL1115">
        <v>0</v>
      </c>
      <c r="AM1115" t="s">
        <v>91</v>
      </c>
      <c r="AN1115" t="s">
        <v>91</v>
      </c>
      <c r="AO1115" t="s">
        <v>91</v>
      </c>
      <c r="AP1115" t="s">
        <v>91</v>
      </c>
      <c r="AQ1115" s="1" t="s">
        <v>91</v>
      </c>
      <c r="AR1115" s="1" t="s">
        <v>91</v>
      </c>
      <c r="AS1115" s="1" t="s">
        <v>91</v>
      </c>
      <c r="AT1115" s="1" t="s">
        <v>91</v>
      </c>
      <c r="AU1115" s="1" t="s">
        <v>91</v>
      </c>
      <c r="AV1115" t="s">
        <v>91</v>
      </c>
      <c r="AW1115" t="s">
        <v>91</v>
      </c>
      <c r="AX1115" t="s">
        <v>91</v>
      </c>
      <c r="AY1115" t="s">
        <v>91</v>
      </c>
      <c r="AZ1115" t="s">
        <v>91</v>
      </c>
      <c r="BA1115" t="s">
        <v>91</v>
      </c>
      <c r="BB1115" s="2"/>
      <c r="BC1115" s="2"/>
      <c r="BD1115" t="s">
        <v>91</v>
      </c>
      <c r="BF1115" s="1" t="s">
        <v>75</v>
      </c>
      <c r="BG1115">
        <v>0</v>
      </c>
      <c r="BH1115">
        <v>0</v>
      </c>
      <c r="BI1115" s="1" t="s">
        <v>88</v>
      </c>
      <c r="BJ1115">
        <v>1</v>
      </c>
      <c r="BK1115" s="1" t="s">
        <v>89</v>
      </c>
      <c r="BL1115" t="s">
        <v>91</v>
      </c>
      <c r="BM1115" s="1" t="s">
        <v>109</v>
      </c>
      <c r="BN1115" s="1" t="s">
        <v>110</v>
      </c>
      <c r="BO1115" s="1" t="s">
        <v>165</v>
      </c>
      <c r="BP1115" s="1" t="s">
        <v>91</v>
      </c>
      <c r="BQ1115" t="s">
        <v>91</v>
      </c>
      <c r="BR1115" s="3"/>
      <c r="BS1115" s="3"/>
      <c r="BT1115" t="s">
        <v>91</v>
      </c>
      <c r="BU1115" t="s">
        <v>91</v>
      </c>
      <c r="BV1115">
        <v>9</v>
      </c>
      <c r="BW1115" s="1" t="s">
        <v>1211</v>
      </c>
    </row>
    <row r="1116" spans="1:75" hidden="1" x14ac:dyDescent="0.35">
      <c r="A1116">
        <v>144401</v>
      </c>
      <c r="B1116" s="1" t="s">
        <v>75</v>
      </c>
      <c r="C1116">
        <v>80</v>
      </c>
      <c r="D1116">
        <v>11121002</v>
      </c>
      <c r="E1116">
        <v>121002</v>
      </c>
      <c r="F1116" s="1" t="s">
        <v>2915</v>
      </c>
      <c r="G1116" s="1" t="s">
        <v>6159</v>
      </c>
      <c r="I1116" s="1" t="s">
        <v>78</v>
      </c>
      <c r="J1116" s="1" t="s">
        <v>6160</v>
      </c>
      <c r="K1116" s="1" t="s">
        <v>6161</v>
      </c>
      <c r="L1116" t="s">
        <v>91</v>
      </c>
      <c r="M1116" t="s">
        <v>91</v>
      </c>
      <c r="N1116" s="1" t="s">
        <v>6162</v>
      </c>
      <c r="O1116" t="s">
        <v>91</v>
      </c>
      <c r="P1116" s="1" t="s">
        <v>5223</v>
      </c>
      <c r="Q1116" s="1" t="s">
        <v>753</v>
      </c>
      <c r="R1116" s="1" t="s">
        <v>91</v>
      </c>
      <c r="S1116">
        <v>1268</v>
      </c>
      <c r="T1116">
        <v>88702100</v>
      </c>
      <c r="U1116" s="1" t="s">
        <v>5225</v>
      </c>
      <c r="V1116" s="1" t="s">
        <v>3059</v>
      </c>
      <c r="W1116" s="1" t="s">
        <v>87</v>
      </c>
      <c r="X1116">
        <v>48</v>
      </c>
      <c r="Y1116">
        <v>36220933</v>
      </c>
      <c r="Z1116" t="s">
        <v>91</v>
      </c>
      <c r="AA1116" t="s">
        <v>91</v>
      </c>
      <c r="AB1116" t="s">
        <v>91</v>
      </c>
      <c r="AC1116" t="s">
        <v>91</v>
      </c>
      <c r="AD1116" t="s">
        <v>91</v>
      </c>
      <c r="AE1116" t="s">
        <v>91</v>
      </c>
      <c r="AF1116" t="s">
        <v>91</v>
      </c>
      <c r="AG1116" s="1" t="s">
        <v>91</v>
      </c>
      <c r="AH1116" s="1" t="s">
        <v>91</v>
      </c>
      <c r="AI1116" t="s">
        <v>91</v>
      </c>
      <c r="AJ1116">
        <v>0</v>
      </c>
      <c r="AK1116">
        <v>0</v>
      </c>
      <c r="AL1116">
        <v>0</v>
      </c>
      <c r="AM1116" t="s">
        <v>91</v>
      </c>
      <c r="AN1116" t="s">
        <v>91</v>
      </c>
      <c r="AO1116" t="s">
        <v>91</v>
      </c>
      <c r="AP1116" t="s">
        <v>91</v>
      </c>
      <c r="AQ1116" s="1" t="s">
        <v>91</v>
      </c>
      <c r="AR1116" s="1" t="s">
        <v>91</v>
      </c>
      <c r="AS1116" s="1" t="s">
        <v>91</v>
      </c>
      <c r="AT1116" s="1" t="s">
        <v>91</v>
      </c>
      <c r="AU1116" s="1" t="s">
        <v>91</v>
      </c>
      <c r="AV1116" t="s">
        <v>91</v>
      </c>
      <c r="AW1116" t="s">
        <v>91</v>
      </c>
      <c r="AX1116" t="s">
        <v>91</v>
      </c>
      <c r="AY1116" t="s">
        <v>91</v>
      </c>
      <c r="AZ1116" t="s">
        <v>91</v>
      </c>
      <c r="BA1116" t="s">
        <v>91</v>
      </c>
      <c r="BB1116" s="2"/>
      <c r="BC1116" s="2"/>
      <c r="BD1116" t="s">
        <v>91</v>
      </c>
      <c r="BF1116" s="1" t="s">
        <v>75</v>
      </c>
      <c r="BG1116">
        <v>0</v>
      </c>
      <c r="BH1116">
        <v>0</v>
      </c>
      <c r="BI1116" s="1" t="s">
        <v>88</v>
      </c>
      <c r="BJ1116">
        <v>1</v>
      </c>
      <c r="BK1116" s="1" t="s">
        <v>89</v>
      </c>
      <c r="BL1116" t="s">
        <v>91</v>
      </c>
      <c r="BM1116" s="1" t="s">
        <v>329</v>
      </c>
      <c r="BN1116" s="1" t="s">
        <v>110</v>
      </c>
      <c r="BO1116" s="1" t="s">
        <v>165</v>
      </c>
      <c r="BP1116" s="1" t="s">
        <v>91</v>
      </c>
      <c r="BQ1116" t="s">
        <v>91</v>
      </c>
      <c r="BR1116" s="3"/>
      <c r="BS1116" s="3"/>
      <c r="BT1116" t="s">
        <v>91</v>
      </c>
      <c r="BU1116" t="s">
        <v>91</v>
      </c>
      <c r="BV1116">
        <v>1</v>
      </c>
      <c r="BW1116" s="1" t="s">
        <v>268</v>
      </c>
    </row>
    <row r="1117" spans="1:75" hidden="1" x14ac:dyDescent="0.35">
      <c r="A1117">
        <v>144400</v>
      </c>
      <c r="B1117" s="1" t="s">
        <v>75</v>
      </c>
      <c r="C1117">
        <v>80</v>
      </c>
      <c r="D1117">
        <v>11121002</v>
      </c>
      <c r="E1117">
        <v>121002</v>
      </c>
      <c r="F1117" s="1" t="s">
        <v>2915</v>
      </c>
      <c r="G1117" s="1" t="s">
        <v>6163</v>
      </c>
      <c r="I1117" s="1" t="s">
        <v>78</v>
      </c>
      <c r="J1117" s="1" t="s">
        <v>6164</v>
      </c>
      <c r="K1117" s="1" t="s">
        <v>6165</v>
      </c>
      <c r="L1117" t="s">
        <v>91</v>
      </c>
      <c r="M1117" t="s">
        <v>91</v>
      </c>
      <c r="N1117" s="1" t="s">
        <v>6166</v>
      </c>
      <c r="O1117" t="s">
        <v>91</v>
      </c>
      <c r="P1117" s="1" t="s">
        <v>260</v>
      </c>
      <c r="Q1117" s="1" t="s">
        <v>841</v>
      </c>
      <c r="R1117" s="1" t="s">
        <v>91</v>
      </c>
      <c r="S1117">
        <v>1270</v>
      </c>
      <c r="T1117">
        <v>88960000</v>
      </c>
      <c r="U1117" s="1" t="s">
        <v>108</v>
      </c>
      <c r="V1117" s="1" t="s">
        <v>3694</v>
      </c>
      <c r="W1117" s="1" t="s">
        <v>87</v>
      </c>
      <c r="X1117">
        <v>48</v>
      </c>
      <c r="Y1117">
        <v>35330448</v>
      </c>
      <c r="Z1117" t="s">
        <v>91</v>
      </c>
      <c r="AA1117" t="s">
        <v>91</v>
      </c>
      <c r="AB1117" t="s">
        <v>91</v>
      </c>
      <c r="AC1117" t="s">
        <v>91</v>
      </c>
      <c r="AD1117" t="s">
        <v>91</v>
      </c>
      <c r="AE1117" t="s">
        <v>91</v>
      </c>
      <c r="AF1117" t="s">
        <v>91</v>
      </c>
      <c r="AG1117" s="1" t="s">
        <v>91</v>
      </c>
      <c r="AH1117" s="1" t="s">
        <v>91</v>
      </c>
      <c r="AI1117" t="s">
        <v>91</v>
      </c>
      <c r="AJ1117">
        <v>0</v>
      </c>
      <c r="AK1117">
        <v>0</v>
      </c>
      <c r="AL1117">
        <v>0</v>
      </c>
      <c r="AM1117" t="s">
        <v>91</v>
      </c>
      <c r="AN1117" t="s">
        <v>91</v>
      </c>
      <c r="AO1117" t="s">
        <v>91</v>
      </c>
      <c r="AP1117" t="s">
        <v>91</v>
      </c>
      <c r="AQ1117" s="1" t="s">
        <v>91</v>
      </c>
      <c r="AR1117" s="1" t="s">
        <v>91</v>
      </c>
      <c r="AS1117" s="1" t="s">
        <v>91</v>
      </c>
      <c r="AT1117" s="1" t="s">
        <v>91</v>
      </c>
      <c r="AU1117" s="1" t="s">
        <v>91</v>
      </c>
      <c r="AV1117" t="s">
        <v>91</v>
      </c>
      <c r="AW1117" t="s">
        <v>91</v>
      </c>
      <c r="AX1117" t="s">
        <v>91</v>
      </c>
      <c r="AY1117" t="s">
        <v>91</v>
      </c>
      <c r="AZ1117" t="s">
        <v>91</v>
      </c>
      <c r="BA1117" t="s">
        <v>91</v>
      </c>
      <c r="BB1117" s="2"/>
      <c r="BC1117" s="2"/>
      <c r="BD1117" t="s">
        <v>91</v>
      </c>
      <c r="BF1117" s="1" t="s">
        <v>75</v>
      </c>
      <c r="BG1117">
        <v>0</v>
      </c>
      <c r="BH1117">
        <v>0</v>
      </c>
      <c r="BI1117" s="1" t="s">
        <v>88</v>
      </c>
      <c r="BJ1117">
        <v>1</v>
      </c>
      <c r="BK1117" s="1" t="s">
        <v>89</v>
      </c>
      <c r="BL1117" t="s">
        <v>91</v>
      </c>
      <c r="BM1117" s="1" t="s">
        <v>109</v>
      </c>
      <c r="BN1117" s="1" t="s">
        <v>110</v>
      </c>
      <c r="BO1117" s="1" t="s">
        <v>111</v>
      </c>
      <c r="BP1117" s="1" t="s">
        <v>91</v>
      </c>
      <c r="BQ1117" t="s">
        <v>91</v>
      </c>
      <c r="BR1117" s="3"/>
      <c r="BS1117" s="3"/>
      <c r="BT1117" t="s">
        <v>91</v>
      </c>
      <c r="BU1117" t="s">
        <v>91</v>
      </c>
      <c r="BV1117">
        <v>8</v>
      </c>
      <c r="BW1117" s="1" t="s">
        <v>1899</v>
      </c>
    </row>
    <row r="1118" spans="1:75" hidden="1" x14ac:dyDescent="0.35">
      <c r="A1118">
        <v>144704</v>
      </c>
      <c r="B1118" s="1" t="s">
        <v>75</v>
      </c>
      <c r="C1118">
        <v>80</v>
      </c>
      <c r="D1118">
        <v>11121002</v>
      </c>
      <c r="E1118">
        <v>121002</v>
      </c>
      <c r="F1118" s="1" t="s">
        <v>2915</v>
      </c>
      <c r="G1118" s="1" t="s">
        <v>6167</v>
      </c>
      <c r="I1118" s="1" t="s">
        <v>78</v>
      </c>
      <c r="J1118" s="1" t="s">
        <v>6164</v>
      </c>
      <c r="K1118" s="1" t="s">
        <v>6168</v>
      </c>
      <c r="L1118" t="s">
        <v>91</v>
      </c>
      <c r="M1118" t="s">
        <v>91</v>
      </c>
      <c r="N1118" s="1" t="s">
        <v>6166</v>
      </c>
      <c r="O1118" t="s">
        <v>91</v>
      </c>
      <c r="P1118" s="1" t="s">
        <v>448</v>
      </c>
      <c r="Q1118" s="1" t="s">
        <v>512</v>
      </c>
      <c r="R1118" s="1" t="s">
        <v>108</v>
      </c>
      <c r="S1118">
        <v>1336</v>
      </c>
      <c r="T1118">
        <v>95560000</v>
      </c>
      <c r="U1118" s="1" t="s">
        <v>108</v>
      </c>
      <c r="V1118" s="1" t="s">
        <v>3038</v>
      </c>
      <c r="W1118" s="1" t="s">
        <v>157</v>
      </c>
      <c r="X1118">
        <v>51</v>
      </c>
      <c r="Y1118">
        <v>36641133</v>
      </c>
      <c r="Z1118" t="s">
        <v>91</v>
      </c>
      <c r="AA1118" t="s">
        <v>91</v>
      </c>
      <c r="AB1118" t="s">
        <v>91</v>
      </c>
      <c r="AC1118" t="s">
        <v>91</v>
      </c>
      <c r="AD1118" t="s">
        <v>91</v>
      </c>
      <c r="AE1118" t="s">
        <v>91</v>
      </c>
      <c r="AF1118" t="s">
        <v>91</v>
      </c>
      <c r="AG1118" s="1" t="s">
        <v>91</v>
      </c>
      <c r="AH1118" s="1" t="s">
        <v>91</v>
      </c>
      <c r="AI1118" t="s">
        <v>91</v>
      </c>
      <c r="AJ1118">
        <v>0</v>
      </c>
      <c r="AK1118">
        <v>0</v>
      </c>
      <c r="AL1118">
        <v>0</v>
      </c>
      <c r="AM1118" t="s">
        <v>91</v>
      </c>
      <c r="AN1118" t="s">
        <v>91</v>
      </c>
      <c r="AO1118" t="s">
        <v>91</v>
      </c>
      <c r="AP1118" t="s">
        <v>91</v>
      </c>
      <c r="AQ1118" s="1" t="s">
        <v>91</v>
      </c>
      <c r="AR1118" s="1" t="s">
        <v>91</v>
      </c>
      <c r="AS1118" s="1" t="s">
        <v>91</v>
      </c>
      <c r="AT1118" s="1" t="s">
        <v>91</v>
      </c>
      <c r="AU1118" s="1" t="s">
        <v>91</v>
      </c>
      <c r="AV1118" t="s">
        <v>91</v>
      </c>
      <c r="AW1118" t="s">
        <v>91</v>
      </c>
      <c r="AX1118" t="s">
        <v>91</v>
      </c>
      <c r="AY1118" t="s">
        <v>91</v>
      </c>
      <c r="AZ1118" t="s">
        <v>91</v>
      </c>
      <c r="BA1118" t="s">
        <v>91</v>
      </c>
      <c r="BB1118" s="2"/>
      <c r="BC1118" s="2"/>
      <c r="BD1118" t="s">
        <v>91</v>
      </c>
      <c r="BF1118" s="1" t="s">
        <v>75</v>
      </c>
      <c r="BG1118">
        <v>0</v>
      </c>
      <c r="BH1118">
        <v>0</v>
      </c>
      <c r="BI1118" s="1" t="s">
        <v>88</v>
      </c>
      <c r="BJ1118">
        <v>1</v>
      </c>
      <c r="BK1118" s="1" t="s">
        <v>89</v>
      </c>
      <c r="BL1118" t="s">
        <v>91</v>
      </c>
      <c r="BM1118" s="1" t="s">
        <v>329</v>
      </c>
      <c r="BN1118" s="1" t="s">
        <v>110</v>
      </c>
      <c r="BO1118" s="1" t="s">
        <v>165</v>
      </c>
      <c r="BP1118" s="1" t="s">
        <v>91</v>
      </c>
      <c r="BQ1118" t="s">
        <v>91</v>
      </c>
      <c r="BR1118" s="3"/>
      <c r="BS1118" s="3"/>
      <c r="BT1118" t="s">
        <v>91</v>
      </c>
      <c r="BU1118" t="s">
        <v>91</v>
      </c>
      <c r="BV1118">
        <v>5</v>
      </c>
      <c r="BW1118" s="1" t="s">
        <v>478</v>
      </c>
    </row>
    <row r="1119" spans="1:75" hidden="1" x14ac:dyDescent="0.35">
      <c r="A1119">
        <v>144376</v>
      </c>
      <c r="B1119" s="1" t="s">
        <v>75</v>
      </c>
      <c r="C1119">
        <v>80</v>
      </c>
      <c r="D1119">
        <v>11121002</v>
      </c>
      <c r="E1119">
        <v>121002</v>
      </c>
      <c r="F1119" s="1" t="s">
        <v>2915</v>
      </c>
      <c r="G1119" s="1" t="s">
        <v>6169</v>
      </c>
      <c r="I1119" s="1" t="s">
        <v>78</v>
      </c>
      <c r="J1119" s="1" t="s">
        <v>6170</v>
      </c>
      <c r="K1119" s="1" t="s">
        <v>6171</v>
      </c>
      <c r="L1119" t="s">
        <v>91</v>
      </c>
      <c r="M1119" t="s">
        <v>91</v>
      </c>
      <c r="N1119" s="1" t="s">
        <v>6172</v>
      </c>
      <c r="O1119" t="s">
        <v>91</v>
      </c>
      <c r="P1119" s="1" t="s">
        <v>6173</v>
      </c>
      <c r="Q1119" s="1" t="s">
        <v>1912</v>
      </c>
      <c r="R1119" s="1" t="s">
        <v>91</v>
      </c>
      <c r="S1119">
        <v>1268</v>
      </c>
      <c r="T1119">
        <v>88750000</v>
      </c>
      <c r="U1119" s="1" t="s">
        <v>343</v>
      </c>
      <c r="V1119" s="1" t="s">
        <v>3972</v>
      </c>
      <c r="W1119" s="1" t="s">
        <v>87</v>
      </c>
      <c r="X1119">
        <v>48</v>
      </c>
      <c r="Y1119">
        <v>36582163</v>
      </c>
      <c r="Z1119" t="s">
        <v>91</v>
      </c>
      <c r="AA1119" t="s">
        <v>91</v>
      </c>
      <c r="AB1119" t="s">
        <v>91</v>
      </c>
      <c r="AC1119" t="s">
        <v>91</v>
      </c>
      <c r="AD1119" t="s">
        <v>91</v>
      </c>
      <c r="AE1119" t="s">
        <v>91</v>
      </c>
      <c r="AF1119" t="s">
        <v>91</v>
      </c>
      <c r="AG1119" s="1" t="s">
        <v>91</v>
      </c>
      <c r="AH1119" s="1" t="s">
        <v>91</v>
      </c>
      <c r="AI1119" t="s">
        <v>91</v>
      </c>
      <c r="AJ1119">
        <v>0</v>
      </c>
      <c r="AK1119">
        <v>0</v>
      </c>
      <c r="AL1119">
        <v>0</v>
      </c>
      <c r="AM1119" t="s">
        <v>91</v>
      </c>
      <c r="AN1119" t="s">
        <v>91</v>
      </c>
      <c r="AO1119" t="s">
        <v>91</v>
      </c>
      <c r="AP1119" t="s">
        <v>91</v>
      </c>
      <c r="AQ1119" s="1" t="s">
        <v>91</v>
      </c>
      <c r="AR1119" s="1" t="s">
        <v>91</v>
      </c>
      <c r="AS1119" s="1" t="s">
        <v>91</v>
      </c>
      <c r="AT1119" s="1" t="s">
        <v>91</v>
      </c>
      <c r="AU1119" s="1" t="s">
        <v>91</v>
      </c>
      <c r="AV1119" t="s">
        <v>91</v>
      </c>
      <c r="AW1119" t="s">
        <v>91</v>
      </c>
      <c r="AX1119" t="s">
        <v>91</v>
      </c>
      <c r="AY1119" t="s">
        <v>91</v>
      </c>
      <c r="AZ1119" t="s">
        <v>91</v>
      </c>
      <c r="BA1119" t="s">
        <v>91</v>
      </c>
      <c r="BB1119" s="2"/>
      <c r="BC1119" s="2"/>
      <c r="BD1119" t="s">
        <v>91</v>
      </c>
      <c r="BF1119" s="1" t="s">
        <v>75</v>
      </c>
      <c r="BG1119">
        <v>0</v>
      </c>
      <c r="BH1119">
        <v>0</v>
      </c>
      <c r="BI1119" s="1" t="s">
        <v>88</v>
      </c>
      <c r="BJ1119">
        <v>1</v>
      </c>
      <c r="BK1119" s="1" t="s">
        <v>89</v>
      </c>
      <c r="BL1119" t="s">
        <v>91</v>
      </c>
      <c r="BM1119" s="1" t="s">
        <v>329</v>
      </c>
      <c r="BN1119" s="1" t="s">
        <v>110</v>
      </c>
      <c r="BO1119" s="1" t="s">
        <v>165</v>
      </c>
      <c r="BP1119" s="1" t="s">
        <v>91</v>
      </c>
      <c r="BQ1119" t="s">
        <v>91</v>
      </c>
      <c r="BR1119" s="3"/>
      <c r="BS1119" s="3"/>
      <c r="BT1119" t="s">
        <v>91</v>
      </c>
      <c r="BU1119" t="s">
        <v>91</v>
      </c>
      <c r="BV1119">
        <v>1</v>
      </c>
      <c r="BW1119" s="1" t="s">
        <v>1383</v>
      </c>
    </row>
    <row r="1120" spans="1:75" hidden="1" x14ac:dyDescent="0.35">
      <c r="A1120">
        <v>144326</v>
      </c>
      <c r="B1120" s="1" t="s">
        <v>75</v>
      </c>
      <c r="C1120">
        <v>80</v>
      </c>
      <c r="D1120">
        <v>11121002</v>
      </c>
      <c r="E1120">
        <v>121002</v>
      </c>
      <c r="F1120" s="1" t="s">
        <v>2915</v>
      </c>
      <c r="G1120" s="1" t="s">
        <v>6174</v>
      </c>
      <c r="I1120" s="1" t="s">
        <v>78</v>
      </c>
      <c r="J1120" s="1" t="s">
        <v>6175</v>
      </c>
      <c r="K1120" s="1" t="s">
        <v>6176</v>
      </c>
      <c r="L1120" t="s">
        <v>91</v>
      </c>
      <c r="M1120" t="s">
        <v>91</v>
      </c>
      <c r="N1120" s="1" t="s">
        <v>6177</v>
      </c>
      <c r="O1120" t="s">
        <v>91</v>
      </c>
      <c r="P1120" s="1" t="s">
        <v>1094</v>
      </c>
      <c r="Q1120" s="1" t="s">
        <v>6178</v>
      </c>
      <c r="R1120" s="1" t="s">
        <v>91</v>
      </c>
      <c r="S1120">
        <v>1268</v>
      </c>
      <c r="T1120">
        <v>88780000</v>
      </c>
      <c r="U1120" s="1" t="s">
        <v>108</v>
      </c>
      <c r="V1120" s="1" t="s">
        <v>2929</v>
      </c>
      <c r="W1120" s="1" t="s">
        <v>87</v>
      </c>
      <c r="X1120">
        <v>48</v>
      </c>
      <c r="Y1120">
        <v>32557400</v>
      </c>
      <c r="Z1120" t="s">
        <v>91</v>
      </c>
      <c r="AA1120" t="s">
        <v>91</v>
      </c>
      <c r="AB1120" t="s">
        <v>91</v>
      </c>
      <c r="AC1120" t="s">
        <v>91</v>
      </c>
      <c r="AD1120" t="s">
        <v>91</v>
      </c>
      <c r="AE1120" t="s">
        <v>91</v>
      </c>
      <c r="AF1120" t="s">
        <v>91</v>
      </c>
      <c r="AG1120" s="1" t="s">
        <v>91</v>
      </c>
      <c r="AH1120" s="1" t="s">
        <v>91</v>
      </c>
      <c r="AI1120" t="s">
        <v>91</v>
      </c>
      <c r="AJ1120">
        <v>0</v>
      </c>
      <c r="AK1120">
        <v>0</v>
      </c>
      <c r="AL1120">
        <v>0</v>
      </c>
      <c r="AM1120" t="s">
        <v>91</v>
      </c>
      <c r="AN1120" t="s">
        <v>91</v>
      </c>
      <c r="AO1120" t="s">
        <v>91</v>
      </c>
      <c r="AP1120" t="s">
        <v>91</v>
      </c>
      <c r="AQ1120" s="1" t="s">
        <v>91</v>
      </c>
      <c r="AR1120" s="1" t="s">
        <v>91</v>
      </c>
      <c r="AS1120" s="1" t="s">
        <v>91</v>
      </c>
      <c r="AT1120" s="1" t="s">
        <v>91</v>
      </c>
      <c r="AU1120" s="1" t="s">
        <v>91</v>
      </c>
      <c r="AV1120" t="s">
        <v>91</v>
      </c>
      <c r="AW1120" t="s">
        <v>91</v>
      </c>
      <c r="AX1120" t="s">
        <v>91</v>
      </c>
      <c r="AY1120" t="s">
        <v>91</v>
      </c>
      <c r="AZ1120" t="s">
        <v>91</v>
      </c>
      <c r="BA1120" t="s">
        <v>91</v>
      </c>
      <c r="BB1120" s="2"/>
      <c r="BC1120" s="2"/>
      <c r="BD1120" t="s">
        <v>91</v>
      </c>
      <c r="BF1120" s="1" t="s">
        <v>75</v>
      </c>
      <c r="BG1120">
        <v>0</v>
      </c>
      <c r="BH1120">
        <v>0</v>
      </c>
      <c r="BI1120" s="1" t="s">
        <v>88</v>
      </c>
      <c r="BJ1120">
        <v>1</v>
      </c>
      <c r="BK1120" s="1" t="s">
        <v>89</v>
      </c>
      <c r="BL1120" t="s">
        <v>91</v>
      </c>
      <c r="BM1120" s="1" t="s">
        <v>329</v>
      </c>
      <c r="BN1120" s="1" t="s">
        <v>110</v>
      </c>
      <c r="BO1120" s="1" t="s">
        <v>165</v>
      </c>
      <c r="BP1120" s="1" t="s">
        <v>91</v>
      </c>
      <c r="BQ1120" t="s">
        <v>91</v>
      </c>
      <c r="BR1120" s="3"/>
      <c r="BS1120" s="3"/>
      <c r="BT1120" t="s">
        <v>91</v>
      </c>
      <c r="BU1120" t="s">
        <v>91</v>
      </c>
      <c r="BV1120">
        <v>1</v>
      </c>
      <c r="BW1120" s="1" t="s">
        <v>295</v>
      </c>
    </row>
    <row r="1121" spans="1:75" hidden="1" x14ac:dyDescent="0.35">
      <c r="A1121">
        <v>408</v>
      </c>
      <c r="B1121" s="1" t="s">
        <v>75</v>
      </c>
      <c r="C1121">
        <v>80</v>
      </c>
      <c r="D1121">
        <v>11121002</v>
      </c>
      <c r="E1121">
        <v>121002</v>
      </c>
      <c r="F1121" s="1" t="s">
        <v>2915</v>
      </c>
      <c r="G1121" s="1" t="s">
        <v>6179</v>
      </c>
      <c r="I1121" s="1" t="s">
        <v>78</v>
      </c>
      <c r="J1121" s="1" t="s">
        <v>6180</v>
      </c>
      <c r="K1121" s="1" t="s">
        <v>6181</v>
      </c>
      <c r="L1121" t="s">
        <v>91</v>
      </c>
      <c r="M1121" t="s">
        <v>91</v>
      </c>
      <c r="N1121" s="1" t="s">
        <v>6182</v>
      </c>
      <c r="O1121" t="s">
        <v>91</v>
      </c>
      <c r="P1121" s="1" t="s">
        <v>4948</v>
      </c>
      <c r="Q1121" s="1" t="s">
        <v>6183</v>
      </c>
      <c r="R1121" s="1" t="s">
        <v>954</v>
      </c>
      <c r="S1121">
        <v>1259</v>
      </c>
      <c r="T1121">
        <v>88101100</v>
      </c>
      <c r="U1121" s="1" t="s">
        <v>3015</v>
      </c>
      <c r="V1121" s="1" t="s">
        <v>3016</v>
      </c>
      <c r="W1121" s="1" t="s">
        <v>87</v>
      </c>
      <c r="X1121">
        <v>48</v>
      </c>
      <c r="Y1121">
        <v>30343653</v>
      </c>
      <c r="Z1121" t="s">
        <v>91</v>
      </c>
      <c r="AA1121" t="s">
        <v>91</v>
      </c>
      <c r="AB1121" t="s">
        <v>91</v>
      </c>
      <c r="AC1121" t="s">
        <v>91</v>
      </c>
      <c r="AD1121" t="s">
        <v>91</v>
      </c>
      <c r="AE1121" t="s">
        <v>91</v>
      </c>
      <c r="AF1121" t="s">
        <v>91</v>
      </c>
      <c r="AG1121" s="1" t="s">
        <v>91</v>
      </c>
      <c r="AH1121" s="1" t="s">
        <v>91</v>
      </c>
      <c r="AI1121" t="s">
        <v>91</v>
      </c>
      <c r="AJ1121">
        <v>0</v>
      </c>
      <c r="AK1121">
        <v>0</v>
      </c>
      <c r="AL1121">
        <v>0</v>
      </c>
      <c r="AM1121" t="s">
        <v>91</v>
      </c>
      <c r="AN1121" t="s">
        <v>91</v>
      </c>
      <c r="AO1121" t="s">
        <v>91</v>
      </c>
      <c r="AP1121" t="s">
        <v>91</v>
      </c>
      <c r="AQ1121" s="1" t="s">
        <v>91</v>
      </c>
      <c r="AR1121" s="1" t="s">
        <v>91</v>
      </c>
      <c r="AS1121" s="1" t="s">
        <v>91</v>
      </c>
      <c r="AT1121" s="1" t="s">
        <v>91</v>
      </c>
      <c r="AU1121" s="1" t="s">
        <v>91</v>
      </c>
      <c r="AV1121" t="s">
        <v>91</v>
      </c>
      <c r="AW1121" t="s">
        <v>91</v>
      </c>
      <c r="AX1121" t="s">
        <v>91</v>
      </c>
      <c r="AY1121" t="s">
        <v>91</v>
      </c>
      <c r="AZ1121" t="s">
        <v>91</v>
      </c>
      <c r="BA1121" t="s">
        <v>91</v>
      </c>
      <c r="BB1121" s="2">
        <v>43308.392835648148</v>
      </c>
      <c r="BC1121" s="2"/>
      <c r="BD1121" t="s">
        <v>91</v>
      </c>
      <c r="BE1121">
        <v>408</v>
      </c>
      <c r="BF1121" s="1" t="s">
        <v>75</v>
      </c>
      <c r="BG1121">
        <v>0</v>
      </c>
      <c r="BH1121">
        <v>0</v>
      </c>
      <c r="BI1121" s="1" t="s">
        <v>88</v>
      </c>
      <c r="BJ1121">
        <v>1</v>
      </c>
      <c r="BK1121" s="1" t="s">
        <v>89</v>
      </c>
      <c r="BL1121" t="s">
        <v>91</v>
      </c>
      <c r="BM1121" s="1" t="s">
        <v>329</v>
      </c>
      <c r="BN1121" s="1" t="s">
        <v>110</v>
      </c>
      <c r="BO1121" s="1" t="s">
        <v>165</v>
      </c>
      <c r="BP1121" s="1" t="s">
        <v>91</v>
      </c>
      <c r="BQ1121" t="s">
        <v>91</v>
      </c>
      <c r="BR1121" s="3">
        <v>43308</v>
      </c>
      <c r="BS1121" s="3"/>
      <c r="BT1121" t="s">
        <v>91</v>
      </c>
      <c r="BU1121" t="s">
        <v>91</v>
      </c>
      <c r="BV1121">
        <v>1</v>
      </c>
      <c r="BW1121" s="1" t="s">
        <v>120</v>
      </c>
    </row>
    <row r="1122" spans="1:75" hidden="1" x14ac:dyDescent="0.35">
      <c r="A1122">
        <v>144402</v>
      </c>
      <c r="B1122" s="1" t="s">
        <v>75</v>
      </c>
      <c r="C1122">
        <v>80</v>
      </c>
      <c r="D1122">
        <v>11121002</v>
      </c>
      <c r="E1122">
        <v>121002</v>
      </c>
      <c r="F1122" s="1" t="s">
        <v>2915</v>
      </c>
      <c r="G1122" s="1" t="s">
        <v>6184</v>
      </c>
      <c r="I1122" s="1" t="s">
        <v>78</v>
      </c>
      <c r="J1122" s="1" t="s">
        <v>6185</v>
      </c>
      <c r="K1122" s="1" t="s">
        <v>6186</v>
      </c>
      <c r="L1122" t="s">
        <v>91</v>
      </c>
      <c r="M1122" t="s">
        <v>91</v>
      </c>
      <c r="N1122" s="1" t="s">
        <v>6187</v>
      </c>
      <c r="O1122" t="s">
        <v>91</v>
      </c>
      <c r="P1122" s="1" t="s">
        <v>6173</v>
      </c>
      <c r="Q1122" s="1" t="s">
        <v>4547</v>
      </c>
      <c r="R1122" s="1" t="s">
        <v>91</v>
      </c>
      <c r="S1122">
        <v>1268</v>
      </c>
      <c r="T1122">
        <v>88750000</v>
      </c>
      <c r="U1122" s="1" t="s">
        <v>108</v>
      </c>
      <c r="V1122" s="1" t="s">
        <v>3972</v>
      </c>
      <c r="W1122" s="1" t="s">
        <v>87</v>
      </c>
      <c r="X1122">
        <v>48</v>
      </c>
      <c r="Y1122">
        <v>36582277</v>
      </c>
      <c r="Z1122" t="s">
        <v>91</v>
      </c>
      <c r="AA1122" t="s">
        <v>91</v>
      </c>
      <c r="AB1122" t="s">
        <v>91</v>
      </c>
      <c r="AC1122" t="s">
        <v>91</v>
      </c>
      <c r="AD1122" t="s">
        <v>91</v>
      </c>
      <c r="AE1122" t="s">
        <v>91</v>
      </c>
      <c r="AF1122" t="s">
        <v>91</v>
      </c>
      <c r="AG1122" s="1" t="s">
        <v>91</v>
      </c>
      <c r="AH1122" s="1" t="s">
        <v>91</v>
      </c>
      <c r="AI1122" t="s">
        <v>91</v>
      </c>
      <c r="AJ1122">
        <v>0</v>
      </c>
      <c r="AK1122">
        <v>0</v>
      </c>
      <c r="AL1122">
        <v>0</v>
      </c>
      <c r="AM1122" t="s">
        <v>91</v>
      </c>
      <c r="AN1122" t="s">
        <v>91</v>
      </c>
      <c r="AO1122" t="s">
        <v>91</v>
      </c>
      <c r="AP1122" t="s">
        <v>91</v>
      </c>
      <c r="AQ1122" s="1" t="s">
        <v>91</v>
      </c>
      <c r="AR1122" s="1" t="s">
        <v>91</v>
      </c>
      <c r="AS1122" s="1" t="s">
        <v>91</v>
      </c>
      <c r="AT1122" s="1" t="s">
        <v>91</v>
      </c>
      <c r="AU1122" s="1" t="s">
        <v>91</v>
      </c>
      <c r="AV1122" t="s">
        <v>91</v>
      </c>
      <c r="AW1122" t="s">
        <v>91</v>
      </c>
      <c r="AX1122" t="s">
        <v>91</v>
      </c>
      <c r="AY1122" t="s">
        <v>91</v>
      </c>
      <c r="AZ1122" t="s">
        <v>91</v>
      </c>
      <c r="BA1122" t="s">
        <v>91</v>
      </c>
      <c r="BB1122" s="2"/>
      <c r="BC1122" s="2"/>
      <c r="BD1122" t="s">
        <v>91</v>
      </c>
      <c r="BF1122" s="1" t="s">
        <v>75</v>
      </c>
      <c r="BG1122">
        <v>0</v>
      </c>
      <c r="BH1122">
        <v>0</v>
      </c>
      <c r="BI1122" s="1" t="s">
        <v>88</v>
      </c>
      <c r="BJ1122">
        <v>1</v>
      </c>
      <c r="BK1122" s="1" t="s">
        <v>89</v>
      </c>
      <c r="BL1122" t="s">
        <v>91</v>
      </c>
      <c r="BM1122" s="1" t="s">
        <v>329</v>
      </c>
      <c r="BN1122" s="1" t="s">
        <v>110</v>
      </c>
      <c r="BO1122" s="1" t="s">
        <v>165</v>
      </c>
      <c r="BP1122" s="1" t="s">
        <v>91</v>
      </c>
      <c r="BQ1122" t="s">
        <v>91</v>
      </c>
      <c r="BR1122" s="3"/>
      <c r="BS1122" s="3"/>
      <c r="BT1122" t="s">
        <v>91</v>
      </c>
      <c r="BU1122" t="s">
        <v>91</v>
      </c>
      <c r="BV1122">
        <v>1</v>
      </c>
      <c r="BW1122" s="1" t="s">
        <v>330</v>
      </c>
    </row>
    <row r="1123" spans="1:75" hidden="1" x14ac:dyDescent="0.35">
      <c r="A1123">
        <v>144365</v>
      </c>
      <c r="B1123" s="1" t="s">
        <v>75</v>
      </c>
      <c r="C1123">
        <v>80</v>
      </c>
      <c r="D1123">
        <v>11121002</v>
      </c>
      <c r="E1123">
        <v>121002</v>
      </c>
      <c r="F1123" s="1" t="s">
        <v>2915</v>
      </c>
      <c r="G1123" s="1" t="s">
        <v>6188</v>
      </c>
      <c r="I1123" s="1" t="s">
        <v>78</v>
      </c>
      <c r="J1123" s="1" t="s">
        <v>6189</v>
      </c>
      <c r="K1123" s="1" t="s">
        <v>6190</v>
      </c>
      <c r="L1123" t="s">
        <v>91</v>
      </c>
      <c r="M1123" t="s">
        <v>91</v>
      </c>
      <c r="N1123" s="1" t="s">
        <v>6191</v>
      </c>
      <c r="O1123" t="s">
        <v>91</v>
      </c>
      <c r="P1123" s="1" t="s">
        <v>260</v>
      </c>
      <c r="Q1123" s="1" t="s">
        <v>1436</v>
      </c>
      <c r="R1123" s="1" t="s">
        <v>91</v>
      </c>
      <c r="S1123">
        <v>1270</v>
      </c>
      <c r="T1123">
        <v>88960000</v>
      </c>
      <c r="U1123" s="1" t="s">
        <v>108</v>
      </c>
      <c r="V1123" s="1" t="s">
        <v>3694</v>
      </c>
      <c r="W1123" s="1" t="s">
        <v>87</v>
      </c>
      <c r="X1123">
        <v>48</v>
      </c>
      <c r="Y1123">
        <v>35330400</v>
      </c>
      <c r="Z1123" t="s">
        <v>91</v>
      </c>
      <c r="AA1123" t="s">
        <v>91</v>
      </c>
      <c r="AB1123" t="s">
        <v>91</v>
      </c>
      <c r="AC1123" t="s">
        <v>91</v>
      </c>
      <c r="AD1123" t="s">
        <v>91</v>
      </c>
      <c r="AE1123" t="s">
        <v>91</v>
      </c>
      <c r="AF1123" t="s">
        <v>91</v>
      </c>
      <c r="AG1123" s="1" t="s">
        <v>91</v>
      </c>
      <c r="AH1123" s="1" t="s">
        <v>91</v>
      </c>
      <c r="AI1123" t="s">
        <v>91</v>
      </c>
      <c r="AJ1123">
        <v>0</v>
      </c>
      <c r="AK1123">
        <v>0</v>
      </c>
      <c r="AL1123">
        <v>0</v>
      </c>
      <c r="AM1123" t="s">
        <v>91</v>
      </c>
      <c r="AN1123" t="s">
        <v>91</v>
      </c>
      <c r="AO1123" t="s">
        <v>91</v>
      </c>
      <c r="AP1123" t="s">
        <v>91</v>
      </c>
      <c r="AQ1123" s="1" t="s">
        <v>91</v>
      </c>
      <c r="AR1123" s="1" t="s">
        <v>91</v>
      </c>
      <c r="AS1123" s="1" t="s">
        <v>91</v>
      </c>
      <c r="AT1123" s="1" t="s">
        <v>91</v>
      </c>
      <c r="AU1123" s="1" t="s">
        <v>91</v>
      </c>
      <c r="AV1123" t="s">
        <v>91</v>
      </c>
      <c r="AW1123" t="s">
        <v>91</v>
      </c>
      <c r="AX1123" t="s">
        <v>91</v>
      </c>
      <c r="AY1123" t="s">
        <v>91</v>
      </c>
      <c r="AZ1123" t="s">
        <v>91</v>
      </c>
      <c r="BA1123" t="s">
        <v>91</v>
      </c>
      <c r="BB1123" s="2"/>
      <c r="BC1123" s="2"/>
      <c r="BD1123" t="s">
        <v>91</v>
      </c>
      <c r="BF1123" s="1" t="s">
        <v>75</v>
      </c>
      <c r="BG1123">
        <v>0</v>
      </c>
      <c r="BH1123">
        <v>0</v>
      </c>
      <c r="BI1123" s="1" t="s">
        <v>88</v>
      </c>
      <c r="BJ1123">
        <v>1</v>
      </c>
      <c r="BK1123" s="1" t="s">
        <v>89</v>
      </c>
      <c r="BL1123" t="s">
        <v>91</v>
      </c>
      <c r="BM1123" s="1" t="s">
        <v>109</v>
      </c>
      <c r="BN1123" s="1" t="s">
        <v>148</v>
      </c>
      <c r="BO1123" s="1" t="s">
        <v>111</v>
      </c>
      <c r="BP1123" s="1" t="s">
        <v>91</v>
      </c>
      <c r="BQ1123" t="s">
        <v>91</v>
      </c>
      <c r="BR1123" s="3"/>
      <c r="BS1123" s="3"/>
      <c r="BT1123" t="s">
        <v>91</v>
      </c>
      <c r="BU1123" t="s">
        <v>91</v>
      </c>
      <c r="BV1123">
        <v>6</v>
      </c>
      <c r="BW1123" s="1" t="s">
        <v>90</v>
      </c>
    </row>
    <row r="1124" spans="1:75" hidden="1" x14ac:dyDescent="0.35">
      <c r="A1124">
        <v>69</v>
      </c>
      <c r="B1124" s="1" t="s">
        <v>75</v>
      </c>
      <c r="C1124">
        <v>80</v>
      </c>
      <c r="D1124">
        <v>11121002</v>
      </c>
      <c r="E1124">
        <v>121002</v>
      </c>
      <c r="F1124" s="1" t="s">
        <v>2915</v>
      </c>
      <c r="G1124" s="1" t="s">
        <v>6192</v>
      </c>
      <c r="I1124" s="1" t="s">
        <v>78</v>
      </c>
      <c r="J1124" s="1" t="s">
        <v>6193</v>
      </c>
      <c r="K1124" s="1" t="s">
        <v>6194</v>
      </c>
      <c r="L1124" t="s">
        <v>91</v>
      </c>
      <c r="M1124" t="s">
        <v>91</v>
      </c>
      <c r="N1124" s="1" t="s">
        <v>6195</v>
      </c>
      <c r="O1124" t="s">
        <v>91</v>
      </c>
      <c r="P1124" s="1" t="s">
        <v>6196</v>
      </c>
      <c r="Q1124" s="1" t="s">
        <v>1048</v>
      </c>
      <c r="R1124" s="1" t="s">
        <v>91</v>
      </c>
      <c r="S1124">
        <v>1269</v>
      </c>
      <c r="T1124">
        <v>88845000</v>
      </c>
      <c r="U1124" s="1" t="s">
        <v>343</v>
      </c>
      <c r="V1124" s="1" t="s">
        <v>3188</v>
      </c>
      <c r="W1124" s="1" t="s">
        <v>87</v>
      </c>
      <c r="X1124">
        <v>48</v>
      </c>
      <c r="Y1124">
        <v>34476282</v>
      </c>
      <c r="Z1124" t="s">
        <v>91</v>
      </c>
      <c r="AA1124" t="s">
        <v>91</v>
      </c>
      <c r="AB1124" t="s">
        <v>91</v>
      </c>
      <c r="AC1124" t="s">
        <v>91</v>
      </c>
      <c r="AD1124" t="s">
        <v>91</v>
      </c>
      <c r="AE1124" t="s">
        <v>91</v>
      </c>
      <c r="AF1124" t="s">
        <v>91</v>
      </c>
      <c r="AG1124" s="1" t="s">
        <v>91</v>
      </c>
      <c r="AH1124" s="1" t="s">
        <v>91</v>
      </c>
      <c r="AI1124" t="s">
        <v>91</v>
      </c>
      <c r="AJ1124">
        <v>0</v>
      </c>
      <c r="AK1124">
        <v>0</v>
      </c>
      <c r="AL1124">
        <v>0</v>
      </c>
      <c r="AM1124" t="s">
        <v>91</v>
      </c>
      <c r="AN1124" t="s">
        <v>91</v>
      </c>
      <c r="AO1124" t="s">
        <v>91</v>
      </c>
      <c r="AP1124" t="s">
        <v>91</v>
      </c>
      <c r="AQ1124" s="1" t="s">
        <v>91</v>
      </c>
      <c r="AR1124" s="1" t="s">
        <v>91</v>
      </c>
      <c r="AS1124" s="1" t="s">
        <v>91</v>
      </c>
      <c r="AT1124" s="1" t="s">
        <v>91</v>
      </c>
      <c r="AU1124" s="1" t="s">
        <v>91</v>
      </c>
      <c r="AV1124" t="s">
        <v>91</v>
      </c>
      <c r="AW1124" t="s">
        <v>91</v>
      </c>
      <c r="AX1124" t="s">
        <v>91</v>
      </c>
      <c r="AY1124" t="s">
        <v>91</v>
      </c>
      <c r="AZ1124" t="s">
        <v>91</v>
      </c>
      <c r="BA1124" t="s">
        <v>91</v>
      </c>
      <c r="BB1124" s="2">
        <v>43308.392731481479</v>
      </c>
      <c r="BC1124" s="2"/>
      <c r="BD1124" t="s">
        <v>91</v>
      </c>
      <c r="BE1124">
        <v>69</v>
      </c>
      <c r="BF1124" s="1" t="s">
        <v>75</v>
      </c>
      <c r="BG1124">
        <v>0</v>
      </c>
      <c r="BH1124">
        <v>0</v>
      </c>
      <c r="BI1124" s="1" t="s">
        <v>88</v>
      </c>
      <c r="BJ1124">
        <v>1</v>
      </c>
      <c r="BK1124" s="1" t="s">
        <v>89</v>
      </c>
      <c r="BL1124" t="s">
        <v>91</v>
      </c>
      <c r="BM1124" s="1" t="s">
        <v>109</v>
      </c>
      <c r="BN1124" s="1" t="s">
        <v>110</v>
      </c>
      <c r="BO1124" s="1" t="s">
        <v>111</v>
      </c>
      <c r="BP1124" s="1" t="s">
        <v>91</v>
      </c>
      <c r="BQ1124" t="s">
        <v>91</v>
      </c>
      <c r="BR1124" s="3">
        <v>43308</v>
      </c>
      <c r="BS1124" s="3"/>
      <c r="BT1124" t="s">
        <v>91</v>
      </c>
      <c r="BU1124" t="s">
        <v>91</v>
      </c>
      <c r="BV1124">
        <v>9</v>
      </c>
      <c r="BW1124" s="1" t="s">
        <v>1211</v>
      </c>
    </row>
    <row r="1125" spans="1:75" hidden="1" x14ac:dyDescent="0.35">
      <c r="A1125">
        <v>144527</v>
      </c>
      <c r="B1125" s="1" t="s">
        <v>75</v>
      </c>
      <c r="C1125">
        <v>80</v>
      </c>
      <c r="D1125">
        <v>11121002</v>
      </c>
      <c r="E1125">
        <v>121002</v>
      </c>
      <c r="F1125" s="1" t="s">
        <v>2915</v>
      </c>
      <c r="G1125" s="1" t="s">
        <v>6197</v>
      </c>
      <c r="I1125" s="1" t="s">
        <v>78</v>
      </c>
      <c r="J1125" s="1" t="s">
        <v>6198</v>
      </c>
      <c r="K1125" s="1" t="s">
        <v>6199</v>
      </c>
      <c r="L1125" t="s">
        <v>91</v>
      </c>
      <c r="M1125" t="s">
        <v>91</v>
      </c>
      <c r="N1125" s="1" t="s">
        <v>6200</v>
      </c>
      <c r="O1125" t="s">
        <v>91</v>
      </c>
      <c r="P1125" s="1" t="s">
        <v>6201</v>
      </c>
      <c r="Q1125" s="1" t="s">
        <v>1319</v>
      </c>
      <c r="R1125" s="1" t="s">
        <v>91</v>
      </c>
      <c r="S1125">
        <v>1268</v>
      </c>
      <c r="T1125">
        <v>88780000</v>
      </c>
      <c r="U1125" s="1" t="s">
        <v>108</v>
      </c>
      <c r="V1125" s="1" t="s">
        <v>2929</v>
      </c>
      <c r="W1125" s="1" t="s">
        <v>87</v>
      </c>
      <c r="X1125">
        <v>48</v>
      </c>
      <c r="Y1125">
        <v>32550562</v>
      </c>
      <c r="Z1125" t="s">
        <v>91</v>
      </c>
      <c r="AA1125" t="s">
        <v>91</v>
      </c>
      <c r="AB1125" t="s">
        <v>91</v>
      </c>
      <c r="AC1125" t="s">
        <v>91</v>
      </c>
      <c r="AD1125" t="s">
        <v>91</v>
      </c>
      <c r="AE1125" t="s">
        <v>91</v>
      </c>
      <c r="AF1125" t="s">
        <v>91</v>
      </c>
      <c r="AG1125" s="1" t="s">
        <v>91</v>
      </c>
      <c r="AH1125" s="1" t="s">
        <v>91</v>
      </c>
      <c r="AI1125" t="s">
        <v>91</v>
      </c>
      <c r="AJ1125">
        <v>0</v>
      </c>
      <c r="AK1125">
        <v>0</v>
      </c>
      <c r="AL1125">
        <v>0</v>
      </c>
      <c r="AM1125" t="s">
        <v>91</v>
      </c>
      <c r="AN1125" t="s">
        <v>91</v>
      </c>
      <c r="AO1125" t="s">
        <v>91</v>
      </c>
      <c r="AP1125" t="s">
        <v>91</v>
      </c>
      <c r="AQ1125" s="1" t="s">
        <v>91</v>
      </c>
      <c r="AR1125" s="1" t="s">
        <v>91</v>
      </c>
      <c r="AS1125" s="1" t="s">
        <v>91</v>
      </c>
      <c r="AT1125" s="1" t="s">
        <v>91</v>
      </c>
      <c r="AU1125" s="1" t="s">
        <v>91</v>
      </c>
      <c r="AV1125" t="s">
        <v>91</v>
      </c>
      <c r="AW1125" t="s">
        <v>91</v>
      </c>
      <c r="AX1125" t="s">
        <v>91</v>
      </c>
      <c r="AY1125" t="s">
        <v>91</v>
      </c>
      <c r="AZ1125" t="s">
        <v>91</v>
      </c>
      <c r="BA1125" t="s">
        <v>91</v>
      </c>
      <c r="BB1125" s="2"/>
      <c r="BC1125" s="2"/>
      <c r="BD1125" t="s">
        <v>91</v>
      </c>
      <c r="BF1125" s="1" t="s">
        <v>75</v>
      </c>
      <c r="BG1125">
        <v>0</v>
      </c>
      <c r="BH1125">
        <v>0</v>
      </c>
      <c r="BI1125" s="1" t="s">
        <v>88</v>
      </c>
      <c r="BJ1125">
        <v>1</v>
      </c>
      <c r="BK1125" s="1" t="s">
        <v>89</v>
      </c>
      <c r="BL1125" t="s">
        <v>91</v>
      </c>
      <c r="BM1125" s="1" t="s">
        <v>109</v>
      </c>
      <c r="BN1125" s="1" t="s">
        <v>110</v>
      </c>
      <c r="BO1125" s="1" t="s">
        <v>111</v>
      </c>
      <c r="BP1125" s="1" t="s">
        <v>91</v>
      </c>
      <c r="BQ1125" t="s">
        <v>91</v>
      </c>
      <c r="BR1125" s="3"/>
      <c r="BS1125" s="3"/>
      <c r="BT1125" t="s">
        <v>91</v>
      </c>
      <c r="BU1125" t="s">
        <v>91</v>
      </c>
      <c r="BV1125">
        <v>9</v>
      </c>
      <c r="BW1125" s="1" t="s">
        <v>390</v>
      </c>
    </row>
    <row r="1126" spans="1:75" hidden="1" x14ac:dyDescent="0.35">
      <c r="A1126">
        <v>156964</v>
      </c>
      <c r="B1126" s="1" t="s">
        <v>75</v>
      </c>
      <c r="C1126">
        <v>80</v>
      </c>
      <c r="D1126">
        <v>11121002</v>
      </c>
      <c r="E1126">
        <v>121002</v>
      </c>
      <c r="F1126" s="1" t="s">
        <v>2915</v>
      </c>
      <c r="G1126" s="1" t="s">
        <v>6202</v>
      </c>
      <c r="H1126">
        <v>0</v>
      </c>
      <c r="I1126" s="1" t="s">
        <v>78</v>
      </c>
      <c r="J1126" s="1" t="s">
        <v>6203</v>
      </c>
      <c r="K1126" s="1" t="s">
        <v>6204</v>
      </c>
      <c r="L1126" t="s">
        <v>91</v>
      </c>
      <c r="M1126" t="s">
        <v>91</v>
      </c>
      <c r="N1126" s="1" t="s">
        <v>6205</v>
      </c>
      <c r="O1126" t="s">
        <v>91</v>
      </c>
      <c r="P1126" s="1" t="s">
        <v>311</v>
      </c>
      <c r="Q1126" s="1" t="s">
        <v>3707</v>
      </c>
      <c r="R1126" s="1" t="s">
        <v>4192</v>
      </c>
      <c r="S1126">
        <v>1254</v>
      </c>
      <c r="T1126">
        <v>88010000</v>
      </c>
      <c r="U1126" s="1" t="s">
        <v>108</v>
      </c>
      <c r="V1126" s="1" t="s">
        <v>2922</v>
      </c>
      <c r="W1126" s="1" t="s">
        <v>87</v>
      </c>
      <c r="X1126">
        <v>48</v>
      </c>
      <c r="Y1126">
        <v>32245160</v>
      </c>
      <c r="Z1126" t="s">
        <v>91</v>
      </c>
      <c r="AA1126" t="s">
        <v>91</v>
      </c>
      <c r="AB1126" t="s">
        <v>91</v>
      </c>
      <c r="AC1126" t="s">
        <v>91</v>
      </c>
      <c r="AD1126" t="s">
        <v>91</v>
      </c>
      <c r="AE1126" t="s">
        <v>91</v>
      </c>
      <c r="AF1126" t="s">
        <v>91</v>
      </c>
      <c r="AG1126" s="1" t="s">
        <v>91</v>
      </c>
      <c r="AH1126" s="1" t="s">
        <v>91</v>
      </c>
      <c r="AI1126" t="s">
        <v>91</v>
      </c>
      <c r="AM1126" t="s">
        <v>91</v>
      </c>
      <c r="AN1126" t="s">
        <v>91</v>
      </c>
      <c r="AO1126" t="s">
        <v>91</v>
      </c>
      <c r="AP1126" t="s">
        <v>91</v>
      </c>
      <c r="AQ1126" s="1" t="s">
        <v>91</v>
      </c>
      <c r="AR1126" s="1" t="s">
        <v>91</v>
      </c>
      <c r="AS1126" s="1" t="s">
        <v>91</v>
      </c>
      <c r="AT1126" s="1" t="s">
        <v>91</v>
      </c>
      <c r="AU1126" s="1" t="s">
        <v>91</v>
      </c>
      <c r="AV1126" t="s">
        <v>91</v>
      </c>
      <c r="AW1126" t="s">
        <v>91</v>
      </c>
      <c r="AX1126" t="s">
        <v>91</v>
      </c>
      <c r="AY1126" t="s">
        <v>91</v>
      </c>
      <c r="AZ1126" t="s">
        <v>91</v>
      </c>
      <c r="BA1126" t="s">
        <v>91</v>
      </c>
      <c r="BB1126" s="2">
        <v>45113.505416666667</v>
      </c>
      <c r="BC1126" s="2"/>
      <c r="BD1126" t="s">
        <v>91</v>
      </c>
      <c r="BF1126" s="1" t="s">
        <v>75</v>
      </c>
      <c r="BI1126" s="1" t="s">
        <v>88</v>
      </c>
      <c r="BJ1126">
        <v>1</v>
      </c>
      <c r="BK1126" s="1" t="s">
        <v>89</v>
      </c>
      <c r="BL1126" t="s">
        <v>91</v>
      </c>
      <c r="BM1126" s="1" t="s">
        <v>91</v>
      </c>
      <c r="BN1126" s="1" t="s">
        <v>91</v>
      </c>
      <c r="BO1126" s="1" t="s">
        <v>91</v>
      </c>
      <c r="BP1126" s="1" t="s">
        <v>91</v>
      </c>
      <c r="BQ1126" t="s">
        <v>91</v>
      </c>
      <c r="BR1126" s="3">
        <v>45113</v>
      </c>
      <c r="BS1126" s="3"/>
      <c r="BT1126" t="s">
        <v>91</v>
      </c>
      <c r="BU1126" t="s">
        <v>91</v>
      </c>
      <c r="BW1126" s="1" t="s">
        <v>90</v>
      </c>
    </row>
    <row r="1127" spans="1:75" hidden="1" x14ac:dyDescent="0.35">
      <c r="A1127">
        <v>144385</v>
      </c>
      <c r="B1127" s="1" t="s">
        <v>75</v>
      </c>
      <c r="C1127">
        <v>80</v>
      </c>
      <c r="D1127">
        <v>11121002</v>
      </c>
      <c r="E1127">
        <v>121002</v>
      </c>
      <c r="F1127" s="1" t="s">
        <v>2915</v>
      </c>
      <c r="G1127" s="1" t="s">
        <v>6206</v>
      </c>
      <c r="I1127" s="1" t="s">
        <v>78</v>
      </c>
      <c r="J1127" s="1" t="s">
        <v>6207</v>
      </c>
      <c r="K1127" s="1" t="s">
        <v>6208</v>
      </c>
      <c r="L1127" t="s">
        <v>91</v>
      </c>
      <c r="M1127" t="s">
        <v>91</v>
      </c>
      <c r="N1127" s="1" t="s">
        <v>6209</v>
      </c>
      <c r="O1127" t="s">
        <v>91</v>
      </c>
      <c r="P1127" s="1" t="s">
        <v>6173</v>
      </c>
      <c r="Q1127" s="1" t="s">
        <v>2774</v>
      </c>
      <c r="R1127" s="1" t="s">
        <v>91</v>
      </c>
      <c r="S1127">
        <v>1268</v>
      </c>
      <c r="T1127">
        <v>88750000</v>
      </c>
      <c r="U1127" s="1" t="s">
        <v>343</v>
      </c>
      <c r="V1127" s="1" t="s">
        <v>3972</v>
      </c>
      <c r="W1127" s="1" t="s">
        <v>87</v>
      </c>
      <c r="X1127">
        <v>48</v>
      </c>
      <c r="Y1127">
        <v>36583021</v>
      </c>
      <c r="Z1127" t="s">
        <v>91</v>
      </c>
      <c r="AA1127" t="s">
        <v>91</v>
      </c>
      <c r="AB1127" t="s">
        <v>91</v>
      </c>
      <c r="AC1127" t="s">
        <v>91</v>
      </c>
      <c r="AD1127" t="s">
        <v>91</v>
      </c>
      <c r="AE1127" t="s">
        <v>91</v>
      </c>
      <c r="AF1127" t="s">
        <v>91</v>
      </c>
      <c r="AG1127" s="1" t="s">
        <v>91</v>
      </c>
      <c r="AH1127" s="1" t="s">
        <v>91</v>
      </c>
      <c r="AI1127" t="s">
        <v>91</v>
      </c>
      <c r="AJ1127">
        <v>0</v>
      </c>
      <c r="AK1127">
        <v>0</v>
      </c>
      <c r="AL1127">
        <v>0</v>
      </c>
      <c r="AM1127" t="s">
        <v>91</v>
      </c>
      <c r="AN1127" t="s">
        <v>91</v>
      </c>
      <c r="AO1127" t="s">
        <v>91</v>
      </c>
      <c r="AP1127" t="s">
        <v>91</v>
      </c>
      <c r="AQ1127" s="1" t="s">
        <v>91</v>
      </c>
      <c r="AR1127" s="1" t="s">
        <v>91</v>
      </c>
      <c r="AS1127" s="1" t="s">
        <v>91</v>
      </c>
      <c r="AT1127" s="1" t="s">
        <v>91</v>
      </c>
      <c r="AU1127" s="1" t="s">
        <v>91</v>
      </c>
      <c r="AV1127" t="s">
        <v>91</v>
      </c>
      <c r="AW1127" t="s">
        <v>91</v>
      </c>
      <c r="AX1127" t="s">
        <v>91</v>
      </c>
      <c r="AY1127" t="s">
        <v>91</v>
      </c>
      <c r="AZ1127" t="s">
        <v>91</v>
      </c>
      <c r="BA1127" t="s">
        <v>91</v>
      </c>
      <c r="BB1127" s="2"/>
      <c r="BC1127" s="2"/>
      <c r="BD1127" t="s">
        <v>91</v>
      </c>
      <c r="BF1127" s="1" t="s">
        <v>75</v>
      </c>
      <c r="BG1127">
        <v>0</v>
      </c>
      <c r="BH1127">
        <v>0</v>
      </c>
      <c r="BI1127" s="1" t="s">
        <v>88</v>
      </c>
      <c r="BJ1127">
        <v>1</v>
      </c>
      <c r="BK1127" s="1" t="s">
        <v>89</v>
      </c>
      <c r="BL1127" t="s">
        <v>91</v>
      </c>
      <c r="BM1127" s="1" t="s">
        <v>109</v>
      </c>
      <c r="BN1127" s="1" t="s">
        <v>110</v>
      </c>
      <c r="BO1127" s="1" t="s">
        <v>111</v>
      </c>
      <c r="BP1127" s="1" t="s">
        <v>91</v>
      </c>
      <c r="BQ1127" t="s">
        <v>91</v>
      </c>
      <c r="BR1127" s="3"/>
      <c r="BS1127" s="3"/>
      <c r="BT1127" t="s">
        <v>91</v>
      </c>
      <c r="BU1127" t="s">
        <v>91</v>
      </c>
      <c r="BV1127">
        <v>9</v>
      </c>
      <c r="BW1127" s="1" t="s">
        <v>90</v>
      </c>
    </row>
    <row r="1128" spans="1:75" hidden="1" x14ac:dyDescent="0.35">
      <c r="A1128">
        <v>118678</v>
      </c>
      <c r="B1128" s="1" t="s">
        <v>75</v>
      </c>
      <c r="C1128">
        <v>80</v>
      </c>
      <c r="D1128">
        <v>11121002</v>
      </c>
      <c r="E1128">
        <v>121002</v>
      </c>
      <c r="F1128" s="1" t="s">
        <v>2915</v>
      </c>
      <c r="G1128" s="1" t="s">
        <v>6210</v>
      </c>
      <c r="I1128" s="1" t="s">
        <v>78</v>
      </c>
      <c r="J1128" s="1" t="s">
        <v>6211</v>
      </c>
      <c r="K1128" s="1" t="s">
        <v>6212</v>
      </c>
      <c r="L1128" t="s">
        <v>91</v>
      </c>
      <c r="M1128" t="s">
        <v>91</v>
      </c>
      <c r="N1128" s="1" t="s">
        <v>6213</v>
      </c>
      <c r="O1128" t="s">
        <v>91</v>
      </c>
      <c r="P1128" s="1" t="s">
        <v>4974</v>
      </c>
      <c r="Q1128" s="1" t="s">
        <v>1650</v>
      </c>
      <c r="R1128" s="1" t="s">
        <v>91</v>
      </c>
      <c r="S1128">
        <v>1268</v>
      </c>
      <c r="T1128">
        <v>88730000</v>
      </c>
      <c r="U1128" s="1" t="s">
        <v>108</v>
      </c>
      <c r="V1128" s="1" t="s">
        <v>4975</v>
      </c>
      <c r="W1128" s="1" t="s">
        <v>87</v>
      </c>
      <c r="X1128">
        <v>48</v>
      </c>
      <c r="Y1128">
        <v>36571909</v>
      </c>
      <c r="Z1128" t="s">
        <v>91</v>
      </c>
      <c r="AA1128" t="s">
        <v>91</v>
      </c>
      <c r="AB1128" t="s">
        <v>91</v>
      </c>
      <c r="AC1128" t="s">
        <v>91</v>
      </c>
      <c r="AD1128" t="s">
        <v>91</v>
      </c>
      <c r="AE1128" t="s">
        <v>91</v>
      </c>
      <c r="AF1128" t="s">
        <v>91</v>
      </c>
      <c r="AG1128" s="1" t="s">
        <v>91</v>
      </c>
      <c r="AH1128" s="1" t="s">
        <v>91</v>
      </c>
      <c r="AI1128" t="s">
        <v>91</v>
      </c>
      <c r="AJ1128">
        <v>0</v>
      </c>
      <c r="AK1128">
        <v>0</v>
      </c>
      <c r="AL1128">
        <v>0</v>
      </c>
      <c r="AM1128" t="s">
        <v>91</v>
      </c>
      <c r="AN1128" t="s">
        <v>91</v>
      </c>
      <c r="AO1128" t="s">
        <v>91</v>
      </c>
      <c r="AP1128" t="s">
        <v>91</v>
      </c>
      <c r="AQ1128" s="1" t="s">
        <v>91</v>
      </c>
      <c r="AR1128" s="1" t="s">
        <v>91</v>
      </c>
      <c r="AS1128" s="1" t="s">
        <v>91</v>
      </c>
      <c r="AT1128" s="1" t="s">
        <v>91</v>
      </c>
      <c r="AU1128" s="1" t="s">
        <v>91</v>
      </c>
      <c r="AV1128" t="s">
        <v>91</v>
      </c>
      <c r="AW1128" t="s">
        <v>91</v>
      </c>
      <c r="AX1128" t="s">
        <v>91</v>
      </c>
      <c r="AY1128" t="s">
        <v>91</v>
      </c>
      <c r="AZ1128" t="s">
        <v>91</v>
      </c>
      <c r="BA1128" t="s">
        <v>91</v>
      </c>
      <c r="BB1128" s="2"/>
      <c r="BC1128" s="2"/>
      <c r="BD1128" t="s">
        <v>91</v>
      </c>
      <c r="BF1128" s="1" t="s">
        <v>75</v>
      </c>
      <c r="BG1128">
        <v>0</v>
      </c>
      <c r="BH1128">
        <v>0</v>
      </c>
      <c r="BI1128" s="1" t="s">
        <v>88</v>
      </c>
      <c r="BJ1128">
        <v>1</v>
      </c>
      <c r="BK1128" s="1" t="s">
        <v>89</v>
      </c>
      <c r="BL1128" t="s">
        <v>91</v>
      </c>
      <c r="BM1128" s="1" t="s">
        <v>109</v>
      </c>
      <c r="BN1128" s="1" t="s">
        <v>110</v>
      </c>
      <c r="BO1128" s="1" t="s">
        <v>128</v>
      </c>
      <c r="BP1128" s="1" t="s">
        <v>91</v>
      </c>
      <c r="BQ1128" t="s">
        <v>91</v>
      </c>
      <c r="BR1128" s="3"/>
      <c r="BS1128" s="3"/>
      <c r="BT1128" t="s">
        <v>91</v>
      </c>
      <c r="BU1128" t="s">
        <v>91</v>
      </c>
      <c r="BV1128">
        <v>9</v>
      </c>
      <c r="BW1128" s="1" t="s">
        <v>3218</v>
      </c>
    </row>
    <row r="1129" spans="1:75" hidden="1" x14ac:dyDescent="0.35">
      <c r="A1129">
        <v>144354</v>
      </c>
      <c r="B1129" s="1" t="s">
        <v>75</v>
      </c>
      <c r="C1129">
        <v>80</v>
      </c>
      <c r="D1129">
        <v>11121002</v>
      </c>
      <c r="E1129">
        <v>121002</v>
      </c>
      <c r="F1129" s="1" t="s">
        <v>2915</v>
      </c>
      <c r="G1129" s="1" t="s">
        <v>6214</v>
      </c>
      <c r="I1129" s="1" t="s">
        <v>78</v>
      </c>
      <c r="J1129" s="1" t="s">
        <v>6215</v>
      </c>
      <c r="K1129" s="1" t="s">
        <v>6216</v>
      </c>
      <c r="L1129" t="s">
        <v>91</v>
      </c>
      <c r="M1129" t="s">
        <v>91</v>
      </c>
      <c r="N1129" s="1" t="s">
        <v>6217</v>
      </c>
      <c r="O1129" t="s">
        <v>91</v>
      </c>
      <c r="P1129" s="1" t="s">
        <v>6218</v>
      </c>
      <c r="Q1129" s="1" t="s">
        <v>2488</v>
      </c>
      <c r="R1129" s="1" t="s">
        <v>1695</v>
      </c>
      <c r="S1129">
        <v>1270</v>
      </c>
      <c r="T1129">
        <v>88980000</v>
      </c>
      <c r="U1129" s="1" t="s">
        <v>108</v>
      </c>
      <c r="V1129" s="1" t="s">
        <v>3547</v>
      </c>
      <c r="W1129" s="1" t="s">
        <v>87</v>
      </c>
      <c r="X1129">
        <v>51</v>
      </c>
      <c r="Y1129">
        <v>92557903</v>
      </c>
      <c r="Z1129" t="s">
        <v>91</v>
      </c>
      <c r="AA1129" t="s">
        <v>91</v>
      </c>
      <c r="AB1129" t="s">
        <v>91</v>
      </c>
      <c r="AC1129" t="s">
        <v>91</v>
      </c>
      <c r="AD1129" t="s">
        <v>91</v>
      </c>
      <c r="AE1129" t="s">
        <v>91</v>
      </c>
      <c r="AF1129" t="s">
        <v>91</v>
      </c>
      <c r="AG1129" s="1" t="s">
        <v>91</v>
      </c>
      <c r="AH1129" s="1" t="s">
        <v>91</v>
      </c>
      <c r="AI1129" t="s">
        <v>91</v>
      </c>
      <c r="AJ1129">
        <v>0</v>
      </c>
      <c r="AK1129">
        <v>0</v>
      </c>
      <c r="AL1129">
        <v>0</v>
      </c>
      <c r="AM1129" t="s">
        <v>91</v>
      </c>
      <c r="AN1129" t="s">
        <v>91</v>
      </c>
      <c r="AO1129" t="s">
        <v>91</v>
      </c>
      <c r="AP1129" t="s">
        <v>91</v>
      </c>
      <c r="AQ1129" s="1" t="s">
        <v>91</v>
      </c>
      <c r="AR1129" s="1" t="s">
        <v>91</v>
      </c>
      <c r="AS1129" s="1" t="s">
        <v>91</v>
      </c>
      <c r="AT1129" s="1" t="s">
        <v>91</v>
      </c>
      <c r="AU1129" s="1" t="s">
        <v>91</v>
      </c>
      <c r="AV1129" t="s">
        <v>91</v>
      </c>
      <c r="AW1129" t="s">
        <v>91</v>
      </c>
      <c r="AX1129" t="s">
        <v>91</v>
      </c>
      <c r="AY1129" t="s">
        <v>91</v>
      </c>
      <c r="AZ1129" t="s">
        <v>91</v>
      </c>
      <c r="BA1129" t="s">
        <v>91</v>
      </c>
      <c r="BB1129" s="2"/>
      <c r="BC1129" s="2"/>
      <c r="BD1129" t="s">
        <v>91</v>
      </c>
      <c r="BF1129" s="1" t="s">
        <v>75</v>
      </c>
      <c r="BG1129">
        <v>0</v>
      </c>
      <c r="BH1129">
        <v>0</v>
      </c>
      <c r="BI1129" s="1" t="s">
        <v>88</v>
      </c>
      <c r="BJ1129">
        <v>1</v>
      </c>
      <c r="BK1129" s="1" t="s">
        <v>89</v>
      </c>
      <c r="BL1129" t="s">
        <v>91</v>
      </c>
      <c r="BM1129" s="1" t="s">
        <v>109</v>
      </c>
      <c r="BN1129" s="1" t="s">
        <v>110</v>
      </c>
      <c r="BO1129" s="1" t="s">
        <v>180</v>
      </c>
      <c r="BP1129" s="1" t="s">
        <v>91</v>
      </c>
      <c r="BQ1129" t="s">
        <v>91</v>
      </c>
      <c r="BR1129" s="3"/>
      <c r="BS1129" s="3"/>
      <c r="BT1129" t="s">
        <v>91</v>
      </c>
      <c r="BU1129" t="s">
        <v>91</v>
      </c>
      <c r="BV1129">
        <v>9</v>
      </c>
      <c r="BW1129" s="1" t="s">
        <v>2162</v>
      </c>
    </row>
    <row r="1130" spans="1:75" hidden="1" x14ac:dyDescent="0.35">
      <c r="A1130">
        <v>156917</v>
      </c>
      <c r="B1130" s="1" t="s">
        <v>75</v>
      </c>
      <c r="C1130">
        <v>80</v>
      </c>
      <c r="D1130">
        <v>11121002</v>
      </c>
      <c r="E1130">
        <v>121002</v>
      </c>
      <c r="F1130" s="1" t="s">
        <v>2915</v>
      </c>
      <c r="G1130" s="1" t="s">
        <v>6219</v>
      </c>
      <c r="H1130">
        <v>0</v>
      </c>
      <c r="I1130" s="1" t="s">
        <v>78</v>
      </c>
      <c r="J1130" s="1" t="s">
        <v>6220</v>
      </c>
      <c r="K1130" s="1" t="s">
        <v>6221</v>
      </c>
      <c r="L1130" t="s">
        <v>91</v>
      </c>
      <c r="M1130" t="s">
        <v>91</v>
      </c>
      <c r="N1130" s="1" t="s">
        <v>6222</v>
      </c>
      <c r="O1130" t="s">
        <v>91</v>
      </c>
      <c r="P1130" s="1" t="s">
        <v>3919</v>
      </c>
      <c r="Q1130" s="1" t="s">
        <v>933</v>
      </c>
      <c r="R1130" s="1" t="s">
        <v>6223</v>
      </c>
      <c r="S1130">
        <v>1269</v>
      </c>
      <c r="T1130">
        <v>88813390</v>
      </c>
      <c r="U1130" s="1" t="s">
        <v>3921</v>
      </c>
      <c r="V1130" s="1" t="s">
        <v>2943</v>
      </c>
      <c r="W1130" s="1" t="s">
        <v>87</v>
      </c>
      <c r="X1130">
        <v>48</v>
      </c>
      <c r="Y1130">
        <v>21018961</v>
      </c>
      <c r="Z1130" t="s">
        <v>91</v>
      </c>
      <c r="AA1130" t="s">
        <v>91</v>
      </c>
      <c r="AB1130" t="s">
        <v>91</v>
      </c>
      <c r="AC1130" t="s">
        <v>91</v>
      </c>
      <c r="AD1130" t="s">
        <v>91</v>
      </c>
      <c r="AE1130" t="s">
        <v>91</v>
      </c>
      <c r="AF1130" t="s">
        <v>91</v>
      </c>
      <c r="AG1130" s="1" t="s">
        <v>91</v>
      </c>
      <c r="AH1130" s="1" t="s">
        <v>91</v>
      </c>
      <c r="AI1130" t="s">
        <v>91</v>
      </c>
      <c r="AM1130" t="s">
        <v>91</v>
      </c>
      <c r="AN1130" t="s">
        <v>91</v>
      </c>
      <c r="AO1130" t="s">
        <v>91</v>
      </c>
      <c r="AP1130" t="s">
        <v>91</v>
      </c>
      <c r="AQ1130" s="1" t="s">
        <v>91</v>
      </c>
      <c r="AR1130" s="1" t="s">
        <v>91</v>
      </c>
      <c r="AS1130" s="1" t="s">
        <v>91</v>
      </c>
      <c r="AT1130" s="1" t="s">
        <v>91</v>
      </c>
      <c r="AU1130" s="1" t="s">
        <v>91</v>
      </c>
      <c r="AV1130" t="s">
        <v>91</v>
      </c>
      <c r="AW1130" t="s">
        <v>91</v>
      </c>
      <c r="AX1130" t="s">
        <v>91</v>
      </c>
      <c r="AY1130" t="s">
        <v>91</v>
      </c>
      <c r="AZ1130" t="s">
        <v>91</v>
      </c>
      <c r="BA1130" t="s">
        <v>91</v>
      </c>
      <c r="BB1130" s="2">
        <v>45113.505416666667</v>
      </c>
      <c r="BC1130" s="2"/>
      <c r="BD1130" t="s">
        <v>91</v>
      </c>
      <c r="BF1130" s="1" t="s">
        <v>75</v>
      </c>
      <c r="BI1130" s="1" t="s">
        <v>88</v>
      </c>
      <c r="BJ1130">
        <v>1</v>
      </c>
      <c r="BK1130" s="1" t="s">
        <v>89</v>
      </c>
      <c r="BL1130" t="s">
        <v>91</v>
      </c>
      <c r="BM1130" s="1" t="s">
        <v>91</v>
      </c>
      <c r="BN1130" s="1" t="s">
        <v>91</v>
      </c>
      <c r="BO1130" s="1" t="s">
        <v>91</v>
      </c>
      <c r="BP1130" s="1" t="s">
        <v>91</v>
      </c>
      <c r="BQ1130" t="s">
        <v>91</v>
      </c>
      <c r="BR1130" s="3">
        <v>45113</v>
      </c>
      <c r="BS1130" s="3"/>
      <c r="BT1130" t="s">
        <v>91</v>
      </c>
      <c r="BU1130" t="s">
        <v>91</v>
      </c>
      <c r="BW1130" s="1" t="s">
        <v>1330</v>
      </c>
    </row>
    <row r="1131" spans="1:75" hidden="1" x14ac:dyDescent="0.35">
      <c r="A1131">
        <v>1</v>
      </c>
      <c r="B1131" s="1" t="s">
        <v>75</v>
      </c>
      <c r="C1131">
        <v>80</v>
      </c>
      <c r="D1131">
        <v>11121002</v>
      </c>
      <c r="E1131">
        <v>121002</v>
      </c>
      <c r="F1131" s="1" t="s">
        <v>2915</v>
      </c>
      <c r="G1131" s="1" t="s">
        <v>6224</v>
      </c>
      <c r="I1131" s="1" t="s">
        <v>78</v>
      </c>
      <c r="J1131" s="1" t="s">
        <v>6225</v>
      </c>
      <c r="K1131" s="1" t="s">
        <v>6226</v>
      </c>
      <c r="L1131" t="s">
        <v>91</v>
      </c>
      <c r="M1131" t="s">
        <v>91</v>
      </c>
      <c r="N1131" s="1" t="s">
        <v>6227</v>
      </c>
      <c r="O1131" t="s">
        <v>91</v>
      </c>
      <c r="P1131" s="1" t="s">
        <v>6228</v>
      </c>
      <c r="Q1131" s="1" t="s">
        <v>4505</v>
      </c>
      <c r="R1131" s="1" t="s">
        <v>6229</v>
      </c>
      <c r="S1131">
        <v>1268</v>
      </c>
      <c r="T1131">
        <v>88701130</v>
      </c>
      <c r="U1131" s="1" t="s">
        <v>108</v>
      </c>
      <c r="V1131" s="1" t="s">
        <v>3059</v>
      </c>
      <c r="W1131" s="1" t="s">
        <v>87</v>
      </c>
      <c r="X1131">
        <v>48</v>
      </c>
      <c r="Y1131">
        <v>36261173</v>
      </c>
      <c r="Z1131" t="s">
        <v>91</v>
      </c>
      <c r="AA1131" t="s">
        <v>91</v>
      </c>
      <c r="AB1131" t="s">
        <v>91</v>
      </c>
      <c r="AC1131" t="s">
        <v>91</v>
      </c>
      <c r="AD1131" t="s">
        <v>91</v>
      </c>
      <c r="AE1131" t="s">
        <v>91</v>
      </c>
      <c r="AF1131" t="s">
        <v>91</v>
      </c>
      <c r="AG1131" s="1" t="s">
        <v>91</v>
      </c>
      <c r="AH1131" s="1" t="s">
        <v>91</v>
      </c>
      <c r="AI1131" t="s">
        <v>91</v>
      </c>
      <c r="AJ1131">
        <v>0</v>
      </c>
      <c r="AK1131">
        <v>0</v>
      </c>
      <c r="AL1131">
        <v>0</v>
      </c>
      <c r="AM1131" t="s">
        <v>91</v>
      </c>
      <c r="AN1131" t="s">
        <v>91</v>
      </c>
      <c r="AO1131" t="s">
        <v>91</v>
      </c>
      <c r="AP1131" t="s">
        <v>91</v>
      </c>
      <c r="AQ1131" s="1" t="s">
        <v>91</v>
      </c>
      <c r="AR1131" s="1" t="s">
        <v>91</v>
      </c>
      <c r="AS1131" s="1" t="s">
        <v>91</v>
      </c>
      <c r="AT1131" s="1" t="s">
        <v>91</v>
      </c>
      <c r="AU1131" s="1" t="s">
        <v>91</v>
      </c>
      <c r="AV1131" t="s">
        <v>91</v>
      </c>
      <c r="AW1131" t="s">
        <v>91</v>
      </c>
      <c r="AX1131" t="s">
        <v>91</v>
      </c>
      <c r="AY1131" t="s">
        <v>91</v>
      </c>
      <c r="AZ1131" t="s">
        <v>91</v>
      </c>
      <c r="BA1131" t="s">
        <v>91</v>
      </c>
      <c r="BB1131" s="2">
        <v>43308.392708333333</v>
      </c>
      <c r="BC1131" s="2"/>
      <c r="BD1131" t="s">
        <v>91</v>
      </c>
      <c r="BE1131">
        <v>1</v>
      </c>
      <c r="BF1131" s="1" t="s">
        <v>75</v>
      </c>
      <c r="BG1131">
        <v>0</v>
      </c>
      <c r="BH1131">
        <v>0</v>
      </c>
      <c r="BI1131" s="1" t="s">
        <v>88</v>
      </c>
      <c r="BJ1131">
        <v>1</v>
      </c>
      <c r="BK1131" s="1" t="s">
        <v>89</v>
      </c>
      <c r="BL1131" t="s">
        <v>91</v>
      </c>
      <c r="BM1131" s="1" t="s">
        <v>329</v>
      </c>
      <c r="BN1131" s="1" t="s">
        <v>110</v>
      </c>
      <c r="BO1131" s="1" t="s">
        <v>165</v>
      </c>
      <c r="BP1131" s="1" t="s">
        <v>91</v>
      </c>
      <c r="BQ1131" t="s">
        <v>91</v>
      </c>
      <c r="BR1131" s="3">
        <v>43308</v>
      </c>
      <c r="BS1131" s="3"/>
      <c r="BT1131" t="s">
        <v>91</v>
      </c>
      <c r="BU1131" t="s">
        <v>91</v>
      </c>
      <c r="BV1131">
        <v>1</v>
      </c>
      <c r="BW1131" s="1" t="s">
        <v>1330</v>
      </c>
    </row>
    <row r="1132" spans="1:75" hidden="1" x14ac:dyDescent="0.35">
      <c r="A1132">
        <v>144506</v>
      </c>
      <c r="B1132" s="1" t="s">
        <v>75</v>
      </c>
      <c r="C1132">
        <v>80</v>
      </c>
      <c r="D1132">
        <v>11121002</v>
      </c>
      <c r="E1132">
        <v>121002</v>
      </c>
      <c r="F1132" s="1" t="s">
        <v>2915</v>
      </c>
      <c r="G1132" s="1" t="s">
        <v>6230</v>
      </c>
      <c r="I1132" s="1" t="s">
        <v>78</v>
      </c>
      <c r="J1132" s="1" t="s">
        <v>6231</v>
      </c>
      <c r="K1132" s="1" t="s">
        <v>6232</v>
      </c>
      <c r="L1132" t="s">
        <v>91</v>
      </c>
      <c r="M1132" t="s">
        <v>91</v>
      </c>
      <c r="N1132" s="1" t="s">
        <v>6233</v>
      </c>
      <c r="O1132" t="s">
        <v>91</v>
      </c>
      <c r="P1132" s="1" t="s">
        <v>873</v>
      </c>
      <c r="Q1132" s="1" t="s">
        <v>570</v>
      </c>
      <c r="R1132" s="1" t="s">
        <v>320</v>
      </c>
      <c r="T1132">
        <v>88900037</v>
      </c>
      <c r="U1132" s="1" t="s">
        <v>108</v>
      </c>
      <c r="V1132" s="1" t="s">
        <v>3266</v>
      </c>
      <c r="W1132" s="1" t="s">
        <v>87</v>
      </c>
      <c r="X1132">
        <v>48</v>
      </c>
      <c r="Y1132">
        <v>35243638</v>
      </c>
      <c r="Z1132" t="s">
        <v>91</v>
      </c>
      <c r="AA1132" t="s">
        <v>91</v>
      </c>
      <c r="AB1132" t="s">
        <v>91</v>
      </c>
      <c r="AC1132" t="s">
        <v>91</v>
      </c>
      <c r="AD1132" t="s">
        <v>91</v>
      </c>
      <c r="AE1132" t="s">
        <v>91</v>
      </c>
      <c r="AF1132" t="s">
        <v>91</v>
      </c>
      <c r="AG1132" s="1" t="s">
        <v>91</v>
      </c>
      <c r="AH1132" s="1" t="s">
        <v>91</v>
      </c>
      <c r="AI1132" t="s">
        <v>91</v>
      </c>
      <c r="AJ1132">
        <v>0</v>
      </c>
      <c r="AK1132">
        <v>0</v>
      </c>
      <c r="AL1132">
        <v>0</v>
      </c>
      <c r="AM1132" t="s">
        <v>91</v>
      </c>
      <c r="AN1132" t="s">
        <v>91</v>
      </c>
      <c r="AO1132" t="s">
        <v>91</v>
      </c>
      <c r="AP1132" t="s">
        <v>91</v>
      </c>
      <c r="AQ1132" s="1" t="s">
        <v>91</v>
      </c>
      <c r="AR1132" s="1" t="s">
        <v>91</v>
      </c>
      <c r="AS1132" s="1" t="s">
        <v>91</v>
      </c>
      <c r="AT1132" s="1" t="s">
        <v>91</v>
      </c>
      <c r="AU1132" s="1" t="s">
        <v>91</v>
      </c>
      <c r="AV1132" t="s">
        <v>91</v>
      </c>
      <c r="AW1132" t="s">
        <v>91</v>
      </c>
      <c r="AX1132" t="s">
        <v>91</v>
      </c>
      <c r="AY1132" t="s">
        <v>91</v>
      </c>
      <c r="AZ1132" t="s">
        <v>91</v>
      </c>
      <c r="BA1132" t="s">
        <v>91</v>
      </c>
      <c r="BB1132" s="2"/>
      <c r="BC1132" s="2"/>
      <c r="BD1132" t="s">
        <v>91</v>
      </c>
      <c r="BF1132" s="1" t="s">
        <v>75</v>
      </c>
      <c r="BG1132">
        <v>0</v>
      </c>
      <c r="BH1132">
        <v>0</v>
      </c>
      <c r="BI1132" s="1" t="s">
        <v>88</v>
      </c>
      <c r="BJ1132">
        <v>1</v>
      </c>
      <c r="BK1132" s="1" t="s">
        <v>89</v>
      </c>
      <c r="BL1132" t="s">
        <v>91</v>
      </c>
      <c r="BM1132" s="1" t="s">
        <v>109</v>
      </c>
      <c r="BN1132" s="1" t="s">
        <v>110</v>
      </c>
      <c r="BO1132" s="1" t="s">
        <v>165</v>
      </c>
      <c r="BP1132" s="1" t="s">
        <v>91</v>
      </c>
      <c r="BQ1132" t="s">
        <v>91</v>
      </c>
      <c r="BR1132" s="3"/>
      <c r="BS1132" s="3"/>
      <c r="BT1132" t="s">
        <v>91</v>
      </c>
      <c r="BU1132" t="s">
        <v>91</v>
      </c>
      <c r="BV1132">
        <v>9</v>
      </c>
      <c r="BW1132" s="1" t="s">
        <v>390</v>
      </c>
    </row>
    <row r="1133" spans="1:75" hidden="1" x14ac:dyDescent="0.35">
      <c r="A1133">
        <v>156899</v>
      </c>
      <c r="B1133" s="1" t="s">
        <v>75</v>
      </c>
      <c r="C1133">
        <v>80</v>
      </c>
      <c r="D1133">
        <v>11121002</v>
      </c>
      <c r="E1133">
        <v>121002</v>
      </c>
      <c r="F1133" s="1" t="s">
        <v>2915</v>
      </c>
      <c r="G1133" s="1" t="s">
        <v>6234</v>
      </c>
      <c r="H1133">
        <v>0</v>
      </c>
      <c r="I1133" s="1" t="s">
        <v>78</v>
      </c>
      <c r="J1133" s="1" t="s">
        <v>6235</v>
      </c>
      <c r="K1133" s="1" t="s">
        <v>6236</v>
      </c>
      <c r="L1133" t="s">
        <v>91</v>
      </c>
      <c r="M1133" t="s">
        <v>91</v>
      </c>
      <c r="N1133" s="1" t="s">
        <v>6237</v>
      </c>
      <c r="O1133" t="s">
        <v>91</v>
      </c>
      <c r="P1133" s="1" t="s">
        <v>6238</v>
      </c>
      <c r="Q1133" s="1" t="s">
        <v>6239</v>
      </c>
      <c r="R1133" s="1" t="s">
        <v>6240</v>
      </c>
      <c r="T1133">
        <v>88813901</v>
      </c>
      <c r="U1133" s="1" t="s">
        <v>3921</v>
      </c>
      <c r="V1133" s="1" t="s">
        <v>2943</v>
      </c>
      <c r="W1133" s="1" t="s">
        <v>87</v>
      </c>
      <c r="X1133">
        <v>51</v>
      </c>
      <c r="Y1133">
        <v>989138182</v>
      </c>
      <c r="Z1133" t="s">
        <v>91</v>
      </c>
      <c r="AA1133" t="s">
        <v>91</v>
      </c>
      <c r="AB1133" t="s">
        <v>91</v>
      </c>
      <c r="AC1133" t="s">
        <v>91</v>
      </c>
      <c r="AD1133" t="s">
        <v>91</v>
      </c>
      <c r="AE1133" t="s">
        <v>91</v>
      </c>
      <c r="AF1133" t="s">
        <v>91</v>
      </c>
      <c r="AG1133" s="1" t="s">
        <v>91</v>
      </c>
      <c r="AH1133" s="1" t="s">
        <v>91</v>
      </c>
      <c r="AI1133" t="s">
        <v>91</v>
      </c>
      <c r="AM1133" t="s">
        <v>91</v>
      </c>
      <c r="AN1133" t="s">
        <v>91</v>
      </c>
      <c r="AO1133" t="s">
        <v>91</v>
      </c>
      <c r="AP1133" t="s">
        <v>91</v>
      </c>
      <c r="AQ1133" s="1" t="s">
        <v>91</v>
      </c>
      <c r="AR1133" s="1" t="s">
        <v>91</v>
      </c>
      <c r="AS1133" s="1" t="s">
        <v>91</v>
      </c>
      <c r="AT1133" s="1" t="s">
        <v>91</v>
      </c>
      <c r="AU1133" s="1" t="s">
        <v>91</v>
      </c>
      <c r="AV1133" t="s">
        <v>91</v>
      </c>
      <c r="AW1133" t="s">
        <v>91</v>
      </c>
      <c r="AX1133" t="s">
        <v>91</v>
      </c>
      <c r="AY1133" t="s">
        <v>91</v>
      </c>
      <c r="AZ1133" t="s">
        <v>91</v>
      </c>
      <c r="BA1133" t="s">
        <v>91</v>
      </c>
      <c r="BB1133" s="2">
        <v>45113.505416666667</v>
      </c>
      <c r="BC1133" s="2"/>
      <c r="BD1133" t="s">
        <v>91</v>
      </c>
      <c r="BF1133" s="1" t="s">
        <v>75</v>
      </c>
      <c r="BI1133" s="1" t="s">
        <v>88</v>
      </c>
      <c r="BJ1133">
        <v>1</v>
      </c>
      <c r="BK1133" s="1" t="s">
        <v>89</v>
      </c>
      <c r="BL1133" t="s">
        <v>91</v>
      </c>
      <c r="BM1133" s="1" t="s">
        <v>91</v>
      </c>
      <c r="BN1133" s="1" t="s">
        <v>91</v>
      </c>
      <c r="BO1133" s="1" t="s">
        <v>91</v>
      </c>
      <c r="BP1133" s="1" t="s">
        <v>91</v>
      </c>
      <c r="BQ1133" t="s">
        <v>91</v>
      </c>
      <c r="BR1133" s="3">
        <v>45113</v>
      </c>
      <c r="BS1133" s="3"/>
      <c r="BT1133" t="s">
        <v>91</v>
      </c>
      <c r="BU1133" t="s">
        <v>91</v>
      </c>
      <c r="BW1133" s="1" t="s">
        <v>90</v>
      </c>
    </row>
    <row r="1134" spans="1:75" hidden="1" x14ac:dyDescent="0.35">
      <c r="A1134">
        <v>118677</v>
      </c>
      <c r="B1134" s="1" t="s">
        <v>75</v>
      </c>
      <c r="C1134">
        <v>80</v>
      </c>
      <c r="D1134">
        <v>11121002</v>
      </c>
      <c r="E1134">
        <v>121002</v>
      </c>
      <c r="F1134" s="1" t="s">
        <v>2915</v>
      </c>
      <c r="G1134" s="1" t="s">
        <v>6241</v>
      </c>
      <c r="I1134" s="1" t="s">
        <v>78</v>
      </c>
      <c r="J1134" s="1" t="s">
        <v>6242</v>
      </c>
      <c r="K1134" s="1" t="s">
        <v>6243</v>
      </c>
      <c r="L1134" t="s">
        <v>91</v>
      </c>
      <c r="M1134" t="s">
        <v>91</v>
      </c>
      <c r="N1134" s="1" t="s">
        <v>6244</v>
      </c>
      <c r="O1134" t="s">
        <v>91</v>
      </c>
      <c r="P1134" s="1" t="s">
        <v>1210</v>
      </c>
      <c r="Q1134" s="1" t="s">
        <v>1383</v>
      </c>
      <c r="R1134" s="1" t="s">
        <v>91</v>
      </c>
      <c r="S1134">
        <v>1269</v>
      </c>
      <c r="T1134">
        <v>88801040</v>
      </c>
      <c r="U1134" s="1" t="s">
        <v>108</v>
      </c>
      <c r="V1134" s="1" t="s">
        <v>3231</v>
      </c>
      <c r="W1134" s="1" t="s">
        <v>87</v>
      </c>
      <c r="X1134">
        <v>48</v>
      </c>
      <c r="Y1134">
        <v>34433989</v>
      </c>
      <c r="Z1134" t="s">
        <v>91</v>
      </c>
      <c r="AA1134" t="s">
        <v>91</v>
      </c>
      <c r="AB1134" t="s">
        <v>91</v>
      </c>
      <c r="AC1134" t="s">
        <v>91</v>
      </c>
      <c r="AD1134" t="s">
        <v>91</v>
      </c>
      <c r="AE1134" t="s">
        <v>91</v>
      </c>
      <c r="AF1134" t="s">
        <v>91</v>
      </c>
      <c r="AG1134" s="1" t="s">
        <v>91</v>
      </c>
      <c r="AH1134" s="1" t="s">
        <v>91</v>
      </c>
      <c r="AI1134" t="s">
        <v>91</v>
      </c>
      <c r="AJ1134">
        <v>0</v>
      </c>
      <c r="AK1134">
        <v>0</v>
      </c>
      <c r="AL1134">
        <v>0</v>
      </c>
      <c r="AM1134" t="s">
        <v>91</v>
      </c>
      <c r="AN1134" t="s">
        <v>91</v>
      </c>
      <c r="AO1134" t="s">
        <v>91</v>
      </c>
      <c r="AP1134" t="s">
        <v>91</v>
      </c>
      <c r="AQ1134" s="1" t="s">
        <v>91</v>
      </c>
      <c r="AR1134" s="1" t="s">
        <v>91</v>
      </c>
      <c r="AS1134" s="1" t="s">
        <v>91</v>
      </c>
      <c r="AT1134" s="1" t="s">
        <v>91</v>
      </c>
      <c r="AU1134" s="1" t="s">
        <v>91</v>
      </c>
      <c r="AV1134" t="s">
        <v>91</v>
      </c>
      <c r="AW1134" t="s">
        <v>91</v>
      </c>
      <c r="AX1134" t="s">
        <v>91</v>
      </c>
      <c r="AY1134" t="s">
        <v>91</v>
      </c>
      <c r="AZ1134" t="s">
        <v>91</v>
      </c>
      <c r="BA1134" t="s">
        <v>91</v>
      </c>
      <c r="BB1134" s="2"/>
      <c r="BC1134" s="2"/>
      <c r="BD1134" t="s">
        <v>91</v>
      </c>
      <c r="BF1134" s="1" t="s">
        <v>75</v>
      </c>
      <c r="BG1134">
        <v>0</v>
      </c>
      <c r="BH1134">
        <v>0</v>
      </c>
      <c r="BI1134" s="1" t="s">
        <v>88</v>
      </c>
      <c r="BJ1134">
        <v>1</v>
      </c>
      <c r="BK1134" s="1" t="s">
        <v>89</v>
      </c>
      <c r="BL1134" t="s">
        <v>91</v>
      </c>
      <c r="BM1134" s="1" t="s">
        <v>109</v>
      </c>
      <c r="BN1134" s="1" t="s">
        <v>110</v>
      </c>
      <c r="BO1134" s="1" t="s">
        <v>111</v>
      </c>
      <c r="BP1134" s="1" t="s">
        <v>91</v>
      </c>
      <c r="BQ1134" t="s">
        <v>91</v>
      </c>
      <c r="BR1134" s="3"/>
      <c r="BS1134" s="3"/>
      <c r="BT1134" t="s">
        <v>91</v>
      </c>
      <c r="BU1134" t="s">
        <v>91</v>
      </c>
      <c r="BV1134">
        <v>9</v>
      </c>
      <c r="BW1134" s="1" t="s">
        <v>478</v>
      </c>
    </row>
    <row r="1135" spans="1:75" hidden="1" x14ac:dyDescent="0.35">
      <c r="A1135">
        <v>134418</v>
      </c>
      <c r="B1135" s="1" t="s">
        <v>75</v>
      </c>
      <c r="C1135">
        <v>80</v>
      </c>
      <c r="D1135">
        <v>11121002</v>
      </c>
      <c r="E1135">
        <v>121002</v>
      </c>
      <c r="F1135" s="1" t="s">
        <v>2915</v>
      </c>
      <c r="G1135" s="1" t="s">
        <v>6245</v>
      </c>
      <c r="I1135" s="1" t="s">
        <v>78</v>
      </c>
      <c r="J1135" s="1" t="s">
        <v>6246</v>
      </c>
      <c r="K1135" s="1" t="s">
        <v>6247</v>
      </c>
      <c r="L1135" t="s">
        <v>91</v>
      </c>
      <c r="M1135" t="s">
        <v>91</v>
      </c>
      <c r="N1135" s="1" t="s">
        <v>4844</v>
      </c>
      <c r="O1135" t="s">
        <v>91</v>
      </c>
      <c r="P1135" s="1" t="s">
        <v>2326</v>
      </c>
      <c r="Q1135" s="1" t="s">
        <v>6248</v>
      </c>
      <c r="R1135" s="1" t="s">
        <v>91</v>
      </c>
      <c r="S1135">
        <v>1254</v>
      </c>
      <c r="T1135">
        <v>88010030</v>
      </c>
      <c r="U1135" s="1" t="s">
        <v>108</v>
      </c>
      <c r="V1135" s="1" t="s">
        <v>3102</v>
      </c>
      <c r="W1135" s="1" t="s">
        <v>87</v>
      </c>
      <c r="X1135">
        <v>48</v>
      </c>
      <c r="Y1135">
        <v>30625125</v>
      </c>
      <c r="Z1135" t="s">
        <v>91</v>
      </c>
      <c r="AA1135" t="s">
        <v>91</v>
      </c>
      <c r="AB1135" t="s">
        <v>91</v>
      </c>
      <c r="AC1135" t="s">
        <v>91</v>
      </c>
      <c r="AD1135" t="s">
        <v>91</v>
      </c>
      <c r="AE1135" t="s">
        <v>91</v>
      </c>
      <c r="AF1135" t="s">
        <v>91</v>
      </c>
      <c r="AG1135" s="1" t="s">
        <v>146</v>
      </c>
      <c r="AH1135" s="1" t="s">
        <v>91</v>
      </c>
      <c r="AI1135" t="s">
        <v>91</v>
      </c>
      <c r="AM1135" t="s">
        <v>91</v>
      </c>
      <c r="AN1135" t="s">
        <v>91</v>
      </c>
      <c r="AO1135" t="s">
        <v>91</v>
      </c>
      <c r="AP1135" t="s">
        <v>91</v>
      </c>
      <c r="AQ1135" s="1" t="s">
        <v>147</v>
      </c>
      <c r="AR1135" s="1" t="s">
        <v>147</v>
      </c>
      <c r="AS1135" s="1" t="s">
        <v>147</v>
      </c>
      <c r="AT1135" s="1" t="s">
        <v>147</v>
      </c>
      <c r="AU1135" s="1" t="s">
        <v>147</v>
      </c>
      <c r="AV1135" t="s">
        <v>91</v>
      </c>
      <c r="AW1135" t="s">
        <v>91</v>
      </c>
      <c r="AX1135" t="s">
        <v>91</v>
      </c>
      <c r="AY1135" t="s">
        <v>91</v>
      </c>
      <c r="AZ1135" t="s">
        <v>91</v>
      </c>
      <c r="BA1135" t="s">
        <v>91</v>
      </c>
      <c r="BB1135" s="2"/>
      <c r="BC1135" s="2">
        <v>44546.679525462961</v>
      </c>
      <c r="BD1135" t="s">
        <v>91</v>
      </c>
      <c r="BF1135" s="1" t="s">
        <v>75</v>
      </c>
      <c r="BH1135">
        <v>0</v>
      </c>
      <c r="BI1135" s="1" t="s">
        <v>88</v>
      </c>
      <c r="BJ1135">
        <v>1</v>
      </c>
      <c r="BK1135" s="1" t="s">
        <v>89</v>
      </c>
      <c r="BL1135" t="s">
        <v>91</v>
      </c>
      <c r="BM1135" s="1" t="s">
        <v>109</v>
      </c>
      <c r="BN1135" s="1" t="s">
        <v>110</v>
      </c>
      <c r="BO1135" s="1" t="s">
        <v>128</v>
      </c>
      <c r="BP1135" s="1" t="s">
        <v>91</v>
      </c>
      <c r="BQ1135" t="s">
        <v>91</v>
      </c>
      <c r="BR1135" s="3"/>
      <c r="BS1135" s="3">
        <v>44546</v>
      </c>
      <c r="BT1135" t="s">
        <v>91</v>
      </c>
      <c r="BU1135" t="s">
        <v>91</v>
      </c>
      <c r="BV1135">
        <v>9</v>
      </c>
      <c r="BW1135" s="1" t="s">
        <v>601</v>
      </c>
    </row>
    <row r="1136" spans="1:75" hidden="1" x14ac:dyDescent="0.35">
      <c r="A1136">
        <v>134419</v>
      </c>
      <c r="B1136" s="1" t="s">
        <v>75</v>
      </c>
      <c r="C1136">
        <v>80</v>
      </c>
      <c r="D1136">
        <v>11121002</v>
      </c>
      <c r="E1136">
        <v>121002</v>
      </c>
      <c r="F1136" s="1" t="s">
        <v>2915</v>
      </c>
      <c r="G1136" s="1" t="s">
        <v>6249</v>
      </c>
      <c r="I1136" s="1" t="s">
        <v>78</v>
      </c>
      <c r="J1136" s="1" t="s">
        <v>6246</v>
      </c>
      <c r="K1136" s="1" t="s">
        <v>6250</v>
      </c>
      <c r="L1136" t="s">
        <v>91</v>
      </c>
      <c r="M1136" t="s">
        <v>91</v>
      </c>
      <c r="N1136" s="1" t="s">
        <v>4844</v>
      </c>
      <c r="O1136" t="s">
        <v>91</v>
      </c>
      <c r="P1136" s="1" t="s">
        <v>4043</v>
      </c>
      <c r="Q1136" s="1" t="s">
        <v>6251</v>
      </c>
      <c r="R1136" s="1" t="s">
        <v>91</v>
      </c>
      <c r="S1136">
        <v>1259</v>
      </c>
      <c r="T1136">
        <v>88110001</v>
      </c>
      <c r="U1136" s="1" t="s">
        <v>2957</v>
      </c>
      <c r="V1136" s="1" t="s">
        <v>3016</v>
      </c>
      <c r="W1136" s="1" t="s">
        <v>87</v>
      </c>
      <c r="X1136">
        <v>48</v>
      </c>
      <c r="Y1136">
        <v>30625125</v>
      </c>
      <c r="Z1136" t="s">
        <v>91</v>
      </c>
      <c r="AA1136" t="s">
        <v>91</v>
      </c>
      <c r="AB1136" t="s">
        <v>91</v>
      </c>
      <c r="AC1136" t="s">
        <v>91</v>
      </c>
      <c r="AD1136" t="s">
        <v>91</v>
      </c>
      <c r="AE1136" t="s">
        <v>91</v>
      </c>
      <c r="AF1136" t="s">
        <v>91</v>
      </c>
      <c r="AG1136" s="1" t="s">
        <v>146</v>
      </c>
      <c r="AH1136" s="1" t="s">
        <v>91</v>
      </c>
      <c r="AI1136" t="s">
        <v>91</v>
      </c>
      <c r="AM1136" t="s">
        <v>91</v>
      </c>
      <c r="AN1136" t="s">
        <v>91</v>
      </c>
      <c r="AO1136" t="s">
        <v>91</v>
      </c>
      <c r="AP1136" t="s">
        <v>91</v>
      </c>
      <c r="AQ1136" s="1" t="s">
        <v>147</v>
      </c>
      <c r="AR1136" s="1" t="s">
        <v>147</v>
      </c>
      <c r="AS1136" s="1" t="s">
        <v>147</v>
      </c>
      <c r="AT1136" s="1" t="s">
        <v>147</v>
      </c>
      <c r="AU1136" s="1" t="s">
        <v>147</v>
      </c>
      <c r="AV1136" t="s">
        <v>91</v>
      </c>
      <c r="AW1136" t="s">
        <v>91</v>
      </c>
      <c r="AX1136" t="s">
        <v>91</v>
      </c>
      <c r="AY1136" t="s">
        <v>91</v>
      </c>
      <c r="AZ1136" t="s">
        <v>91</v>
      </c>
      <c r="BA1136" t="s">
        <v>91</v>
      </c>
      <c r="BB1136" s="2"/>
      <c r="BC1136" s="2">
        <v>44546.724374999998</v>
      </c>
      <c r="BD1136" t="s">
        <v>91</v>
      </c>
      <c r="BF1136" s="1" t="s">
        <v>75</v>
      </c>
      <c r="BH1136">
        <v>0</v>
      </c>
      <c r="BI1136" s="1" t="s">
        <v>88</v>
      </c>
      <c r="BJ1136">
        <v>1</v>
      </c>
      <c r="BK1136" s="1" t="s">
        <v>89</v>
      </c>
      <c r="BL1136" t="s">
        <v>91</v>
      </c>
      <c r="BM1136" s="1" t="s">
        <v>109</v>
      </c>
      <c r="BN1136" s="1" t="s">
        <v>110</v>
      </c>
      <c r="BO1136" s="1" t="s">
        <v>128</v>
      </c>
      <c r="BP1136" s="1" t="s">
        <v>91</v>
      </c>
      <c r="BQ1136" t="s">
        <v>91</v>
      </c>
      <c r="BR1136" s="3"/>
      <c r="BS1136" s="3">
        <v>44546</v>
      </c>
      <c r="BT1136" t="s">
        <v>91</v>
      </c>
      <c r="BU1136" t="s">
        <v>91</v>
      </c>
      <c r="BW1136" s="1" t="s">
        <v>601</v>
      </c>
    </row>
    <row r="1137" spans="1:75" hidden="1" x14ac:dyDescent="0.35">
      <c r="A1137">
        <v>152762</v>
      </c>
      <c r="B1137" s="1" t="s">
        <v>75</v>
      </c>
      <c r="C1137">
        <v>80</v>
      </c>
      <c r="D1137">
        <v>11121002</v>
      </c>
      <c r="E1137">
        <v>121002</v>
      </c>
      <c r="F1137" s="1" t="s">
        <v>2915</v>
      </c>
      <c r="G1137" s="1" t="s">
        <v>6252</v>
      </c>
      <c r="H1137">
        <v>0</v>
      </c>
      <c r="I1137" s="1" t="s">
        <v>78</v>
      </c>
      <c r="J1137" s="1" t="s">
        <v>6253</v>
      </c>
      <c r="K1137" s="1" t="s">
        <v>6254</v>
      </c>
      <c r="L1137" t="s">
        <v>91</v>
      </c>
      <c r="M1137" t="s">
        <v>91</v>
      </c>
      <c r="N1137" s="1" t="s">
        <v>6255</v>
      </c>
      <c r="O1137" t="s">
        <v>91</v>
      </c>
      <c r="P1137" s="1" t="s">
        <v>5986</v>
      </c>
      <c r="Q1137" s="1" t="s">
        <v>4193</v>
      </c>
      <c r="R1137" s="1" t="s">
        <v>1127</v>
      </c>
      <c r="S1137">
        <v>1259</v>
      </c>
      <c r="T1137">
        <v>88101091</v>
      </c>
      <c r="U1137" s="1" t="s">
        <v>3015</v>
      </c>
      <c r="V1137" s="1" t="s">
        <v>2958</v>
      </c>
      <c r="W1137" s="1" t="s">
        <v>87</v>
      </c>
      <c r="Z1137" t="s">
        <v>91</v>
      </c>
      <c r="AA1137" t="s">
        <v>91</v>
      </c>
      <c r="AB1137" t="s">
        <v>91</v>
      </c>
      <c r="AC1137" t="s">
        <v>91</v>
      </c>
      <c r="AD1137" t="s">
        <v>91</v>
      </c>
      <c r="AE1137" t="s">
        <v>91</v>
      </c>
      <c r="AF1137" t="s">
        <v>91</v>
      </c>
      <c r="AG1137" s="1" t="s">
        <v>91</v>
      </c>
      <c r="AH1137" s="1" t="s">
        <v>91</v>
      </c>
      <c r="AI1137" t="s">
        <v>91</v>
      </c>
      <c r="AM1137" t="s">
        <v>91</v>
      </c>
      <c r="AN1137" t="s">
        <v>91</v>
      </c>
      <c r="AO1137" t="s">
        <v>91</v>
      </c>
      <c r="AP1137" t="s">
        <v>91</v>
      </c>
      <c r="AQ1137" s="1" t="s">
        <v>91</v>
      </c>
      <c r="AR1137" s="1" t="s">
        <v>91</v>
      </c>
      <c r="AS1137" s="1" t="s">
        <v>91</v>
      </c>
      <c r="AT1137" s="1" t="s">
        <v>91</v>
      </c>
      <c r="AU1137" s="1" t="s">
        <v>91</v>
      </c>
      <c r="AV1137" t="s">
        <v>91</v>
      </c>
      <c r="AW1137" t="s">
        <v>91</v>
      </c>
      <c r="AX1137" t="s">
        <v>91</v>
      </c>
      <c r="AY1137" t="s">
        <v>91</v>
      </c>
      <c r="AZ1137" t="s">
        <v>91</v>
      </c>
      <c r="BA1137" t="s">
        <v>91</v>
      </c>
      <c r="BB1137" s="2">
        <v>45019.565613425926</v>
      </c>
      <c r="BC1137" s="2"/>
      <c r="BD1137" t="s">
        <v>91</v>
      </c>
      <c r="BF1137" s="1" t="s">
        <v>75</v>
      </c>
      <c r="BI1137" s="1" t="s">
        <v>88</v>
      </c>
      <c r="BJ1137">
        <v>1</v>
      </c>
      <c r="BK1137" s="1" t="s">
        <v>89</v>
      </c>
      <c r="BL1137" t="s">
        <v>91</v>
      </c>
      <c r="BM1137" s="1" t="s">
        <v>91</v>
      </c>
      <c r="BN1137" s="1" t="s">
        <v>91</v>
      </c>
      <c r="BO1137" s="1" t="s">
        <v>91</v>
      </c>
      <c r="BP1137" s="1" t="s">
        <v>91</v>
      </c>
      <c r="BQ1137" t="s">
        <v>91</v>
      </c>
      <c r="BR1137" s="3">
        <v>45019</v>
      </c>
      <c r="BS1137" s="3"/>
      <c r="BT1137" t="s">
        <v>91</v>
      </c>
      <c r="BU1137" t="s">
        <v>91</v>
      </c>
      <c r="BW1137" s="1" t="s">
        <v>90</v>
      </c>
    </row>
    <row r="1138" spans="1:75" hidden="1" x14ac:dyDescent="0.35">
      <c r="A1138">
        <v>156910</v>
      </c>
      <c r="B1138" s="1" t="s">
        <v>75</v>
      </c>
      <c r="C1138">
        <v>80</v>
      </c>
      <c r="D1138">
        <v>11121002</v>
      </c>
      <c r="E1138">
        <v>121002</v>
      </c>
      <c r="F1138" s="1" t="s">
        <v>2915</v>
      </c>
      <c r="G1138" s="1" t="s">
        <v>6256</v>
      </c>
      <c r="H1138">
        <v>0</v>
      </c>
      <c r="I1138" s="1" t="s">
        <v>78</v>
      </c>
      <c r="J1138" s="1" t="s">
        <v>6257</v>
      </c>
      <c r="K1138" s="1" t="s">
        <v>6258</v>
      </c>
      <c r="L1138" t="s">
        <v>91</v>
      </c>
      <c r="M1138" t="s">
        <v>91</v>
      </c>
      <c r="N1138" s="1" t="s">
        <v>3472</v>
      </c>
      <c r="O1138" t="s">
        <v>91</v>
      </c>
      <c r="P1138" s="1" t="s">
        <v>5513</v>
      </c>
      <c r="Q1138" s="1" t="s">
        <v>6259</v>
      </c>
      <c r="R1138" s="1" t="s">
        <v>91</v>
      </c>
      <c r="S1138">
        <v>1268</v>
      </c>
      <c r="T1138">
        <v>88780000</v>
      </c>
      <c r="U1138" s="1" t="s">
        <v>3474</v>
      </c>
      <c r="V1138" s="1" t="s">
        <v>2929</v>
      </c>
      <c r="W1138" s="1" t="s">
        <v>87</v>
      </c>
      <c r="X1138">
        <v>48</v>
      </c>
      <c r="Y1138">
        <v>998137544</v>
      </c>
      <c r="Z1138" t="s">
        <v>91</v>
      </c>
      <c r="AA1138" t="s">
        <v>91</v>
      </c>
      <c r="AB1138" t="s">
        <v>91</v>
      </c>
      <c r="AC1138" t="s">
        <v>91</v>
      </c>
      <c r="AD1138" t="s">
        <v>91</v>
      </c>
      <c r="AE1138" t="s">
        <v>91</v>
      </c>
      <c r="AF1138" t="s">
        <v>91</v>
      </c>
      <c r="AG1138" s="1" t="s">
        <v>91</v>
      </c>
      <c r="AH1138" s="1" t="s">
        <v>91</v>
      </c>
      <c r="AI1138" t="s">
        <v>91</v>
      </c>
      <c r="AM1138" t="s">
        <v>91</v>
      </c>
      <c r="AN1138" t="s">
        <v>91</v>
      </c>
      <c r="AO1138" t="s">
        <v>91</v>
      </c>
      <c r="AP1138" t="s">
        <v>91</v>
      </c>
      <c r="AQ1138" s="1" t="s">
        <v>91</v>
      </c>
      <c r="AR1138" s="1" t="s">
        <v>91</v>
      </c>
      <c r="AS1138" s="1" t="s">
        <v>91</v>
      </c>
      <c r="AT1138" s="1" t="s">
        <v>91</v>
      </c>
      <c r="AU1138" s="1" t="s">
        <v>91</v>
      </c>
      <c r="AV1138" t="s">
        <v>91</v>
      </c>
      <c r="AW1138" t="s">
        <v>91</v>
      </c>
      <c r="AX1138" t="s">
        <v>91</v>
      </c>
      <c r="AY1138" t="s">
        <v>91</v>
      </c>
      <c r="AZ1138" t="s">
        <v>91</v>
      </c>
      <c r="BA1138" t="s">
        <v>91</v>
      </c>
      <c r="BB1138" s="2">
        <v>45113.505416666667</v>
      </c>
      <c r="BC1138" s="2"/>
      <c r="BD1138" t="s">
        <v>91</v>
      </c>
      <c r="BF1138" s="1" t="s">
        <v>75</v>
      </c>
      <c r="BI1138" s="1" t="s">
        <v>88</v>
      </c>
      <c r="BJ1138">
        <v>1</v>
      </c>
      <c r="BK1138" s="1" t="s">
        <v>89</v>
      </c>
      <c r="BL1138" t="s">
        <v>91</v>
      </c>
      <c r="BM1138" s="1" t="s">
        <v>91</v>
      </c>
      <c r="BN1138" s="1" t="s">
        <v>91</v>
      </c>
      <c r="BO1138" s="1" t="s">
        <v>91</v>
      </c>
      <c r="BP1138" s="1" t="s">
        <v>91</v>
      </c>
      <c r="BQ1138" t="s">
        <v>91</v>
      </c>
      <c r="BR1138" s="3">
        <v>45113</v>
      </c>
      <c r="BS1138" s="3"/>
      <c r="BT1138" t="s">
        <v>91</v>
      </c>
      <c r="BU1138" t="s">
        <v>91</v>
      </c>
      <c r="BW1138" s="1" t="s">
        <v>90</v>
      </c>
    </row>
    <row r="1139" spans="1:75" hidden="1" x14ac:dyDescent="0.35">
      <c r="A1139">
        <v>144555</v>
      </c>
      <c r="B1139" s="1" t="s">
        <v>75</v>
      </c>
      <c r="C1139">
        <v>80</v>
      </c>
      <c r="D1139">
        <v>11121002</v>
      </c>
      <c r="E1139">
        <v>121002</v>
      </c>
      <c r="F1139" s="1" t="s">
        <v>2915</v>
      </c>
      <c r="G1139" s="1" t="s">
        <v>6260</v>
      </c>
      <c r="I1139" s="1" t="s">
        <v>78</v>
      </c>
      <c r="J1139" s="1" t="s">
        <v>6261</v>
      </c>
      <c r="K1139" s="1" t="s">
        <v>6262</v>
      </c>
      <c r="L1139" t="s">
        <v>91</v>
      </c>
      <c r="M1139" t="s">
        <v>91</v>
      </c>
      <c r="N1139" s="1" t="s">
        <v>6263</v>
      </c>
      <c r="O1139" t="s">
        <v>91</v>
      </c>
      <c r="P1139" s="1" t="s">
        <v>6264</v>
      </c>
      <c r="Q1139" s="1" t="s">
        <v>4121</v>
      </c>
      <c r="R1139" s="1" t="s">
        <v>236</v>
      </c>
      <c r="S1139">
        <v>1268</v>
      </c>
      <c r="T1139">
        <v>88740000</v>
      </c>
      <c r="U1139" s="1" t="s">
        <v>108</v>
      </c>
      <c r="V1139" s="1" t="s">
        <v>5041</v>
      </c>
      <c r="W1139" s="1" t="s">
        <v>87</v>
      </c>
      <c r="X1139">
        <v>48</v>
      </c>
      <c r="Y1139">
        <v>36450078</v>
      </c>
      <c r="Z1139" t="s">
        <v>91</v>
      </c>
      <c r="AA1139" t="s">
        <v>91</v>
      </c>
      <c r="AB1139" t="s">
        <v>91</v>
      </c>
      <c r="AC1139" t="s">
        <v>91</v>
      </c>
      <c r="AD1139" t="s">
        <v>91</v>
      </c>
      <c r="AE1139" t="s">
        <v>91</v>
      </c>
      <c r="AF1139" t="s">
        <v>91</v>
      </c>
      <c r="AG1139" s="1" t="s">
        <v>91</v>
      </c>
      <c r="AH1139" s="1" t="s">
        <v>91</v>
      </c>
      <c r="AI1139" t="s">
        <v>91</v>
      </c>
      <c r="AJ1139">
        <v>0</v>
      </c>
      <c r="AK1139">
        <v>0</v>
      </c>
      <c r="AL1139">
        <v>0</v>
      </c>
      <c r="AM1139" t="s">
        <v>91</v>
      </c>
      <c r="AN1139" t="s">
        <v>91</v>
      </c>
      <c r="AO1139" t="s">
        <v>91</v>
      </c>
      <c r="AP1139" t="s">
        <v>91</v>
      </c>
      <c r="AQ1139" s="1" t="s">
        <v>91</v>
      </c>
      <c r="AR1139" s="1" t="s">
        <v>91</v>
      </c>
      <c r="AS1139" s="1" t="s">
        <v>91</v>
      </c>
      <c r="AT1139" s="1" t="s">
        <v>91</v>
      </c>
      <c r="AU1139" s="1" t="s">
        <v>91</v>
      </c>
      <c r="AV1139" t="s">
        <v>91</v>
      </c>
      <c r="AW1139" t="s">
        <v>91</v>
      </c>
      <c r="AX1139" t="s">
        <v>91</v>
      </c>
      <c r="AY1139" t="s">
        <v>91</v>
      </c>
      <c r="AZ1139" t="s">
        <v>91</v>
      </c>
      <c r="BA1139" t="s">
        <v>91</v>
      </c>
      <c r="BB1139" s="2"/>
      <c r="BC1139" s="2"/>
      <c r="BD1139" t="s">
        <v>91</v>
      </c>
      <c r="BF1139" s="1" t="s">
        <v>75</v>
      </c>
      <c r="BG1139">
        <v>0</v>
      </c>
      <c r="BH1139">
        <v>0</v>
      </c>
      <c r="BI1139" s="1" t="s">
        <v>88</v>
      </c>
      <c r="BJ1139">
        <v>1</v>
      </c>
      <c r="BK1139" s="1" t="s">
        <v>89</v>
      </c>
      <c r="BL1139" t="s">
        <v>91</v>
      </c>
      <c r="BM1139" s="1" t="s">
        <v>109</v>
      </c>
      <c r="BN1139" s="1" t="s">
        <v>110</v>
      </c>
      <c r="BO1139" s="1" t="s">
        <v>180</v>
      </c>
      <c r="BP1139" s="1" t="s">
        <v>91</v>
      </c>
      <c r="BQ1139" t="s">
        <v>91</v>
      </c>
      <c r="BR1139" s="3"/>
      <c r="BS1139" s="3"/>
      <c r="BT1139" t="s">
        <v>91</v>
      </c>
      <c r="BU1139" t="s">
        <v>91</v>
      </c>
      <c r="BV1139">
        <v>9</v>
      </c>
      <c r="BW1139" s="1" t="s">
        <v>1171</v>
      </c>
    </row>
    <row r="1140" spans="1:75" hidden="1" x14ac:dyDescent="0.35">
      <c r="A1140">
        <v>144372</v>
      </c>
      <c r="B1140" s="1" t="s">
        <v>75</v>
      </c>
      <c r="C1140">
        <v>80</v>
      </c>
      <c r="D1140">
        <v>11121002</v>
      </c>
      <c r="E1140">
        <v>121002</v>
      </c>
      <c r="F1140" s="1" t="s">
        <v>2915</v>
      </c>
      <c r="G1140" s="1" t="s">
        <v>6265</v>
      </c>
      <c r="I1140" s="1" t="s">
        <v>78</v>
      </c>
      <c r="J1140" s="1" t="s">
        <v>6266</v>
      </c>
      <c r="K1140" s="1" t="s">
        <v>6267</v>
      </c>
      <c r="L1140" t="s">
        <v>91</v>
      </c>
      <c r="M1140" t="s">
        <v>91</v>
      </c>
      <c r="N1140" s="1" t="s">
        <v>6268</v>
      </c>
      <c r="O1140" t="s">
        <v>91</v>
      </c>
      <c r="P1140" s="1" t="s">
        <v>6269</v>
      </c>
      <c r="Q1140" s="1" t="s">
        <v>1332</v>
      </c>
      <c r="R1140" s="1" t="s">
        <v>91</v>
      </c>
      <c r="S1140">
        <v>1270</v>
      </c>
      <c r="T1140">
        <v>88920000</v>
      </c>
      <c r="U1140" s="1" t="s">
        <v>108</v>
      </c>
      <c r="V1140" s="1" t="s">
        <v>5498</v>
      </c>
      <c r="W1140" s="1" t="s">
        <v>87</v>
      </c>
      <c r="X1140">
        <v>48</v>
      </c>
      <c r="Y1140">
        <v>35371210</v>
      </c>
      <c r="Z1140" t="s">
        <v>91</v>
      </c>
      <c r="AA1140" t="s">
        <v>91</v>
      </c>
      <c r="AB1140" t="s">
        <v>91</v>
      </c>
      <c r="AC1140" t="s">
        <v>91</v>
      </c>
      <c r="AD1140" t="s">
        <v>91</v>
      </c>
      <c r="AE1140" t="s">
        <v>91</v>
      </c>
      <c r="AF1140" t="s">
        <v>91</v>
      </c>
      <c r="AG1140" s="1" t="s">
        <v>91</v>
      </c>
      <c r="AH1140" s="1" t="s">
        <v>91</v>
      </c>
      <c r="AI1140" t="s">
        <v>91</v>
      </c>
      <c r="AJ1140">
        <v>0</v>
      </c>
      <c r="AK1140">
        <v>0</v>
      </c>
      <c r="AL1140">
        <v>0</v>
      </c>
      <c r="AM1140" t="s">
        <v>91</v>
      </c>
      <c r="AN1140" t="s">
        <v>91</v>
      </c>
      <c r="AO1140" t="s">
        <v>91</v>
      </c>
      <c r="AP1140" t="s">
        <v>91</v>
      </c>
      <c r="AQ1140" s="1" t="s">
        <v>91</v>
      </c>
      <c r="AR1140" s="1" t="s">
        <v>91</v>
      </c>
      <c r="AS1140" s="1" t="s">
        <v>91</v>
      </c>
      <c r="AT1140" s="1" t="s">
        <v>91</v>
      </c>
      <c r="AU1140" s="1" t="s">
        <v>91</v>
      </c>
      <c r="AV1140" t="s">
        <v>91</v>
      </c>
      <c r="AW1140" t="s">
        <v>91</v>
      </c>
      <c r="AX1140" t="s">
        <v>91</v>
      </c>
      <c r="AY1140" t="s">
        <v>91</v>
      </c>
      <c r="AZ1140" t="s">
        <v>91</v>
      </c>
      <c r="BA1140" t="s">
        <v>91</v>
      </c>
      <c r="BB1140" s="2"/>
      <c r="BC1140" s="2"/>
      <c r="BD1140" t="s">
        <v>91</v>
      </c>
      <c r="BF1140" s="1" t="s">
        <v>75</v>
      </c>
      <c r="BG1140">
        <v>0</v>
      </c>
      <c r="BH1140">
        <v>0</v>
      </c>
      <c r="BI1140" s="1" t="s">
        <v>88</v>
      </c>
      <c r="BJ1140">
        <v>1</v>
      </c>
      <c r="BK1140" s="1" t="s">
        <v>89</v>
      </c>
      <c r="BL1140" t="s">
        <v>91</v>
      </c>
      <c r="BM1140" s="1" t="s">
        <v>109</v>
      </c>
      <c r="BN1140" s="1" t="s">
        <v>110</v>
      </c>
      <c r="BO1140" s="1" t="s">
        <v>111</v>
      </c>
      <c r="BP1140" s="1" t="s">
        <v>91</v>
      </c>
      <c r="BQ1140" t="s">
        <v>91</v>
      </c>
      <c r="BR1140" s="3"/>
      <c r="BS1140" s="3"/>
      <c r="BT1140" t="s">
        <v>91</v>
      </c>
      <c r="BU1140" t="s">
        <v>91</v>
      </c>
      <c r="BV1140">
        <v>9</v>
      </c>
      <c r="BW1140" s="1" t="s">
        <v>540</v>
      </c>
    </row>
    <row r="1141" spans="1:75" hidden="1" x14ac:dyDescent="0.35">
      <c r="A1141">
        <v>144348</v>
      </c>
      <c r="B1141" s="1" t="s">
        <v>75</v>
      </c>
      <c r="C1141">
        <v>80</v>
      </c>
      <c r="D1141">
        <v>11121002</v>
      </c>
      <c r="E1141">
        <v>121002</v>
      </c>
      <c r="F1141" s="1" t="s">
        <v>2915</v>
      </c>
      <c r="G1141" s="1" t="s">
        <v>6270</v>
      </c>
      <c r="I1141" s="1" t="s">
        <v>78</v>
      </c>
      <c r="J1141" s="1" t="s">
        <v>6271</v>
      </c>
      <c r="K1141" s="1" t="s">
        <v>6272</v>
      </c>
      <c r="L1141" t="s">
        <v>91</v>
      </c>
      <c r="M1141" t="s">
        <v>91</v>
      </c>
      <c r="N1141" s="1" t="s">
        <v>6273</v>
      </c>
      <c r="O1141" t="s">
        <v>91</v>
      </c>
      <c r="P1141" s="1" t="s">
        <v>6274</v>
      </c>
      <c r="Q1141" s="1" t="s">
        <v>2814</v>
      </c>
      <c r="R1141" s="1" t="s">
        <v>820</v>
      </c>
      <c r="S1141">
        <v>1270</v>
      </c>
      <c r="T1141">
        <v>88950000</v>
      </c>
      <c r="U1141" s="1" t="s">
        <v>108</v>
      </c>
      <c r="V1141" s="1" t="s">
        <v>3203</v>
      </c>
      <c r="W1141" s="1" t="s">
        <v>87</v>
      </c>
      <c r="X1141">
        <v>48</v>
      </c>
      <c r="Y1141">
        <v>35351473</v>
      </c>
      <c r="Z1141" t="s">
        <v>91</v>
      </c>
      <c r="AA1141" t="s">
        <v>91</v>
      </c>
      <c r="AB1141" t="s">
        <v>91</v>
      </c>
      <c r="AC1141" t="s">
        <v>91</v>
      </c>
      <c r="AD1141" t="s">
        <v>91</v>
      </c>
      <c r="AE1141" t="s">
        <v>91</v>
      </c>
      <c r="AF1141" t="s">
        <v>91</v>
      </c>
      <c r="AG1141" s="1" t="s">
        <v>91</v>
      </c>
      <c r="AH1141" s="1" t="s">
        <v>91</v>
      </c>
      <c r="AI1141" t="s">
        <v>91</v>
      </c>
      <c r="AJ1141">
        <v>0</v>
      </c>
      <c r="AK1141">
        <v>0</v>
      </c>
      <c r="AL1141">
        <v>0</v>
      </c>
      <c r="AM1141" t="s">
        <v>91</v>
      </c>
      <c r="AN1141" t="s">
        <v>91</v>
      </c>
      <c r="AO1141" t="s">
        <v>91</v>
      </c>
      <c r="AP1141" t="s">
        <v>91</v>
      </c>
      <c r="AQ1141" s="1" t="s">
        <v>91</v>
      </c>
      <c r="AR1141" s="1" t="s">
        <v>91</v>
      </c>
      <c r="AS1141" s="1" t="s">
        <v>91</v>
      </c>
      <c r="AT1141" s="1" t="s">
        <v>91</v>
      </c>
      <c r="AU1141" s="1" t="s">
        <v>91</v>
      </c>
      <c r="AV1141" t="s">
        <v>91</v>
      </c>
      <c r="AW1141" t="s">
        <v>91</v>
      </c>
      <c r="AX1141" t="s">
        <v>91</v>
      </c>
      <c r="AY1141" t="s">
        <v>91</v>
      </c>
      <c r="AZ1141" t="s">
        <v>91</v>
      </c>
      <c r="BA1141" t="s">
        <v>91</v>
      </c>
      <c r="BB1141" s="2"/>
      <c r="BC1141" s="2"/>
      <c r="BD1141" t="s">
        <v>91</v>
      </c>
      <c r="BF1141" s="1" t="s">
        <v>75</v>
      </c>
      <c r="BG1141">
        <v>0</v>
      </c>
      <c r="BH1141">
        <v>0</v>
      </c>
      <c r="BI1141" s="1" t="s">
        <v>88</v>
      </c>
      <c r="BJ1141">
        <v>1</v>
      </c>
      <c r="BK1141" s="1" t="s">
        <v>89</v>
      </c>
      <c r="BL1141" t="s">
        <v>91</v>
      </c>
      <c r="BM1141" s="1" t="s">
        <v>109</v>
      </c>
      <c r="BN1141" s="1" t="s">
        <v>110</v>
      </c>
      <c r="BO1141" s="1" t="s">
        <v>111</v>
      </c>
      <c r="BP1141" s="1" t="s">
        <v>91</v>
      </c>
      <c r="BQ1141" t="s">
        <v>91</v>
      </c>
      <c r="BR1141" s="3"/>
      <c r="BS1141" s="3"/>
      <c r="BT1141" t="s">
        <v>91</v>
      </c>
      <c r="BU1141" t="s">
        <v>91</v>
      </c>
      <c r="BV1141">
        <v>9</v>
      </c>
      <c r="BW1141" s="1" t="s">
        <v>478</v>
      </c>
    </row>
    <row r="1142" spans="1:75" hidden="1" x14ac:dyDescent="0.35">
      <c r="A1142">
        <v>156956</v>
      </c>
      <c r="B1142" s="1" t="s">
        <v>75</v>
      </c>
      <c r="C1142">
        <v>80</v>
      </c>
      <c r="D1142">
        <v>11121002</v>
      </c>
      <c r="E1142">
        <v>121002</v>
      </c>
      <c r="F1142" s="1" t="s">
        <v>2915</v>
      </c>
      <c r="G1142" s="1" t="s">
        <v>6275</v>
      </c>
      <c r="H1142">
        <v>0</v>
      </c>
      <c r="I1142" s="1" t="s">
        <v>78</v>
      </c>
      <c r="J1142" s="1" t="s">
        <v>6276</v>
      </c>
      <c r="K1142" s="1" t="s">
        <v>6277</v>
      </c>
      <c r="L1142" t="s">
        <v>91</v>
      </c>
      <c r="M1142" t="s">
        <v>91</v>
      </c>
      <c r="N1142" s="1" t="s">
        <v>6278</v>
      </c>
      <c r="O1142" t="s">
        <v>91</v>
      </c>
      <c r="P1142" s="1" t="s">
        <v>6279</v>
      </c>
      <c r="Q1142" s="1" t="s">
        <v>3653</v>
      </c>
      <c r="R1142" s="1" t="s">
        <v>135</v>
      </c>
      <c r="S1142">
        <v>1259</v>
      </c>
      <c r="T1142">
        <v>88190000</v>
      </c>
      <c r="U1142" s="1" t="s">
        <v>6280</v>
      </c>
      <c r="V1142" s="1" t="s">
        <v>6281</v>
      </c>
      <c r="W1142" s="1" t="s">
        <v>87</v>
      </c>
      <c r="X1142">
        <v>48</v>
      </c>
      <c r="Y1142">
        <v>32627497</v>
      </c>
      <c r="Z1142" t="s">
        <v>91</v>
      </c>
      <c r="AA1142" t="s">
        <v>91</v>
      </c>
      <c r="AB1142" t="s">
        <v>91</v>
      </c>
      <c r="AC1142" t="s">
        <v>91</v>
      </c>
      <c r="AD1142" t="s">
        <v>91</v>
      </c>
      <c r="AE1142" t="s">
        <v>91</v>
      </c>
      <c r="AF1142" t="s">
        <v>91</v>
      </c>
      <c r="AG1142" s="1" t="s">
        <v>91</v>
      </c>
      <c r="AH1142" s="1" t="s">
        <v>91</v>
      </c>
      <c r="AI1142" t="s">
        <v>91</v>
      </c>
      <c r="AM1142" t="s">
        <v>91</v>
      </c>
      <c r="AN1142" t="s">
        <v>91</v>
      </c>
      <c r="AO1142" t="s">
        <v>91</v>
      </c>
      <c r="AP1142" t="s">
        <v>91</v>
      </c>
      <c r="AQ1142" s="1" t="s">
        <v>91</v>
      </c>
      <c r="AR1142" s="1" t="s">
        <v>91</v>
      </c>
      <c r="AS1142" s="1" t="s">
        <v>91</v>
      </c>
      <c r="AT1142" s="1" t="s">
        <v>91</v>
      </c>
      <c r="AU1142" s="1" t="s">
        <v>91</v>
      </c>
      <c r="AV1142" t="s">
        <v>91</v>
      </c>
      <c r="AW1142" t="s">
        <v>91</v>
      </c>
      <c r="AX1142" t="s">
        <v>91</v>
      </c>
      <c r="AY1142" t="s">
        <v>91</v>
      </c>
      <c r="AZ1142" t="s">
        <v>91</v>
      </c>
      <c r="BA1142" t="s">
        <v>91</v>
      </c>
      <c r="BB1142" s="2">
        <v>45113.505416666667</v>
      </c>
      <c r="BC1142" s="2"/>
      <c r="BD1142" t="s">
        <v>91</v>
      </c>
      <c r="BF1142" s="1" t="s">
        <v>75</v>
      </c>
      <c r="BI1142" s="1" t="s">
        <v>88</v>
      </c>
      <c r="BJ1142">
        <v>1</v>
      </c>
      <c r="BK1142" s="1" t="s">
        <v>89</v>
      </c>
      <c r="BL1142" t="s">
        <v>91</v>
      </c>
      <c r="BM1142" s="1" t="s">
        <v>91</v>
      </c>
      <c r="BN1142" s="1" t="s">
        <v>91</v>
      </c>
      <c r="BO1142" s="1" t="s">
        <v>91</v>
      </c>
      <c r="BP1142" s="1" t="s">
        <v>91</v>
      </c>
      <c r="BQ1142" t="s">
        <v>91</v>
      </c>
      <c r="BR1142" s="3">
        <v>45113</v>
      </c>
      <c r="BS1142" s="3"/>
      <c r="BT1142" t="s">
        <v>91</v>
      </c>
      <c r="BU1142" t="s">
        <v>91</v>
      </c>
      <c r="BW1142" s="1" t="s">
        <v>90</v>
      </c>
    </row>
    <row r="1143" spans="1:75" hidden="1" x14ac:dyDescent="0.35">
      <c r="A1143">
        <v>134543</v>
      </c>
      <c r="B1143" s="1" t="s">
        <v>75</v>
      </c>
      <c r="C1143">
        <v>80</v>
      </c>
      <c r="D1143">
        <v>11121002</v>
      </c>
      <c r="E1143">
        <v>121002</v>
      </c>
      <c r="F1143" s="1" t="s">
        <v>2915</v>
      </c>
      <c r="G1143" s="1" t="s">
        <v>6282</v>
      </c>
      <c r="I1143" s="1" t="s">
        <v>78</v>
      </c>
      <c r="J1143" s="1" t="s">
        <v>6283</v>
      </c>
      <c r="K1143" s="1" t="s">
        <v>6284</v>
      </c>
      <c r="L1143" t="s">
        <v>91</v>
      </c>
      <c r="M1143" t="s">
        <v>91</v>
      </c>
      <c r="N1143" s="1" t="s">
        <v>6285</v>
      </c>
      <c r="O1143" t="s">
        <v>91</v>
      </c>
      <c r="P1143" s="1" t="s">
        <v>311</v>
      </c>
      <c r="Q1143" s="1" t="s">
        <v>2762</v>
      </c>
      <c r="R1143" s="1" t="s">
        <v>1384</v>
      </c>
      <c r="S1143">
        <v>1254</v>
      </c>
      <c r="T1143">
        <v>88010000</v>
      </c>
      <c r="U1143" s="1" t="s">
        <v>108</v>
      </c>
      <c r="V1143" s="1" t="s">
        <v>3102</v>
      </c>
      <c r="W1143" s="1" t="s">
        <v>87</v>
      </c>
      <c r="X1143">
        <v>48</v>
      </c>
      <c r="Y1143">
        <v>30283946</v>
      </c>
      <c r="Z1143" t="s">
        <v>91</v>
      </c>
      <c r="AA1143" t="s">
        <v>91</v>
      </c>
      <c r="AB1143" t="s">
        <v>91</v>
      </c>
      <c r="AC1143" t="s">
        <v>91</v>
      </c>
      <c r="AD1143" t="s">
        <v>91</v>
      </c>
      <c r="AE1143" t="s">
        <v>91</v>
      </c>
      <c r="AF1143" t="s">
        <v>91</v>
      </c>
      <c r="AG1143" s="1" t="s">
        <v>146</v>
      </c>
      <c r="AH1143" s="1" t="s">
        <v>91</v>
      </c>
      <c r="AI1143" t="s">
        <v>91</v>
      </c>
      <c r="AM1143" t="s">
        <v>91</v>
      </c>
      <c r="AN1143" t="s">
        <v>91</v>
      </c>
      <c r="AO1143" t="s">
        <v>91</v>
      </c>
      <c r="AP1143" t="s">
        <v>91</v>
      </c>
      <c r="AQ1143" s="1" t="s">
        <v>147</v>
      </c>
      <c r="AR1143" s="1" t="s">
        <v>147</v>
      </c>
      <c r="AS1143" s="1" t="s">
        <v>147</v>
      </c>
      <c r="AT1143" s="1" t="s">
        <v>147</v>
      </c>
      <c r="AU1143" s="1" t="s">
        <v>147</v>
      </c>
      <c r="AV1143" t="s">
        <v>91</v>
      </c>
      <c r="AW1143" t="s">
        <v>91</v>
      </c>
      <c r="AX1143" t="s">
        <v>91</v>
      </c>
      <c r="AY1143" t="s">
        <v>91</v>
      </c>
      <c r="AZ1143" t="s">
        <v>91</v>
      </c>
      <c r="BA1143" t="s">
        <v>91</v>
      </c>
      <c r="BB1143" s="2"/>
      <c r="BC1143" s="2">
        <v>45117.42328703704</v>
      </c>
      <c r="BD1143" t="s">
        <v>91</v>
      </c>
      <c r="BF1143" s="1" t="s">
        <v>75</v>
      </c>
      <c r="BH1143">
        <v>0</v>
      </c>
      <c r="BI1143" s="1" t="s">
        <v>88</v>
      </c>
      <c r="BJ1143">
        <v>1</v>
      </c>
      <c r="BK1143" s="1" t="s">
        <v>89</v>
      </c>
      <c r="BL1143" t="s">
        <v>91</v>
      </c>
      <c r="BM1143" s="1" t="s">
        <v>109</v>
      </c>
      <c r="BN1143" s="1" t="s">
        <v>110</v>
      </c>
      <c r="BO1143" s="1" t="s">
        <v>165</v>
      </c>
      <c r="BP1143" s="1" t="s">
        <v>91</v>
      </c>
      <c r="BQ1143" t="s">
        <v>91</v>
      </c>
      <c r="BR1143" s="3"/>
      <c r="BS1143" s="3">
        <v>45117</v>
      </c>
      <c r="BT1143" t="s">
        <v>91</v>
      </c>
      <c r="BU1143" t="s">
        <v>91</v>
      </c>
      <c r="BW1143" s="1" t="s">
        <v>2494</v>
      </c>
    </row>
    <row r="1144" spans="1:75" hidden="1" x14ac:dyDescent="0.35">
      <c r="A1144">
        <v>157653</v>
      </c>
      <c r="B1144" s="1" t="s">
        <v>75</v>
      </c>
      <c r="C1144">
        <v>80</v>
      </c>
      <c r="D1144">
        <v>11121002</v>
      </c>
      <c r="E1144">
        <v>121002</v>
      </c>
      <c r="F1144" s="1" t="s">
        <v>2915</v>
      </c>
      <c r="G1144" s="1" t="s">
        <v>6286</v>
      </c>
      <c r="H1144">
        <v>0</v>
      </c>
      <c r="I1144" s="1" t="s">
        <v>78</v>
      </c>
      <c r="J1144" s="1" t="s">
        <v>6287</v>
      </c>
      <c r="K1144" s="1" t="s">
        <v>6288</v>
      </c>
      <c r="L1144" t="s">
        <v>91</v>
      </c>
      <c r="M1144" t="s">
        <v>91</v>
      </c>
      <c r="N1144" s="1" t="s">
        <v>6289</v>
      </c>
      <c r="O1144" t="s">
        <v>91</v>
      </c>
      <c r="P1144" s="1" t="s">
        <v>6290</v>
      </c>
      <c r="Q1144" s="1" t="s">
        <v>1881</v>
      </c>
      <c r="R1144" s="1" t="s">
        <v>91</v>
      </c>
      <c r="S1144">
        <v>1269</v>
      </c>
      <c r="T1144">
        <v>88802300</v>
      </c>
      <c r="U1144" s="1" t="s">
        <v>6291</v>
      </c>
      <c r="V1144" s="1" t="s">
        <v>2943</v>
      </c>
      <c r="W1144" s="1" t="s">
        <v>87</v>
      </c>
      <c r="Z1144" t="s">
        <v>91</v>
      </c>
      <c r="AA1144" t="s">
        <v>91</v>
      </c>
      <c r="AB1144" t="s">
        <v>91</v>
      </c>
      <c r="AC1144" t="s">
        <v>91</v>
      </c>
      <c r="AD1144" t="s">
        <v>91</v>
      </c>
      <c r="AE1144" t="s">
        <v>91</v>
      </c>
      <c r="AF1144" t="s">
        <v>91</v>
      </c>
      <c r="AG1144" s="1" t="s">
        <v>91</v>
      </c>
      <c r="AH1144" s="1" t="s">
        <v>91</v>
      </c>
      <c r="AI1144" t="s">
        <v>91</v>
      </c>
      <c r="AM1144" t="s">
        <v>91</v>
      </c>
      <c r="AN1144" t="s">
        <v>91</v>
      </c>
      <c r="AO1144" t="s">
        <v>91</v>
      </c>
      <c r="AP1144" t="s">
        <v>91</v>
      </c>
      <c r="AQ1144" s="1" t="s">
        <v>91</v>
      </c>
      <c r="AR1144" s="1" t="s">
        <v>91</v>
      </c>
      <c r="AS1144" s="1" t="s">
        <v>91</v>
      </c>
      <c r="AT1144" s="1" t="s">
        <v>91</v>
      </c>
      <c r="AU1144" s="1" t="s">
        <v>91</v>
      </c>
      <c r="AV1144" t="s">
        <v>91</v>
      </c>
      <c r="AW1144" t="s">
        <v>91</v>
      </c>
      <c r="AX1144" t="s">
        <v>91</v>
      </c>
      <c r="AY1144" t="s">
        <v>91</v>
      </c>
      <c r="AZ1144" t="s">
        <v>91</v>
      </c>
      <c r="BA1144" t="s">
        <v>91</v>
      </c>
      <c r="BB1144" s="2">
        <v>45118.097175925926</v>
      </c>
      <c r="BC1144" s="2"/>
      <c r="BD1144" t="s">
        <v>91</v>
      </c>
      <c r="BF1144" s="1" t="s">
        <v>75</v>
      </c>
      <c r="BI1144" s="1" t="s">
        <v>88</v>
      </c>
      <c r="BJ1144">
        <v>1</v>
      </c>
      <c r="BK1144" s="1" t="s">
        <v>89</v>
      </c>
      <c r="BL1144" t="s">
        <v>91</v>
      </c>
      <c r="BM1144" s="1" t="s">
        <v>91</v>
      </c>
      <c r="BN1144" s="1" t="s">
        <v>91</v>
      </c>
      <c r="BO1144" s="1" t="s">
        <v>91</v>
      </c>
      <c r="BP1144" s="1" t="s">
        <v>91</v>
      </c>
      <c r="BQ1144" t="s">
        <v>91</v>
      </c>
      <c r="BR1144" s="3">
        <v>45118</v>
      </c>
      <c r="BS1144" s="3"/>
      <c r="BT1144" t="s">
        <v>91</v>
      </c>
      <c r="BU1144" t="s">
        <v>91</v>
      </c>
      <c r="BW1144" s="1" t="s">
        <v>90</v>
      </c>
    </row>
    <row r="1145" spans="1:75" hidden="1" x14ac:dyDescent="0.35">
      <c r="A1145">
        <v>134313</v>
      </c>
      <c r="B1145" s="1" t="s">
        <v>75</v>
      </c>
      <c r="C1145">
        <v>80</v>
      </c>
      <c r="D1145">
        <v>11121002</v>
      </c>
      <c r="E1145">
        <v>121002</v>
      </c>
      <c r="F1145" s="1" t="s">
        <v>2915</v>
      </c>
      <c r="G1145" s="1" t="s">
        <v>6292</v>
      </c>
      <c r="I1145" s="1" t="s">
        <v>78</v>
      </c>
      <c r="J1145" s="1" t="s">
        <v>6293</v>
      </c>
      <c r="K1145" s="1" t="s">
        <v>6294</v>
      </c>
      <c r="L1145" t="s">
        <v>91</v>
      </c>
      <c r="M1145" t="s">
        <v>91</v>
      </c>
      <c r="N1145" s="1" t="s">
        <v>6295</v>
      </c>
      <c r="O1145" t="s">
        <v>91</v>
      </c>
      <c r="P1145" s="1" t="s">
        <v>6025</v>
      </c>
      <c r="Q1145" s="1" t="s">
        <v>6026</v>
      </c>
      <c r="R1145" s="1" t="s">
        <v>6296</v>
      </c>
      <c r="S1145">
        <v>1257</v>
      </c>
      <c r="T1145">
        <v>88062120</v>
      </c>
      <c r="U1145" s="1" t="s">
        <v>6297</v>
      </c>
      <c r="V1145" s="1" t="s">
        <v>2922</v>
      </c>
      <c r="W1145" s="1" t="s">
        <v>87</v>
      </c>
      <c r="X1145">
        <v>48</v>
      </c>
      <c r="Y1145">
        <v>32096462</v>
      </c>
      <c r="Z1145" t="s">
        <v>91</v>
      </c>
      <c r="AA1145" t="s">
        <v>91</v>
      </c>
      <c r="AB1145" t="s">
        <v>91</v>
      </c>
      <c r="AC1145" t="s">
        <v>91</v>
      </c>
      <c r="AD1145" t="s">
        <v>91</v>
      </c>
      <c r="AE1145" t="s">
        <v>91</v>
      </c>
      <c r="AF1145" t="s">
        <v>91</v>
      </c>
      <c r="AG1145" s="1" t="s">
        <v>91</v>
      </c>
      <c r="AH1145" s="1" t="s">
        <v>91</v>
      </c>
      <c r="AI1145" t="s">
        <v>91</v>
      </c>
      <c r="AJ1145">
        <v>0</v>
      </c>
      <c r="AK1145">
        <v>0</v>
      </c>
      <c r="AL1145">
        <v>0</v>
      </c>
      <c r="AM1145" t="s">
        <v>91</v>
      </c>
      <c r="AN1145" t="s">
        <v>91</v>
      </c>
      <c r="AO1145" t="s">
        <v>91</v>
      </c>
      <c r="AP1145" t="s">
        <v>91</v>
      </c>
      <c r="AQ1145" s="1" t="s">
        <v>91</v>
      </c>
      <c r="AR1145" s="1" t="s">
        <v>91</v>
      </c>
      <c r="AS1145" s="1" t="s">
        <v>91</v>
      </c>
      <c r="AT1145" s="1" t="s">
        <v>91</v>
      </c>
      <c r="AU1145" s="1" t="s">
        <v>91</v>
      </c>
      <c r="AV1145" t="s">
        <v>91</v>
      </c>
      <c r="AW1145" t="s">
        <v>91</v>
      </c>
      <c r="AX1145" t="s">
        <v>91</v>
      </c>
      <c r="AY1145" t="s">
        <v>91</v>
      </c>
      <c r="AZ1145" t="s">
        <v>91</v>
      </c>
      <c r="BA1145" t="s">
        <v>91</v>
      </c>
      <c r="BB1145" s="2"/>
      <c r="BC1145" s="2"/>
      <c r="BD1145" t="s">
        <v>91</v>
      </c>
      <c r="BF1145" s="1" t="s">
        <v>75</v>
      </c>
      <c r="BG1145">
        <v>0</v>
      </c>
      <c r="BH1145">
        <v>0</v>
      </c>
      <c r="BI1145" s="1" t="s">
        <v>88</v>
      </c>
      <c r="BJ1145">
        <v>1</v>
      </c>
      <c r="BK1145" s="1" t="s">
        <v>89</v>
      </c>
      <c r="BL1145" t="s">
        <v>91</v>
      </c>
      <c r="BM1145" s="1" t="s">
        <v>109</v>
      </c>
      <c r="BN1145" s="1" t="s">
        <v>110</v>
      </c>
      <c r="BO1145" s="1" t="s">
        <v>111</v>
      </c>
      <c r="BP1145" s="1" t="s">
        <v>91</v>
      </c>
      <c r="BQ1145" t="s">
        <v>91</v>
      </c>
      <c r="BR1145" s="3"/>
      <c r="BS1145" s="3"/>
      <c r="BT1145" t="s">
        <v>91</v>
      </c>
      <c r="BU1145" t="s">
        <v>91</v>
      </c>
      <c r="BV1145">
        <v>6</v>
      </c>
      <c r="BW1145" s="1" t="s">
        <v>6298</v>
      </c>
    </row>
    <row r="1146" spans="1:75" hidden="1" x14ac:dyDescent="0.35">
      <c r="A1146">
        <v>134466</v>
      </c>
      <c r="B1146" s="1" t="s">
        <v>75</v>
      </c>
      <c r="C1146">
        <v>80</v>
      </c>
      <c r="D1146">
        <v>11121002</v>
      </c>
      <c r="E1146">
        <v>121002</v>
      </c>
      <c r="F1146" s="1" t="s">
        <v>2915</v>
      </c>
      <c r="G1146" s="1" t="s">
        <v>6299</v>
      </c>
      <c r="I1146" s="1" t="s">
        <v>78</v>
      </c>
      <c r="J1146" s="1" t="s">
        <v>6300</v>
      </c>
      <c r="K1146" s="1" t="s">
        <v>6301</v>
      </c>
      <c r="L1146" t="s">
        <v>91</v>
      </c>
      <c r="M1146" t="s">
        <v>91</v>
      </c>
      <c r="N1146" s="1" t="s">
        <v>4130</v>
      </c>
      <c r="O1146" t="s">
        <v>91</v>
      </c>
      <c r="P1146" s="1" t="s">
        <v>4004</v>
      </c>
      <c r="Q1146" s="1" t="s">
        <v>974</v>
      </c>
      <c r="R1146" s="1" t="s">
        <v>6302</v>
      </c>
      <c r="S1146">
        <v>1255</v>
      </c>
      <c r="T1146">
        <v>88015100</v>
      </c>
      <c r="U1146" s="1" t="s">
        <v>108</v>
      </c>
      <c r="V1146" s="1" t="s">
        <v>2922</v>
      </c>
      <c r="W1146" s="1" t="s">
        <v>87</v>
      </c>
      <c r="X1146">
        <v>48</v>
      </c>
      <c r="Y1146">
        <v>30284342</v>
      </c>
      <c r="Z1146" t="s">
        <v>91</v>
      </c>
      <c r="AA1146" t="s">
        <v>91</v>
      </c>
      <c r="AB1146" t="s">
        <v>91</v>
      </c>
      <c r="AC1146" t="s">
        <v>91</v>
      </c>
      <c r="AD1146" t="s">
        <v>91</v>
      </c>
      <c r="AE1146" t="s">
        <v>91</v>
      </c>
      <c r="AF1146" t="s">
        <v>91</v>
      </c>
      <c r="AG1146" s="1" t="s">
        <v>91</v>
      </c>
      <c r="AH1146" s="1" t="s">
        <v>91</v>
      </c>
      <c r="AI1146" t="s">
        <v>91</v>
      </c>
      <c r="AM1146" t="s">
        <v>91</v>
      </c>
      <c r="AN1146" t="s">
        <v>91</v>
      </c>
      <c r="AO1146" t="s">
        <v>91</v>
      </c>
      <c r="AP1146" t="s">
        <v>91</v>
      </c>
      <c r="AQ1146" s="1" t="s">
        <v>91</v>
      </c>
      <c r="AR1146" s="1" t="s">
        <v>91</v>
      </c>
      <c r="AS1146" s="1" t="s">
        <v>91</v>
      </c>
      <c r="AT1146" s="1" t="s">
        <v>91</v>
      </c>
      <c r="AU1146" s="1" t="s">
        <v>91</v>
      </c>
      <c r="AV1146" t="s">
        <v>91</v>
      </c>
      <c r="AW1146" t="s">
        <v>91</v>
      </c>
      <c r="AX1146" t="s">
        <v>91</v>
      </c>
      <c r="AY1146" t="s">
        <v>91</v>
      </c>
      <c r="AZ1146" t="s">
        <v>91</v>
      </c>
      <c r="BA1146" t="s">
        <v>91</v>
      </c>
      <c r="BB1146" s="2"/>
      <c r="BC1146" s="2"/>
      <c r="BD1146" t="s">
        <v>91</v>
      </c>
      <c r="BF1146" s="1" t="s">
        <v>75</v>
      </c>
      <c r="BI1146" s="1" t="s">
        <v>88</v>
      </c>
      <c r="BJ1146">
        <v>1</v>
      </c>
      <c r="BK1146" s="1" t="s">
        <v>89</v>
      </c>
      <c r="BL1146" t="s">
        <v>91</v>
      </c>
      <c r="BM1146" s="1" t="s">
        <v>109</v>
      </c>
      <c r="BN1146" s="1" t="s">
        <v>110</v>
      </c>
      <c r="BO1146" s="1" t="s">
        <v>111</v>
      </c>
      <c r="BP1146" s="1" t="s">
        <v>91</v>
      </c>
      <c r="BQ1146" t="s">
        <v>91</v>
      </c>
      <c r="BR1146" s="3"/>
      <c r="BS1146" s="3"/>
      <c r="BT1146" t="s">
        <v>91</v>
      </c>
      <c r="BU1146" t="s">
        <v>91</v>
      </c>
      <c r="BV1146">
        <v>1</v>
      </c>
      <c r="BW1146" s="1" t="s">
        <v>2762</v>
      </c>
    </row>
    <row r="1147" spans="1:75" hidden="1" x14ac:dyDescent="0.35">
      <c r="A1147">
        <v>156891</v>
      </c>
      <c r="B1147" s="1" t="s">
        <v>75</v>
      </c>
      <c r="C1147">
        <v>80</v>
      </c>
      <c r="D1147">
        <v>11121002</v>
      </c>
      <c r="E1147">
        <v>121002</v>
      </c>
      <c r="F1147" s="1" t="s">
        <v>2915</v>
      </c>
      <c r="G1147" s="1" t="s">
        <v>6303</v>
      </c>
      <c r="H1147">
        <v>0</v>
      </c>
      <c r="I1147" s="1" t="s">
        <v>78</v>
      </c>
      <c r="J1147" s="1" t="s">
        <v>6300</v>
      </c>
      <c r="K1147" s="1" t="s">
        <v>6304</v>
      </c>
      <c r="L1147" t="s">
        <v>91</v>
      </c>
      <c r="M1147" t="s">
        <v>91</v>
      </c>
      <c r="N1147" s="1" t="s">
        <v>6305</v>
      </c>
      <c r="O1147" t="s">
        <v>91</v>
      </c>
      <c r="P1147" s="1" t="s">
        <v>6306</v>
      </c>
      <c r="Q1147" s="1" t="s">
        <v>6307</v>
      </c>
      <c r="R1147" s="1" t="s">
        <v>6308</v>
      </c>
      <c r="T1147">
        <v>88133470</v>
      </c>
      <c r="U1147" s="1" t="s">
        <v>108</v>
      </c>
      <c r="V1147" s="1" t="s">
        <v>2951</v>
      </c>
      <c r="W1147" s="1" t="s">
        <v>87</v>
      </c>
      <c r="X1147">
        <v>48</v>
      </c>
      <c r="Y1147">
        <v>30335495</v>
      </c>
      <c r="Z1147" t="s">
        <v>91</v>
      </c>
      <c r="AA1147" t="s">
        <v>91</v>
      </c>
      <c r="AB1147" t="s">
        <v>91</v>
      </c>
      <c r="AC1147" t="s">
        <v>91</v>
      </c>
      <c r="AD1147" t="s">
        <v>91</v>
      </c>
      <c r="AE1147" t="s">
        <v>91</v>
      </c>
      <c r="AF1147" t="s">
        <v>91</v>
      </c>
      <c r="AG1147" s="1" t="s">
        <v>91</v>
      </c>
      <c r="AH1147" s="1" t="s">
        <v>91</v>
      </c>
      <c r="AI1147" t="s">
        <v>91</v>
      </c>
      <c r="AM1147" t="s">
        <v>91</v>
      </c>
      <c r="AN1147" t="s">
        <v>91</v>
      </c>
      <c r="AO1147" t="s">
        <v>91</v>
      </c>
      <c r="AP1147" t="s">
        <v>91</v>
      </c>
      <c r="AQ1147" s="1" t="s">
        <v>91</v>
      </c>
      <c r="AR1147" s="1" t="s">
        <v>91</v>
      </c>
      <c r="AS1147" s="1" t="s">
        <v>91</v>
      </c>
      <c r="AT1147" s="1" t="s">
        <v>91</v>
      </c>
      <c r="AU1147" s="1" t="s">
        <v>91</v>
      </c>
      <c r="AV1147" t="s">
        <v>91</v>
      </c>
      <c r="AW1147" t="s">
        <v>91</v>
      </c>
      <c r="AX1147" t="s">
        <v>91</v>
      </c>
      <c r="AY1147" t="s">
        <v>91</v>
      </c>
      <c r="AZ1147" t="s">
        <v>91</v>
      </c>
      <c r="BA1147" t="s">
        <v>91</v>
      </c>
      <c r="BB1147" s="2">
        <v>45113.505416666667</v>
      </c>
      <c r="BC1147" s="2"/>
      <c r="BD1147" t="s">
        <v>91</v>
      </c>
      <c r="BF1147" s="1" t="s">
        <v>75</v>
      </c>
      <c r="BI1147" s="1" t="s">
        <v>88</v>
      </c>
      <c r="BJ1147">
        <v>1</v>
      </c>
      <c r="BK1147" s="1" t="s">
        <v>89</v>
      </c>
      <c r="BL1147" t="s">
        <v>91</v>
      </c>
      <c r="BM1147" s="1" t="s">
        <v>91</v>
      </c>
      <c r="BN1147" s="1" t="s">
        <v>91</v>
      </c>
      <c r="BO1147" s="1" t="s">
        <v>91</v>
      </c>
      <c r="BP1147" s="1" t="s">
        <v>91</v>
      </c>
      <c r="BQ1147" t="s">
        <v>91</v>
      </c>
      <c r="BR1147" s="3">
        <v>45113</v>
      </c>
      <c r="BS1147" s="3"/>
      <c r="BT1147" t="s">
        <v>91</v>
      </c>
      <c r="BU1147" t="s">
        <v>91</v>
      </c>
      <c r="BW1147" s="1" t="s">
        <v>90</v>
      </c>
    </row>
    <row r="1148" spans="1:75" hidden="1" x14ac:dyDescent="0.35">
      <c r="A1148">
        <v>152759</v>
      </c>
      <c r="B1148" s="1" t="s">
        <v>75</v>
      </c>
      <c r="C1148">
        <v>80</v>
      </c>
      <c r="D1148">
        <v>11121002</v>
      </c>
      <c r="E1148">
        <v>121002</v>
      </c>
      <c r="F1148" s="1" t="s">
        <v>2915</v>
      </c>
      <c r="G1148" s="1" t="s">
        <v>6309</v>
      </c>
      <c r="H1148">
        <v>0</v>
      </c>
      <c r="I1148" s="1" t="s">
        <v>78</v>
      </c>
      <c r="J1148" s="1" t="s">
        <v>6310</v>
      </c>
      <c r="K1148" s="1" t="s">
        <v>6311</v>
      </c>
      <c r="L1148" t="s">
        <v>91</v>
      </c>
      <c r="M1148" t="s">
        <v>91</v>
      </c>
      <c r="N1148" s="1" t="s">
        <v>6312</v>
      </c>
      <c r="O1148" t="s">
        <v>91</v>
      </c>
      <c r="P1148" s="1" t="s">
        <v>6313</v>
      </c>
      <c r="Q1148" s="1" t="s">
        <v>3304</v>
      </c>
      <c r="R1148" s="1" t="s">
        <v>370</v>
      </c>
      <c r="T1148">
        <v>88470000</v>
      </c>
      <c r="U1148" s="1" t="s">
        <v>108</v>
      </c>
      <c r="V1148" s="1" t="s">
        <v>6314</v>
      </c>
      <c r="W1148" s="1" t="s">
        <v>87</v>
      </c>
      <c r="Z1148" t="s">
        <v>91</v>
      </c>
      <c r="AA1148" t="s">
        <v>91</v>
      </c>
      <c r="AB1148" t="s">
        <v>91</v>
      </c>
      <c r="AC1148" t="s">
        <v>91</v>
      </c>
      <c r="AD1148" t="s">
        <v>91</v>
      </c>
      <c r="AE1148" t="s">
        <v>91</v>
      </c>
      <c r="AF1148" t="s">
        <v>91</v>
      </c>
      <c r="AG1148" s="1" t="s">
        <v>91</v>
      </c>
      <c r="AH1148" s="1" t="s">
        <v>91</v>
      </c>
      <c r="AI1148" t="s">
        <v>91</v>
      </c>
      <c r="AM1148" t="s">
        <v>91</v>
      </c>
      <c r="AN1148" t="s">
        <v>91</v>
      </c>
      <c r="AO1148" t="s">
        <v>91</v>
      </c>
      <c r="AP1148" t="s">
        <v>91</v>
      </c>
      <c r="AQ1148" s="1" t="s">
        <v>91</v>
      </c>
      <c r="AR1148" s="1" t="s">
        <v>91</v>
      </c>
      <c r="AS1148" s="1" t="s">
        <v>91</v>
      </c>
      <c r="AT1148" s="1" t="s">
        <v>91</v>
      </c>
      <c r="AU1148" s="1" t="s">
        <v>91</v>
      </c>
      <c r="AV1148" t="s">
        <v>91</v>
      </c>
      <c r="AW1148" t="s">
        <v>91</v>
      </c>
      <c r="AX1148" t="s">
        <v>91</v>
      </c>
      <c r="AY1148" t="s">
        <v>91</v>
      </c>
      <c r="AZ1148" t="s">
        <v>91</v>
      </c>
      <c r="BA1148" t="s">
        <v>91</v>
      </c>
      <c r="BB1148" s="2">
        <v>45019.565613425926</v>
      </c>
      <c r="BC1148" s="2"/>
      <c r="BD1148" t="s">
        <v>91</v>
      </c>
      <c r="BF1148" s="1" t="s">
        <v>75</v>
      </c>
      <c r="BI1148" s="1" t="s">
        <v>88</v>
      </c>
      <c r="BJ1148">
        <v>1</v>
      </c>
      <c r="BK1148" s="1" t="s">
        <v>89</v>
      </c>
      <c r="BL1148" t="s">
        <v>91</v>
      </c>
      <c r="BM1148" s="1" t="s">
        <v>91</v>
      </c>
      <c r="BN1148" s="1" t="s">
        <v>91</v>
      </c>
      <c r="BO1148" s="1" t="s">
        <v>91</v>
      </c>
      <c r="BP1148" s="1" t="s">
        <v>91</v>
      </c>
      <c r="BQ1148" t="s">
        <v>91</v>
      </c>
      <c r="BR1148" s="3">
        <v>45019</v>
      </c>
      <c r="BS1148" s="3"/>
      <c r="BT1148" t="s">
        <v>91</v>
      </c>
      <c r="BU1148" t="s">
        <v>91</v>
      </c>
      <c r="BW1148" s="1" t="s">
        <v>263</v>
      </c>
    </row>
    <row r="1149" spans="1:75" hidden="1" x14ac:dyDescent="0.35">
      <c r="A1149">
        <v>157712</v>
      </c>
      <c r="B1149" s="1" t="s">
        <v>75</v>
      </c>
      <c r="C1149">
        <v>80</v>
      </c>
      <c r="D1149">
        <v>11121002</v>
      </c>
      <c r="E1149">
        <v>121002</v>
      </c>
      <c r="F1149" s="1" t="s">
        <v>2915</v>
      </c>
      <c r="G1149" s="1" t="s">
        <v>6315</v>
      </c>
      <c r="H1149">
        <v>0</v>
      </c>
      <c r="I1149" s="1" t="s">
        <v>78</v>
      </c>
      <c r="J1149" s="1" t="s">
        <v>6316</v>
      </c>
      <c r="K1149" s="1" t="s">
        <v>6317</v>
      </c>
      <c r="L1149" t="s">
        <v>91</v>
      </c>
      <c r="M1149" t="s">
        <v>91</v>
      </c>
      <c r="N1149" s="1" t="s">
        <v>3030</v>
      </c>
      <c r="O1149" t="s">
        <v>91</v>
      </c>
      <c r="P1149" s="1" t="s">
        <v>3031</v>
      </c>
      <c r="Q1149" s="1" t="s">
        <v>3032</v>
      </c>
      <c r="R1149" s="1" t="s">
        <v>6318</v>
      </c>
      <c r="S1149">
        <v>1255</v>
      </c>
      <c r="T1149">
        <v>88015530</v>
      </c>
      <c r="U1149" s="1" t="s">
        <v>108</v>
      </c>
      <c r="V1149" s="1" t="s">
        <v>2922</v>
      </c>
      <c r="W1149" s="1" t="s">
        <v>87</v>
      </c>
      <c r="X1149">
        <v>48</v>
      </c>
      <c r="Y1149">
        <v>30256551</v>
      </c>
      <c r="Z1149" t="s">
        <v>91</v>
      </c>
      <c r="AA1149" t="s">
        <v>91</v>
      </c>
      <c r="AB1149" t="s">
        <v>91</v>
      </c>
      <c r="AC1149" t="s">
        <v>91</v>
      </c>
      <c r="AD1149" t="s">
        <v>91</v>
      </c>
      <c r="AE1149" t="s">
        <v>91</v>
      </c>
      <c r="AF1149" t="s">
        <v>91</v>
      </c>
      <c r="AG1149" s="1" t="s">
        <v>91</v>
      </c>
      <c r="AH1149" s="1" t="s">
        <v>91</v>
      </c>
      <c r="AI1149" t="s">
        <v>91</v>
      </c>
      <c r="AM1149" t="s">
        <v>91</v>
      </c>
      <c r="AN1149" t="s">
        <v>91</v>
      </c>
      <c r="AO1149" t="s">
        <v>91</v>
      </c>
      <c r="AP1149" t="s">
        <v>91</v>
      </c>
      <c r="AQ1149" s="1" t="s">
        <v>91</v>
      </c>
      <c r="AR1149" s="1" t="s">
        <v>91</v>
      </c>
      <c r="AS1149" s="1" t="s">
        <v>91</v>
      </c>
      <c r="AT1149" s="1" t="s">
        <v>91</v>
      </c>
      <c r="AU1149" s="1" t="s">
        <v>91</v>
      </c>
      <c r="AV1149" t="s">
        <v>91</v>
      </c>
      <c r="AW1149" t="s">
        <v>91</v>
      </c>
      <c r="AX1149" t="s">
        <v>91</v>
      </c>
      <c r="AY1149" t="s">
        <v>91</v>
      </c>
      <c r="AZ1149" t="s">
        <v>91</v>
      </c>
      <c r="BA1149" t="s">
        <v>91</v>
      </c>
      <c r="BB1149" s="2">
        <v>45118.097175925926</v>
      </c>
      <c r="BC1149" s="2"/>
      <c r="BD1149" t="s">
        <v>91</v>
      </c>
      <c r="BF1149" s="1" t="s">
        <v>75</v>
      </c>
      <c r="BI1149" s="1" t="s">
        <v>88</v>
      </c>
      <c r="BJ1149">
        <v>1</v>
      </c>
      <c r="BK1149" s="1" t="s">
        <v>89</v>
      </c>
      <c r="BL1149" t="s">
        <v>91</v>
      </c>
      <c r="BM1149" s="1" t="s">
        <v>91</v>
      </c>
      <c r="BN1149" s="1" t="s">
        <v>91</v>
      </c>
      <c r="BO1149" s="1" t="s">
        <v>91</v>
      </c>
      <c r="BP1149" s="1" t="s">
        <v>91</v>
      </c>
      <c r="BQ1149" t="s">
        <v>91</v>
      </c>
      <c r="BR1149" s="3">
        <v>45118</v>
      </c>
      <c r="BS1149" s="3"/>
      <c r="BT1149" t="s">
        <v>91</v>
      </c>
      <c r="BU1149" t="s">
        <v>91</v>
      </c>
      <c r="BW1149" s="1" t="s">
        <v>90</v>
      </c>
    </row>
    <row r="1150" spans="1:75" hidden="1" x14ac:dyDescent="0.35">
      <c r="A1150">
        <v>157713</v>
      </c>
      <c r="B1150" s="1" t="s">
        <v>75</v>
      </c>
      <c r="C1150">
        <v>80</v>
      </c>
      <c r="D1150">
        <v>11121002</v>
      </c>
      <c r="E1150">
        <v>121002</v>
      </c>
      <c r="F1150" s="1" t="s">
        <v>2915</v>
      </c>
      <c r="G1150" s="1" t="s">
        <v>6319</v>
      </c>
      <c r="H1150">
        <v>0</v>
      </c>
      <c r="I1150" s="1" t="s">
        <v>78</v>
      </c>
      <c r="J1150" s="1" t="s">
        <v>6316</v>
      </c>
      <c r="K1150" s="1" t="s">
        <v>6320</v>
      </c>
      <c r="L1150" t="s">
        <v>91</v>
      </c>
      <c r="M1150" t="s">
        <v>91</v>
      </c>
      <c r="N1150" s="1" t="s">
        <v>3030</v>
      </c>
      <c r="O1150" t="s">
        <v>91</v>
      </c>
      <c r="P1150" s="1" t="s">
        <v>3031</v>
      </c>
      <c r="Q1150" s="1" t="s">
        <v>3032</v>
      </c>
      <c r="R1150" s="1" t="s">
        <v>6318</v>
      </c>
      <c r="S1150">
        <v>1255</v>
      </c>
      <c r="T1150">
        <v>88015530</v>
      </c>
      <c r="U1150" s="1" t="s">
        <v>108</v>
      </c>
      <c r="V1150" s="1" t="s">
        <v>2922</v>
      </c>
      <c r="W1150" s="1" t="s">
        <v>87</v>
      </c>
      <c r="X1150">
        <v>48</v>
      </c>
      <c r="Y1150">
        <v>30256551</v>
      </c>
      <c r="Z1150" t="s">
        <v>91</v>
      </c>
      <c r="AA1150" t="s">
        <v>91</v>
      </c>
      <c r="AB1150" t="s">
        <v>91</v>
      </c>
      <c r="AC1150" t="s">
        <v>91</v>
      </c>
      <c r="AD1150" t="s">
        <v>91</v>
      </c>
      <c r="AE1150" t="s">
        <v>91</v>
      </c>
      <c r="AF1150" t="s">
        <v>91</v>
      </c>
      <c r="AG1150" s="1" t="s">
        <v>91</v>
      </c>
      <c r="AH1150" s="1" t="s">
        <v>91</v>
      </c>
      <c r="AI1150" t="s">
        <v>91</v>
      </c>
      <c r="AM1150" t="s">
        <v>91</v>
      </c>
      <c r="AN1150" t="s">
        <v>91</v>
      </c>
      <c r="AO1150" t="s">
        <v>91</v>
      </c>
      <c r="AP1150" t="s">
        <v>91</v>
      </c>
      <c r="AQ1150" s="1" t="s">
        <v>91</v>
      </c>
      <c r="AR1150" s="1" t="s">
        <v>91</v>
      </c>
      <c r="AS1150" s="1" t="s">
        <v>91</v>
      </c>
      <c r="AT1150" s="1" t="s">
        <v>91</v>
      </c>
      <c r="AU1150" s="1" t="s">
        <v>91</v>
      </c>
      <c r="AV1150" t="s">
        <v>91</v>
      </c>
      <c r="AW1150" t="s">
        <v>91</v>
      </c>
      <c r="AX1150" t="s">
        <v>91</v>
      </c>
      <c r="AY1150" t="s">
        <v>91</v>
      </c>
      <c r="AZ1150" t="s">
        <v>91</v>
      </c>
      <c r="BA1150" t="s">
        <v>91</v>
      </c>
      <c r="BB1150" s="2">
        <v>45118.097175925926</v>
      </c>
      <c r="BC1150" s="2"/>
      <c r="BD1150" t="s">
        <v>91</v>
      </c>
      <c r="BF1150" s="1" t="s">
        <v>75</v>
      </c>
      <c r="BI1150" s="1" t="s">
        <v>88</v>
      </c>
      <c r="BJ1150">
        <v>1</v>
      </c>
      <c r="BK1150" s="1" t="s">
        <v>89</v>
      </c>
      <c r="BL1150" t="s">
        <v>91</v>
      </c>
      <c r="BM1150" s="1" t="s">
        <v>91</v>
      </c>
      <c r="BN1150" s="1" t="s">
        <v>91</v>
      </c>
      <c r="BO1150" s="1" t="s">
        <v>91</v>
      </c>
      <c r="BP1150" s="1" t="s">
        <v>91</v>
      </c>
      <c r="BQ1150" t="s">
        <v>91</v>
      </c>
      <c r="BR1150" s="3">
        <v>45118</v>
      </c>
      <c r="BS1150" s="3"/>
      <c r="BT1150" t="s">
        <v>91</v>
      </c>
      <c r="BU1150" t="s">
        <v>91</v>
      </c>
      <c r="BW1150" s="1" t="s">
        <v>90</v>
      </c>
    </row>
    <row r="1151" spans="1:75" hidden="1" x14ac:dyDescent="0.35">
      <c r="A1151">
        <v>134262</v>
      </c>
      <c r="B1151" s="1" t="s">
        <v>75</v>
      </c>
      <c r="C1151">
        <v>80</v>
      </c>
      <c r="D1151">
        <v>11121002</v>
      </c>
      <c r="E1151">
        <v>121002</v>
      </c>
      <c r="F1151" s="1" t="s">
        <v>2915</v>
      </c>
      <c r="G1151" s="1" t="s">
        <v>6321</v>
      </c>
      <c r="I1151" s="1" t="s">
        <v>78</v>
      </c>
      <c r="J1151" s="1" t="s">
        <v>6322</v>
      </c>
      <c r="K1151" s="1" t="s">
        <v>6323</v>
      </c>
      <c r="L1151" t="s">
        <v>91</v>
      </c>
      <c r="M1151" t="s">
        <v>91</v>
      </c>
      <c r="N1151" s="1" t="s">
        <v>6324</v>
      </c>
      <c r="O1151" t="s">
        <v>91</v>
      </c>
      <c r="P1151" s="1" t="s">
        <v>3568</v>
      </c>
      <c r="Q1151" s="1" t="s">
        <v>1272</v>
      </c>
      <c r="R1151" s="1" t="s">
        <v>91</v>
      </c>
      <c r="S1151">
        <v>1255</v>
      </c>
      <c r="T1151">
        <v>88015100</v>
      </c>
      <c r="U1151" s="1" t="s">
        <v>108</v>
      </c>
      <c r="V1151" s="1" t="s">
        <v>3102</v>
      </c>
      <c r="W1151" s="1" t="s">
        <v>87</v>
      </c>
      <c r="X1151">
        <v>48</v>
      </c>
      <c r="Y1151">
        <v>33042750</v>
      </c>
      <c r="Z1151" t="s">
        <v>91</v>
      </c>
      <c r="AA1151" t="s">
        <v>91</v>
      </c>
      <c r="AB1151" t="s">
        <v>91</v>
      </c>
      <c r="AC1151" t="s">
        <v>91</v>
      </c>
      <c r="AD1151" t="s">
        <v>91</v>
      </c>
      <c r="AE1151" t="s">
        <v>91</v>
      </c>
      <c r="AF1151" t="s">
        <v>91</v>
      </c>
      <c r="AG1151" s="1" t="s">
        <v>146</v>
      </c>
      <c r="AH1151" s="1" t="s">
        <v>91</v>
      </c>
      <c r="AI1151" t="s">
        <v>91</v>
      </c>
      <c r="AJ1151">
        <v>0</v>
      </c>
      <c r="AK1151">
        <v>0</v>
      </c>
      <c r="AL1151">
        <v>0</v>
      </c>
      <c r="AM1151" t="s">
        <v>91</v>
      </c>
      <c r="AN1151" t="s">
        <v>91</v>
      </c>
      <c r="AO1151" t="s">
        <v>91</v>
      </c>
      <c r="AP1151" t="s">
        <v>91</v>
      </c>
      <c r="AQ1151" s="1" t="s">
        <v>147</v>
      </c>
      <c r="AR1151" s="1" t="s">
        <v>147</v>
      </c>
      <c r="AS1151" s="1" t="s">
        <v>147</v>
      </c>
      <c r="AT1151" s="1" t="s">
        <v>147</v>
      </c>
      <c r="AU1151" s="1" t="s">
        <v>147</v>
      </c>
      <c r="AV1151" t="s">
        <v>91</v>
      </c>
      <c r="AW1151" t="s">
        <v>91</v>
      </c>
      <c r="AX1151" t="s">
        <v>91</v>
      </c>
      <c r="AY1151" t="s">
        <v>91</v>
      </c>
      <c r="AZ1151" t="s">
        <v>91</v>
      </c>
      <c r="BA1151" t="s">
        <v>91</v>
      </c>
      <c r="BB1151" s="2"/>
      <c r="BC1151" s="2">
        <v>44452.677361111113</v>
      </c>
      <c r="BD1151" t="s">
        <v>91</v>
      </c>
      <c r="BF1151" s="1" t="s">
        <v>75</v>
      </c>
      <c r="BG1151">
        <v>0</v>
      </c>
      <c r="BH1151">
        <v>0</v>
      </c>
      <c r="BI1151" s="1" t="s">
        <v>88</v>
      </c>
      <c r="BJ1151">
        <v>1</v>
      </c>
      <c r="BK1151" s="1" t="s">
        <v>89</v>
      </c>
      <c r="BL1151" t="s">
        <v>91</v>
      </c>
      <c r="BM1151" s="1" t="s">
        <v>164</v>
      </c>
      <c r="BN1151" s="1" t="s">
        <v>110</v>
      </c>
      <c r="BO1151" s="1" t="s">
        <v>165</v>
      </c>
      <c r="BP1151" s="1" t="s">
        <v>91</v>
      </c>
      <c r="BQ1151" t="s">
        <v>91</v>
      </c>
      <c r="BR1151" s="3"/>
      <c r="BS1151" s="3">
        <v>44452</v>
      </c>
      <c r="BT1151" t="s">
        <v>91</v>
      </c>
      <c r="BU1151" t="s">
        <v>91</v>
      </c>
      <c r="BV1151">
        <v>1</v>
      </c>
      <c r="BW1151" s="1" t="s">
        <v>1171</v>
      </c>
    </row>
    <row r="1152" spans="1:75" hidden="1" x14ac:dyDescent="0.35">
      <c r="A1152">
        <v>134256</v>
      </c>
      <c r="B1152" s="1" t="s">
        <v>75</v>
      </c>
      <c r="C1152">
        <v>80</v>
      </c>
      <c r="D1152">
        <v>11121002</v>
      </c>
      <c r="E1152">
        <v>121002</v>
      </c>
      <c r="F1152" s="1" t="s">
        <v>2915</v>
      </c>
      <c r="G1152" s="1" t="s">
        <v>6325</v>
      </c>
      <c r="I1152" s="1" t="s">
        <v>78</v>
      </c>
      <c r="J1152" s="1" t="s">
        <v>6326</v>
      </c>
      <c r="K1152" s="1" t="s">
        <v>6327</v>
      </c>
      <c r="L1152" t="s">
        <v>91</v>
      </c>
      <c r="M1152" t="s">
        <v>91</v>
      </c>
      <c r="N1152" s="1" t="s">
        <v>4191</v>
      </c>
      <c r="O1152" t="s">
        <v>91</v>
      </c>
      <c r="P1152" s="1" t="s">
        <v>3135</v>
      </c>
      <c r="Q1152" s="1" t="s">
        <v>3112</v>
      </c>
      <c r="R1152" s="1" t="s">
        <v>6328</v>
      </c>
      <c r="S1152">
        <v>1257</v>
      </c>
      <c r="T1152">
        <v>88035000</v>
      </c>
      <c r="U1152" s="1" t="s">
        <v>3137</v>
      </c>
      <c r="V1152" s="1" t="s">
        <v>2922</v>
      </c>
      <c r="W1152" s="1" t="s">
        <v>87</v>
      </c>
      <c r="X1152">
        <v>48</v>
      </c>
      <c r="Y1152">
        <v>30283090</v>
      </c>
      <c r="Z1152" t="s">
        <v>91</v>
      </c>
      <c r="AA1152" t="s">
        <v>91</v>
      </c>
      <c r="AB1152" t="s">
        <v>91</v>
      </c>
      <c r="AC1152" t="s">
        <v>91</v>
      </c>
      <c r="AD1152" t="s">
        <v>91</v>
      </c>
      <c r="AE1152" t="s">
        <v>91</v>
      </c>
      <c r="AF1152" t="s">
        <v>91</v>
      </c>
      <c r="AG1152" s="1" t="s">
        <v>91</v>
      </c>
      <c r="AH1152" s="1" t="s">
        <v>91</v>
      </c>
      <c r="AI1152" t="s">
        <v>91</v>
      </c>
      <c r="AJ1152">
        <v>0</v>
      </c>
      <c r="AK1152">
        <v>0</v>
      </c>
      <c r="AL1152">
        <v>0</v>
      </c>
      <c r="AM1152" t="s">
        <v>91</v>
      </c>
      <c r="AN1152" t="s">
        <v>91</v>
      </c>
      <c r="AO1152" t="s">
        <v>91</v>
      </c>
      <c r="AP1152" t="s">
        <v>91</v>
      </c>
      <c r="AQ1152" s="1" t="s">
        <v>91</v>
      </c>
      <c r="AR1152" s="1" t="s">
        <v>91</v>
      </c>
      <c r="AS1152" s="1" t="s">
        <v>91</v>
      </c>
      <c r="AT1152" s="1" t="s">
        <v>91</v>
      </c>
      <c r="AU1152" s="1" t="s">
        <v>91</v>
      </c>
      <c r="AV1152" t="s">
        <v>91</v>
      </c>
      <c r="AW1152" t="s">
        <v>91</v>
      </c>
      <c r="AX1152" t="s">
        <v>91</v>
      </c>
      <c r="AY1152" t="s">
        <v>91</v>
      </c>
      <c r="AZ1152" t="s">
        <v>91</v>
      </c>
      <c r="BA1152" t="s">
        <v>91</v>
      </c>
      <c r="BB1152" s="2"/>
      <c r="BC1152" s="2"/>
      <c r="BD1152" t="s">
        <v>91</v>
      </c>
      <c r="BF1152" s="1" t="s">
        <v>75</v>
      </c>
      <c r="BG1152">
        <v>0</v>
      </c>
      <c r="BH1152">
        <v>0</v>
      </c>
      <c r="BI1152" s="1" t="s">
        <v>88</v>
      </c>
      <c r="BJ1152">
        <v>1</v>
      </c>
      <c r="BK1152" s="1" t="s">
        <v>89</v>
      </c>
      <c r="BL1152" t="s">
        <v>91</v>
      </c>
      <c r="BM1152" s="1" t="s">
        <v>164</v>
      </c>
      <c r="BN1152" s="1" t="s">
        <v>110</v>
      </c>
      <c r="BO1152" s="1" t="s">
        <v>165</v>
      </c>
      <c r="BP1152" s="1" t="s">
        <v>91</v>
      </c>
      <c r="BQ1152" t="s">
        <v>91</v>
      </c>
      <c r="BR1152" s="3"/>
      <c r="BS1152" s="3"/>
      <c r="BT1152" t="s">
        <v>91</v>
      </c>
      <c r="BU1152" t="s">
        <v>91</v>
      </c>
      <c r="BV1152">
        <v>1</v>
      </c>
      <c r="BW1152" s="1" t="s">
        <v>6329</v>
      </c>
    </row>
    <row r="1153" spans="1:75" hidden="1" x14ac:dyDescent="0.35">
      <c r="A1153">
        <v>134558</v>
      </c>
      <c r="B1153" s="1" t="s">
        <v>75</v>
      </c>
      <c r="C1153">
        <v>80</v>
      </c>
      <c r="D1153">
        <v>11121002</v>
      </c>
      <c r="E1153">
        <v>121002</v>
      </c>
      <c r="F1153" s="1" t="s">
        <v>2915</v>
      </c>
      <c r="G1153" s="1" t="s">
        <v>6330</v>
      </c>
      <c r="I1153" s="1" t="s">
        <v>78</v>
      </c>
      <c r="J1153" s="1" t="s">
        <v>6331</v>
      </c>
      <c r="K1153" s="1" t="s">
        <v>6332</v>
      </c>
      <c r="L1153" t="s">
        <v>91</v>
      </c>
      <c r="M1153" t="s">
        <v>91</v>
      </c>
      <c r="N1153" s="1" t="s">
        <v>6333</v>
      </c>
      <c r="O1153" t="s">
        <v>91</v>
      </c>
      <c r="P1153" s="1" t="s">
        <v>6334</v>
      </c>
      <c r="Q1153" s="1" t="s">
        <v>3577</v>
      </c>
      <c r="R1153" s="1" t="s">
        <v>370</v>
      </c>
      <c r="S1153">
        <v>1259</v>
      </c>
      <c r="T1153">
        <v>88180000</v>
      </c>
      <c r="U1153" s="1" t="s">
        <v>108</v>
      </c>
      <c r="V1153" s="1" t="s">
        <v>3599</v>
      </c>
      <c r="W1153" s="1" t="s">
        <v>87</v>
      </c>
      <c r="X1153">
        <v>48</v>
      </c>
      <c r="Y1153">
        <v>991154285</v>
      </c>
      <c r="Z1153" t="s">
        <v>91</v>
      </c>
      <c r="AA1153" t="s">
        <v>91</v>
      </c>
      <c r="AB1153" t="s">
        <v>91</v>
      </c>
      <c r="AC1153" t="s">
        <v>91</v>
      </c>
      <c r="AD1153" t="s">
        <v>91</v>
      </c>
      <c r="AE1153" t="s">
        <v>91</v>
      </c>
      <c r="AF1153" t="s">
        <v>91</v>
      </c>
      <c r="AG1153" s="1" t="s">
        <v>146</v>
      </c>
      <c r="AH1153" s="1" t="s">
        <v>91</v>
      </c>
      <c r="AI1153" t="s">
        <v>91</v>
      </c>
      <c r="AM1153" t="s">
        <v>91</v>
      </c>
      <c r="AN1153" t="s">
        <v>91</v>
      </c>
      <c r="AO1153" t="s">
        <v>91</v>
      </c>
      <c r="AP1153" t="s">
        <v>91</v>
      </c>
      <c r="AQ1153" s="1" t="s">
        <v>147</v>
      </c>
      <c r="AR1153" s="1" t="s">
        <v>147</v>
      </c>
      <c r="AS1153" s="1" t="s">
        <v>147</v>
      </c>
      <c r="AT1153" s="1" t="s">
        <v>147</v>
      </c>
      <c r="AU1153" s="1" t="s">
        <v>147</v>
      </c>
      <c r="AV1153" t="s">
        <v>91</v>
      </c>
      <c r="AW1153" t="s">
        <v>91</v>
      </c>
      <c r="AX1153" t="s">
        <v>91</v>
      </c>
      <c r="AY1153" t="s">
        <v>91</v>
      </c>
      <c r="AZ1153" t="s">
        <v>91</v>
      </c>
      <c r="BA1153" t="s">
        <v>91</v>
      </c>
      <c r="BB1153" s="2"/>
      <c r="BC1153" s="2">
        <v>44656.461504629631</v>
      </c>
      <c r="BD1153" t="s">
        <v>91</v>
      </c>
      <c r="BF1153" s="1" t="s">
        <v>75</v>
      </c>
      <c r="BH1153">
        <v>0</v>
      </c>
      <c r="BI1153" s="1" t="s">
        <v>88</v>
      </c>
      <c r="BJ1153">
        <v>1</v>
      </c>
      <c r="BK1153" s="1" t="s">
        <v>89</v>
      </c>
      <c r="BL1153" t="s">
        <v>91</v>
      </c>
      <c r="BM1153" s="1" t="s">
        <v>109</v>
      </c>
      <c r="BN1153" s="1" t="s">
        <v>110</v>
      </c>
      <c r="BO1153" s="1" t="s">
        <v>1040</v>
      </c>
      <c r="BP1153" s="1" t="s">
        <v>91</v>
      </c>
      <c r="BQ1153" t="s">
        <v>91</v>
      </c>
      <c r="BR1153" s="3"/>
      <c r="BS1153" s="3">
        <v>44656</v>
      </c>
      <c r="BT1153" t="s">
        <v>91</v>
      </c>
      <c r="BU1153" t="s">
        <v>91</v>
      </c>
      <c r="BW1153" s="1" t="s">
        <v>540</v>
      </c>
    </row>
    <row r="1154" spans="1:75" hidden="1" x14ac:dyDescent="0.35">
      <c r="A1154">
        <v>152757</v>
      </c>
      <c r="B1154" s="1" t="s">
        <v>75</v>
      </c>
      <c r="C1154">
        <v>80</v>
      </c>
      <c r="D1154">
        <v>11121002</v>
      </c>
      <c r="E1154">
        <v>121002</v>
      </c>
      <c r="F1154" s="1" t="s">
        <v>2915</v>
      </c>
      <c r="G1154" s="1" t="s">
        <v>6335</v>
      </c>
      <c r="H1154">
        <v>0</v>
      </c>
      <c r="I1154" s="1" t="s">
        <v>78</v>
      </c>
      <c r="J1154" s="1" t="s">
        <v>6336</v>
      </c>
      <c r="K1154" s="1" t="s">
        <v>6337</v>
      </c>
      <c r="L1154" t="s">
        <v>91</v>
      </c>
      <c r="M1154" t="s">
        <v>91</v>
      </c>
      <c r="N1154" s="1" t="s">
        <v>3950</v>
      </c>
      <c r="O1154" t="s">
        <v>91</v>
      </c>
      <c r="P1154" s="1" t="s">
        <v>3446</v>
      </c>
      <c r="Q1154" s="1" t="s">
        <v>6338</v>
      </c>
      <c r="R1154" s="1" t="s">
        <v>6339</v>
      </c>
      <c r="S1154">
        <v>1257</v>
      </c>
      <c r="T1154">
        <v>88035000</v>
      </c>
      <c r="U1154" s="1" t="s">
        <v>3137</v>
      </c>
      <c r="V1154" s="1" t="s">
        <v>2922</v>
      </c>
      <c r="W1154" s="1" t="s">
        <v>87</v>
      </c>
      <c r="Z1154" t="s">
        <v>91</v>
      </c>
      <c r="AA1154" t="s">
        <v>91</v>
      </c>
      <c r="AB1154" t="s">
        <v>91</v>
      </c>
      <c r="AC1154" t="s">
        <v>91</v>
      </c>
      <c r="AD1154" t="s">
        <v>91</v>
      </c>
      <c r="AE1154" t="s">
        <v>91</v>
      </c>
      <c r="AF1154" t="s">
        <v>91</v>
      </c>
      <c r="AG1154" s="1" t="s">
        <v>91</v>
      </c>
      <c r="AH1154" s="1" t="s">
        <v>91</v>
      </c>
      <c r="AI1154" t="s">
        <v>91</v>
      </c>
      <c r="AM1154" t="s">
        <v>91</v>
      </c>
      <c r="AN1154" t="s">
        <v>91</v>
      </c>
      <c r="AO1154" t="s">
        <v>91</v>
      </c>
      <c r="AP1154" t="s">
        <v>91</v>
      </c>
      <c r="AQ1154" s="1" t="s">
        <v>91</v>
      </c>
      <c r="AR1154" s="1" t="s">
        <v>91</v>
      </c>
      <c r="AS1154" s="1" t="s">
        <v>91</v>
      </c>
      <c r="AT1154" s="1" t="s">
        <v>91</v>
      </c>
      <c r="AU1154" s="1" t="s">
        <v>91</v>
      </c>
      <c r="AV1154" t="s">
        <v>91</v>
      </c>
      <c r="AW1154" t="s">
        <v>91</v>
      </c>
      <c r="AX1154" t="s">
        <v>91</v>
      </c>
      <c r="AY1154" t="s">
        <v>91</v>
      </c>
      <c r="AZ1154" t="s">
        <v>91</v>
      </c>
      <c r="BA1154" t="s">
        <v>91</v>
      </c>
      <c r="BB1154" s="2">
        <v>45019.565613425926</v>
      </c>
      <c r="BC1154" s="2"/>
      <c r="BD1154" t="s">
        <v>91</v>
      </c>
      <c r="BF1154" s="1" t="s">
        <v>75</v>
      </c>
      <c r="BI1154" s="1" t="s">
        <v>88</v>
      </c>
      <c r="BJ1154">
        <v>1</v>
      </c>
      <c r="BK1154" s="1" t="s">
        <v>89</v>
      </c>
      <c r="BL1154" t="s">
        <v>91</v>
      </c>
      <c r="BM1154" s="1" t="s">
        <v>91</v>
      </c>
      <c r="BN1154" s="1" t="s">
        <v>91</v>
      </c>
      <c r="BO1154" s="1" t="s">
        <v>91</v>
      </c>
      <c r="BP1154" s="1" t="s">
        <v>91</v>
      </c>
      <c r="BQ1154" t="s">
        <v>91</v>
      </c>
      <c r="BR1154" s="3">
        <v>45019</v>
      </c>
      <c r="BS1154" s="3"/>
      <c r="BT1154" t="s">
        <v>91</v>
      </c>
      <c r="BU1154" t="s">
        <v>91</v>
      </c>
      <c r="BW1154" s="1" t="s">
        <v>90</v>
      </c>
    </row>
    <row r="1155" spans="1:75" hidden="1" x14ac:dyDescent="0.35">
      <c r="A1155">
        <v>156880</v>
      </c>
      <c r="B1155" s="1" t="s">
        <v>75</v>
      </c>
      <c r="C1155">
        <v>80</v>
      </c>
      <c r="D1155">
        <v>11121002</v>
      </c>
      <c r="E1155">
        <v>121002</v>
      </c>
      <c r="F1155" s="1" t="s">
        <v>2915</v>
      </c>
      <c r="G1155" s="1" t="s">
        <v>6340</v>
      </c>
      <c r="H1155">
        <v>0</v>
      </c>
      <c r="I1155" s="1" t="s">
        <v>78</v>
      </c>
      <c r="J1155" s="1" t="s">
        <v>6341</v>
      </c>
      <c r="K1155" s="1" t="s">
        <v>6342</v>
      </c>
      <c r="L1155" t="s">
        <v>91</v>
      </c>
      <c r="M1155" t="s">
        <v>91</v>
      </c>
      <c r="N1155" s="1" t="s">
        <v>6343</v>
      </c>
      <c r="O1155" t="s">
        <v>91</v>
      </c>
      <c r="P1155" s="1" t="s">
        <v>6344</v>
      </c>
      <c r="Q1155" s="1" t="s">
        <v>2652</v>
      </c>
      <c r="R1155" s="1" t="s">
        <v>91</v>
      </c>
      <c r="T1155">
        <v>88502225</v>
      </c>
      <c r="U1155" s="1" t="s">
        <v>108</v>
      </c>
      <c r="V1155" s="1" t="s">
        <v>3335</v>
      </c>
      <c r="W1155" s="1" t="s">
        <v>87</v>
      </c>
      <c r="X1155">
        <v>49</v>
      </c>
      <c r="Y1155">
        <v>35120159</v>
      </c>
      <c r="Z1155" t="s">
        <v>91</v>
      </c>
      <c r="AA1155" t="s">
        <v>91</v>
      </c>
      <c r="AB1155" t="s">
        <v>91</v>
      </c>
      <c r="AC1155" t="s">
        <v>91</v>
      </c>
      <c r="AD1155" t="s">
        <v>91</v>
      </c>
      <c r="AE1155" t="s">
        <v>91</v>
      </c>
      <c r="AF1155" t="s">
        <v>91</v>
      </c>
      <c r="AG1155" s="1" t="s">
        <v>91</v>
      </c>
      <c r="AH1155" s="1" t="s">
        <v>91</v>
      </c>
      <c r="AI1155" t="s">
        <v>91</v>
      </c>
      <c r="AM1155" t="s">
        <v>91</v>
      </c>
      <c r="AN1155" t="s">
        <v>91</v>
      </c>
      <c r="AO1155" t="s">
        <v>91</v>
      </c>
      <c r="AP1155" t="s">
        <v>91</v>
      </c>
      <c r="AQ1155" s="1" t="s">
        <v>91</v>
      </c>
      <c r="AR1155" s="1" t="s">
        <v>91</v>
      </c>
      <c r="AS1155" s="1" t="s">
        <v>91</v>
      </c>
      <c r="AT1155" s="1" t="s">
        <v>91</v>
      </c>
      <c r="AU1155" s="1" t="s">
        <v>91</v>
      </c>
      <c r="AV1155" t="s">
        <v>91</v>
      </c>
      <c r="AW1155" t="s">
        <v>91</v>
      </c>
      <c r="AX1155" t="s">
        <v>91</v>
      </c>
      <c r="AY1155" t="s">
        <v>91</v>
      </c>
      <c r="AZ1155" t="s">
        <v>91</v>
      </c>
      <c r="BA1155" t="s">
        <v>91</v>
      </c>
      <c r="BB1155" s="2">
        <v>45113.505416666667</v>
      </c>
      <c r="BC1155" s="2"/>
      <c r="BD1155" t="s">
        <v>91</v>
      </c>
      <c r="BF1155" s="1" t="s">
        <v>75</v>
      </c>
      <c r="BI1155" s="1" t="s">
        <v>88</v>
      </c>
      <c r="BJ1155">
        <v>1</v>
      </c>
      <c r="BK1155" s="1" t="s">
        <v>89</v>
      </c>
      <c r="BL1155" t="s">
        <v>91</v>
      </c>
      <c r="BM1155" s="1" t="s">
        <v>91</v>
      </c>
      <c r="BN1155" s="1" t="s">
        <v>91</v>
      </c>
      <c r="BO1155" s="1" t="s">
        <v>91</v>
      </c>
      <c r="BP1155" s="1" t="s">
        <v>91</v>
      </c>
      <c r="BQ1155" t="s">
        <v>91</v>
      </c>
      <c r="BR1155" s="3">
        <v>45113</v>
      </c>
      <c r="BS1155" s="3"/>
      <c r="BT1155" t="s">
        <v>91</v>
      </c>
      <c r="BU1155" t="s">
        <v>91</v>
      </c>
      <c r="BW1155" s="1" t="s">
        <v>90</v>
      </c>
    </row>
    <row r="1156" spans="1:75" hidden="1" x14ac:dyDescent="0.35">
      <c r="A1156">
        <v>157667</v>
      </c>
      <c r="B1156" s="1" t="s">
        <v>75</v>
      </c>
      <c r="C1156">
        <v>80</v>
      </c>
      <c r="D1156">
        <v>11121002</v>
      </c>
      <c r="E1156">
        <v>121002</v>
      </c>
      <c r="F1156" s="1" t="s">
        <v>2915</v>
      </c>
      <c r="G1156" s="1" t="s">
        <v>6345</v>
      </c>
      <c r="H1156">
        <v>0</v>
      </c>
      <c r="I1156" s="1" t="s">
        <v>78</v>
      </c>
      <c r="J1156" s="1" t="s">
        <v>6346</v>
      </c>
      <c r="K1156" s="1" t="s">
        <v>6347</v>
      </c>
      <c r="L1156" t="s">
        <v>91</v>
      </c>
      <c r="M1156" t="s">
        <v>91</v>
      </c>
      <c r="N1156" s="1" t="s">
        <v>6348</v>
      </c>
      <c r="O1156" t="s">
        <v>91</v>
      </c>
      <c r="P1156" s="1" t="s">
        <v>364</v>
      </c>
      <c r="Q1156" s="1" t="s">
        <v>570</v>
      </c>
      <c r="R1156" s="1" t="s">
        <v>6349</v>
      </c>
      <c r="S1156">
        <v>1270</v>
      </c>
      <c r="T1156">
        <v>88900035</v>
      </c>
      <c r="U1156" s="1" t="s">
        <v>108</v>
      </c>
      <c r="V1156" s="1" t="s">
        <v>3095</v>
      </c>
      <c r="W1156" s="1" t="s">
        <v>87</v>
      </c>
      <c r="X1156">
        <v>48</v>
      </c>
      <c r="Y1156">
        <v>35270164</v>
      </c>
      <c r="Z1156" t="s">
        <v>91</v>
      </c>
      <c r="AA1156" t="s">
        <v>91</v>
      </c>
      <c r="AB1156" t="s">
        <v>91</v>
      </c>
      <c r="AC1156" t="s">
        <v>91</v>
      </c>
      <c r="AD1156" t="s">
        <v>91</v>
      </c>
      <c r="AE1156" t="s">
        <v>91</v>
      </c>
      <c r="AF1156" t="s">
        <v>91</v>
      </c>
      <c r="AG1156" s="1" t="s">
        <v>91</v>
      </c>
      <c r="AH1156" s="1" t="s">
        <v>91</v>
      </c>
      <c r="AI1156" t="s">
        <v>91</v>
      </c>
      <c r="AM1156" t="s">
        <v>91</v>
      </c>
      <c r="AN1156" t="s">
        <v>91</v>
      </c>
      <c r="AO1156" t="s">
        <v>91</v>
      </c>
      <c r="AP1156" t="s">
        <v>91</v>
      </c>
      <c r="AQ1156" s="1" t="s">
        <v>91</v>
      </c>
      <c r="AR1156" s="1" t="s">
        <v>91</v>
      </c>
      <c r="AS1156" s="1" t="s">
        <v>91</v>
      </c>
      <c r="AT1156" s="1" t="s">
        <v>91</v>
      </c>
      <c r="AU1156" s="1" t="s">
        <v>91</v>
      </c>
      <c r="AV1156" t="s">
        <v>91</v>
      </c>
      <c r="AW1156" t="s">
        <v>91</v>
      </c>
      <c r="AX1156" t="s">
        <v>91</v>
      </c>
      <c r="AY1156" t="s">
        <v>91</v>
      </c>
      <c r="AZ1156" t="s">
        <v>91</v>
      </c>
      <c r="BA1156" t="s">
        <v>91</v>
      </c>
      <c r="BB1156" s="2">
        <v>45118.097175925926</v>
      </c>
      <c r="BC1156" s="2"/>
      <c r="BD1156" t="s">
        <v>91</v>
      </c>
      <c r="BF1156" s="1" t="s">
        <v>75</v>
      </c>
      <c r="BI1156" s="1" t="s">
        <v>88</v>
      </c>
      <c r="BJ1156">
        <v>1</v>
      </c>
      <c r="BK1156" s="1" t="s">
        <v>89</v>
      </c>
      <c r="BL1156" t="s">
        <v>91</v>
      </c>
      <c r="BM1156" s="1" t="s">
        <v>91</v>
      </c>
      <c r="BN1156" s="1" t="s">
        <v>91</v>
      </c>
      <c r="BO1156" s="1" t="s">
        <v>91</v>
      </c>
      <c r="BP1156" s="1" t="s">
        <v>91</v>
      </c>
      <c r="BQ1156" t="s">
        <v>91</v>
      </c>
      <c r="BR1156" s="3">
        <v>45118</v>
      </c>
      <c r="BS1156" s="3"/>
      <c r="BT1156" t="s">
        <v>91</v>
      </c>
      <c r="BU1156" t="s">
        <v>91</v>
      </c>
      <c r="BW1156" s="1" t="s">
        <v>90</v>
      </c>
    </row>
    <row r="1157" spans="1:75" hidden="1" x14ac:dyDescent="0.35">
      <c r="A1157">
        <v>605</v>
      </c>
      <c r="B1157" s="1" t="s">
        <v>75</v>
      </c>
      <c r="C1157">
        <v>80</v>
      </c>
      <c r="D1157">
        <v>11121002</v>
      </c>
      <c r="E1157">
        <v>121002</v>
      </c>
      <c r="F1157" s="1" t="s">
        <v>2915</v>
      </c>
      <c r="G1157" s="1" t="s">
        <v>6350</v>
      </c>
      <c r="I1157" s="1" t="s">
        <v>78</v>
      </c>
      <c r="J1157" s="1" t="s">
        <v>6351</v>
      </c>
      <c r="K1157" s="1" t="s">
        <v>6352</v>
      </c>
      <c r="L1157" t="s">
        <v>91</v>
      </c>
      <c r="M1157" t="s">
        <v>91</v>
      </c>
      <c r="N1157" s="1" t="s">
        <v>6353</v>
      </c>
      <c r="O1157" t="s">
        <v>91</v>
      </c>
      <c r="P1157" s="1" t="s">
        <v>311</v>
      </c>
      <c r="Q1157" s="1" t="s">
        <v>6354</v>
      </c>
      <c r="R1157" s="1" t="s">
        <v>417</v>
      </c>
      <c r="S1157">
        <v>1254</v>
      </c>
      <c r="T1157">
        <v>88010001</v>
      </c>
      <c r="U1157" s="1" t="s">
        <v>108</v>
      </c>
      <c r="V1157" s="1" t="s">
        <v>3102</v>
      </c>
      <c r="W1157" s="1" t="s">
        <v>87</v>
      </c>
      <c r="X1157">
        <v>48</v>
      </c>
      <c r="Y1157">
        <v>30247123</v>
      </c>
      <c r="Z1157" t="s">
        <v>91</v>
      </c>
      <c r="AA1157" t="s">
        <v>91</v>
      </c>
      <c r="AB1157" t="s">
        <v>91</v>
      </c>
      <c r="AC1157" t="s">
        <v>91</v>
      </c>
      <c r="AD1157" t="s">
        <v>91</v>
      </c>
      <c r="AE1157" t="s">
        <v>91</v>
      </c>
      <c r="AF1157" t="s">
        <v>91</v>
      </c>
      <c r="AG1157" s="1" t="s">
        <v>146</v>
      </c>
      <c r="AH1157" s="1" t="s">
        <v>91</v>
      </c>
      <c r="AI1157" t="s">
        <v>91</v>
      </c>
      <c r="AJ1157">
        <v>0</v>
      </c>
      <c r="AK1157">
        <v>0</v>
      </c>
      <c r="AL1157">
        <v>0</v>
      </c>
      <c r="AM1157" t="s">
        <v>91</v>
      </c>
      <c r="AN1157" t="s">
        <v>91</v>
      </c>
      <c r="AO1157" t="s">
        <v>91</v>
      </c>
      <c r="AP1157" t="s">
        <v>91</v>
      </c>
      <c r="AQ1157" s="1" t="s">
        <v>147</v>
      </c>
      <c r="AR1157" s="1" t="s">
        <v>147</v>
      </c>
      <c r="AS1157" s="1" t="s">
        <v>147</v>
      </c>
      <c r="AT1157" s="1" t="s">
        <v>147</v>
      </c>
      <c r="AU1157" s="1" t="s">
        <v>147</v>
      </c>
      <c r="AV1157" t="s">
        <v>91</v>
      </c>
      <c r="AW1157" t="s">
        <v>91</v>
      </c>
      <c r="AX1157" t="s">
        <v>91</v>
      </c>
      <c r="AY1157" t="s">
        <v>91</v>
      </c>
      <c r="AZ1157" t="s">
        <v>91</v>
      </c>
      <c r="BA1157" t="s">
        <v>91</v>
      </c>
      <c r="BB1157" s="2">
        <v>43308.392905092594</v>
      </c>
      <c r="BC1157" s="2">
        <v>45114.729803240742</v>
      </c>
      <c r="BD1157" t="s">
        <v>91</v>
      </c>
      <c r="BE1157">
        <v>605</v>
      </c>
      <c r="BF1157" s="1" t="s">
        <v>75</v>
      </c>
      <c r="BG1157">
        <v>0</v>
      </c>
      <c r="BH1157">
        <v>0</v>
      </c>
      <c r="BI1157" s="1" t="s">
        <v>88</v>
      </c>
      <c r="BJ1157">
        <v>1</v>
      </c>
      <c r="BK1157" s="1" t="s">
        <v>89</v>
      </c>
      <c r="BL1157" t="s">
        <v>91</v>
      </c>
      <c r="BM1157" s="1" t="s">
        <v>109</v>
      </c>
      <c r="BN1157" s="1" t="s">
        <v>110</v>
      </c>
      <c r="BO1157" s="1" t="s">
        <v>180</v>
      </c>
      <c r="BP1157" s="1" t="s">
        <v>91</v>
      </c>
      <c r="BQ1157" t="s">
        <v>91</v>
      </c>
      <c r="BR1157" s="3">
        <v>43308</v>
      </c>
      <c r="BS1157" s="3">
        <v>45114</v>
      </c>
      <c r="BT1157" t="s">
        <v>91</v>
      </c>
      <c r="BU1157" t="s">
        <v>91</v>
      </c>
      <c r="BV1157">
        <v>9</v>
      </c>
      <c r="BW1157" s="1" t="s">
        <v>419</v>
      </c>
    </row>
    <row r="1158" spans="1:75" hidden="1" x14ac:dyDescent="0.35">
      <c r="A1158">
        <v>134253</v>
      </c>
      <c r="B1158" s="1" t="s">
        <v>75</v>
      </c>
      <c r="C1158">
        <v>80</v>
      </c>
      <c r="D1158">
        <v>11121002</v>
      </c>
      <c r="E1158">
        <v>121002</v>
      </c>
      <c r="F1158" s="1" t="s">
        <v>2915</v>
      </c>
      <c r="G1158" s="1" t="s">
        <v>6355</v>
      </c>
      <c r="I1158" s="1" t="s">
        <v>78</v>
      </c>
      <c r="J1158" s="1" t="s">
        <v>6356</v>
      </c>
      <c r="K1158" s="1" t="s">
        <v>6357</v>
      </c>
      <c r="L1158" t="s">
        <v>91</v>
      </c>
      <c r="M1158" t="s">
        <v>91</v>
      </c>
      <c r="N1158" s="1" t="s">
        <v>6358</v>
      </c>
      <c r="O1158" t="s">
        <v>91</v>
      </c>
      <c r="P1158" s="1" t="s">
        <v>3083</v>
      </c>
      <c r="Q1158" s="1" t="s">
        <v>2172</v>
      </c>
      <c r="R1158" s="1" t="s">
        <v>91</v>
      </c>
      <c r="S1158">
        <v>1265</v>
      </c>
      <c r="T1158">
        <v>88450000</v>
      </c>
      <c r="U1158" s="1" t="s">
        <v>108</v>
      </c>
      <c r="V1158" s="1" t="s">
        <v>6120</v>
      </c>
      <c r="W1158" s="1" t="s">
        <v>87</v>
      </c>
      <c r="X1158">
        <v>48</v>
      </c>
      <c r="Y1158">
        <v>32761536</v>
      </c>
      <c r="Z1158" t="s">
        <v>91</v>
      </c>
      <c r="AA1158" t="s">
        <v>91</v>
      </c>
      <c r="AB1158" t="s">
        <v>91</v>
      </c>
      <c r="AC1158" t="s">
        <v>91</v>
      </c>
      <c r="AD1158" t="s">
        <v>91</v>
      </c>
      <c r="AE1158" t="s">
        <v>91</v>
      </c>
      <c r="AF1158" t="s">
        <v>91</v>
      </c>
      <c r="AG1158" s="1" t="s">
        <v>146</v>
      </c>
      <c r="AH1158" s="1" t="s">
        <v>91</v>
      </c>
      <c r="AI1158" t="s">
        <v>91</v>
      </c>
      <c r="AJ1158">
        <v>0</v>
      </c>
      <c r="AK1158">
        <v>0</v>
      </c>
      <c r="AL1158">
        <v>0</v>
      </c>
      <c r="AM1158" t="s">
        <v>91</v>
      </c>
      <c r="AN1158" t="s">
        <v>91</v>
      </c>
      <c r="AO1158" t="s">
        <v>91</v>
      </c>
      <c r="AP1158" t="s">
        <v>91</v>
      </c>
      <c r="AQ1158" s="1" t="s">
        <v>147</v>
      </c>
      <c r="AR1158" s="1" t="s">
        <v>147</v>
      </c>
      <c r="AS1158" s="1" t="s">
        <v>147</v>
      </c>
      <c r="AT1158" s="1" t="s">
        <v>147</v>
      </c>
      <c r="AU1158" s="1" t="s">
        <v>147</v>
      </c>
      <c r="AV1158" t="s">
        <v>91</v>
      </c>
      <c r="AW1158" t="s">
        <v>91</v>
      </c>
      <c r="AX1158" t="s">
        <v>91</v>
      </c>
      <c r="AY1158" t="s">
        <v>91</v>
      </c>
      <c r="AZ1158" t="s">
        <v>91</v>
      </c>
      <c r="BA1158" t="s">
        <v>91</v>
      </c>
      <c r="BB1158" s="2"/>
      <c r="BC1158" s="2">
        <v>44949.622685185182</v>
      </c>
      <c r="BD1158" t="s">
        <v>91</v>
      </c>
      <c r="BF1158" s="1" t="s">
        <v>75</v>
      </c>
      <c r="BG1158">
        <v>0</v>
      </c>
      <c r="BH1158">
        <v>0</v>
      </c>
      <c r="BI1158" s="1" t="s">
        <v>88</v>
      </c>
      <c r="BJ1158">
        <v>1</v>
      </c>
      <c r="BK1158" s="1" t="s">
        <v>89</v>
      </c>
      <c r="BL1158" t="s">
        <v>91</v>
      </c>
      <c r="BM1158" s="1" t="s">
        <v>109</v>
      </c>
      <c r="BN1158" s="1" t="s">
        <v>110</v>
      </c>
      <c r="BO1158" s="1" t="s">
        <v>180</v>
      </c>
      <c r="BP1158" s="1" t="s">
        <v>91</v>
      </c>
      <c r="BQ1158" t="s">
        <v>91</v>
      </c>
      <c r="BR1158" s="3"/>
      <c r="BS1158" s="3">
        <v>44949</v>
      </c>
      <c r="BT1158" t="s">
        <v>91</v>
      </c>
      <c r="BU1158" t="s">
        <v>91</v>
      </c>
      <c r="BV1158">
        <v>9</v>
      </c>
      <c r="BW1158" s="1" t="s">
        <v>419</v>
      </c>
    </row>
    <row r="1159" spans="1:75" hidden="1" x14ac:dyDescent="0.35">
      <c r="A1159">
        <v>143859</v>
      </c>
      <c r="B1159" s="1" t="s">
        <v>75</v>
      </c>
      <c r="C1159">
        <v>80</v>
      </c>
      <c r="D1159">
        <v>11121002</v>
      </c>
      <c r="E1159">
        <v>121002</v>
      </c>
      <c r="F1159" s="1" t="s">
        <v>2915</v>
      </c>
      <c r="G1159" s="1" t="s">
        <v>6359</v>
      </c>
      <c r="H1159">
        <v>0</v>
      </c>
      <c r="I1159" s="1" t="s">
        <v>78</v>
      </c>
      <c r="J1159" s="1" t="s">
        <v>6360</v>
      </c>
      <c r="K1159" s="1" t="s">
        <v>6361</v>
      </c>
      <c r="L1159" t="s">
        <v>91</v>
      </c>
      <c r="M1159" t="s">
        <v>91</v>
      </c>
      <c r="N1159" s="1" t="s">
        <v>6362</v>
      </c>
      <c r="O1159" t="s">
        <v>91</v>
      </c>
      <c r="P1159" s="1" t="s">
        <v>6363</v>
      </c>
      <c r="Q1159" s="1" t="s">
        <v>6364</v>
      </c>
      <c r="R1159" s="1" t="s">
        <v>320</v>
      </c>
      <c r="S1159">
        <v>1259</v>
      </c>
      <c r="T1159">
        <v>88101270</v>
      </c>
      <c r="U1159" s="1" t="s">
        <v>4027</v>
      </c>
      <c r="V1159" s="1" t="s">
        <v>3016</v>
      </c>
      <c r="W1159" s="1" t="s">
        <v>87</v>
      </c>
      <c r="X1159">
        <v>48</v>
      </c>
      <c r="Y1159">
        <v>30667999</v>
      </c>
      <c r="Z1159" t="s">
        <v>91</v>
      </c>
      <c r="AA1159" t="s">
        <v>91</v>
      </c>
      <c r="AB1159" t="s">
        <v>91</v>
      </c>
      <c r="AC1159" t="s">
        <v>91</v>
      </c>
      <c r="AD1159" t="s">
        <v>91</v>
      </c>
      <c r="AE1159" t="s">
        <v>91</v>
      </c>
      <c r="AF1159" t="s">
        <v>91</v>
      </c>
      <c r="AG1159" s="1" t="s">
        <v>146</v>
      </c>
      <c r="AH1159" s="1" t="s">
        <v>91</v>
      </c>
      <c r="AI1159" t="s">
        <v>91</v>
      </c>
      <c r="AM1159" t="s">
        <v>91</v>
      </c>
      <c r="AN1159" t="s">
        <v>91</v>
      </c>
      <c r="AO1159" t="s">
        <v>91</v>
      </c>
      <c r="AP1159" t="s">
        <v>91</v>
      </c>
      <c r="AQ1159" s="1" t="s">
        <v>147</v>
      </c>
      <c r="AR1159" s="1" t="s">
        <v>147</v>
      </c>
      <c r="AS1159" s="1" t="s">
        <v>147</v>
      </c>
      <c r="AT1159" s="1" t="s">
        <v>147</v>
      </c>
      <c r="AU1159" s="1" t="s">
        <v>147</v>
      </c>
      <c r="AV1159" t="s">
        <v>91</v>
      </c>
      <c r="AW1159" t="s">
        <v>91</v>
      </c>
      <c r="AX1159" t="s">
        <v>91</v>
      </c>
      <c r="AY1159" t="s">
        <v>91</v>
      </c>
      <c r="AZ1159" t="s">
        <v>91</v>
      </c>
      <c r="BA1159" t="s">
        <v>91</v>
      </c>
      <c r="BB1159" s="2">
        <v>44512.579421296294</v>
      </c>
      <c r="BC1159" s="2">
        <v>45114.457800925928</v>
      </c>
      <c r="BD1159" t="s">
        <v>91</v>
      </c>
      <c r="BF1159" s="1" t="s">
        <v>75</v>
      </c>
      <c r="BH1159">
        <v>0</v>
      </c>
      <c r="BI1159" s="1" t="s">
        <v>88</v>
      </c>
      <c r="BJ1159">
        <v>1</v>
      </c>
      <c r="BK1159" s="1" t="s">
        <v>89</v>
      </c>
      <c r="BL1159" t="s">
        <v>91</v>
      </c>
      <c r="BM1159" s="1" t="s">
        <v>91</v>
      </c>
      <c r="BN1159" s="1" t="s">
        <v>91</v>
      </c>
      <c r="BO1159" s="1" t="s">
        <v>180</v>
      </c>
      <c r="BP1159" s="1" t="s">
        <v>91</v>
      </c>
      <c r="BQ1159" t="s">
        <v>91</v>
      </c>
      <c r="BR1159" s="3">
        <v>44512</v>
      </c>
      <c r="BS1159" s="3">
        <v>45114</v>
      </c>
      <c r="BT1159" t="s">
        <v>91</v>
      </c>
      <c r="BU1159" t="s">
        <v>91</v>
      </c>
      <c r="BW1159" s="1" t="s">
        <v>263</v>
      </c>
    </row>
    <row r="1160" spans="1:75" hidden="1" x14ac:dyDescent="0.35">
      <c r="A1160">
        <v>157735</v>
      </c>
      <c r="B1160" s="1" t="s">
        <v>75</v>
      </c>
      <c r="C1160">
        <v>80</v>
      </c>
      <c r="D1160">
        <v>11121002</v>
      </c>
      <c r="E1160">
        <v>121002</v>
      </c>
      <c r="F1160" s="1" t="s">
        <v>2915</v>
      </c>
      <c r="G1160" s="1" t="s">
        <v>6365</v>
      </c>
      <c r="H1160">
        <v>0</v>
      </c>
      <c r="I1160" s="1" t="s">
        <v>78</v>
      </c>
      <c r="J1160" s="1" t="s">
        <v>6366</v>
      </c>
      <c r="K1160" s="1" t="s">
        <v>6367</v>
      </c>
      <c r="L1160" t="s">
        <v>91</v>
      </c>
      <c r="M1160" t="s">
        <v>91</v>
      </c>
      <c r="N1160" s="1" t="s">
        <v>91</v>
      </c>
      <c r="O1160" t="s">
        <v>91</v>
      </c>
      <c r="P1160" s="1" t="s">
        <v>311</v>
      </c>
      <c r="Q1160" s="1" t="s">
        <v>3064</v>
      </c>
      <c r="R1160" s="1" t="s">
        <v>6368</v>
      </c>
      <c r="S1160">
        <v>1254</v>
      </c>
      <c r="T1160">
        <v>88010000</v>
      </c>
      <c r="U1160" s="1" t="s">
        <v>108</v>
      </c>
      <c r="V1160" s="1" t="s">
        <v>2922</v>
      </c>
      <c r="W1160" s="1" t="s">
        <v>87</v>
      </c>
      <c r="X1160">
        <v>48</v>
      </c>
      <c r="Y1160">
        <v>32228352</v>
      </c>
      <c r="Z1160" t="s">
        <v>91</v>
      </c>
      <c r="AA1160" t="s">
        <v>91</v>
      </c>
      <c r="AB1160" t="s">
        <v>91</v>
      </c>
      <c r="AC1160" t="s">
        <v>91</v>
      </c>
      <c r="AD1160" t="s">
        <v>91</v>
      </c>
      <c r="AE1160" t="s">
        <v>91</v>
      </c>
      <c r="AF1160" t="s">
        <v>91</v>
      </c>
      <c r="AG1160" s="1" t="s">
        <v>91</v>
      </c>
      <c r="AH1160" s="1" t="s">
        <v>91</v>
      </c>
      <c r="AI1160" t="s">
        <v>91</v>
      </c>
      <c r="AM1160" t="s">
        <v>91</v>
      </c>
      <c r="AN1160" t="s">
        <v>91</v>
      </c>
      <c r="AO1160" t="s">
        <v>91</v>
      </c>
      <c r="AP1160" t="s">
        <v>91</v>
      </c>
      <c r="AQ1160" s="1" t="s">
        <v>91</v>
      </c>
      <c r="AR1160" s="1" t="s">
        <v>91</v>
      </c>
      <c r="AS1160" s="1" t="s">
        <v>91</v>
      </c>
      <c r="AT1160" s="1" t="s">
        <v>91</v>
      </c>
      <c r="AU1160" s="1" t="s">
        <v>91</v>
      </c>
      <c r="AV1160" t="s">
        <v>91</v>
      </c>
      <c r="AW1160" t="s">
        <v>91</v>
      </c>
      <c r="AX1160" t="s">
        <v>91</v>
      </c>
      <c r="AY1160" t="s">
        <v>91</v>
      </c>
      <c r="AZ1160" t="s">
        <v>91</v>
      </c>
      <c r="BA1160" t="s">
        <v>91</v>
      </c>
      <c r="BB1160" s="2">
        <v>45118.097175925926</v>
      </c>
      <c r="BC1160" s="2"/>
      <c r="BD1160" t="s">
        <v>91</v>
      </c>
      <c r="BF1160" s="1" t="s">
        <v>75</v>
      </c>
      <c r="BI1160" s="1" t="s">
        <v>88</v>
      </c>
      <c r="BJ1160">
        <v>1</v>
      </c>
      <c r="BK1160" s="1" t="s">
        <v>89</v>
      </c>
      <c r="BL1160" t="s">
        <v>91</v>
      </c>
      <c r="BM1160" s="1" t="s">
        <v>91</v>
      </c>
      <c r="BN1160" s="1" t="s">
        <v>91</v>
      </c>
      <c r="BO1160" s="1" t="s">
        <v>91</v>
      </c>
      <c r="BP1160" s="1" t="s">
        <v>91</v>
      </c>
      <c r="BQ1160" t="s">
        <v>91</v>
      </c>
      <c r="BR1160" s="3">
        <v>45118</v>
      </c>
      <c r="BS1160" s="3"/>
      <c r="BT1160" t="s">
        <v>91</v>
      </c>
      <c r="BU1160" t="s">
        <v>91</v>
      </c>
      <c r="BW1160" s="1" t="s">
        <v>90</v>
      </c>
    </row>
    <row r="1161" spans="1:75" hidden="1" x14ac:dyDescent="0.35">
      <c r="A1161">
        <v>157652</v>
      </c>
      <c r="B1161" s="1" t="s">
        <v>75</v>
      </c>
      <c r="C1161">
        <v>80</v>
      </c>
      <c r="D1161">
        <v>11121002</v>
      </c>
      <c r="E1161">
        <v>121002</v>
      </c>
      <c r="F1161" s="1" t="s">
        <v>2915</v>
      </c>
      <c r="G1161" s="1" t="s">
        <v>6369</v>
      </c>
      <c r="H1161">
        <v>0</v>
      </c>
      <c r="I1161" s="1" t="s">
        <v>78</v>
      </c>
      <c r="J1161" s="1" t="s">
        <v>6370</v>
      </c>
      <c r="K1161" s="1" t="s">
        <v>6371</v>
      </c>
      <c r="L1161" t="s">
        <v>91</v>
      </c>
      <c r="M1161" t="s">
        <v>91</v>
      </c>
      <c r="N1161" s="1" t="s">
        <v>6372</v>
      </c>
      <c r="O1161" t="s">
        <v>91</v>
      </c>
      <c r="P1161" s="1" t="s">
        <v>6373</v>
      </c>
      <c r="Q1161" s="1" t="s">
        <v>5554</v>
      </c>
      <c r="R1161" s="1" t="s">
        <v>91</v>
      </c>
      <c r="S1161">
        <v>1268</v>
      </c>
      <c r="T1161">
        <v>88717000</v>
      </c>
      <c r="U1161" s="1" t="s">
        <v>6374</v>
      </c>
      <c r="V1161" s="1" t="s">
        <v>3683</v>
      </c>
      <c r="W1161" s="1" t="s">
        <v>87</v>
      </c>
      <c r="X1161">
        <v>48</v>
      </c>
      <c r="Y1161">
        <v>988041396</v>
      </c>
      <c r="Z1161" t="s">
        <v>91</v>
      </c>
      <c r="AA1161" t="s">
        <v>91</v>
      </c>
      <c r="AB1161" t="s">
        <v>91</v>
      </c>
      <c r="AC1161" t="s">
        <v>91</v>
      </c>
      <c r="AD1161" t="s">
        <v>91</v>
      </c>
      <c r="AE1161" t="s">
        <v>91</v>
      </c>
      <c r="AF1161" t="s">
        <v>91</v>
      </c>
      <c r="AG1161" s="1" t="s">
        <v>91</v>
      </c>
      <c r="AH1161" s="1" t="s">
        <v>91</v>
      </c>
      <c r="AI1161" t="s">
        <v>91</v>
      </c>
      <c r="AM1161" t="s">
        <v>91</v>
      </c>
      <c r="AN1161" t="s">
        <v>91</v>
      </c>
      <c r="AO1161" t="s">
        <v>91</v>
      </c>
      <c r="AP1161" t="s">
        <v>91</v>
      </c>
      <c r="AQ1161" s="1" t="s">
        <v>91</v>
      </c>
      <c r="AR1161" s="1" t="s">
        <v>91</v>
      </c>
      <c r="AS1161" s="1" t="s">
        <v>91</v>
      </c>
      <c r="AT1161" s="1" t="s">
        <v>91</v>
      </c>
      <c r="AU1161" s="1" t="s">
        <v>91</v>
      </c>
      <c r="AV1161" t="s">
        <v>91</v>
      </c>
      <c r="AW1161" t="s">
        <v>91</v>
      </c>
      <c r="AX1161" t="s">
        <v>91</v>
      </c>
      <c r="AY1161" t="s">
        <v>91</v>
      </c>
      <c r="AZ1161" t="s">
        <v>91</v>
      </c>
      <c r="BA1161" t="s">
        <v>91</v>
      </c>
      <c r="BB1161" s="2">
        <v>45118.097175925926</v>
      </c>
      <c r="BC1161" s="2"/>
      <c r="BD1161" t="s">
        <v>91</v>
      </c>
      <c r="BF1161" s="1" t="s">
        <v>75</v>
      </c>
      <c r="BI1161" s="1" t="s">
        <v>88</v>
      </c>
      <c r="BJ1161">
        <v>1</v>
      </c>
      <c r="BK1161" s="1" t="s">
        <v>89</v>
      </c>
      <c r="BL1161" t="s">
        <v>91</v>
      </c>
      <c r="BM1161" s="1" t="s">
        <v>91</v>
      </c>
      <c r="BN1161" s="1" t="s">
        <v>91</v>
      </c>
      <c r="BO1161" s="1" t="s">
        <v>91</v>
      </c>
      <c r="BP1161" s="1" t="s">
        <v>91</v>
      </c>
      <c r="BQ1161" t="s">
        <v>91</v>
      </c>
      <c r="BR1161" s="3">
        <v>45118</v>
      </c>
      <c r="BS1161" s="3"/>
      <c r="BT1161" t="s">
        <v>91</v>
      </c>
      <c r="BU1161" t="s">
        <v>91</v>
      </c>
      <c r="BW1161" s="1" t="s">
        <v>1563</v>
      </c>
    </row>
    <row r="1162" spans="1:75" hidden="1" x14ac:dyDescent="0.35">
      <c r="A1162">
        <v>157602</v>
      </c>
      <c r="B1162" s="1" t="s">
        <v>75</v>
      </c>
      <c r="C1162">
        <v>80</v>
      </c>
      <c r="D1162">
        <v>11121002</v>
      </c>
      <c r="E1162">
        <v>121002</v>
      </c>
      <c r="F1162" s="1" t="s">
        <v>2915</v>
      </c>
      <c r="G1162" s="1" t="s">
        <v>6375</v>
      </c>
      <c r="H1162">
        <v>0</v>
      </c>
      <c r="I1162" s="1" t="s">
        <v>78</v>
      </c>
      <c r="J1162" s="1" t="s">
        <v>6376</v>
      </c>
      <c r="K1162" s="1" t="s">
        <v>6377</v>
      </c>
      <c r="L1162" t="s">
        <v>91</v>
      </c>
      <c r="M1162" t="s">
        <v>91</v>
      </c>
      <c r="N1162" s="1" t="s">
        <v>6378</v>
      </c>
      <c r="O1162" t="s">
        <v>91</v>
      </c>
      <c r="P1162" s="1" t="s">
        <v>6228</v>
      </c>
      <c r="Q1162" s="1" t="s">
        <v>924</v>
      </c>
      <c r="R1162" s="1" t="s">
        <v>6379</v>
      </c>
      <c r="S1162">
        <v>1255</v>
      </c>
      <c r="T1162">
        <v>88015130</v>
      </c>
      <c r="U1162" s="1" t="s">
        <v>108</v>
      </c>
      <c r="V1162" s="1" t="s">
        <v>2922</v>
      </c>
      <c r="W1162" s="1" t="s">
        <v>87</v>
      </c>
      <c r="X1162">
        <v>48</v>
      </c>
      <c r="Y1162">
        <v>30253038</v>
      </c>
      <c r="Z1162" t="s">
        <v>91</v>
      </c>
      <c r="AA1162" t="s">
        <v>91</v>
      </c>
      <c r="AB1162" t="s">
        <v>91</v>
      </c>
      <c r="AC1162" t="s">
        <v>91</v>
      </c>
      <c r="AD1162" t="s">
        <v>91</v>
      </c>
      <c r="AE1162" t="s">
        <v>91</v>
      </c>
      <c r="AF1162" t="s">
        <v>91</v>
      </c>
      <c r="AG1162" s="1" t="s">
        <v>91</v>
      </c>
      <c r="AH1162" s="1" t="s">
        <v>91</v>
      </c>
      <c r="AI1162" t="s">
        <v>91</v>
      </c>
      <c r="AM1162" t="s">
        <v>91</v>
      </c>
      <c r="AN1162" t="s">
        <v>91</v>
      </c>
      <c r="AO1162" t="s">
        <v>91</v>
      </c>
      <c r="AP1162" t="s">
        <v>91</v>
      </c>
      <c r="AQ1162" s="1" t="s">
        <v>91</v>
      </c>
      <c r="AR1162" s="1" t="s">
        <v>91</v>
      </c>
      <c r="AS1162" s="1" t="s">
        <v>91</v>
      </c>
      <c r="AT1162" s="1" t="s">
        <v>91</v>
      </c>
      <c r="AU1162" s="1" t="s">
        <v>91</v>
      </c>
      <c r="AV1162" t="s">
        <v>91</v>
      </c>
      <c r="AW1162" t="s">
        <v>91</v>
      </c>
      <c r="AX1162" t="s">
        <v>91</v>
      </c>
      <c r="AY1162" t="s">
        <v>91</v>
      </c>
      <c r="AZ1162" t="s">
        <v>91</v>
      </c>
      <c r="BA1162" t="s">
        <v>91</v>
      </c>
      <c r="BB1162" s="2">
        <v>45118.097175925926</v>
      </c>
      <c r="BC1162" s="2"/>
      <c r="BD1162" t="s">
        <v>91</v>
      </c>
      <c r="BF1162" s="1" t="s">
        <v>75</v>
      </c>
      <c r="BI1162" s="1" t="s">
        <v>88</v>
      </c>
      <c r="BJ1162">
        <v>1</v>
      </c>
      <c r="BK1162" s="1" t="s">
        <v>89</v>
      </c>
      <c r="BL1162" t="s">
        <v>91</v>
      </c>
      <c r="BM1162" s="1" t="s">
        <v>91</v>
      </c>
      <c r="BN1162" s="1" t="s">
        <v>91</v>
      </c>
      <c r="BO1162" s="1" t="s">
        <v>91</v>
      </c>
      <c r="BP1162" s="1" t="s">
        <v>91</v>
      </c>
      <c r="BQ1162" t="s">
        <v>91</v>
      </c>
      <c r="BR1162" s="3">
        <v>45118</v>
      </c>
      <c r="BS1162" s="3"/>
      <c r="BT1162" t="s">
        <v>91</v>
      </c>
      <c r="BU1162" t="s">
        <v>91</v>
      </c>
      <c r="BW1162" s="1" t="s">
        <v>90</v>
      </c>
    </row>
    <row r="1163" spans="1:75" hidden="1" x14ac:dyDescent="0.35">
      <c r="A1163">
        <v>158697</v>
      </c>
      <c r="B1163" s="1" t="s">
        <v>75</v>
      </c>
      <c r="C1163">
        <v>80</v>
      </c>
      <c r="D1163">
        <v>11121002</v>
      </c>
      <c r="E1163">
        <v>121002</v>
      </c>
      <c r="F1163" s="1" t="s">
        <v>2915</v>
      </c>
      <c r="G1163" s="1" t="s">
        <v>6380</v>
      </c>
      <c r="I1163" s="1" t="s">
        <v>78</v>
      </c>
      <c r="J1163" s="1" t="s">
        <v>6381</v>
      </c>
      <c r="K1163" s="1" t="s">
        <v>6382</v>
      </c>
      <c r="L1163" t="s">
        <v>91</v>
      </c>
      <c r="M1163" t="s">
        <v>91</v>
      </c>
      <c r="N1163" s="1" t="s">
        <v>6383</v>
      </c>
      <c r="O1163" t="s">
        <v>91</v>
      </c>
      <c r="P1163" s="1" t="s">
        <v>4933</v>
      </c>
      <c r="Q1163" s="1" t="s">
        <v>1551</v>
      </c>
      <c r="R1163" s="1" t="s">
        <v>1127</v>
      </c>
      <c r="S1163">
        <v>1257</v>
      </c>
      <c r="T1163">
        <v>88058100</v>
      </c>
      <c r="U1163" s="1" t="s">
        <v>3441</v>
      </c>
      <c r="V1163" s="1" t="s">
        <v>2922</v>
      </c>
      <c r="W1163" s="1" t="s">
        <v>87</v>
      </c>
      <c r="X1163">
        <v>48</v>
      </c>
      <c r="Y1163">
        <v>30910208</v>
      </c>
      <c r="Z1163" t="s">
        <v>91</v>
      </c>
      <c r="AA1163" t="s">
        <v>91</v>
      </c>
      <c r="AB1163" t="s">
        <v>91</v>
      </c>
      <c r="AC1163" t="s">
        <v>91</v>
      </c>
      <c r="AD1163" t="s">
        <v>91</v>
      </c>
      <c r="AE1163" t="s">
        <v>91</v>
      </c>
      <c r="AF1163" t="s">
        <v>91</v>
      </c>
      <c r="AG1163" s="1" t="s">
        <v>91</v>
      </c>
      <c r="AH1163" s="1" t="s">
        <v>91</v>
      </c>
      <c r="AI1163" t="s">
        <v>91</v>
      </c>
      <c r="AM1163" t="s">
        <v>91</v>
      </c>
      <c r="AN1163" t="s">
        <v>91</v>
      </c>
      <c r="AO1163" t="s">
        <v>91</v>
      </c>
      <c r="AP1163" t="s">
        <v>91</v>
      </c>
      <c r="AQ1163" s="1" t="s">
        <v>91</v>
      </c>
      <c r="AR1163" s="1" t="s">
        <v>91</v>
      </c>
      <c r="AS1163" s="1" t="s">
        <v>91</v>
      </c>
      <c r="AT1163" s="1" t="s">
        <v>91</v>
      </c>
      <c r="AU1163" s="1" t="s">
        <v>91</v>
      </c>
      <c r="AV1163" t="s">
        <v>91</v>
      </c>
      <c r="AW1163" t="s">
        <v>91</v>
      </c>
      <c r="AX1163" t="s">
        <v>91</v>
      </c>
      <c r="AY1163" t="s">
        <v>91</v>
      </c>
      <c r="AZ1163" t="s">
        <v>91</v>
      </c>
      <c r="BA1163" t="s">
        <v>91</v>
      </c>
      <c r="BB1163" s="2">
        <v>45155.700069444443</v>
      </c>
      <c r="BC1163" s="2"/>
      <c r="BD1163" t="s">
        <v>91</v>
      </c>
      <c r="BF1163" s="1" t="s">
        <v>75</v>
      </c>
      <c r="BI1163" s="1" t="s">
        <v>88</v>
      </c>
      <c r="BJ1163">
        <v>1</v>
      </c>
      <c r="BK1163" s="1" t="s">
        <v>89</v>
      </c>
      <c r="BL1163" t="s">
        <v>91</v>
      </c>
      <c r="BM1163" s="1" t="s">
        <v>91</v>
      </c>
      <c r="BN1163" s="1" t="s">
        <v>91</v>
      </c>
      <c r="BO1163" s="1" t="s">
        <v>91</v>
      </c>
      <c r="BP1163" s="1" t="s">
        <v>91</v>
      </c>
      <c r="BQ1163" t="s">
        <v>91</v>
      </c>
      <c r="BR1163" s="3">
        <v>45155</v>
      </c>
      <c r="BS1163" s="3"/>
      <c r="BT1163" t="s">
        <v>91</v>
      </c>
      <c r="BU1163" t="s">
        <v>91</v>
      </c>
      <c r="BW1163" s="1" t="s">
        <v>1254</v>
      </c>
    </row>
    <row r="1164" spans="1:75" hidden="1" x14ac:dyDescent="0.35">
      <c r="A1164">
        <v>134242</v>
      </c>
      <c r="B1164" s="1" t="s">
        <v>75</v>
      </c>
      <c r="C1164">
        <v>80</v>
      </c>
      <c r="D1164">
        <v>11121002</v>
      </c>
      <c r="E1164">
        <v>121002</v>
      </c>
      <c r="F1164" s="1" t="s">
        <v>2915</v>
      </c>
      <c r="G1164" s="1" t="s">
        <v>6384</v>
      </c>
      <c r="I1164" s="1" t="s">
        <v>78</v>
      </c>
      <c r="J1164" s="1" t="s">
        <v>6385</v>
      </c>
      <c r="K1164" s="1" t="s">
        <v>6386</v>
      </c>
      <c r="L1164" t="s">
        <v>91</v>
      </c>
      <c r="M1164" t="s">
        <v>91</v>
      </c>
      <c r="N1164" s="1" t="s">
        <v>6387</v>
      </c>
      <c r="O1164" t="s">
        <v>91</v>
      </c>
      <c r="P1164" s="1" t="s">
        <v>3417</v>
      </c>
      <c r="Q1164" s="1" t="s">
        <v>2814</v>
      </c>
      <c r="R1164" s="1" t="s">
        <v>91</v>
      </c>
      <c r="S1164">
        <v>1259</v>
      </c>
      <c r="T1164">
        <v>88132149</v>
      </c>
      <c r="U1164" s="1" t="s">
        <v>3461</v>
      </c>
      <c r="V1164" s="1" t="s">
        <v>3165</v>
      </c>
      <c r="W1164" s="1" t="s">
        <v>87</v>
      </c>
      <c r="X1164">
        <v>48</v>
      </c>
      <c r="Y1164">
        <v>30337165</v>
      </c>
      <c r="Z1164" t="s">
        <v>91</v>
      </c>
      <c r="AA1164" t="s">
        <v>91</v>
      </c>
      <c r="AB1164" t="s">
        <v>91</v>
      </c>
      <c r="AC1164" t="s">
        <v>91</v>
      </c>
      <c r="AD1164" t="s">
        <v>91</v>
      </c>
      <c r="AE1164" t="s">
        <v>91</v>
      </c>
      <c r="AF1164" t="s">
        <v>91</v>
      </c>
      <c r="AG1164" s="1" t="s">
        <v>146</v>
      </c>
      <c r="AH1164" s="1" t="s">
        <v>91</v>
      </c>
      <c r="AI1164" t="s">
        <v>91</v>
      </c>
      <c r="AJ1164">
        <v>0</v>
      </c>
      <c r="AK1164">
        <v>0</v>
      </c>
      <c r="AL1164">
        <v>0</v>
      </c>
      <c r="AM1164" t="s">
        <v>91</v>
      </c>
      <c r="AN1164" t="s">
        <v>91</v>
      </c>
      <c r="AO1164" t="s">
        <v>91</v>
      </c>
      <c r="AP1164" t="s">
        <v>91</v>
      </c>
      <c r="AQ1164" s="1" t="s">
        <v>147</v>
      </c>
      <c r="AR1164" s="1" t="s">
        <v>147</v>
      </c>
      <c r="AS1164" s="1" t="s">
        <v>147</v>
      </c>
      <c r="AT1164" s="1" t="s">
        <v>147</v>
      </c>
      <c r="AU1164" s="1" t="s">
        <v>147</v>
      </c>
      <c r="AV1164" t="s">
        <v>91</v>
      </c>
      <c r="AW1164" t="s">
        <v>91</v>
      </c>
      <c r="AX1164" t="s">
        <v>91</v>
      </c>
      <c r="AY1164" t="s">
        <v>91</v>
      </c>
      <c r="AZ1164" t="s">
        <v>91</v>
      </c>
      <c r="BA1164" t="s">
        <v>91</v>
      </c>
      <c r="BB1164" s="2"/>
      <c r="BC1164" s="2">
        <v>45117.607731481483</v>
      </c>
      <c r="BD1164" t="s">
        <v>91</v>
      </c>
      <c r="BF1164" s="1" t="s">
        <v>75</v>
      </c>
      <c r="BG1164">
        <v>0</v>
      </c>
      <c r="BH1164">
        <v>0</v>
      </c>
      <c r="BI1164" s="1" t="s">
        <v>88</v>
      </c>
      <c r="BJ1164">
        <v>1</v>
      </c>
      <c r="BK1164" s="1" t="s">
        <v>89</v>
      </c>
      <c r="BL1164" t="s">
        <v>91</v>
      </c>
      <c r="BM1164" s="1" t="s">
        <v>109</v>
      </c>
      <c r="BN1164" s="1" t="s">
        <v>110</v>
      </c>
      <c r="BO1164" s="1" t="s">
        <v>180</v>
      </c>
      <c r="BP1164" s="1" t="s">
        <v>91</v>
      </c>
      <c r="BQ1164" t="s">
        <v>91</v>
      </c>
      <c r="BR1164" s="3"/>
      <c r="BS1164" s="3">
        <v>45117</v>
      </c>
      <c r="BT1164" t="s">
        <v>91</v>
      </c>
      <c r="BU1164" t="s">
        <v>91</v>
      </c>
      <c r="BV1164">
        <v>9</v>
      </c>
      <c r="BW1164" s="1" t="s">
        <v>255</v>
      </c>
    </row>
    <row r="1165" spans="1:75" hidden="1" x14ac:dyDescent="0.35">
      <c r="A1165">
        <v>134241</v>
      </c>
      <c r="B1165" s="1" t="s">
        <v>75</v>
      </c>
      <c r="C1165">
        <v>80</v>
      </c>
      <c r="D1165">
        <v>11121002</v>
      </c>
      <c r="E1165">
        <v>121002</v>
      </c>
      <c r="F1165" s="1" t="s">
        <v>2915</v>
      </c>
      <c r="G1165" s="1" t="s">
        <v>6388</v>
      </c>
      <c r="I1165" s="1" t="s">
        <v>78</v>
      </c>
      <c r="J1165" s="1" t="s">
        <v>6389</v>
      </c>
      <c r="K1165" s="1" t="s">
        <v>6390</v>
      </c>
      <c r="L1165" t="s">
        <v>91</v>
      </c>
      <c r="M1165" t="s">
        <v>91</v>
      </c>
      <c r="N1165" s="1" t="s">
        <v>6387</v>
      </c>
      <c r="O1165" t="s">
        <v>91</v>
      </c>
      <c r="P1165" s="1" t="s">
        <v>6391</v>
      </c>
      <c r="Q1165" s="1" t="s">
        <v>484</v>
      </c>
      <c r="R1165" s="1" t="s">
        <v>6392</v>
      </c>
      <c r="S1165">
        <v>1259</v>
      </c>
      <c r="T1165">
        <v>88113600</v>
      </c>
      <c r="U1165" s="1" t="s">
        <v>3001</v>
      </c>
      <c r="V1165" s="1" t="s">
        <v>3016</v>
      </c>
      <c r="W1165" s="1" t="s">
        <v>87</v>
      </c>
      <c r="X1165">
        <v>48</v>
      </c>
      <c r="Y1165">
        <v>30661241</v>
      </c>
      <c r="Z1165" t="s">
        <v>91</v>
      </c>
      <c r="AA1165" t="s">
        <v>91</v>
      </c>
      <c r="AB1165" t="s">
        <v>91</v>
      </c>
      <c r="AC1165" t="s">
        <v>91</v>
      </c>
      <c r="AD1165" t="s">
        <v>91</v>
      </c>
      <c r="AE1165" t="s">
        <v>91</v>
      </c>
      <c r="AF1165" t="s">
        <v>91</v>
      </c>
      <c r="AG1165" s="1" t="s">
        <v>146</v>
      </c>
      <c r="AH1165" s="1" t="s">
        <v>91</v>
      </c>
      <c r="AI1165" t="s">
        <v>91</v>
      </c>
      <c r="AJ1165">
        <v>0</v>
      </c>
      <c r="AK1165">
        <v>0</v>
      </c>
      <c r="AL1165">
        <v>0</v>
      </c>
      <c r="AM1165" t="s">
        <v>91</v>
      </c>
      <c r="AN1165" t="s">
        <v>91</v>
      </c>
      <c r="AO1165" t="s">
        <v>91</v>
      </c>
      <c r="AP1165" t="s">
        <v>91</v>
      </c>
      <c r="AQ1165" s="1" t="s">
        <v>147</v>
      </c>
      <c r="AR1165" s="1" t="s">
        <v>147</v>
      </c>
      <c r="AS1165" s="1" t="s">
        <v>147</v>
      </c>
      <c r="AT1165" s="1" t="s">
        <v>147</v>
      </c>
      <c r="AU1165" s="1" t="s">
        <v>147</v>
      </c>
      <c r="AV1165" t="s">
        <v>91</v>
      </c>
      <c r="AW1165" t="s">
        <v>91</v>
      </c>
      <c r="AX1165" t="s">
        <v>91</v>
      </c>
      <c r="AY1165" t="s">
        <v>91</v>
      </c>
      <c r="AZ1165" t="s">
        <v>91</v>
      </c>
      <c r="BA1165" t="s">
        <v>91</v>
      </c>
      <c r="BB1165" s="2"/>
      <c r="BC1165" s="2">
        <v>45114.726030092592</v>
      </c>
      <c r="BD1165" t="s">
        <v>91</v>
      </c>
      <c r="BF1165" s="1" t="s">
        <v>75</v>
      </c>
      <c r="BG1165">
        <v>0</v>
      </c>
      <c r="BH1165">
        <v>0</v>
      </c>
      <c r="BI1165" s="1" t="s">
        <v>88</v>
      </c>
      <c r="BJ1165">
        <v>1</v>
      </c>
      <c r="BK1165" s="1" t="s">
        <v>89</v>
      </c>
      <c r="BL1165" t="s">
        <v>91</v>
      </c>
      <c r="BM1165" s="1" t="s">
        <v>109</v>
      </c>
      <c r="BN1165" s="1" t="s">
        <v>148</v>
      </c>
      <c r="BO1165" s="1" t="s">
        <v>165</v>
      </c>
      <c r="BP1165" s="1" t="s">
        <v>91</v>
      </c>
      <c r="BQ1165" t="s">
        <v>91</v>
      </c>
      <c r="BR1165" s="3"/>
      <c r="BS1165" s="3">
        <v>45114</v>
      </c>
      <c r="BT1165" t="s">
        <v>91</v>
      </c>
      <c r="BU1165" t="s">
        <v>91</v>
      </c>
      <c r="BV1165">
        <v>1</v>
      </c>
      <c r="BW1165" s="1" t="s">
        <v>255</v>
      </c>
    </row>
    <row r="1166" spans="1:75" hidden="1" x14ac:dyDescent="0.35">
      <c r="A1166">
        <v>144396</v>
      </c>
      <c r="B1166" s="1" t="s">
        <v>75</v>
      </c>
      <c r="C1166">
        <v>80</v>
      </c>
      <c r="D1166">
        <v>11121002</v>
      </c>
      <c r="E1166">
        <v>121002</v>
      </c>
      <c r="F1166" s="1" t="s">
        <v>2915</v>
      </c>
      <c r="G1166" s="1" t="s">
        <v>6393</v>
      </c>
      <c r="I1166" s="1" t="s">
        <v>78</v>
      </c>
      <c r="J1166" s="1" t="s">
        <v>6394</v>
      </c>
      <c r="K1166" s="1" t="s">
        <v>6395</v>
      </c>
      <c r="L1166" t="s">
        <v>91</v>
      </c>
      <c r="M1166" t="s">
        <v>91</v>
      </c>
      <c r="N1166" s="1" t="s">
        <v>6396</v>
      </c>
      <c r="O1166" t="s">
        <v>91</v>
      </c>
      <c r="P1166" s="1" t="s">
        <v>3970</v>
      </c>
      <c r="Q1166" s="1" t="s">
        <v>4215</v>
      </c>
      <c r="R1166" s="1" t="s">
        <v>91</v>
      </c>
      <c r="S1166">
        <v>1270</v>
      </c>
      <c r="T1166">
        <v>88960000</v>
      </c>
      <c r="U1166" s="1" t="s">
        <v>108</v>
      </c>
      <c r="V1166" s="1" t="s">
        <v>3694</v>
      </c>
      <c r="W1166" s="1" t="s">
        <v>87</v>
      </c>
      <c r="X1166">
        <v>48</v>
      </c>
      <c r="Y1166">
        <v>35330136</v>
      </c>
      <c r="Z1166" t="s">
        <v>91</v>
      </c>
      <c r="AA1166" t="s">
        <v>91</v>
      </c>
      <c r="AB1166" t="s">
        <v>91</v>
      </c>
      <c r="AC1166" t="s">
        <v>91</v>
      </c>
      <c r="AD1166" t="s">
        <v>91</v>
      </c>
      <c r="AE1166" t="s">
        <v>91</v>
      </c>
      <c r="AF1166" t="s">
        <v>91</v>
      </c>
      <c r="AG1166" s="1" t="s">
        <v>91</v>
      </c>
      <c r="AH1166" s="1" t="s">
        <v>91</v>
      </c>
      <c r="AI1166" t="s">
        <v>91</v>
      </c>
      <c r="AJ1166">
        <v>0</v>
      </c>
      <c r="AK1166">
        <v>0</v>
      </c>
      <c r="AL1166">
        <v>0</v>
      </c>
      <c r="AM1166" t="s">
        <v>91</v>
      </c>
      <c r="AN1166" t="s">
        <v>91</v>
      </c>
      <c r="AO1166" t="s">
        <v>91</v>
      </c>
      <c r="AP1166" t="s">
        <v>91</v>
      </c>
      <c r="AQ1166" s="1" t="s">
        <v>91</v>
      </c>
      <c r="AR1166" s="1" t="s">
        <v>91</v>
      </c>
      <c r="AS1166" s="1" t="s">
        <v>91</v>
      </c>
      <c r="AT1166" s="1" t="s">
        <v>91</v>
      </c>
      <c r="AU1166" s="1" t="s">
        <v>91</v>
      </c>
      <c r="AV1166" t="s">
        <v>91</v>
      </c>
      <c r="AW1166" t="s">
        <v>91</v>
      </c>
      <c r="AX1166" t="s">
        <v>91</v>
      </c>
      <c r="AY1166" t="s">
        <v>91</v>
      </c>
      <c r="AZ1166" t="s">
        <v>91</v>
      </c>
      <c r="BA1166" t="s">
        <v>91</v>
      </c>
      <c r="BB1166" s="2"/>
      <c r="BC1166" s="2"/>
      <c r="BD1166" t="s">
        <v>91</v>
      </c>
      <c r="BF1166" s="1" t="s">
        <v>75</v>
      </c>
      <c r="BG1166">
        <v>0</v>
      </c>
      <c r="BH1166">
        <v>0</v>
      </c>
      <c r="BI1166" s="1" t="s">
        <v>88</v>
      </c>
      <c r="BJ1166">
        <v>1</v>
      </c>
      <c r="BK1166" s="1" t="s">
        <v>89</v>
      </c>
      <c r="BL1166" t="s">
        <v>91</v>
      </c>
      <c r="BM1166" s="1" t="s">
        <v>109</v>
      </c>
      <c r="BN1166" s="1" t="s">
        <v>148</v>
      </c>
      <c r="BO1166" s="1" t="s">
        <v>111</v>
      </c>
      <c r="BP1166" s="1" t="s">
        <v>91</v>
      </c>
      <c r="BQ1166" t="s">
        <v>91</v>
      </c>
      <c r="BR1166" s="3"/>
      <c r="BS1166" s="3"/>
      <c r="BT1166" t="s">
        <v>91</v>
      </c>
      <c r="BU1166" t="s">
        <v>91</v>
      </c>
      <c r="BV1166">
        <v>6</v>
      </c>
      <c r="BW1166" s="1" t="s">
        <v>3096</v>
      </c>
    </row>
    <row r="1167" spans="1:75" hidden="1" x14ac:dyDescent="0.35">
      <c r="A1167">
        <v>144389</v>
      </c>
      <c r="B1167" s="1" t="s">
        <v>75</v>
      </c>
      <c r="C1167">
        <v>80</v>
      </c>
      <c r="D1167">
        <v>11121002</v>
      </c>
      <c r="E1167">
        <v>121002</v>
      </c>
      <c r="F1167" s="1" t="s">
        <v>2915</v>
      </c>
      <c r="G1167" s="1" t="s">
        <v>6397</v>
      </c>
      <c r="I1167" s="1" t="s">
        <v>78</v>
      </c>
      <c r="J1167" s="1" t="s">
        <v>6398</v>
      </c>
      <c r="K1167" s="1" t="s">
        <v>6399</v>
      </c>
      <c r="L1167" t="s">
        <v>91</v>
      </c>
      <c r="M1167" t="s">
        <v>91</v>
      </c>
      <c r="N1167" s="1" t="s">
        <v>6400</v>
      </c>
      <c r="O1167" t="s">
        <v>91</v>
      </c>
      <c r="P1167" s="1" t="s">
        <v>4063</v>
      </c>
      <c r="Q1167" s="1" t="s">
        <v>6401</v>
      </c>
      <c r="R1167" s="1" t="s">
        <v>275</v>
      </c>
      <c r="S1167">
        <v>1269</v>
      </c>
      <c r="T1167">
        <v>88801500</v>
      </c>
      <c r="U1167" s="1" t="s">
        <v>108</v>
      </c>
      <c r="V1167" s="1" t="s">
        <v>3231</v>
      </c>
      <c r="W1167" s="1" t="s">
        <v>87</v>
      </c>
      <c r="X1167">
        <v>48</v>
      </c>
      <c r="Y1167">
        <v>34332702</v>
      </c>
      <c r="Z1167" t="s">
        <v>91</v>
      </c>
      <c r="AA1167" t="s">
        <v>91</v>
      </c>
      <c r="AB1167" t="s">
        <v>91</v>
      </c>
      <c r="AC1167" t="s">
        <v>91</v>
      </c>
      <c r="AD1167" t="s">
        <v>91</v>
      </c>
      <c r="AE1167" t="s">
        <v>91</v>
      </c>
      <c r="AF1167" t="s">
        <v>91</v>
      </c>
      <c r="AG1167" s="1" t="s">
        <v>91</v>
      </c>
      <c r="AH1167" s="1" t="s">
        <v>91</v>
      </c>
      <c r="AI1167" t="s">
        <v>91</v>
      </c>
      <c r="AJ1167">
        <v>0</v>
      </c>
      <c r="AK1167">
        <v>0</v>
      </c>
      <c r="AL1167">
        <v>0</v>
      </c>
      <c r="AM1167" t="s">
        <v>91</v>
      </c>
      <c r="AN1167" t="s">
        <v>91</v>
      </c>
      <c r="AO1167" t="s">
        <v>91</v>
      </c>
      <c r="AP1167" t="s">
        <v>91</v>
      </c>
      <c r="AQ1167" s="1" t="s">
        <v>91</v>
      </c>
      <c r="AR1167" s="1" t="s">
        <v>91</v>
      </c>
      <c r="AS1167" s="1" t="s">
        <v>91</v>
      </c>
      <c r="AT1167" s="1" t="s">
        <v>91</v>
      </c>
      <c r="AU1167" s="1" t="s">
        <v>91</v>
      </c>
      <c r="AV1167" t="s">
        <v>91</v>
      </c>
      <c r="AW1167" t="s">
        <v>91</v>
      </c>
      <c r="AX1167" t="s">
        <v>91</v>
      </c>
      <c r="AY1167" t="s">
        <v>91</v>
      </c>
      <c r="AZ1167" t="s">
        <v>91</v>
      </c>
      <c r="BA1167" t="s">
        <v>91</v>
      </c>
      <c r="BB1167" s="2"/>
      <c r="BC1167" s="2"/>
      <c r="BD1167" t="s">
        <v>91</v>
      </c>
      <c r="BF1167" s="1" t="s">
        <v>75</v>
      </c>
      <c r="BG1167">
        <v>0</v>
      </c>
      <c r="BH1167">
        <v>0</v>
      </c>
      <c r="BI1167" s="1" t="s">
        <v>88</v>
      </c>
      <c r="BJ1167">
        <v>1</v>
      </c>
      <c r="BK1167" s="1" t="s">
        <v>89</v>
      </c>
      <c r="BL1167" t="s">
        <v>91</v>
      </c>
      <c r="BM1167" s="1" t="s">
        <v>109</v>
      </c>
      <c r="BN1167" s="1" t="s">
        <v>110</v>
      </c>
      <c r="BO1167" s="1" t="s">
        <v>128</v>
      </c>
      <c r="BP1167" s="1" t="s">
        <v>91</v>
      </c>
      <c r="BQ1167" t="s">
        <v>91</v>
      </c>
      <c r="BR1167" s="3"/>
      <c r="BS1167" s="3"/>
      <c r="BT1167" t="s">
        <v>91</v>
      </c>
      <c r="BU1167" t="s">
        <v>91</v>
      </c>
      <c r="BV1167">
        <v>7</v>
      </c>
      <c r="BW1167" s="1" t="s">
        <v>295</v>
      </c>
    </row>
    <row r="1168" spans="1:75" hidden="1" x14ac:dyDescent="0.35">
      <c r="A1168">
        <v>157674</v>
      </c>
      <c r="B1168" s="1" t="s">
        <v>75</v>
      </c>
      <c r="C1168">
        <v>80</v>
      </c>
      <c r="D1168">
        <v>11121002</v>
      </c>
      <c r="E1168">
        <v>121002</v>
      </c>
      <c r="F1168" s="1" t="s">
        <v>2915</v>
      </c>
      <c r="G1168" s="1" t="s">
        <v>6402</v>
      </c>
      <c r="H1168">
        <v>0</v>
      </c>
      <c r="I1168" s="1" t="s">
        <v>78</v>
      </c>
      <c r="J1168" s="1" t="s">
        <v>6403</v>
      </c>
      <c r="K1168" s="1" t="s">
        <v>6404</v>
      </c>
      <c r="L1168" t="s">
        <v>91</v>
      </c>
      <c r="M1168" t="s">
        <v>91</v>
      </c>
      <c r="N1168" s="1" t="s">
        <v>91</v>
      </c>
      <c r="O1168" t="s">
        <v>91</v>
      </c>
      <c r="P1168" s="1" t="s">
        <v>2710</v>
      </c>
      <c r="Q1168" s="1" t="s">
        <v>4840</v>
      </c>
      <c r="R1168" s="1" t="s">
        <v>91</v>
      </c>
      <c r="S1168">
        <v>1268</v>
      </c>
      <c r="T1168">
        <v>88715000</v>
      </c>
      <c r="U1168" s="1" t="s">
        <v>343</v>
      </c>
      <c r="V1168" s="1" t="s">
        <v>4352</v>
      </c>
      <c r="W1168" s="1" t="s">
        <v>87</v>
      </c>
      <c r="X1168">
        <v>48</v>
      </c>
      <c r="Y1168">
        <v>36240599</v>
      </c>
      <c r="Z1168" t="s">
        <v>91</v>
      </c>
      <c r="AA1168" t="s">
        <v>91</v>
      </c>
      <c r="AB1168" t="s">
        <v>91</v>
      </c>
      <c r="AC1168" t="s">
        <v>91</v>
      </c>
      <c r="AD1168" t="s">
        <v>91</v>
      </c>
      <c r="AE1168" t="s">
        <v>91</v>
      </c>
      <c r="AF1168" t="s">
        <v>91</v>
      </c>
      <c r="AG1168" s="1" t="s">
        <v>91</v>
      </c>
      <c r="AH1168" s="1" t="s">
        <v>91</v>
      </c>
      <c r="AI1168" t="s">
        <v>91</v>
      </c>
      <c r="AM1168" t="s">
        <v>91</v>
      </c>
      <c r="AN1168" t="s">
        <v>91</v>
      </c>
      <c r="AO1168" t="s">
        <v>91</v>
      </c>
      <c r="AP1168" t="s">
        <v>91</v>
      </c>
      <c r="AQ1168" s="1" t="s">
        <v>91</v>
      </c>
      <c r="AR1168" s="1" t="s">
        <v>91</v>
      </c>
      <c r="AS1168" s="1" t="s">
        <v>91</v>
      </c>
      <c r="AT1168" s="1" t="s">
        <v>91</v>
      </c>
      <c r="AU1168" s="1" t="s">
        <v>91</v>
      </c>
      <c r="AV1168" t="s">
        <v>91</v>
      </c>
      <c r="AW1168" t="s">
        <v>91</v>
      </c>
      <c r="AX1168" t="s">
        <v>91</v>
      </c>
      <c r="AY1168" t="s">
        <v>91</v>
      </c>
      <c r="AZ1168" t="s">
        <v>91</v>
      </c>
      <c r="BA1168" t="s">
        <v>91</v>
      </c>
      <c r="BB1168" s="2">
        <v>45118.097175925926</v>
      </c>
      <c r="BC1168" s="2"/>
      <c r="BD1168" t="s">
        <v>91</v>
      </c>
      <c r="BF1168" s="1" t="s">
        <v>75</v>
      </c>
      <c r="BI1168" s="1" t="s">
        <v>88</v>
      </c>
      <c r="BJ1168">
        <v>1</v>
      </c>
      <c r="BK1168" s="1" t="s">
        <v>89</v>
      </c>
      <c r="BL1168" t="s">
        <v>91</v>
      </c>
      <c r="BM1168" s="1" t="s">
        <v>91</v>
      </c>
      <c r="BN1168" s="1" t="s">
        <v>91</v>
      </c>
      <c r="BO1168" s="1" t="s">
        <v>91</v>
      </c>
      <c r="BP1168" s="1" t="s">
        <v>91</v>
      </c>
      <c r="BQ1168" t="s">
        <v>91</v>
      </c>
      <c r="BR1168" s="3">
        <v>45118</v>
      </c>
      <c r="BS1168" s="3"/>
      <c r="BT1168" t="s">
        <v>91</v>
      </c>
      <c r="BU1168" t="s">
        <v>91</v>
      </c>
      <c r="BW1168" s="1" t="s">
        <v>90</v>
      </c>
    </row>
    <row r="1169" spans="1:75" hidden="1" x14ac:dyDescent="0.35">
      <c r="A1169">
        <v>157613</v>
      </c>
      <c r="B1169" s="1" t="s">
        <v>75</v>
      </c>
      <c r="C1169">
        <v>80</v>
      </c>
      <c r="D1169">
        <v>11121002</v>
      </c>
      <c r="E1169">
        <v>121002</v>
      </c>
      <c r="F1169" s="1" t="s">
        <v>2915</v>
      </c>
      <c r="G1169" s="1" t="s">
        <v>6405</v>
      </c>
      <c r="H1169">
        <v>0</v>
      </c>
      <c r="I1169" s="1" t="s">
        <v>78</v>
      </c>
      <c r="J1169" s="1" t="s">
        <v>6406</v>
      </c>
      <c r="K1169" s="1" t="s">
        <v>6407</v>
      </c>
      <c r="L1169" t="s">
        <v>91</v>
      </c>
      <c r="M1169" t="s">
        <v>91</v>
      </c>
      <c r="N1169" s="1" t="s">
        <v>6305</v>
      </c>
      <c r="O1169" t="s">
        <v>91</v>
      </c>
      <c r="P1169" s="1" t="s">
        <v>6408</v>
      </c>
      <c r="Q1169" s="1" t="s">
        <v>5030</v>
      </c>
      <c r="R1169" s="1" t="s">
        <v>6409</v>
      </c>
      <c r="S1169">
        <v>1258</v>
      </c>
      <c r="T1169">
        <v>88070800</v>
      </c>
      <c r="U1169" s="1" t="s">
        <v>6410</v>
      </c>
      <c r="V1169" s="1" t="s">
        <v>2922</v>
      </c>
      <c r="W1169" s="1" t="s">
        <v>87</v>
      </c>
      <c r="X1169">
        <v>48</v>
      </c>
      <c r="Y1169">
        <v>30913101</v>
      </c>
      <c r="Z1169" t="s">
        <v>91</v>
      </c>
      <c r="AA1169" t="s">
        <v>91</v>
      </c>
      <c r="AB1169" t="s">
        <v>91</v>
      </c>
      <c r="AC1169" t="s">
        <v>91</v>
      </c>
      <c r="AD1169" t="s">
        <v>91</v>
      </c>
      <c r="AE1169" t="s">
        <v>91</v>
      </c>
      <c r="AF1169" t="s">
        <v>91</v>
      </c>
      <c r="AG1169" s="1" t="s">
        <v>91</v>
      </c>
      <c r="AH1169" s="1" t="s">
        <v>91</v>
      </c>
      <c r="AI1169" t="s">
        <v>91</v>
      </c>
      <c r="AM1169" t="s">
        <v>91</v>
      </c>
      <c r="AN1169" t="s">
        <v>91</v>
      </c>
      <c r="AO1169" t="s">
        <v>91</v>
      </c>
      <c r="AP1169" t="s">
        <v>91</v>
      </c>
      <c r="AQ1169" s="1" t="s">
        <v>91</v>
      </c>
      <c r="AR1169" s="1" t="s">
        <v>91</v>
      </c>
      <c r="AS1169" s="1" t="s">
        <v>91</v>
      </c>
      <c r="AT1169" s="1" t="s">
        <v>91</v>
      </c>
      <c r="AU1169" s="1" t="s">
        <v>91</v>
      </c>
      <c r="AV1169" t="s">
        <v>91</v>
      </c>
      <c r="AW1169" t="s">
        <v>91</v>
      </c>
      <c r="AX1169" t="s">
        <v>91</v>
      </c>
      <c r="AY1169" t="s">
        <v>91</v>
      </c>
      <c r="AZ1169" t="s">
        <v>91</v>
      </c>
      <c r="BA1169" t="s">
        <v>91</v>
      </c>
      <c r="BB1169" s="2">
        <v>45118.097175925926</v>
      </c>
      <c r="BC1169" s="2"/>
      <c r="BD1169" t="s">
        <v>91</v>
      </c>
      <c r="BF1169" s="1" t="s">
        <v>75</v>
      </c>
      <c r="BI1169" s="1" t="s">
        <v>88</v>
      </c>
      <c r="BJ1169">
        <v>1</v>
      </c>
      <c r="BK1169" s="1" t="s">
        <v>89</v>
      </c>
      <c r="BL1169" t="s">
        <v>91</v>
      </c>
      <c r="BM1169" s="1" t="s">
        <v>91</v>
      </c>
      <c r="BN1169" s="1" t="s">
        <v>91</v>
      </c>
      <c r="BO1169" s="1" t="s">
        <v>91</v>
      </c>
      <c r="BP1169" s="1" t="s">
        <v>91</v>
      </c>
      <c r="BQ1169" t="s">
        <v>91</v>
      </c>
      <c r="BR1169" s="3">
        <v>45118</v>
      </c>
      <c r="BS1169" s="3"/>
      <c r="BT1169" t="s">
        <v>91</v>
      </c>
      <c r="BU1169" t="s">
        <v>91</v>
      </c>
      <c r="BW1169" s="1" t="s">
        <v>90</v>
      </c>
    </row>
    <row r="1170" spans="1:75" hidden="1" x14ac:dyDescent="0.35">
      <c r="A1170">
        <v>134319</v>
      </c>
      <c r="B1170" s="1" t="s">
        <v>75</v>
      </c>
      <c r="C1170">
        <v>80</v>
      </c>
      <c r="D1170">
        <v>11121002</v>
      </c>
      <c r="E1170">
        <v>121002</v>
      </c>
      <c r="F1170" s="1" t="s">
        <v>2915</v>
      </c>
      <c r="G1170" s="1" t="s">
        <v>6411</v>
      </c>
      <c r="I1170" s="1" t="s">
        <v>78</v>
      </c>
      <c r="J1170" s="1" t="s">
        <v>6406</v>
      </c>
      <c r="K1170" s="1" t="s">
        <v>6412</v>
      </c>
      <c r="L1170" t="s">
        <v>91</v>
      </c>
      <c r="M1170" t="s">
        <v>91</v>
      </c>
      <c r="N1170" s="1" t="s">
        <v>3119</v>
      </c>
      <c r="O1170" t="s">
        <v>91</v>
      </c>
      <c r="P1170" s="1" t="s">
        <v>6413</v>
      </c>
      <c r="Q1170" s="1" t="s">
        <v>4762</v>
      </c>
      <c r="R1170" s="1" t="s">
        <v>6414</v>
      </c>
      <c r="S1170">
        <v>1259</v>
      </c>
      <c r="T1170">
        <v>88160130</v>
      </c>
      <c r="U1170" s="1" t="s">
        <v>108</v>
      </c>
      <c r="V1170" s="1" t="s">
        <v>3293</v>
      </c>
      <c r="W1170" s="1" t="s">
        <v>87</v>
      </c>
      <c r="X1170">
        <v>48</v>
      </c>
      <c r="Y1170">
        <v>32247135</v>
      </c>
      <c r="Z1170" t="s">
        <v>91</v>
      </c>
      <c r="AA1170" t="s">
        <v>91</v>
      </c>
      <c r="AB1170" t="s">
        <v>91</v>
      </c>
      <c r="AC1170" t="s">
        <v>91</v>
      </c>
      <c r="AD1170" t="s">
        <v>91</v>
      </c>
      <c r="AE1170" t="s">
        <v>91</v>
      </c>
      <c r="AF1170" t="s">
        <v>91</v>
      </c>
      <c r="AG1170" s="1" t="s">
        <v>91</v>
      </c>
      <c r="AH1170" s="1" t="s">
        <v>91</v>
      </c>
      <c r="AI1170" t="s">
        <v>91</v>
      </c>
      <c r="AJ1170">
        <v>0</v>
      </c>
      <c r="AK1170">
        <v>0</v>
      </c>
      <c r="AL1170">
        <v>0</v>
      </c>
      <c r="AM1170" t="s">
        <v>91</v>
      </c>
      <c r="AN1170" t="s">
        <v>91</v>
      </c>
      <c r="AO1170" t="s">
        <v>91</v>
      </c>
      <c r="AP1170" t="s">
        <v>91</v>
      </c>
      <c r="AQ1170" s="1" t="s">
        <v>91</v>
      </c>
      <c r="AR1170" s="1" t="s">
        <v>91</v>
      </c>
      <c r="AS1170" s="1" t="s">
        <v>91</v>
      </c>
      <c r="AT1170" s="1" t="s">
        <v>91</v>
      </c>
      <c r="AU1170" s="1" t="s">
        <v>91</v>
      </c>
      <c r="AV1170" t="s">
        <v>91</v>
      </c>
      <c r="AW1170" t="s">
        <v>91</v>
      </c>
      <c r="AX1170" t="s">
        <v>91</v>
      </c>
      <c r="AY1170" t="s">
        <v>91</v>
      </c>
      <c r="AZ1170" t="s">
        <v>91</v>
      </c>
      <c r="BA1170" t="s">
        <v>91</v>
      </c>
      <c r="BB1170" s="2"/>
      <c r="BC1170" s="2"/>
      <c r="BD1170" t="s">
        <v>91</v>
      </c>
      <c r="BF1170" s="1" t="s">
        <v>75</v>
      </c>
      <c r="BG1170">
        <v>0</v>
      </c>
      <c r="BH1170">
        <v>0</v>
      </c>
      <c r="BI1170" s="1" t="s">
        <v>88</v>
      </c>
      <c r="BJ1170">
        <v>1</v>
      </c>
      <c r="BK1170" s="1" t="s">
        <v>89</v>
      </c>
      <c r="BL1170" t="s">
        <v>91</v>
      </c>
      <c r="BM1170" s="1" t="s">
        <v>109</v>
      </c>
      <c r="BN1170" s="1" t="s">
        <v>110</v>
      </c>
      <c r="BO1170" s="1" t="s">
        <v>180</v>
      </c>
      <c r="BP1170" s="1" t="s">
        <v>91</v>
      </c>
      <c r="BQ1170" t="s">
        <v>91</v>
      </c>
      <c r="BR1170" s="3"/>
      <c r="BS1170" s="3"/>
      <c r="BT1170" t="s">
        <v>91</v>
      </c>
      <c r="BU1170" t="s">
        <v>91</v>
      </c>
      <c r="BV1170">
        <v>9</v>
      </c>
      <c r="BW1170" s="1" t="s">
        <v>90</v>
      </c>
    </row>
    <row r="1171" spans="1:75" hidden="1" x14ac:dyDescent="0.35">
      <c r="A1171">
        <v>144798</v>
      </c>
      <c r="B1171" s="1" t="s">
        <v>75</v>
      </c>
      <c r="C1171">
        <v>80</v>
      </c>
      <c r="D1171">
        <v>11121002</v>
      </c>
      <c r="E1171">
        <v>121002</v>
      </c>
      <c r="F1171" s="1" t="s">
        <v>2915</v>
      </c>
      <c r="G1171" s="1" t="s">
        <v>6415</v>
      </c>
      <c r="I1171" s="1" t="s">
        <v>78</v>
      </c>
      <c r="J1171" s="1" t="s">
        <v>6416</v>
      </c>
      <c r="K1171" s="1" t="s">
        <v>6417</v>
      </c>
      <c r="L1171" t="s">
        <v>91</v>
      </c>
      <c r="M1171" t="s">
        <v>91</v>
      </c>
      <c r="N1171" s="1" t="s">
        <v>6418</v>
      </c>
      <c r="O1171" t="s">
        <v>91</v>
      </c>
      <c r="P1171" s="1" t="s">
        <v>4521</v>
      </c>
      <c r="Q1171" s="1" t="s">
        <v>5392</v>
      </c>
      <c r="R1171" s="1" t="s">
        <v>236</v>
      </c>
      <c r="S1171">
        <v>1265</v>
      </c>
      <c r="T1171">
        <v>88495000</v>
      </c>
      <c r="U1171" s="1" t="s">
        <v>108</v>
      </c>
      <c r="V1171" s="1" t="s">
        <v>3853</v>
      </c>
      <c r="W1171" s="1" t="s">
        <v>87</v>
      </c>
      <c r="X1171">
        <v>48</v>
      </c>
      <c r="Y1171">
        <v>32541876</v>
      </c>
      <c r="Z1171" t="s">
        <v>91</v>
      </c>
      <c r="AA1171" t="s">
        <v>91</v>
      </c>
      <c r="AB1171" t="s">
        <v>91</v>
      </c>
      <c r="AC1171" t="s">
        <v>91</v>
      </c>
      <c r="AD1171" t="s">
        <v>91</v>
      </c>
      <c r="AE1171" t="s">
        <v>91</v>
      </c>
      <c r="AF1171" t="s">
        <v>91</v>
      </c>
      <c r="AG1171" s="1" t="s">
        <v>91</v>
      </c>
      <c r="AH1171" s="1" t="s">
        <v>91</v>
      </c>
      <c r="AI1171" t="s">
        <v>91</v>
      </c>
      <c r="AJ1171">
        <v>0</v>
      </c>
      <c r="AK1171">
        <v>0</v>
      </c>
      <c r="AL1171">
        <v>0</v>
      </c>
      <c r="AM1171" t="s">
        <v>91</v>
      </c>
      <c r="AN1171" t="s">
        <v>91</v>
      </c>
      <c r="AO1171" t="s">
        <v>91</v>
      </c>
      <c r="AP1171" t="s">
        <v>91</v>
      </c>
      <c r="AQ1171" s="1" t="s">
        <v>91</v>
      </c>
      <c r="AR1171" s="1" t="s">
        <v>91</v>
      </c>
      <c r="AS1171" s="1" t="s">
        <v>91</v>
      </c>
      <c r="AT1171" s="1" t="s">
        <v>91</v>
      </c>
      <c r="AU1171" s="1" t="s">
        <v>91</v>
      </c>
      <c r="AV1171" t="s">
        <v>91</v>
      </c>
      <c r="AW1171" t="s">
        <v>91</v>
      </c>
      <c r="AX1171" t="s">
        <v>91</v>
      </c>
      <c r="AY1171" t="s">
        <v>91</v>
      </c>
      <c r="AZ1171" t="s">
        <v>91</v>
      </c>
      <c r="BA1171" t="s">
        <v>91</v>
      </c>
      <c r="BB1171" s="2"/>
      <c r="BC1171" s="2"/>
      <c r="BD1171" t="s">
        <v>91</v>
      </c>
      <c r="BF1171" s="1" t="s">
        <v>75</v>
      </c>
      <c r="BG1171">
        <v>0</v>
      </c>
      <c r="BH1171">
        <v>0</v>
      </c>
      <c r="BI1171" s="1" t="s">
        <v>88</v>
      </c>
      <c r="BJ1171">
        <v>1</v>
      </c>
      <c r="BK1171" s="1" t="s">
        <v>89</v>
      </c>
      <c r="BL1171" t="s">
        <v>91</v>
      </c>
      <c r="BM1171" s="1" t="s">
        <v>109</v>
      </c>
      <c r="BN1171" s="1" t="s">
        <v>110</v>
      </c>
      <c r="BO1171" s="1" t="s">
        <v>165</v>
      </c>
      <c r="BP1171" s="1" t="s">
        <v>91</v>
      </c>
      <c r="BQ1171" t="s">
        <v>91</v>
      </c>
      <c r="BR1171" s="3"/>
      <c r="BS1171" s="3"/>
      <c r="BT1171" t="s">
        <v>91</v>
      </c>
      <c r="BU1171" t="s">
        <v>91</v>
      </c>
      <c r="BV1171">
        <v>9</v>
      </c>
      <c r="BW1171" s="1" t="s">
        <v>3000</v>
      </c>
    </row>
    <row r="1172" spans="1:75" hidden="1" x14ac:dyDescent="0.35">
      <c r="A1172">
        <v>134229</v>
      </c>
      <c r="B1172" s="1" t="s">
        <v>75</v>
      </c>
      <c r="C1172">
        <v>80</v>
      </c>
      <c r="D1172">
        <v>11121002</v>
      </c>
      <c r="E1172">
        <v>121002</v>
      </c>
      <c r="F1172" s="1" t="s">
        <v>2915</v>
      </c>
      <c r="G1172" s="1" t="s">
        <v>6419</v>
      </c>
      <c r="I1172" s="1" t="s">
        <v>78</v>
      </c>
      <c r="J1172" s="1" t="s">
        <v>6420</v>
      </c>
      <c r="K1172" s="1" t="s">
        <v>6421</v>
      </c>
      <c r="L1172" t="s">
        <v>91</v>
      </c>
      <c r="M1172" t="s">
        <v>91</v>
      </c>
      <c r="N1172" s="1" t="s">
        <v>6422</v>
      </c>
      <c r="O1172" t="s">
        <v>91</v>
      </c>
      <c r="P1172" s="1" t="s">
        <v>4941</v>
      </c>
      <c r="Q1172" s="1" t="s">
        <v>4928</v>
      </c>
      <c r="R1172" s="1" t="s">
        <v>91</v>
      </c>
      <c r="S1172">
        <v>1259</v>
      </c>
      <c r="T1172">
        <v>88130005</v>
      </c>
      <c r="U1172" s="1" t="s">
        <v>108</v>
      </c>
      <c r="V1172" s="1" t="s">
        <v>3165</v>
      </c>
      <c r="W1172" s="1" t="s">
        <v>87</v>
      </c>
      <c r="X1172">
        <v>48</v>
      </c>
      <c r="Y1172">
        <v>33467669</v>
      </c>
      <c r="Z1172" t="s">
        <v>91</v>
      </c>
      <c r="AA1172" t="s">
        <v>91</v>
      </c>
      <c r="AB1172" t="s">
        <v>91</v>
      </c>
      <c r="AC1172" t="s">
        <v>91</v>
      </c>
      <c r="AD1172" t="s">
        <v>91</v>
      </c>
      <c r="AE1172" t="s">
        <v>91</v>
      </c>
      <c r="AF1172" t="s">
        <v>91</v>
      </c>
      <c r="AG1172" s="1" t="s">
        <v>146</v>
      </c>
      <c r="AH1172" s="1" t="s">
        <v>91</v>
      </c>
      <c r="AI1172" t="s">
        <v>91</v>
      </c>
      <c r="AJ1172">
        <v>0</v>
      </c>
      <c r="AK1172">
        <v>0</v>
      </c>
      <c r="AL1172">
        <v>0</v>
      </c>
      <c r="AM1172" t="s">
        <v>91</v>
      </c>
      <c r="AN1172" t="s">
        <v>91</v>
      </c>
      <c r="AO1172" t="s">
        <v>91</v>
      </c>
      <c r="AP1172" t="s">
        <v>91</v>
      </c>
      <c r="AQ1172" s="1" t="s">
        <v>147</v>
      </c>
      <c r="AR1172" s="1" t="s">
        <v>147</v>
      </c>
      <c r="AS1172" s="1" t="s">
        <v>147</v>
      </c>
      <c r="AT1172" s="1" t="s">
        <v>147</v>
      </c>
      <c r="AU1172" s="1" t="s">
        <v>147</v>
      </c>
      <c r="AV1172" t="s">
        <v>91</v>
      </c>
      <c r="AW1172" t="s">
        <v>91</v>
      </c>
      <c r="AX1172" t="s">
        <v>91</v>
      </c>
      <c r="AY1172" t="s">
        <v>91</v>
      </c>
      <c r="AZ1172" t="s">
        <v>91</v>
      </c>
      <c r="BA1172" t="s">
        <v>91</v>
      </c>
      <c r="BB1172" s="2"/>
      <c r="BC1172" s="2">
        <v>44603.377326388887</v>
      </c>
      <c r="BD1172" t="s">
        <v>91</v>
      </c>
      <c r="BF1172" s="1" t="s">
        <v>75</v>
      </c>
      <c r="BG1172">
        <v>0</v>
      </c>
      <c r="BH1172">
        <v>0</v>
      </c>
      <c r="BI1172" s="1" t="s">
        <v>88</v>
      </c>
      <c r="BJ1172">
        <v>1</v>
      </c>
      <c r="BK1172" s="1" t="s">
        <v>89</v>
      </c>
      <c r="BL1172" t="s">
        <v>91</v>
      </c>
      <c r="BM1172" s="1" t="s">
        <v>329</v>
      </c>
      <c r="BN1172" s="1" t="s">
        <v>110</v>
      </c>
      <c r="BO1172" s="1" t="s">
        <v>165</v>
      </c>
      <c r="BP1172" s="1" t="s">
        <v>91</v>
      </c>
      <c r="BQ1172" t="s">
        <v>91</v>
      </c>
      <c r="BR1172" s="3"/>
      <c r="BS1172" s="3">
        <v>44603</v>
      </c>
      <c r="BT1172" t="s">
        <v>91</v>
      </c>
      <c r="BU1172" t="s">
        <v>91</v>
      </c>
      <c r="BV1172">
        <v>5</v>
      </c>
      <c r="BW1172" s="1" t="s">
        <v>3738</v>
      </c>
    </row>
    <row r="1173" spans="1:75" hidden="1" x14ac:dyDescent="0.35">
      <c r="A1173">
        <v>134230</v>
      </c>
      <c r="B1173" s="1" t="s">
        <v>75</v>
      </c>
      <c r="C1173">
        <v>80</v>
      </c>
      <c r="D1173">
        <v>11121002</v>
      </c>
      <c r="E1173">
        <v>121002</v>
      </c>
      <c r="F1173" s="1" t="s">
        <v>2915</v>
      </c>
      <c r="G1173" s="1" t="s">
        <v>6423</v>
      </c>
      <c r="I1173" s="1" t="s">
        <v>78</v>
      </c>
      <c r="J1173" s="1" t="s">
        <v>6420</v>
      </c>
      <c r="K1173" s="1" t="s">
        <v>6424</v>
      </c>
      <c r="L1173" t="s">
        <v>91</v>
      </c>
      <c r="M1173" t="s">
        <v>91</v>
      </c>
      <c r="N1173" s="1" t="s">
        <v>4688</v>
      </c>
      <c r="O1173" t="s">
        <v>91</v>
      </c>
      <c r="P1173" s="1" t="s">
        <v>3748</v>
      </c>
      <c r="Q1173" s="1" t="s">
        <v>356</v>
      </c>
      <c r="R1173" s="1" t="s">
        <v>3434</v>
      </c>
      <c r="S1173">
        <v>1259</v>
      </c>
      <c r="T1173">
        <v>88101100</v>
      </c>
      <c r="U1173" s="1" t="s">
        <v>3015</v>
      </c>
      <c r="V1173" s="1" t="s">
        <v>3016</v>
      </c>
      <c r="W1173" s="1" t="s">
        <v>87</v>
      </c>
      <c r="X1173">
        <v>48</v>
      </c>
      <c r="Y1173">
        <v>30357669</v>
      </c>
      <c r="Z1173" t="s">
        <v>91</v>
      </c>
      <c r="AA1173" t="s">
        <v>91</v>
      </c>
      <c r="AB1173" t="s">
        <v>91</v>
      </c>
      <c r="AC1173" t="s">
        <v>91</v>
      </c>
      <c r="AD1173" t="s">
        <v>91</v>
      </c>
      <c r="AE1173" t="s">
        <v>91</v>
      </c>
      <c r="AF1173" t="s">
        <v>91</v>
      </c>
      <c r="AG1173" s="1" t="s">
        <v>146</v>
      </c>
      <c r="AH1173" s="1" t="s">
        <v>91</v>
      </c>
      <c r="AI1173" t="s">
        <v>91</v>
      </c>
      <c r="AJ1173">
        <v>0</v>
      </c>
      <c r="AK1173">
        <v>0</v>
      </c>
      <c r="AL1173">
        <v>0</v>
      </c>
      <c r="AM1173" t="s">
        <v>91</v>
      </c>
      <c r="AN1173" t="s">
        <v>91</v>
      </c>
      <c r="AO1173" t="s">
        <v>91</v>
      </c>
      <c r="AP1173" t="s">
        <v>91</v>
      </c>
      <c r="AQ1173" s="1" t="s">
        <v>147</v>
      </c>
      <c r="AR1173" s="1" t="s">
        <v>147</v>
      </c>
      <c r="AS1173" s="1" t="s">
        <v>147</v>
      </c>
      <c r="AT1173" s="1" t="s">
        <v>147</v>
      </c>
      <c r="AU1173" s="1" t="s">
        <v>147</v>
      </c>
      <c r="AV1173" t="s">
        <v>91</v>
      </c>
      <c r="AW1173" t="s">
        <v>91</v>
      </c>
      <c r="AX1173" t="s">
        <v>91</v>
      </c>
      <c r="AY1173" t="s">
        <v>91</v>
      </c>
      <c r="AZ1173" t="s">
        <v>91</v>
      </c>
      <c r="BA1173" t="s">
        <v>91</v>
      </c>
      <c r="BB1173" s="2"/>
      <c r="BC1173" s="2">
        <v>44606.636655092596</v>
      </c>
      <c r="BD1173" t="s">
        <v>91</v>
      </c>
      <c r="BF1173" s="1" t="s">
        <v>75</v>
      </c>
      <c r="BG1173">
        <v>0</v>
      </c>
      <c r="BH1173">
        <v>0</v>
      </c>
      <c r="BI1173" s="1" t="s">
        <v>88</v>
      </c>
      <c r="BJ1173">
        <v>1</v>
      </c>
      <c r="BK1173" s="1" t="s">
        <v>89</v>
      </c>
      <c r="BL1173" t="s">
        <v>91</v>
      </c>
      <c r="BM1173" s="1" t="s">
        <v>329</v>
      </c>
      <c r="BN1173" s="1" t="s">
        <v>110</v>
      </c>
      <c r="BO1173" s="1" t="s">
        <v>165</v>
      </c>
      <c r="BP1173" s="1" t="s">
        <v>91</v>
      </c>
      <c r="BQ1173" t="s">
        <v>91</v>
      </c>
      <c r="BR1173" s="3"/>
      <c r="BS1173" s="3">
        <v>44606</v>
      </c>
      <c r="BT1173" t="s">
        <v>91</v>
      </c>
      <c r="BU1173" t="s">
        <v>91</v>
      </c>
      <c r="BV1173">
        <v>5</v>
      </c>
      <c r="BW1173" s="1" t="s">
        <v>470</v>
      </c>
    </row>
    <row r="1174" spans="1:75" hidden="1" x14ac:dyDescent="0.35">
      <c r="A1174">
        <v>60</v>
      </c>
      <c r="B1174" s="1" t="s">
        <v>75</v>
      </c>
      <c r="C1174">
        <v>80</v>
      </c>
      <c r="D1174">
        <v>11121002</v>
      </c>
      <c r="E1174">
        <v>121002</v>
      </c>
      <c r="F1174" s="1" t="s">
        <v>2915</v>
      </c>
      <c r="G1174" s="1" t="s">
        <v>6425</v>
      </c>
      <c r="I1174" s="1" t="s">
        <v>78</v>
      </c>
      <c r="J1174" s="1" t="s">
        <v>6426</v>
      </c>
      <c r="K1174" s="1" t="s">
        <v>6427</v>
      </c>
      <c r="L1174" t="s">
        <v>91</v>
      </c>
      <c r="M1174" t="s">
        <v>91</v>
      </c>
      <c r="N1174" s="1" t="s">
        <v>6428</v>
      </c>
      <c r="O1174" t="s">
        <v>91</v>
      </c>
      <c r="P1174" s="1" t="s">
        <v>6157</v>
      </c>
      <c r="Q1174" s="1" t="s">
        <v>1325</v>
      </c>
      <c r="R1174" s="1" t="s">
        <v>91</v>
      </c>
      <c r="S1174">
        <v>1269</v>
      </c>
      <c r="T1174">
        <v>88830000</v>
      </c>
      <c r="U1174" s="1" t="s">
        <v>343</v>
      </c>
      <c r="V1174" s="1" t="s">
        <v>6158</v>
      </c>
      <c r="W1174" s="1" t="s">
        <v>87</v>
      </c>
      <c r="X1174">
        <v>48</v>
      </c>
      <c r="Y1174">
        <v>34344848</v>
      </c>
      <c r="Z1174" t="s">
        <v>91</v>
      </c>
      <c r="AA1174" t="s">
        <v>91</v>
      </c>
      <c r="AB1174" t="s">
        <v>91</v>
      </c>
      <c r="AC1174" t="s">
        <v>91</v>
      </c>
      <c r="AD1174" t="s">
        <v>91</v>
      </c>
      <c r="AE1174" t="s">
        <v>91</v>
      </c>
      <c r="AF1174" t="s">
        <v>91</v>
      </c>
      <c r="AG1174" s="1" t="s">
        <v>91</v>
      </c>
      <c r="AH1174" s="1" t="s">
        <v>91</v>
      </c>
      <c r="AI1174" t="s">
        <v>91</v>
      </c>
      <c r="AJ1174">
        <v>0</v>
      </c>
      <c r="AK1174">
        <v>0</v>
      </c>
      <c r="AL1174">
        <v>0</v>
      </c>
      <c r="AM1174" t="s">
        <v>91</v>
      </c>
      <c r="AN1174" t="s">
        <v>91</v>
      </c>
      <c r="AO1174" t="s">
        <v>91</v>
      </c>
      <c r="AP1174" t="s">
        <v>91</v>
      </c>
      <c r="AQ1174" s="1" t="s">
        <v>91</v>
      </c>
      <c r="AR1174" s="1" t="s">
        <v>91</v>
      </c>
      <c r="AS1174" s="1" t="s">
        <v>91</v>
      </c>
      <c r="AT1174" s="1" t="s">
        <v>91</v>
      </c>
      <c r="AU1174" s="1" t="s">
        <v>91</v>
      </c>
      <c r="AV1174" t="s">
        <v>91</v>
      </c>
      <c r="AW1174" t="s">
        <v>91</v>
      </c>
      <c r="AX1174" t="s">
        <v>91</v>
      </c>
      <c r="AY1174" t="s">
        <v>91</v>
      </c>
      <c r="AZ1174" t="s">
        <v>91</v>
      </c>
      <c r="BA1174" t="s">
        <v>91</v>
      </c>
      <c r="BB1174" s="2">
        <v>43308.392731481479</v>
      </c>
      <c r="BC1174" s="2"/>
      <c r="BD1174" t="s">
        <v>91</v>
      </c>
      <c r="BE1174">
        <v>60</v>
      </c>
      <c r="BF1174" s="1" t="s">
        <v>75</v>
      </c>
      <c r="BG1174">
        <v>0</v>
      </c>
      <c r="BH1174">
        <v>0</v>
      </c>
      <c r="BI1174" s="1" t="s">
        <v>88</v>
      </c>
      <c r="BJ1174">
        <v>1</v>
      </c>
      <c r="BK1174" s="1" t="s">
        <v>89</v>
      </c>
      <c r="BL1174" t="s">
        <v>91</v>
      </c>
      <c r="BM1174" s="1" t="s">
        <v>109</v>
      </c>
      <c r="BN1174" s="1" t="s">
        <v>110</v>
      </c>
      <c r="BO1174" s="1" t="s">
        <v>180</v>
      </c>
      <c r="BP1174" s="1" t="s">
        <v>91</v>
      </c>
      <c r="BQ1174" t="s">
        <v>91</v>
      </c>
      <c r="BR1174" s="3">
        <v>43308</v>
      </c>
      <c r="BS1174" s="3"/>
      <c r="BT1174" t="s">
        <v>91</v>
      </c>
      <c r="BU1174" t="s">
        <v>91</v>
      </c>
      <c r="BV1174">
        <v>9</v>
      </c>
      <c r="BW1174" s="1" t="s">
        <v>3096</v>
      </c>
    </row>
    <row r="1175" spans="1:75" hidden="1" x14ac:dyDescent="0.35">
      <c r="A1175">
        <v>24</v>
      </c>
      <c r="B1175" s="1" t="s">
        <v>75</v>
      </c>
      <c r="C1175">
        <v>80</v>
      </c>
      <c r="D1175">
        <v>11121002</v>
      </c>
      <c r="E1175">
        <v>121002</v>
      </c>
      <c r="F1175" s="1" t="s">
        <v>2915</v>
      </c>
      <c r="G1175" s="1" t="s">
        <v>6429</v>
      </c>
      <c r="I1175" s="1" t="s">
        <v>78</v>
      </c>
      <c r="J1175" s="1" t="s">
        <v>6430</v>
      </c>
      <c r="K1175" s="1" t="s">
        <v>6431</v>
      </c>
      <c r="L1175" t="s">
        <v>91</v>
      </c>
      <c r="M1175" t="s">
        <v>91</v>
      </c>
      <c r="N1175" s="1" t="s">
        <v>6432</v>
      </c>
      <c r="O1175" t="s">
        <v>91</v>
      </c>
      <c r="P1175" s="1" t="s">
        <v>6433</v>
      </c>
      <c r="Q1175" s="1" t="s">
        <v>665</v>
      </c>
      <c r="R1175" s="1" t="s">
        <v>91</v>
      </c>
      <c r="S1175">
        <v>1270</v>
      </c>
      <c r="T1175">
        <v>88990000</v>
      </c>
      <c r="U1175" s="1" t="s">
        <v>343</v>
      </c>
      <c r="V1175" s="1" t="s">
        <v>3051</v>
      </c>
      <c r="W1175" s="1" t="s">
        <v>87</v>
      </c>
      <c r="X1175">
        <v>48</v>
      </c>
      <c r="Y1175">
        <v>35320261</v>
      </c>
      <c r="Z1175" t="s">
        <v>91</v>
      </c>
      <c r="AA1175" t="s">
        <v>91</v>
      </c>
      <c r="AB1175" t="s">
        <v>91</v>
      </c>
      <c r="AC1175" t="s">
        <v>91</v>
      </c>
      <c r="AD1175" t="s">
        <v>91</v>
      </c>
      <c r="AE1175" t="s">
        <v>91</v>
      </c>
      <c r="AF1175" t="s">
        <v>91</v>
      </c>
      <c r="AG1175" s="1" t="s">
        <v>91</v>
      </c>
      <c r="AH1175" s="1" t="s">
        <v>91</v>
      </c>
      <c r="AI1175" t="s">
        <v>91</v>
      </c>
      <c r="AJ1175">
        <v>0</v>
      </c>
      <c r="AK1175">
        <v>0</v>
      </c>
      <c r="AL1175">
        <v>0</v>
      </c>
      <c r="AM1175" t="s">
        <v>91</v>
      </c>
      <c r="AN1175" t="s">
        <v>91</v>
      </c>
      <c r="AO1175" t="s">
        <v>91</v>
      </c>
      <c r="AP1175" t="s">
        <v>91</v>
      </c>
      <c r="AQ1175" s="1" t="s">
        <v>91</v>
      </c>
      <c r="AR1175" s="1" t="s">
        <v>91</v>
      </c>
      <c r="AS1175" s="1" t="s">
        <v>91</v>
      </c>
      <c r="AT1175" s="1" t="s">
        <v>91</v>
      </c>
      <c r="AU1175" s="1" t="s">
        <v>91</v>
      </c>
      <c r="AV1175" t="s">
        <v>91</v>
      </c>
      <c r="AW1175" t="s">
        <v>91</v>
      </c>
      <c r="AX1175" t="s">
        <v>91</v>
      </c>
      <c r="AY1175" t="s">
        <v>91</v>
      </c>
      <c r="AZ1175" t="s">
        <v>91</v>
      </c>
      <c r="BA1175" t="s">
        <v>91</v>
      </c>
      <c r="BB1175" s="2">
        <v>43308.39271990741</v>
      </c>
      <c r="BC1175" s="2"/>
      <c r="BD1175" t="s">
        <v>91</v>
      </c>
      <c r="BE1175">
        <v>24</v>
      </c>
      <c r="BF1175" s="1" t="s">
        <v>75</v>
      </c>
      <c r="BG1175">
        <v>0</v>
      </c>
      <c r="BH1175">
        <v>0</v>
      </c>
      <c r="BI1175" s="1" t="s">
        <v>88</v>
      </c>
      <c r="BJ1175">
        <v>1</v>
      </c>
      <c r="BK1175" s="1" t="s">
        <v>89</v>
      </c>
      <c r="BL1175" t="s">
        <v>91</v>
      </c>
      <c r="BM1175" s="1" t="s">
        <v>109</v>
      </c>
      <c r="BN1175" s="1" t="s">
        <v>110</v>
      </c>
      <c r="BO1175" s="1" t="s">
        <v>128</v>
      </c>
      <c r="BP1175" s="1" t="s">
        <v>91</v>
      </c>
      <c r="BQ1175" t="s">
        <v>91</v>
      </c>
      <c r="BR1175" s="3">
        <v>43308</v>
      </c>
      <c r="BS1175" s="3"/>
      <c r="BT1175" t="s">
        <v>91</v>
      </c>
      <c r="BU1175" t="s">
        <v>91</v>
      </c>
      <c r="BV1175">
        <v>9</v>
      </c>
      <c r="BW1175" s="1" t="s">
        <v>1332</v>
      </c>
    </row>
    <row r="1176" spans="1:75" hidden="1" x14ac:dyDescent="0.35">
      <c r="A1176">
        <v>134559</v>
      </c>
      <c r="B1176" s="1" t="s">
        <v>75</v>
      </c>
      <c r="C1176">
        <v>80</v>
      </c>
      <c r="D1176">
        <v>11121002</v>
      </c>
      <c r="E1176">
        <v>121002</v>
      </c>
      <c r="F1176" s="1" t="s">
        <v>2915</v>
      </c>
      <c r="G1176" s="1" t="s">
        <v>6434</v>
      </c>
      <c r="I1176" s="1" t="s">
        <v>78</v>
      </c>
      <c r="J1176" s="1" t="s">
        <v>6435</v>
      </c>
      <c r="K1176" s="1" t="s">
        <v>6436</v>
      </c>
      <c r="L1176" t="s">
        <v>91</v>
      </c>
      <c r="M1176" t="s">
        <v>91</v>
      </c>
      <c r="N1176" s="1" t="s">
        <v>6312</v>
      </c>
      <c r="O1176" t="s">
        <v>91</v>
      </c>
      <c r="P1176" s="1" t="s">
        <v>6437</v>
      </c>
      <c r="Q1176" s="1" t="s">
        <v>6438</v>
      </c>
      <c r="R1176" s="1" t="s">
        <v>370</v>
      </c>
      <c r="S1176">
        <v>1259</v>
      </c>
      <c r="T1176">
        <v>88125000</v>
      </c>
      <c r="U1176" s="1" t="s">
        <v>108</v>
      </c>
      <c r="V1176" s="1" t="s">
        <v>6439</v>
      </c>
      <c r="W1176" s="1" t="s">
        <v>87</v>
      </c>
      <c r="X1176">
        <v>48</v>
      </c>
      <c r="Y1176">
        <v>996758770</v>
      </c>
      <c r="Z1176" t="s">
        <v>91</v>
      </c>
      <c r="AA1176" t="s">
        <v>91</v>
      </c>
      <c r="AB1176" t="s">
        <v>91</v>
      </c>
      <c r="AC1176" t="s">
        <v>91</v>
      </c>
      <c r="AD1176" t="s">
        <v>91</v>
      </c>
      <c r="AE1176" t="s">
        <v>91</v>
      </c>
      <c r="AF1176" t="s">
        <v>91</v>
      </c>
      <c r="AG1176" s="1" t="s">
        <v>146</v>
      </c>
      <c r="AH1176" s="1" t="s">
        <v>91</v>
      </c>
      <c r="AI1176" t="s">
        <v>91</v>
      </c>
      <c r="AM1176" t="s">
        <v>91</v>
      </c>
      <c r="AN1176" t="s">
        <v>91</v>
      </c>
      <c r="AO1176" t="s">
        <v>91</v>
      </c>
      <c r="AP1176" t="s">
        <v>91</v>
      </c>
      <c r="AQ1176" s="1" t="s">
        <v>147</v>
      </c>
      <c r="AR1176" s="1" t="s">
        <v>147</v>
      </c>
      <c r="AS1176" s="1" t="s">
        <v>147</v>
      </c>
      <c r="AT1176" s="1" t="s">
        <v>147</v>
      </c>
      <c r="AU1176" s="1" t="s">
        <v>147</v>
      </c>
      <c r="AV1176" t="s">
        <v>91</v>
      </c>
      <c r="AW1176" t="s">
        <v>91</v>
      </c>
      <c r="AX1176" t="s">
        <v>91</v>
      </c>
      <c r="AY1176" t="s">
        <v>91</v>
      </c>
      <c r="AZ1176" t="s">
        <v>91</v>
      </c>
      <c r="BA1176" t="s">
        <v>91</v>
      </c>
      <c r="BB1176" s="2"/>
      <c r="BC1176" s="2">
        <v>44683.741238425922</v>
      </c>
      <c r="BD1176" t="s">
        <v>91</v>
      </c>
      <c r="BF1176" s="1" t="s">
        <v>75</v>
      </c>
      <c r="BH1176">
        <v>0</v>
      </c>
      <c r="BI1176" s="1" t="s">
        <v>88</v>
      </c>
      <c r="BJ1176">
        <v>1</v>
      </c>
      <c r="BK1176" s="1" t="s">
        <v>89</v>
      </c>
      <c r="BL1176" t="s">
        <v>91</v>
      </c>
      <c r="BM1176" s="1" t="s">
        <v>109</v>
      </c>
      <c r="BN1176" s="1" t="s">
        <v>110</v>
      </c>
      <c r="BO1176" s="1" t="s">
        <v>180</v>
      </c>
      <c r="BP1176" s="1" t="s">
        <v>91</v>
      </c>
      <c r="BQ1176" t="s">
        <v>91</v>
      </c>
      <c r="BR1176" s="3"/>
      <c r="BS1176" s="3">
        <v>44683</v>
      </c>
      <c r="BT1176" t="s">
        <v>91</v>
      </c>
      <c r="BU1176" t="s">
        <v>91</v>
      </c>
      <c r="BW1176" s="1" t="s">
        <v>419</v>
      </c>
    </row>
    <row r="1177" spans="1:75" hidden="1" x14ac:dyDescent="0.35">
      <c r="A1177">
        <v>135366</v>
      </c>
      <c r="B1177" s="1" t="s">
        <v>75</v>
      </c>
      <c r="C1177">
        <v>80</v>
      </c>
      <c r="D1177">
        <v>11121002</v>
      </c>
      <c r="E1177">
        <v>121002</v>
      </c>
      <c r="F1177" s="1" t="s">
        <v>2915</v>
      </c>
      <c r="G1177" s="1" t="s">
        <v>6440</v>
      </c>
      <c r="I1177" s="1" t="s">
        <v>78</v>
      </c>
      <c r="J1177" s="1" t="s">
        <v>6435</v>
      </c>
      <c r="K1177" s="1" t="s">
        <v>6441</v>
      </c>
      <c r="L1177" t="s">
        <v>91</v>
      </c>
      <c r="M1177" t="s">
        <v>91</v>
      </c>
      <c r="N1177" s="1" t="s">
        <v>6312</v>
      </c>
      <c r="O1177" t="s">
        <v>91</v>
      </c>
      <c r="P1177" s="1" t="s">
        <v>6442</v>
      </c>
      <c r="Q1177" s="1" t="s">
        <v>3406</v>
      </c>
      <c r="R1177" s="1" t="s">
        <v>91</v>
      </c>
      <c r="S1177">
        <v>1265</v>
      </c>
      <c r="T1177">
        <v>88490000</v>
      </c>
      <c r="U1177" s="1" t="s">
        <v>108</v>
      </c>
      <c r="V1177" s="1" t="s">
        <v>3329</v>
      </c>
      <c r="W1177" s="1" t="s">
        <v>87</v>
      </c>
      <c r="X1177">
        <v>48</v>
      </c>
      <c r="Y1177">
        <v>996758770</v>
      </c>
      <c r="Z1177" t="s">
        <v>91</v>
      </c>
      <c r="AA1177" t="s">
        <v>91</v>
      </c>
      <c r="AB1177" t="s">
        <v>91</v>
      </c>
      <c r="AC1177" t="s">
        <v>91</v>
      </c>
      <c r="AD1177" t="s">
        <v>91</v>
      </c>
      <c r="AE1177" t="s">
        <v>91</v>
      </c>
      <c r="AF1177" t="s">
        <v>91</v>
      </c>
      <c r="AG1177" s="1" t="s">
        <v>146</v>
      </c>
      <c r="AH1177" s="1" t="s">
        <v>91</v>
      </c>
      <c r="AI1177" t="s">
        <v>91</v>
      </c>
      <c r="AJ1177">
        <v>0</v>
      </c>
      <c r="AK1177">
        <v>0</v>
      </c>
      <c r="AL1177">
        <v>0</v>
      </c>
      <c r="AM1177" t="s">
        <v>91</v>
      </c>
      <c r="AN1177" t="s">
        <v>91</v>
      </c>
      <c r="AO1177" t="s">
        <v>91</v>
      </c>
      <c r="AP1177" t="s">
        <v>91</v>
      </c>
      <c r="AQ1177" s="1" t="s">
        <v>147</v>
      </c>
      <c r="AR1177" s="1" t="s">
        <v>147</v>
      </c>
      <c r="AS1177" s="1" t="s">
        <v>147</v>
      </c>
      <c r="AT1177" s="1" t="s">
        <v>147</v>
      </c>
      <c r="AU1177" s="1" t="s">
        <v>147</v>
      </c>
      <c r="AV1177" t="s">
        <v>91</v>
      </c>
      <c r="AW1177" t="s">
        <v>91</v>
      </c>
      <c r="AX1177" t="s">
        <v>91</v>
      </c>
      <c r="AY1177" t="s">
        <v>91</v>
      </c>
      <c r="AZ1177" t="s">
        <v>91</v>
      </c>
      <c r="BA1177" t="s">
        <v>91</v>
      </c>
      <c r="BB1177" s="2"/>
      <c r="BC1177" s="2">
        <v>44678.721307870372</v>
      </c>
      <c r="BD1177" t="s">
        <v>91</v>
      </c>
      <c r="BF1177" s="1" t="s">
        <v>75</v>
      </c>
      <c r="BG1177">
        <v>0</v>
      </c>
      <c r="BH1177">
        <v>0</v>
      </c>
      <c r="BI1177" s="1" t="s">
        <v>88</v>
      </c>
      <c r="BJ1177">
        <v>1</v>
      </c>
      <c r="BK1177" s="1" t="s">
        <v>89</v>
      </c>
      <c r="BL1177" t="s">
        <v>91</v>
      </c>
      <c r="BM1177" s="1" t="s">
        <v>109</v>
      </c>
      <c r="BN1177" s="1" t="s">
        <v>110</v>
      </c>
      <c r="BO1177" s="1" t="s">
        <v>180</v>
      </c>
      <c r="BP1177" s="1" t="s">
        <v>91</v>
      </c>
      <c r="BQ1177" t="s">
        <v>91</v>
      </c>
      <c r="BR1177" s="3"/>
      <c r="BS1177" s="3">
        <v>44678</v>
      </c>
      <c r="BT1177" t="s">
        <v>91</v>
      </c>
      <c r="BU1177" t="s">
        <v>91</v>
      </c>
      <c r="BV1177">
        <v>9</v>
      </c>
      <c r="BW1177" s="1" t="s">
        <v>419</v>
      </c>
    </row>
    <row r="1178" spans="1:75" hidden="1" x14ac:dyDescent="0.35">
      <c r="A1178">
        <v>157603</v>
      </c>
      <c r="B1178" s="1" t="s">
        <v>75</v>
      </c>
      <c r="C1178">
        <v>80</v>
      </c>
      <c r="D1178">
        <v>11121002</v>
      </c>
      <c r="E1178">
        <v>121002</v>
      </c>
      <c r="F1178" s="1" t="s">
        <v>2915</v>
      </c>
      <c r="G1178" s="1" t="s">
        <v>6443</v>
      </c>
      <c r="H1178">
        <v>0</v>
      </c>
      <c r="I1178" s="1" t="s">
        <v>78</v>
      </c>
      <c r="J1178" s="1" t="s">
        <v>6444</v>
      </c>
      <c r="K1178" s="1" t="s">
        <v>6445</v>
      </c>
      <c r="L1178" t="s">
        <v>91</v>
      </c>
      <c r="M1178" t="s">
        <v>91</v>
      </c>
      <c r="N1178" s="1" t="s">
        <v>6446</v>
      </c>
      <c r="O1178" t="s">
        <v>91</v>
      </c>
      <c r="P1178" s="1" t="s">
        <v>6447</v>
      </c>
      <c r="Q1178" s="1" t="s">
        <v>5019</v>
      </c>
      <c r="R1178" s="1" t="s">
        <v>107</v>
      </c>
      <c r="S1178">
        <v>1266</v>
      </c>
      <c r="T1178">
        <v>88523000</v>
      </c>
      <c r="U1178" s="1" t="s">
        <v>3563</v>
      </c>
      <c r="V1178" s="1" t="s">
        <v>3335</v>
      </c>
      <c r="W1178" s="1" t="s">
        <v>87</v>
      </c>
      <c r="X1178">
        <v>49</v>
      </c>
      <c r="Y1178">
        <v>32238941</v>
      </c>
      <c r="Z1178" t="s">
        <v>91</v>
      </c>
      <c r="AA1178" t="s">
        <v>91</v>
      </c>
      <c r="AB1178" t="s">
        <v>91</v>
      </c>
      <c r="AC1178" t="s">
        <v>91</v>
      </c>
      <c r="AD1178" t="s">
        <v>91</v>
      </c>
      <c r="AE1178" t="s">
        <v>91</v>
      </c>
      <c r="AF1178" t="s">
        <v>91</v>
      </c>
      <c r="AG1178" s="1" t="s">
        <v>91</v>
      </c>
      <c r="AH1178" s="1" t="s">
        <v>91</v>
      </c>
      <c r="AI1178" t="s">
        <v>91</v>
      </c>
      <c r="AM1178" t="s">
        <v>91</v>
      </c>
      <c r="AN1178" t="s">
        <v>91</v>
      </c>
      <c r="AO1178" t="s">
        <v>91</v>
      </c>
      <c r="AP1178" t="s">
        <v>91</v>
      </c>
      <c r="AQ1178" s="1" t="s">
        <v>91</v>
      </c>
      <c r="AR1178" s="1" t="s">
        <v>91</v>
      </c>
      <c r="AS1178" s="1" t="s">
        <v>91</v>
      </c>
      <c r="AT1178" s="1" t="s">
        <v>91</v>
      </c>
      <c r="AU1178" s="1" t="s">
        <v>91</v>
      </c>
      <c r="AV1178" t="s">
        <v>91</v>
      </c>
      <c r="AW1178" t="s">
        <v>91</v>
      </c>
      <c r="AX1178" t="s">
        <v>91</v>
      </c>
      <c r="AY1178" t="s">
        <v>91</v>
      </c>
      <c r="AZ1178" t="s">
        <v>91</v>
      </c>
      <c r="BA1178" t="s">
        <v>91</v>
      </c>
      <c r="BB1178" s="2">
        <v>45118.097175925926</v>
      </c>
      <c r="BC1178" s="2"/>
      <c r="BD1178" t="s">
        <v>91</v>
      </c>
      <c r="BF1178" s="1" t="s">
        <v>75</v>
      </c>
      <c r="BI1178" s="1" t="s">
        <v>88</v>
      </c>
      <c r="BJ1178">
        <v>1</v>
      </c>
      <c r="BK1178" s="1" t="s">
        <v>89</v>
      </c>
      <c r="BL1178" t="s">
        <v>91</v>
      </c>
      <c r="BM1178" s="1" t="s">
        <v>91</v>
      </c>
      <c r="BN1178" s="1" t="s">
        <v>91</v>
      </c>
      <c r="BO1178" s="1" t="s">
        <v>91</v>
      </c>
      <c r="BP1178" s="1" t="s">
        <v>91</v>
      </c>
      <c r="BQ1178" t="s">
        <v>91</v>
      </c>
      <c r="BR1178" s="3">
        <v>45118</v>
      </c>
      <c r="BS1178" s="3"/>
      <c r="BT1178" t="s">
        <v>91</v>
      </c>
      <c r="BU1178" t="s">
        <v>91</v>
      </c>
      <c r="BW1178" s="1" t="s">
        <v>90</v>
      </c>
    </row>
    <row r="1179" spans="1:75" hidden="1" x14ac:dyDescent="0.35">
      <c r="A1179">
        <v>488</v>
      </c>
      <c r="B1179" s="1" t="s">
        <v>75</v>
      </c>
      <c r="C1179">
        <v>80</v>
      </c>
      <c r="D1179">
        <v>11121002</v>
      </c>
      <c r="E1179">
        <v>121002</v>
      </c>
      <c r="F1179" s="1" t="s">
        <v>2915</v>
      </c>
      <c r="G1179" s="1" t="s">
        <v>6448</v>
      </c>
      <c r="I1179" s="1" t="s">
        <v>78</v>
      </c>
      <c r="J1179" s="1" t="s">
        <v>6449</v>
      </c>
      <c r="K1179" s="1" t="s">
        <v>6450</v>
      </c>
      <c r="L1179" t="s">
        <v>91</v>
      </c>
      <c r="M1179" t="s">
        <v>91</v>
      </c>
      <c r="N1179" s="1" t="s">
        <v>4295</v>
      </c>
      <c r="O1179" t="s">
        <v>91</v>
      </c>
      <c r="P1179" s="1" t="s">
        <v>311</v>
      </c>
      <c r="Q1179" s="1" t="s">
        <v>3064</v>
      </c>
      <c r="R1179" s="1" t="s">
        <v>6451</v>
      </c>
      <c r="S1179">
        <v>1254</v>
      </c>
      <c r="T1179">
        <v>88010000</v>
      </c>
      <c r="U1179" s="1" t="s">
        <v>108</v>
      </c>
      <c r="V1179" s="1" t="s">
        <v>3102</v>
      </c>
      <c r="W1179" s="1" t="s">
        <v>87</v>
      </c>
      <c r="X1179">
        <v>48</v>
      </c>
      <c r="Y1179">
        <v>32228352</v>
      </c>
      <c r="Z1179" t="s">
        <v>91</v>
      </c>
      <c r="AA1179" t="s">
        <v>91</v>
      </c>
      <c r="AB1179" t="s">
        <v>91</v>
      </c>
      <c r="AC1179" t="s">
        <v>91</v>
      </c>
      <c r="AD1179" t="s">
        <v>91</v>
      </c>
      <c r="AE1179" t="s">
        <v>91</v>
      </c>
      <c r="AF1179" t="s">
        <v>91</v>
      </c>
      <c r="AG1179" s="1" t="s">
        <v>91</v>
      </c>
      <c r="AH1179" s="1" t="s">
        <v>91</v>
      </c>
      <c r="AI1179" t="s">
        <v>91</v>
      </c>
      <c r="AJ1179">
        <v>0</v>
      </c>
      <c r="AK1179">
        <v>0</v>
      </c>
      <c r="AL1179">
        <v>0</v>
      </c>
      <c r="AM1179" t="s">
        <v>91</v>
      </c>
      <c r="AN1179" t="s">
        <v>91</v>
      </c>
      <c r="AO1179" t="s">
        <v>91</v>
      </c>
      <c r="AP1179" t="s">
        <v>91</v>
      </c>
      <c r="AQ1179" s="1" t="s">
        <v>91</v>
      </c>
      <c r="AR1179" s="1" t="s">
        <v>91</v>
      </c>
      <c r="AS1179" s="1" t="s">
        <v>91</v>
      </c>
      <c r="AT1179" s="1" t="s">
        <v>91</v>
      </c>
      <c r="AU1179" s="1" t="s">
        <v>91</v>
      </c>
      <c r="AV1179" t="s">
        <v>91</v>
      </c>
      <c r="AW1179" t="s">
        <v>91</v>
      </c>
      <c r="AX1179" t="s">
        <v>91</v>
      </c>
      <c r="AY1179" t="s">
        <v>91</v>
      </c>
      <c r="AZ1179" t="s">
        <v>91</v>
      </c>
      <c r="BA1179" t="s">
        <v>91</v>
      </c>
      <c r="BB1179" s="2">
        <v>43308.392870370371</v>
      </c>
      <c r="BC1179" s="2"/>
      <c r="BD1179" t="s">
        <v>91</v>
      </c>
      <c r="BE1179">
        <v>488</v>
      </c>
      <c r="BF1179" s="1" t="s">
        <v>75</v>
      </c>
      <c r="BG1179">
        <v>0</v>
      </c>
      <c r="BH1179">
        <v>0</v>
      </c>
      <c r="BI1179" s="1" t="s">
        <v>88</v>
      </c>
      <c r="BJ1179">
        <v>1</v>
      </c>
      <c r="BK1179" s="1" t="s">
        <v>89</v>
      </c>
      <c r="BL1179" t="s">
        <v>91</v>
      </c>
      <c r="BM1179" s="1" t="s">
        <v>109</v>
      </c>
      <c r="BN1179" s="1" t="s">
        <v>110</v>
      </c>
      <c r="BO1179" s="1" t="s">
        <v>128</v>
      </c>
      <c r="BP1179" s="1" t="s">
        <v>91</v>
      </c>
      <c r="BQ1179" t="s">
        <v>91</v>
      </c>
      <c r="BR1179" s="3">
        <v>43308</v>
      </c>
      <c r="BS1179" s="3"/>
      <c r="BT1179" t="s">
        <v>91</v>
      </c>
      <c r="BU1179" t="s">
        <v>91</v>
      </c>
      <c r="BV1179">
        <v>5</v>
      </c>
      <c r="BW1179" s="1" t="s">
        <v>90</v>
      </c>
    </row>
    <row r="1180" spans="1:75" hidden="1" x14ac:dyDescent="0.35">
      <c r="A1180">
        <v>134231</v>
      </c>
      <c r="B1180" s="1" t="s">
        <v>75</v>
      </c>
      <c r="C1180">
        <v>80</v>
      </c>
      <c r="D1180">
        <v>11121002</v>
      </c>
      <c r="E1180">
        <v>121002</v>
      </c>
      <c r="F1180" s="1" t="s">
        <v>2915</v>
      </c>
      <c r="G1180" s="1" t="s">
        <v>6452</v>
      </c>
      <c r="I1180" s="1" t="s">
        <v>78</v>
      </c>
      <c r="J1180" s="1" t="s">
        <v>6453</v>
      </c>
      <c r="K1180" s="1" t="s">
        <v>6454</v>
      </c>
      <c r="L1180" t="s">
        <v>91</v>
      </c>
      <c r="M1180" t="s">
        <v>91</v>
      </c>
      <c r="N1180" s="1" t="s">
        <v>6455</v>
      </c>
      <c r="O1180" t="s">
        <v>91</v>
      </c>
      <c r="P1180" s="1" t="s">
        <v>3031</v>
      </c>
      <c r="Q1180" s="1" t="s">
        <v>3032</v>
      </c>
      <c r="R1180" s="1" t="s">
        <v>6318</v>
      </c>
      <c r="S1180">
        <v>1255</v>
      </c>
      <c r="T1180">
        <v>88015530</v>
      </c>
      <c r="U1180" s="1" t="s">
        <v>108</v>
      </c>
      <c r="V1180" s="1" t="s">
        <v>3102</v>
      </c>
      <c r="W1180" s="1" t="s">
        <v>87</v>
      </c>
      <c r="X1180">
        <v>48</v>
      </c>
      <c r="Y1180">
        <v>30256551</v>
      </c>
      <c r="Z1180" t="s">
        <v>91</v>
      </c>
      <c r="AA1180" t="s">
        <v>91</v>
      </c>
      <c r="AB1180" t="s">
        <v>91</v>
      </c>
      <c r="AC1180" t="s">
        <v>91</v>
      </c>
      <c r="AD1180" t="s">
        <v>91</v>
      </c>
      <c r="AE1180" t="s">
        <v>91</v>
      </c>
      <c r="AF1180" t="s">
        <v>91</v>
      </c>
      <c r="AG1180" s="1" t="s">
        <v>146</v>
      </c>
      <c r="AH1180" s="1" t="s">
        <v>91</v>
      </c>
      <c r="AI1180" t="s">
        <v>91</v>
      </c>
      <c r="AJ1180">
        <v>0</v>
      </c>
      <c r="AK1180">
        <v>0</v>
      </c>
      <c r="AL1180">
        <v>0</v>
      </c>
      <c r="AM1180" t="s">
        <v>91</v>
      </c>
      <c r="AN1180" t="s">
        <v>91</v>
      </c>
      <c r="AO1180" t="s">
        <v>91</v>
      </c>
      <c r="AP1180" t="s">
        <v>91</v>
      </c>
      <c r="AQ1180" s="1" t="s">
        <v>147</v>
      </c>
      <c r="AR1180" s="1" t="s">
        <v>147</v>
      </c>
      <c r="AS1180" s="1" t="s">
        <v>147</v>
      </c>
      <c r="AT1180" s="1" t="s">
        <v>147</v>
      </c>
      <c r="AU1180" s="1" t="s">
        <v>147</v>
      </c>
      <c r="AV1180" t="s">
        <v>91</v>
      </c>
      <c r="AW1180" t="s">
        <v>91</v>
      </c>
      <c r="AX1180" t="s">
        <v>91</v>
      </c>
      <c r="AY1180" t="s">
        <v>91</v>
      </c>
      <c r="AZ1180" t="s">
        <v>91</v>
      </c>
      <c r="BA1180" t="s">
        <v>91</v>
      </c>
      <c r="BB1180" s="2"/>
      <c r="BC1180" s="2">
        <v>44669.657222222224</v>
      </c>
      <c r="BD1180" t="s">
        <v>91</v>
      </c>
      <c r="BF1180" s="1" t="s">
        <v>75</v>
      </c>
      <c r="BG1180">
        <v>0</v>
      </c>
      <c r="BH1180">
        <v>0</v>
      </c>
      <c r="BI1180" s="1" t="s">
        <v>88</v>
      </c>
      <c r="BJ1180">
        <v>1</v>
      </c>
      <c r="BK1180" s="1" t="s">
        <v>89</v>
      </c>
      <c r="BL1180" t="s">
        <v>91</v>
      </c>
      <c r="BM1180" s="1" t="s">
        <v>109</v>
      </c>
      <c r="BN1180" s="1" t="s">
        <v>110</v>
      </c>
      <c r="BO1180" s="1" t="s">
        <v>165</v>
      </c>
      <c r="BP1180" s="1" t="s">
        <v>91</v>
      </c>
      <c r="BQ1180" t="s">
        <v>91</v>
      </c>
      <c r="BR1180" s="3"/>
      <c r="BS1180" s="3">
        <v>44669</v>
      </c>
      <c r="BT1180" t="s">
        <v>91</v>
      </c>
      <c r="BU1180" t="s">
        <v>91</v>
      </c>
      <c r="BV1180">
        <v>9</v>
      </c>
      <c r="BW1180" s="1" t="s">
        <v>3487</v>
      </c>
    </row>
    <row r="1181" spans="1:75" hidden="1" x14ac:dyDescent="0.35">
      <c r="A1181">
        <v>157639</v>
      </c>
      <c r="B1181" s="1" t="s">
        <v>75</v>
      </c>
      <c r="C1181">
        <v>80</v>
      </c>
      <c r="D1181">
        <v>11121002</v>
      </c>
      <c r="E1181">
        <v>121002</v>
      </c>
      <c r="F1181" s="1" t="s">
        <v>2915</v>
      </c>
      <c r="G1181" s="1" t="s">
        <v>6456</v>
      </c>
      <c r="H1181">
        <v>0</v>
      </c>
      <c r="I1181" s="1" t="s">
        <v>78</v>
      </c>
      <c r="J1181" s="1" t="s">
        <v>6457</v>
      </c>
      <c r="K1181" s="1" t="s">
        <v>6458</v>
      </c>
      <c r="L1181" t="s">
        <v>91</v>
      </c>
      <c r="M1181" t="s">
        <v>91</v>
      </c>
      <c r="N1181" s="1" t="s">
        <v>6459</v>
      </c>
      <c r="O1181" t="s">
        <v>91</v>
      </c>
      <c r="P1181" s="1" t="s">
        <v>6460</v>
      </c>
      <c r="Q1181" s="1" t="s">
        <v>2167</v>
      </c>
      <c r="R1181" s="1" t="s">
        <v>6461</v>
      </c>
      <c r="S1181">
        <v>1270</v>
      </c>
      <c r="T1181">
        <v>88960000</v>
      </c>
      <c r="U1181" s="1" t="s">
        <v>3474</v>
      </c>
      <c r="V1181" s="1" t="s">
        <v>3694</v>
      </c>
      <c r="W1181" s="1" t="s">
        <v>87</v>
      </c>
      <c r="X1181">
        <v>48</v>
      </c>
      <c r="Y1181">
        <v>988610400</v>
      </c>
      <c r="Z1181" t="s">
        <v>91</v>
      </c>
      <c r="AA1181" t="s">
        <v>91</v>
      </c>
      <c r="AB1181" t="s">
        <v>91</v>
      </c>
      <c r="AC1181" t="s">
        <v>91</v>
      </c>
      <c r="AD1181" t="s">
        <v>91</v>
      </c>
      <c r="AE1181" t="s">
        <v>91</v>
      </c>
      <c r="AF1181" t="s">
        <v>91</v>
      </c>
      <c r="AG1181" s="1" t="s">
        <v>91</v>
      </c>
      <c r="AH1181" s="1" t="s">
        <v>91</v>
      </c>
      <c r="AI1181" t="s">
        <v>91</v>
      </c>
      <c r="AM1181" t="s">
        <v>91</v>
      </c>
      <c r="AN1181" t="s">
        <v>91</v>
      </c>
      <c r="AO1181" t="s">
        <v>91</v>
      </c>
      <c r="AP1181" t="s">
        <v>91</v>
      </c>
      <c r="AQ1181" s="1" t="s">
        <v>91</v>
      </c>
      <c r="AR1181" s="1" t="s">
        <v>91</v>
      </c>
      <c r="AS1181" s="1" t="s">
        <v>91</v>
      </c>
      <c r="AT1181" s="1" t="s">
        <v>91</v>
      </c>
      <c r="AU1181" s="1" t="s">
        <v>91</v>
      </c>
      <c r="AV1181" t="s">
        <v>91</v>
      </c>
      <c r="AW1181" t="s">
        <v>91</v>
      </c>
      <c r="AX1181" t="s">
        <v>91</v>
      </c>
      <c r="AY1181" t="s">
        <v>91</v>
      </c>
      <c r="AZ1181" t="s">
        <v>91</v>
      </c>
      <c r="BA1181" t="s">
        <v>91</v>
      </c>
      <c r="BB1181" s="2">
        <v>45118.097175925926</v>
      </c>
      <c r="BC1181" s="2"/>
      <c r="BD1181" t="s">
        <v>91</v>
      </c>
      <c r="BF1181" s="1" t="s">
        <v>75</v>
      </c>
      <c r="BI1181" s="1" t="s">
        <v>88</v>
      </c>
      <c r="BJ1181">
        <v>1</v>
      </c>
      <c r="BK1181" s="1" t="s">
        <v>89</v>
      </c>
      <c r="BL1181" t="s">
        <v>91</v>
      </c>
      <c r="BM1181" s="1" t="s">
        <v>91</v>
      </c>
      <c r="BN1181" s="1" t="s">
        <v>91</v>
      </c>
      <c r="BO1181" s="1" t="s">
        <v>91</v>
      </c>
      <c r="BP1181" s="1" t="s">
        <v>91</v>
      </c>
      <c r="BQ1181" t="s">
        <v>91</v>
      </c>
      <c r="BR1181" s="3">
        <v>45118</v>
      </c>
      <c r="BS1181" s="3"/>
      <c r="BT1181" t="s">
        <v>91</v>
      </c>
      <c r="BU1181" t="s">
        <v>91</v>
      </c>
      <c r="BW1181" s="1" t="s">
        <v>3096</v>
      </c>
    </row>
    <row r="1182" spans="1:75" hidden="1" x14ac:dyDescent="0.35">
      <c r="A1182">
        <v>144629</v>
      </c>
      <c r="B1182" s="1" t="s">
        <v>75</v>
      </c>
      <c r="C1182">
        <v>80</v>
      </c>
      <c r="D1182">
        <v>11121002</v>
      </c>
      <c r="E1182">
        <v>121002</v>
      </c>
      <c r="F1182" s="1" t="s">
        <v>2915</v>
      </c>
      <c r="G1182" s="1" t="s">
        <v>6462</v>
      </c>
      <c r="I1182" s="1" t="s">
        <v>78</v>
      </c>
      <c r="J1182" s="1" t="s">
        <v>6457</v>
      </c>
      <c r="K1182" s="1" t="s">
        <v>6463</v>
      </c>
      <c r="L1182" t="s">
        <v>91</v>
      </c>
      <c r="M1182" t="s">
        <v>91</v>
      </c>
      <c r="N1182" s="1" t="s">
        <v>6464</v>
      </c>
      <c r="O1182" t="s">
        <v>91</v>
      </c>
      <c r="P1182" s="1" t="s">
        <v>6465</v>
      </c>
      <c r="Q1182" s="1" t="s">
        <v>2834</v>
      </c>
      <c r="R1182" s="1" t="s">
        <v>6466</v>
      </c>
      <c r="S1182">
        <v>1270</v>
      </c>
      <c r="T1182">
        <v>88960000</v>
      </c>
      <c r="U1182" s="1" t="s">
        <v>108</v>
      </c>
      <c r="V1182" s="1" t="s">
        <v>3694</v>
      </c>
      <c r="W1182" s="1" t="s">
        <v>87</v>
      </c>
      <c r="X1182">
        <v>48</v>
      </c>
      <c r="Y1182">
        <v>98423126</v>
      </c>
      <c r="Z1182" t="s">
        <v>91</v>
      </c>
      <c r="AA1182" t="s">
        <v>91</v>
      </c>
      <c r="AB1182" t="s">
        <v>91</v>
      </c>
      <c r="AC1182" t="s">
        <v>91</v>
      </c>
      <c r="AD1182" t="s">
        <v>91</v>
      </c>
      <c r="AE1182" t="s">
        <v>91</v>
      </c>
      <c r="AF1182" t="s">
        <v>91</v>
      </c>
      <c r="AG1182" s="1" t="s">
        <v>91</v>
      </c>
      <c r="AH1182" s="1" t="s">
        <v>91</v>
      </c>
      <c r="AI1182" t="s">
        <v>91</v>
      </c>
      <c r="AJ1182">
        <v>0</v>
      </c>
      <c r="AK1182">
        <v>0</v>
      </c>
      <c r="AL1182">
        <v>0</v>
      </c>
      <c r="AM1182" t="s">
        <v>91</v>
      </c>
      <c r="AN1182" t="s">
        <v>91</v>
      </c>
      <c r="AO1182" t="s">
        <v>91</v>
      </c>
      <c r="AP1182" t="s">
        <v>91</v>
      </c>
      <c r="AQ1182" s="1" t="s">
        <v>91</v>
      </c>
      <c r="AR1182" s="1" t="s">
        <v>91</v>
      </c>
      <c r="AS1182" s="1" t="s">
        <v>91</v>
      </c>
      <c r="AT1182" s="1" t="s">
        <v>91</v>
      </c>
      <c r="AU1182" s="1" t="s">
        <v>91</v>
      </c>
      <c r="AV1182" t="s">
        <v>91</v>
      </c>
      <c r="AW1182" t="s">
        <v>91</v>
      </c>
      <c r="AX1182" t="s">
        <v>91</v>
      </c>
      <c r="AY1182" t="s">
        <v>91</v>
      </c>
      <c r="AZ1182" t="s">
        <v>91</v>
      </c>
      <c r="BA1182" t="s">
        <v>91</v>
      </c>
      <c r="BB1182" s="2"/>
      <c r="BC1182" s="2"/>
      <c r="BD1182" t="s">
        <v>91</v>
      </c>
      <c r="BF1182" s="1" t="s">
        <v>75</v>
      </c>
      <c r="BG1182">
        <v>0</v>
      </c>
      <c r="BH1182">
        <v>0</v>
      </c>
      <c r="BI1182" s="1" t="s">
        <v>88</v>
      </c>
      <c r="BJ1182">
        <v>1</v>
      </c>
      <c r="BK1182" s="1" t="s">
        <v>89</v>
      </c>
      <c r="BL1182" t="s">
        <v>91</v>
      </c>
      <c r="BM1182" s="1" t="s">
        <v>109</v>
      </c>
      <c r="BN1182" s="1" t="s">
        <v>110</v>
      </c>
      <c r="BO1182" s="1" t="s">
        <v>1040</v>
      </c>
      <c r="BP1182" s="1" t="s">
        <v>91</v>
      </c>
      <c r="BQ1182" t="s">
        <v>91</v>
      </c>
      <c r="BR1182" s="3"/>
      <c r="BS1182" s="3"/>
      <c r="BT1182" t="s">
        <v>91</v>
      </c>
      <c r="BU1182" t="s">
        <v>91</v>
      </c>
      <c r="BV1182">
        <v>9</v>
      </c>
      <c r="BW1182" s="1" t="s">
        <v>478</v>
      </c>
    </row>
    <row r="1183" spans="1:75" hidden="1" x14ac:dyDescent="0.35">
      <c r="A1183">
        <v>156916</v>
      </c>
      <c r="B1183" s="1" t="s">
        <v>75</v>
      </c>
      <c r="C1183">
        <v>80</v>
      </c>
      <c r="D1183">
        <v>11121002</v>
      </c>
      <c r="E1183">
        <v>121002</v>
      </c>
      <c r="F1183" s="1" t="s">
        <v>2915</v>
      </c>
      <c r="G1183" s="1" t="s">
        <v>6467</v>
      </c>
      <c r="H1183">
        <v>0</v>
      </c>
      <c r="I1183" s="1" t="s">
        <v>78</v>
      </c>
      <c r="J1183" s="1" t="s">
        <v>6457</v>
      </c>
      <c r="K1183" s="1" t="s">
        <v>6468</v>
      </c>
      <c r="L1183" t="s">
        <v>91</v>
      </c>
      <c r="M1183" t="s">
        <v>91</v>
      </c>
      <c r="N1183" s="1" t="s">
        <v>6459</v>
      </c>
      <c r="O1183" t="s">
        <v>91</v>
      </c>
      <c r="P1183" s="1" t="s">
        <v>3497</v>
      </c>
      <c r="Q1183" s="1" t="s">
        <v>3498</v>
      </c>
      <c r="R1183" s="1" t="s">
        <v>6469</v>
      </c>
      <c r="T1183">
        <v>88901004</v>
      </c>
      <c r="U1183" s="1" t="s">
        <v>3500</v>
      </c>
      <c r="V1183" s="1" t="s">
        <v>3095</v>
      </c>
      <c r="W1183" s="1" t="s">
        <v>87</v>
      </c>
      <c r="X1183">
        <v>48</v>
      </c>
      <c r="Y1183">
        <v>988610400</v>
      </c>
      <c r="Z1183" t="s">
        <v>91</v>
      </c>
      <c r="AA1183" t="s">
        <v>91</v>
      </c>
      <c r="AB1183" t="s">
        <v>91</v>
      </c>
      <c r="AC1183" t="s">
        <v>91</v>
      </c>
      <c r="AD1183" t="s">
        <v>91</v>
      </c>
      <c r="AE1183" t="s">
        <v>91</v>
      </c>
      <c r="AF1183" t="s">
        <v>91</v>
      </c>
      <c r="AG1183" s="1" t="s">
        <v>91</v>
      </c>
      <c r="AH1183" s="1" t="s">
        <v>91</v>
      </c>
      <c r="AI1183" t="s">
        <v>91</v>
      </c>
      <c r="AM1183" t="s">
        <v>91</v>
      </c>
      <c r="AN1183" t="s">
        <v>91</v>
      </c>
      <c r="AO1183" t="s">
        <v>91</v>
      </c>
      <c r="AP1183" t="s">
        <v>91</v>
      </c>
      <c r="AQ1183" s="1" t="s">
        <v>91</v>
      </c>
      <c r="AR1183" s="1" t="s">
        <v>91</v>
      </c>
      <c r="AS1183" s="1" t="s">
        <v>91</v>
      </c>
      <c r="AT1183" s="1" t="s">
        <v>91</v>
      </c>
      <c r="AU1183" s="1" t="s">
        <v>91</v>
      </c>
      <c r="AV1183" t="s">
        <v>91</v>
      </c>
      <c r="AW1183" t="s">
        <v>91</v>
      </c>
      <c r="AX1183" t="s">
        <v>91</v>
      </c>
      <c r="AY1183" t="s">
        <v>91</v>
      </c>
      <c r="AZ1183" t="s">
        <v>91</v>
      </c>
      <c r="BA1183" t="s">
        <v>91</v>
      </c>
      <c r="BB1183" s="2">
        <v>45113.505416666667</v>
      </c>
      <c r="BC1183" s="2"/>
      <c r="BD1183" t="s">
        <v>91</v>
      </c>
      <c r="BF1183" s="1" t="s">
        <v>75</v>
      </c>
      <c r="BI1183" s="1" t="s">
        <v>88</v>
      </c>
      <c r="BJ1183">
        <v>1</v>
      </c>
      <c r="BK1183" s="1" t="s">
        <v>89</v>
      </c>
      <c r="BL1183" t="s">
        <v>91</v>
      </c>
      <c r="BM1183" s="1" t="s">
        <v>91</v>
      </c>
      <c r="BN1183" s="1" t="s">
        <v>91</v>
      </c>
      <c r="BO1183" s="1" t="s">
        <v>91</v>
      </c>
      <c r="BP1183" s="1" t="s">
        <v>91</v>
      </c>
      <c r="BQ1183" t="s">
        <v>91</v>
      </c>
      <c r="BR1183" s="3">
        <v>45113</v>
      </c>
      <c r="BS1183" s="3"/>
      <c r="BT1183" t="s">
        <v>91</v>
      </c>
      <c r="BU1183" t="s">
        <v>91</v>
      </c>
      <c r="BW1183" s="1" t="s">
        <v>1330</v>
      </c>
    </row>
    <row r="1184" spans="1:75" hidden="1" x14ac:dyDescent="0.35">
      <c r="A1184">
        <v>144349</v>
      </c>
      <c r="B1184" s="1" t="s">
        <v>75</v>
      </c>
      <c r="C1184">
        <v>80</v>
      </c>
      <c r="D1184">
        <v>11121002</v>
      </c>
      <c r="E1184">
        <v>121002</v>
      </c>
      <c r="F1184" s="1" t="s">
        <v>2915</v>
      </c>
      <c r="G1184" s="1" t="s">
        <v>6470</v>
      </c>
      <c r="I1184" s="1" t="s">
        <v>78</v>
      </c>
      <c r="J1184" s="1" t="s">
        <v>6471</v>
      </c>
      <c r="K1184" s="1" t="s">
        <v>6472</v>
      </c>
      <c r="L1184" t="s">
        <v>91</v>
      </c>
      <c r="M1184" t="s">
        <v>91</v>
      </c>
      <c r="N1184" s="1" t="s">
        <v>6473</v>
      </c>
      <c r="O1184" t="s">
        <v>91</v>
      </c>
      <c r="P1184" s="1" t="s">
        <v>6474</v>
      </c>
      <c r="Q1184" s="1" t="s">
        <v>3202</v>
      </c>
      <c r="R1184" s="1" t="s">
        <v>6475</v>
      </c>
      <c r="S1184">
        <v>1270</v>
      </c>
      <c r="T1184">
        <v>88960000</v>
      </c>
      <c r="U1184" s="1" t="s">
        <v>108</v>
      </c>
      <c r="V1184" s="1" t="s">
        <v>3694</v>
      </c>
      <c r="W1184" s="1" t="s">
        <v>87</v>
      </c>
      <c r="X1184">
        <v>48</v>
      </c>
      <c r="Y1184">
        <v>35335133</v>
      </c>
      <c r="Z1184" t="s">
        <v>91</v>
      </c>
      <c r="AA1184" t="s">
        <v>91</v>
      </c>
      <c r="AB1184" t="s">
        <v>91</v>
      </c>
      <c r="AC1184" t="s">
        <v>91</v>
      </c>
      <c r="AD1184" t="s">
        <v>91</v>
      </c>
      <c r="AE1184" t="s">
        <v>91</v>
      </c>
      <c r="AF1184" t="s">
        <v>91</v>
      </c>
      <c r="AG1184" s="1" t="s">
        <v>91</v>
      </c>
      <c r="AH1184" s="1" t="s">
        <v>91</v>
      </c>
      <c r="AI1184" t="s">
        <v>91</v>
      </c>
      <c r="AJ1184">
        <v>0</v>
      </c>
      <c r="AK1184">
        <v>0</v>
      </c>
      <c r="AL1184">
        <v>0</v>
      </c>
      <c r="AM1184" t="s">
        <v>91</v>
      </c>
      <c r="AN1184" t="s">
        <v>91</v>
      </c>
      <c r="AO1184" t="s">
        <v>91</v>
      </c>
      <c r="AP1184" t="s">
        <v>91</v>
      </c>
      <c r="AQ1184" s="1" t="s">
        <v>91</v>
      </c>
      <c r="AR1184" s="1" t="s">
        <v>91</v>
      </c>
      <c r="AS1184" s="1" t="s">
        <v>91</v>
      </c>
      <c r="AT1184" s="1" t="s">
        <v>91</v>
      </c>
      <c r="AU1184" s="1" t="s">
        <v>91</v>
      </c>
      <c r="AV1184" t="s">
        <v>91</v>
      </c>
      <c r="AW1184" t="s">
        <v>91</v>
      </c>
      <c r="AX1184" t="s">
        <v>91</v>
      </c>
      <c r="AY1184" t="s">
        <v>91</v>
      </c>
      <c r="AZ1184" t="s">
        <v>91</v>
      </c>
      <c r="BA1184" t="s">
        <v>91</v>
      </c>
      <c r="BB1184" s="2"/>
      <c r="BC1184" s="2"/>
      <c r="BD1184" t="s">
        <v>91</v>
      </c>
      <c r="BF1184" s="1" t="s">
        <v>75</v>
      </c>
      <c r="BG1184">
        <v>0</v>
      </c>
      <c r="BH1184">
        <v>0</v>
      </c>
      <c r="BI1184" s="1" t="s">
        <v>88</v>
      </c>
      <c r="BJ1184">
        <v>1</v>
      </c>
      <c r="BK1184" s="1" t="s">
        <v>89</v>
      </c>
      <c r="BL1184" t="s">
        <v>91</v>
      </c>
      <c r="BM1184" s="1" t="s">
        <v>109</v>
      </c>
      <c r="BN1184" s="1" t="s">
        <v>148</v>
      </c>
      <c r="BO1184" s="1" t="s">
        <v>128</v>
      </c>
      <c r="BP1184" s="1" t="s">
        <v>91</v>
      </c>
      <c r="BQ1184" t="s">
        <v>91</v>
      </c>
      <c r="BR1184" s="3"/>
      <c r="BS1184" s="3"/>
      <c r="BT1184" t="s">
        <v>91</v>
      </c>
      <c r="BU1184" t="s">
        <v>91</v>
      </c>
      <c r="BV1184">
        <v>9</v>
      </c>
      <c r="BW1184" s="1" t="s">
        <v>1592</v>
      </c>
    </row>
    <row r="1185" spans="1:75" hidden="1" x14ac:dyDescent="0.35">
      <c r="A1185">
        <v>144350</v>
      </c>
      <c r="B1185" s="1" t="s">
        <v>75</v>
      </c>
      <c r="C1185">
        <v>80</v>
      </c>
      <c r="D1185">
        <v>11121002</v>
      </c>
      <c r="E1185">
        <v>121002</v>
      </c>
      <c r="F1185" s="1" t="s">
        <v>2915</v>
      </c>
      <c r="G1185" s="1" t="s">
        <v>6476</v>
      </c>
      <c r="I1185" s="1" t="s">
        <v>78</v>
      </c>
      <c r="J1185" s="1" t="s">
        <v>6471</v>
      </c>
      <c r="K1185" s="1" t="s">
        <v>6477</v>
      </c>
      <c r="L1185" t="s">
        <v>91</v>
      </c>
      <c r="M1185" t="s">
        <v>91</v>
      </c>
      <c r="N1185" s="1" t="s">
        <v>6473</v>
      </c>
      <c r="O1185" t="s">
        <v>91</v>
      </c>
      <c r="P1185" s="1" t="s">
        <v>1210</v>
      </c>
      <c r="Q1185" s="1" t="s">
        <v>1650</v>
      </c>
      <c r="R1185" s="1" t="s">
        <v>6478</v>
      </c>
      <c r="S1185">
        <v>1269</v>
      </c>
      <c r="T1185">
        <v>88801040</v>
      </c>
      <c r="U1185" s="1" t="s">
        <v>108</v>
      </c>
      <c r="V1185" s="1" t="s">
        <v>3231</v>
      </c>
      <c r="W1185" s="1" t="s">
        <v>87</v>
      </c>
      <c r="X1185">
        <v>48</v>
      </c>
      <c r="Y1185">
        <v>34339231</v>
      </c>
      <c r="Z1185" t="s">
        <v>91</v>
      </c>
      <c r="AA1185" t="s">
        <v>91</v>
      </c>
      <c r="AB1185" t="s">
        <v>91</v>
      </c>
      <c r="AC1185" t="s">
        <v>91</v>
      </c>
      <c r="AD1185" t="s">
        <v>91</v>
      </c>
      <c r="AE1185" t="s">
        <v>91</v>
      </c>
      <c r="AF1185" t="s">
        <v>91</v>
      </c>
      <c r="AG1185" s="1" t="s">
        <v>91</v>
      </c>
      <c r="AH1185" s="1" t="s">
        <v>91</v>
      </c>
      <c r="AI1185" t="s">
        <v>91</v>
      </c>
      <c r="AJ1185">
        <v>0</v>
      </c>
      <c r="AK1185">
        <v>0</v>
      </c>
      <c r="AL1185">
        <v>0</v>
      </c>
      <c r="AM1185" t="s">
        <v>91</v>
      </c>
      <c r="AN1185" t="s">
        <v>91</v>
      </c>
      <c r="AO1185" t="s">
        <v>91</v>
      </c>
      <c r="AP1185" t="s">
        <v>91</v>
      </c>
      <c r="AQ1185" s="1" t="s">
        <v>91</v>
      </c>
      <c r="AR1185" s="1" t="s">
        <v>91</v>
      </c>
      <c r="AS1185" s="1" t="s">
        <v>91</v>
      </c>
      <c r="AT1185" s="1" t="s">
        <v>91</v>
      </c>
      <c r="AU1185" s="1" t="s">
        <v>91</v>
      </c>
      <c r="AV1185" t="s">
        <v>91</v>
      </c>
      <c r="AW1185" t="s">
        <v>91</v>
      </c>
      <c r="AX1185" t="s">
        <v>91</v>
      </c>
      <c r="AY1185" t="s">
        <v>91</v>
      </c>
      <c r="AZ1185" t="s">
        <v>91</v>
      </c>
      <c r="BA1185" t="s">
        <v>91</v>
      </c>
      <c r="BB1185" s="2"/>
      <c r="BC1185" s="2"/>
      <c r="BD1185" t="s">
        <v>91</v>
      </c>
      <c r="BF1185" s="1" t="s">
        <v>75</v>
      </c>
      <c r="BG1185">
        <v>0</v>
      </c>
      <c r="BH1185">
        <v>0</v>
      </c>
      <c r="BI1185" s="1" t="s">
        <v>88</v>
      </c>
      <c r="BJ1185">
        <v>1</v>
      </c>
      <c r="BK1185" s="1" t="s">
        <v>89</v>
      </c>
      <c r="BL1185" t="s">
        <v>91</v>
      </c>
      <c r="BM1185" s="1" t="s">
        <v>109</v>
      </c>
      <c r="BN1185" s="1" t="s">
        <v>110</v>
      </c>
      <c r="BO1185" s="1" t="s">
        <v>128</v>
      </c>
      <c r="BP1185" s="1" t="s">
        <v>91</v>
      </c>
      <c r="BQ1185" t="s">
        <v>91</v>
      </c>
      <c r="BR1185" s="3"/>
      <c r="BS1185" s="3"/>
      <c r="BT1185" t="s">
        <v>91</v>
      </c>
      <c r="BU1185" t="s">
        <v>91</v>
      </c>
      <c r="BV1185">
        <v>9</v>
      </c>
      <c r="BW1185" s="1" t="s">
        <v>1330</v>
      </c>
    </row>
    <row r="1186" spans="1:75" hidden="1" x14ac:dyDescent="0.35">
      <c r="A1186">
        <v>144525</v>
      </c>
      <c r="B1186" s="1" t="s">
        <v>75</v>
      </c>
      <c r="C1186">
        <v>80</v>
      </c>
      <c r="D1186">
        <v>11121002</v>
      </c>
      <c r="E1186">
        <v>121002</v>
      </c>
      <c r="F1186" s="1" t="s">
        <v>2915</v>
      </c>
      <c r="G1186" s="1" t="s">
        <v>6479</v>
      </c>
      <c r="I1186" s="1" t="s">
        <v>78</v>
      </c>
      <c r="J1186" s="1" t="s">
        <v>6471</v>
      </c>
      <c r="K1186" s="1" t="s">
        <v>6480</v>
      </c>
      <c r="L1186" t="s">
        <v>91</v>
      </c>
      <c r="M1186" t="s">
        <v>91</v>
      </c>
      <c r="N1186" s="1" t="s">
        <v>6481</v>
      </c>
      <c r="O1186" t="s">
        <v>91</v>
      </c>
      <c r="P1186" s="1" t="s">
        <v>6482</v>
      </c>
      <c r="Q1186" s="1" t="s">
        <v>3646</v>
      </c>
      <c r="R1186" s="1" t="s">
        <v>833</v>
      </c>
      <c r="S1186">
        <v>1270</v>
      </c>
      <c r="T1186">
        <v>88955000</v>
      </c>
      <c r="U1186" s="1" t="s">
        <v>6483</v>
      </c>
      <c r="V1186" s="1" t="s">
        <v>6484</v>
      </c>
      <c r="W1186" s="1" t="s">
        <v>87</v>
      </c>
      <c r="X1186">
        <v>48</v>
      </c>
      <c r="Y1186">
        <v>35830221</v>
      </c>
      <c r="Z1186" t="s">
        <v>91</v>
      </c>
      <c r="AA1186" t="s">
        <v>91</v>
      </c>
      <c r="AB1186" t="s">
        <v>91</v>
      </c>
      <c r="AC1186" t="s">
        <v>91</v>
      </c>
      <c r="AD1186" t="s">
        <v>91</v>
      </c>
      <c r="AE1186" t="s">
        <v>91</v>
      </c>
      <c r="AF1186" t="s">
        <v>91</v>
      </c>
      <c r="AG1186" s="1" t="s">
        <v>91</v>
      </c>
      <c r="AH1186" s="1" t="s">
        <v>91</v>
      </c>
      <c r="AI1186" t="s">
        <v>91</v>
      </c>
      <c r="AJ1186">
        <v>0</v>
      </c>
      <c r="AK1186">
        <v>0</v>
      </c>
      <c r="AL1186">
        <v>0</v>
      </c>
      <c r="AM1186" t="s">
        <v>91</v>
      </c>
      <c r="AN1186" t="s">
        <v>91</v>
      </c>
      <c r="AO1186" t="s">
        <v>91</v>
      </c>
      <c r="AP1186" t="s">
        <v>91</v>
      </c>
      <c r="AQ1186" s="1" t="s">
        <v>91</v>
      </c>
      <c r="AR1186" s="1" t="s">
        <v>91</v>
      </c>
      <c r="AS1186" s="1" t="s">
        <v>91</v>
      </c>
      <c r="AT1186" s="1" t="s">
        <v>91</v>
      </c>
      <c r="AU1186" s="1" t="s">
        <v>91</v>
      </c>
      <c r="AV1186" t="s">
        <v>91</v>
      </c>
      <c r="AW1186" t="s">
        <v>91</v>
      </c>
      <c r="AX1186" t="s">
        <v>91</v>
      </c>
      <c r="AY1186" t="s">
        <v>91</v>
      </c>
      <c r="AZ1186" t="s">
        <v>91</v>
      </c>
      <c r="BA1186" t="s">
        <v>91</v>
      </c>
      <c r="BB1186" s="2"/>
      <c r="BC1186" s="2"/>
      <c r="BD1186" t="s">
        <v>91</v>
      </c>
      <c r="BF1186" s="1" t="s">
        <v>75</v>
      </c>
      <c r="BG1186">
        <v>0</v>
      </c>
      <c r="BH1186">
        <v>0</v>
      </c>
      <c r="BI1186" s="1" t="s">
        <v>88</v>
      </c>
      <c r="BJ1186">
        <v>1</v>
      </c>
      <c r="BK1186" s="1" t="s">
        <v>89</v>
      </c>
      <c r="BL1186" t="s">
        <v>91</v>
      </c>
      <c r="BM1186" s="1" t="s">
        <v>109</v>
      </c>
      <c r="BN1186" s="1" t="s">
        <v>110</v>
      </c>
      <c r="BO1186" s="1" t="s">
        <v>128</v>
      </c>
      <c r="BP1186" s="1" t="s">
        <v>91</v>
      </c>
      <c r="BQ1186" t="s">
        <v>91</v>
      </c>
      <c r="BR1186" s="3"/>
      <c r="BS1186" s="3"/>
      <c r="BT1186" t="s">
        <v>91</v>
      </c>
      <c r="BU1186" t="s">
        <v>91</v>
      </c>
      <c r="BV1186">
        <v>9</v>
      </c>
      <c r="BW1186" s="1" t="s">
        <v>1330</v>
      </c>
    </row>
    <row r="1187" spans="1:75" hidden="1" x14ac:dyDescent="0.35">
      <c r="A1187">
        <v>144628</v>
      </c>
      <c r="B1187" s="1" t="s">
        <v>75</v>
      </c>
      <c r="C1187">
        <v>80</v>
      </c>
      <c r="D1187">
        <v>11121002</v>
      </c>
      <c r="E1187">
        <v>121002</v>
      </c>
      <c r="F1187" s="1" t="s">
        <v>2915</v>
      </c>
      <c r="G1187" s="1" t="s">
        <v>6485</v>
      </c>
      <c r="I1187" s="1" t="s">
        <v>78</v>
      </c>
      <c r="J1187" s="1" t="s">
        <v>6486</v>
      </c>
      <c r="K1187" s="1" t="s">
        <v>6487</v>
      </c>
      <c r="L1187" t="s">
        <v>91</v>
      </c>
      <c r="M1187" t="s">
        <v>91</v>
      </c>
      <c r="N1187" s="1" t="s">
        <v>6481</v>
      </c>
      <c r="O1187" t="s">
        <v>91</v>
      </c>
      <c r="P1187" s="1" t="s">
        <v>6488</v>
      </c>
      <c r="Q1187" s="1" t="s">
        <v>6489</v>
      </c>
      <c r="R1187" s="1" t="s">
        <v>91</v>
      </c>
      <c r="S1187">
        <v>1270</v>
      </c>
      <c r="T1187">
        <v>88980000</v>
      </c>
      <c r="U1187" s="1" t="s">
        <v>108</v>
      </c>
      <c r="V1187" s="1" t="s">
        <v>3547</v>
      </c>
      <c r="W1187" s="1" t="s">
        <v>87</v>
      </c>
      <c r="X1187">
        <v>48</v>
      </c>
      <c r="Y1187">
        <v>35330410</v>
      </c>
      <c r="Z1187" t="s">
        <v>91</v>
      </c>
      <c r="AA1187" t="s">
        <v>91</v>
      </c>
      <c r="AB1187" t="s">
        <v>91</v>
      </c>
      <c r="AC1187" t="s">
        <v>91</v>
      </c>
      <c r="AD1187" t="s">
        <v>91</v>
      </c>
      <c r="AE1187" t="s">
        <v>91</v>
      </c>
      <c r="AF1187" t="s">
        <v>91</v>
      </c>
      <c r="AG1187" s="1" t="s">
        <v>91</v>
      </c>
      <c r="AH1187" s="1" t="s">
        <v>91</v>
      </c>
      <c r="AI1187" t="s">
        <v>91</v>
      </c>
      <c r="AJ1187">
        <v>0</v>
      </c>
      <c r="AK1187">
        <v>0</v>
      </c>
      <c r="AL1187">
        <v>0</v>
      </c>
      <c r="AM1187" t="s">
        <v>91</v>
      </c>
      <c r="AN1187" t="s">
        <v>91</v>
      </c>
      <c r="AO1187" t="s">
        <v>91</v>
      </c>
      <c r="AP1187" t="s">
        <v>91</v>
      </c>
      <c r="AQ1187" s="1" t="s">
        <v>91</v>
      </c>
      <c r="AR1187" s="1" t="s">
        <v>91</v>
      </c>
      <c r="AS1187" s="1" t="s">
        <v>91</v>
      </c>
      <c r="AT1187" s="1" t="s">
        <v>91</v>
      </c>
      <c r="AU1187" s="1" t="s">
        <v>91</v>
      </c>
      <c r="AV1187" t="s">
        <v>91</v>
      </c>
      <c r="AW1187" t="s">
        <v>91</v>
      </c>
      <c r="AX1187" t="s">
        <v>91</v>
      </c>
      <c r="AY1187" t="s">
        <v>91</v>
      </c>
      <c r="AZ1187" t="s">
        <v>91</v>
      </c>
      <c r="BA1187" t="s">
        <v>91</v>
      </c>
      <c r="BB1187" s="2"/>
      <c r="BC1187" s="2"/>
      <c r="BD1187" t="s">
        <v>91</v>
      </c>
      <c r="BF1187" s="1" t="s">
        <v>75</v>
      </c>
      <c r="BG1187">
        <v>0</v>
      </c>
      <c r="BH1187">
        <v>0</v>
      </c>
      <c r="BI1187" s="1" t="s">
        <v>88</v>
      </c>
      <c r="BJ1187">
        <v>1</v>
      </c>
      <c r="BK1187" s="1" t="s">
        <v>89</v>
      </c>
      <c r="BL1187" t="s">
        <v>91</v>
      </c>
      <c r="BM1187" s="1" t="s">
        <v>109</v>
      </c>
      <c r="BN1187" s="1" t="s">
        <v>110</v>
      </c>
      <c r="BO1187" s="1" t="s">
        <v>128</v>
      </c>
      <c r="BP1187" s="1" t="s">
        <v>91</v>
      </c>
      <c r="BQ1187" t="s">
        <v>91</v>
      </c>
      <c r="BR1187" s="3"/>
      <c r="BS1187" s="3"/>
      <c r="BT1187" t="s">
        <v>91</v>
      </c>
      <c r="BU1187" t="s">
        <v>91</v>
      </c>
      <c r="BV1187">
        <v>9</v>
      </c>
      <c r="BW1187" s="1" t="s">
        <v>3096</v>
      </c>
    </row>
    <row r="1188" spans="1:75" hidden="1" x14ac:dyDescent="0.35">
      <c r="A1188">
        <v>134703</v>
      </c>
      <c r="B1188" s="1" t="s">
        <v>75</v>
      </c>
      <c r="C1188">
        <v>80</v>
      </c>
      <c r="D1188">
        <v>11121002</v>
      </c>
      <c r="E1188">
        <v>121002</v>
      </c>
      <c r="F1188" s="1" t="s">
        <v>2915</v>
      </c>
      <c r="G1188" s="1" t="s">
        <v>6490</v>
      </c>
      <c r="H1188">
        <v>0</v>
      </c>
      <c r="I1188" s="1" t="s">
        <v>78</v>
      </c>
      <c r="J1188" s="1" t="s">
        <v>6491</v>
      </c>
      <c r="K1188" s="1" t="s">
        <v>6492</v>
      </c>
      <c r="L1188" t="s">
        <v>91</v>
      </c>
      <c r="M1188" t="s">
        <v>91</v>
      </c>
      <c r="N1188" s="1" t="s">
        <v>6493</v>
      </c>
      <c r="O1188" t="s">
        <v>91</v>
      </c>
      <c r="P1188" s="1" t="s">
        <v>6494</v>
      </c>
      <c r="Q1188" s="1" t="s">
        <v>770</v>
      </c>
      <c r="R1188" s="1" t="s">
        <v>91</v>
      </c>
      <c r="T1188">
        <v>88032300</v>
      </c>
      <c r="U1188" s="1" t="s">
        <v>3519</v>
      </c>
      <c r="V1188" s="1" t="s">
        <v>3102</v>
      </c>
      <c r="W1188" s="1" t="s">
        <v>87</v>
      </c>
      <c r="X1188">
        <v>48</v>
      </c>
      <c r="Y1188">
        <v>30122019</v>
      </c>
      <c r="Z1188" t="s">
        <v>91</v>
      </c>
      <c r="AA1188" t="s">
        <v>91</v>
      </c>
      <c r="AB1188" t="s">
        <v>91</v>
      </c>
      <c r="AC1188" t="s">
        <v>91</v>
      </c>
      <c r="AD1188" t="s">
        <v>91</v>
      </c>
      <c r="AE1188" t="s">
        <v>91</v>
      </c>
      <c r="AF1188" t="s">
        <v>91</v>
      </c>
      <c r="AG1188" s="1" t="s">
        <v>146</v>
      </c>
      <c r="AH1188" s="1" t="s">
        <v>91</v>
      </c>
      <c r="AI1188" t="s">
        <v>91</v>
      </c>
      <c r="AM1188" t="s">
        <v>91</v>
      </c>
      <c r="AN1188" t="s">
        <v>91</v>
      </c>
      <c r="AO1188" t="s">
        <v>91</v>
      </c>
      <c r="AP1188" t="s">
        <v>91</v>
      </c>
      <c r="AQ1188" s="1" t="s">
        <v>147</v>
      </c>
      <c r="AR1188" s="1" t="s">
        <v>147</v>
      </c>
      <c r="AS1188" s="1" t="s">
        <v>147</v>
      </c>
      <c r="AT1188" s="1" t="s">
        <v>147</v>
      </c>
      <c r="AU1188" s="1" t="s">
        <v>147</v>
      </c>
      <c r="AV1188" t="s">
        <v>91</v>
      </c>
      <c r="AW1188" t="s">
        <v>91</v>
      </c>
      <c r="AX1188" t="s">
        <v>91</v>
      </c>
      <c r="AY1188" t="s">
        <v>91</v>
      </c>
      <c r="AZ1188" t="s">
        <v>91</v>
      </c>
      <c r="BA1188" t="s">
        <v>91</v>
      </c>
      <c r="BB1188" s="2">
        <v>44271.535578703704</v>
      </c>
      <c r="BC1188" s="2">
        <v>44753.659085648149</v>
      </c>
      <c r="BD1188" t="s">
        <v>91</v>
      </c>
      <c r="BF1188" s="1" t="s">
        <v>75</v>
      </c>
      <c r="BH1188">
        <v>0</v>
      </c>
      <c r="BI1188" s="1" t="s">
        <v>88</v>
      </c>
      <c r="BJ1188">
        <v>1</v>
      </c>
      <c r="BK1188" s="1" t="s">
        <v>89</v>
      </c>
      <c r="BL1188" t="s">
        <v>91</v>
      </c>
      <c r="BM1188" s="1" t="s">
        <v>109</v>
      </c>
      <c r="BN1188" s="1" t="s">
        <v>110</v>
      </c>
      <c r="BO1188" s="1" t="s">
        <v>91</v>
      </c>
      <c r="BP1188" s="1" t="s">
        <v>91</v>
      </c>
      <c r="BQ1188" t="s">
        <v>91</v>
      </c>
      <c r="BR1188" s="3">
        <v>44271</v>
      </c>
      <c r="BS1188" s="3">
        <v>44753</v>
      </c>
      <c r="BT1188" t="s">
        <v>91</v>
      </c>
      <c r="BU1188" t="s">
        <v>91</v>
      </c>
      <c r="BW1188" s="1" t="s">
        <v>601</v>
      </c>
    </row>
    <row r="1189" spans="1:75" hidden="1" x14ac:dyDescent="0.35">
      <c r="A1189">
        <v>134462</v>
      </c>
      <c r="B1189" s="1" t="s">
        <v>75</v>
      </c>
      <c r="C1189">
        <v>80</v>
      </c>
      <c r="D1189">
        <v>11121002</v>
      </c>
      <c r="E1189">
        <v>121002</v>
      </c>
      <c r="F1189" s="1" t="s">
        <v>2915</v>
      </c>
      <c r="G1189" s="1" t="s">
        <v>6495</v>
      </c>
      <c r="I1189" s="1" t="s">
        <v>78</v>
      </c>
      <c r="J1189" s="1" t="s">
        <v>6496</v>
      </c>
      <c r="K1189" s="1" t="s">
        <v>6497</v>
      </c>
      <c r="L1189" t="s">
        <v>91</v>
      </c>
      <c r="M1189" t="s">
        <v>91</v>
      </c>
      <c r="N1189" s="1" t="s">
        <v>5018</v>
      </c>
      <c r="O1189" t="s">
        <v>91</v>
      </c>
      <c r="P1189" s="1" t="s">
        <v>4948</v>
      </c>
      <c r="Q1189" s="1" t="s">
        <v>5019</v>
      </c>
      <c r="R1189" s="1" t="s">
        <v>6498</v>
      </c>
      <c r="S1189">
        <v>1259</v>
      </c>
      <c r="T1189">
        <v>88101100</v>
      </c>
      <c r="U1189" s="1" t="s">
        <v>6499</v>
      </c>
      <c r="V1189" s="1" t="s">
        <v>3016</v>
      </c>
      <c r="W1189" s="1" t="s">
        <v>87</v>
      </c>
      <c r="X1189">
        <v>48</v>
      </c>
      <c r="Y1189">
        <v>30352635</v>
      </c>
      <c r="Z1189" t="s">
        <v>91</v>
      </c>
      <c r="AA1189" t="s">
        <v>91</v>
      </c>
      <c r="AB1189" t="s">
        <v>91</v>
      </c>
      <c r="AC1189" t="s">
        <v>91</v>
      </c>
      <c r="AD1189" t="s">
        <v>91</v>
      </c>
      <c r="AE1189" t="s">
        <v>91</v>
      </c>
      <c r="AF1189" t="s">
        <v>91</v>
      </c>
      <c r="AG1189" s="1" t="s">
        <v>146</v>
      </c>
      <c r="AH1189" s="1" t="s">
        <v>91</v>
      </c>
      <c r="AI1189" t="s">
        <v>91</v>
      </c>
      <c r="AM1189" t="s">
        <v>91</v>
      </c>
      <c r="AN1189" t="s">
        <v>91</v>
      </c>
      <c r="AO1189" t="s">
        <v>91</v>
      </c>
      <c r="AP1189" t="s">
        <v>91</v>
      </c>
      <c r="AQ1189" s="1" t="s">
        <v>147</v>
      </c>
      <c r="AR1189" s="1" t="s">
        <v>147</v>
      </c>
      <c r="AS1189" s="1" t="s">
        <v>147</v>
      </c>
      <c r="AT1189" s="1" t="s">
        <v>147</v>
      </c>
      <c r="AU1189" s="1" t="s">
        <v>147</v>
      </c>
      <c r="AV1189" t="s">
        <v>91</v>
      </c>
      <c r="AW1189" t="s">
        <v>91</v>
      </c>
      <c r="AX1189" t="s">
        <v>91</v>
      </c>
      <c r="AY1189" t="s">
        <v>91</v>
      </c>
      <c r="AZ1189" t="s">
        <v>91</v>
      </c>
      <c r="BA1189" t="s">
        <v>91</v>
      </c>
      <c r="BB1189" s="2"/>
      <c r="BC1189" s="2">
        <v>44753.559074074074</v>
      </c>
      <c r="BD1189" t="s">
        <v>91</v>
      </c>
      <c r="BF1189" s="1" t="s">
        <v>75</v>
      </c>
      <c r="BH1189">
        <v>0</v>
      </c>
      <c r="BI1189" s="1" t="s">
        <v>88</v>
      </c>
      <c r="BJ1189">
        <v>1</v>
      </c>
      <c r="BK1189" s="1" t="s">
        <v>89</v>
      </c>
      <c r="BL1189" t="s">
        <v>91</v>
      </c>
      <c r="BM1189" s="1" t="s">
        <v>109</v>
      </c>
      <c r="BN1189" s="1" t="s">
        <v>110</v>
      </c>
      <c r="BO1189" s="1" t="s">
        <v>180</v>
      </c>
      <c r="BP1189" s="1" t="s">
        <v>91</v>
      </c>
      <c r="BQ1189" t="s">
        <v>91</v>
      </c>
      <c r="BR1189" s="3"/>
      <c r="BS1189" s="3">
        <v>44753</v>
      </c>
      <c r="BT1189" t="s">
        <v>91</v>
      </c>
      <c r="BU1189" t="s">
        <v>91</v>
      </c>
      <c r="BV1189">
        <v>9</v>
      </c>
      <c r="BW1189" s="1" t="s">
        <v>1234</v>
      </c>
    </row>
    <row r="1190" spans="1:75" hidden="1" x14ac:dyDescent="0.35">
      <c r="A1190">
        <v>156929</v>
      </c>
      <c r="B1190" s="1" t="s">
        <v>75</v>
      </c>
      <c r="C1190">
        <v>80</v>
      </c>
      <c r="D1190">
        <v>11121002</v>
      </c>
      <c r="E1190">
        <v>121002</v>
      </c>
      <c r="F1190" s="1" t="s">
        <v>2915</v>
      </c>
      <c r="G1190" s="1" t="s">
        <v>6500</v>
      </c>
      <c r="H1190">
        <v>0</v>
      </c>
      <c r="I1190" s="1" t="s">
        <v>78</v>
      </c>
      <c r="J1190" s="1" t="s">
        <v>6501</v>
      </c>
      <c r="K1190" s="1" t="s">
        <v>6502</v>
      </c>
      <c r="L1190" t="s">
        <v>91</v>
      </c>
      <c r="M1190" t="s">
        <v>91</v>
      </c>
      <c r="N1190" s="1" t="s">
        <v>6503</v>
      </c>
      <c r="O1190" t="s">
        <v>91</v>
      </c>
      <c r="P1190" s="1" t="s">
        <v>364</v>
      </c>
      <c r="Q1190" s="1" t="s">
        <v>728</v>
      </c>
      <c r="R1190" s="1" t="s">
        <v>173</v>
      </c>
      <c r="S1190">
        <v>1270</v>
      </c>
      <c r="T1190">
        <v>88960000</v>
      </c>
      <c r="U1190" s="1" t="s">
        <v>108</v>
      </c>
      <c r="V1190" s="1" t="s">
        <v>3694</v>
      </c>
      <c r="W1190" s="1" t="s">
        <v>87</v>
      </c>
      <c r="X1190">
        <v>48</v>
      </c>
      <c r="Y1190">
        <v>35333292</v>
      </c>
      <c r="Z1190" t="s">
        <v>91</v>
      </c>
      <c r="AA1190" t="s">
        <v>91</v>
      </c>
      <c r="AB1190" t="s">
        <v>91</v>
      </c>
      <c r="AC1190" t="s">
        <v>91</v>
      </c>
      <c r="AD1190" t="s">
        <v>91</v>
      </c>
      <c r="AE1190" t="s">
        <v>91</v>
      </c>
      <c r="AF1190" t="s">
        <v>91</v>
      </c>
      <c r="AG1190" s="1" t="s">
        <v>91</v>
      </c>
      <c r="AH1190" s="1" t="s">
        <v>91</v>
      </c>
      <c r="AI1190" t="s">
        <v>91</v>
      </c>
      <c r="AM1190" t="s">
        <v>91</v>
      </c>
      <c r="AN1190" t="s">
        <v>91</v>
      </c>
      <c r="AO1190" t="s">
        <v>91</v>
      </c>
      <c r="AP1190" t="s">
        <v>91</v>
      </c>
      <c r="AQ1190" s="1" t="s">
        <v>91</v>
      </c>
      <c r="AR1190" s="1" t="s">
        <v>91</v>
      </c>
      <c r="AS1190" s="1" t="s">
        <v>91</v>
      </c>
      <c r="AT1190" s="1" t="s">
        <v>91</v>
      </c>
      <c r="AU1190" s="1" t="s">
        <v>91</v>
      </c>
      <c r="AV1190" t="s">
        <v>91</v>
      </c>
      <c r="AW1190" t="s">
        <v>91</v>
      </c>
      <c r="AX1190" t="s">
        <v>91</v>
      </c>
      <c r="AY1190" t="s">
        <v>91</v>
      </c>
      <c r="AZ1190" t="s">
        <v>91</v>
      </c>
      <c r="BA1190" t="s">
        <v>91</v>
      </c>
      <c r="BB1190" s="2">
        <v>45113.505416666667</v>
      </c>
      <c r="BC1190" s="2"/>
      <c r="BD1190" t="s">
        <v>91</v>
      </c>
      <c r="BF1190" s="1" t="s">
        <v>75</v>
      </c>
      <c r="BI1190" s="1" t="s">
        <v>88</v>
      </c>
      <c r="BJ1190">
        <v>1</v>
      </c>
      <c r="BK1190" s="1" t="s">
        <v>89</v>
      </c>
      <c r="BL1190" t="s">
        <v>91</v>
      </c>
      <c r="BM1190" s="1" t="s">
        <v>91</v>
      </c>
      <c r="BN1190" s="1" t="s">
        <v>91</v>
      </c>
      <c r="BO1190" s="1" t="s">
        <v>91</v>
      </c>
      <c r="BP1190" s="1" t="s">
        <v>91</v>
      </c>
      <c r="BQ1190" t="s">
        <v>91</v>
      </c>
      <c r="BR1190" s="3">
        <v>45113</v>
      </c>
      <c r="BS1190" s="3"/>
      <c r="BT1190" t="s">
        <v>91</v>
      </c>
      <c r="BU1190" t="s">
        <v>91</v>
      </c>
      <c r="BW1190" s="1" t="s">
        <v>90</v>
      </c>
    </row>
    <row r="1191" spans="1:75" hidden="1" x14ac:dyDescent="0.35">
      <c r="A1191">
        <v>157663</v>
      </c>
      <c r="B1191" s="1" t="s">
        <v>75</v>
      </c>
      <c r="C1191">
        <v>80</v>
      </c>
      <c r="D1191">
        <v>11121002</v>
      </c>
      <c r="E1191">
        <v>121002</v>
      </c>
      <c r="F1191" s="1" t="s">
        <v>2915</v>
      </c>
      <c r="G1191" s="1" t="s">
        <v>6504</v>
      </c>
      <c r="H1191">
        <v>0</v>
      </c>
      <c r="I1191" s="1" t="s">
        <v>78</v>
      </c>
      <c r="J1191" s="1" t="s">
        <v>6505</v>
      </c>
      <c r="K1191" s="1" t="s">
        <v>6506</v>
      </c>
      <c r="L1191" t="s">
        <v>91</v>
      </c>
      <c r="M1191" t="s">
        <v>91</v>
      </c>
      <c r="N1191" s="1" t="s">
        <v>6507</v>
      </c>
      <c r="O1191" t="s">
        <v>91</v>
      </c>
      <c r="P1191" s="1" t="s">
        <v>6508</v>
      </c>
      <c r="Q1191" s="1" t="s">
        <v>456</v>
      </c>
      <c r="R1191" s="1" t="s">
        <v>91</v>
      </c>
      <c r="S1191">
        <v>1265</v>
      </c>
      <c r="T1191">
        <v>88495000</v>
      </c>
      <c r="U1191" s="1" t="s">
        <v>5423</v>
      </c>
      <c r="V1191" s="1" t="s">
        <v>3853</v>
      </c>
      <c r="W1191" s="1" t="s">
        <v>87</v>
      </c>
      <c r="X1191">
        <v>48</v>
      </c>
      <c r="Z1191" t="s">
        <v>91</v>
      </c>
      <c r="AA1191" t="s">
        <v>91</v>
      </c>
      <c r="AB1191" t="s">
        <v>91</v>
      </c>
      <c r="AC1191" t="s">
        <v>91</v>
      </c>
      <c r="AD1191" t="s">
        <v>91</v>
      </c>
      <c r="AE1191" t="s">
        <v>91</v>
      </c>
      <c r="AF1191" t="s">
        <v>91</v>
      </c>
      <c r="AG1191" s="1" t="s">
        <v>91</v>
      </c>
      <c r="AH1191" s="1" t="s">
        <v>91</v>
      </c>
      <c r="AI1191" t="s">
        <v>91</v>
      </c>
      <c r="AM1191" t="s">
        <v>91</v>
      </c>
      <c r="AN1191" t="s">
        <v>91</v>
      </c>
      <c r="AO1191" t="s">
        <v>91</v>
      </c>
      <c r="AP1191" t="s">
        <v>91</v>
      </c>
      <c r="AQ1191" s="1" t="s">
        <v>91</v>
      </c>
      <c r="AR1191" s="1" t="s">
        <v>91</v>
      </c>
      <c r="AS1191" s="1" t="s">
        <v>91</v>
      </c>
      <c r="AT1191" s="1" t="s">
        <v>91</v>
      </c>
      <c r="AU1191" s="1" t="s">
        <v>91</v>
      </c>
      <c r="AV1191" t="s">
        <v>91</v>
      </c>
      <c r="AW1191" t="s">
        <v>91</v>
      </c>
      <c r="AX1191" t="s">
        <v>91</v>
      </c>
      <c r="AY1191" t="s">
        <v>91</v>
      </c>
      <c r="AZ1191" t="s">
        <v>91</v>
      </c>
      <c r="BA1191" t="s">
        <v>91</v>
      </c>
      <c r="BB1191" s="2">
        <v>45118.097175925926</v>
      </c>
      <c r="BC1191" s="2"/>
      <c r="BD1191" t="s">
        <v>91</v>
      </c>
      <c r="BF1191" s="1" t="s">
        <v>75</v>
      </c>
      <c r="BI1191" s="1" t="s">
        <v>88</v>
      </c>
      <c r="BJ1191">
        <v>1</v>
      </c>
      <c r="BK1191" s="1" t="s">
        <v>89</v>
      </c>
      <c r="BL1191" t="s">
        <v>91</v>
      </c>
      <c r="BM1191" s="1" t="s">
        <v>91</v>
      </c>
      <c r="BN1191" s="1" t="s">
        <v>91</v>
      </c>
      <c r="BO1191" s="1" t="s">
        <v>91</v>
      </c>
      <c r="BP1191" s="1" t="s">
        <v>91</v>
      </c>
      <c r="BQ1191" t="s">
        <v>91</v>
      </c>
      <c r="BR1191" s="3">
        <v>45118</v>
      </c>
      <c r="BS1191" s="3"/>
      <c r="BT1191" t="s">
        <v>91</v>
      </c>
      <c r="BU1191" t="s">
        <v>91</v>
      </c>
      <c r="BW1191" s="1" t="s">
        <v>90</v>
      </c>
    </row>
    <row r="1192" spans="1:75" hidden="1" x14ac:dyDescent="0.35">
      <c r="A1192">
        <v>157711</v>
      </c>
      <c r="B1192" s="1" t="s">
        <v>75</v>
      </c>
      <c r="C1192">
        <v>80</v>
      </c>
      <c r="D1192">
        <v>11121002</v>
      </c>
      <c r="E1192">
        <v>121002</v>
      </c>
      <c r="F1192" s="1" t="s">
        <v>2915</v>
      </c>
      <c r="G1192" s="1" t="s">
        <v>6509</v>
      </c>
      <c r="H1192">
        <v>0</v>
      </c>
      <c r="I1192" s="1" t="s">
        <v>78</v>
      </c>
      <c r="J1192" s="1" t="s">
        <v>6510</v>
      </c>
      <c r="K1192" s="1" t="s">
        <v>6511</v>
      </c>
      <c r="L1192" t="s">
        <v>91</v>
      </c>
      <c r="M1192" t="s">
        <v>91</v>
      </c>
      <c r="N1192" s="1" t="s">
        <v>6512</v>
      </c>
      <c r="O1192" t="s">
        <v>91</v>
      </c>
      <c r="P1192" s="1" t="s">
        <v>2326</v>
      </c>
      <c r="Q1192" s="1" t="s">
        <v>6513</v>
      </c>
      <c r="R1192" s="1" t="s">
        <v>833</v>
      </c>
      <c r="S1192">
        <v>1254</v>
      </c>
      <c r="T1192">
        <v>88010030</v>
      </c>
      <c r="U1192" s="1" t="s">
        <v>108</v>
      </c>
      <c r="V1192" s="1" t="s">
        <v>2922</v>
      </c>
      <c r="W1192" s="1" t="s">
        <v>87</v>
      </c>
      <c r="X1192">
        <v>48</v>
      </c>
      <c r="Y1192">
        <v>33649500</v>
      </c>
      <c r="Z1192" t="s">
        <v>91</v>
      </c>
      <c r="AA1192" t="s">
        <v>91</v>
      </c>
      <c r="AB1192" t="s">
        <v>91</v>
      </c>
      <c r="AC1192" t="s">
        <v>91</v>
      </c>
      <c r="AD1192" t="s">
        <v>91</v>
      </c>
      <c r="AE1192" t="s">
        <v>91</v>
      </c>
      <c r="AF1192" t="s">
        <v>91</v>
      </c>
      <c r="AG1192" s="1" t="s">
        <v>91</v>
      </c>
      <c r="AH1192" s="1" t="s">
        <v>91</v>
      </c>
      <c r="AI1192" t="s">
        <v>91</v>
      </c>
      <c r="AM1192" t="s">
        <v>91</v>
      </c>
      <c r="AN1192" t="s">
        <v>91</v>
      </c>
      <c r="AO1192" t="s">
        <v>91</v>
      </c>
      <c r="AP1192" t="s">
        <v>91</v>
      </c>
      <c r="AQ1192" s="1" t="s">
        <v>91</v>
      </c>
      <c r="AR1192" s="1" t="s">
        <v>91</v>
      </c>
      <c r="AS1192" s="1" t="s">
        <v>91</v>
      </c>
      <c r="AT1192" s="1" t="s">
        <v>91</v>
      </c>
      <c r="AU1192" s="1" t="s">
        <v>91</v>
      </c>
      <c r="AV1192" t="s">
        <v>91</v>
      </c>
      <c r="AW1192" t="s">
        <v>91</v>
      </c>
      <c r="AX1192" t="s">
        <v>91</v>
      </c>
      <c r="AY1192" t="s">
        <v>91</v>
      </c>
      <c r="AZ1192" t="s">
        <v>91</v>
      </c>
      <c r="BA1192" t="s">
        <v>91</v>
      </c>
      <c r="BB1192" s="2">
        <v>45118.097175925926</v>
      </c>
      <c r="BC1192" s="2"/>
      <c r="BD1192" t="s">
        <v>91</v>
      </c>
      <c r="BF1192" s="1" t="s">
        <v>75</v>
      </c>
      <c r="BI1192" s="1" t="s">
        <v>88</v>
      </c>
      <c r="BJ1192">
        <v>1</v>
      </c>
      <c r="BK1192" s="1" t="s">
        <v>89</v>
      </c>
      <c r="BL1192" t="s">
        <v>91</v>
      </c>
      <c r="BM1192" s="1" t="s">
        <v>91</v>
      </c>
      <c r="BN1192" s="1" t="s">
        <v>91</v>
      </c>
      <c r="BO1192" s="1" t="s">
        <v>91</v>
      </c>
      <c r="BP1192" s="1" t="s">
        <v>91</v>
      </c>
      <c r="BQ1192" t="s">
        <v>91</v>
      </c>
      <c r="BR1192" s="3">
        <v>45118</v>
      </c>
      <c r="BS1192" s="3"/>
      <c r="BT1192" t="s">
        <v>91</v>
      </c>
      <c r="BU1192" t="s">
        <v>91</v>
      </c>
      <c r="BW1192" s="1" t="s">
        <v>90</v>
      </c>
    </row>
    <row r="1193" spans="1:75" hidden="1" x14ac:dyDescent="0.35">
      <c r="A1193">
        <v>157611</v>
      </c>
      <c r="B1193" s="1" t="s">
        <v>75</v>
      </c>
      <c r="C1193">
        <v>80</v>
      </c>
      <c r="D1193">
        <v>11121002</v>
      </c>
      <c r="E1193">
        <v>121002</v>
      </c>
      <c r="F1193" s="1" t="s">
        <v>2915</v>
      </c>
      <c r="G1193" s="1" t="s">
        <v>6514</v>
      </c>
      <c r="H1193">
        <v>0</v>
      </c>
      <c r="I1193" s="1" t="s">
        <v>78</v>
      </c>
      <c r="J1193" s="1" t="s">
        <v>6515</v>
      </c>
      <c r="K1193" s="1" t="s">
        <v>6516</v>
      </c>
      <c r="L1193" t="s">
        <v>91</v>
      </c>
      <c r="M1193" t="s">
        <v>91</v>
      </c>
      <c r="N1193" s="1" t="s">
        <v>3345</v>
      </c>
      <c r="O1193" t="s">
        <v>91</v>
      </c>
      <c r="P1193" s="1" t="s">
        <v>311</v>
      </c>
      <c r="Q1193" s="1" t="s">
        <v>3064</v>
      </c>
      <c r="R1193" s="1" t="s">
        <v>6517</v>
      </c>
      <c r="S1193">
        <v>1254</v>
      </c>
      <c r="T1193">
        <v>88010000</v>
      </c>
      <c r="U1193" s="1" t="s">
        <v>108</v>
      </c>
      <c r="V1193" s="1" t="s">
        <v>2922</v>
      </c>
      <c r="W1193" s="1" t="s">
        <v>87</v>
      </c>
      <c r="X1193">
        <v>48</v>
      </c>
      <c r="Y1193">
        <v>37712230</v>
      </c>
      <c r="Z1193" t="s">
        <v>91</v>
      </c>
      <c r="AA1193" t="s">
        <v>91</v>
      </c>
      <c r="AB1193" t="s">
        <v>91</v>
      </c>
      <c r="AC1193" t="s">
        <v>91</v>
      </c>
      <c r="AD1193" t="s">
        <v>91</v>
      </c>
      <c r="AE1193" t="s">
        <v>91</v>
      </c>
      <c r="AF1193" t="s">
        <v>91</v>
      </c>
      <c r="AG1193" s="1" t="s">
        <v>91</v>
      </c>
      <c r="AH1193" s="1" t="s">
        <v>91</v>
      </c>
      <c r="AI1193" t="s">
        <v>91</v>
      </c>
      <c r="AM1193" t="s">
        <v>91</v>
      </c>
      <c r="AN1193" t="s">
        <v>91</v>
      </c>
      <c r="AO1193" t="s">
        <v>91</v>
      </c>
      <c r="AP1193" t="s">
        <v>91</v>
      </c>
      <c r="AQ1193" s="1" t="s">
        <v>91</v>
      </c>
      <c r="AR1193" s="1" t="s">
        <v>91</v>
      </c>
      <c r="AS1193" s="1" t="s">
        <v>91</v>
      </c>
      <c r="AT1193" s="1" t="s">
        <v>91</v>
      </c>
      <c r="AU1193" s="1" t="s">
        <v>91</v>
      </c>
      <c r="AV1193" t="s">
        <v>91</v>
      </c>
      <c r="AW1193" t="s">
        <v>91</v>
      </c>
      <c r="AX1193" t="s">
        <v>91</v>
      </c>
      <c r="AY1193" t="s">
        <v>91</v>
      </c>
      <c r="AZ1193" t="s">
        <v>91</v>
      </c>
      <c r="BA1193" t="s">
        <v>91</v>
      </c>
      <c r="BB1193" s="2">
        <v>45118.097175925926</v>
      </c>
      <c r="BC1193" s="2"/>
      <c r="BD1193" t="s">
        <v>91</v>
      </c>
      <c r="BF1193" s="1" t="s">
        <v>75</v>
      </c>
      <c r="BI1193" s="1" t="s">
        <v>88</v>
      </c>
      <c r="BJ1193">
        <v>1</v>
      </c>
      <c r="BK1193" s="1" t="s">
        <v>89</v>
      </c>
      <c r="BL1193" t="s">
        <v>91</v>
      </c>
      <c r="BM1193" s="1" t="s">
        <v>91</v>
      </c>
      <c r="BN1193" s="1" t="s">
        <v>91</v>
      </c>
      <c r="BO1193" s="1" t="s">
        <v>91</v>
      </c>
      <c r="BP1193" s="1" t="s">
        <v>91</v>
      </c>
      <c r="BQ1193" t="s">
        <v>91</v>
      </c>
      <c r="BR1193" s="3">
        <v>45118</v>
      </c>
      <c r="BS1193" s="3"/>
      <c r="BT1193" t="s">
        <v>91</v>
      </c>
      <c r="BU1193" t="s">
        <v>91</v>
      </c>
      <c r="BW1193" s="1" t="s">
        <v>3738</v>
      </c>
    </row>
    <row r="1194" spans="1:75" hidden="1" x14ac:dyDescent="0.35">
      <c r="A1194">
        <v>127738</v>
      </c>
      <c r="B1194" s="1" t="s">
        <v>75</v>
      </c>
      <c r="C1194">
        <v>80</v>
      </c>
      <c r="D1194">
        <v>11121002</v>
      </c>
      <c r="E1194">
        <v>121002</v>
      </c>
      <c r="F1194" s="1" t="s">
        <v>2915</v>
      </c>
      <c r="G1194" s="1" t="s">
        <v>6518</v>
      </c>
      <c r="H1194">
        <v>0</v>
      </c>
      <c r="I1194" s="1" t="s">
        <v>78</v>
      </c>
      <c r="J1194" s="1" t="s">
        <v>6519</v>
      </c>
      <c r="K1194" s="1" t="s">
        <v>6520</v>
      </c>
      <c r="L1194" t="s">
        <v>91</v>
      </c>
      <c r="M1194" t="s">
        <v>91</v>
      </c>
      <c r="N1194" s="1" t="s">
        <v>4227</v>
      </c>
      <c r="O1194" t="s">
        <v>91</v>
      </c>
      <c r="P1194" s="1" t="s">
        <v>6521</v>
      </c>
      <c r="Q1194" s="1" t="s">
        <v>3459</v>
      </c>
      <c r="R1194" s="1" t="s">
        <v>6522</v>
      </c>
      <c r="S1194">
        <v>1259</v>
      </c>
      <c r="T1194">
        <v>88132149</v>
      </c>
      <c r="U1194" s="1" t="s">
        <v>3461</v>
      </c>
      <c r="V1194" s="1" t="s">
        <v>3165</v>
      </c>
      <c r="W1194" s="1" t="s">
        <v>87</v>
      </c>
      <c r="X1194">
        <v>48</v>
      </c>
      <c r="Y1194">
        <v>30869233</v>
      </c>
      <c r="Z1194" t="s">
        <v>91</v>
      </c>
      <c r="AA1194" t="s">
        <v>91</v>
      </c>
      <c r="AB1194" t="s">
        <v>91</v>
      </c>
      <c r="AC1194" t="s">
        <v>91</v>
      </c>
      <c r="AD1194" t="s">
        <v>91</v>
      </c>
      <c r="AE1194" t="s">
        <v>91</v>
      </c>
      <c r="AF1194" t="s">
        <v>91</v>
      </c>
      <c r="AG1194" s="1" t="s">
        <v>91</v>
      </c>
      <c r="AH1194" s="1" t="s">
        <v>91</v>
      </c>
      <c r="AI1194" t="s">
        <v>91</v>
      </c>
      <c r="AJ1194">
        <v>0</v>
      </c>
      <c r="AK1194">
        <v>0</v>
      </c>
      <c r="AL1194">
        <v>0</v>
      </c>
      <c r="AM1194" t="s">
        <v>91</v>
      </c>
      <c r="AN1194" t="s">
        <v>91</v>
      </c>
      <c r="AO1194" t="s">
        <v>91</v>
      </c>
      <c r="AP1194" t="s">
        <v>91</v>
      </c>
      <c r="AQ1194" s="1" t="s">
        <v>91</v>
      </c>
      <c r="AR1194" s="1" t="s">
        <v>91</v>
      </c>
      <c r="AS1194" s="1" t="s">
        <v>91</v>
      </c>
      <c r="AT1194" s="1" t="s">
        <v>91</v>
      </c>
      <c r="AU1194" s="1" t="s">
        <v>91</v>
      </c>
      <c r="AV1194" t="s">
        <v>91</v>
      </c>
      <c r="AW1194" t="s">
        <v>91</v>
      </c>
      <c r="AX1194" t="s">
        <v>91</v>
      </c>
      <c r="AY1194" t="s">
        <v>91</v>
      </c>
      <c r="AZ1194" t="s">
        <v>91</v>
      </c>
      <c r="BA1194" t="s">
        <v>91</v>
      </c>
      <c r="BB1194" s="2">
        <v>44111.380995370368</v>
      </c>
      <c r="BC1194" s="2"/>
      <c r="BD1194" t="s">
        <v>91</v>
      </c>
      <c r="BF1194" s="1" t="s">
        <v>75</v>
      </c>
      <c r="BG1194">
        <v>0</v>
      </c>
      <c r="BH1194">
        <v>0</v>
      </c>
      <c r="BI1194" s="1" t="s">
        <v>88</v>
      </c>
      <c r="BJ1194">
        <v>1</v>
      </c>
      <c r="BK1194" s="1" t="s">
        <v>89</v>
      </c>
      <c r="BL1194" t="s">
        <v>91</v>
      </c>
      <c r="BM1194" s="1" t="s">
        <v>109</v>
      </c>
      <c r="BN1194" s="1" t="s">
        <v>110</v>
      </c>
      <c r="BO1194" s="1" t="s">
        <v>180</v>
      </c>
      <c r="BP1194" s="1" t="s">
        <v>91</v>
      </c>
      <c r="BQ1194" t="s">
        <v>91</v>
      </c>
      <c r="BR1194" s="3">
        <v>44111</v>
      </c>
      <c r="BS1194" s="3"/>
      <c r="BT1194" t="s">
        <v>91</v>
      </c>
      <c r="BU1194" t="s">
        <v>91</v>
      </c>
      <c r="BV1194">
        <v>9</v>
      </c>
      <c r="BW1194" s="1" t="s">
        <v>90</v>
      </c>
    </row>
    <row r="1195" spans="1:75" hidden="1" x14ac:dyDescent="0.35">
      <c r="A1195">
        <v>144691</v>
      </c>
      <c r="B1195" s="1" t="s">
        <v>75</v>
      </c>
      <c r="C1195">
        <v>80</v>
      </c>
      <c r="D1195">
        <v>11121002</v>
      </c>
      <c r="E1195">
        <v>121002</v>
      </c>
      <c r="F1195" s="1" t="s">
        <v>2915</v>
      </c>
      <c r="G1195" s="1" t="s">
        <v>6523</v>
      </c>
      <c r="I1195" s="1" t="s">
        <v>78</v>
      </c>
      <c r="J1195" s="1" t="s">
        <v>6524</v>
      </c>
      <c r="K1195" s="1" t="s">
        <v>6525</v>
      </c>
      <c r="L1195" t="s">
        <v>91</v>
      </c>
      <c r="M1195" t="s">
        <v>91</v>
      </c>
      <c r="N1195" s="1" t="s">
        <v>6526</v>
      </c>
      <c r="O1195" t="s">
        <v>91</v>
      </c>
      <c r="P1195" s="1" t="s">
        <v>5386</v>
      </c>
      <c r="Q1195" s="1" t="s">
        <v>933</v>
      </c>
      <c r="R1195" s="1" t="s">
        <v>6527</v>
      </c>
      <c r="S1195">
        <v>1269</v>
      </c>
      <c r="T1195">
        <v>88813390</v>
      </c>
      <c r="U1195" s="1" t="s">
        <v>3921</v>
      </c>
      <c r="V1195" s="1" t="s">
        <v>3231</v>
      </c>
      <c r="W1195" s="1" t="s">
        <v>87</v>
      </c>
      <c r="X1195">
        <v>48</v>
      </c>
      <c r="Y1195">
        <v>21018960</v>
      </c>
      <c r="Z1195" t="s">
        <v>91</v>
      </c>
      <c r="AA1195" t="s">
        <v>91</v>
      </c>
      <c r="AB1195" t="s">
        <v>91</v>
      </c>
      <c r="AC1195" t="s">
        <v>91</v>
      </c>
      <c r="AD1195" t="s">
        <v>91</v>
      </c>
      <c r="AE1195" t="s">
        <v>91</v>
      </c>
      <c r="AF1195" t="s">
        <v>91</v>
      </c>
      <c r="AG1195" s="1" t="s">
        <v>91</v>
      </c>
      <c r="AH1195" s="1" t="s">
        <v>91</v>
      </c>
      <c r="AI1195" t="s">
        <v>91</v>
      </c>
      <c r="AJ1195">
        <v>0</v>
      </c>
      <c r="AK1195">
        <v>0</v>
      </c>
      <c r="AL1195">
        <v>0</v>
      </c>
      <c r="AM1195" t="s">
        <v>91</v>
      </c>
      <c r="AN1195" t="s">
        <v>91</v>
      </c>
      <c r="AO1195" t="s">
        <v>91</v>
      </c>
      <c r="AP1195" t="s">
        <v>91</v>
      </c>
      <c r="AQ1195" s="1" t="s">
        <v>91</v>
      </c>
      <c r="AR1195" s="1" t="s">
        <v>91</v>
      </c>
      <c r="AS1195" s="1" t="s">
        <v>91</v>
      </c>
      <c r="AT1195" s="1" t="s">
        <v>91</v>
      </c>
      <c r="AU1195" s="1" t="s">
        <v>91</v>
      </c>
      <c r="AV1195" t="s">
        <v>91</v>
      </c>
      <c r="AW1195" t="s">
        <v>91</v>
      </c>
      <c r="AX1195" t="s">
        <v>91</v>
      </c>
      <c r="AY1195" t="s">
        <v>91</v>
      </c>
      <c r="AZ1195" t="s">
        <v>91</v>
      </c>
      <c r="BA1195" t="s">
        <v>91</v>
      </c>
      <c r="BB1195" s="2"/>
      <c r="BC1195" s="2"/>
      <c r="BD1195" t="s">
        <v>91</v>
      </c>
      <c r="BF1195" s="1" t="s">
        <v>75</v>
      </c>
      <c r="BG1195">
        <v>0</v>
      </c>
      <c r="BH1195">
        <v>0</v>
      </c>
      <c r="BI1195" s="1" t="s">
        <v>88</v>
      </c>
      <c r="BJ1195">
        <v>1</v>
      </c>
      <c r="BK1195" s="1" t="s">
        <v>89</v>
      </c>
      <c r="BL1195" t="s">
        <v>91</v>
      </c>
      <c r="BM1195" s="1" t="s">
        <v>329</v>
      </c>
      <c r="BN1195" s="1" t="s">
        <v>110</v>
      </c>
      <c r="BO1195" s="1" t="s">
        <v>165</v>
      </c>
      <c r="BP1195" s="1" t="s">
        <v>91</v>
      </c>
      <c r="BQ1195" t="s">
        <v>91</v>
      </c>
      <c r="BR1195" s="3"/>
      <c r="BS1195" s="3"/>
      <c r="BT1195" t="s">
        <v>91</v>
      </c>
      <c r="BU1195" t="s">
        <v>91</v>
      </c>
      <c r="BV1195">
        <v>1</v>
      </c>
      <c r="BW1195" s="1" t="s">
        <v>90</v>
      </c>
    </row>
    <row r="1196" spans="1:75" hidden="1" x14ac:dyDescent="0.35">
      <c r="A1196">
        <v>156950</v>
      </c>
      <c r="B1196" s="1" t="s">
        <v>75</v>
      </c>
      <c r="C1196">
        <v>80</v>
      </c>
      <c r="D1196">
        <v>11121002</v>
      </c>
      <c r="E1196">
        <v>121002</v>
      </c>
      <c r="F1196" s="1" t="s">
        <v>2915</v>
      </c>
      <c r="G1196" s="1" t="s">
        <v>6528</v>
      </c>
      <c r="H1196">
        <v>0</v>
      </c>
      <c r="I1196" s="1" t="s">
        <v>78</v>
      </c>
      <c r="J1196" s="1" t="s">
        <v>6529</v>
      </c>
      <c r="K1196" s="1" t="s">
        <v>6530</v>
      </c>
      <c r="L1196" t="s">
        <v>91</v>
      </c>
      <c r="M1196" t="s">
        <v>91</v>
      </c>
      <c r="N1196" s="1" t="s">
        <v>6531</v>
      </c>
      <c r="O1196" t="s">
        <v>91</v>
      </c>
      <c r="P1196" s="1" t="s">
        <v>6279</v>
      </c>
      <c r="Q1196" s="1" t="s">
        <v>6532</v>
      </c>
      <c r="R1196" s="1" t="s">
        <v>91</v>
      </c>
      <c r="S1196">
        <v>1259</v>
      </c>
      <c r="T1196">
        <v>88190000</v>
      </c>
      <c r="U1196" s="1" t="s">
        <v>6533</v>
      </c>
      <c r="V1196" s="1" t="s">
        <v>6281</v>
      </c>
      <c r="W1196" s="1" t="s">
        <v>87</v>
      </c>
      <c r="X1196">
        <v>48</v>
      </c>
      <c r="Y1196">
        <v>32621129</v>
      </c>
      <c r="Z1196" t="s">
        <v>91</v>
      </c>
      <c r="AA1196" t="s">
        <v>91</v>
      </c>
      <c r="AB1196" t="s">
        <v>91</v>
      </c>
      <c r="AC1196" t="s">
        <v>91</v>
      </c>
      <c r="AD1196" t="s">
        <v>91</v>
      </c>
      <c r="AE1196" t="s">
        <v>91</v>
      </c>
      <c r="AF1196" t="s">
        <v>91</v>
      </c>
      <c r="AG1196" s="1" t="s">
        <v>146</v>
      </c>
      <c r="AH1196" s="1" t="s">
        <v>91</v>
      </c>
      <c r="AI1196" t="s">
        <v>91</v>
      </c>
      <c r="AM1196" t="s">
        <v>91</v>
      </c>
      <c r="AN1196" t="s">
        <v>91</v>
      </c>
      <c r="AO1196" t="s">
        <v>91</v>
      </c>
      <c r="AP1196" t="s">
        <v>91</v>
      </c>
      <c r="AQ1196" s="1" t="s">
        <v>147</v>
      </c>
      <c r="AR1196" s="1" t="s">
        <v>147</v>
      </c>
      <c r="AS1196" s="1" t="s">
        <v>147</v>
      </c>
      <c r="AT1196" s="1" t="s">
        <v>147</v>
      </c>
      <c r="AU1196" s="1" t="s">
        <v>147</v>
      </c>
      <c r="AV1196" t="s">
        <v>91</v>
      </c>
      <c r="AW1196" t="s">
        <v>91</v>
      </c>
      <c r="AX1196" t="s">
        <v>91</v>
      </c>
      <c r="AY1196" t="s">
        <v>91</v>
      </c>
      <c r="AZ1196" t="s">
        <v>91</v>
      </c>
      <c r="BA1196" t="s">
        <v>91</v>
      </c>
      <c r="BB1196" s="2">
        <v>45113.505416666667</v>
      </c>
      <c r="BC1196" s="2">
        <v>45117.454722222225</v>
      </c>
      <c r="BD1196" t="s">
        <v>91</v>
      </c>
      <c r="BF1196" s="1" t="s">
        <v>75</v>
      </c>
      <c r="BH1196">
        <v>0</v>
      </c>
      <c r="BI1196" s="1" t="s">
        <v>88</v>
      </c>
      <c r="BJ1196">
        <v>1</v>
      </c>
      <c r="BK1196" s="1" t="s">
        <v>89</v>
      </c>
      <c r="BL1196" t="s">
        <v>91</v>
      </c>
      <c r="BM1196" s="1" t="s">
        <v>91</v>
      </c>
      <c r="BN1196" s="1" t="s">
        <v>91</v>
      </c>
      <c r="BO1196" s="1" t="s">
        <v>91</v>
      </c>
      <c r="BP1196" s="1" t="s">
        <v>91</v>
      </c>
      <c r="BQ1196" t="s">
        <v>91</v>
      </c>
      <c r="BR1196" s="3">
        <v>45113</v>
      </c>
      <c r="BS1196" s="3">
        <v>45117</v>
      </c>
      <c r="BT1196" t="s">
        <v>91</v>
      </c>
      <c r="BU1196" t="s">
        <v>91</v>
      </c>
      <c r="BW1196" s="1" t="s">
        <v>255</v>
      </c>
    </row>
    <row r="1197" spans="1:75" hidden="1" x14ac:dyDescent="0.35">
      <c r="A1197">
        <v>137932</v>
      </c>
      <c r="B1197" s="1" t="s">
        <v>75</v>
      </c>
      <c r="C1197">
        <v>80</v>
      </c>
      <c r="D1197">
        <v>11121002</v>
      </c>
      <c r="E1197">
        <v>121002</v>
      </c>
      <c r="F1197" s="1" t="s">
        <v>2915</v>
      </c>
      <c r="G1197" s="1" t="s">
        <v>6534</v>
      </c>
      <c r="H1197">
        <v>0</v>
      </c>
      <c r="I1197" s="1" t="s">
        <v>78</v>
      </c>
      <c r="J1197" s="1" t="s">
        <v>6535</v>
      </c>
      <c r="K1197" s="1" t="s">
        <v>6536</v>
      </c>
      <c r="L1197" t="s">
        <v>91</v>
      </c>
      <c r="M1197" t="s">
        <v>91</v>
      </c>
      <c r="N1197" s="1" t="s">
        <v>6537</v>
      </c>
      <c r="O1197" t="s">
        <v>91</v>
      </c>
      <c r="P1197" s="1" t="s">
        <v>6538</v>
      </c>
      <c r="Q1197" s="1" t="s">
        <v>6539</v>
      </c>
      <c r="R1197" s="1" t="s">
        <v>6540</v>
      </c>
      <c r="S1197">
        <v>1259</v>
      </c>
      <c r="T1197">
        <v>88190000</v>
      </c>
      <c r="U1197" s="1" t="s">
        <v>6541</v>
      </c>
      <c r="V1197" s="1" t="s">
        <v>6281</v>
      </c>
      <c r="W1197" s="1" t="s">
        <v>87</v>
      </c>
      <c r="X1197">
        <v>48</v>
      </c>
      <c r="Y1197">
        <v>32621129</v>
      </c>
      <c r="Z1197" t="s">
        <v>91</v>
      </c>
      <c r="AA1197" t="s">
        <v>91</v>
      </c>
      <c r="AB1197" t="s">
        <v>91</v>
      </c>
      <c r="AC1197" t="s">
        <v>91</v>
      </c>
      <c r="AD1197" t="s">
        <v>91</v>
      </c>
      <c r="AE1197" t="s">
        <v>91</v>
      </c>
      <c r="AF1197" t="s">
        <v>91</v>
      </c>
      <c r="AG1197" s="1" t="s">
        <v>146</v>
      </c>
      <c r="AH1197" s="1" t="s">
        <v>91</v>
      </c>
      <c r="AI1197" t="s">
        <v>91</v>
      </c>
      <c r="AM1197" t="s">
        <v>91</v>
      </c>
      <c r="AN1197" t="s">
        <v>91</v>
      </c>
      <c r="AO1197" t="s">
        <v>91</v>
      </c>
      <c r="AP1197" t="s">
        <v>91</v>
      </c>
      <c r="AQ1197" s="1" t="s">
        <v>147</v>
      </c>
      <c r="AR1197" s="1" t="s">
        <v>147</v>
      </c>
      <c r="AS1197" s="1" t="s">
        <v>147</v>
      </c>
      <c r="AT1197" s="1" t="s">
        <v>147</v>
      </c>
      <c r="AU1197" s="1" t="s">
        <v>147</v>
      </c>
      <c r="AV1197" t="s">
        <v>91</v>
      </c>
      <c r="AW1197" t="s">
        <v>91</v>
      </c>
      <c r="AX1197" t="s">
        <v>91</v>
      </c>
      <c r="AY1197" t="s">
        <v>91</v>
      </c>
      <c r="AZ1197" t="s">
        <v>91</v>
      </c>
      <c r="BA1197" t="s">
        <v>91</v>
      </c>
      <c r="BB1197" s="2">
        <v>44378.578518518516</v>
      </c>
      <c r="BC1197" s="2">
        <v>44614.653032407405</v>
      </c>
      <c r="BD1197" t="s">
        <v>91</v>
      </c>
      <c r="BF1197" s="1" t="s">
        <v>75</v>
      </c>
      <c r="BH1197">
        <v>0</v>
      </c>
      <c r="BI1197" s="1" t="s">
        <v>88</v>
      </c>
      <c r="BJ1197">
        <v>1</v>
      </c>
      <c r="BK1197" s="1" t="s">
        <v>89</v>
      </c>
      <c r="BL1197" t="s">
        <v>91</v>
      </c>
      <c r="BM1197" s="1" t="s">
        <v>109</v>
      </c>
      <c r="BN1197" s="1" t="s">
        <v>148</v>
      </c>
      <c r="BO1197" s="1" t="s">
        <v>91</v>
      </c>
      <c r="BP1197" s="1" t="s">
        <v>91</v>
      </c>
      <c r="BQ1197" t="s">
        <v>91</v>
      </c>
      <c r="BR1197" s="3">
        <v>44378</v>
      </c>
      <c r="BS1197" s="3">
        <v>44614</v>
      </c>
      <c r="BT1197" t="s">
        <v>91</v>
      </c>
      <c r="BU1197" t="s">
        <v>91</v>
      </c>
      <c r="BW1197" s="1" t="s">
        <v>255</v>
      </c>
    </row>
    <row r="1198" spans="1:75" hidden="1" x14ac:dyDescent="0.35">
      <c r="A1198">
        <v>152765</v>
      </c>
      <c r="B1198" s="1" t="s">
        <v>75</v>
      </c>
      <c r="C1198">
        <v>80</v>
      </c>
      <c r="D1198">
        <v>11121002</v>
      </c>
      <c r="E1198">
        <v>121002</v>
      </c>
      <c r="F1198" s="1" t="s">
        <v>2915</v>
      </c>
      <c r="G1198" s="1" t="s">
        <v>6542</v>
      </c>
      <c r="H1198">
        <v>0</v>
      </c>
      <c r="I1198" s="1" t="s">
        <v>78</v>
      </c>
      <c r="J1198" s="1" t="s">
        <v>6543</v>
      </c>
      <c r="K1198" s="1" t="s">
        <v>6544</v>
      </c>
      <c r="L1198" t="s">
        <v>91</v>
      </c>
      <c r="M1198" t="s">
        <v>91</v>
      </c>
      <c r="N1198" s="1" t="s">
        <v>6537</v>
      </c>
      <c r="O1198" t="s">
        <v>91</v>
      </c>
      <c r="P1198" s="1" t="s">
        <v>6545</v>
      </c>
      <c r="Q1198" s="1" t="s">
        <v>6546</v>
      </c>
      <c r="R1198" s="1" t="s">
        <v>820</v>
      </c>
      <c r="S1198">
        <v>1259</v>
      </c>
      <c r="T1198">
        <v>88190000</v>
      </c>
      <c r="U1198" s="1" t="s">
        <v>6547</v>
      </c>
      <c r="V1198" s="1" t="s">
        <v>6281</v>
      </c>
      <c r="W1198" s="1" t="s">
        <v>87</v>
      </c>
      <c r="Z1198" t="s">
        <v>91</v>
      </c>
      <c r="AA1198" t="s">
        <v>91</v>
      </c>
      <c r="AB1198" t="s">
        <v>91</v>
      </c>
      <c r="AC1198" t="s">
        <v>91</v>
      </c>
      <c r="AD1198" t="s">
        <v>91</v>
      </c>
      <c r="AE1198" t="s">
        <v>91</v>
      </c>
      <c r="AF1198" t="s">
        <v>91</v>
      </c>
      <c r="AG1198" s="1" t="s">
        <v>91</v>
      </c>
      <c r="AH1198" s="1" t="s">
        <v>91</v>
      </c>
      <c r="AI1198" t="s">
        <v>91</v>
      </c>
      <c r="AM1198" t="s">
        <v>91</v>
      </c>
      <c r="AN1198" t="s">
        <v>91</v>
      </c>
      <c r="AO1198" t="s">
        <v>91</v>
      </c>
      <c r="AP1198" t="s">
        <v>91</v>
      </c>
      <c r="AQ1198" s="1" t="s">
        <v>91</v>
      </c>
      <c r="AR1198" s="1" t="s">
        <v>91</v>
      </c>
      <c r="AS1198" s="1" t="s">
        <v>91</v>
      </c>
      <c r="AT1198" s="1" t="s">
        <v>91</v>
      </c>
      <c r="AU1198" s="1" t="s">
        <v>91</v>
      </c>
      <c r="AV1198" t="s">
        <v>91</v>
      </c>
      <c r="AW1198" t="s">
        <v>91</v>
      </c>
      <c r="AX1198" t="s">
        <v>91</v>
      </c>
      <c r="AY1198" t="s">
        <v>91</v>
      </c>
      <c r="AZ1198" t="s">
        <v>91</v>
      </c>
      <c r="BA1198" t="s">
        <v>91</v>
      </c>
      <c r="BB1198" s="2">
        <v>45019.565613425926</v>
      </c>
      <c r="BC1198" s="2"/>
      <c r="BD1198" t="s">
        <v>91</v>
      </c>
      <c r="BF1198" s="1" t="s">
        <v>75</v>
      </c>
      <c r="BI1198" s="1" t="s">
        <v>88</v>
      </c>
      <c r="BJ1198">
        <v>1</v>
      </c>
      <c r="BK1198" s="1" t="s">
        <v>89</v>
      </c>
      <c r="BL1198" t="s">
        <v>91</v>
      </c>
      <c r="BM1198" s="1" t="s">
        <v>91</v>
      </c>
      <c r="BN1198" s="1" t="s">
        <v>91</v>
      </c>
      <c r="BO1198" s="1" t="s">
        <v>91</v>
      </c>
      <c r="BP1198" s="1" t="s">
        <v>91</v>
      </c>
      <c r="BQ1198" t="s">
        <v>91</v>
      </c>
      <c r="BR1198" s="3">
        <v>45019</v>
      </c>
      <c r="BS1198" s="3"/>
      <c r="BT1198" t="s">
        <v>91</v>
      </c>
      <c r="BU1198" t="s">
        <v>91</v>
      </c>
      <c r="BW1198" s="1" t="s">
        <v>90</v>
      </c>
    </row>
    <row r="1199" spans="1:75" hidden="1" x14ac:dyDescent="0.35">
      <c r="A1199">
        <v>144707</v>
      </c>
      <c r="B1199" s="1" t="s">
        <v>75</v>
      </c>
      <c r="C1199">
        <v>80</v>
      </c>
      <c r="D1199">
        <v>11121002</v>
      </c>
      <c r="E1199">
        <v>121002</v>
      </c>
      <c r="F1199" s="1" t="s">
        <v>2915</v>
      </c>
      <c r="G1199" s="1" t="s">
        <v>6548</v>
      </c>
      <c r="I1199" s="1" t="s">
        <v>78</v>
      </c>
      <c r="J1199" s="1" t="s">
        <v>6549</v>
      </c>
      <c r="K1199" s="1" t="s">
        <v>6550</v>
      </c>
      <c r="L1199" t="s">
        <v>91</v>
      </c>
      <c r="M1199" t="s">
        <v>91</v>
      </c>
      <c r="N1199" s="1" t="s">
        <v>6551</v>
      </c>
      <c r="O1199" t="s">
        <v>91</v>
      </c>
      <c r="P1199" s="1" t="s">
        <v>6552</v>
      </c>
      <c r="Q1199" s="1" t="s">
        <v>601</v>
      </c>
      <c r="R1199" s="1" t="s">
        <v>91</v>
      </c>
      <c r="S1199">
        <v>1336</v>
      </c>
      <c r="T1199">
        <v>95560000</v>
      </c>
      <c r="U1199" s="1" t="s">
        <v>343</v>
      </c>
      <c r="V1199" s="1" t="s">
        <v>3038</v>
      </c>
      <c r="W1199" s="1" t="s">
        <v>157</v>
      </c>
      <c r="X1199">
        <v>51</v>
      </c>
      <c r="Y1199">
        <v>36641776</v>
      </c>
      <c r="Z1199" t="s">
        <v>91</v>
      </c>
      <c r="AA1199" t="s">
        <v>91</v>
      </c>
      <c r="AB1199" t="s">
        <v>91</v>
      </c>
      <c r="AC1199" t="s">
        <v>91</v>
      </c>
      <c r="AD1199" t="s">
        <v>91</v>
      </c>
      <c r="AE1199" t="s">
        <v>91</v>
      </c>
      <c r="AF1199" t="s">
        <v>91</v>
      </c>
      <c r="AG1199" s="1" t="s">
        <v>91</v>
      </c>
      <c r="AH1199" s="1" t="s">
        <v>91</v>
      </c>
      <c r="AI1199" t="s">
        <v>91</v>
      </c>
      <c r="AJ1199">
        <v>0</v>
      </c>
      <c r="AK1199">
        <v>0</v>
      </c>
      <c r="AL1199">
        <v>0</v>
      </c>
      <c r="AM1199" t="s">
        <v>91</v>
      </c>
      <c r="AN1199" t="s">
        <v>91</v>
      </c>
      <c r="AO1199" t="s">
        <v>91</v>
      </c>
      <c r="AP1199" t="s">
        <v>91</v>
      </c>
      <c r="AQ1199" s="1" t="s">
        <v>91</v>
      </c>
      <c r="AR1199" s="1" t="s">
        <v>91</v>
      </c>
      <c r="AS1199" s="1" t="s">
        <v>91</v>
      </c>
      <c r="AT1199" s="1" t="s">
        <v>91</v>
      </c>
      <c r="AU1199" s="1" t="s">
        <v>91</v>
      </c>
      <c r="AV1199" t="s">
        <v>91</v>
      </c>
      <c r="AW1199" t="s">
        <v>91</v>
      </c>
      <c r="AX1199" t="s">
        <v>91</v>
      </c>
      <c r="AY1199" t="s">
        <v>91</v>
      </c>
      <c r="AZ1199" t="s">
        <v>91</v>
      </c>
      <c r="BA1199" t="s">
        <v>91</v>
      </c>
      <c r="BB1199" s="2"/>
      <c r="BC1199" s="2"/>
      <c r="BD1199" t="s">
        <v>91</v>
      </c>
      <c r="BF1199" s="1" t="s">
        <v>75</v>
      </c>
      <c r="BG1199">
        <v>0</v>
      </c>
      <c r="BH1199">
        <v>0</v>
      </c>
      <c r="BI1199" s="1" t="s">
        <v>88</v>
      </c>
      <c r="BJ1199">
        <v>1</v>
      </c>
      <c r="BK1199" s="1" t="s">
        <v>89</v>
      </c>
      <c r="BL1199" t="s">
        <v>91</v>
      </c>
      <c r="BM1199" s="1" t="s">
        <v>109</v>
      </c>
      <c r="BN1199" s="1" t="s">
        <v>148</v>
      </c>
      <c r="BO1199" s="1" t="s">
        <v>111</v>
      </c>
      <c r="BP1199" s="1" t="s">
        <v>91</v>
      </c>
      <c r="BQ1199" t="s">
        <v>91</v>
      </c>
      <c r="BR1199" s="3"/>
      <c r="BS1199" s="3"/>
      <c r="BT1199" t="s">
        <v>91</v>
      </c>
      <c r="BU1199" t="s">
        <v>91</v>
      </c>
      <c r="BV1199">
        <v>6</v>
      </c>
      <c r="BW1199" s="1" t="s">
        <v>4814</v>
      </c>
    </row>
    <row r="1200" spans="1:75" hidden="1" x14ac:dyDescent="0.35">
      <c r="A1200">
        <v>157725</v>
      </c>
      <c r="B1200" s="1" t="s">
        <v>75</v>
      </c>
      <c r="C1200">
        <v>80</v>
      </c>
      <c r="D1200">
        <v>11121002</v>
      </c>
      <c r="E1200">
        <v>121002</v>
      </c>
      <c r="F1200" s="1" t="s">
        <v>2915</v>
      </c>
      <c r="G1200" s="1" t="s">
        <v>6553</v>
      </c>
      <c r="H1200">
        <v>0</v>
      </c>
      <c r="I1200" s="1" t="s">
        <v>78</v>
      </c>
      <c r="J1200" s="1" t="s">
        <v>6554</v>
      </c>
      <c r="K1200" s="1" t="s">
        <v>6555</v>
      </c>
      <c r="L1200" t="s">
        <v>91</v>
      </c>
      <c r="M1200" t="s">
        <v>91</v>
      </c>
      <c r="N1200" s="1" t="s">
        <v>6455</v>
      </c>
      <c r="O1200" t="s">
        <v>91</v>
      </c>
      <c r="P1200" s="1" t="s">
        <v>3485</v>
      </c>
      <c r="Q1200" s="1" t="s">
        <v>2300</v>
      </c>
      <c r="R1200" s="1" t="s">
        <v>6556</v>
      </c>
      <c r="S1200">
        <v>1259</v>
      </c>
      <c r="T1200">
        <v>88117900</v>
      </c>
      <c r="U1200" s="1" t="s">
        <v>2957</v>
      </c>
      <c r="V1200" s="1" t="s">
        <v>2922</v>
      </c>
      <c r="W1200" s="1" t="s">
        <v>87</v>
      </c>
      <c r="X1200">
        <v>48</v>
      </c>
      <c r="Y1200">
        <v>30355730</v>
      </c>
      <c r="Z1200" t="s">
        <v>91</v>
      </c>
      <c r="AA1200" t="s">
        <v>91</v>
      </c>
      <c r="AB1200" t="s">
        <v>91</v>
      </c>
      <c r="AC1200" t="s">
        <v>91</v>
      </c>
      <c r="AD1200" t="s">
        <v>91</v>
      </c>
      <c r="AE1200" t="s">
        <v>91</v>
      </c>
      <c r="AF1200" t="s">
        <v>91</v>
      </c>
      <c r="AG1200" s="1" t="s">
        <v>91</v>
      </c>
      <c r="AH1200" s="1" t="s">
        <v>91</v>
      </c>
      <c r="AI1200" t="s">
        <v>91</v>
      </c>
      <c r="AM1200" t="s">
        <v>91</v>
      </c>
      <c r="AN1200" t="s">
        <v>91</v>
      </c>
      <c r="AO1200" t="s">
        <v>91</v>
      </c>
      <c r="AP1200" t="s">
        <v>91</v>
      </c>
      <c r="AQ1200" s="1" t="s">
        <v>91</v>
      </c>
      <c r="AR1200" s="1" t="s">
        <v>91</v>
      </c>
      <c r="AS1200" s="1" t="s">
        <v>91</v>
      </c>
      <c r="AT1200" s="1" t="s">
        <v>91</v>
      </c>
      <c r="AU1200" s="1" t="s">
        <v>91</v>
      </c>
      <c r="AV1200" t="s">
        <v>91</v>
      </c>
      <c r="AW1200" t="s">
        <v>91</v>
      </c>
      <c r="AX1200" t="s">
        <v>91</v>
      </c>
      <c r="AY1200" t="s">
        <v>91</v>
      </c>
      <c r="AZ1200" t="s">
        <v>91</v>
      </c>
      <c r="BA1200" t="s">
        <v>91</v>
      </c>
      <c r="BB1200" s="2">
        <v>45118.097175925926</v>
      </c>
      <c r="BC1200" s="2"/>
      <c r="BD1200" t="s">
        <v>91</v>
      </c>
      <c r="BF1200" s="1" t="s">
        <v>75</v>
      </c>
      <c r="BI1200" s="1" t="s">
        <v>88</v>
      </c>
      <c r="BJ1200">
        <v>1</v>
      </c>
      <c r="BK1200" s="1" t="s">
        <v>89</v>
      </c>
      <c r="BL1200" t="s">
        <v>91</v>
      </c>
      <c r="BM1200" s="1" t="s">
        <v>91</v>
      </c>
      <c r="BN1200" s="1" t="s">
        <v>91</v>
      </c>
      <c r="BO1200" s="1" t="s">
        <v>91</v>
      </c>
      <c r="BP1200" s="1" t="s">
        <v>91</v>
      </c>
      <c r="BQ1200" t="s">
        <v>91</v>
      </c>
      <c r="BR1200" s="3">
        <v>45118</v>
      </c>
      <c r="BS1200" s="3"/>
      <c r="BT1200" t="s">
        <v>91</v>
      </c>
      <c r="BU1200" t="s">
        <v>91</v>
      </c>
      <c r="BW1200" s="1" t="s">
        <v>90</v>
      </c>
    </row>
    <row r="1201" spans="1:75" hidden="1" x14ac:dyDescent="0.35">
      <c r="A1201">
        <v>144345</v>
      </c>
      <c r="B1201" s="1" t="s">
        <v>75</v>
      </c>
      <c r="C1201">
        <v>80</v>
      </c>
      <c r="D1201">
        <v>11121002</v>
      </c>
      <c r="E1201">
        <v>121002</v>
      </c>
      <c r="F1201" s="1" t="s">
        <v>2915</v>
      </c>
      <c r="G1201" s="1" t="s">
        <v>6557</v>
      </c>
      <c r="I1201" s="1" t="s">
        <v>78</v>
      </c>
      <c r="J1201" s="1" t="s">
        <v>6558</v>
      </c>
      <c r="K1201" s="1" t="s">
        <v>6559</v>
      </c>
      <c r="L1201" t="s">
        <v>91</v>
      </c>
      <c r="M1201" t="s">
        <v>91</v>
      </c>
      <c r="N1201" s="1" t="s">
        <v>6560</v>
      </c>
      <c r="O1201" t="s">
        <v>91</v>
      </c>
      <c r="P1201" s="1" t="s">
        <v>3070</v>
      </c>
      <c r="Q1201" s="1" t="s">
        <v>6561</v>
      </c>
      <c r="R1201" s="1" t="s">
        <v>91</v>
      </c>
      <c r="S1201">
        <v>1270</v>
      </c>
      <c r="T1201">
        <v>88900040</v>
      </c>
      <c r="U1201" s="1" t="s">
        <v>108</v>
      </c>
      <c r="V1201" s="1" t="s">
        <v>3095</v>
      </c>
      <c r="W1201" s="1" t="s">
        <v>87</v>
      </c>
      <c r="X1201">
        <v>48</v>
      </c>
      <c r="Y1201">
        <v>35243778</v>
      </c>
      <c r="Z1201" t="s">
        <v>91</v>
      </c>
      <c r="AA1201" t="s">
        <v>91</v>
      </c>
      <c r="AB1201" t="s">
        <v>91</v>
      </c>
      <c r="AC1201" t="s">
        <v>91</v>
      </c>
      <c r="AD1201" t="s">
        <v>91</v>
      </c>
      <c r="AE1201" t="s">
        <v>91</v>
      </c>
      <c r="AF1201" t="s">
        <v>91</v>
      </c>
      <c r="AG1201" s="1" t="s">
        <v>91</v>
      </c>
      <c r="AH1201" s="1" t="s">
        <v>91</v>
      </c>
      <c r="AI1201" t="s">
        <v>91</v>
      </c>
      <c r="AJ1201">
        <v>0</v>
      </c>
      <c r="AK1201">
        <v>0</v>
      </c>
      <c r="AL1201">
        <v>0</v>
      </c>
      <c r="AM1201" t="s">
        <v>91</v>
      </c>
      <c r="AN1201" t="s">
        <v>91</v>
      </c>
      <c r="AO1201" t="s">
        <v>91</v>
      </c>
      <c r="AP1201" t="s">
        <v>91</v>
      </c>
      <c r="AQ1201" s="1" t="s">
        <v>91</v>
      </c>
      <c r="AR1201" s="1" t="s">
        <v>91</v>
      </c>
      <c r="AS1201" s="1" t="s">
        <v>91</v>
      </c>
      <c r="AT1201" s="1" t="s">
        <v>91</v>
      </c>
      <c r="AU1201" s="1" t="s">
        <v>91</v>
      </c>
      <c r="AV1201" t="s">
        <v>91</v>
      </c>
      <c r="AW1201" t="s">
        <v>91</v>
      </c>
      <c r="AX1201" t="s">
        <v>91</v>
      </c>
      <c r="AY1201" t="s">
        <v>91</v>
      </c>
      <c r="AZ1201" t="s">
        <v>91</v>
      </c>
      <c r="BA1201" t="s">
        <v>91</v>
      </c>
      <c r="BB1201" s="2"/>
      <c r="BC1201" s="2"/>
      <c r="BD1201" t="s">
        <v>91</v>
      </c>
      <c r="BF1201" s="1" t="s">
        <v>75</v>
      </c>
      <c r="BG1201">
        <v>0</v>
      </c>
      <c r="BH1201">
        <v>0</v>
      </c>
      <c r="BI1201" s="1" t="s">
        <v>88</v>
      </c>
      <c r="BJ1201">
        <v>1</v>
      </c>
      <c r="BK1201" s="1" t="s">
        <v>89</v>
      </c>
      <c r="BL1201" t="s">
        <v>91</v>
      </c>
      <c r="BM1201" s="1" t="s">
        <v>164</v>
      </c>
      <c r="BN1201" s="1" t="s">
        <v>110</v>
      </c>
      <c r="BO1201" s="1" t="s">
        <v>165</v>
      </c>
      <c r="BP1201" s="1" t="s">
        <v>91</v>
      </c>
      <c r="BQ1201" t="s">
        <v>91</v>
      </c>
      <c r="BR1201" s="3"/>
      <c r="BS1201" s="3"/>
      <c r="BT1201" t="s">
        <v>91</v>
      </c>
      <c r="BU1201" t="s">
        <v>91</v>
      </c>
      <c r="BV1201">
        <v>1</v>
      </c>
      <c r="BW1201" s="1" t="s">
        <v>330</v>
      </c>
    </row>
    <row r="1202" spans="1:75" hidden="1" x14ac:dyDescent="0.35">
      <c r="A1202">
        <v>157626</v>
      </c>
      <c r="B1202" s="1" t="s">
        <v>75</v>
      </c>
      <c r="C1202">
        <v>80</v>
      </c>
      <c r="D1202">
        <v>11121002</v>
      </c>
      <c r="E1202">
        <v>121002</v>
      </c>
      <c r="F1202" s="1" t="s">
        <v>2915</v>
      </c>
      <c r="G1202" s="1" t="s">
        <v>6562</v>
      </c>
      <c r="H1202">
        <v>0</v>
      </c>
      <c r="I1202" s="1" t="s">
        <v>78</v>
      </c>
      <c r="J1202" s="1" t="s">
        <v>6563</v>
      </c>
      <c r="K1202" s="1" t="s">
        <v>6564</v>
      </c>
      <c r="L1202" t="s">
        <v>91</v>
      </c>
      <c r="M1202" t="s">
        <v>91</v>
      </c>
      <c r="N1202" s="1" t="s">
        <v>6565</v>
      </c>
      <c r="O1202" t="s">
        <v>91</v>
      </c>
      <c r="P1202" s="1" t="s">
        <v>4941</v>
      </c>
      <c r="Q1202" s="1" t="s">
        <v>6566</v>
      </c>
      <c r="R1202" s="1" t="s">
        <v>6567</v>
      </c>
      <c r="S1202">
        <v>1259</v>
      </c>
      <c r="T1202">
        <v>88130005</v>
      </c>
      <c r="U1202" s="1" t="s">
        <v>108</v>
      </c>
      <c r="V1202" s="1" t="s">
        <v>2951</v>
      </c>
      <c r="W1202" s="1" t="s">
        <v>87</v>
      </c>
      <c r="X1202">
        <v>48</v>
      </c>
      <c r="Y1202">
        <v>30332160</v>
      </c>
      <c r="Z1202" t="s">
        <v>91</v>
      </c>
      <c r="AA1202" t="s">
        <v>91</v>
      </c>
      <c r="AB1202" t="s">
        <v>91</v>
      </c>
      <c r="AC1202" t="s">
        <v>91</v>
      </c>
      <c r="AD1202" t="s">
        <v>91</v>
      </c>
      <c r="AE1202" t="s">
        <v>91</v>
      </c>
      <c r="AF1202" t="s">
        <v>91</v>
      </c>
      <c r="AG1202" s="1" t="s">
        <v>91</v>
      </c>
      <c r="AH1202" s="1" t="s">
        <v>91</v>
      </c>
      <c r="AI1202" t="s">
        <v>91</v>
      </c>
      <c r="AM1202" t="s">
        <v>91</v>
      </c>
      <c r="AN1202" t="s">
        <v>91</v>
      </c>
      <c r="AO1202" t="s">
        <v>91</v>
      </c>
      <c r="AP1202" t="s">
        <v>91</v>
      </c>
      <c r="AQ1202" s="1" t="s">
        <v>91</v>
      </c>
      <c r="AR1202" s="1" t="s">
        <v>91</v>
      </c>
      <c r="AS1202" s="1" t="s">
        <v>91</v>
      </c>
      <c r="AT1202" s="1" t="s">
        <v>91</v>
      </c>
      <c r="AU1202" s="1" t="s">
        <v>91</v>
      </c>
      <c r="AV1202" t="s">
        <v>91</v>
      </c>
      <c r="AW1202" t="s">
        <v>91</v>
      </c>
      <c r="AX1202" t="s">
        <v>91</v>
      </c>
      <c r="AY1202" t="s">
        <v>91</v>
      </c>
      <c r="AZ1202" t="s">
        <v>91</v>
      </c>
      <c r="BA1202" t="s">
        <v>91</v>
      </c>
      <c r="BB1202" s="2">
        <v>45118.097175925926</v>
      </c>
      <c r="BC1202" s="2"/>
      <c r="BD1202" t="s">
        <v>91</v>
      </c>
      <c r="BF1202" s="1" t="s">
        <v>75</v>
      </c>
      <c r="BI1202" s="1" t="s">
        <v>88</v>
      </c>
      <c r="BJ1202">
        <v>1</v>
      </c>
      <c r="BK1202" s="1" t="s">
        <v>89</v>
      </c>
      <c r="BL1202" t="s">
        <v>91</v>
      </c>
      <c r="BM1202" s="1" t="s">
        <v>91</v>
      </c>
      <c r="BN1202" s="1" t="s">
        <v>91</v>
      </c>
      <c r="BO1202" s="1" t="s">
        <v>91</v>
      </c>
      <c r="BP1202" s="1" t="s">
        <v>91</v>
      </c>
      <c r="BQ1202" t="s">
        <v>91</v>
      </c>
      <c r="BR1202" s="3">
        <v>45118</v>
      </c>
      <c r="BS1202" s="3"/>
      <c r="BT1202" t="s">
        <v>91</v>
      </c>
      <c r="BU1202" t="s">
        <v>91</v>
      </c>
      <c r="BW1202" s="1" t="s">
        <v>90</v>
      </c>
    </row>
    <row r="1203" spans="1:75" hidden="1" x14ac:dyDescent="0.35">
      <c r="A1203">
        <v>157610</v>
      </c>
      <c r="B1203" s="1" t="s">
        <v>75</v>
      </c>
      <c r="C1203">
        <v>80</v>
      </c>
      <c r="D1203">
        <v>11121002</v>
      </c>
      <c r="E1203">
        <v>121002</v>
      </c>
      <c r="F1203" s="1" t="s">
        <v>2915</v>
      </c>
      <c r="G1203" s="1" t="s">
        <v>6568</v>
      </c>
      <c r="H1203">
        <v>0</v>
      </c>
      <c r="I1203" s="1" t="s">
        <v>78</v>
      </c>
      <c r="J1203" s="1" t="s">
        <v>6569</v>
      </c>
      <c r="K1203" s="1" t="s">
        <v>6570</v>
      </c>
      <c r="L1203" t="s">
        <v>91</v>
      </c>
      <c r="M1203" t="s">
        <v>91</v>
      </c>
      <c r="N1203" s="1" t="s">
        <v>3192</v>
      </c>
      <c r="O1203" t="s">
        <v>91</v>
      </c>
      <c r="P1203" s="1" t="s">
        <v>6571</v>
      </c>
      <c r="Q1203" s="1" t="s">
        <v>6572</v>
      </c>
      <c r="R1203" s="1" t="s">
        <v>6573</v>
      </c>
      <c r="T1203">
        <v>88047900</v>
      </c>
      <c r="U1203" s="1" t="s">
        <v>6574</v>
      </c>
      <c r="V1203" s="1" t="s">
        <v>2922</v>
      </c>
      <c r="W1203" s="1" t="s">
        <v>87</v>
      </c>
      <c r="X1203">
        <v>48</v>
      </c>
      <c r="Y1203">
        <v>30374788</v>
      </c>
      <c r="Z1203" t="s">
        <v>91</v>
      </c>
      <c r="AA1203" t="s">
        <v>91</v>
      </c>
      <c r="AB1203" t="s">
        <v>91</v>
      </c>
      <c r="AC1203" t="s">
        <v>91</v>
      </c>
      <c r="AD1203" t="s">
        <v>91</v>
      </c>
      <c r="AE1203" t="s">
        <v>91</v>
      </c>
      <c r="AF1203" t="s">
        <v>91</v>
      </c>
      <c r="AG1203" s="1" t="s">
        <v>91</v>
      </c>
      <c r="AH1203" s="1" t="s">
        <v>91</v>
      </c>
      <c r="AI1203" t="s">
        <v>91</v>
      </c>
      <c r="AM1203" t="s">
        <v>91</v>
      </c>
      <c r="AN1203" t="s">
        <v>91</v>
      </c>
      <c r="AO1203" t="s">
        <v>91</v>
      </c>
      <c r="AP1203" t="s">
        <v>91</v>
      </c>
      <c r="AQ1203" s="1" t="s">
        <v>91</v>
      </c>
      <c r="AR1203" s="1" t="s">
        <v>91</v>
      </c>
      <c r="AS1203" s="1" t="s">
        <v>91</v>
      </c>
      <c r="AT1203" s="1" t="s">
        <v>91</v>
      </c>
      <c r="AU1203" s="1" t="s">
        <v>91</v>
      </c>
      <c r="AV1203" t="s">
        <v>91</v>
      </c>
      <c r="AW1203" t="s">
        <v>91</v>
      </c>
      <c r="AX1203" t="s">
        <v>91</v>
      </c>
      <c r="AY1203" t="s">
        <v>91</v>
      </c>
      <c r="AZ1203" t="s">
        <v>91</v>
      </c>
      <c r="BA1203" t="s">
        <v>91</v>
      </c>
      <c r="BB1203" s="2">
        <v>45118.097175925926</v>
      </c>
      <c r="BC1203" s="2"/>
      <c r="BD1203" t="s">
        <v>91</v>
      </c>
      <c r="BF1203" s="1" t="s">
        <v>75</v>
      </c>
      <c r="BI1203" s="1" t="s">
        <v>88</v>
      </c>
      <c r="BJ1203">
        <v>1</v>
      </c>
      <c r="BK1203" s="1" t="s">
        <v>89</v>
      </c>
      <c r="BL1203" t="s">
        <v>91</v>
      </c>
      <c r="BM1203" s="1" t="s">
        <v>91</v>
      </c>
      <c r="BN1203" s="1" t="s">
        <v>91</v>
      </c>
      <c r="BO1203" s="1" t="s">
        <v>91</v>
      </c>
      <c r="BP1203" s="1" t="s">
        <v>91</v>
      </c>
      <c r="BQ1203" t="s">
        <v>91</v>
      </c>
      <c r="BR1203" s="3">
        <v>45118</v>
      </c>
      <c r="BS1203" s="3"/>
      <c r="BT1203" t="s">
        <v>91</v>
      </c>
      <c r="BU1203" t="s">
        <v>91</v>
      </c>
      <c r="BW1203" s="1" t="s">
        <v>90</v>
      </c>
    </row>
    <row r="1204" spans="1:75" hidden="1" x14ac:dyDescent="0.35">
      <c r="A1204">
        <v>144688</v>
      </c>
      <c r="B1204" s="1" t="s">
        <v>75</v>
      </c>
      <c r="C1204">
        <v>80</v>
      </c>
      <c r="D1204">
        <v>11121002</v>
      </c>
      <c r="E1204">
        <v>121002</v>
      </c>
      <c r="F1204" s="1" t="s">
        <v>2915</v>
      </c>
      <c r="G1204" s="1" t="s">
        <v>6575</v>
      </c>
      <c r="I1204" s="1" t="s">
        <v>78</v>
      </c>
      <c r="J1204" s="1" t="s">
        <v>6576</v>
      </c>
      <c r="K1204" s="1" t="s">
        <v>6577</v>
      </c>
      <c r="L1204" t="s">
        <v>91</v>
      </c>
      <c r="M1204" t="s">
        <v>91</v>
      </c>
      <c r="N1204" s="1" t="s">
        <v>3992</v>
      </c>
      <c r="O1204" t="s">
        <v>91</v>
      </c>
      <c r="P1204" s="1" t="s">
        <v>5386</v>
      </c>
      <c r="Q1204" s="1" t="s">
        <v>933</v>
      </c>
      <c r="R1204" s="1" t="s">
        <v>6578</v>
      </c>
      <c r="S1204">
        <v>1269</v>
      </c>
      <c r="T1204">
        <v>88813390</v>
      </c>
      <c r="U1204" s="1" t="s">
        <v>3921</v>
      </c>
      <c r="V1204" s="1" t="s">
        <v>3231</v>
      </c>
      <c r="W1204" s="1" t="s">
        <v>87</v>
      </c>
      <c r="X1204">
        <v>48</v>
      </c>
      <c r="Y1204">
        <v>21018990</v>
      </c>
      <c r="Z1204" t="s">
        <v>91</v>
      </c>
      <c r="AA1204" t="s">
        <v>91</v>
      </c>
      <c r="AB1204" t="s">
        <v>91</v>
      </c>
      <c r="AC1204" t="s">
        <v>91</v>
      </c>
      <c r="AD1204" t="s">
        <v>91</v>
      </c>
      <c r="AE1204" t="s">
        <v>91</v>
      </c>
      <c r="AF1204" t="s">
        <v>91</v>
      </c>
      <c r="AG1204" s="1" t="s">
        <v>91</v>
      </c>
      <c r="AH1204" s="1" t="s">
        <v>91</v>
      </c>
      <c r="AI1204" t="s">
        <v>91</v>
      </c>
      <c r="AJ1204">
        <v>0</v>
      </c>
      <c r="AK1204">
        <v>0</v>
      </c>
      <c r="AL1204">
        <v>0</v>
      </c>
      <c r="AM1204" t="s">
        <v>91</v>
      </c>
      <c r="AN1204" t="s">
        <v>91</v>
      </c>
      <c r="AO1204" t="s">
        <v>91</v>
      </c>
      <c r="AP1204" t="s">
        <v>91</v>
      </c>
      <c r="AQ1204" s="1" t="s">
        <v>91</v>
      </c>
      <c r="AR1204" s="1" t="s">
        <v>91</v>
      </c>
      <c r="AS1204" s="1" t="s">
        <v>91</v>
      </c>
      <c r="AT1204" s="1" t="s">
        <v>91</v>
      </c>
      <c r="AU1204" s="1" t="s">
        <v>91</v>
      </c>
      <c r="AV1204" t="s">
        <v>91</v>
      </c>
      <c r="AW1204" t="s">
        <v>91</v>
      </c>
      <c r="AX1204" t="s">
        <v>91</v>
      </c>
      <c r="AY1204" t="s">
        <v>91</v>
      </c>
      <c r="AZ1204" t="s">
        <v>91</v>
      </c>
      <c r="BA1204" t="s">
        <v>91</v>
      </c>
      <c r="BB1204" s="2"/>
      <c r="BC1204" s="2"/>
      <c r="BD1204" t="s">
        <v>91</v>
      </c>
      <c r="BF1204" s="1" t="s">
        <v>75</v>
      </c>
      <c r="BG1204">
        <v>0</v>
      </c>
      <c r="BH1204">
        <v>0</v>
      </c>
      <c r="BI1204" s="1" t="s">
        <v>88</v>
      </c>
      <c r="BJ1204">
        <v>1</v>
      </c>
      <c r="BK1204" s="1" t="s">
        <v>89</v>
      </c>
      <c r="BL1204" t="s">
        <v>91</v>
      </c>
      <c r="BM1204" s="1" t="s">
        <v>109</v>
      </c>
      <c r="BN1204" s="1" t="s">
        <v>110</v>
      </c>
      <c r="BO1204" s="1" t="s">
        <v>1040</v>
      </c>
      <c r="BP1204" s="1" t="s">
        <v>91</v>
      </c>
      <c r="BQ1204" t="s">
        <v>91</v>
      </c>
      <c r="BR1204" s="3"/>
      <c r="BS1204" s="3"/>
      <c r="BT1204" t="s">
        <v>91</v>
      </c>
      <c r="BU1204" t="s">
        <v>91</v>
      </c>
      <c r="BV1204">
        <v>9</v>
      </c>
      <c r="BW1204" s="1" t="s">
        <v>90</v>
      </c>
    </row>
    <row r="1205" spans="1:75" hidden="1" x14ac:dyDescent="0.35">
      <c r="A1205">
        <v>156890</v>
      </c>
      <c r="B1205" s="1" t="s">
        <v>75</v>
      </c>
      <c r="C1205">
        <v>80</v>
      </c>
      <c r="D1205">
        <v>11121002</v>
      </c>
      <c r="E1205">
        <v>121002</v>
      </c>
      <c r="F1205" s="1" t="s">
        <v>2915</v>
      </c>
      <c r="G1205" s="1" t="s">
        <v>6579</v>
      </c>
      <c r="H1205">
        <v>0</v>
      </c>
      <c r="I1205" s="1" t="s">
        <v>78</v>
      </c>
      <c r="J1205" s="1" t="s">
        <v>6580</v>
      </c>
      <c r="K1205" s="1" t="s">
        <v>6581</v>
      </c>
      <c r="L1205" t="s">
        <v>91</v>
      </c>
      <c r="M1205" t="s">
        <v>91</v>
      </c>
      <c r="N1205" s="1" t="s">
        <v>6305</v>
      </c>
      <c r="O1205" t="s">
        <v>91</v>
      </c>
      <c r="P1205" s="1" t="s">
        <v>3142</v>
      </c>
      <c r="Q1205" s="1" t="s">
        <v>3749</v>
      </c>
      <c r="R1205" s="1" t="s">
        <v>4088</v>
      </c>
      <c r="S1205">
        <v>1259</v>
      </c>
      <c r="T1205">
        <v>88102000</v>
      </c>
      <c r="U1205" s="1" t="s">
        <v>3015</v>
      </c>
      <c r="V1205" s="1" t="s">
        <v>2958</v>
      </c>
      <c r="W1205" s="1" t="s">
        <v>87</v>
      </c>
      <c r="X1205">
        <v>48</v>
      </c>
      <c r="Y1205">
        <v>32247135</v>
      </c>
      <c r="Z1205" t="s">
        <v>91</v>
      </c>
      <c r="AA1205" t="s">
        <v>91</v>
      </c>
      <c r="AB1205" t="s">
        <v>91</v>
      </c>
      <c r="AC1205" t="s">
        <v>91</v>
      </c>
      <c r="AD1205" t="s">
        <v>91</v>
      </c>
      <c r="AE1205" t="s">
        <v>91</v>
      </c>
      <c r="AF1205" t="s">
        <v>91</v>
      </c>
      <c r="AG1205" s="1" t="s">
        <v>91</v>
      </c>
      <c r="AH1205" s="1" t="s">
        <v>91</v>
      </c>
      <c r="AI1205" t="s">
        <v>91</v>
      </c>
      <c r="AM1205" t="s">
        <v>91</v>
      </c>
      <c r="AN1205" t="s">
        <v>91</v>
      </c>
      <c r="AO1205" t="s">
        <v>91</v>
      </c>
      <c r="AP1205" t="s">
        <v>91</v>
      </c>
      <c r="AQ1205" s="1" t="s">
        <v>91</v>
      </c>
      <c r="AR1205" s="1" t="s">
        <v>91</v>
      </c>
      <c r="AS1205" s="1" t="s">
        <v>91</v>
      </c>
      <c r="AT1205" s="1" t="s">
        <v>91</v>
      </c>
      <c r="AU1205" s="1" t="s">
        <v>91</v>
      </c>
      <c r="AV1205" t="s">
        <v>91</v>
      </c>
      <c r="AW1205" t="s">
        <v>91</v>
      </c>
      <c r="AX1205" t="s">
        <v>91</v>
      </c>
      <c r="AY1205" t="s">
        <v>91</v>
      </c>
      <c r="AZ1205" t="s">
        <v>91</v>
      </c>
      <c r="BA1205" t="s">
        <v>91</v>
      </c>
      <c r="BB1205" s="2">
        <v>45113.505416666667</v>
      </c>
      <c r="BC1205" s="2"/>
      <c r="BD1205" t="s">
        <v>91</v>
      </c>
      <c r="BF1205" s="1" t="s">
        <v>75</v>
      </c>
      <c r="BI1205" s="1" t="s">
        <v>88</v>
      </c>
      <c r="BJ1205">
        <v>1</v>
      </c>
      <c r="BK1205" s="1" t="s">
        <v>89</v>
      </c>
      <c r="BL1205" t="s">
        <v>91</v>
      </c>
      <c r="BM1205" s="1" t="s">
        <v>91</v>
      </c>
      <c r="BN1205" s="1" t="s">
        <v>91</v>
      </c>
      <c r="BO1205" s="1" t="s">
        <v>91</v>
      </c>
      <c r="BP1205" s="1" t="s">
        <v>91</v>
      </c>
      <c r="BQ1205" t="s">
        <v>91</v>
      </c>
      <c r="BR1205" s="3">
        <v>45113</v>
      </c>
      <c r="BS1205" s="3"/>
      <c r="BT1205" t="s">
        <v>91</v>
      </c>
      <c r="BU1205" t="s">
        <v>91</v>
      </c>
      <c r="BW1205" s="1" t="s">
        <v>90</v>
      </c>
    </row>
    <row r="1206" spans="1:75" hidden="1" x14ac:dyDescent="0.35">
      <c r="A1206">
        <v>156933</v>
      </c>
      <c r="B1206" s="1" t="s">
        <v>75</v>
      </c>
      <c r="C1206">
        <v>80</v>
      </c>
      <c r="D1206">
        <v>11121002</v>
      </c>
      <c r="E1206">
        <v>121002</v>
      </c>
      <c r="F1206" s="1" t="s">
        <v>2915</v>
      </c>
      <c r="G1206" s="1" t="s">
        <v>6582</v>
      </c>
      <c r="H1206">
        <v>0</v>
      </c>
      <c r="I1206" s="1" t="s">
        <v>78</v>
      </c>
      <c r="J1206" s="1" t="s">
        <v>6583</v>
      </c>
      <c r="K1206" s="1" t="s">
        <v>6584</v>
      </c>
      <c r="L1206" t="s">
        <v>91</v>
      </c>
      <c r="M1206" t="s">
        <v>91</v>
      </c>
      <c r="N1206" s="1" t="s">
        <v>6305</v>
      </c>
      <c r="O1206" t="s">
        <v>91</v>
      </c>
      <c r="P1206" s="1" t="s">
        <v>6585</v>
      </c>
      <c r="Q1206" s="1" t="s">
        <v>3057</v>
      </c>
      <c r="R1206" s="1" t="s">
        <v>6586</v>
      </c>
      <c r="S1206">
        <v>1268</v>
      </c>
      <c r="T1206">
        <v>88705003</v>
      </c>
      <c r="U1206" s="1" t="s">
        <v>3058</v>
      </c>
      <c r="V1206" s="1" t="s">
        <v>3900</v>
      </c>
      <c r="W1206" s="1" t="s">
        <v>87</v>
      </c>
      <c r="X1206">
        <v>48</v>
      </c>
      <c r="Y1206">
        <v>30523181</v>
      </c>
      <c r="Z1206" t="s">
        <v>91</v>
      </c>
      <c r="AA1206" t="s">
        <v>91</v>
      </c>
      <c r="AB1206" t="s">
        <v>91</v>
      </c>
      <c r="AC1206" t="s">
        <v>91</v>
      </c>
      <c r="AD1206" t="s">
        <v>91</v>
      </c>
      <c r="AE1206" t="s">
        <v>91</v>
      </c>
      <c r="AF1206" t="s">
        <v>91</v>
      </c>
      <c r="AG1206" s="1" t="s">
        <v>91</v>
      </c>
      <c r="AH1206" s="1" t="s">
        <v>91</v>
      </c>
      <c r="AI1206" t="s">
        <v>91</v>
      </c>
      <c r="AM1206" t="s">
        <v>91</v>
      </c>
      <c r="AN1206" t="s">
        <v>91</v>
      </c>
      <c r="AO1206" t="s">
        <v>91</v>
      </c>
      <c r="AP1206" t="s">
        <v>91</v>
      </c>
      <c r="AQ1206" s="1" t="s">
        <v>91</v>
      </c>
      <c r="AR1206" s="1" t="s">
        <v>91</v>
      </c>
      <c r="AS1206" s="1" t="s">
        <v>91</v>
      </c>
      <c r="AT1206" s="1" t="s">
        <v>91</v>
      </c>
      <c r="AU1206" s="1" t="s">
        <v>91</v>
      </c>
      <c r="AV1206" t="s">
        <v>91</v>
      </c>
      <c r="AW1206" t="s">
        <v>91</v>
      </c>
      <c r="AX1206" t="s">
        <v>91</v>
      </c>
      <c r="AY1206" t="s">
        <v>91</v>
      </c>
      <c r="AZ1206" t="s">
        <v>91</v>
      </c>
      <c r="BA1206" t="s">
        <v>91</v>
      </c>
      <c r="BB1206" s="2">
        <v>45113.505416666667</v>
      </c>
      <c r="BC1206" s="2"/>
      <c r="BD1206" t="s">
        <v>91</v>
      </c>
      <c r="BF1206" s="1" t="s">
        <v>75</v>
      </c>
      <c r="BI1206" s="1" t="s">
        <v>88</v>
      </c>
      <c r="BJ1206">
        <v>1</v>
      </c>
      <c r="BK1206" s="1" t="s">
        <v>89</v>
      </c>
      <c r="BL1206" t="s">
        <v>91</v>
      </c>
      <c r="BM1206" s="1" t="s">
        <v>91</v>
      </c>
      <c r="BN1206" s="1" t="s">
        <v>91</v>
      </c>
      <c r="BO1206" s="1" t="s">
        <v>91</v>
      </c>
      <c r="BP1206" s="1" t="s">
        <v>91</v>
      </c>
      <c r="BQ1206" t="s">
        <v>91</v>
      </c>
      <c r="BR1206" s="3">
        <v>45113</v>
      </c>
      <c r="BS1206" s="3"/>
      <c r="BT1206" t="s">
        <v>91</v>
      </c>
      <c r="BU1206" t="s">
        <v>91</v>
      </c>
      <c r="BW1206" s="1" t="s">
        <v>90</v>
      </c>
    </row>
    <row r="1207" spans="1:75" hidden="1" x14ac:dyDescent="0.35">
      <c r="A1207">
        <v>54</v>
      </c>
      <c r="B1207" s="1" t="s">
        <v>75</v>
      </c>
      <c r="C1207">
        <v>80</v>
      </c>
      <c r="D1207">
        <v>11121002</v>
      </c>
      <c r="E1207">
        <v>121002</v>
      </c>
      <c r="F1207" s="1" t="s">
        <v>2915</v>
      </c>
      <c r="G1207" s="1" t="s">
        <v>6587</v>
      </c>
      <c r="I1207" s="1" t="s">
        <v>78</v>
      </c>
      <c r="J1207" s="1" t="s">
        <v>6588</v>
      </c>
      <c r="K1207" s="1" t="s">
        <v>6589</v>
      </c>
      <c r="L1207" t="s">
        <v>91</v>
      </c>
      <c r="M1207" t="s">
        <v>91</v>
      </c>
      <c r="N1207" s="1" t="s">
        <v>3817</v>
      </c>
      <c r="O1207" t="s">
        <v>91</v>
      </c>
      <c r="P1207" s="1" t="s">
        <v>3893</v>
      </c>
      <c r="Q1207" s="1" t="s">
        <v>862</v>
      </c>
      <c r="R1207" s="1" t="s">
        <v>91</v>
      </c>
      <c r="S1207">
        <v>1269</v>
      </c>
      <c r="T1207">
        <v>88801050</v>
      </c>
      <c r="U1207" s="1" t="s">
        <v>108</v>
      </c>
      <c r="V1207" s="1" t="s">
        <v>3231</v>
      </c>
      <c r="W1207" s="1" t="s">
        <v>87</v>
      </c>
      <c r="X1207">
        <v>48</v>
      </c>
      <c r="Y1207">
        <v>34330526</v>
      </c>
      <c r="Z1207" t="s">
        <v>91</v>
      </c>
      <c r="AA1207" t="s">
        <v>91</v>
      </c>
      <c r="AB1207" t="s">
        <v>91</v>
      </c>
      <c r="AC1207" t="s">
        <v>91</v>
      </c>
      <c r="AD1207" t="s">
        <v>91</v>
      </c>
      <c r="AE1207" t="s">
        <v>91</v>
      </c>
      <c r="AF1207" t="s">
        <v>91</v>
      </c>
      <c r="AG1207" s="1" t="s">
        <v>91</v>
      </c>
      <c r="AH1207" s="1" t="s">
        <v>91</v>
      </c>
      <c r="AI1207" t="s">
        <v>91</v>
      </c>
      <c r="AJ1207">
        <v>0</v>
      </c>
      <c r="AK1207">
        <v>0</v>
      </c>
      <c r="AL1207">
        <v>0</v>
      </c>
      <c r="AM1207" t="s">
        <v>91</v>
      </c>
      <c r="AN1207" t="s">
        <v>91</v>
      </c>
      <c r="AO1207" t="s">
        <v>91</v>
      </c>
      <c r="AP1207" t="s">
        <v>91</v>
      </c>
      <c r="AQ1207" s="1" t="s">
        <v>91</v>
      </c>
      <c r="AR1207" s="1" t="s">
        <v>91</v>
      </c>
      <c r="AS1207" s="1" t="s">
        <v>91</v>
      </c>
      <c r="AT1207" s="1" t="s">
        <v>91</v>
      </c>
      <c r="AU1207" s="1" t="s">
        <v>91</v>
      </c>
      <c r="AV1207" t="s">
        <v>91</v>
      </c>
      <c r="AW1207" t="s">
        <v>91</v>
      </c>
      <c r="AX1207" t="s">
        <v>91</v>
      </c>
      <c r="AY1207" t="s">
        <v>91</v>
      </c>
      <c r="AZ1207" t="s">
        <v>91</v>
      </c>
      <c r="BA1207" t="s">
        <v>91</v>
      </c>
      <c r="BB1207" s="2">
        <v>43308.392731481479</v>
      </c>
      <c r="BC1207" s="2"/>
      <c r="BD1207" t="s">
        <v>91</v>
      </c>
      <c r="BE1207">
        <v>54</v>
      </c>
      <c r="BF1207" s="1" t="s">
        <v>75</v>
      </c>
      <c r="BG1207">
        <v>0</v>
      </c>
      <c r="BH1207">
        <v>0</v>
      </c>
      <c r="BI1207" s="1" t="s">
        <v>88</v>
      </c>
      <c r="BJ1207">
        <v>1</v>
      </c>
      <c r="BK1207" s="1" t="s">
        <v>89</v>
      </c>
      <c r="BL1207" t="s">
        <v>91</v>
      </c>
      <c r="BM1207" s="1" t="s">
        <v>329</v>
      </c>
      <c r="BN1207" s="1" t="s">
        <v>110</v>
      </c>
      <c r="BO1207" s="1" t="s">
        <v>165</v>
      </c>
      <c r="BP1207" s="1" t="s">
        <v>91</v>
      </c>
      <c r="BQ1207" t="s">
        <v>91</v>
      </c>
      <c r="BR1207" s="3">
        <v>43308</v>
      </c>
      <c r="BS1207" s="3"/>
      <c r="BT1207" t="s">
        <v>91</v>
      </c>
      <c r="BU1207" t="s">
        <v>91</v>
      </c>
      <c r="BV1207">
        <v>9</v>
      </c>
      <c r="BW1207" s="1" t="s">
        <v>90</v>
      </c>
    </row>
    <row r="1208" spans="1:75" hidden="1" x14ac:dyDescent="0.35">
      <c r="A1208">
        <v>134513</v>
      </c>
      <c r="B1208" s="1" t="s">
        <v>75</v>
      </c>
      <c r="C1208">
        <v>80</v>
      </c>
      <c r="D1208">
        <v>11121002</v>
      </c>
      <c r="E1208">
        <v>121002</v>
      </c>
      <c r="F1208" s="1" t="s">
        <v>2915</v>
      </c>
      <c r="G1208" s="1" t="s">
        <v>6590</v>
      </c>
      <c r="I1208" s="1" t="s">
        <v>78</v>
      </c>
      <c r="J1208" s="1" t="s">
        <v>6591</v>
      </c>
      <c r="K1208" s="1" t="s">
        <v>6592</v>
      </c>
      <c r="L1208" t="s">
        <v>91</v>
      </c>
      <c r="M1208" t="s">
        <v>91</v>
      </c>
      <c r="N1208" s="1" t="s">
        <v>4003</v>
      </c>
      <c r="O1208" t="s">
        <v>91</v>
      </c>
      <c r="P1208" s="1" t="s">
        <v>6593</v>
      </c>
      <c r="Q1208" s="1" t="s">
        <v>4345</v>
      </c>
      <c r="R1208" s="1" t="s">
        <v>6594</v>
      </c>
      <c r="S1208">
        <v>1257</v>
      </c>
      <c r="T1208">
        <v>88032000</v>
      </c>
      <c r="U1208" s="1" t="s">
        <v>3519</v>
      </c>
      <c r="V1208" s="1" t="s">
        <v>3102</v>
      </c>
      <c r="W1208" s="1" t="s">
        <v>87</v>
      </c>
      <c r="X1208">
        <v>48</v>
      </c>
      <c r="Y1208">
        <v>32344552</v>
      </c>
      <c r="Z1208" t="s">
        <v>91</v>
      </c>
      <c r="AA1208" t="s">
        <v>91</v>
      </c>
      <c r="AB1208" t="s">
        <v>91</v>
      </c>
      <c r="AC1208" t="s">
        <v>91</v>
      </c>
      <c r="AD1208" t="s">
        <v>91</v>
      </c>
      <c r="AE1208" t="s">
        <v>91</v>
      </c>
      <c r="AF1208" t="s">
        <v>91</v>
      </c>
      <c r="AG1208" s="1" t="s">
        <v>146</v>
      </c>
      <c r="AH1208" s="1" t="s">
        <v>91</v>
      </c>
      <c r="AI1208" t="s">
        <v>91</v>
      </c>
      <c r="AM1208" t="s">
        <v>91</v>
      </c>
      <c r="AN1208" t="s">
        <v>91</v>
      </c>
      <c r="AO1208" t="s">
        <v>91</v>
      </c>
      <c r="AP1208" t="s">
        <v>91</v>
      </c>
      <c r="AQ1208" s="1" t="s">
        <v>147</v>
      </c>
      <c r="AR1208" s="1" t="s">
        <v>147</v>
      </c>
      <c r="AS1208" s="1" t="s">
        <v>147</v>
      </c>
      <c r="AT1208" s="1" t="s">
        <v>147</v>
      </c>
      <c r="AU1208" s="1" t="s">
        <v>147</v>
      </c>
      <c r="AV1208" t="s">
        <v>91</v>
      </c>
      <c r="AW1208" t="s">
        <v>91</v>
      </c>
      <c r="AX1208" t="s">
        <v>91</v>
      </c>
      <c r="AY1208" t="s">
        <v>91</v>
      </c>
      <c r="AZ1208" t="s">
        <v>91</v>
      </c>
      <c r="BA1208" t="s">
        <v>91</v>
      </c>
      <c r="BB1208" s="2"/>
      <c r="BC1208" s="2">
        <v>45114.699525462966</v>
      </c>
      <c r="BD1208" t="s">
        <v>91</v>
      </c>
      <c r="BF1208" s="1" t="s">
        <v>75</v>
      </c>
      <c r="BH1208">
        <v>0</v>
      </c>
      <c r="BI1208" s="1" t="s">
        <v>88</v>
      </c>
      <c r="BJ1208">
        <v>1</v>
      </c>
      <c r="BK1208" s="1" t="s">
        <v>89</v>
      </c>
      <c r="BL1208" t="s">
        <v>91</v>
      </c>
      <c r="BM1208" s="1" t="s">
        <v>164</v>
      </c>
      <c r="BN1208" s="1" t="s">
        <v>110</v>
      </c>
      <c r="BO1208" s="1" t="s">
        <v>165</v>
      </c>
      <c r="BP1208" s="1" t="s">
        <v>91</v>
      </c>
      <c r="BQ1208" t="s">
        <v>91</v>
      </c>
      <c r="BR1208" s="3"/>
      <c r="BS1208" s="3">
        <v>45114</v>
      </c>
      <c r="BT1208" t="s">
        <v>91</v>
      </c>
      <c r="BU1208" t="s">
        <v>91</v>
      </c>
      <c r="BV1208">
        <v>1</v>
      </c>
      <c r="BW1208" s="1" t="s">
        <v>1881</v>
      </c>
    </row>
    <row r="1209" spans="1:75" hidden="1" x14ac:dyDescent="0.35">
      <c r="A1209">
        <v>134399</v>
      </c>
      <c r="B1209" s="1" t="s">
        <v>75</v>
      </c>
      <c r="C1209">
        <v>80</v>
      </c>
      <c r="D1209">
        <v>11121002</v>
      </c>
      <c r="E1209">
        <v>121002</v>
      </c>
      <c r="F1209" s="1" t="s">
        <v>2915</v>
      </c>
      <c r="G1209" s="1" t="s">
        <v>6595</v>
      </c>
      <c r="I1209" s="1" t="s">
        <v>78</v>
      </c>
      <c r="J1209" s="1" t="s">
        <v>6591</v>
      </c>
      <c r="K1209" s="1" t="s">
        <v>6596</v>
      </c>
      <c r="L1209" t="s">
        <v>91</v>
      </c>
      <c r="M1209" t="s">
        <v>91</v>
      </c>
      <c r="N1209" s="1" t="s">
        <v>6597</v>
      </c>
      <c r="O1209" t="s">
        <v>91</v>
      </c>
      <c r="P1209" s="1" t="s">
        <v>4384</v>
      </c>
      <c r="Q1209" s="1" t="s">
        <v>4385</v>
      </c>
      <c r="R1209" s="1" t="s">
        <v>4005</v>
      </c>
      <c r="S1209">
        <v>1257</v>
      </c>
      <c r="T1209">
        <v>88036002</v>
      </c>
      <c r="U1209" s="1" t="s">
        <v>4386</v>
      </c>
      <c r="V1209" s="1" t="s">
        <v>2922</v>
      </c>
      <c r="W1209" s="1" t="s">
        <v>87</v>
      </c>
      <c r="X1209">
        <v>48</v>
      </c>
      <c r="Y1209">
        <v>33651974</v>
      </c>
      <c r="Z1209" t="s">
        <v>91</v>
      </c>
      <c r="AA1209" t="s">
        <v>91</v>
      </c>
      <c r="AB1209" t="s">
        <v>91</v>
      </c>
      <c r="AC1209" t="s">
        <v>91</v>
      </c>
      <c r="AD1209" t="s">
        <v>91</v>
      </c>
      <c r="AE1209" t="s">
        <v>91</v>
      </c>
      <c r="AF1209" t="s">
        <v>91</v>
      </c>
      <c r="AG1209" s="1" t="s">
        <v>91</v>
      </c>
      <c r="AH1209" s="1" t="s">
        <v>91</v>
      </c>
      <c r="AI1209" t="s">
        <v>91</v>
      </c>
      <c r="AM1209" t="s">
        <v>91</v>
      </c>
      <c r="AN1209" t="s">
        <v>91</v>
      </c>
      <c r="AO1209" t="s">
        <v>91</v>
      </c>
      <c r="AP1209" t="s">
        <v>91</v>
      </c>
      <c r="AQ1209" s="1" t="s">
        <v>91</v>
      </c>
      <c r="AR1209" s="1" t="s">
        <v>91</v>
      </c>
      <c r="AS1209" s="1" t="s">
        <v>91</v>
      </c>
      <c r="AT1209" s="1" t="s">
        <v>91</v>
      </c>
      <c r="AU1209" s="1" t="s">
        <v>91</v>
      </c>
      <c r="AV1209" t="s">
        <v>91</v>
      </c>
      <c r="AW1209" t="s">
        <v>91</v>
      </c>
      <c r="AX1209" t="s">
        <v>91</v>
      </c>
      <c r="AY1209" t="s">
        <v>91</v>
      </c>
      <c r="AZ1209" t="s">
        <v>91</v>
      </c>
      <c r="BA1209" t="s">
        <v>91</v>
      </c>
      <c r="BB1209" s="2"/>
      <c r="BC1209" s="2"/>
      <c r="BD1209" t="s">
        <v>91</v>
      </c>
      <c r="BF1209" s="1" t="s">
        <v>75</v>
      </c>
      <c r="BI1209" s="1" t="s">
        <v>88</v>
      </c>
      <c r="BJ1209">
        <v>1</v>
      </c>
      <c r="BK1209" s="1" t="s">
        <v>89</v>
      </c>
      <c r="BL1209" t="s">
        <v>91</v>
      </c>
      <c r="BM1209" s="1" t="s">
        <v>164</v>
      </c>
      <c r="BN1209" s="1" t="s">
        <v>110</v>
      </c>
      <c r="BO1209" s="1" t="s">
        <v>165</v>
      </c>
      <c r="BP1209" s="1" t="s">
        <v>91</v>
      </c>
      <c r="BQ1209" t="s">
        <v>91</v>
      </c>
      <c r="BR1209" s="3"/>
      <c r="BS1209" s="3"/>
      <c r="BT1209" t="s">
        <v>91</v>
      </c>
      <c r="BU1209" t="s">
        <v>91</v>
      </c>
      <c r="BV1209">
        <v>1</v>
      </c>
      <c r="BW1209" s="1" t="s">
        <v>1038</v>
      </c>
    </row>
    <row r="1210" spans="1:75" hidden="1" x14ac:dyDescent="0.35">
      <c r="A1210">
        <v>144822</v>
      </c>
      <c r="B1210" s="1" t="s">
        <v>75</v>
      </c>
      <c r="C1210">
        <v>80</v>
      </c>
      <c r="D1210">
        <v>11121002</v>
      </c>
      <c r="E1210">
        <v>121002</v>
      </c>
      <c r="F1210" s="1" t="s">
        <v>2915</v>
      </c>
      <c r="G1210" s="1" t="s">
        <v>6598</v>
      </c>
      <c r="I1210" s="1" t="s">
        <v>78</v>
      </c>
      <c r="J1210" s="1" t="s">
        <v>6599</v>
      </c>
      <c r="K1210" s="1" t="s">
        <v>6600</v>
      </c>
      <c r="L1210" t="s">
        <v>91</v>
      </c>
      <c r="M1210" t="s">
        <v>91</v>
      </c>
      <c r="N1210" s="1" t="s">
        <v>6601</v>
      </c>
      <c r="O1210" t="s">
        <v>91</v>
      </c>
      <c r="P1210" s="1" t="s">
        <v>4291</v>
      </c>
      <c r="Q1210" s="1" t="s">
        <v>504</v>
      </c>
      <c r="R1210" s="1" t="s">
        <v>98</v>
      </c>
      <c r="S1210">
        <v>1269</v>
      </c>
      <c r="T1210">
        <v>88801055</v>
      </c>
      <c r="U1210" s="1" t="s">
        <v>108</v>
      </c>
      <c r="V1210" s="1" t="s">
        <v>3231</v>
      </c>
      <c r="W1210" s="1" t="s">
        <v>87</v>
      </c>
      <c r="X1210">
        <v>48</v>
      </c>
      <c r="Y1210">
        <v>34393158</v>
      </c>
      <c r="Z1210" t="s">
        <v>91</v>
      </c>
      <c r="AA1210" t="s">
        <v>91</v>
      </c>
      <c r="AB1210" t="s">
        <v>91</v>
      </c>
      <c r="AC1210" t="s">
        <v>91</v>
      </c>
      <c r="AD1210" t="s">
        <v>91</v>
      </c>
      <c r="AE1210" t="s">
        <v>91</v>
      </c>
      <c r="AF1210" t="s">
        <v>91</v>
      </c>
      <c r="AG1210" s="1" t="s">
        <v>91</v>
      </c>
      <c r="AH1210" s="1" t="s">
        <v>91</v>
      </c>
      <c r="AI1210" t="s">
        <v>91</v>
      </c>
      <c r="AJ1210">
        <v>0</v>
      </c>
      <c r="AK1210">
        <v>0</v>
      </c>
      <c r="AL1210">
        <v>0</v>
      </c>
      <c r="AM1210" t="s">
        <v>91</v>
      </c>
      <c r="AN1210" t="s">
        <v>91</v>
      </c>
      <c r="AO1210" t="s">
        <v>91</v>
      </c>
      <c r="AP1210" t="s">
        <v>91</v>
      </c>
      <c r="AQ1210" s="1" t="s">
        <v>91</v>
      </c>
      <c r="AR1210" s="1" t="s">
        <v>91</v>
      </c>
      <c r="AS1210" s="1" t="s">
        <v>91</v>
      </c>
      <c r="AT1210" s="1" t="s">
        <v>91</v>
      </c>
      <c r="AU1210" s="1" t="s">
        <v>91</v>
      </c>
      <c r="AV1210" t="s">
        <v>91</v>
      </c>
      <c r="AW1210" t="s">
        <v>91</v>
      </c>
      <c r="AX1210" t="s">
        <v>91</v>
      </c>
      <c r="AY1210" t="s">
        <v>91</v>
      </c>
      <c r="AZ1210" t="s">
        <v>91</v>
      </c>
      <c r="BA1210" t="s">
        <v>91</v>
      </c>
      <c r="BB1210" s="2"/>
      <c r="BC1210" s="2"/>
      <c r="BD1210" t="s">
        <v>91</v>
      </c>
      <c r="BF1210" s="1" t="s">
        <v>75</v>
      </c>
      <c r="BG1210">
        <v>0</v>
      </c>
      <c r="BH1210">
        <v>0</v>
      </c>
      <c r="BI1210" s="1" t="s">
        <v>88</v>
      </c>
      <c r="BJ1210">
        <v>1</v>
      </c>
      <c r="BK1210" s="1" t="s">
        <v>89</v>
      </c>
      <c r="BL1210" t="s">
        <v>91</v>
      </c>
      <c r="BM1210" s="1" t="s">
        <v>109</v>
      </c>
      <c r="BN1210" s="1" t="s">
        <v>110</v>
      </c>
      <c r="BO1210" s="1" t="s">
        <v>128</v>
      </c>
      <c r="BP1210" s="1" t="s">
        <v>91</v>
      </c>
      <c r="BQ1210" t="s">
        <v>91</v>
      </c>
      <c r="BR1210" s="3"/>
      <c r="BS1210" s="3"/>
      <c r="BT1210" t="s">
        <v>91</v>
      </c>
      <c r="BU1210" t="s">
        <v>91</v>
      </c>
      <c r="BW1210" s="1" t="s">
        <v>1228</v>
      </c>
    </row>
    <row r="1211" spans="1:75" hidden="1" x14ac:dyDescent="0.35">
      <c r="A1211">
        <v>134485</v>
      </c>
      <c r="B1211" s="1" t="s">
        <v>75</v>
      </c>
      <c r="C1211">
        <v>80</v>
      </c>
      <c r="D1211">
        <v>11121002</v>
      </c>
      <c r="E1211">
        <v>121002</v>
      </c>
      <c r="F1211" s="1" t="s">
        <v>2915</v>
      </c>
      <c r="G1211" s="1" t="s">
        <v>6602</v>
      </c>
      <c r="I1211" s="1" t="s">
        <v>78</v>
      </c>
      <c r="J1211" s="1" t="s">
        <v>6603</v>
      </c>
      <c r="K1211" s="1" t="s">
        <v>6604</v>
      </c>
      <c r="L1211" t="s">
        <v>91</v>
      </c>
      <c r="M1211" t="s">
        <v>91</v>
      </c>
      <c r="N1211" s="1" t="s">
        <v>4130</v>
      </c>
      <c r="O1211" t="s">
        <v>91</v>
      </c>
      <c r="P1211" s="1" t="s">
        <v>3485</v>
      </c>
      <c r="Q1211" s="1" t="s">
        <v>2300</v>
      </c>
      <c r="R1211" s="1" t="s">
        <v>6605</v>
      </c>
      <c r="S1211">
        <v>1259</v>
      </c>
      <c r="T1211">
        <v>88117900</v>
      </c>
      <c r="U1211" s="1" t="s">
        <v>2957</v>
      </c>
      <c r="V1211" s="1" t="s">
        <v>2958</v>
      </c>
      <c r="W1211" s="1" t="s">
        <v>87</v>
      </c>
      <c r="X1211">
        <v>48</v>
      </c>
      <c r="Y1211">
        <v>30354085</v>
      </c>
      <c r="Z1211" t="s">
        <v>91</v>
      </c>
      <c r="AA1211" t="s">
        <v>91</v>
      </c>
      <c r="AB1211" t="s">
        <v>91</v>
      </c>
      <c r="AC1211" t="s">
        <v>91</v>
      </c>
      <c r="AD1211" t="s">
        <v>91</v>
      </c>
      <c r="AE1211" t="s">
        <v>91</v>
      </c>
      <c r="AF1211" t="s">
        <v>91</v>
      </c>
      <c r="AG1211" s="1" t="s">
        <v>91</v>
      </c>
      <c r="AH1211" s="1" t="s">
        <v>91</v>
      </c>
      <c r="AI1211" t="s">
        <v>91</v>
      </c>
      <c r="AM1211" t="s">
        <v>91</v>
      </c>
      <c r="AN1211" t="s">
        <v>91</v>
      </c>
      <c r="AO1211" t="s">
        <v>91</v>
      </c>
      <c r="AP1211" t="s">
        <v>91</v>
      </c>
      <c r="AQ1211" s="1" t="s">
        <v>91</v>
      </c>
      <c r="AR1211" s="1" t="s">
        <v>91</v>
      </c>
      <c r="AS1211" s="1" t="s">
        <v>91</v>
      </c>
      <c r="AT1211" s="1" t="s">
        <v>91</v>
      </c>
      <c r="AU1211" s="1" t="s">
        <v>91</v>
      </c>
      <c r="AV1211" t="s">
        <v>91</v>
      </c>
      <c r="AW1211" t="s">
        <v>91</v>
      </c>
      <c r="AX1211" t="s">
        <v>91</v>
      </c>
      <c r="AY1211" t="s">
        <v>91</v>
      </c>
      <c r="AZ1211" t="s">
        <v>91</v>
      </c>
      <c r="BA1211" t="s">
        <v>91</v>
      </c>
      <c r="BB1211" s="2"/>
      <c r="BC1211" s="2"/>
      <c r="BD1211" t="s">
        <v>91</v>
      </c>
      <c r="BF1211" s="1" t="s">
        <v>75</v>
      </c>
      <c r="BI1211" s="1" t="s">
        <v>88</v>
      </c>
      <c r="BJ1211">
        <v>1</v>
      </c>
      <c r="BK1211" s="1" t="s">
        <v>89</v>
      </c>
      <c r="BL1211" t="s">
        <v>91</v>
      </c>
      <c r="BM1211" s="1" t="s">
        <v>109</v>
      </c>
      <c r="BN1211" s="1" t="s">
        <v>110</v>
      </c>
      <c r="BO1211" s="1" t="s">
        <v>111</v>
      </c>
      <c r="BP1211" s="1" t="s">
        <v>91</v>
      </c>
      <c r="BQ1211" t="s">
        <v>91</v>
      </c>
      <c r="BR1211" s="3"/>
      <c r="BS1211" s="3"/>
      <c r="BT1211" t="s">
        <v>91</v>
      </c>
      <c r="BU1211" t="s">
        <v>91</v>
      </c>
      <c r="BV1211">
        <v>3</v>
      </c>
      <c r="BW1211" s="1" t="s">
        <v>90</v>
      </c>
    </row>
    <row r="1212" spans="1:75" hidden="1" x14ac:dyDescent="0.35">
      <c r="A1212">
        <v>134467</v>
      </c>
      <c r="B1212" s="1" t="s">
        <v>75</v>
      </c>
      <c r="C1212">
        <v>80</v>
      </c>
      <c r="D1212">
        <v>11121002</v>
      </c>
      <c r="E1212">
        <v>121002</v>
      </c>
      <c r="F1212" s="1" t="s">
        <v>2915</v>
      </c>
      <c r="G1212" s="1" t="s">
        <v>6606</v>
      </c>
      <c r="I1212" s="1" t="s">
        <v>78</v>
      </c>
      <c r="J1212" s="1" t="s">
        <v>6607</v>
      </c>
      <c r="K1212" s="1" t="s">
        <v>6608</v>
      </c>
      <c r="L1212" t="s">
        <v>91</v>
      </c>
      <c r="M1212" t="s">
        <v>91</v>
      </c>
      <c r="N1212" s="1" t="s">
        <v>3992</v>
      </c>
      <c r="O1212" t="s">
        <v>91</v>
      </c>
      <c r="P1212" s="1" t="s">
        <v>3556</v>
      </c>
      <c r="Q1212" s="1" t="s">
        <v>804</v>
      </c>
      <c r="R1212" s="1" t="s">
        <v>6609</v>
      </c>
      <c r="S1212">
        <v>1254</v>
      </c>
      <c r="T1212">
        <v>88010300</v>
      </c>
      <c r="U1212" s="1" t="s">
        <v>108</v>
      </c>
      <c r="V1212" s="1" t="s">
        <v>3102</v>
      </c>
      <c r="W1212" s="1" t="s">
        <v>87</v>
      </c>
      <c r="X1212">
        <v>48</v>
      </c>
      <c r="Y1212">
        <v>33331932</v>
      </c>
      <c r="Z1212" t="s">
        <v>91</v>
      </c>
      <c r="AA1212" t="s">
        <v>91</v>
      </c>
      <c r="AB1212" t="s">
        <v>91</v>
      </c>
      <c r="AC1212" t="s">
        <v>91</v>
      </c>
      <c r="AD1212" t="s">
        <v>91</v>
      </c>
      <c r="AE1212" t="s">
        <v>91</v>
      </c>
      <c r="AF1212" t="s">
        <v>91</v>
      </c>
      <c r="AG1212" s="1" t="s">
        <v>146</v>
      </c>
      <c r="AH1212" s="1" t="s">
        <v>91</v>
      </c>
      <c r="AI1212" t="s">
        <v>91</v>
      </c>
      <c r="AM1212" t="s">
        <v>91</v>
      </c>
      <c r="AN1212" t="s">
        <v>91</v>
      </c>
      <c r="AO1212" t="s">
        <v>91</v>
      </c>
      <c r="AP1212" t="s">
        <v>91</v>
      </c>
      <c r="AQ1212" s="1" t="s">
        <v>147</v>
      </c>
      <c r="AR1212" s="1" t="s">
        <v>147</v>
      </c>
      <c r="AS1212" s="1" t="s">
        <v>147</v>
      </c>
      <c r="AT1212" s="1" t="s">
        <v>147</v>
      </c>
      <c r="AU1212" s="1" t="s">
        <v>147</v>
      </c>
      <c r="AV1212" t="s">
        <v>91</v>
      </c>
      <c r="AW1212" t="s">
        <v>91</v>
      </c>
      <c r="AX1212" t="s">
        <v>91</v>
      </c>
      <c r="AY1212" t="s">
        <v>91</v>
      </c>
      <c r="AZ1212" t="s">
        <v>91</v>
      </c>
      <c r="BA1212" t="s">
        <v>91</v>
      </c>
      <c r="BB1212" s="2"/>
      <c r="BC1212" s="2">
        <v>44449.736562500002</v>
      </c>
      <c r="BD1212" t="s">
        <v>91</v>
      </c>
      <c r="BF1212" s="1" t="s">
        <v>75</v>
      </c>
      <c r="BH1212">
        <v>0</v>
      </c>
      <c r="BI1212" s="1" t="s">
        <v>88</v>
      </c>
      <c r="BJ1212">
        <v>1</v>
      </c>
      <c r="BK1212" s="1" t="s">
        <v>89</v>
      </c>
      <c r="BL1212" t="s">
        <v>91</v>
      </c>
      <c r="BM1212" s="1" t="s">
        <v>109</v>
      </c>
      <c r="BN1212" s="1" t="s">
        <v>110</v>
      </c>
      <c r="BO1212" s="1" t="s">
        <v>128</v>
      </c>
      <c r="BP1212" s="1" t="s">
        <v>91</v>
      </c>
      <c r="BQ1212" t="s">
        <v>91</v>
      </c>
      <c r="BR1212" s="3"/>
      <c r="BS1212" s="3">
        <v>44449</v>
      </c>
      <c r="BT1212" t="s">
        <v>91</v>
      </c>
      <c r="BU1212" t="s">
        <v>91</v>
      </c>
      <c r="BV1212">
        <v>1</v>
      </c>
      <c r="BW1212" s="1" t="s">
        <v>6610</v>
      </c>
    </row>
    <row r="1213" spans="1:75" hidden="1" x14ac:dyDescent="0.35">
      <c r="A1213">
        <v>134246</v>
      </c>
      <c r="B1213" s="1" t="s">
        <v>75</v>
      </c>
      <c r="C1213">
        <v>80</v>
      </c>
      <c r="D1213">
        <v>11121002</v>
      </c>
      <c r="E1213">
        <v>121002</v>
      </c>
      <c r="F1213" s="1" t="s">
        <v>2915</v>
      </c>
      <c r="G1213" s="1" t="s">
        <v>6611</v>
      </c>
      <c r="I1213" s="1" t="s">
        <v>78</v>
      </c>
      <c r="J1213" s="1" t="s">
        <v>6612</v>
      </c>
      <c r="K1213" s="1" t="s">
        <v>6613</v>
      </c>
      <c r="L1213" t="s">
        <v>91</v>
      </c>
      <c r="M1213" t="s">
        <v>91</v>
      </c>
      <c r="N1213" s="1" t="s">
        <v>3992</v>
      </c>
      <c r="O1213" t="s">
        <v>91</v>
      </c>
      <c r="P1213" s="1" t="s">
        <v>3652</v>
      </c>
      <c r="Q1213" s="1" t="s">
        <v>532</v>
      </c>
      <c r="R1213" s="1" t="s">
        <v>6614</v>
      </c>
      <c r="S1213">
        <v>1259</v>
      </c>
      <c r="T1213">
        <v>88104801</v>
      </c>
      <c r="U1213" s="1" t="s">
        <v>3405</v>
      </c>
      <c r="V1213" s="1" t="s">
        <v>3016</v>
      </c>
      <c r="W1213" s="1" t="s">
        <v>87</v>
      </c>
      <c r="X1213">
        <v>48</v>
      </c>
      <c r="Y1213">
        <v>30949033</v>
      </c>
      <c r="Z1213" t="s">
        <v>91</v>
      </c>
      <c r="AA1213" t="s">
        <v>91</v>
      </c>
      <c r="AB1213" t="s">
        <v>91</v>
      </c>
      <c r="AC1213" t="s">
        <v>91</v>
      </c>
      <c r="AD1213" t="s">
        <v>91</v>
      </c>
      <c r="AE1213" t="s">
        <v>91</v>
      </c>
      <c r="AF1213" t="s">
        <v>91</v>
      </c>
      <c r="AG1213" s="1" t="s">
        <v>146</v>
      </c>
      <c r="AH1213" s="1" t="s">
        <v>91</v>
      </c>
      <c r="AI1213" t="s">
        <v>91</v>
      </c>
      <c r="AJ1213">
        <v>0</v>
      </c>
      <c r="AK1213">
        <v>0</v>
      </c>
      <c r="AL1213">
        <v>0</v>
      </c>
      <c r="AM1213" t="s">
        <v>91</v>
      </c>
      <c r="AN1213" t="s">
        <v>91</v>
      </c>
      <c r="AO1213" t="s">
        <v>91</v>
      </c>
      <c r="AP1213" t="s">
        <v>91</v>
      </c>
      <c r="AQ1213" s="1" t="s">
        <v>147</v>
      </c>
      <c r="AR1213" s="1" t="s">
        <v>147</v>
      </c>
      <c r="AS1213" s="1" t="s">
        <v>147</v>
      </c>
      <c r="AT1213" s="1" t="s">
        <v>147</v>
      </c>
      <c r="AU1213" s="1" t="s">
        <v>147</v>
      </c>
      <c r="AV1213" t="s">
        <v>91</v>
      </c>
      <c r="AW1213" t="s">
        <v>91</v>
      </c>
      <c r="AX1213" t="s">
        <v>91</v>
      </c>
      <c r="AY1213" t="s">
        <v>91</v>
      </c>
      <c r="AZ1213" t="s">
        <v>91</v>
      </c>
      <c r="BA1213" t="s">
        <v>91</v>
      </c>
      <c r="BB1213" s="2"/>
      <c r="BC1213" s="2">
        <v>44662.465486111112</v>
      </c>
      <c r="BD1213" t="s">
        <v>91</v>
      </c>
      <c r="BF1213" s="1" t="s">
        <v>75</v>
      </c>
      <c r="BG1213">
        <v>0</v>
      </c>
      <c r="BH1213">
        <v>0</v>
      </c>
      <c r="BI1213" s="1" t="s">
        <v>88</v>
      </c>
      <c r="BJ1213">
        <v>1</v>
      </c>
      <c r="BK1213" s="1" t="s">
        <v>89</v>
      </c>
      <c r="BL1213" t="s">
        <v>91</v>
      </c>
      <c r="BM1213" s="1" t="s">
        <v>329</v>
      </c>
      <c r="BN1213" s="1" t="s">
        <v>110</v>
      </c>
      <c r="BO1213" s="1" t="s">
        <v>165</v>
      </c>
      <c r="BP1213" s="1" t="s">
        <v>91</v>
      </c>
      <c r="BQ1213" t="s">
        <v>91</v>
      </c>
      <c r="BR1213" s="3"/>
      <c r="BS1213" s="3">
        <v>44662</v>
      </c>
      <c r="BT1213" t="s">
        <v>91</v>
      </c>
      <c r="BU1213" t="s">
        <v>91</v>
      </c>
      <c r="BV1213">
        <v>1</v>
      </c>
      <c r="BW1213" s="1" t="s">
        <v>804</v>
      </c>
    </row>
    <row r="1214" spans="1:75" hidden="1" x14ac:dyDescent="0.35">
      <c r="A1214">
        <v>144687</v>
      </c>
      <c r="B1214" s="1" t="s">
        <v>75</v>
      </c>
      <c r="C1214">
        <v>80</v>
      </c>
      <c r="D1214">
        <v>11121002</v>
      </c>
      <c r="E1214">
        <v>121002</v>
      </c>
      <c r="F1214" s="1" t="s">
        <v>2915</v>
      </c>
      <c r="G1214" s="1" t="s">
        <v>6615</v>
      </c>
      <c r="I1214" s="1" t="s">
        <v>78</v>
      </c>
      <c r="J1214" s="1" t="s">
        <v>6616</v>
      </c>
      <c r="K1214" s="1" t="s">
        <v>6617</v>
      </c>
      <c r="L1214" t="s">
        <v>91</v>
      </c>
      <c r="M1214" t="s">
        <v>91</v>
      </c>
      <c r="N1214" s="1" t="s">
        <v>3992</v>
      </c>
      <c r="O1214" t="s">
        <v>91</v>
      </c>
      <c r="P1214" s="1" t="s">
        <v>3056</v>
      </c>
      <c r="Q1214" s="1" t="s">
        <v>3057</v>
      </c>
      <c r="R1214" s="1" t="s">
        <v>6618</v>
      </c>
      <c r="S1214">
        <v>1268</v>
      </c>
      <c r="T1214">
        <v>88705003</v>
      </c>
      <c r="U1214" s="1" t="s">
        <v>3058</v>
      </c>
      <c r="V1214" s="1" t="s">
        <v>3059</v>
      </c>
      <c r="W1214" s="1" t="s">
        <v>87</v>
      </c>
      <c r="X1214">
        <v>48</v>
      </c>
      <c r="Y1214">
        <v>999982150</v>
      </c>
      <c r="Z1214" t="s">
        <v>91</v>
      </c>
      <c r="AA1214" t="s">
        <v>91</v>
      </c>
      <c r="AB1214" t="s">
        <v>91</v>
      </c>
      <c r="AC1214" t="s">
        <v>91</v>
      </c>
      <c r="AD1214" t="s">
        <v>91</v>
      </c>
      <c r="AE1214" t="s">
        <v>91</v>
      </c>
      <c r="AF1214" t="s">
        <v>91</v>
      </c>
      <c r="AG1214" s="1" t="s">
        <v>91</v>
      </c>
      <c r="AH1214" s="1" t="s">
        <v>91</v>
      </c>
      <c r="AI1214" t="s">
        <v>91</v>
      </c>
      <c r="AJ1214">
        <v>0</v>
      </c>
      <c r="AK1214">
        <v>0</v>
      </c>
      <c r="AL1214">
        <v>0</v>
      </c>
      <c r="AM1214" t="s">
        <v>91</v>
      </c>
      <c r="AN1214" t="s">
        <v>91</v>
      </c>
      <c r="AO1214" t="s">
        <v>91</v>
      </c>
      <c r="AP1214" t="s">
        <v>91</v>
      </c>
      <c r="AQ1214" s="1" t="s">
        <v>91</v>
      </c>
      <c r="AR1214" s="1" t="s">
        <v>91</v>
      </c>
      <c r="AS1214" s="1" t="s">
        <v>91</v>
      </c>
      <c r="AT1214" s="1" t="s">
        <v>91</v>
      </c>
      <c r="AU1214" s="1" t="s">
        <v>91</v>
      </c>
      <c r="AV1214" t="s">
        <v>91</v>
      </c>
      <c r="AW1214" t="s">
        <v>91</v>
      </c>
      <c r="AX1214" t="s">
        <v>91</v>
      </c>
      <c r="AY1214" t="s">
        <v>91</v>
      </c>
      <c r="AZ1214" t="s">
        <v>91</v>
      </c>
      <c r="BA1214" t="s">
        <v>91</v>
      </c>
      <c r="BB1214" s="2"/>
      <c r="BC1214" s="2"/>
      <c r="BD1214" t="s">
        <v>91</v>
      </c>
      <c r="BF1214" s="1" t="s">
        <v>75</v>
      </c>
      <c r="BG1214">
        <v>0</v>
      </c>
      <c r="BH1214">
        <v>0</v>
      </c>
      <c r="BI1214" s="1" t="s">
        <v>88</v>
      </c>
      <c r="BJ1214">
        <v>1</v>
      </c>
      <c r="BK1214" s="1" t="s">
        <v>89</v>
      </c>
      <c r="BL1214" t="s">
        <v>91</v>
      </c>
      <c r="BM1214" s="1" t="s">
        <v>109</v>
      </c>
      <c r="BN1214" s="1" t="s">
        <v>110</v>
      </c>
      <c r="BO1214" s="1" t="s">
        <v>111</v>
      </c>
      <c r="BP1214" s="1" t="s">
        <v>91</v>
      </c>
      <c r="BQ1214" t="s">
        <v>91</v>
      </c>
      <c r="BR1214" s="3"/>
      <c r="BS1214" s="3"/>
      <c r="BT1214" t="s">
        <v>91</v>
      </c>
      <c r="BU1214" t="s">
        <v>91</v>
      </c>
      <c r="BV1214">
        <v>6</v>
      </c>
      <c r="BW1214" s="1" t="s">
        <v>90</v>
      </c>
    </row>
    <row r="1215" spans="1:75" hidden="1" x14ac:dyDescent="0.35">
      <c r="A1215">
        <v>134507</v>
      </c>
      <c r="B1215" s="1" t="s">
        <v>75</v>
      </c>
      <c r="C1215">
        <v>80</v>
      </c>
      <c r="D1215">
        <v>11121002</v>
      </c>
      <c r="E1215">
        <v>121002</v>
      </c>
      <c r="F1215" s="1" t="s">
        <v>2915</v>
      </c>
      <c r="G1215" s="1" t="s">
        <v>6619</v>
      </c>
      <c r="I1215" s="1" t="s">
        <v>78</v>
      </c>
      <c r="J1215" s="1" t="s">
        <v>6620</v>
      </c>
      <c r="K1215" s="1" t="s">
        <v>6621</v>
      </c>
      <c r="L1215" t="s">
        <v>91</v>
      </c>
      <c r="M1215" t="s">
        <v>91</v>
      </c>
      <c r="N1215" s="1" t="s">
        <v>3992</v>
      </c>
      <c r="O1215" t="s">
        <v>91</v>
      </c>
      <c r="P1215" s="1" t="s">
        <v>3993</v>
      </c>
      <c r="Q1215" s="1" t="s">
        <v>3129</v>
      </c>
      <c r="R1215" s="1" t="s">
        <v>6622</v>
      </c>
      <c r="S1215">
        <v>1257</v>
      </c>
      <c r="T1215">
        <v>88030000</v>
      </c>
      <c r="U1215" s="1" t="s">
        <v>3131</v>
      </c>
      <c r="V1215" s="1" t="s">
        <v>3102</v>
      </c>
      <c r="W1215" s="1" t="s">
        <v>87</v>
      </c>
      <c r="X1215">
        <v>48</v>
      </c>
      <c r="Y1215">
        <v>32077675</v>
      </c>
      <c r="Z1215" t="s">
        <v>91</v>
      </c>
      <c r="AA1215" t="s">
        <v>91</v>
      </c>
      <c r="AB1215" t="s">
        <v>91</v>
      </c>
      <c r="AC1215" t="s">
        <v>91</v>
      </c>
      <c r="AD1215" t="s">
        <v>91</v>
      </c>
      <c r="AE1215" t="s">
        <v>91</v>
      </c>
      <c r="AF1215" t="s">
        <v>91</v>
      </c>
      <c r="AG1215" s="1" t="s">
        <v>146</v>
      </c>
      <c r="AH1215" s="1" t="s">
        <v>91</v>
      </c>
      <c r="AI1215" t="s">
        <v>91</v>
      </c>
      <c r="AM1215" t="s">
        <v>91</v>
      </c>
      <c r="AN1215" t="s">
        <v>91</v>
      </c>
      <c r="AO1215" t="s">
        <v>91</v>
      </c>
      <c r="AP1215" t="s">
        <v>91</v>
      </c>
      <c r="AQ1215" s="1" t="s">
        <v>147</v>
      </c>
      <c r="AR1215" s="1" t="s">
        <v>147</v>
      </c>
      <c r="AS1215" s="1" t="s">
        <v>147</v>
      </c>
      <c r="AT1215" s="1" t="s">
        <v>147</v>
      </c>
      <c r="AU1215" s="1" t="s">
        <v>147</v>
      </c>
      <c r="AV1215" t="s">
        <v>91</v>
      </c>
      <c r="AW1215" t="s">
        <v>91</v>
      </c>
      <c r="AX1215" t="s">
        <v>91</v>
      </c>
      <c r="AY1215" t="s">
        <v>91</v>
      </c>
      <c r="AZ1215" t="s">
        <v>91</v>
      </c>
      <c r="BA1215" t="s">
        <v>91</v>
      </c>
      <c r="BB1215" s="2"/>
      <c r="BC1215" s="2">
        <v>44657.44940972222</v>
      </c>
      <c r="BD1215" t="s">
        <v>91</v>
      </c>
      <c r="BF1215" s="1" t="s">
        <v>75</v>
      </c>
      <c r="BH1215">
        <v>0</v>
      </c>
      <c r="BI1215" s="1" t="s">
        <v>88</v>
      </c>
      <c r="BJ1215">
        <v>1</v>
      </c>
      <c r="BK1215" s="1" t="s">
        <v>89</v>
      </c>
      <c r="BL1215" t="s">
        <v>91</v>
      </c>
      <c r="BM1215" s="1" t="s">
        <v>329</v>
      </c>
      <c r="BN1215" s="1" t="s">
        <v>110</v>
      </c>
      <c r="BO1215" s="1" t="s">
        <v>165</v>
      </c>
      <c r="BP1215" s="1" t="s">
        <v>91</v>
      </c>
      <c r="BQ1215" t="s">
        <v>91</v>
      </c>
      <c r="BR1215" s="3"/>
      <c r="BS1215" s="3">
        <v>44657</v>
      </c>
      <c r="BT1215" t="s">
        <v>91</v>
      </c>
      <c r="BU1215" t="s">
        <v>91</v>
      </c>
      <c r="BV1215">
        <v>9</v>
      </c>
      <c r="BW1215" s="1" t="s">
        <v>6623</v>
      </c>
    </row>
    <row r="1216" spans="1:75" hidden="1" x14ac:dyDescent="0.35">
      <c r="A1216">
        <v>144808</v>
      </c>
      <c r="B1216" s="1" t="s">
        <v>75</v>
      </c>
      <c r="C1216">
        <v>80</v>
      </c>
      <c r="D1216">
        <v>11121002</v>
      </c>
      <c r="E1216">
        <v>121002</v>
      </c>
      <c r="F1216" s="1" t="s">
        <v>2915</v>
      </c>
      <c r="G1216" s="1" t="s">
        <v>6624</v>
      </c>
      <c r="I1216" s="1" t="s">
        <v>78</v>
      </c>
      <c r="J1216" s="1" t="s">
        <v>6625</v>
      </c>
      <c r="K1216" s="1" t="s">
        <v>6626</v>
      </c>
      <c r="L1216" t="s">
        <v>91</v>
      </c>
      <c r="M1216" t="s">
        <v>91</v>
      </c>
      <c r="N1216" s="1" t="s">
        <v>3992</v>
      </c>
      <c r="O1216" t="s">
        <v>91</v>
      </c>
      <c r="P1216" s="1" t="s">
        <v>6627</v>
      </c>
      <c r="Q1216" s="1" t="s">
        <v>3375</v>
      </c>
      <c r="R1216" s="1" t="s">
        <v>6628</v>
      </c>
      <c r="S1216">
        <v>1269</v>
      </c>
      <c r="T1216">
        <v>88801505</v>
      </c>
      <c r="U1216" s="1" t="s">
        <v>108</v>
      </c>
      <c r="V1216" s="1" t="s">
        <v>3231</v>
      </c>
      <c r="W1216" s="1" t="s">
        <v>87</v>
      </c>
      <c r="X1216">
        <v>47</v>
      </c>
      <c r="Y1216">
        <v>30374788</v>
      </c>
      <c r="Z1216" t="s">
        <v>91</v>
      </c>
      <c r="AA1216" t="s">
        <v>91</v>
      </c>
      <c r="AB1216" t="s">
        <v>91</v>
      </c>
      <c r="AC1216" t="s">
        <v>91</v>
      </c>
      <c r="AD1216" t="s">
        <v>91</v>
      </c>
      <c r="AE1216" t="s">
        <v>91</v>
      </c>
      <c r="AF1216" t="s">
        <v>91</v>
      </c>
      <c r="AG1216" s="1" t="s">
        <v>91</v>
      </c>
      <c r="AH1216" s="1" t="s">
        <v>91</v>
      </c>
      <c r="AI1216" t="s">
        <v>91</v>
      </c>
      <c r="AJ1216">
        <v>0</v>
      </c>
      <c r="AK1216">
        <v>0</v>
      </c>
      <c r="AL1216">
        <v>0</v>
      </c>
      <c r="AM1216" t="s">
        <v>91</v>
      </c>
      <c r="AN1216" t="s">
        <v>91</v>
      </c>
      <c r="AO1216" t="s">
        <v>91</v>
      </c>
      <c r="AP1216" t="s">
        <v>91</v>
      </c>
      <c r="AQ1216" s="1" t="s">
        <v>91</v>
      </c>
      <c r="AR1216" s="1" t="s">
        <v>91</v>
      </c>
      <c r="AS1216" s="1" t="s">
        <v>91</v>
      </c>
      <c r="AT1216" s="1" t="s">
        <v>91</v>
      </c>
      <c r="AU1216" s="1" t="s">
        <v>91</v>
      </c>
      <c r="AV1216" t="s">
        <v>91</v>
      </c>
      <c r="AW1216" t="s">
        <v>91</v>
      </c>
      <c r="AX1216" t="s">
        <v>91</v>
      </c>
      <c r="AY1216" t="s">
        <v>91</v>
      </c>
      <c r="AZ1216" t="s">
        <v>91</v>
      </c>
      <c r="BA1216" t="s">
        <v>91</v>
      </c>
      <c r="BB1216" s="2"/>
      <c r="BC1216" s="2"/>
      <c r="BD1216" t="s">
        <v>91</v>
      </c>
      <c r="BF1216" s="1" t="s">
        <v>75</v>
      </c>
      <c r="BG1216">
        <v>0</v>
      </c>
      <c r="BH1216">
        <v>0</v>
      </c>
      <c r="BI1216" s="1" t="s">
        <v>88</v>
      </c>
      <c r="BJ1216">
        <v>1</v>
      </c>
      <c r="BK1216" s="1" t="s">
        <v>89</v>
      </c>
      <c r="BL1216" t="s">
        <v>91</v>
      </c>
      <c r="BM1216" s="1" t="s">
        <v>109</v>
      </c>
      <c r="BN1216" s="1" t="s">
        <v>110</v>
      </c>
      <c r="BO1216" s="1" t="s">
        <v>128</v>
      </c>
      <c r="BP1216" s="1" t="s">
        <v>91</v>
      </c>
      <c r="BQ1216" t="s">
        <v>91</v>
      </c>
      <c r="BR1216" s="3"/>
      <c r="BS1216" s="3"/>
      <c r="BT1216" t="s">
        <v>91</v>
      </c>
      <c r="BU1216" t="s">
        <v>91</v>
      </c>
      <c r="BW1216" s="1" t="s">
        <v>90</v>
      </c>
    </row>
    <row r="1217" spans="1:75" hidden="1" x14ac:dyDescent="0.35">
      <c r="A1217">
        <v>144680</v>
      </c>
      <c r="B1217" s="1" t="s">
        <v>75</v>
      </c>
      <c r="C1217">
        <v>80</v>
      </c>
      <c r="D1217">
        <v>11121002</v>
      </c>
      <c r="E1217">
        <v>121002</v>
      </c>
      <c r="F1217" s="1" t="s">
        <v>2915</v>
      </c>
      <c r="G1217" s="1" t="s">
        <v>6629</v>
      </c>
      <c r="I1217" s="1" t="s">
        <v>78</v>
      </c>
      <c r="J1217" s="1" t="s">
        <v>6630</v>
      </c>
      <c r="K1217" s="1" t="s">
        <v>6631</v>
      </c>
      <c r="L1217" t="s">
        <v>91</v>
      </c>
      <c r="M1217" t="s">
        <v>91</v>
      </c>
      <c r="N1217" s="1" t="s">
        <v>3992</v>
      </c>
      <c r="O1217" t="s">
        <v>91</v>
      </c>
      <c r="P1217" s="1" t="s">
        <v>6632</v>
      </c>
      <c r="Q1217" s="1" t="s">
        <v>1102</v>
      </c>
      <c r="R1217" s="1" t="s">
        <v>6633</v>
      </c>
      <c r="S1217">
        <v>1269</v>
      </c>
      <c r="T1217">
        <v>88815060</v>
      </c>
      <c r="U1217" s="1" t="s">
        <v>3230</v>
      </c>
      <c r="V1217" s="1" t="s">
        <v>3231</v>
      </c>
      <c r="W1217" s="1" t="s">
        <v>87</v>
      </c>
      <c r="X1217">
        <v>48</v>
      </c>
      <c r="Y1217">
        <v>34433605</v>
      </c>
      <c r="Z1217" t="s">
        <v>91</v>
      </c>
      <c r="AA1217" t="s">
        <v>91</v>
      </c>
      <c r="AB1217" t="s">
        <v>91</v>
      </c>
      <c r="AC1217" t="s">
        <v>91</v>
      </c>
      <c r="AD1217" t="s">
        <v>91</v>
      </c>
      <c r="AE1217" t="s">
        <v>91</v>
      </c>
      <c r="AF1217" t="s">
        <v>91</v>
      </c>
      <c r="AG1217" s="1" t="s">
        <v>91</v>
      </c>
      <c r="AH1217" s="1" t="s">
        <v>91</v>
      </c>
      <c r="AI1217" t="s">
        <v>91</v>
      </c>
      <c r="AJ1217">
        <v>0</v>
      </c>
      <c r="AK1217">
        <v>0</v>
      </c>
      <c r="AL1217">
        <v>0</v>
      </c>
      <c r="AM1217" t="s">
        <v>91</v>
      </c>
      <c r="AN1217" t="s">
        <v>91</v>
      </c>
      <c r="AO1217" t="s">
        <v>91</v>
      </c>
      <c r="AP1217" t="s">
        <v>91</v>
      </c>
      <c r="AQ1217" s="1" t="s">
        <v>91</v>
      </c>
      <c r="AR1217" s="1" t="s">
        <v>91</v>
      </c>
      <c r="AS1217" s="1" t="s">
        <v>91</v>
      </c>
      <c r="AT1217" s="1" t="s">
        <v>91</v>
      </c>
      <c r="AU1217" s="1" t="s">
        <v>91</v>
      </c>
      <c r="AV1217" t="s">
        <v>91</v>
      </c>
      <c r="AW1217" t="s">
        <v>91</v>
      </c>
      <c r="AX1217" t="s">
        <v>91</v>
      </c>
      <c r="AY1217" t="s">
        <v>91</v>
      </c>
      <c r="AZ1217" t="s">
        <v>91</v>
      </c>
      <c r="BA1217" t="s">
        <v>91</v>
      </c>
      <c r="BB1217" s="2"/>
      <c r="BC1217" s="2"/>
      <c r="BD1217" t="s">
        <v>91</v>
      </c>
      <c r="BF1217" s="1" t="s">
        <v>75</v>
      </c>
      <c r="BG1217">
        <v>0</v>
      </c>
      <c r="BH1217">
        <v>0</v>
      </c>
      <c r="BI1217" s="1" t="s">
        <v>88</v>
      </c>
      <c r="BJ1217">
        <v>1</v>
      </c>
      <c r="BK1217" s="1" t="s">
        <v>89</v>
      </c>
      <c r="BL1217" t="s">
        <v>91</v>
      </c>
      <c r="BM1217" s="1" t="s">
        <v>109</v>
      </c>
      <c r="BN1217" s="1" t="s">
        <v>110</v>
      </c>
      <c r="BO1217" s="1" t="s">
        <v>180</v>
      </c>
      <c r="BP1217" s="1" t="s">
        <v>91</v>
      </c>
      <c r="BQ1217" t="s">
        <v>91</v>
      </c>
      <c r="BR1217" s="3"/>
      <c r="BS1217" s="3"/>
      <c r="BT1217" t="s">
        <v>91</v>
      </c>
      <c r="BU1217" t="s">
        <v>91</v>
      </c>
      <c r="BV1217">
        <v>2</v>
      </c>
      <c r="BW1217" s="1" t="s">
        <v>90</v>
      </c>
    </row>
    <row r="1218" spans="1:75" hidden="1" x14ac:dyDescent="0.35">
      <c r="A1218">
        <v>134307</v>
      </c>
      <c r="B1218" s="1" t="s">
        <v>75</v>
      </c>
      <c r="C1218">
        <v>80</v>
      </c>
      <c r="D1218">
        <v>11121002</v>
      </c>
      <c r="E1218">
        <v>121002</v>
      </c>
      <c r="F1218" s="1" t="s">
        <v>2915</v>
      </c>
      <c r="G1218" s="1" t="s">
        <v>6634</v>
      </c>
      <c r="I1218" s="1" t="s">
        <v>78</v>
      </c>
      <c r="J1218" s="1" t="s">
        <v>6635</v>
      </c>
      <c r="K1218" s="1" t="s">
        <v>6636</v>
      </c>
      <c r="L1218" t="s">
        <v>91</v>
      </c>
      <c r="M1218" t="s">
        <v>91</v>
      </c>
      <c r="N1218" s="1" t="s">
        <v>6637</v>
      </c>
      <c r="O1218" t="s">
        <v>91</v>
      </c>
      <c r="P1218" s="1" t="s">
        <v>5211</v>
      </c>
      <c r="Q1218" s="1" t="s">
        <v>804</v>
      </c>
      <c r="R1218" s="1" t="s">
        <v>91</v>
      </c>
      <c r="S1218">
        <v>1266</v>
      </c>
      <c r="T1218">
        <v>88502000</v>
      </c>
      <c r="U1218" s="1" t="s">
        <v>108</v>
      </c>
      <c r="V1218" s="1" t="s">
        <v>3335</v>
      </c>
      <c r="W1218" s="1" t="s">
        <v>87</v>
      </c>
      <c r="X1218">
        <v>49</v>
      </c>
      <c r="Y1218">
        <v>33804098</v>
      </c>
      <c r="Z1218" t="s">
        <v>91</v>
      </c>
      <c r="AA1218" t="s">
        <v>91</v>
      </c>
      <c r="AB1218" t="s">
        <v>91</v>
      </c>
      <c r="AC1218" t="s">
        <v>91</v>
      </c>
      <c r="AD1218" t="s">
        <v>91</v>
      </c>
      <c r="AE1218" t="s">
        <v>91</v>
      </c>
      <c r="AF1218" t="s">
        <v>91</v>
      </c>
      <c r="AG1218" s="1" t="s">
        <v>146</v>
      </c>
      <c r="AH1218" s="1" t="s">
        <v>91</v>
      </c>
      <c r="AI1218" t="s">
        <v>91</v>
      </c>
      <c r="AM1218" t="s">
        <v>91</v>
      </c>
      <c r="AN1218" t="s">
        <v>91</v>
      </c>
      <c r="AO1218" t="s">
        <v>91</v>
      </c>
      <c r="AP1218" t="s">
        <v>91</v>
      </c>
      <c r="AQ1218" s="1" t="s">
        <v>147</v>
      </c>
      <c r="AR1218" s="1" t="s">
        <v>147</v>
      </c>
      <c r="AS1218" s="1" t="s">
        <v>147</v>
      </c>
      <c r="AT1218" s="1" t="s">
        <v>147</v>
      </c>
      <c r="AU1218" s="1" t="s">
        <v>147</v>
      </c>
      <c r="AV1218" t="s">
        <v>91</v>
      </c>
      <c r="AW1218" t="s">
        <v>91</v>
      </c>
      <c r="AX1218" t="s">
        <v>91</v>
      </c>
      <c r="AY1218" t="s">
        <v>91</v>
      </c>
      <c r="AZ1218" t="s">
        <v>91</v>
      </c>
      <c r="BA1218" t="s">
        <v>91</v>
      </c>
      <c r="BB1218" s="2"/>
      <c r="BC1218" s="2">
        <v>44678.604837962965</v>
      </c>
      <c r="BD1218" t="s">
        <v>91</v>
      </c>
      <c r="BF1218" s="1" t="s">
        <v>75</v>
      </c>
      <c r="BH1218">
        <v>0</v>
      </c>
      <c r="BI1218" s="1" t="s">
        <v>88</v>
      </c>
      <c r="BJ1218">
        <v>1</v>
      </c>
      <c r="BK1218" s="1" t="s">
        <v>89</v>
      </c>
      <c r="BL1218" t="s">
        <v>91</v>
      </c>
      <c r="BM1218" s="1" t="s">
        <v>109</v>
      </c>
      <c r="BN1218" s="1" t="s">
        <v>110</v>
      </c>
      <c r="BO1218" s="1" t="s">
        <v>165</v>
      </c>
      <c r="BP1218" s="1" t="s">
        <v>91</v>
      </c>
      <c r="BQ1218" t="s">
        <v>91</v>
      </c>
      <c r="BR1218" s="3"/>
      <c r="BS1218" s="3">
        <v>44678</v>
      </c>
      <c r="BT1218" t="s">
        <v>91</v>
      </c>
      <c r="BU1218" t="s">
        <v>91</v>
      </c>
      <c r="BV1218">
        <v>5</v>
      </c>
      <c r="BW1218" s="1" t="s">
        <v>1156</v>
      </c>
    </row>
    <row r="1219" spans="1:75" hidden="1" x14ac:dyDescent="0.35">
      <c r="A1219">
        <v>134508</v>
      </c>
      <c r="B1219" s="1" t="s">
        <v>75</v>
      </c>
      <c r="C1219">
        <v>80</v>
      </c>
      <c r="D1219">
        <v>11121002</v>
      </c>
      <c r="E1219">
        <v>121002</v>
      </c>
      <c r="F1219" s="1" t="s">
        <v>2915</v>
      </c>
      <c r="G1219" s="1" t="s">
        <v>6638</v>
      </c>
      <c r="I1219" s="1" t="s">
        <v>78</v>
      </c>
      <c r="J1219" s="1" t="s">
        <v>6639</v>
      </c>
      <c r="K1219" s="1" t="s">
        <v>6640</v>
      </c>
      <c r="L1219" t="s">
        <v>91</v>
      </c>
      <c r="M1219" t="s">
        <v>91</v>
      </c>
      <c r="N1219" s="1" t="s">
        <v>6641</v>
      </c>
      <c r="O1219" t="s">
        <v>91</v>
      </c>
      <c r="P1219" s="1" t="s">
        <v>6642</v>
      </c>
      <c r="Q1219" s="1" t="s">
        <v>5782</v>
      </c>
      <c r="R1219" s="1" t="s">
        <v>6643</v>
      </c>
      <c r="S1219">
        <v>1266</v>
      </c>
      <c r="T1219">
        <v>88524900</v>
      </c>
      <c r="U1219" s="1" t="s">
        <v>5784</v>
      </c>
      <c r="V1219" s="1" t="s">
        <v>3335</v>
      </c>
      <c r="W1219" s="1" t="s">
        <v>87</v>
      </c>
      <c r="X1219">
        <v>49</v>
      </c>
      <c r="Y1219">
        <v>999444639</v>
      </c>
      <c r="Z1219" t="s">
        <v>91</v>
      </c>
      <c r="AA1219" t="s">
        <v>91</v>
      </c>
      <c r="AB1219" t="s">
        <v>91</v>
      </c>
      <c r="AC1219" t="s">
        <v>91</v>
      </c>
      <c r="AD1219" t="s">
        <v>91</v>
      </c>
      <c r="AE1219" t="s">
        <v>91</v>
      </c>
      <c r="AF1219" t="s">
        <v>91</v>
      </c>
      <c r="AG1219" s="1" t="s">
        <v>146</v>
      </c>
      <c r="AH1219" s="1" t="s">
        <v>91</v>
      </c>
      <c r="AI1219" t="s">
        <v>91</v>
      </c>
      <c r="AM1219" t="s">
        <v>91</v>
      </c>
      <c r="AN1219" t="s">
        <v>91</v>
      </c>
      <c r="AO1219" t="s">
        <v>91</v>
      </c>
      <c r="AP1219" t="s">
        <v>91</v>
      </c>
      <c r="AQ1219" s="1" t="s">
        <v>147</v>
      </c>
      <c r="AR1219" s="1" t="s">
        <v>147</v>
      </c>
      <c r="AS1219" s="1" t="s">
        <v>147</v>
      </c>
      <c r="AT1219" s="1" t="s">
        <v>147</v>
      </c>
      <c r="AU1219" s="1" t="s">
        <v>147</v>
      </c>
      <c r="AV1219" t="s">
        <v>91</v>
      </c>
      <c r="AW1219" t="s">
        <v>91</v>
      </c>
      <c r="AX1219" t="s">
        <v>91</v>
      </c>
      <c r="AY1219" t="s">
        <v>91</v>
      </c>
      <c r="AZ1219" t="s">
        <v>91</v>
      </c>
      <c r="BA1219" t="s">
        <v>91</v>
      </c>
      <c r="BB1219" s="2"/>
      <c r="BC1219" s="2">
        <v>44440.741168981483</v>
      </c>
      <c r="BD1219" t="s">
        <v>91</v>
      </c>
      <c r="BF1219" s="1" t="s">
        <v>75</v>
      </c>
      <c r="BH1219">
        <v>0</v>
      </c>
      <c r="BI1219" s="1" t="s">
        <v>88</v>
      </c>
      <c r="BJ1219">
        <v>1</v>
      </c>
      <c r="BK1219" s="1" t="s">
        <v>89</v>
      </c>
      <c r="BL1219" t="s">
        <v>91</v>
      </c>
      <c r="BM1219" s="1" t="s">
        <v>109</v>
      </c>
      <c r="BN1219" s="1" t="s">
        <v>110</v>
      </c>
      <c r="BO1219" s="1" t="s">
        <v>165</v>
      </c>
      <c r="BP1219" s="1" t="s">
        <v>91</v>
      </c>
      <c r="BQ1219" t="s">
        <v>91</v>
      </c>
      <c r="BR1219" s="3"/>
      <c r="BS1219" s="3">
        <v>44440</v>
      </c>
      <c r="BT1219" t="s">
        <v>91</v>
      </c>
      <c r="BU1219" t="s">
        <v>91</v>
      </c>
      <c r="BV1219">
        <v>1</v>
      </c>
      <c r="BW1219" s="1" t="s">
        <v>804</v>
      </c>
    </row>
    <row r="1220" spans="1:75" hidden="1" x14ac:dyDescent="0.35">
      <c r="A1220">
        <v>157605</v>
      </c>
      <c r="B1220" s="1" t="s">
        <v>75</v>
      </c>
      <c r="C1220">
        <v>80</v>
      </c>
      <c r="D1220">
        <v>11121002</v>
      </c>
      <c r="E1220">
        <v>121002</v>
      </c>
      <c r="F1220" s="1" t="s">
        <v>2915</v>
      </c>
      <c r="G1220" s="1" t="s">
        <v>6644</v>
      </c>
      <c r="H1220">
        <v>0</v>
      </c>
      <c r="I1220" s="1" t="s">
        <v>78</v>
      </c>
      <c r="J1220" s="1" t="s">
        <v>6645</v>
      </c>
      <c r="K1220" s="1" t="s">
        <v>6646</v>
      </c>
      <c r="L1220" t="s">
        <v>91</v>
      </c>
      <c r="M1220" t="s">
        <v>91</v>
      </c>
      <c r="N1220" s="1" t="s">
        <v>6647</v>
      </c>
      <c r="O1220" t="s">
        <v>91</v>
      </c>
      <c r="P1220" s="1" t="s">
        <v>6648</v>
      </c>
      <c r="Q1220" s="1" t="s">
        <v>3112</v>
      </c>
      <c r="R1220" s="1" t="s">
        <v>6649</v>
      </c>
      <c r="S1220">
        <v>1257</v>
      </c>
      <c r="T1220">
        <v>88035000</v>
      </c>
      <c r="U1220" s="1" t="s">
        <v>3137</v>
      </c>
      <c r="V1220" s="1" t="s">
        <v>2922</v>
      </c>
      <c r="W1220" s="1" t="s">
        <v>87</v>
      </c>
      <c r="X1220">
        <v>48</v>
      </c>
      <c r="Y1220">
        <v>998358386</v>
      </c>
      <c r="Z1220" t="s">
        <v>91</v>
      </c>
      <c r="AA1220" t="s">
        <v>91</v>
      </c>
      <c r="AB1220" t="s">
        <v>91</v>
      </c>
      <c r="AC1220" t="s">
        <v>91</v>
      </c>
      <c r="AD1220" t="s">
        <v>91</v>
      </c>
      <c r="AE1220" t="s">
        <v>91</v>
      </c>
      <c r="AF1220" t="s">
        <v>91</v>
      </c>
      <c r="AG1220" s="1" t="s">
        <v>91</v>
      </c>
      <c r="AH1220" s="1" t="s">
        <v>91</v>
      </c>
      <c r="AI1220" t="s">
        <v>91</v>
      </c>
      <c r="AM1220" t="s">
        <v>91</v>
      </c>
      <c r="AN1220" t="s">
        <v>91</v>
      </c>
      <c r="AO1220" t="s">
        <v>91</v>
      </c>
      <c r="AP1220" t="s">
        <v>91</v>
      </c>
      <c r="AQ1220" s="1" t="s">
        <v>91</v>
      </c>
      <c r="AR1220" s="1" t="s">
        <v>91</v>
      </c>
      <c r="AS1220" s="1" t="s">
        <v>91</v>
      </c>
      <c r="AT1220" s="1" t="s">
        <v>91</v>
      </c>
      <c r="AU1220" s="1" t="s">
        <v>91</v>
      </c>
      <c r="AV1220" t="s">
        <v>91</v>
      </c>
      <c r="AW1220" t="s">
        <v>91</v>
      </c>
      <c r="AX1220" t="s">
        <v>91</v>
      </c>
      <c r="AY1220" t="s">
        <v>91</v>
      </c>
      <c r="AZ1220" t="s">
        <v>91</v>
      </c>
      <c r="BA1220" t="s">
        <v>91</v>
      </c>
      <c r="BB1220" s="2">
        <v>45118.097175925926</v>
      </c>
      <c r="BC1220" s="2"/>
      <c r="BD1220" t="s">
        <v>91</v>
      </c>
      <c r="BF1220" s="1" t="s">
        <v>75</v>
      </c>
      <c r="BI1220" s="1" t="s">
        <v>88</v>
      </c>
      <c r="BJ1220">
        <v>1</v>
      </c>
      <c r="BK1220" s="1" t="s">
        <v>89</v>
      </c>
      <c r="BL1220" t="s">
        <v>91</v>
      </c>
      <c r="BM1220" s="1" t="s">
        <v>91</v>
      </c>
      <c r="BN1220" s="1" t="s">
        <v>91</v>
      </c>
      <c r="BO1220" s="1" t="s">
        <v>91</v>
      </c>
      <c r="BP1220" s="1" t="s">
        <v>91</v>
      </c>
      <c r="BQ1220" t="s">
        <v>91</v>
      </c>
      <c r="BR1220" s="3">
        <v>45118</v>
      </c>
      <c r="BS1220" s="3"/>
      <c r="BT1220" t="s">
        <v>91</v>
      </c>
      <c r="BU1220" t="s">
        <v>91</v>
      </c>
      <c r="BW1220" s="1" t="s">
        <v>90</v>
      </c>
    </row>
    <row r="1221" spans="1:75" hidden="1" x14ac:dyDescent="0.35">
      <c r="A1221">
        <v>134460</v>
      </c>
      <c r="B1221" s="1" t="s">
        <v>75</v>
      </c>
      <c r="C1221">
        <v>80</v>
      </c>
      <c r="D1221">
        <v>11121002</v>
      </c>
      <c r="E1221">
        <v>121002</v>
      </c>
      <c r="F1221" s="1" t="s">
        <v>2915</v>
      </c>
      <c r="G1221" s="1" t="s">
        <v>6650</v>
      </c>
      <c r="I1221" s="1" t="s">
        <v>78</v>
      </c>
      <c r="J1221" s="1" t="s">
        <v>6651</v>
      </c>
      <c r="K1221" s="1" t="s">
        <v>6652</v>
      </c>
      <c r="L1221" t="s">
        <v>91</v>
      </c>
      <c r="M1221" t="s">
        <v>91</v>
      </c>
      <c r="N1221" s="1" t="s">
        <v>3992</v>
      </c>
      <c r="O1221" t="s">
        <v>91</v>
      </c>
      <c r="P1221" s="1" t="s">
        <v>3135</v>
      </c>
      <c r="Q1221" s="1" t="s">
        <v>3112</v>
      </c>
      <c r="R1221" s="1" t="s">
        <v>6653</v>
      </c>
      <c r="S1221">
        <v>1257</v>
      </c>
      <c r="T1221">
        <v>88036500</v>
      </c>
      <c r="U1221" s="1" t="s">
        <v>4386</v>
      </c>
      <c r="V1221" s="1" t="s">
        <v>2922</v>
      </c>
      <c r="W1221" s="1" t="s">
        <v>87</v>
      </c>
      <c r="X1221">
        <v>48</v>
      </c>
      <c r="Y1221">
        <v>32262518</v>
      </c>
      <c r="Z1221" t="s">
        <v>91</v>
      </c>
      <c r="AA1221" t="s">
        <v>91</v>
      </c>
      <c r="AB1221" t="s">
        <v>91</v>
      </c>
      <c r="AC1221" t="s">
        <v>91</v>
      </c>
      <c r="AD1221" t="s">
        <v>91</v>
      </c>
      <c r="AE1221" t="s">
        <v>91</v>
      </c>
      <c r="AF1221" t="s">
        <v>91</v>
      </c>
      <c r="AG1221" s="1" t="s">
        <v>91</v>
      </c>
      <c r="AH1221" s="1" t="s">
        <v>91</v>
      </c>
      <c r="AI1221" t="s">
        <v>91</v>
      </c>
      <c r="AM1221" t="s">
        <v>91</v>
      </c>
      <c r="AN1221" t="s">
        <v>91</v>
      </c>
      <c r="AO1221" t="s">
        <v>91</v>
      </c>
      <c r="AP1221" t="s">
        <v>91</v>
      </c>
      <c r="AQ1221" s="1" t="s">
        <v>91</v>
      </c>
      <c r="AR1221" s="1" t="s">
        <v>91</v>
      </c>
      <c r="AS1221" s="1" t="s">
        <v>91</v>
      </c>
      <c r="AT1221" s="1" t="s">
        <v>91</v>
      </c>
      <c r="AU1221" s="1" t="s">
        <v>91</v>
      </c>
      <c r="AV1221" t="s">
        <v>91</v>
      </c>
      <c r="AW1221" t="s">
        <v>91</v>
      </c>
      <c r="AX1221" t="s">
        <v>91</v>
      </c>
      <c r="AY1221" t="s">
        <v>91</v>
      </c>
      <c r="AZ1221" t="s">
        <v>91</v>
      </c>
      <c r="BA1221" t="s">
        <v>91</v>
      </c>
      <c r="BB1221" s="2"/>
      <c r="BC1221" s="2"/>
      <c r="BD1221" t="s">
        <v>91</v>
      </c>
      <c r="BF1221" s="1" t="s">
        <v>75</v>
      </c>
      <c r="BI1221" s="1" t="s">
        <v>88</v>
      </c>
      <c r="BJ1221">
        <v>1</v>
      </c>
      <c r="BK1221" s="1" t="s">
        <v>89</v>
      </c>
      <c r="BL1221" t="s">
        <v>91</v>
      </c>
      <c r="BM1221" s="1" t="s">
        <v>109</v>
      </c>
      <c r="BN1221" s="1" t="s">
        <v>110</v>
      </c>
      <c r="BO1221" s="1" t="s">
        <v>111</v>
      </c>
      <c r="BP1221" s="1" t="s">
        <v>91</v>
      </c>
      <c r="BQ1221" t="s">
        <v>91</v>
      </c>
      <c r="BR1221" s="3"/>
      <c r="BS1221" s="3"/>
      <c r="BT1221" t="s">
        <v>91</v>
      </c>
      <c r="BU1221" t="s">
        <v>91</v>
      </c>
      <c r="BV1221">
        <v>1</v>
      </c>
      <c r="BW1221" s="1" t="s">
        <v>90</v>
      </c>
    </row>
    <row r="1222" spans="1:75" hidden="1" x14ac:dyDescent="0.35">
      <c r="A1222">
        <v>156873</v>
      </c>
      <c r="B1222" s="1" t="s">
        <v>75</v>
      </c>
      <c r="C1222">
        <v>80</v>
      </c>
      <c r="D1222">
        <v>11121002</v>
      </c>
      <c r="E1222">
        <v>121002</v>
      </c>
      <c r="F1222" s="1" t="s">
        <v>2915</v>
      </c>
      <c r="G1222" s="1" t="s">
        <v>6654</v>
      </c>
      <c r="H1222">
        <v>0</v>
      </c>
      <c r="I1222" s="1" t="s">
        <v>78</v>
      </c>
      <c r="J1222" s="1" t="s">
        <v>6655</v>
      </c>
      <c r="K1222" s="1" t="s">
        <v>6656</v>
      </c>
      <c r="L1222" t="s">
        <v>91</v>
      </c>
      <c r="M1222" t="s">
        <v>91</v>
      </c>
      <c r="N1222" s="1" t="s">
        <v>6657</v>
      </c>
      <c r="O1222" t="s">
        <v>91</v>
      </c>
      <c r="P1222" s="1" t="s">
        <v>5205</v>
      </c>
      <c r="Q1222" s="1" t="s">
        <v>1496</v>
      </c>
      <c r="R1222" s="1" t="s">
        <v>6658</v>
      </c>
      <c r="T1222">
        <v>88132000</v>
      </c>
      <c r="U1222" s="1" t="s">
        <v>3461</v>
      </c>
      <c r="V1222" s="1" t="s">
        <v>2951</v>
      </c>
      <c r="W1222" s="1" t="s">
        <v>87</v>
      </c>
      <c r="X1222">
        <v>48</v>
      </c>
      <c r="Y1222">
        <v>30864455</v>
      </c>
      <c r="Z1222" t="s">
        <v>91</v>
      </c>
      <c r="AA1222" t="s">
        <v>91</v>
      </c>
      <c r="AB1222" t="s">
        <v>91</v>
      </c>
      <c r="AC1222" t="s">
        <v>91</v>
      </c>
      <c r="AD1222" t="s">
        <v>91</v>
      </c>
      <c r="AE1222" t="s">
        <v>91</v>
      </c>
      <c r="AF1222" t="s">
        <v>91</v>
      </c>
      <c r="AG1222" s="1" t="s">
        <v>91</v>
      </c>
      <c r="AH1222" s="1" t="s">
        <v>91</v>
      </c>
      <c r="AI1222" t="s">
        <v>91</v>
      </c>
      <c r="AM1222" t="s">
        <v>91</v>
      </c>
      <c r="AN1222" t="s">
        <v>91</v>
      </c>
      <c r="AO1222" t="s">
        <v>91</v>
      </c>
      <c r="AP1222" t="s">
        <v>91</v>
      </c>
      <c r="AQ1222" s="1" t="s">
        <v>91</v>
      </c>
      <c r="AR1222" s="1" t="s">
        <v>91</v>
      </c>
      <c r="AS1222" s="1" t="s">
        <v>91</v>
      </c>
      <c r="AT1222" s="1" t="s">
        <v>91</v>
      </c>
      <c r="AU1222" s="1" t="s">
        <v>91</v>
      </c>
      <c r="AV1222" t="s">
        <v>91</v>
      </c>
      <c r="AW1222" t="s">
        <v>91</v>
      </c>
      <c r="AX1222" t="s">
        <v>91</v>
      </c>
      <c r="AY1222" t="s">
        <v>91</v>
      </c>
      <c r="AZ1222" t="s">
        <v>91</v>
      </c>
      <c r="BA1222" t="s">
        <v>91</v>
      </c>
      <c r="BB1222" s="2">
        <v>45113.505416666667</v>
      </c>
      <c r="BC1222" s="2"/>
      <c r="BD1222" t="s">
        <v>91</v>
      </c>
      <c r="BF1222" s="1" t="s">
        <v>75</v>
      </c>
      <c r="BI1222" s="1" t="s">
        <v>88</v>
      </c>
      <c r="BJ1222">
        <v>1</v>
      </c>
      <c r="BK1222" s="1" t="s">
        <v>89</v>
      </c>
      <c r="BL1222" t="s">
        <v>91</v>
      </c>
      <c r="BM1222" s="1" t="s">
        <v>91</v>
      </c>
      <c r="BN1222" s="1" t="s">
        <v>91</v>
      </c>
      <c r="BO1222" s="1" t="s">
        <v>91</v>
      </c>
      <c r="BP1222" s="1" t="s">
        <v>91</v>
      </c>
      <c r="BQ1222" t="s">
        <v>91</v>
      </c>
      <c r="BR1222" s="3">
        <v>45113</v>
      </c>
      <c r="BS1222" s="3"/>
      <c r="BT1222" t="s">
        <v>91</v>
      </c>
      <c r="BU1222" t="s">
        <v>91</v>
      </c>
      <c r="BW1222" s="1" t="s">
        <v>90</v>
      </c>
    </row>
    <row r="1223" spans="1:75" hidden="1" x14ac:dyDescent="0.35">
      <c r="A1223">
        <v>134284</v>
      </c>
      <c r="B1223" s="1" t="s">
        <v>75</v>
      </c>
      <c r="C1223">
        <v>80</v>
      </c>
      <c r="D1223">
        <v>11121002</v>
      </c>
      <c r="E1223">
        <v>121002</v>
      </c>
      <c r="F1223" s="1" t="s">
        <v>2915</v>
      </c>
      <c r="G1223" s="1" t="s">
        <v>6659</v>
      </c>
      <c r="I1223" s="1" t="s">
        <v>78</v>
      </c>
      <c r="J1223" s="1" t="s">
        <v>6660</v>
      </c>
      <c r="K1223" s="1" t="s">
        <v>6661</v>
      </c>
      <c r="L1223" t="s">
        <v>91</v>
      </c>
      <c r="M1223" t="s">
        <v>91</v>
      </c>
      <c r="N1223" s="1" t="s">
        <v>6662</v>
      </c>
      <c r="O1223" t="s">
        <v>91</v>
      </c>
      <c r="P1223" s="1" t="s">
        <v>4475</v>
      </c>
      <c r="Q1223" s="1" t="s">
        <v>620</v>
      </c>
      <c r="R1223" s="1" t="s">
        <v>236</v>
      </c>
      <c r="S1223">
        <v>1259</v>
      </c>
      <c r="T1223">
        <v>88160128</v>
      </c>
      <c r="U1223" s="1" t="s">
        <v>108</v>
      </c>
      <c r="V1223" s="1" t="s">
        <v>3255</v>
      </c>
      <c r="W1223" s="1" t="s">
        <v>87</v>
      </c>
      <c r="X1223">
        <v>48</v>
      </c>
      <c r="Y1223">
        <v>32432483</v>
      </c>
      <c r="Z1223" t="s">
        <v>91</v>
      </c>
      <c r="AA1223" t="s">
        <v>91</v>
      </c>
      <c r="AB1223" t="s">
        <v>91</v>
      </c>
      <c r="AC1223" t="s">
        <v>91</v>
      </c>
      <c r="AD1223" t="s">
        <v>91</v>
      </c>
      <c r="AE1223" t="s">
        <v>91</v>
      </c>
      <c r="AF1223" t="s">
        <v>91</v>
      </c>
      <c r="AG1223" s="1" t="s">
        <v>146</v>
      </c>
      <c r="AH1223" s="1" t="s">
        <v>91</v>
      </c>
      <c r="AI1223" t="s">
        <v>91</v>
      </c>
      <c r="AJ1223">
        <v>0</v>
      </c>
      <c r="AK1223">
        <v>0</v>
      </c>
      <c r="AL1223">
        <v>0</v>
      </c>
      <c r="AM1223" t="s">
        <v>91</v>
      </c>
      <c r="AN1223" t="s">
        <v>91</v>
      </c>
      <c r="AO1223" t="s">
        <v>91</v>
      </c>
      <c r="AP1223" t="s">
        <v>91</v>
      </c>
      <c r="AQ1223" s="1" t="s">
        <v>147</v>
      </c>
      <c r="AR1223" s="1" t="s">
        <v>147</v>
      </c>
      <c r="AS1223" s="1" t="s">
        <v>147</v>
      </c>
      <c r="AT1223" s="1" t="s">
        <v>147</v>
      </c>
      <c r="AU1223" s="1" t="s">
        <v>147</v>
      </c>
      <c r="AV1223" t="s">
        <v>91</v>
      </c>
      <c r="AW1223" t="s">
        <v>91</v>
      </c>
      <c r="AX1223" t="s">
        <v>91</v>
      </c>
      <c r="AY1223" t="s">
        <v>91</v>
      </c>
      <c r="AZ1223" t="s">
        <v>91</v>
      </c>
      <c r="BA1223" t="s">
        <v>91</v>
      </c>
      <c r="BB1223" s="2"/>
      <c r="BC1223" s="2">
        <v>44684.468333333331</v>
      </c>
      <c r="BD1223" t="s">
        <v>91</v>
      </c>
      <c r="BF1223" s="1" t="s">
        <v>75</v>
      </c>
      <c r="BG1223">
        <v>0</v>
      </c>
      <c r="BH1223">
        <v>0</v>
      </c>
      <c r="BI1223" s="1" t="s">
        <v>88</v>
      </c>
      <c r="BJ1223">
        <v>1</v>
      </c>
      <c r="BK1223" s="1" t="s">
        <v>89</v>
      </c>
      <c r="BL1223" t="s">
        <v>91</v>
      </c>
      <c r="BM1223" s="1" t="s">
        <v>109</v>
      </c>
      <c r="BN1223" s="1" t="s">
        <v>110</v>
      </c>
      <c r="BO1223" s="1" t="s">
        <v>128</v>
      </c>
      <c r="BP1223" s="1" t="s">
        <v>91</v>
      </c>
      <c r="BQ1223" t="s">
        <v>91</v>
      </c>
      <c r="BR1223" s="3"/>
      <c r="BS1223" s="3">
        <v>44684</v>
      </c>
      <c r="BT1223" t="s">
        <v>91</v>
      </c>
      <c r="BU1223" t="s">
        <v>91</v>
      </c>
      <c r="BV1223">
        <v>4</v>
      </c>
      <c r="BW1223" s="1" t="s">
        <v>419</v>
      </c>
    </row>
    <row r="1224" spans="1:75" hidden="1" x14ac:dyDescent="0.35">
      <c r="A1224">
        <v>144342</v>
      </c>
      <c r="B1224" s="1" t="s">
        <v>75</v>
      </c>
      <c r="C1224">
        <v>80</v>
      </c>
      <c r="D1224">
        <v>11121002</v>
      </c>
      <c r="E1224">
        <v>121002</v>
      </c>
      <c r="F1224" s="1" t="s">
        <v>2915</v>
      </c>
      <c r="G1224" s="1" t="s">
        <v>6663</v>
      </c>
      <c r="I1224" s="1" t="s">
        <v>78</v>
      </c>
      <c r="J1224" s="1" t="s">
        <v>6664</v>
      </c>
      <c r="K1224" s="1" t="s">
        <v>6665</v>
      </c>
      <c r="L1224" t="s">
        <v>91</v>
      </c>
      <c r="M1224" t="s">
        <v>91</v>
      </c>
      <c r="N1224" s="1" t="s">
        <v>6666</v>
      </c>
      <c r="O1224" t="s">
        <v>91</v>
      </c>
      <c r="P1224" s="1" t="s">
        <v>6667</v>
      </c>
      <c r="Q1224" s="1" t="s">
        <v>6668</v>
      </c>
      <c r="R1224" s="1" t="s">
        <v>91</v>
      </c>
      <c r="S1224">
        <v>1268</v>
      </c>
      <c r="T1224">
        <v>88780000</v>
      </c>
      <c r="U1224" s="1" t="s">
        <v>108</v>
      </c>
      <c r="V1224" s="1" t="s">
        <v>2929</v>
      </c>
      <c r="W1224" s="1" t="s">
        <v>87</v>
      </c>
      <c r="X1224">
        <v>48</v>
      </c>
      <c r="Y1224">
        <v>32551999</v>
      </c>
      <c r="Z1224" t="s">
        <v>91</v>
      </c>
      <c r="AA1224" t="s">
        <v>91</v>
      </c>
      <c r="AB1224" t="s">
        <v>91</v>
      </c>
      <c r="AC1224" t="s">
        <v>91</v>
      </c>
      <c r="AD1224" t="s">
        <v>91</v>
      </c>
      <c r="AE1224" t="s">
        <v>91</v>
      </c>
      <c r="AF1224" t="s">
        <v>91</v>
      </c>
      <c r="AG1224" s="1" t="s">
        <v>91</v>
      </c>
      <c r="AH1224" s="1" t="s">
        <v>91</v>
      </c>
      <c r="AI1224" t="s">
        <v>91</v>
      </c>
      <c r="AJ1224">
        <v>0</v>
      </c>
      <c r="AK1224">
        <v>0</v>
      </c>
      <c r="AL1224">
        <v>0</v>
      </c>
      <c r="AM1224" t="s">
        <v>91</v>
      </c>
      <c r="AN1224" t="s">
        <v>91</v>
      </c>
      <c r="AO1224" t="s">
        <v>91</v>
      </c>
      <c r="AP1224" t="s">
        <v>91</v>
      </c>
      <c r="AQ1224" s="1" t="s">
        <v>91</v>
      </c>
      <c r="AR1224" s="1" t="s">
        <v>91</v>
      </c>
      <c r="AS1224" s="1" t="s">
        <v>91</v>
      </c>
      <c r="AT1224" s="1" t="s">
        <v>91</v>
      </c>
      <c r="AU1224" s="1" t="s">
        <v>91</v>
      </c>
      <c r="AV1224" t="s">
        <v>91</v>
      </c>
      <c r="AW1224" t="s">
        <v>91</v>
      </c>
      <c r="AX1224" t="s">
        <v>91</v>
      </c>
      <c r="AY1224" t="s">
        <v>91</v>
      </c>
      <c r="AZ1224" t="s">
        <v>91</v>
      </c>
      <c r="BA1224" t="s">
        <v>91</v>
      </c>
      <c r="BB1224" s="2"/>
      <c r="BC1224" s="2"/>
      <c r="BD1224" t="s">
        <v>91</v>
      </c>
      <c r="BF1224" s="1" t="s">
        <v>75</v>
      </c>
      <c r="BG1224">
        <v>0</v>
      </c>
      <c r="BH1224">
        <v>0</v>
      </c>
      <c r="BI1224" s="1" t="s">
        <v>88</v>
      </c>
      <c r="BJ1224">
        <v>1</v>
      </c>
      <c r="BK1224" s="1" t="s">
        <v>89</v>
      </c>
      <c r="BL1224" t="s">
        <v>91</v>
      </c>
      <c r="BM1224" s="1" t="s">
        <v>329</v>
      </c>
      <c r="BN1224" s="1" t="s">
        <v>110</v>
      </c>
      <c r="BO1224" s="1" t="s">
        <v>165</v>
      </c>
      <c r="BP1224" s="1" t="s">
        <v>91</v>
      </c>
      <c r="BQ1224" t="s">
        <v>91</v>
      </c>
      <c r="BR1224" s="3"/>
      <c r="BS1224" s="3"/>
      <c r="BT1224" t="s">
        <v>91</v>
      </c>
      <c r="BU1224" t="s">
        <v>91</v>
      </c>
      <c r="BV1224">
        <v>1</v>
      </c>
      <c r="BW1224" s="1" t="s">
        <v>601</v>
      </c>
    </row>
    <row r="1225" spans="1:75" hidden="1" x14ac:dyDescent="0.35">
      <c r="A1225">
        <v>144837</v>
      </c>
      <c r="B1225" s="1" t="s">
        <v>75</v>
      </c>
      <c r="C1225">
        <v>80</v>
      </c>
      <c r="D1225">
        <v>11121002</v>
      </c>
      <c r="E1225">
        <v>121002</v>
      </c>
      <c r="F1225" s="1" t="s">
        <v>2915</v>
      </c>
      <c r="G1225" s="1" t="s">
        <v>6669</v>
      </c>
      <c r="I1225" s="1" t="s">
        <v>78</v>
      </c>
      <c r="J1225" s="1" t="s">
        <v>6670</v>
      </c>
      <c r="K1225" s="1" t="s">
        <v>6671</v>
      </c>
      <c r="L1225" t="s">
        <v>91</v>
      </c>
      <c r="M1225" t="s">
        <v>91</v>
      </c>
      <c r="N1225" s="1" t="s">
        <v>6672</v>
      </c>
      <c r="O1225" t="s">
        <v>91</v>
      </c>
      <c r="P1225" s="1" t="s">
        <v>3056</v>
      </c>
      <c r="Q1225" s="1" t="s">
        <v>4093</v>
      </c>
      <c r="R1225" s="1" t="s">
        <v>245</v>
      </c>
      <c r="S1225">
        <v>1268</v>
      </c>
      <c r="T1225">
        <v>88701001</v>
      </c>
      <c r="U1225" s="1" t="s">
        <v>108</v>
      </c>
      <c r="V1225" s="1" t="s">
        <v>3900</v>
      </c>
      <c r="W1225" s="1" t="s">
        <v>87</v>
      </c>
      <c r="X1225">
        <v>48</v>
      </c>
      <c r="Y1225">
        <v>991092812</v>
      </c>
      <c r="Z1225" t="s">
        <v>91</v>
      </c>
      <c r="AA1225" t="s">
        <v>91</v>
      </c>
      <c r="AB1225" t="s">
        <v>91</v>
      </c>
      <c r="AC1225" t="s">
        <v>91</v>
      </c>
      <c r="AD1225" t="s">
        <v>91</v>
      </c>
      <c r="AE1225" t="s">
        <v>91</v>
      </c>
      <c r="AF1225" t="s">
        <v>91</v>
      </c>
      <c r="AG1225" s="1" t="s">
        <v>91</v>
      </c>
      <c r="AH1225" s="1" t="s">
        <v>91</v>
      </c>
      <c r="AI1225" t="s">
        <v>91</v>
      </c>
      <c r="AM1225" t="s">
        <v>91</v>
      </c>
      <c r="AN1225" t="s">
        <v>91</v>
      </c>
      <c r="AO1225" t="s">
        <v>91</v>
      </c>
      <c r="AP1225" t="s">
        <v>91</v>
      </c>
      <c r="AQ1225" s="1" t="s">
        <v>91</v>
      </c>
      <c r="AR1225" s="1" t="s">
        <v>91</v>
      </c>
      <c r="AS1225" s="1" t="s">
        <v>91</v>
      </c>
      <c r="AT1225" s="1" t="s">
        <v>91</v>
      </c>
      <c r="AU1225" s="1" t="s">
        <v>91</v>
      </c>
      <c r="AV1225" t="s">
        <v>91</v>
      </c>
      <c r="AW1225" t="s">
        <v>91</v>
      </c>
      <c r="AX1225" t="s">
        <v>91</v>
      </c>
      <c r="AY1225" t="s">
        <v>91</v>
      </c>
      <c r="AZ1225" t="s">
        <v>91</v>
      </c>
      <c r="BA1225" t="s">
        <v>91</v>
      </c>
      <c r="BB1225" s="2"/>
      <c r="BC1225" s="2"/>
      <c r="BD1225" t="s">
        <v>91</v>
      </c>
      <c r="BF1225" s="1" t="s">
        <v>75</v>
      </c>
      <c r="BI1225" s="1" t="s">
        <v>88</v>
      </c>
      <c r="BJ1225">
        <v>1</v>
      </c>
      <c r="BK1225" s="1" t="s">
        <v>89</v>
      </c>
      <c r="BL1225" t="s">
        <v>91</v>
      </c>
      <c r="BM1225" s="1" t="s">
        <v>91</v>
      </c>
      <c r="BN1225" s="1" t="s">
        <v>91</v>
      </c>
      <c r="BO1225" s="1" t="s">
        <v>128</v>
      </c>
      <c r="BP1225" s="1" t="s">
        <v>91</v>
      </c>
      <c r="BQ1225" t="s">
        <v>91</v>
      </c>
      <c r="BR1225" s="3"/>
      <c r="BS1225" s="3"/>
      <c r="BT1225" t="s">
        <v>91</v>
      </c>
      <c r="BU1225" t="s">
        <v>91</v>
      </c>
      <c r="BW1225" s="1" t="s">
        <v>2826</v>
      </c>
    </row>
    <row r="1226" spans="1:75" hidden="1" x14ac:dyDescent="0.35">
      <c r="A1226">
        <v>157609</v>
      </c>
      <c r="B1226" s="1" t="s">
        <v>75</v>
      </c>
      <c r="C1226">
        <v>80</v>
      </c>
      <c r="D1226">
        <v>11121002</v>
      </c>
      <c r="E1226">
        <v>121002</v>
      </c>
      <c r="F1226" s="1" t="s">
        <v>2915</v>
      </c>
      <c r="G1226" s="1" t="s">
        <v>6673</v>
      </c>
      <c r="H1226">
        <v>0</v>
      </c>
      <c r="I1226" s="1" t="s">
        <v>78</v>
      </c>
      <c r="J1226" s="1" t="s">
        <v>6674</v>
      </c>
      <c r="K1226" s="1" t="s">
        <v>6675</v>
      </c>
      <c r="L1226" t="s">
        <v>91</v>
      </c>
      <c r="M1226" t="s">
        <v>91</v>
      </c>
      <c r="N1226" s="1" t="s">
        <v>6676</v>
      </c>
      <c r="O1226" t="s">
        <v>91</v>
      </c>
      <c r="P1226" s="1" t="s">
        <v>2948</v>
      </c>
      <c r="Q1226" s="1" t="s">
        <v>1102</v>
      </c>
      <c r="R1226" s="1" t="s">
        <v>6677</v>
      </c>
      <c r="T1226">
        <v>88132559</v>
      </c>
      <c r="U1226" s="1" t="s">
        <v>2950</v>
      </c>
      <c r="V1226" s="1" t="s">
        <v>2951</v>
      </c>
      <c r="W1226" s="1" t="s">
        <v>87</v>
      </c>
      <c r="X1226">
        <v>48</v>
      </c>
      <c r="Y1226">
        <v>998582109</v>
      </c>
      <c r="Z1226" t="s">
        <v>91</v>
      </c>
      <c r="AA1226" t="s">
        <v>91</v>
      </c>
      <c r="AB1226" t="s">
        <v>91</v>
      </c>
      <c r="AC1226" t="s">
        <v>91</v>
      </c>
      <c r="AD1226" t="s">
        <v>91</v>
      </c>
      <c r="AE1226" t="s">
        <v>91</v>
      </c>
      <c r="AF1226" t="s">
        <v>91</v>
      </c>
      <c r="AG1226" s="1" t="s">
        <v>91</v>
      </c>
      <c r="AH1226" s="1" t="s">
        <v>91</v>
      </c>
      <c r="AI1226" t="s">
        <v>91</v>
      </c>
      <c r="AM1226" t="s">
        <v>91</v>
      </c>
      <c r="AN1226" t="s">
        <v>91</v>
      </c>
      <c r="AO1226" t="s">
        <v>91</v>
      </c>
      <c r="AP1226" t="s">
        <v>91</v>
      </c>
      <c r="AQ1226" s="1" t="s">
        <v>91</v>
      </c>
      <c r="AR1226" s="1" t="s">
        <v>91</v>
      </c>
      <c r="AS1226" s="1" t="s">
        <v>91</v>
      </c>
      <c r="AT1226" s="1" t="s">
        <v>91</v>
      </c>
      <c r="AU1226" s="1" t="s">
        <v>91</v>
      </c>
      <c r="AV1226" t="s">
        <v>91</v>
      </c>
      <c r="AW1226" t="s">
        <v>91</v>
      </c>
      <c r="AX1226" t="s">
        <v>91</v>
      </c>
      <c r="AY1226" t="s">
        <v>91</v>
      </c>
      <c r="AZ1226" t="s">
        <v>91</v>
      </c>
      <c r="BA1226" t="s">
        <v>91</v>
      </c>
      <c r="BB1226" s="2">
        <v>45118.097175925926</v>
      </c>
      <c r="BC1226" s="2"/>
      <c r="BD1226" t="s">
        <v>91</v>
      </c>
      <c r="BF1226" s="1" t="s">
        <v>75</v>
      </c>
      <c r="BI1226" s="1" t="s">
        <v>88</v>
      </c>
      <c r="BJ1226">
        <v>1</v>
      </c>
      <c r="BK1226" s="1" t="s">
        <v>89</v>
      </c>
      <c r="BL1226" t="s">
        <v>91</v>
      </c>
      <c r="BM1226" s="1" t="s">
        <v>91</v>
      </c>
      <c r="BN1226" s="1" t="s">
        <v>91</v>
      </c>
      <c r="BO1226" s="1" t="s">
        <v>91</v>
      </c>
      <c r="BP1226" s="1" t="s">
        <v>91</v>
      </c>
      <c r="BQ1226" t="s">
        <v>91</v>
      </c>
      <c r="BR1226" s="3">
        <v>45118</v>
      </c>
      <c r="BS1226" s="3"/>
      <c r="BT1226" t="s">
        <v>91</v>
      </c>
      <c r="BU1226" t="s">
        <v>91</v>
      </c>
      <c r="BW1226" s="1" t="s">
        <v>90</v>
      </c>
    </row>
    <row r="1227" spans="1:75" hidden="1" x14ac:dyDescent="0.35">
      <c r="A1227">
        <v>152763</v>
      </c>
      <c r="B1227" s="1" t="s">
        <v>75</v>
      </c>
      <c r="C1227">
        <v>80</v>
      </c>
      <c r="D1227">
        <v>11121002</v>
      </c>
      <c r="E1227">
        <v>121002</v>
      </c>
      <c r="F1227" s="1" t="s">
        <v>2915</v>
      </c>
      <c r="G1227" s="1" t="s">
        <v>6678</v>
      </c>
      <c r="H1227">
        <v>0</v>
      </c>
      <c r="I1227" s="1" t="s">
        <v>78</v>
      </c>
      <c r="J1227" s="1" t="s">
        <v>6679</v>
      </c>
      <c r="K1227" s="1" t="s">
        <v>6680</v>
      </c>
      <c r="L1227" t="s">
        <v>91</v>
      </c>
      <c r="M1227" t="s">
        <v>91</v>
      </c>
      <c r="N1227" s="1" t="s">
        <v>6681</v>
      </c>
      <c r="O1227" t="s">
        <v>91</v>
      </c>
      <c r="P1227" s="1" t="s">
        <v>3007</v>
      </c>
      <c r="Q1227" s="1" t="s">
        <v>6682</v>
      </c>
      <c r="R1227" s="1" t="s">
        <v>6683</v>
      </c>
      <c r="S1227">
        <v>1259</v>
      </c>
      <c r="T1227">
        <v>88106501</v>
      </c>
      <c r="U1227" s="1" t="s">
        <v>2987</v>
      </c>
      <c r="V1227" s="1" t="s">
        <v>2958</v>
      </c>
      <c r="W1227" s="1" t="s">
        <v>87</v>
      </c>
      <c r="Z1227" t="s">
        <v>91</v>
      </c>
      <c r="AA1227" t="s">
        <v>91</v>
      </c>
      <c r="AB1227" t="s">
        <v>91</v>
      </c>
      <c r="AC1227" t="s">
        <v>91</v>
      </c>
      <c r="AD1227" t="s">
        <v>91</v>
      </c>
      <c r="AE1227" t="s">
        <v>91</v>
      </c>
      <c r="AF1227" t="s">
        <v>91</v>
      </c>
      <c r="AG1227" s="1" t="s">
        <v>91</v>
      </c>
      <c r="AH1227" s="1" t="s">
        <v>91</v>
      </c>
      <c r="AI1227" t="s">
        <v>91</v>
      </c>
      <c r="AM1227" t="s">
        <v>91</v>
      </c>
      <c r="AN1227" t="s">
        <v>91</v>
      </c>
      <c r="AO1227" t="s">
        <v>91</v>
      </c>
      <c r="AP1227" t="s">
        <v>91</v>
      </c>
      <c r="AQ1227" s="1" t="s">
        <v>91</v>
      </c>
      <c r="AR1227" s="1" t="s">
        <v>91</v>
      </c>
      <c r="AS1227" s="1" t="s">
        <v>91</v>
      </c>
      <c r="AT1227" s="1" t="s">
        <v>91</v>
      </c>
      <c r="AU1227" s="1" t="s">
        <v>91</v>
      </c>
      <c r="AV1227" t="s">
        <v>91</v>
      </c>
      <c r="AW1227" t="s">
        <v>91</v>
      </c>
      <c r="AX1227" t="s">
        <v>91</v>
      </c>
      <c r="AY1227" t="s">
        <v>91</v>
      </c>
      <c r="AZ1227" t="s">
        <v>91</v>
      </c>
      <c r="BA1227" t="s">
        <v>91</v>
      </c>
      <c r="BB1227" s="2">
        <v>45019.565613425926</v>
      </c>
      <c r="BC1227" s="2"/>
      <c r="BD1227" t="s">
        <v>91</v>
      </c>
      <c r="BF1227" s="1" t="s">
        <v>75</v>
      </c>
      <c r="BI1227" s="1" t="s">
        <v>88</v>
      </c>
      <c r="BJ1227">
        <v>1</v>
      </c>
      <c r="BK1227" s="1" t="s">
        <v>89</v>
      </c>
      <c r="BL1227" t="s">
        <v>91</v>
      </c>
      <c r="BM1227" s="1" t="s">
        <v>91</v>
      </c>
      <c r="BN1227" s="1" t="s">
        <v>91</v>
      </c>
      <c r="BO1227" s="1" t="s">
        <v>91</v>
      </c>
      <c r="BP1227" s="1" t="s">
        <v>91</v>
      </c>
      <c r="BQ1227" t="s">
        <v>91</v>
      </c>
      <c r="BR1227" s="3">
        <v>45019</v>
      </c>
      <c r="BS1227" s="3"/>
      <c r="BT1227" t="s">
        <v>91</v>
      </c>
      <c r="BU1227" t="s">
        <v>91</v>
      </c>
      <c r="BW1227" s="1" t="s">
        <v>90</v>
      </c>
    </row>
    <row r="1228" spans="1:75" hidden="1" x14ac:dyDescent="0.35">
      <c r="A1228">
        <v>157655</v>
      </c>
      <c r="B1228" s="1" t="s">
        <v>75</v>
      </c>
      <c r="C1228">
        <v>80</v>
      </c>
      <c r="D1228">
        <v>11121002</v>
      </c>
      <c r="E1228">
        <v>121002</v>
      </c>
      <c r="F1228" s="1" t="s">
        <v>2915</v>
      </c>
      <c r="G1228" s="1" t="s">
        <v>6684</v>
      </c>
      <c r="H1228">
        <v>0</v>
      </c>
      <c r="I1228" s="1" t="s">
        <v>78</v>
      </c>
      <c r="J1228" s="1" t="s">
        <v>6685</v>
      </c>
      <c r="K1228" s="1" t="s">
        <v>6686</v>
      </c>
      <c r="L1228" t="s">
        <v>91</v>
      </c>
      <c r="M1228" t="s">
        <v>91</v>
      </c>
      <c r="N1228" s="1" t="s">
        <v>6687</v>
      </c>
      <c r="O1228" t="s">
        <v>91</v>
      </c>
      <c r="P1228" s="1" t="s">
        <v>6688</v>
      </c>
      <c r="Q1228" s="1" t="s">
        <v>6689</v>
      </c>
      <c r="R1228" s="1" t="s">
        <v>370</v>
      </c>
      <c r="S1228">
        <v>1265</v>
      </c>
      <c r="T1228">
        <v>88495000</v>
      </c>
      <c r="U1228" s="1" t="s">
        <v>108</v>
      </c>
      <c r="V1228" s="1" t="s">
        <v>3853</v>
      </c>
      <c r="W1228" s="1" t="s">
        <v>87</v>
      </c>
      <c r="X1228">
        <v>48</v>
      </c>
      <c r="Y1228">
        <v>33541683</v>
      </c>
      <c r="Z1228" t="s">
        <v>91</v>
      </c>
      <c r="AA1228" t="s">
        <v>91</v>
      </c>
      <c r="AB1228" t="s">
        <v>91</v>
      </c>
      <c r="AC1228" t="s">
        <v>91</v>
      </c>
      <c r="AD1228" t="s">
        <v>91</v>
      </c>
      <c r="AE1228" t="s">
        <v>91</v>
      </c>
      <c r="AF1228" t="s">
        <v>91</v>
      </c>
      <c r="AG1228" s="1" t="s">
        <v>91</v>
      </c>
      <c r="AH1228" s="1" t="s">
        <v>91</v>
      </c>
      <c r="AI1228" t="s">
        <v>91</v>
      </c>
      <c r="AM1228" t="s">
        <v>91</v>
      </c>
      <c r="AN1228" t="s">
        <v>91</v>
      </c>
      <c r="AO1228" t="s">
        <v>91</v>
      </c>
      <c r="AP1228" t="s">
        <v>91</v>
      </c>
      <c r="AQ1228" s="1" t="s">
        <v>91</v>
      </c>
      <c r="AR1228" s="1" t="s">
        <v>91</v>
      </c>
      <c r="AS1228" s="1" t="s">
        <v>91</v>
      </c>
      <c r="AT1228" s="1" t="s">
        <v>91</v>
      </c>
      <c r="AU1228" s="1" t="s">
        <v>91</v>
      </c>
      <c r="AV1228" t="s">
        <v>91</v>
      </c>
      <c r="AW1228" t="s">
        <v>91</v>
      </c>
      <c r="AX1228" t="s">
        <v>91</v>
      </c>
      <c r="AY1228" t="s">
        <v>91</v>
      </c>
      <c r="AZ1228" t="s">
        <v>91</v>
      </c>
      <c r="BA1228" t="s">
        <v>91</v>
      </c>
      <c r="BB1228" s="2">
        <v>45118.097175925926</v>
      </c>
      <c r="BC1228" s="2"/>
      <c r="BD1228" t="s">
        <v>91</v>
      </c>
      <c r="BF1228" s="1" t="s">
        <v>75</v>
      </c>
      <c r="BI1228" s="1" t="s">
        <v>88</v>
      </c>
      <c r="BJ1228">
        <v>1</v>
      </c>
      <c r="BK1228" s="1" t="s">
        <v>89</v>
      </c>
      <c r="BL1228" t="s">
        <v>91</v>
      </c>
      <c r="BM1228" s="1" t="s">
        <v>91</v>
      </c>
      <c r="BN1228" s="1" t="s">
        <v>91</v>
      </c>
      <c r="BO1228" s="1" t="s">
        <v>91</v>
      </c>
      <c r="BP1228" s="1" t="s">
        <v>91</v>
      </c>
      <c r="BQ1228" t="s">
        <v>91</v>
      </c>
      <c r="BR1228" s="3">
        <v>45118</v>
      </c>
      <c r="BS1228" s="3"/>
      <c r="BT1228" t="s">
        <v>91</v>
      </c>
      <c r="BU1228" t="s">
        <v>91</v>
      </c>
      <c r="BW1228" s="1" t="s">
        <v>90</v>
      </c>
    </row>
    <row r="1229" spans="1:75" hidden="1" x14ac:dyDescent="0.35">
      <c r="A1229">
        <v>136605</v>
      </c>
      <c r="B1229" s="1" t="s">
        <v>75</v>
      </c>
      <c r="C1229">
        <v>80</v>
      </c>
      <c r="D1229">
        <v>11121002</v>
      </c>
      <c r="E1229">
        <v>121002</v>
      </c>
      <c r="F1229" s="1" t="s">
        <v>2915</v>
      </c>
      <c r="G1229" s="1" t="s">
        <v>6690</v>
      </c>
      <c r="H1229">
        <v>0</v>
      </c>
      <c r="I1229" s="1" t="s">
        <v>78</v>
      </c>
      <c r="J1229" s="1" t="s">
        <v>6691</v>
      </c>
      <c r="K1229" s="1" t="s">
        <v>6692</v>
      </c>
      <c r="L1229" t="s">
        <v>91</v>
      </c>
      <c r="M1229" t="s">
        <v>91</v>
      </c>
      <c r="N1229" s="1" t="s">
        <v>1232</v>
      </c>
      <c r="O1229" t="s">
        <v>91</v>
      </c>
      <c r="P1229" s="1" t="s">
        <v>3417</v>
      </c>
      <c r="Q1229" s="1" t="s">
        <v>3459</v>
      </c>
      <c r="R1229" s="1" t="s">
        <v>91</v>
      </c>
      <c r="S1229">
        <v>1259</v>
      </c>
      <c r="T1229">
        <v>88132149</v>
      </c>
      <c r="U1229" s="1" t="s">
        <v>3420</v>
      </c>
      <c r="V1229" s="1" t="s">
        <v>2951</v>
      </c>
      <c r="W1229" s="1" t="s">
        <v>87</v>
      </c>
      <c r="X1229">
        <v>48</v>
      </c>
      <c r="Y1229">
        <v>32256592</v>
      </c>
      <c r="Z1229" t="s">
        <v>91</v>
      </c>
      <c r="AA1229" t="s">
        <v>91</v>
      </c>
      <c r="AB1229" t="s">
        <v>91</v>
      </c>
      <c r="AC1229" t="s">
        <v>91</v>
      </c>
      <c r="AD1229" t="s">
        <v>91</v>
      </c>
      <c r="AE1229" t="s">
        <v>91</v>
      </c>
      <c r="AF1229" t="s">
        <v>91</v>
      </c>
      <c r="AG1229" s="1" t="s">
        <v>91</v>
      </c>
      <c r="AH1229" s="1" t="s">
        <v>91</v>
      </c>
      <c r="AI1229" t="s">
        <v>91</v>
      </c>
      <c r="AM1229" t="s">
        <v>91</v>
      </c>
      <c r="AN1229" t="s">
        <v>91</v>
      </c>
      <c r="AO1229" t="s">
        <v>91</v>
      </c>
      <c r="AP1229" t="s">
        <v>91</v>
      </c>
      <c r="AQ1229" s="1" t="s">
        <v>91</v>
      </c>
      <c r="AR1229" s="1" t="s">
        <v>91</v>
      </c>
      <c r="AS1229" s="1" t="s">
        <v>91</v>
      </c>
      <c r="AT1229" s="1" t="s">
        <v>91</v>
      </c>
      <c r="AU1229" s="1" t="s">
        <v>91</v>
      </c>
      <c r="AV1229" t="s">
        <v>91</v>
      </c>
      <c r="AW1229" t="s">
        <v>91</v>
      </c>
      <c r="AX1229" t="s">
        <v>91</v>
      </c>
      <c r="AY1229" t="s">
        <v>91</v>
      </c>
      <c r="AZ1229" t="s">
        <v>91</v>
      </c>
      <c r="BA1229" t="s">
        <v>91</v>
      </c>
      <c r="BB1229" s="2">
        <v>44362.956458333334</v>
      </c>
      <c r="BC1229" s="2"/>
      <c r="BD1229" t="s">
        <v>91</v>
      </c>
      <c r="BF1229" s="1" t="s">
        <v>75</v>
      </c>
      <c r="BI1229" s="1" t="s">
        <v>88</v>
      </c>
      <c r="BJ1229">
        <v>1</v>
      </c>
      <c r="BK1229" s="1" t="s">
        <v>89</v>
      </c>
      <c r="BL1229" t="s">
        <v>91</v>
      </c>
      <c r="BM1229" s="1" t="s">
        <v>164</v>
      </c>
      <c r="BN1229" s="1" t="s">
        <v>110</v>
      </c>
      <c r="BO1229" s="1" t="s">
        <v>165</v>
      </c>
      <c r="BP1229" s="1" t="s">
        <v>91</v>
      </c>
      <c r="BQ1229" t="s">
        <v>91</v>
      </c>
      <c r="BR1229" s="3">
        <v>44362</v>
      </c>
      <c r="BS1229" s="3"/>
      <c r="BT1229" t="s">
        <v>91</v>
      </c>
      <c r="BU1229" t="s">
        <v>91</v>
      </c>
      <c r="BW1229" s="1" t="s">
        <v>90</v>
      </c>
    </row>
    <row r="1230" spans="1:75" hidden="1" x14ac:dyDescent="0.35">
      <c r="A1230">
        <v>134411</v>
      </c>
      <c r="B1230" s="1" t="s">
        <v>75</v>
      </c>
      <c r="C1230">
        <v>80</v>
      </c>
      <c r="D1230">
        <v>11121002</v>
      </c>
      <c r="E1230">
        <v>121002</v>
      </c>
      <c r="F1230" s="1" t="s">
        <v>2915</v>
      </c>
      <c r="G1230" s="1" t="s">
        <v>6693</v>
      </c>
      <c r="I1230" s="1" t="s">
        <v>78</v>
      </c>
      <c r="J1230" s="1" t="s">
        <v>6694</v>
      </c>
      <c r="K1230" s="1" t="s">
        <v>6695</v>
      </c>
      <c r="L1230" t="s">
        <v>91</v>
      </c>
      <c r="M1230" t="s">
        <v>91</v>
      </c>
      <c r="N1230" s="1" t="s">
        <v>6696</v>
      </c>
      <c r="O1230" t="s">
        <v>91</v>
      </c>
      <c r="P1230" s="1" t="s">
        <v>438</v>
      </c>
      <c r="Q1230" s="1" t="s">
        <v>6697</v>
      </c>
      <c r="R1230" s="1" t="s">
        <v>236</v>
      </c>
      <c r="S1230">
        <v>1266</v>
      </c>
      <c r="T1230">
        <v>88501000</v>
      </c>
      <c r="U1230" s="1" t="s">
        <v>108</v>
      </c>
      <c r="V1230" s="1" t="s">
        <v>3335</v>
      </c>
      <c r="W1230" s="1" t="s">
        <v>87</v>
      </c>
      <c r="X1230">
        <v>49</v>
      </c>
      <c r="Y1230">
        <v>30188881</v>
      </c>
      <c r="Z1230" t="s">
        <v>91</v>
      </c>
      <c r="AA1230" t="s">
        <v>91</v>
      </c>
      <c r="AB1230" t="s">
        <v>91</v>
      </c>
      <c r="AC1230" t="s">
        <v>91</v>
      </c>
      <c r="AD1230" t="s">
        <v>91</v>
      </c>
      <c r="AE1230" t="s">
        <v>91</v>
      </c>
      <c r="AF1230" t="s">
        <v>91</v>
      </c>
      <c r="AG1230" s="1" t="s">
        <v>146</v>
      </c>
      <c r="AH1230" s="1" t="s">
        <v>91</v>
      </c>
      <c r="AI1230" t="s">
        <v>91</v>
      </c>
      <c r="AM1230" t="s">
        <v>91</v>
      </c>
      <c r="AN1230" t="s">
        <v>91</v>
      </c>
      <c r="AO1230" t="s">
        <v>91</v>
      </c>
      <c r="AP1230" t="s">
        <v>91</v>
      </c>
      <c r="AQ1230" s="1" t="s">
        <v>147</v>
      </c>
      <c r="AR1230" s="1" t="s">
        <v>147</v>
      </c>
      <c r="AS1230" s="1" t="s">
        <v>147</v>
      </c>
      <c r="AT1230" s="1" t="s">
        <v>147</v>
      </c>
      <c r="AU1230" s="1" t="s">
        <v>147</v>
      </c>
      <c r="AV1230" t="s">
        <v>91</v>
      </c>
      <c r="AW1230" t="s">
        <v>91</v>
      </c>
      <c r="AX1230" t="s">
        <v>91</v>
      </c>
      <c r="AY1230" t="s">
        <v>91</v>
      </c>
      <c r="AZ1230" t="s">
        <v>91</v>
      </c>
      <c r="BA1230" t="s">
        <v>91</v>
      </c>
      <c r="BB1230" s="2"/>
      <c r="BC1230" s="2">
        <v>44684.581782407404</v>
      </c>
      <c r="BD1230" t="s">
        <v>91</v>
      </c>
      <c r="BF1230" s="1" t="s">
        <v>75</v>
      </c>
      <c r="BH1230">
        <v>0</v>
      </c>
      <c r="BI1230" s="1" t="s">
        <v>88</v>
      </c>
      <c r="BJ1230">
        <v>1</v>
      </c>
      <c r="BK1230" s="1" t="s">
        <v>89</v>
      </c>
      <c r="BL1230" t="s">
        <v>91</v>
      </c>
      <c r="BM1230" s="1" t="s">
        <v>109</v>
      </c>
      <c r="BN1230" s="1" t="s">
        <v>110</v>
      </c>
      <c r="BO1230" s="1" t="s">
        <v>111</v>
      </c>
      <c r="BP1230" s="1" t="s">
        <v>91</v>
      </c>
      <c r="BQ1230" t="s">
        <v>91</v>
      </c>
      <c r="BR1230" s="3"/>
      <c r="BS1230" s="3">
        <v>44684</v>
      </c>
      <c r="BT1230" t="s">
        <v>91</v>
      </c>
      <c r="BU1230" t="s">
        <v>91</v>
      </c>
      <c r="BV1230">
        <v>4</v>
      </c>
      <c r="BW1230" s="1" t="s">
        <v>2054</v>
      </c>
    </row>
    <row r="1231" spans="1:75" hidden="1" x14ac:dyDescent="0.35">
      <c r="A1231">
        <v>156868</v>
      </c>
      <c r="B1231" s="1" t="s">
        <v>75</v>
      </c>
      <c r="C1231">
        <v>80</v>
      </c>
      <c r="D1231">
        <v>11121002</v>
      </c>
      <c r="E1231">
        <v>121002</v>
      </c>
      <c r="F1231" s="1" t="s">
        <v>2915</v>
      </c>
      <c r="G1231" s="1" t="s">
        <v>6698</v>
      </c>
      <c r="H1231">
        <v>0</v>
      </c>
      <c r="I1231" s="1" t="s">
        <v>78</v>
      </c>
      <c r="J1231" s="1" t="s">
        <v>6699</v>
      </c>
      <c r="K1231" s="1" t="s">
        <v>6700</v>
      </c>
      <c r="L1231" t="s">
        <v>91</v>
      </c>
      <c r="M1231" t="s">
        <v>91</v>
      </c>
      <c r="N1231" s="1" t="s">
        <v>6701</v>
      </c>
      <c r="O1231" t="s">
        <v>91</v>
      </c>
      <c r="P1231" s="1" t="s">
        <v>6702</v>
      </c>
      <c r="Q1231" s="1" t="s">
        <v>3284</v>
      </c>
      <c r="R1231" s="1" t="s">
        <v>417</v>
      </c>
      <c r="T1231">
        <v>88065000</v>
      </c>
      <c r="U1231" s="1" t="s">
        <v>2964</v>
      </c>
      <c r="V1231" s="1" t="s">
        <v>2922</v>
      </c>
      <c r="W1231" s="1" t="s">
        <v>87</v>
      </c>
      <c r="X1231">
        <v>48</v>
      </c>
      <c r="Y1231">
        <v>996810054</v>
      </c>
      <c r="Z1231" t="s">
        <v>91</v>
      </c>
      <c r="AA1231" t="s">
        <v>91</v>
      </c>
      <c r="AB1231" t="s">
        <v>91</v>
      </c>
      <c r="AC1231" t="s">
        <v>91</v>
      </c>
      <c r="AD1231" t="s">
        <v>91</v>
      </c>
      <c r="AE1231" t="s">
        <v>91</v>
      </c>
      <c r="AF1231" t="s">
        <v>91</v>
      </c>
      <c r="AG1231" s="1" t="s">
        <v>91</v>
      </c>
      <c r="AH1231" s="1" t="s">
        <v>91</v>
      </c>
      <c r="AI1231" t="s">
        <v>91</v>
      </c>
      <c r="AM1231" t="s">
        <v>91</v>
      </c>
      <c r="AN1231" t="s">
        <v>91</v>
      </c>
      <c r="AO1231" t="s">
        <v>91</v>
      </c>
      <c r="AP1231" t="s">
        <v>91</v>
      </c>
      <c r="AQ1231" s="1" t="s">
        <v>91</v>
      </c>
      <c r="AR1231" s="1" t="s">
        <v>91</v>
      </c>
      <c r="AS1231" s="1" t="s">
        <v>91</v>
      </c>
      <c r="AT1231" s="1" t="s">
        <v>91</v>
      </c>
      <c r="AU1231" s="1" t="s">
        <v>91</v>
      </c>
      <c r="AV1231" t="s">
        <v>91</v>
      </c>
      <c r="AW1231" t="s">
        <v>91</v>
      </c>
      <c r="AX1231" t="s">
        <v>91</v>
      </c>
      <c r="AY1231" t="s">
        <v>91</v>
      </c>
      <c r="AZ1231" t="s">
        <v>91</v>
      </c>
      <c r="BA1231" t="s">
        <v>91</v>
      </c>
      <c r="BB1231" s="2">
        <v>45113.505416666667</v>
      </c>
      <c r="BC1231" s="2"/>
      <c r="BD1231" t="s">
        <v>91</v>
      </c>
      <c r="BF1231" s="1" t="s">
        <v>75</v>
      </c>
      <c r="BI1231" s="1" t="s">
        <v>88</v>
      </c>
      <c r="BJ1231">
        <v>1</v>
      </c>
      <c r="BK1231" s="1" t="s">
        <v>89</v>
      </c>
      <c r="BL1231" t="s">
        <v>91</v>
      </c>
      <c r="BM1231" s="1" t="s">
        <v>91</v>
      </c>
      <c r="BN1231" s="1" t="s">
        <v>91</v>
      </c>
      <c r="BO1231" s="1" t="s">
        <v>91</v>
      </c>
      <c r="BP1231" s="1" t="s">
        <v>91</v>
      </c>
      <c r="BQ1231" t="s">
        <v>91</v>
      </c>
      <c r="BR1231" s="3">
        <v>45113</v>
      </c>
      <c r="BS1231" s="3"/>
      <c r="BT1231" t="s">
        <v>91</v>
      </c>
      <c r="BU1231" t="s">
        <v>91</v>
      </c>
      <c r="BW1231" s="1" t="s">
        <v>90</v>
      </c>
    </row>
    <row r="1232" spans="1:75" hidden="1" x14ac:dyDescent="0.35">
      <c r="A1232">
        <v>127482</v>
      </c>
      <c r="B1232" s="1" t="s">
        <v>75</v>
      </c>
      <c r="C1232">
        <v>80</v>
      </c>
      <c r="D1232">
        <v>11121002</v>
      </c>
      <c r="E1232">
        <v>121002</v>
      </c>
      <c r="F1232" s="1" t="s">
        <v>2915</v>
      </c>
      <c r="G1232" s="1" t="s">
        <v>6703</v>
      </c>
      <c r="H1232">
        <v>0</v>
      </c>
      <c r="I1232" s="1" t="s">
        <v>78</v>
      </c>
      <c r="J1232" s="1" t="s">
        <v>6704</v>
      </c>
      <c r="K1232" s="1" t="s">
        <v>6705</v>
      </c>
      <c r="L1232" t="s">
        <v>91</v>
      </c>
      <c r="M1232" t="s">
        <v>91</v>
      </c>
      <c r="N1232" s="1" t="s">
        <v>6706</v>
      </c>
      <c r="O1232" t="s">
        <v>91</v>
      </c>
      <c r="P1232" s="1" t="s">
        <v>3556</v>
      </c>
      <c r="Q1232" s="1" t="s">
        <v>1605</v>
      </c>
      <c r="R1232" s="1" t="s">
        <v>91</v>
      </c>
      <c r="S1232">
        <v>1254</v>
      </c>
      <c r="T1232">
        <v>88010300</v>
      </c>
      <c r="U1232" s="1" t="s">
        <v>108</v>
      </c>
      <c r="V1232" s="1" t="s">
        <v>3102</v>
      </c>
      <c r="W1232" s="1" t="s">
        <v>87</v>
      </c>
      <c r="X1232">
        <v>48</v>
      </c>
      <c r="Y1232">
        <v>32249471</v>
      </c>
      <c r="Z1232" t="s">
        <v>91</v>
      </c>
      <c r="AA1232" t="s">
        <v>91</v>
      </c>
      <c r="AB1232" t="s">
        <v>91</v>
      </c>
      <c r="AC1232" t="s">
        <v>91</v>
      </c>
      <c r="AD1232" t="s">
        <v>91</v>
      </c>
      <c r="AE1232" t="s">
        <v>91</v>
      </c>
      <c r="AF1232" t="s">
        <v>91</v>
      </c>
      <c r="AG1232" s="1" t="s">
        <v>91</v>
      </c>
      <c r="AH1232" s="1" t="s">
        <v>91</v>
      </c>
      <c r="AI1232" t="s">
        <v>91</v>
      </c>
      <c r="AJ1232">
        <v>0</v>
      </c>
      <c r="AK1232">
        <v>0</v>
      </c>
      <c r="AL1232">
        <v>0</v>
      </c>
      <c r="AM1232" t="s">
        <v>91</v>
      </c>
      <c r="AN1232" t="s">
        <v>91</v>
      </c>
      <c r="AO1232" t="s">
        <v>91</v>
      </c>
      <c r="AP1232" t="s">
        <v>91</v>
      </c>
      <c r="AQ1232" s="1" t="s">
        <v>91</v>
      </c>
      <c r="AR1232" s="1" t="s">
        <v>91</v>
      </c>
      <c r="AS1232" s="1" t="s">
        <v>91</v>
      </c>
      <c r="AT1232" s="1" t="s">
        <v>91</v>
      </c>
      <c r="AU1232" s="1" t="s">
        <v>91</v>
      </c>
      <c r="AV1232" t="s">
        <v>91</v>
      </c>
      <c r="AW1232" t="s">
        <v>91</v>
      </c>
      <c r="AX1232" t="s">
        <v>91</v>
      </c>
      <c r="AY1232" t="s">
        <v>91</v>
      </c>
      <c r="AZ1232" t="s">
        <v>91</v>
      </c>
      <c r="BA1232" t="s">
        <v>91</v>
      </c>
      <c r="BB1232" s="2">
        <v>44111.380995370368</v>
      </c>
      <c r="BC1232" s="2"/>
      <c r="BD1232" t="s">
        <v>91</v>
      </c>
      <c r="BF1232" s="1" t="s">
        <v>75</v>
      </c>
      <c r="BG1232">
        <v>0</v>
      </c>
      <c r="BH1232">
        <v>0</v>
      </c>
      <c r="BI1232" s="1" t="s">
        <v>88</v>
      </c>
      <c r="BJ1232">
        <v>1</v>
      </c>
      <c r="BK1232" s="1" t="s">
        <v>89</v>
      </c>
      <c r="BL1232" t="s">
        <v>91</v>
      </c>
      <c r="BM1232" s="1" t="s">
        <v>109</v>
      </c>
      <c r="BN1232" s="1" t="s">
        <v>110</v>
      </c>
      <c r="BO1232" s="1" t="s">
        <v>165</v>
      </c>
      <c r="BP1232" s="1" t="s">
        <v>91</v>
      </c>
      <c r="BQ1232" t="s">
        <v>91</v>
      </c>
      <c r="BR1232" s="3">
        <v>44111</v>
      </c>
      <c r="BS1232" s="3"/>
      <c r="BT1232" t="s">
        <v>91</v>
      </c>
      <c r="BU1232" t="s">
        <v>91</v>
      </c>
      <c r="BV1232">
        <v>9</v>
      </c>
      <c r="BW1232" s="1" t="s">
        <v>90</v>
      </c>
    </row>
    <row r="1233" spans="1:75" hidden="1" x14ac:dyDescent="0.35">
      <c r="A1233">
        <v>156879</v>
      </c>
      <c r="B1233" s="1" t="s">
        <v>75</v>
      </c>
      <c r="C1233">
        <v>80</v>
      </c>
      <c r="D1233">
        <v>11121002</v>
      </c>
      <c r="E1233">
        <v>121002</v>
      </c>
      <c r="F1233" s="1" t="s">
        <v>2915</v>
      </c>
      <c r="G1233" s="1" t="s">
        <v>6707</v>
      </c>
      <c r="H1233">
        <v>0</v>
      </c>
      <c r="I1233" s="1" t="s">
        <v>78</v>
      </c>
      <c r="J1233" s="1" t="s">
        <v>6708</v>
      </c>
      <c r="K1233" s="1" t="s">
        <v>6709</v>
      </c>
      <c r="L1233" t="s">
        <v>91</v>
      </c>
      <c r="M1233" t="s">
        <v>91</v>
      </c>
      <c r="N1233" s="1" t="s">
        <v>3082</v>
      </c>
      <c r="O1233" t="s">
        <v>91</v>
      </c>
      <c r="P1233" s="1" t="s">
        <v>6710</v>
      </c>
      <c r="Q1233" s="1" t="s">
        <v>6711</v>
      </c>
      <c r="R1233" s="1" t="s">
        <v>434</v>
      </c>
      <c r="S1233">
        <v>1259</v>
      </c>
      <c r="T1233">
        <v>88140000</v>
      </c>
      <c r="U1233" s="1" t="s">
        <v>108</v>
      </c>
      <c r="V1233" s="1" t="s">
        <v>3123</v>
      </c>
      <c r="W1233" s="1" t="s">
        <v>87</v>
      </c>
      <c r="X1233">
        <v>48</v>
      </c>
      <c r="Y1233">
        <v>32223490</v>
      </c>
      <c r="Z1233" t="s">
        <v>91</v>
      </c>
      <c r="AA1233" t="s">
        <v>91</v>
      </c>
      <c r="AB1233" t="s">
        <v>91</v>
      </c>
      <c r="AC1233" t="s">
        <v>91</v>
      </c>
      <c r="AD1233" t="s">
        <v>91</v>
      </c>
      <c r="AE1233" t="s">
        <v>91</v>
      </c>
      <c r="AF1233" t="s">
        <v>91</v>
      </c>
      <c r="AG1233" s="1" t="s">
        <v>91</v>
      </c>
      <c r="AH1233" s="1" t="s">
        <v>91</v>
      </c>
      <c r="AI1233" t="s">
        <v>91</v>
      </c>
      <c r="AM1233" t="s">
        <v>91</v>
      </c>
      <c r="AN1233" t="s">
        <v>91</v>
      </c>
      <c r="AO1233" t="s">
        <v>91</v>
      </c>
      <c r="AP1233" t="s">
        <v>91</v>
      </c>
      <c r="AQ1233" s="1" t="s">
        <v>91</v>
      </c>
      <c r="AR1233" s="1" t="s">
        <v>91</v>
      </c>
      <c r="AS1233" s="1" t="s">
        <v>91</v>
      </c>
      <c r="AT1233" s="1" t="s">
        <v>91</v>
      </c>
      <c r="AU1233" s="1" t="s">
        <v>91</v>
      </c>
      <c r="AV1233" t="s">
        <v>91</v>
      </c>
      <c r="AW1233" t="s">
        <v>91</v>
      </c>
      <c r="AX1233" t="s">
        <v>91</v>
      </c>
      <c r="AY1233" t="s">
        <v>91</v>
      </c>
      <c r="AZ1233" t="s">
        <v>91</v>
      </c>
      <c r="BA1233" t="s">
        <v>91</v>
      </c>
      <c r="BB1233" s="2">
        <v>45113.505416666667</v>
      </c>
      <c r="BC1233" s="2"/>
      <c r="BD1233" t="s">
        <v>91</v>
      </c>
      <c r="BF1233" s="1" t="s">
        <v>75</v>
      </c>
      <c r="BI1233" s="1" t="s">
        <v>88</v>
      </c>
      <c r="BJ1233">
        <v>1</v>
      </c>
      <c r="BK1233" s="1" t="s">
        <v>89</v>
      </c>
      <c r="BL1233" t="s">
        <v>91</v>
      </c>
      <c r="BM1233" s="1" t="s">
        <v>91</v>
      </c>
      <c r="BN1233" s="1" t="s">
        <v>91</v>
      </c>
      <c r="BO1233" s="1" t="s">
        <v>91</v>
      </c>
      <c r="BP1233" s="1" t="s">
        <v>91</v>
      </c>
      <c r="BQ1233" t="s">
        <v>91</v>
      </c>
      <c r="BR1233" s="3">
        <v>45113</v>
      </c>
      <c r="BS1233" s="3"/>
      <c r="BT1233" t="s">
        <v>91</v>
      </c>
      <c r="BU1233" t="s">
        <v>91</v>
      </c>
      <c r="BW1233" s="1" t="s">
        <v>90</v>
      </c>
    </row>
    <row r="1234" spans="1:75" hidden="1" x14ac:dyDescent="0.35">
      <c r="A1234">
        <v>134548</v>
      </c>
      <c r="B1234" s="1" t="s">
        <v>75</v>
      </c>
      <c r="C1234">
        <v>80</v>
      </c>
      <c r="D1234">
        <v>11121002</v>
      </c>
      <c r="E1234">
        <v>121002</v>
      </c>
      <c r="F1234" s="1" t="s">
        <v>2915</v>
      </c>
      <c r="G1234" s="1" t="s">
        <v>6712</v>
      </c>
      <c r="I1234" s="1" t="s">
        <v>78</v>
      </c>
      <c r="J1234" s="1" t="s">
        <v>6713</v>
      </c>
      <c r="K1234" s="1" t="s">
        <v>6714</v>
      </c>
      <c r="L1234" t="s">
        <v>91</v>
      </c>
      <c r="M1234" t="s">
        <v>91</v>
      </c>
      <c r="N1234" s="1" t="s">
        <v>6715</v>
      </c>
      <c r="O1234" t="s">
        <v>91</v>
      </c>
      <c r="P1234" s="1" t="s">
        <v>6716</v>
      </c>
      <c r="Q1234" s="1" t="s">
        <v>3480</v>
      </c>
      <c r="R1234" s="1" t="s">
        <v>417</v>
      </c>
      <c r="S1234">
        <v>1259</v>
      </c>
      <c r="T1234">
        <v>88101000</v>
      </c>
      <c r="U1234" s="1" t="s">
        <v>4027</v>
      </c>
      <c r="V1234" s="1" t="s">
        <v>3016</v>
      </c>
      <c r="W1234" s="1" t="s">
        <v>87</v>
      </c>
      <c r="X1234">
        <v>48</v>
      </c>
      <c r="Y1234">
        <v>30801899</v>
      </c>
      <c r="Z1234" t="s">
        <v>91</v>
      </c>
      <c r="AA1234" t="s">
        <v>91</v>
      </c>
      <c r="AB1234" t="s">
        <v>91</v>
      </c>
      <c r="AC1234" t="s">
        <v>91</v>
      </c>
      <c r="AD1234" t="s">
        <v>91</v>
      </c>
      <c r="AE1234" t="s">
        <v>91</v>
      </c>
      <c r="AF1234" t="s">
        <v>91</v>
      </c>
      <c r="AG1234" s="1" t="s">
        <v>146</v>
      </c>
      <c r="AH1234" s="1" t="s">
        <v>91</v>
      </c>
      <c r="AI1234" t="s">
        <v>91</v>
      </c>
      <c r="AM1234" t="s">
        <v>91</v>
      </c>
      <c r="AN1234" t="s">
        <v>91</v>
      </c>
      <c r="AO1234" t="s">
        <v>91</v>
      </c>
      <c r="AP1234" t="s">
        <v>91</v>
      </c>
      <c r="AQ1234" s="1" t="s">
        <v>147</v>
      </c>
      <c r="AR1234" s="1" t="s">
        <v>147</v>
      </c>
      <c r="AS1234" s="1" t="s">
        <v>147</v>
      </c>
      <c r="AT1234" s="1" t="s">
        <v>147</v>
      </c>
      <c r="AU1234" s="1" t="s">
        <v>147</v>
      </c>
      <c r="AV1234" t="s">
        <v>91</v>
      </c>
      <c r="AW1234" t="s">
        <v>91</v>
      </c>
      <c r="AX1234" t="s">
        <v>91</v>
      </c>
      <c r="AY1234" t="s">
        <v>91</v>
      </c>
      <c r="AZ1234" t="s">
        <v>91</v>
      </c>
      <c r="BA1234" t="s">
        <v>91</v>
      </c>
      <c r="BB1234" s="2"/>
      <c r="BC1234" s="2">
        <v>44460.627546296295</v>
      </c>
      <c r="BD1234" t="s">
        <v>91</v>
      </c>
      <c r="BF1234" s="1" t="s">
        <v>75</v>
      </c>
      <c r="BH1234">
        <v>0</v>
      </c>
      <c r="BI1234" s="1" t="s">
        <v>88</v>
      </c>
      <c r="BJ1234">
        <v>1</v>
      </c>
      <c r="BK1234" s="1" t="s">
        <v>89</v>
      </c>
      <c r="BL1234" t="s">
        <v>91</v>
      </c>
      <c r="BM1234" s="1" t="s">
        <v>109</v>
      </c>
      <c r="BN1234" s="1" t="s">
        <v>110</v>
      </c>
      <c r="BO1234" s="1" t="s">
        <v>165</v>
      </c>
      <c r="BP1234" s="1" t="s">
        <v>91</v>
      </c>
      <c r="BQ1234" t="s">
        <v>91</v>
      </c>
      <c r="BR1234" s="3"/>
      <c r="BS1234" s="3">
        <v>44460</v>
      </c>
      <c r="BT1234" t="s">
        <v>91</v>
      </c>
      <c r="BU1234" t="s">
        <v>91</v>
      </c>
      <c r="BV1234">
        <v>9</v>
      </c>
      <c r="BW1234" s="1" t="s">
        <v>1260</v>
      </c>
    </row>
    <row r="1235" spans="1:75" hidden="1" x14ac:dyDescent="0.35">
      <c r="A1235">
        <v>134551</v>
      </c>
      <c r="B1235" s="1" t="s">
        <v>75</v>
      </c>
      <c r="C1235">
        <v>80</v>
      </c>
      <c r="D1235">
        <v>11121002</v>
      </c>
      <c r="E1235">
        <v>121002</v>
      </c>
      <c r="F1235" s="1" t="s">
        <v>2915</v>
      </c>
      <c r="G1235" s="1" t="s">
        <v>6717</v>
      </c>
      <c r="I1235" s="1" t="s">
        <v>78</v>
      </c>
      <c r="J1235" s="1" t="s">
        <v>6718</v>
      </c>
      <c r="K1235" s="1" t="s">
        <v>6719</v>
      </c>
      <c r="L1235" t="s">
        <v>91</v>
      </c>
      <c r="M1235" t="s">
        <v>91</v>
      </c>
      <c r="N1235" s="1" t="s">
        <v>6720</v>
      </c>
      <c r="O1235" t="s">
        <v>91</v>
      </c>
      <c r="P1235" s="1" t="s">
        <v>6721</v>
      </c>
      <c r="Q1235" s="1" t="s">
        <v>3459</v>
      </c>
      <c r="R1235" s="1" t="s">
        <v>6722</v>
      </c>
      <c r="S1235">
        <v>1259</v>
      </c>
      <c r="T1235">
        <v>88132149</v>
      </c>
      <c r="U1235" s="1" t="s">
        <v>3420</v>
      </c>
      <c r="V1235" s="1" t="s">
        <v>3165</v>
      </c>
      <c r="W1235" s="1" t="s">
        <v>87</v>
      </c>
      <c r="X1235">
        <v>48</v>
      </c>
      <c r="Y1235">
        <v>30869100</v>
      </c>
      <c r="Z1235" t="s">
        <v>91</v>
      </c>
      <c r="AA1235" t="s">
        <v>91</v>
      </c>
      <c r="AB1235" t="s">
        <v>91</v>
      </c>
      <c r="AC1235" t="s">
        <v>91</v>
      </c>
      <c r="AD1235" t="s">
        <v>91</v>
      </c>
      <c r="AE1235" t="s">
        <v>91</v>
      </c>
      <c r="AF1235" t="s">
        <v>91</v>
      </c>
      <c r="AG1235" s="1" t="s">
        <v>146</v>
      </c>
      <c r="AH1235" s="1" t="s">
        <v>91</v>
      </c>
      <c r="AI1235" t="s">
        <v>91</v>
      </c>
      <c r="AM1235" t="s">
        <v>91</v>
      </c>
      <c r="AN1235" t="s">
        <v>91</v>
      </c>
      <c r="AO1235" t="s">
        <v>91</v>
      </c>
      <c r="AP1235" t="s">
        <v>91</v>
      </c>
      <c r="AQ1235" s="1" t="s">
        <v>147</v>
      </c>
      <c r="AR1235" s="1" t="s">
        <v>147</v>
      </c>
      <c r="AS1235" s="1" t="s">
        <v>147</v>
      </c>
      <c r="AT1235" s="1" t="s">
        <v>147</v>
      </c>
      <c r="AU1235" s="1" t="s">
        <v>147</v>
      </c>
      <c r="AV1235" t="s">
        <v>91</v>
      </c>
      <c r="AW1235" t="s">
        <v>91</v>
      </c>
      <c r="AX1235" t="s">
        <v>91</v>
      </c>
      <c r="AY1235" t="s">
        <v>91</v>
      </c>
      <c r="AZ1235" t="s">
        <v>91</v>
      </c>
      <c r="BA1235" t="s">
        <v>91</v>
      </c>
      <c r="BB1235" s="2"/>
      <c r="BC1235" s="2">
        <v>44544.372175925928</v>
      </c>
      <c r="BD1235" t="s">
        <v>91</v>
      </c>
      <c r="BF1235" s="1" t="s">
        <v>75</v>
      </c>
      <c r="BH1235">
        <v>0</v>
      </c>
      <c r="BI1235" s="1" t="s">
        <v>88</v>
      </c>
      <c r="BJ1235">
        <v>1</v>
      </c>
      <c r="BK1235" s="1" t="s">
        <v>89</v>
      </c>
      <c r="BL1235" t="s">
        <v>91</v>
      </c>
      <c r="BM1235" s="1" t="s">
        <v>109</v>
      </c>
      <c r="BN1235" s="1" t="s">
        <v>110</v>
      </c>
      <c r="BO1235" s="1" t="s">
        <v>165</v>
      </c>
      <c r="BP1235" s="1" t="s">
        <v>91</v>
      </c>
      <c r="BQ1235" t="s">
        <v>91</v>
      </c>
      <c r="BR1235" s="3"/>
      <c r="BS1235" s="3">
        <v>44544</v>
      </c>
      <c r="BT1235" t="s">
        <v>91</v>
      </c>
      <c r="BU1235" t="s">
        <v>91</v>
      </c>
      <c r="BW1235" s="1" t="s">
        <v>912</v>
      </c>
    </row>
    <row r="1236" spans="1:75" hidden="1" x14ac:dyDescent="0.35">
      <c r="A1236">
        <v>152743</v>
      </c>
      <c r="B1236" s="1" t="s">
        <v>75</v>
      </c>
      <c r="C1236">
        <v>80</v>
      </c>
      <c r="D1236">
        <v>11121002</v>
      </c>
      <c r="E1236">
        <v>121002</v>
      </c>
      <c r="F1236" s="1" t="s">
        <v>2915</v>
      </c>
      <c r="G1236" s="1" t="s">
        <v>6723</v>
      </c>
      <c r="H1236">
        <v>0</v>
      </c>
      <c r="I1236" s="1" t="s">
        <v>78</v>
      </c>
      <c r="J1236" s="1" t="s">
        <v>6724</v>
      </c>
      <c r="K1236" s="1" t="s">
        <v>6725</v>
      </c>
      <c r="L1236" t="s">
        <v>91</v>
      </c>
      <c r="M1236" t="s">
        <v>91</v>
      </c>
      <c r="N1236" s="1" t="s">
        <v>6726</v>
      </c>
      <c r="O1236" t="s">
        <v>91</v>
      </c>
      <c r="P1236" s="1" t="s">
        <v>3568</v>
      </c>
      <c r="Q1236" s="1" t="s">
        <v>2144</v>
      </c>
      <c r="R1236" s="1" t="s">
        <v>6727</v>
      </c>
      <c r="T1236">
        <v>88015200</v>
      </c>
      <c r="U1236" s="1" t="s">
        <v>108</v>
      </c>
      <c r="V1236" s="1" t="s">
        <v>2922</v>
      </c>
      <c r="W1236" s="1" t="s">
        <v>87</v>
      </c>
      <c r="Z1236" t="s">
        <v>91</v>
      </c>
      <c r="AA1236" t="s">
        <v>91</v>
      </c>
      <c r="AB1236" t="s">
        <v>91</v>
      </c>
      <c r="AC1236" t="s">
        <v>91</v>
      </c>
      <c r="AD1236" t="s">
        <v>91</v>
      </c>
      <c r="AE1236" t="s">
        <v>91</v>
      </c>
      <c r="AF1236" t="s">
        <v>91</v>
      </c>
      <c r="AG1236" s="1" t="s">
        <v>91</v>
      </c>
      <c r="AH1236" s="1" t="s">
        <v>91</v>
      </c>
      <c r="AI1236" t="s">
        <v>91</v>
      </c>
      <c r="AM1236" t="s">
        <v>91</v>
      </c>
      <c r="AN1236" t="s">
        <v>91</v>
      </c>
      <c r="AO1236" t="s">
        <v>91</v>
      </c>
      <c r="AP1236" t="s">
        <v>91</v>
      </c>
      <c r="AQ1236" s="1" t="s">
        <v>91</v>
      </c>
      <c r="AR1236" s="1" t="s">
        <v>91</v>
      </c>
      <c r="AS1236" s="1" t="s">
        <v>91</v>
      </c>
      <c r="AT1236" s="1" t="s">
        <v>91</v>
      </c>
      <c r="AU1236" s="1" t="s">
        <v>91</v>
      </c>
      <c r="AV1236" t="s">
        <v>91</v>
      </c>
      <c r="AW1236" t="s">
        <v>91</v>
      </c>
      <c r="AX1236" t="s">
        <v>91</v>
      </c>
      <c r="AY1236" t="s">
        <v>91</v>
      </c>
      <c r="AZ1236" t="s">
        <v>91</v>
      </c>
      <c r="BA1236" t="s">
        <v>91</v>
      </c>
      <c r="BB1236" s="2">
        <v>45019.565613425926</v>
      </c>
      <c r="BC1236" s="2"/>
      <c r="BD1236" t="s">
        <v>91</v>
      </c>
      <c r="BF1236" s="1" t="s">
        <v>75</v>
      </c>
      <c r="BI1236" s="1" t="s">
        <v>88</v>
      </c>
      <c r="BJ1236">
        <v>1</v>
      </c>
      <c r="BK1236" s="1" t="s">
        <v>89</v>
      </c>
      <c r="BL1236" t="s">
        <v>91</v>
      </c>
      <c r="BM1236" s="1" t="s">
        <v>91</v>
      </c>
      <c r="BN1236" s="1" t="s">
        <v>91</v>
      </c>
      <c r="BO1236" s="1" t="s">
        <v>91</v>
      </c>
      <c r="BP1236" s="1" t="s">
        <v>91</v>
      </c>
      <c r="BQ1236" t="s">
        <v>91</v>
      </c>
      <c r="BR1236" s="3">
        <v>45019</v>
      </c>
      <c r="BS1236" s="3"/>
      <c r="BT1236" t="s">
        <v>91</v>
      </c>
      <c r="BU1236" t="s">
        <v>91</v>
      </c>
      <c r="BW1236" s="1" t="s">
        <v>90</v>
      </c>
    </row>
    <row r="1237" spans="1:75" hidden="1" x14ac:dyDescent="0.35">
      <c r="A1237">
        <v>134408</v>
      </c>
      <c r="B1237" s="1" t="s">
        <v>75</v>
      </c>
      <c r="C1237">
        <v>80</v>
      </c>
      <c r="D1237">
        <v>11121002</v>
      </c>
      <c r="E1237">
        <v>121002</v>
      </c>
      <c r="F1237" s="1" t="s">
        <v>2915</v>
      </c>
      <c r="G1237" s="1" t="s">
        <v>6728</v>
      </c>
      <c r="I1237" s="1" t="s">
        <v>78</v>
      </c>
      <c r="J1237" s="1" t="s">
        <v>6729</v>
      </c>
      <c r="K1237" s="1" t="s">
        <v>6730</v>
      </c>
      <c r="L1237" t="s">
        <v>91</v>
      </c>
      <c r="M1237" t="s">
        <v>91</v>
      </c>
      <c r="N1237" s="1" t="s">
        <v>6731</v>
      </c>
      <c r="O1237" t="s">
        <v>91</v>
      </c>
      <c r="P1237" s="1" t="s">
        <v>5684</v>
      </c>
      <c r="Q1237" s="1" t="s">
        <v>2144</v>
      </c>
      <c r="R1237" s="1" t="s">
        <v>91</v>
      </c>
      <c r="S1237">
        <v>1255</v>
      </c>
      <c r="T1237">
        <v>88015204</v>
      </c>
      <c r="U1237" s="1" t="s">
        <v>108</v>
      </c>
      <c r="V1237" s="1" t="s">
        <v>3102</v>
      </c>
      <c r="W1237" s="1" t="s">
        <v>87</v>
      </c>
      <c r="X1237">
        <v>48</v>
      </c>
      <c r="Y1237">
        <v>37712566</v>
      </c>
      <c r="Z1237" t="s">
        <v>91</v>
      </c>
      <c r="AA1237" t="s">
        <v>91</v>
      </c>
      <c r="AB1237" t="s">
        <v>91</v>
      </c>
      <c r="AC1237" t="s">
        <v>91</v>
      </c>
      <c r="AD1237" t="s">
        <v>91</v>
      </c>
      <c r="AE1237" t="s">
        <v>91</v>
      </c>
      <c r="AF1237" t="s">
        <v>91</v>
      </c>
      <c r="AG1237" s="1" t="s">
        <v>146</v>
      </c>
      <c r="AH1237" s="1" t="s">
        <v>91</v>
      </c>
      <c r="AI1237" t="s">
        <v>91</v>
      </c>
      <c r="AM1237" t="s">
        <v>91</v>
      </c>
      <c r="AN1237" t="s">
        <v>91</v>
      </c>
      <c r="AO1237" t="s">
        <v>91</v>
      </c>
      <c r="AP1237" t="s">
        <v>91</v>
      </c>
      <c r="AQ1237" s="1" t="s">
        <v>147</v>
      </c>
      <c r="AR1237" s="1" t="s">
        <v>147</v>
      </c>
      <c r="AS1237" s="1" t="s">
        <v>147</v>
      </c>
      <c r="AT1237" s="1" t="s">
        <v>147</v>
      </c>
      <c r="AU1237" s="1" t="s">
        <v>147</v>
      </c>
      <c r="AV1237" t="s">
        <v>91</v>
      </c>
      <c r="AW1237" t="s">
        <v>91</v>
      </c>
      <c r="AX1237" t="s">
        <v>91</v>
      </c>
      <c r="AY1237" t="s">
        <v>91</v>
      </c>
      <c r="AZ1237" t="s">
        <v>91</v>
      </c>
      <c r="BA1237" t="s">
        <v>91</v>
      </c>
      <c r="BB1237" s="2"/>
      <c r="BC1237" s="2">
        <v>44544.370324074072</v>
      </c>
      <c r="BD1237" t="s">
        <v>91</v>
      </c>
      <c r="BF1237" s="1" t="s">
        <v>75</v>
      </c>
      <c r="BH1237">
        <v>0</v>
      </c>
      <c r="BI1237" s="1" t="s">
        <v>88</v>
      </c>
      <c r="BJ1237">
        <v>1</v>
      </c>
      <c r="BK1237" s="1" t="s">
        <v>89</v>
      </c>
      <c r="BL1237" t="s">
        <v>91</v>
      </c>
      <c r="BM1237" s="1" t="s">
        <v>109</v>
      </c>
      <c r="BN1237" s="1" t="s">
        <v>110</v>
      </c>
      <c r="BO1237" s="1" t="s">
        <v>128</v>
      </c>
      <c r="BP1237" s="1" t="s">
        <v>91</v>
      </c>
      <c r="BQ1237" t="s">
        <v>91</v>
      </c>
      <c r="BR1237" s="3"/>
      <c r="BS1237" s="3">
        <v>44544</v>
      </c>
      <c r="BT1237" t="s">
        <v>91</v>
      </c>
      <c r="BU1237" t="s">
        <v>91</v>
      </c>
      <c r="BV1237">
        <v>9</v>
      </c>
      <c r="BW1237" s="1" t="s">
        <v>1260</v>
      </c>
    </row>
    <row r="1238" spans="1:75" hidden="1" x14ac:dyDescent="0.35">
      <c r="A1238">
        <v>156902</v>
      </c>
      <c r="B1238" s="1" t="s">
        <v>75</v>
      </c>
      <c r="C1238">
        <v>80</v>
      </c>
      <c r="D1238">
        <v>11121002</v>
      </c>
      <c r="E1238">
        <v>121002</v>
      </c>
      <c r="F1238" s="1" t="s">
        <v>2915</v>
      </c>
      <c r="G1238" s="1" t="s">
        <v>6732</v>
      </c>
      <c r="H1238">
        <v>0</v>
      </c>
      <c r="I1238" s="1" t="s">
        <v>78</v>
      </c>
      <c r="J1238" s="1" t="s">
        <v>6733</v>
      </c>
      <c r="K1238" s="1" t="s">
        <v>6734</v>
      </c>
      <c r="L1238" t="s">
        <v>91</v>
      </c>
      <c r="M1238" t="s">
        <v>91</v>
      </c>
      <c r="N1238" s="1" t="s">
        <v>2231</v>
      </c>
      <c r="O1238" t="s">
        <v>91</v>
      </c>
      <c r="P1238" s="1" t="s">
        <v>4521</v>
      </c>
      <c r="Q1238" s="1" t="s">
        <v>6010</v>
      </c>
      <c r="R1238" s="1" t="s">
        <v>254</v>
      </c>
      <c r="S1238">
        <v>1265</v>
      </c>
      <c r="T1238">
        <v>88495000</v>
      </c>
      <c r="U1238" s="1" t="s">
        <v>108</v>
      </c>
      <c r="V1238" s="1" t="s">
        <v>3853</v>
      </c>
      <c r="W1238" s="1" t="s">
        <v>87</v>
      </c>
      <c r="X1238">
        <v>48</v>
      </c>
      <c r="Y1238">
        <v>998041869</v>
      </c>
      <c r="Z1238" t="s">
        <v>91</v>
      </c>
      <c r="AA1238" t="s">
        <v>91</v>
      </c>
      <c r="AB1238" t="s">
        <v>91</v>
      </c>
      <c r="AC1238" t="s">
        <v>91</v>
      </c>
      <c r="AD1238" t="s">
        <v>91</v>
      </c>
      <c r="AE1238" t="s">
        <v>91</v>
      </c>
      <c r="AF1238" t="s">
        <v>91</v>
      </c>
      <c r="AG1238" s="1" t="s">
        <v>91</v>
      </c>
      <c r="AH1238" s="1" t="s">
        <v>91</v>
      </c>
      <c r="AI1238" t="s">
        <v>91</v>
      </c>
      <c r="AM1238" t="s">
        <v>91</v>
      </c>
      <c r="AN1238" t="s">
        <v>91</v>
      </c>
      <c r="AO1238" t="s">
        <v>91</v>
      </c>
      <c r="AP1238" t="s">
        <v>91</v>
      </c>
      <c r="AQ1238" s="1" t="s">
        <v>91</v>
      </c>
      <c r="AR1238" s="1" t="s">
        <v>91</v>
      </c>
      <c r="AS1238" s="1" t="s">
        <v>91</v>
      </c>
      <c r="AT1238" s="1" t="s">
        <v>91</v>
      </c>
      <c r="AU1238" s="1" t="s">
        <v>91</v>
      </c>
      <c r="AV1238" t="s">
        <v>91</v>
      </c>
      <c r="AW1238" t="s">
        <v>91</v>
      </c>
      <c r="AX1238" t="s">
        <v>91</v>
      </c>
      <c r="AY1238" t="s">
        <v>91</v>
      </c>
      <c r="AZ1238" t="s">
        <v>91</v>
      </c>
      <c r="BA1238" t="s">
        <v>91</v>
      </c>
      <c r="BB1238" s="2">
        <v>45113.505416666667</v>
      </c>
      <c r="BC1238" s="2"/>
      <c r="BD1238" t="s">
        <v>91</v>
      </c>
      <c r="BF1238" s="1" t="s">
        <v>75</v>
      </c>
      <c r="BI1238" s="1" t="s">
        <v>88</v>
      </c>
      <c r="BJ1238">
        <v>1</v>
      </c>
      <c r="BK1238" s="1" t="s">
        <v>89</v>
      </c>
      <c r="BL1238" t="s">
        <v>91</v>
      </c>
      <c r="BM1238" s="1" t="s">
        <v>91</v>
      </c>
      <c r="BN1238" s="1" t="s">
        <v>91</v>
      </c>
      <c r="BO1238" s="1" t="s">
        <v>91</v>
      </c>
      <c r="BP1238" s="1" t="s">
        <v>91</v>
      </c>
      <c r="BQ1238" t="s">
        <v>91</v>
      </c>
      <c r="BR1238" s="3">
        <v>45113</v>
      </c>
      <c r="BS1238" s="3"/>
      <c r="BT1238" t="s">
        <v>91</v>
      </c>
      <c r="BU1238" t="s">
        <v>91</v>
      </c>
      <c r="BW1238" s="1" t="s">
        <v>90</v>
      </c>
    </row>
    <row r="1239" spans="1:75" hidden="1" x14ac:dyDescent="0.35">
      <c r="A1239">
        <v>134400</v>
      </c>
      <c r="B1239" s="1" t="s">
        <v>75</v>
      </c>
      <c r="C1239">
        <v>80</v>
      </c>
      <c r="D1239">
        <v>11121002</v>
      </c>
      <c r="E1239">
        <v>121002</v>
      </c>
      <c r="F1239" s="1" t="s">
        <v>2915</v>
      </c>
      <c r="G1239" s="1" t="s">
        <v>6735</v>
      </c>
      <c r="I1239" s="1" t="s">
        <v>78</v>
      </c>
      <c r="J1239" s="1" t="s">
        <v>6736</v>
      </c>
      <c r="K1239" s="1" t="s">
        <v>6737</v>
      </c>
      <c r="L1239" t="s">
        <v>91</v>
      </c>
      <c r="M1239" t="s">
        <v>91</v>
      </c>
      <c r="N1239" s="1" t="s">
        <v>6731</v>
      </c>
      <c r="O1239" t="s">
        <v>91</v>
      </c>
      <c r="P1239" s="1" t="s">
        <v>311</v>
      </c>
      <c r="Q1239" s="1" t="s">
        <v>3448</v>
      </c>
      <c r="R1239" s="1" t="s">
        <v>6738</v>
      </c>
      <c r="S1239">
        <v>1254</v>
      </c>
      <c r="T1239">
        <v>88010000</v>
      </c>
      <c r="U1239" s="1" t="s">
        <v>108</v>
      </c>
      <c r="V1239" s="1" t="s">
        <v>3102</v>
      </c>
      <c r="W1239" s="1" t="s">
        <v>87</v>
      </c>
      <c r="X1239">
        <v>48</v>
      </c>
      <c r="Y1239">
        <v>30395555</v>
      </c>
      <c r="Z1239" t="s">
        <v>91</v>
      </c>
      <c r="AA1239" t="s">
        <v>91</v>
      </c>
      <c r="AB1239" t="s">
        <v>91</v>
      </c>
      <c r="AC1239" t="s">
        <v>91</v>
      </c>
      <c r="AD1239" t="s">
        <v>91</v>
      </c>
      <c r="AE1239" t="s">
        <v>91</v>
      </c>
      <c r="AF1239" t="s">
        <v>91</v>
      </c>
      <c r="AG1239" s="1" t="s">
        <v>146</v>
      </c>
      <c r="AH1239" s="1" t="s">
        <v>91</v>
      </c>
      <c r="AI1239" t="s">
        <v>91</v>
      </c>
      <c r="AM1239" t="s">
        <v>91</v>
      </c>
      <c r="AN1239" t="s">
        <v>91</v>
      </c>
      <c r="AO1239" t="s">
        <v>91</v>
      </c>
      <c r="AP1239" t="s">
        <v>91</v>
      </c>
      <c r="AQ1239" s="1" t="s">
        <v>147</v>
      </c>
      <c r="AR1239" s="1" t="s">
        <v>147</v>
      </c>
      <c r="AS1239" s="1" t="s">
        <v>147</v>
      </c>
      <c r="AT1239" s="1" t="s">
        <v>147</v>
      </c>
      <c r="AU1239" s="1" t="s">
        <v>147</v>
      </c>
      <c r="AV1239" t="s">
        <v>91</v>
      </c>
      <c r="AW1239" t="s">
        <v>91</v>
      </c>
      <c r="AX1239" t="s">
        <v>91</v>
      </c>
      <c r="AY1239" t="s">
        <v>91</v>
      </c>
      <c r="AZ1239" t="s">
        <v>91</v>
      </c>
      <c r="BA1239" t="s">
        <v>91</v>
      </c>
      <c r="BB1239" s="2"/>
      <c r="BC1239" s="2">
        <v>44544.365127314813</v>
      </c>
      <c r="BD1239" t="s">
        <v>91</v>
      </c>
      <c r="BF1239" s="1" t="s">
        <v>75</v>
      </c>
      <c r="BH1239">
        <v>0</v>
      </c>
      <c r="BI1239" s="1" t="s">
        <v>88</v>
      </c>
      <c r="BJ1239">
        <v>1</v>
      </c>
      <c r="BK1239" s="1" t="s">
        <v>89</v>
      </c>
      <c r="BL1239" t="s">
        <v>91</v>
      </c>
      <c r="BM1239" s="1" t="s">
        <v>109</v>
      </c>
      <c r="BN1239" s="1" t="s">
        <v>110</v>
      </c>
      <c r="BO1239" s="1" t="s">
        <v>128</v>
      </c>
      <c r="BP1239" s="1" t="s">
        <v>91</v>
      </c>
      <c r="BQ1239" t="s">
        <v>91</v>
      </c>
      <c r="BR1239" s="3"/>
      <c r="BS1239" s="3">
        <v>44544</v>
      </c>
      <c r="BT1239" t="s">
        <v>91</v>
      </c>
      <c r="BU1239" t="s">
        <v>91</v>
      </c>
      <c r="BV1239">
        <v>7</v>
      </c>
      <c r="BW1239" s="1" t="s">
        <v>3369</v>
      </c>
    </row>
    <row r="1240" spans="1:75" hidden="1" x14ac:dyDescent="0.35">
      <c r="A1240">
        <v>437</v>
      </c>
      <c r="B1240" s="1" t="s">
        <v>75</v>
      </c>
      <c r="C1240">
        <v>80</v>
      </c>
      <c r="D1240">
        <v>11121002</v>
      </c>
      <c r="E1240">
        <v>121002</v>
      </c>
      <c r="F1240" s="1" t="s">
        <v>2915</v>
      </c>
      <c r="G1240" s="1" t="s">
        <v>6739</v>
      </c>
      <c r="I1240" s="1" t="s">
        <v>78</v>
      </c>
      <c r="J1240" s="1" t="s">
        <v>6740</v>
      </c>
      <c r="K1240" s="1" t="s">
        <v>6741</v>
      </c>
      <c r="L1240" t="s">
        <v>91</v>
      </c>
      <c r="M1240" t="s">
        <v>91</v>
      </c>
      <c r="N1240" s="1" t="s">
        <v>6742</v>
      </c>
      <c r="O1240" t="s">
        <v>91</v>
      </c>
      <c r="P1240" s="1" t="s">
        <v>4813</v>
      </c>
      <c r="Q1240" s="1" t="s">
        <v>2808</v>
      </c>
      <c r="R1240" s="1" t="s">
        <v>254</v>
      </c>
      <c r="S1240">
        <v>1259</v>
      </c>
      <c r="T1240">
        <v>88102100</v>
      </c>
      <c r="U1240" s="1" t="s">
        <v>3015</v>
      </c>
      <c r="V1240" s="1" t="s">
        <v>3016</v>
      </c>
      <c r="W1240" s="1" t="s">
        <v>87</v>
      </c>
      <c r="X1240">
        <v>48</v>
      </c>
      <c r="Y1240">
        <v>32591387</v>
      </c>
      <c r="Z1240" t="s">
        <v>91</v>
      </c>
      <c r="AA1240" t="s">
        <v>91</v>
      </c>
      <c r="AB1240" t="s">
        <v>91</v>
      </c>
      <c r="AC1240" t="s">
        <v>91</v>
      </c>
      <c r="AD1240" t="s">
        <v>91</v>
      </c>
      <c r="AE1240" t="s">
        <v>91</v>
      </c>
      <c r="AF1240" t="s">
        <v>91</v>
      </c>
      <c r="AG1240" s="1" t="s">
        <v>91</v>
      </c>
      <c r="AH1240" s="1" t="s">
        <v>91</v>
      </c>
      <c r="AI1240" t="s">
        <v>91</v>
      </c>
      <c r="AJ1240">
        <v>0</v>
      </c>
      <c r="AK1240">
        <v>0</v>
      </c>
      <c r="AL1240">
        <v>0</v>
      </c>
      <c r="AM1240" t="s">
        <v>91</v>
      </c>
      <c r="AN1240" t="s">
        <v>91</v>
      </c>
      <c r="AO1240" t="s">
        <v>91</v>
      </c>
      <c r="AP1240" t="s">
        <v>91</v>
      </c>
      <c r="AQ1240" s="1" t="s">
        <v>91</v>
      </c>
      <c r="AR1240" s="1" t="s">
        <v>91</v>
      </c>
      <c r="AS1240" s="1" t="s">
        <v>91</v>
      </c>
      <c r="AT1240" s="1" t="s">
        <v>91</v>
      </c>
      <c r="AU1240" s="1" t="s">
        <v>91</v>
      </c>
      <c r="AV1240" t="s">
        <v>91</v>
      </c>
      <c r="AW1240" t="s">
        <v>91</v>
      </c>
      <c r="AX1240" t="s">
        <v>91</v>
      </c>
      <c r="AY1240" t="s">
        <v>91</v>
      </c>
      <c r="AZ1240" t="s">
        <v>91</v>
      </c>
      <c r="BA1240" t="s">
        <v>91</v>
      </c>
      <c r="BB1240" s="2">
        <v>43308.392858796295</v>
      </c>
      <c r="BC1240" s="2"/>
      <c r="BD1240" t="s">
        <v>91</v>
      </c>
      <c r="BE1240">
        <v>437</v>
      </c>
      <c r="BF1240" s="1" t="s">
        <v>75</v>
      </c>
      <c r="BG1240">
        <v>0</v>
      </c>
      <c r="BH1240">
        <v>0</v>
      </c>
      <c r="BI1240" s="1" t="s">
        <v>88</v>
      </c>
      <c r="BJ1240">
        <v>1</v>
      </c>
      <c r="BK1240" s="1" t="s">
        <v>89</v>
      </c>
      <c r="BL1240" t="s">
        <v>91</v>
      </c>
      <c r="BM1240" s="1" t="s">
        <v>109</v>
      </c>
      <c r="BN1240" s="1" t="s">
        <v>110</v>
      </c>
      <c r="BO1240" s="1" t="s">
        <v>180</v>
      </c>
      <c r="BP1240" s="1" t="s">
        <v>91</v>
      </c>
      <c r="BQ1240" t="s">
        <v>91</v>
      </c>
      <c r="BR1240" s="3">
        <v>43308</v>
      </c>
      <c r="BS1240" s="3"/>
      <c r="BT1240" t="s">
        <v>91</v>
      </c>
      <c r="BU1240" t="s">
        <v>91</v>
      </c>
      <c r="BV1240">
        <v>9</v>
      </c>
      <c r="BW1240" s="1" t="s">
        <v>589</v>
      </c>
    </row>
    <row r="1241" spans="1:75" hidden="1" x14ac:dyDescent="0.35">
      <c r="A1241">
        <v>144392</v>
      </c>
      <c r="B1241" s="1" t="s">
        <v>75</v>
      </c>
      <c r="C1241">
        <v>80</v>
      </c>
      <c r="D1241">
        <v>11121002</v>
      </c>
      <c r="E1241">
        <v>121002</v>
      </c>
      <c r="F1241" s="1" t="s">
        <v>2915</v>
      </c>
      <c r="G1241" s="1" t="s">
        <v>6743</v>
      </c>
      <c r="I1241" s="1" t="s">
        <v>78</v>
      </c>
      <c r="J1241" s="1" t="s">
        <v>6744</v>
      </c>
      <c r="K1241" s="1" t="s">
        <v>6745</v>
      </c>
      <c r="L1241" t="s">
        <v>91</v>
      </c>
      <c r="M1241" t="s">
        <v>91</v>
      </c>
      <c r="N1241" s="1" t="s">
        <v>6746</v>
      </c>
      <c r="O1241" t="s">
        <v>91</v>
      </c>
      <c r="P1241" s="1" t="s">
        <v>6747</v>
      </c>
      <c r="Q1241" s="1" t="s">
        <v>504</v>
      </c>
      <c r="R1241" s="1" t="s">
        <v>91</v>
      </c>
      <c r="S1241">
        <v>1269</v>
      </c>
      <c r="T1241">
        <v>88801120</v>
      </c>
      <c r="U1241" s="1" t="s">
        <v>108</v>
      </c>
      <c r="V1241" s="1" t="s">
        <v>3231</v>
      </c>
      <c r="W1241" s="1" t="s">
        <v>87</v>
      </c>
      <c r="X1241">
        <v>48</v>
      </c>
      <c r="Y1241">
        <v>34332602</v>
      </c>
      <c r="Z1241" t="s">
        <v>91</v>
      </c>
      <c r="AA1241" t="s">
        <v>91</v>
      </c>
      <c r="AB1241" t="s">
        <v>91</v>
      </c>
      <c r="AC1241" t="s">
        <v>91</v>
      </c>
      <c r="AD1241" t="s">
        <v>91</v>
      </c>
      <c r="AE1241" t="s">
        <v>91</v>
      </c>
      <c r="AF1241" t="s">
        <v>91</v>
      </c>
      <c r="AG1241" s="1" t="s">
        <v>91</v>
      </c>
      <c r="AH1241" s="1" t="s">
        <v>91</v>
      </c>
      <c r="AI1241" t="s">
        <v>91</v>
      </c>
      <c r="AJ1241">
        <v>0</v>
      </c>
      <c r="AK1241">
        <v>0</v>
      </c>
      <c r="AL1241">
        <v>0</v>
      </c>
      <c r="AM1241" t="s">
        <v>91</v>
      </c>
      <c r="AN1241" t="s">
        <v>91</v>
      </c>
      <c r="AO1241" t="s">
        <v>91</v>
      </c>
      <c r="AP1241" t="s">
        <v>91</v>
      </c>
      <c r="AQ1241" s="1" t="s">
        <v>91</v>
      </c>
      <c r="AR1241" s="1" t="s">
        <v>91</v>
      </c>
      <c r="AS1241" s="1" t="s">
        <v>91</v>
      </c>
      <c r="AT1241" s="1" t="s">
        <v>91</v>
      </c>
      <c r="AU1241" s="1" t="s">
        <v>91</v>
      </c>
      <c r="AV1241" t="s">
        <v>91</v>
      </c>
      <c r="AW1241" t="s">
        <v>91</v>
      </c>
      <c r="AX1241" t="s">
        <v>91</v>
      </c>
      <c r="AY1241" t="s">
        <v>91</v>
      </c>
      <c r="AZ1241" t="s">
        <v>91</v>
      </c>
      <c r="BA1241" t="s">
        <v>91</v>
      </c>
      <c r="BB1241" s="2"/>
      <c r="BC1241" s="2"/>
      <c r="BD1241" t="s">
        <v>91</v>
      </c>
      <c r="BF1241" s="1" t="s">
        <v>75</v>
      </c>
      <c r="BG1241">
        <v>0</v>
      </c>
      <c r="BH1241">
        <v>0</v>
      </c>
      <c r="BI1241" s="1" t="s">
        <v>88</v>
      </c>
      <c r="BJ1241">
        <v>1</v>
      </c>
      <c r="BK1241" s="1" t="s">
        <v>89</v>
      </c>
      <c r="BL1241" t="s">
        <v>91</v>
      </c>
      <c r="BM1241" s="1" t="s">
        <v>109</v>
      </c>
      <c r="BN1241" s="1" t="s">
        <v>148</v>
      </c>
      <c r="BO1241" s="1" t="s">
        <v>111</v>
      </c>
      <c r="BP1241" s="1" t="s">
        <v>91</v>
      </c>
      <c r="BQ1241" t="s">
        <v>91</v>
      </c>
      <c r="BR1241" s="3"/>
      <c r="BS1241" s="3"/>
      <c r="BT1241" t="s">
        <v>91</v>
      </c>
      <c r="BU1241" t="s">
        <v>91</v>
      </c>
      <c r="BV1241">
        <v>2</v>
      </c>
      <c r="BW1241" s="1" t="s">
        <v>90</v>
      </c>
    </row>
    <row r="1242" spans="1:75" hidden="1" x14ac:dyDescent="0.35">
      <c r="A1242">
        <v>134250</v>
      </c>
      <c r="B1242" s="1" t="s">
        <v>75</v>
      </c>
      <c r="C1242">
        <v>80</v>
      </c>
      <c r="D1242">
        <v>11121002</v>
      </c>
      <c r="E1242">
        <v>121002</v>
      </c>
      <c r="F1242" s="1" t="s">
        <v>2915</v>
      </c>
      <c r="G1242" s="1" t="s">
        <v>6748</v>
      </c>
      <c r="I1242" s="1" t="s">
        <v>78</v>
      </c>
      <c r="J1242" s="1" t="s">
        <v>6749</v>
      </c>
      <c r="K1242" s="1" t="s">
        <v>6750</v>
      </c>
      <c r="L1242" t="s">
        <v>91</v>
      </c>
      <c r="M1242" t="s">
        <v>91</v>
      </c>
      <c r="N1242" s="1" t="s">
        <v>6751</v>
      </c>
      <c r="O1242" t="s">
        <v>91</v>
      </c>
      <c r="P1242" s="1" t="s">
        <v>448</v>
      </c>
      <c r="Q1242" s="1" t="s">
        <v>1171</v>
      </c>
      <c r="R1242" s="1" t="s">
        <v>6605</v>
      </c>
      <c r="S1242">
        <v>1259</v>
      </c>
      <c r="T1242">
        <v>88130101</v>
      </c>
      <c r="U1242" s="1" t="s">
        <v>108</v>
      </c>
      <c r="V1242" s="1" t="s">
        <v>3165</v>
      </c>
      <c r="W1242" s="1" t="s">
        <v>87</v>
      </c>
      <c r="X1242">
        <v>48</v>
      </c>
      <c r="Y1242">
        <v>30332100</v>
      </c>
      <c r="Z1242" t="s">
        <v>91</v>
      </c>
      <c r="AA1242" t="s">
        <v>91</v>
      </c>
      <c r="AB1242" t="s">
        <v>91</v>
      </c>
      <c r="AC1242" t="s">
        <v>91</v>
      </c>
      <c r="AD1242" t="s">
        <v>91</v>
      </c>
      <c r="AE1242" t="s">
        <v>91</v>
      </c>
      <c r="AF1242" t="s">
        <v>91</v>
      </c>
      <c r="AG1242" s="1" t="s">
        <v>146</v>
      </c>
      <c r="AH1242" s="1" t="s">
        <v>91</v>
      </c>
      <c r="AI1242" t="s">
        <v>91</v>
      </c>
      <c r="AJ1242">
        <v>0</v>
      </c>
      <c r="AK1242">
        <v>0</v>
      </c>
      <c r="AL1242">
        <v>0</v>
      </c>
      <c r="AM1242" t="s">
        <v>91</v>
      </c>
      <c r="AN1242" t="s">
        <v>91</v>
      </c>
      <c r="AO1242" t="s">
        <v>91</v>
      </c>
      <c r="AP1242" t="s">
        <v>91</v>
      </c>
      <c r="AQ1242" s="1" t="s">
        <v>147</v>
      </c>
      <c r="AR1242" s="1" t="s">
        <v>147</v>
      </c>
      <c r="AS1242" s="1" t="s">
        <v>147</v>
      </c>
      <c r="AT1242" s="1" t="s">
        <v>147</v>
      </c>
      <c r="AU1242" s="1" t="s">
        <v>147</v>
      </c>
      <c r="AV1242" t="s">
        <v>91</v>
      </c>
      <c r="AW1242" t="s">
        <v>91</v>
      </c>
      <c r="AX1242" t="s">
        <v>91</v>
      </c>
      <c r="AY1242" t="s">
        <v>91</v>
      </c>
      <c r="AZ1242" t="s">
        <v>91</v>
      </c>
      <c r="BA1242" t="s">
        <v>91</v>
      </c>
      <c r="BB1242" s="2"/>
      <c r="BC1242" s="2">
        <v>44673.689513888887</v>
      </c>
      <c r="BD1242" t="s">
        <v>91</v>
      </c>
      <c r="BF1242" s="1" t="s">
        <v>75</v>
      </c>
      <c r="BG1242">
        <v>0</v>
      </c>
      <c r="BH1242">
        <v>0</v>
      </c>
      <c r="BI1242" s="1" t="s">
        <v>88</v>
      </c>
      <c r="BJ1242">
        <v>1</v>
      </c>
      <c r="BK1242" s="1" t="s">
        <v>89</v>
      </c>
      <c r="BL1242" t="s">
        <v>91</v>
      </c>
      <c r="BM1242" s="1" t="s">
        <v>109</v>
      </c>
      <c r="BN1242" s="1" t="s">
        <v>110</v>
      </c>
      <c r="BO1242" s="1" t="s">
        <v>128</v>
      </c>
      <c r="BP1242" s="1" t="s">
        <v>91</v>
      </c>
      <c r="BQ1242" t="s">
        <v>91</v>
      </c>
      <c r="BR1242" s="3"/>
      <c r="BS1242" s="3">
        <v>44673</v>
      </c>
      <c r="BT1242" t="s">
        <v>91</v>
      </c>
      <c r="BU1242" t="s">
        <v>91</v>
      </c>
      <c r="BV1242">
        <v>9</v>
      </c>
      <c r="BW1242" s="1" t="s">
        <v>1211</v>
      </c>
    </row>
    <row r="1243" spans="1:75" hidden="1" x14ac:dyDescent="0.35">
      <c r="A1243">
        <v>159576</v>
      </c>
      <c r="B1243" s="1" t="s">
        <v>75</v>
      </c>
      <c r="C1243">
        <v>80</v>
      </c>
      <c r="D1243">
        <v>11121002</v>
      </c>
      <c r="E1243">
        <v>121002</v>
      </c>
      <c r="F1243" s="1" t="s">
        <v>2915</v>
      </c>
      <c r="G1243" s="1" t="s">
        <v>6752</v>
      </c>
      <c r="I1243" s="1" t="s">
        <v>78</v>
      </c>
      <c r="J1243" s="1" t="s">
        <v>6753</v>
      </c>
      <c r="K1243" s="1" t="s">
        <v>6754</v>
      </c>
      <c r="L1243" t="s">
        <v>91</v>
      </c>
      <c r="M1243" t="s">
        <v>91</v>
      </c>
      <c r="N1243" s="1" t="s">
        <v>408</v>
      </c>
      <c r="O1243" t="s">
        <v>91</v>
      </c>
      <c r="P1243" s="1" t="s">
        <v>3128</v>
      </c>
      <c r="Q1243" s="1" t="s">
        <v>3129</v>
      </c>
      <c r="R1243" s="1" t="s">
        <v>6755</v>
      </c>
      <c r="S1243">
        <v>1257</v>
      </c>
      <c r="T1243">
        <v>88030000</v>
      </c>
      <c r="U1243" s="1" t="s">
        <v>3131</v>
      </c>
      <c r="V1243" s="1" t="s">
        <v>2922</v>
      </c>
      <c r="W1243" s="1" t="s">
        <v>87</v>
      </c>
      <c r="X1243">
        <v>42</v>
      </c>
      <c r="Y1243">
        <v>998585101</v>
      </c>
      <c r="Z1243" t="s">
        <v>91</v>
      </c>
      <c r="AA1243" t="s">
        <v>91</v>
      </c>
      <c r="AB1243" t="s">
        <v>91</v>
      </c>
      <c r="AC1243" t="s">
        <v>91</v>
      </c>
      <c r="AD1243" t="s">
        <v>91</v>
      </c>
      <c r="AE1243" t="s">
        <v>91</v>
      </c>
      <c r="AF1243" t="s">
        <v>91</v>
      </c>
      <c r="AG1243" s="1" t="s">
        <v>91</v>
      </c>
      <c r="AH1243" s="1" t="s">
        <v>91</v>
      </c>
      <c r="AI1243" t="s">
        <v>91</v>
      </c>
      <c r="AM1243" t="s">
        <v>91</v>
      </c>
      <c r="AN1243" t="s">
        <v>91</v>
      </c>
      <c r="AO1243" t="s">
        <v>91</v>
      </c>
      <c r="AP1243" t="s">
        <v>91</v>
      </c>
      <c r="AQ1243" s="1" t="s">
        <v>91</v>
      </c>
      <c r="AR1243" s="1" t="s">
        <v>91</v>
      </c>
      <c r="AS1243" s="1" t="s">
        <v>91</v>
      </c>
      <c r="AT1243" s="1" t="s">
        <v>91</v>
      </c>
      <c r="AU1243" s="1" t="s">
        <v>91</v>
      </c>
      <c r="AV1243" t="s">
        <v>91</v>
      </c>
      <c r="AW1243" t="s">
        <v>91</v>
      </c>
      <c r="AX1243" t="s">
        <v>91</v>
      </c>
      <c r="AY1243" t="s">
        <v>91</v>
      </c>
      <c r="AZ1243" t="s">
        <v>91</v>
      </c>
      <c r="BA1243" t="s">
        <v>91</v>
      </c>
      <c r="BB1243" s="2">
        <v>45194.491122685184</v>
      </c>
      <c r="BC1243" s="2"/>
      <c r="BD1243" t="s">
        <v>91</v>
      </c>
      <c r="BF1243" s="1" t="s">
        <v>75</v>
      </c>
      <c r="BI1243" s="1" t="s">
        <v>88</v>
      </c>
      <c r="BJ1243">
        <v>1</v>
      </c>
      <c r="BK1243" s="1" t="s">
        <v>89</v>
      </c>
      <c r="BL1243" t="s">
        <v>91</v>
      </c>
      <c r="BM1243" s="1" t="s">
        <v>91</v>
      </c>
      <c r="BN1243" s="1" t="s">
        <v>91</v>
      </c>
      <c r="BO1243" s="1" t="s">
        <v>91</v>
      </c>
      <c r="BP1243" s="1" t="s">
        <v>91</v>
      </c>
      <c r="BQ1243" t="s">
        <v>91</v>
      </c>
      <c r="BR1243" s="3">
        <v>45194</v>
      </c>
      <c r="BS1243" s="3"/>
      <c r="BT1243" t="s">
        <v>91</v>
      </c>
      <c r="BU1243" t="s">
        <v>91</v>
      </c>
      <c r="BW1243" s="1" t="s">
        <v>90</v>
      </c>
    </row>
    <row r="1244" spans="1:75" hidden="1" x14ac:dyDescent="0.35">
      <c r="A1244">
        <v>157642</v>
      </c>
      <c r="B1244" s="1" t="s">
        <v>75</v>
      </c>
      <c r="C1244">
        <v>80</v>
      </c>
      <c r="D1244">
        <v>11121002</v>
      </c>
      <c r="E1244">
        <v>121002</v>
      </c>
      <c r="F1244" s="1" t="s">
        <v>2915</v>
      </c>
      <c r="G1244" s="1" t="s">
        <v>6756</v>
      </c>
      <c r="H1244">
        <v>0</v>
      </c>
      <c r="I1244" s="1" t="s">
        <v>78</v>
      </c>
      <c r="J1244" s="1" t="s">
        <v>6757</v>
      </c>
      <c r="K1244" s="1" t="s">
        <v>6758</v>
      </c>
      <c r="L1244" t="s">
        <v>91</v>
      </c>
      <c r="M1244" t="s">
        <v>91</v>
      </c>
      <c r="N1244" s="1" t="s">
        <v>6759</v>
      </c>
      <c r="O1244" t="s">
        <v>91</v>
      </c>
      <c r="P1244" s="1" t="s">
        <v>873</v>
      </c>
      <c r="Q1244" s="1" t="s">
        <v>1575</v>
      </c>
      <c r="R1244" s="1" t="s">
        <v>6100</v>
      </c>
      <c r="T1244">
        <v>88900037</v>
      </c>
      <c r="U1244" s="1" t="s">
        <v>108</v>
      </c>
      <c r="V1244" s="1" t="s">
        <v>3095</v>
      </c>
      <c r="W1244" s="1" t="s">
        <v>87</v>
      </c>
      <c r="X1244">
        <v>48</v>
      </c>
      <c r="Y1244">
        <v>991015001</v>
      </c>
      <c r="Z1244" t="s">
        <v>91</v>
      </c>
      <c r="AA1244" t="s">
        <v>91</v>
      </c>
      <c r="AB1244" t="s">
        <v>91</v>
      </c>
      <c r="AC1244" t="s">
        <v>91</v>
      </c>
      <c r="AD1244" t="s">
        <v>91</v>
      </c>
      <c r="AE1244" t="s">
        <v>91</v>
      </c>
      <c r="AF1244" t="s">
        <v>91</v>
      </c>
      <c r="AG1244" s="1" t="s">
        <v>91</v>
      </c>
      <c r="AH1244" s="1" t="s">
        <v>91</v>
      </c>
      <c r="AI1244" t="s">
        <v>91</v>
      </c>
      <c r="AM1244" t="s">
        <v>91</v>
      </c>
      <c r="AN1244" t="s">
        <v>91</v>
      </c>
      <c r="AO1244" t="s">
        <v>91</v>
      </c>
      <c r="AP1244" t="s">
        <v>91</v>
      </c>
      <c r="AQ1244" s="1" t="s">
        <v>91</v>
      </c>
      <c r="AR1244" s="1" t="s">
        <v>91</v>
      </c>
      <c r="AS1244" s="1" t="s">
        <v>91</v>
      </c>
      <c r="AT1244" s="1" t="s">
        <v>91</v>
      </c>
      <c r="AU1244" s="1" t="s">
        <v>91</v>
      </c>
      <c r="AV1244" t="s">
        <v>91</v>
      </c>
      <c r="AW1244" t="s">
        <v>91</v>
      </c>
      <c r="AX1244" t="s">
        <v>91</v>
      </c>
      <c r="AY1244" t="s">
        <v>91</v>
      </c>
      <c r="AZ1244" t="s">
        <v>91</v>
      </c>
      <c r="BA1244" t="s">
        <v>91</v>
      </c>
      <c r="BB1244" s="2">
        <v>45118.097175925926</v>
      </c>
      <c r="BC1244" s="2"/>
      <c r="BD1244" t="s">
        <v>91</v>
      </c>
      <c r="BF1244" s="1" t="s">
        <v>75</v>
      </c>
      <c r="BI1244" s="1" t="s">
        <v>88</v>
      </c>
      <c r="BJ1244">
        <v>1</v>
      </c>
      <c r="BK1244" s="1" t="s">
        <v>89</v>
      </c>
      <c r="BL1244" t="s">
        <v>91</v>
      </c>
      <c r="BM1244" s="1" t="s">
        <v>91</v>
      </c>
      <c r="BN1244" s="1" t="s">
        <v>91</v>
      </c>
      <c r="BO1244" s="1" t="s">
        <v>91</v>
      </c>
      <c r="BP1244" s="1" t="s">
        <v>91</v>
      </c>
      <c r="BQ1244" t="s">
        <v>91</v>
      </c>
      <c r="BR1244" s="3">
        <v>45118</v>
      </c>
      <c r="BS1244" s="3"/>
      <c r="BT1244" t="s">
        <v>91</v>
      </c>
      <c r="BU1244" t="s">
        <v>91</v>
      </c>
      <c r="BW1244" s="1" t="s">
        <v>90</v>
      </c>
    </row>
    <row r="1245" spans="1:75" hidden="1" x14ac:dyDescent="0.35">
      <c r="A1245">
        <v>295</v>
      </c>
      <c r="B1245" s="1" t="s">
        <v>75</v>
      </c>
      <c r="C1245">
        <v>80</v>
      </c>
      <c r="D1245">
        <v>11121002</v>
      </c>
      <c r="E1245">
        <v>121002</v>
      </c>
      <c r="F1245" s="1" t="s">
        <v>2915</v>
      </c>
      <c r="G1245" s="1" t="s">
        <v>6760</v>
      </c>
      <c r="I1245" s="1" t="s">
        <v>78</v>
      </c>
      <c r="J1245" s="1" t="s">
        <v>2840</v>
      </c>
      <c r="K1245" s="1" t="s">
        <v>6761</v>
      </c>
      <c r="L1245" t="s">
        <v>91</v>
      </c>
      <c r="M1245" t="s">
        <v>91</v>
      </c>
      <c r="N1245" s="1" t="s">
        <v>2842</v>
      </c>
      <c r="O1245" t="s">
        <v>91</v>
      </c>
      <c r="P1245" s="1" t="s">
        <v>3363</v>
      </c>
      <c r="Q1245" s="1" t="s">
        <v>974</v>
      </c>
      <c r="R1245" s="1" t="s">
        <v>4175</v>
      </c>
      <c r="S1245">
        <v>1255</v>
      </c>
      <c r="T1245">
        <v>88015100</v>
      </c>
      <c r="U1245" s="1" t="s">
        <v>108</v>
      </c>
      <c r="V1245" s="1" t="s">
        <v>3102</v>
      </c>
      <c r="W1245" s="1" t="s">
        <v>87</v>
      </c>
      <c r="X1245">
        <v>48</v>
      </c>
      <c r="Y1245">
        <v>30252376</v>
      </c>
      <c r="Z1245" t="s">
        <v>91</v>
      </c>
      <c r="AA1245" t="s">
        <v>91</v>
      </c>
      <c r="AB1245" t="s">
        <v>91</v>
      </c>
      <c r="AC1245" t="s">
        <v>91</v>
      </c>
      <c r="AD1245" t="s">
        <v>91</v>
      </c>
      <c r="AE1245" t="s">
        <v>91</v>
      </c>
      <c r="AF1245" t="s">
        <v>91</v>
      </c>
      <c r="AG1245" s="1" t="s">
        <v>91</v>
      </c>
      <c r="AH1245" s="1" t="s">
        <v>91</v>
      </c>
      <c r="AI1245" t="s">
        <v>91</v>
      </c>
      <c r="AJ1245">
        <v>0</v>
      </c>
      <c r="AK1245">
        <v>0</v>
      </c>
      <c r="AL1245">
        <v>0</v>
      </c>
      <c r="AM1245" t="s">
        <v>91</v>
      </c>
      <c r="AN1245" t="s">
        <v>91</v>
      </c>
      <c r="AO1245" t="s">
        <v>91</v>
      </c>
      <c r="AP1245" t="s">
        <v>91</v>
      </c>
      <c r="AQ1245" s="1" t="s">
        <v>91</v>
      </c>
      <c r="AR1245" s="1" t="s">
        <v>91</v>
      </c>
      <c r="AS1245" s="1" t="s">
        <v>91</v>
      </c>
      <c r="AT1245" s="1" t="s">
        <v>91</v>
      </c>
      <c r="AU1245" s="1" t="s">
        <v>91</v>
      </c>
      <c r="AV1245" t="s">
        <v>91</v>
      </c>
      <c r="AW1245" t="s">
        <v>91</v>
      </c>
      <c r="AX1245" t="s">
        <v>91</v>
      </c>
      <c r="AY1245" t="s">
        <v>91</v>
      </c>
      <c r="AZ1245" t="s">
        <v>91</v>
      </c>
      <c r="BA1245" t="s">
        <v>91</v>
      </c>
      <c r="BB1245" s="2">
        <v>43308.392789351848</v>
      </c>
      <c r="BC1245" s="2"/>
      <c r="BD1245" t="s">
        <v>91</v>
      </c>
      <c r="BE1245">
        <v>295</v>
      </c>
      <c r="BF1245" s="1" t="s">
        <v>75</v>
      </c>
      <c r="BG1245">
        <v>0</v>
      </c>
      <c r="BH1245">
        <v>0</v>
      </c>
      <c r="BI1245" s="1" t="s">
        <v>88</v>
      </c>
      <c r="BJ1245">
        <v>1</v>
      </c>
      <c r="BK1245" s="1" t="s">
        <v>89</v>
      </c>
      <c r="BL1245" t="s">
        <v>91</v>
      </c>
      <c r="BM1245" s="1" t="s">
        <v>109</v>
      </c>
      <c r="BN1245" s="1" t="s">
        <v>110</v>
      </c>
      <c r="BO1245" s="1" t="s">
        <v>128</v>
      </c>
      <c r="BP1245" s="1" t="s">
        <v>91</v>
      </c>
      <c r="BQ1245" t="s">
        <v>91</v>
      </c>
      <c r="BR1245" s="3">
        <v>43308</v>
      </c>
      <c r="BS1245" s="3"/>
      <c r="BT1245" t="s">
        <v>91</v>
      </c>
      <c r="BU1245" t="s">
        <v>91</v>
      </c>
      <c r="BV1245">
        <v>3</v>
      </c>
      <c r="BW1245" s="1" t="s">
        <v>90</v>
      </c>
    </row>
    <row r="1246" spans="1:75" hidden="1" x14ac:dyDescent="0.35">
      <c r="A1246">
        <v>156968</v>
      </c>
      <c r="B1246" s="1" t="s">
        <v>75</v>
      </c>
      <c r="C1246">
        <v>80</v>
      </c>
      <c r="D1246">
        <v>11121002</v>
      </c>
      <c r="E1246">
        <v>121002</v>
      </c>
      <c r="F1246" s="1" t="s">
        <v>2915</v>
      </c>
      <c r="G1246" s="1" t="s">
        <v>6762</v>
      </c>
      <c r="H1246">
        <v>0</v>
      </c>
      <c r="I1246" s="1" t="s">
        <v>78</v>
      </c>
      <c r="J1246" s="1" t="s">
        <v>6763</v>
      </c>
      <c r="K1246" s="1" t="s">
        <v>6764</v>
      </c>
      <c r="L1246" t="s">
        <v>91</v>
      </c>
      <c r="M1246" t="s">
        <v>91</v>
      </c>
      <c r="N1246" s="1" t="s">
        <v>5346</v>
      </c>
      <c r="O1246" t="s">
        <v>91</v>
      </c>
      <c r="P1246" s="1" t="s">
        <v>6765</v>
      </c>
      <c r="Q1246" s="1" t="s">
        <v>708</v>
      </c>
      <c r="R1246" s="1" t="s">
        <v>3434</v>
      </c>
      <c r="S1246">
        <v>1254</v>
      </c>
      <c r="T1246">
        <v>88010560</v>
      </c>
      <c r="U1246" s="1" t="s">
        <v>108</v>
      </c>
      <c r="V1246" s="1" t="s">
        <v>2922</v>
      </c>
      <c r="W1246" s="1" t="s">
        <v>87</v>
      </c>
      <c r="X1246">
        <v>48</v>
      </c>
      <c r="Y1246">
        <v>32229483</v>
      </c>
      <c r="Z1246" t="s">
        <v>91</v>
      </c>
      <c r="AA1246" t="s">
        <v>91</v>
      </c>
      <c r="AB1246" t="s">
        <v>91</v>
      </c>
      <c r="AC1246" t="s">
        <v>91</v>
      </c>
      <c r="AD1246" t="s">
        <v>91</v>
      </c>
      <c r="AE1246" t="s">
        <v>91</v>
      </c>
      <c r="AF1246" t="s">
        <v>91</v>
      </c>
      <c r="AG1246" s="1" t="s">
        <v>91</v>
      </c>
      <c r="AH1246" s="1" t="s">
        <v>91</v>
      </c>
      <c r="AI1246" t="s">
        <v>91</v>
      </c>
      <c r="AM1246" t="s">
        <v>91</v>
      </c>
      <c r="AN1246" t="s">
        <v>91</v>
      </c>
      <c r="AO1246" t="s">
        <v>91</v>
      </c>
      <c r="AP1246" t="s">
        <v>91</v>
      </c>
      <c r="AQ1246" s="1" t="s">
        <v>91</v>
      </c>
      <c r="AR1246" s="1" t="s">
        <v>91</v>
      </c>
      <c r="AS1246" s="1" t="s">
        <v>91</v>
      </c>
      <c r="AT1246" s="1" t="s">
        <v>91</v>
      </c>
      <c r="AU1246" s="1" t="s">
        <v>91</v>
      </c>
      <c r="AV1246" t="s">
        <v>91</v>
      </c>
      <c r="AW1246" t="s">
        <v>91</v>
      </c>
      <c r="AX1246" t="s">
        <v>91</v>
      </c>
      <c r="AY1246" t="s">
        <v>91</v>
      </c>
      <c r="AZ1246" t="s">
        <v>91</v>
      </c>
      <c r="BA1246" t="s">
        <v>91</v>
      </c>
      <c r="BB1246" s="2">
        <v>45113.505416666667</v>
      </c>
      <c r="BC1246" s="2"/>
      <c r="BD1246" t="s">
        <v>91</v>
      </c>
      <c r="BF1246" s="1" t="s">
        <v>75</v>
      </c>
      <c r="BI1246" s="1" t="s">
        <v>88</v>
      </c>
      <c r="BJ1246">
        <v>1</v>
      </c>
      <c r="BK1246" s="1" t="s">
        <v>89</v>
      </c>
      <c r="BL1246" t="s">
        <v>91</v>
      </c>
      <c r="BM1246" s="1" t="s">
        <v>91</v>
      </c>
      <c r="BN1246" s="1" t="s">
        <v>91</v>
      </c>
      <c r="BO1246" s="1" t="s">
        <v>91</v>
      </c>
      <c r="BP1246" s="1" t="s">
        <v>91</v>
      </c>
      <c r="BQ1246" t="s">
        <v>91</v>
      </c>
      <c r="BR1246" s="3">
        <v>45113</v>
      </c>
      <c r="BS1246" s="3"/>
      <c r="BT1246" t="s">
        <v>91</v>
      </c>
      <c r="BU1246" t="s">
        <v>91</v>
      </c>
      <c r="BW1246" s="1" t="s">
        <v>90</v>
      </c>
    </row>
    <row r="1247" spans="1:75" hidden="1" x14ac:dyDescent="0.35">
      <c r="A1247">
        <v>144346</v>
      </c>
      <c r="B1247" s="1" t="s">
        <v>75</v>
      </c>
      <c r="C1247">
        <v>80</v>
      </c>
      <c r="D1247">
        <v>11121002</v>
      </c>
      <c r="E1247">
        <v>121002</v>
      </c>
      <c r="F1247" s="1" t="s">
        <v>2915</v>
      </c>
      <c r="G1247" s="1" t="s">
        <v>6766</v>
      </c>
      <c r="I1247" s="1" t="s">
        <v>78</v>
      </c>
      <c r="J1247" s="1" t="s">
        <v>6767</v>
      </c>
      <c r="K1247" s="1" t="s">
        <v>6768</v>
      </c>
      <c r="L1247" t="s">
        <v>91</v>
      </c>
      <c r="M1247" t="s">
        <v>91</v>
      </c>
      <c r="N1247" s="1" t="s">
        <v>6769</v>
      </c>
      <c r="O1247" t="s">
        <v>91</v>
      </c>
      <c r="P1247" s="1" t="s">
        <v>1856</v>
      </c>
      <c r="Q1247" s="1" t="s">
        <v>6770</v>
      </c>
      <c r="R1247" s="1" t="s">
        <v>91</v>
      </c>
      <c r="S1247">
        <v>1270</v>
      </c>
      <c r="T1247">
        <v>88900021</v>
      </c>
      <c r="U1247" s="1" t="s">
        <v>108</v>
      </c>
      <c r="V1247" s="1" t="s">
        <v>3266</v>
      </c>
      <c r="W1247" s="1" t="s">
        <v>87</v>
      </c>
      <c r="X1247">
        <v>48</v>
      </c>
      <c r="Y1247">
        <v>35245185</v>
      </c>
      <c r="Z1247" t="s">
        <v>91</v>
      </c>
      <c r="AA1247" t="s">
        <v>91</v>
      </c>
      <c r="AB1247" t="s">
        <v>91</v>
      </c>
      <c r="AC1247" t="s">
        <v>91</v>
      </c>
      <c r="AD1247" t="s">
        <v>91</v>
      </c>
      <c r="AE1247" t="s">
        <v>91</v>
      </c>
      <c r="AF1247" t="s">
        <v>91</v>
      </c>
      <c r="AG1247" s="1" t="s">
        <v>91</v>
      </c>
      <c r="AH1247" s="1" t="s">
        <v>91</v>
      </c>
      <c r="AI1247" t="s">
        <v>91</v>
      </c>
      <c r="AJ1247">
        <v>0</v>
      </c>
      <c r="AK1247">
        <v>0</v>
      </c>
      <c r="AL1247">
        <v>0</v>
      </c>
      <c r="AM1247" t="s">
        <v>91</v>
      </c>
      <c r="AN1247" t="s">
        <v>91</v>
      </c>
      <c r="AO1247" t="s">
        <v>91</v>
      </c>
      <c r="AP1247" t="s">
        <v>91</v>
      </c>
      <c r="AQ1247" s="1" t="s">
        <v>91</v>
      </c>
      <c r="AR1247" s="1" t="s">
        <v>91</v>
      </c>
      <c r="AS1247" s="1" t="s">
        <v>91</v>
      </c>
      <c r="AT1247" s="1" t="s">
        <v>91</v>
      </c>
      <c r="AU1247" s="1" t="s">
        <v>91</v>
      </c>
      <c r="AV1247" t="s">
        <v>91</v>
      </c>
      <c r="AW1247" t="s">
        <v>91</v>
      </c>
      <c r="AX1247" t="s">
        <v>91</v>
      </c>
      <c r="AY1247" t="s">
        <v>91</v>
      </c>
      <c r="AZ1247" t="s">
        <v>91</v>
      </c>
      <c r="BA1247" t="s">
        <v>91</v>
      </c>
      <c r="BB1247" s="2"/>
      <c r="BC1247" s="2"/>
      <c r="BD1247" t="s">
        <v>91</v>
      </c>
      <c r="BF1247" s="1" t="s">
        <v>75</v>
      </c>
      <c r="BG1247">
        <v>0</v>
      </c>
      <c r="BH1247">
        <v>0</v>
      </c>
      <c r="BI1247" s="1" t="s">
        <v>88</v>
      </c>
      <c r="BJ1247">
        <v>1</v>
      </c>
      <c r="BK1247" s="1" t="s">
        <v>89</v>
      </c>
      <c r="BL1247" t="s">
        <v>91</v>
      </c>
      <c r="BM1247" s="1" t="s">
        <v>109</v>
      </c>
      <c r="BN1247" s="1" t="s">
        <v>148</v>
      </c>
      <c r="BO1247" s="1" t="s">
        <v>165</v>
      </c>
      <c r="BP1247" s="1" t="s">
        <v>91</v>
      </c>
      <c r="BQ1247" t="s">
        <v>91</v>
      </c>
      <c r="BR1247" s="3"/>
      <c r="BS1247" s="3"/>
      <c r="BT1247" t="s">
        <v>91</v>
      </c>
      <c r="BU1247" t="s">
        <v>91</v>
      </c>
      <c r="BV1247">
        <v>5</v>
      </c>
      <c r="BW1247" s="1" t="s">
        <v>955</v>
      </c>
    </row>
    <row r="1248" spans="1:75" hidden="1" x14ac:dyDescent="0.35">
      <c r="A1248">
        <v>9</v>
      </c>
      <c r="B1248" s="1" t="s">
        <v>75</v>
      </c>
      <c r="C1248">
        <v>80</v>
      </c>
      <c r="D1248">
        <v>11121002</v>
      </c>
      <c r="E1248">
        <v>121002</v>
      </c>
      <c r="F1248" s="1" t="s">
        <v>2915</v>
      </c>
      <c r="G1248" s="1" t="s">
        <v>6771</v>
      </c>
      <c r="I1248" s="1" t="s">
        <v>78</v>
      </c>
      <c r="J1248" s="1" t="s">
        <v>6772</v>
      </c>
      <c r="K1248" s="1" t="s">
        <v>6773</v>
      </c>
      <c r="L1248" t="s">
        <v>91</v>
      </c>
      <c r="M1248" t="s">
        <v>91</v>
      </c>
      <c r="N1248" s="1" t="s">
        <v>6774</v>
      </c>
      <c r="O1248" t="s">
        <v>91</v>
      </c>
      <c r="P1248" s="1" t="s">
        <v>3056</v>
      </c>
      <c r="Q1248" s="1" t="s">
        <v>6775</v>
      </c>
      <c r="R1248" s="1" t="s">
        <v>820</v>
      </c>
      <c r="S1248">
        <v>1268</v>
      </c>
      <c r="T1248">
        <v>88705001</v>
      </c>
      <c r="U1248" s="1" t="s">
        <v>3760</v>
      </c>
      <c r="V1248" s="1" t="s">
        <v>3059</v>
      </c>
      <c r="W1248" s="1" t="s">
        <v>87</v>
      </c>
      <c r="X1248">
        <v>48</v>
      </c>
      <c r="Y1248">
        <v>36223395</v>
      </c>
      <c r="Z1248" t="s">
        <v>91</v>
      </c>
      <c r="AA1248" t="s">
        <v>91</v>
      </c>
      <c r="AB1248" t="s">
        <v>91</v>
      </c>
      <c r="AC1248" t="s">
        <v>91</v>
      </c>
      <c r="AD1248" t="s">
        <v>91</v>
      </c>
      <c r="AE1248" t="s">
        <v>91</v>
      </c>
      <c r="AF1248" t="s">
        <v>91</v>
      </c>
      <c r="AG1248" s="1" t="s">
        <v>91</v>
      </c>
      <c r="AH1248" s="1" t="s">
        <v>91</v>
      </c>
      <c r="AI1248" t="s">
        <v>91</v>
      </c>
      <c r="AJ1248">
        <v>0</v>
      </c>
      <c r="AK1248">
        <v>0</v>
      </c>
      <c r="AL1248">
        <v>0</v>
      </c>
      <c r="AM1248" t="s">
        <v>91</v>
      </c>
      <c r="AN1248" t="s">
        <v>91</v>
      </c>
      <c r="AO1248" t="s">
        <v>91</v>
      </c>
      <c r="AP1248" t="s">
        <v>91</v>
      </c>
      <c r="AQ1248" s="1" t="s">
        <v>91</v>
      </c>
      <c r="AR1248" s="1" t="s">
        <v>91</v>
      </c>
      <c r="AS1248" s="1" t="s">
        <v>91</v>
      </c>
      <c r="AT1248" s="1" t="s">
        <v>91</v>
      </c>
      <c r="AU1248" s="1" t="s">
        <v>91</v>
      </c>
      <c r="AV1248" t="s">
        <v>91</v>
      </c>
      <c r="AW1248" t="s">
        <v>91</v>
      </c>
      <c r="AX1248" t="s">
        <v>91</v>
      </c>
      <c r="AY1248" t="s">
        <v>91</v>
      </c>
      <c r="AZ1248" t="s">
        <v>91</v>
      </c>
      <c r="BA1248" t="s">
        <v>91</v>
      </c>
      <c r="BB1248" s="2">
        <v>43308.392708333333</v>
      </c>
      <c r="BC1248" s="2"/>
      <c r="BD1248" t="s">
        <v>91</v>
      </c>
      <c r="BE1248">
        <v>9</v>
      </c>
      <c r="BF1248" s="1" t="s">
        <v>75</v>
      </c>
      <c r="BG1248">
        <v>0</v>
      </c>
      <c r="BH1248">
        <v>0</v>
      </c>
      <c r="BI1248" s="1" t="s">
        <v>88</v>
      </c>
      <c r="BJ1248">
        <v>1</v>
      </c>
      <c r="BK1248" s="1" t="s">
        <v>89</v>
      </c>
      <c r="BL1248" t="s">
        <v>91</v>
      </c>
      <c r="BM1248" s="1" t="s">
        <v>639</v>
      </c>
      <c r="BN1248" s="1" t="s">
        <v>148</v>
      </c>
      <c r="BO1248" s="1" t="s">
        <v>165</v>
      </c>
      <c r="BP1248" s="1" t="s">
        <v>91</v>
      </c>
      <c r="BQ1248" t="s">
        <v>91</v>
      </c>
      <c r="BR1248" s="3">
        <v>43308</v>
      </c>
      <c r="BS1248" s="3"/>
      <c r="BT1248" t="s">
        <v>91</v>
      </c>
      <c r="BU1248" t="s">
        <v>91</v>
      </c>
      <c r="BV1248">
        <v>1</v>
      </c>
      <c r="BW1248" s="1" t="s">
        <v>419</v>
      </c>
    </row>
    <row r="1249" spans="1:75" hidden="1" x14ac:dyDescent="0.35">
      <c r="A1249">
        <v>135367</v>
      </c>
      <c r="B1249" s="1" t="s">
        <v>75</v>
      </c>
      <c r="C1249">
        <v>80</v>
      </c>
      <c r="D1249">
        <v>11121002</v>
      </c>
      <c r="E1249">
        <v>121002</v>
      </c>
      <c r="F1249" s="1" t="s">
        <v>2915</v>
      </c>
      <c r="G1249" s="1" t="s">
        <v>6776</v>
      </c>
      <c r="I1249" s="1" t="s">
        <v>78</v>
      </c>
      <c r="J1249" s="1" t="s">
        <v>6777</v>
      </c>
      <c r="K1249" s="1" t="s">
        <v>6778</v>
      </c>
      <c r="L1249" t="s">
        <v>91</v>
      </c>
      <c r="M1249" t="s">
        <v>91</v>
      </c>
      <c r="N1249" s="1" t="s">
        <v>6779</v>
      </c>
      <c r="O1249" t="s">
        <v>91</v>
      </c>
      <c r="P1249" s="1" t="s">
        <v>6780</v>
      </c>
      <c r="Q1249" s="1" t="s">
        <v>6781</v>
      </c>
      <c r="R1249" s="1" t="s">
        <v>91</v>
      </c>
      <c r="T1249">
        <v>88509070</v>
      </c>
      <c r="U1249" s="1" t="s">
        <v>6782</v>
      </c>
      <c r="V1249" s="1" t="s">
        <v>3335</v>
      </c>
      <c r="W1249" s="1" t="s">
        <v>87</v>
      </c>
      <c r="X1249">
        <v>49</v>
      </c>
      <c r="Y1249">
        <v>30218621</v>
      </c>
      <c r="Z1249" t="s">
        <v>91</v>
      </c>
      <c r="AA1249" t="s">
        <v>91</v>
      </c>
      <c r="AB1249" t="s">
        <v>91</v>
      </c>
      <c r="AC1249" t="s">
        <v>91</v>
      </c>
      <c r="AD1249" t="s">
        <v>91</v>
      </c>
      <c r="AE1249" t="s">
        <v>91</v>
      </c>
      <c r="AF1249" t="s">
        <v>91</v>
      </c>
      <c r="AG1249" s="1" t="s">
        <v>91</v>
      </c>
      <c r="AH1249" s="1" t="s">
        <v>91</v>
      </c>
      <c r="AI1249" t="s">
        <v>91</v>
      </c>
      <c r="AM1249" t="s">
        <v>91</v>
      </c>
      <c r="AN1249" t="s">
        <v>91</v>
      </c>
      <c r="AO1249" t="s">
        <v>91</v>
      </c>
      <c r="AP1249" t="s">
        <v>91</v>
      </c>
      <c r="AQ1249" s="1" t="s">
        <v>91</v>
      </c>
      <c r="AR1249" s="1" t="s">
        <v>91</v>
      </c>
      <c r="AS1249" s="1" t="s">
        <v>91</v>
      </c>
      <c r="AT1249" s="1" t="s">
        <v>91</v>
      </c>
      <c r="AU1249" s="1" t="s">
        <v>91</v>
      </c>
      <c r="AV1249" t="s">
        <v>91</v>
      </c>
      <c r="AW1249" t="s">
        <v>91</v>
      </c>
      <c r="AX1249" t="s">
        <v>91</v>
      </c>
      <c r="AY1249" t="s">
        <v>91</v>
      </c>
      <c r="AZ1249" t="s">
        <v>91</v>
      </c>
      <c r="BA1249" t="s">
        <v>91</v>
      </c>
      <c r="BB1249" s="2"/>
      <c r="BC1249" s="2"/>
      <c r="BD1249" t="s">
        <v>91</v>
      </c>
      <c r="BF1249" s="1" t="s">
        <v>75</v>
      </c>
      <c r="BI1249" s="1" t="s">
        <v>88</v>
      </c>
      <c r="BJ1249">
        <v>1</v>
      </c>
      <c r="BK1249" s="1" t="s">
        <v>89</v>
      </c>
      <c r="BL1249" t="s">
        <v>91</v>
      </c>
      <c r="BM1249" s="1" t="s">
        <v>109</v>
      </c>
      <c r="BN1249" s="1" t="s">
        <v>110</v>
      </c>
      <c r="BO1249" s="1" t="s">
        <v>128</v>
      </c>
      <c r="BP1249" s="1" t="s">
        <v>91</v>
      </c>
      <c r="BQ1249" t="s">
        <v>91</v>
      </c>
      <c r="BR1249" s="3"/>
      <c r="BS1249" s="3"/>
      <c r="BT1249" t="s">
        <v>91</v>
      </c>
      <c r="BU1249" t="s">
        <v>91</v>
      </c>
      <c r="BW1249" s="1" t="s">
        <v>90</v>
      </c>
    </row>
    <row r="1250" spans="1:75" hidden="1" x14ac:dyDescent="0.35">
      <c r="A1250">
        <v>134413</v>
      </c>
      <c r="B1250" s="1" t="s">
        <v>75</v>
      </c>
      <c r="C1250">
        <v>80</v>
      </c>
      <c r="D1250">
        <v>11121002</v>
      </c>
      <c r="E1250">
        <v>121002</v>
      </c>
      <c r="F1250" s="1" t="s">
        <v>2915</v>
      </c>
      <c r="G1250" s="1" t="s">
        <v>6783</v>
      </c>
      <c r="I1250" s="1" t="s">
        <v>78</v>
      </c>
      <c r="J1250" s="1" t="s">
        <v>6784</v>
      </c>
      <c r="K1250" s="1" t="s">
        <v>6785</v>
      </c>
      <c r="L1250" t="s">
        <v>91</v>
      </c>
      <c r="M1250" t="s">
        <v>91</v>
      </c>
      <c r="N1250" s="1" t="s">
        <v>6786</v>
      </c>
      <c r="O1250" t="s">
        <v>91</v>
      </c>
      <c r="P1250" s="1" t="s">
        <v>6787</v>
      </c>
      <c r="Q1250" s="1" t="s">
        <v>5782</v>
      </c>
      <c r="R1250" s="1" t="s">
        <v>6788</v>
      </c>
      <c r="S1250">
        <v>1266</v>
      </c>
      <c r="T1250">
        <v>88524900</v>
      </c>
      <c r="U1250" s="1" t="s">
        <v>6789</v>
      </c>
      <c r="V1250" s="1" t="s">
        <v>3335</v>
      </c>
      <c r="W1250" s="1" t="s">
        <v>87</v>
      </c>
      <c r="X1250">
        <v>49</v>
      </c>
      <c r="Y1250">
        <v>32400202</v>
      </c>
      <c r="Z1250" t="s">
        <v>91</v>
      </c>
      <c r="AA1250" t="s">
        <v>91</v>
      </c>
      <c r="AB1250" t="s">
        <v>91</v>
      </c>
      <c r="AC1250" t="s">
        <v>91</v>
      </c>
      <c r="AD1250" t="s">
        <v>91</v>
      </c>
      <c r="AE1250" t="s">
        <v>91</v>
      </c>
      <c r="AF1250" t="s">
        <v>91</v>
      </c>
      <c r="AG1250" s="1" t="s">
        <v>91</v>
      </c>
      <c r="AH1250" s="1" t="s">
        <v>91</v>
      </c>
      <c r="AI1250" t="s">
        <v>91</v>
      </c>
      <c r="AM1250" t="s">
        <v>91</v>
      </c>
      <c r="AN1250" t="s">
        <v>91</v>
      </c>
      <c r="AO1250" t="s">
        <v>91</v>
      </c>
      <c r="AP1250" t="s">
        <v>91</v>
      </c>
      <c r="AQ1250" s="1" t="s">
        <v>91</v>
      </c>
      <c r="AR1250" s="1" t="s">
        <v>91</v>
      </c>
      <c r="AS1250" s="1" t="s">
        <v>91</v>
      </c>
      <c r="AT1250" s="1" t="s">
        <v>91</v>
      </c>
      <c r="AU1250" s="1" t="s">
        <v>91</v>
      </c>
      <c r="AV1250" t="s">
        <v>91</v>
      </c>
      <c r="AW1250" t="s">
        <v>91</v>
      </c>
      <c r="AX1250" t="s">
        <v>91</v>
      </c>
      <c r="AY1250" t="s">
        <v>91</v>
      </c>
      <c r="AZ1250" t="s">
        <v>91</v>
      </c>
      <c r="BA1250" t="s">
        <v>91</v>
      </c>
      <c r="BB1250" s="2"/>
      <c r="BC1250" s="2"/>
      <c r="BD1250" t="s">
        <v>91</v>
      </c>
      <c r="BF1250" s="1" t="s">
        <v>75</v>
      </c>
      <c r="BI1250" s="1" t="s">
        <v>88</v>
      </c>
      <c r="BJ1250">
        <v>1</v>
      </c>
      <c r="BK1250" s="1" t="s">
        <v>89</v>
      </c>
      <c r="BL1250" t="s">
        <v>91</v>
      </c>
      <c r="BM1250" s="1" t="s">
        <v>109</v>
      </c>
      <c r="BN1250" s="1" t="s">
        <v>110</v>
      </c>
      <c r="BO1250" s="1" t="s">
        <v>111</v>
      </c>
      <c r="BP1250" s="1" t="s">
        <v>91</v>
      </c>
      <c r="BQ1250" t="s">
        <v>91</v>
      </c>
      <c r="BR1250" s="3"/>
      <c r="BS1250" s="3"/>
      <c r="BT1250" t="s">
        <v>91</v>
      </c>
      <c r="BU1250" t="s">
        <v>91</v>
      </c>
      <c r="BV1250">
        <v>2</v>
      </c>
      <c r="BW1250" s="1" t="s">
        <v>90</v>
      </c>
    </row>
    <row r="1251" spans="1:75" hidden="1" x14ac:dyDescent="0.35">
      <c r="A1251">
        <v>134324</v>
      </c>
      <c r="B1251" s="1" t="s">
        <v>75</v>
      </c>
      <c r="C1251">
        <v>80</v>
      </c>
      <c r="D1251">
        <v>11121002</v>
      </c>
      <c r="E1251">
        <v>121002</v>
      </c>
      <c r="F1251" s="1" t="s">
        <v>2915</v>
      </c>
      <c r="G1251" s="1" t="s">
        <v>6790</v>
      </c>
      <c r="I1251" s="1" t="s">
        <v>78</v>
      </c>
      <c r="J1251" s="1" t="s">
        <v>6784</v>
      </c>
      <c r="K1251" s="1" t="s">
        <v>6791</v>
      </c>
      <c r="L1251" t="s">
        <v>91</v>
      </c>
      <c r="M1251" t="s">
        <v>91</v>
      </c>
      <c r="N1251" s="1" t="s">
        <v>6792</v>
      </c>
      <c r="O1251" t="s">
        <v>91</v>
      </c>
      <c r="P1251" s="1" t="s">
        <v>6793</v>
      </c>
      <c r="Q1251" s="1" t="s">
        <v>4315</v>
      </c>
      <c r="R1251" s="1" t="s">
        <v>3938</v>
      </c>
      <c r="T1251">
        <v>88502904</v>
      </c>
      <c r="U1251" s="1" t="s">
        <v>108</v>
      </c>
      <c r="V1251" s="1" t="s">
        <v>3335</v>
      </c>
      <c r="W1251" s="1" t="s">
        <v>87</v>
      </c>
      <c r="X1251">
        <v>49</v>
      </c>
      <c r="Y1251">
        <v>999646446</v>
      </c>
      <c r="Z1251" t="s">
        <v>91</v>
      </c>
      <c r="AA1251" t="s">
        <v>91</v>
      </c>
      <c r="AB1251" t="s">
        <v>91</v>
      </c>
      <c r="AC1251" t="s">
        <v>91</v>
      </c>
      <c r="AD1251" t="s">
        <v>91</v>
      </c>
      <c r="AE1251" t="s">
        <v>91</v>
      </c>
      <c r="AF1251" t="s">
        <v>91</v>
      </c>
      <c r="AG1251" s="1" t="s">
        <v>91</v>
      </c>
      <c r="AH1251" s="1" t="s">
        <v>91</v>
      </c>
      <c r="AI1251" t="s">
        <v>91</v>
      </c>
      <c r="AJ1251">
        <v>0</v>
      </c>
      <c r="AK1251">
        <v>0</v>
      </c>
      <c r="AL1251">
        <v>0</v>
      </c>
      <c r="AM1251" t="s">
        <v>91</v>
      </c>
      <c r="AN1251" t="s">
        <v>91</v>
      </c>
      <c r="AO1251" t="s">
        <v>91</v>
      </c>
      <c r="AP1251" t="s">
        <v>91</v>
      </c>
      <c r="AQ1251" s="1" t="s">
        <v>91</v>
      </c>
      <c r="AR1251" s="1" t="s">
        <v>91</v>
      </c>
      <c r="AS1251" s="1" t="s">
        <v>91</v>
      </c>
      <c r="AT1251" s="1" t="s">
        <v>91</v>
      </c>
      <c r="AU1251" s="1" t="s">
        <v>91</v>
      </c>
      <c r="AV1251" t="s">
        <v>91</v>
      </c>
      <c r="AW1251" t="s">
        <v>91</v>
      </c>
      <c r="AX1251" t="s">
        <v>91</v>
      </c>
      <c r="AY1251" t="s">
        <v>91</v>
      </c>
      <c r="AZ1251" t="s">
        <v>91</v>
      </c>
      <c r="BA1251" t="s">
        <v>91</v>
      </c>
      <c r="BB1251" s="2"/>
      <c r="BC1251" s="2"/>
      <c r="BD1251" t="s">
        <v>91</v>
      </c>
      <c r="BF1251" s="1" t="s">
        <v>75</v>
      </c>
      <c r="BG1251">
        <v>0</v>
      </c>
      <c r="BH1251">
        <v>0</v>
      </c>
      <c r="BI1251" s="1" t="s">
        <v>88</v>
      </c>
      <c r="BJ1251">
        <v>1</v>
      </c>
      <c r="BK1251" s="1" t="s">
        <v>89</v>
      </c>
      <c r="BL1251" t="s">
        <v>91</v>
      </c>
      <c r="BM1251" s="1" t="s">
        <v>164</v>
      </c>
      <c r="BN1251" s="1" t="s">
        <v>110</v>
      </c>
      <c r="BO1251" s="1" t="s">
        <v>165</v>
      </c>
      <c r="BP1251" s="1" t="s">
        <v>91</v>
      </c>
      <c r="BQ1251" t="s">
        <v>91</v>
      </c>
      <c r="BR1251" s="3"/>
      <c r="BS1251" s="3"/>
      <c r="BT1251" t="s">
        <v>91</v>
      </c>
      <c r="BU1251" t="s">
        <v>91</v>
      </c>
      <c r="BV1251">
        <v>2</v>
      </c>
      <c r="BW1251" s="1" t="s">
        <v>3738</v>
      </c>
    </row>
    <row r="1252" spans="1:75" hidden="1" x14ac:dyDescent="0.35">
      <c r="A1252">
        <v>157685</v>
      </c>
      <c r="B1252" s="1" t="s">
        <v>75</v>
      </c>
      <c r="C1252">
        <v>80</v>
      </c>
      <c r="D1252">
        <v>11121002</v>
      </c>
      <c r="E1252">
        <v>121002</v>
      </c>
      <c r="F1252" s="1" t="s">
        <v>2915</v>
      </c>
      <c r="G1252" s="1" t="s">
        <v>6794</v>
      </c>
      <c r="H1252">
        <v>0</v>
      </c>
      <c r="I1252" s="1" t="s">
        <v>78</v>
      </c>
      <c r="J1252" s="1" t="s">
        <v>6795</v>
      </c>
      <c r="K1252" s="1" t="s">
        <v>6796</v>
      </c>
      <c r="L1252" t="s">
        <v>91</v>
      </c>
      <c r="M1252" t="s">
        <v>91</v>
      </c>
      <c r="N1252" s="1" t="s">
        <v>6797</v>
      </c>
      <c r="O1252" t="s">
        <v>91</v>
      </c>
      <c r="P1252" s="1" t="s">
        <v>6798</v>
      </c>
      <c r="Q1252" s="1" t="s">
        <v>470</v>
      </c>
      <c r="R1252" s="1" t="s">
        <v>236</v>
      </c>
      <c r="T1252">
        <v>88063080</v>
      </c>
      <c r="U1252" s="1" t="s">
        <v>2964</v>
      </c>
      <c r="V1252" s="1" t="s">
        <v>2922</v>
      </c>
      <c r="W1252" s="1" t="s">
        <v>87</v>
      </c>
      <c r="X1252">
        <v>51</v>
      </c>
      <c r="Y1252">
        <v>992161777</v>
      </c>
      <c r="Z1252" t="s">
        <v>91</v>
      </c>
      <c r="AA1252" t="s">
        <v>91</v>
      </c>
      <c r="AB1252" t="s">
        <v>91</v>
      </c>
      <c r="AC1252" t="s">
        <v>91</v>
      </c>
      <c r="AD1252" t="s">
        <v>91</v>
      </c>
      <c r="AE1252" t="s">
        <v>91</v>
      </c>
      <c r="AF1252" t="s">
        <v>91</v>
      </c>
      <c r="AG1252" s="1" t="s">
        <v>91</v>
      </c>
      <c r="AH1252" s="1" t="s">
        <v>91</v>
      </c>
      <c r="AI1252" t="s">
        <v>91</v>
      </c>
      <c r="AM1252" t="s">
        <v>91</v>
      </c>
      <c r="AN1252" t="s">
        <v>91</v>
      </c>
      <c r="AO1252" t="s">
        <v>91</v>
      </c>
      <c r="AP1252" t="s">
        <v>91</v>
      </c>
      <c r="AQ1252" s="1" t="s">
        <v>91</v>
      </c>
      <c r="AR1252" s="1" t="s">
        <v>91</v>
      </c>
      <c r="AS1252" s="1" t="s">
        <v>91</v>
      </c>
      <c r="AT1252" s="1" t="s">
        <v>91</v>
      </c>
      <c r="AU1252" s="1" t="s">
        <v>91</v>
      </c>
      <c r="AV1252" t="s">
        <v>91</v>
      </c>
      <c r="AW1252" t="s">
        <v>91</v>
      </c>
      <c r="AX1252" t="s">
        <v>91</v>
      </c>
      <c r="AY1252" t="s">
        <v>91</v>
      </c>
      <c r="AZ1252" t="s">
        <v>91</v>
      </c>
      <c r="BA1252" t="s">
        <v>91</v>
      </c>
      <c r="BB1252" s="2">
        <v>45118.097175925926</v>
      </c>
      <c r="BC1252" s="2"/>
      <c r="BD1252" t="s">
        <v>91</v>
      </c>
      <c r="BF1252" s="1" t="s">
        <v>75</v>
      </c>
      <c r="BI1252" s="1" t="s">
        <v>88</v>
      </c>
      <c r="BJ1252">
        <v>1</v>
      </c>
      <c r="BK1252" s="1" t="s">
        <v>89</v>
      </c>
      <c r="BL1252" t="s">
        <v>91</v>
      </c>
      <c r="BM1252" s="1" t="s">
        <v>91</v>
      </c>
      <c r="BN1252" s="1" t="s">
        <v>91</v>
      </c>
      <c r="BO1252" s="1" t="s">
        <v>91</v>
      </c>
      <c r="BP1252" s="1" t="s">
        <v>91</v>
      </c>
      <c r="BQ1252" t="s">
        <v>91</v>
      </c>
      <c r="BR1252" s="3">
        <v>45118</v>
      </c>
      <c r="BS1252" s="3"/>
      <c r="BT1252" t="s">
        <v>91</v>
      </c>
      <c r="BU1252" t="s">
        <v>91</v>
      </c>
      <c r="BW1252" s="1" t="s">
        <v>90</v>
      </c>
    </row>
    <row r="1253" spans="1:75" hidden="1" x14ac:dyDescent="0.35">
      <c r="A1253">
        <v>134325</v>
      </c>
      <c r="B1253" s="1" t="s">
        <v>75</v>
      </c>
      <c r="C1253">
        <v>80</v>
      </c>
      <c r="D1253">
        <v>11121002</v>
      </c>
      <c r="E1253">
        <v>121002</v>
      </c>
      <c r="F1253" s="1" t="s">
        <v>2915</v>
      </c>
      <c r="G1253" s="1" t="s">
        <v>6799</v>
      </c>
      <c r="I1253" s="1" t="s">
        <v>78</v>
      </c>
      <c r="J1253" s="1" t="s">
        <v>6800</v>
      </c>
      <c r="K1253" s="1" t="s">
        <v>6801</v>
      </c>
      <c r="L1253" t="s">
        <v>91</v>
      </c>
      <c r="M1253" t="s">
        <v>91</v>
      </c>
      <c r="N1253" s="1" t="s">
        <v>6802</v>
      </c>
      <c r="O1253" t="s">
        <v>91</v>
      </c>
      <c r="P1253" s="1" t="s">
        <v>6803</v>
      </c>
      <c r="Q1253" s="1" t="s">
        <v>1337</v>
      </c>
      <c r="R1253" s="1" t="s">
        <v>434</v>
      </c>
      <c r="S1253">
        <v>1257</v>
      </c>
      <c r="T1253">
        <v>88035000</v>
      </c>
      <c r="U1253" s="1" t="s">
        <v>108</v>
      </c>
      <c r="V1253" s="1" t="s">
        <v>3102</v>
      </c>
      <c r="W1253" s="1" t="s">
        <v>87</v>
      </c>
      <c r="X1253">
        <v>48</v>
      </c>
      <c r="Y1253">
        <v>32066630</v>
      </c>
      <c r="Z1253" t="s">
        <v>91</v>
      </c>
      <c r="AA1253" t="s">
        <v>91</v>
      </c>
      <c r="AB1253" t="s">
        <v>91</v>
      </c>
      <c r="AC1253" t="s">
        <v>91</v>
      </c>
      <c r="AD1253" t="s">
        <v>91</v>
      </c>
      <c r="AE1253" t="s">
        <v>91</v>
      </c>
      <c r="AF1253" t="s">
        <v>91</v>
      </c>
      <c r="AG1253" s="1" t="s">
        <v>146</v>
      </c>
      <c r="AH1253" s="1" t="s">
        <v>91</v>
      </c>
      <c r="AI1253" t="s">
        <v>91</v>
      </c>
      <c r="AJ1253">
        <v>0</v>
      </c>
      <c r="AK1253">
        <v>0</v>
      </c>
      <c r="AL1253">
        <v>0</v>
      </c>
      <c r="AM1253" t="s">
        <v>91</v>
      </c>
      <c r="AN1253" t="s">
        <v>91</v>
      </c>
      <c r="AO1253" t="s">
        <v>91</v>
      </c>
      <c r="AP1253" t="s">
        <v>91</v>
      </c>
      <c r="AQ1253" s="1" t="s">
        <v>147</v>
      </c>
      <c r="AR1253" s="1" t="s">
        <v>147</v>
      </c>
      <c r="AS1253" s="1" t="s">
        <v>147</v>
      </c>
      <c r="AT1253" s="1" t="s">
        <v>147</v>
      </c>
      <c r="AU1253" s="1" t="s">
        <v>147</v>
      </c>
      <c r="AV1253" t="s">
        <v>91</v>
      </c>
      <c r="AW1253" t="s">
        <v>91</v>
      </c>
      <c r="AX1253" t="s">
        <v>91</v>
      </c>
      <c r="AY1253" t="s">
        <v>91</v>
      </c>
      <c r="AZ1253" t="s">
        <v>91</v>
      </c>
      <c r="BA1253" t="s">
        <v>91</v>
      </c>
      <c r="BB1253" s="2"/>
      <c r="BC1253" s="2">
        <v>44449.685787037037</v>
      </c>
      <c r="BD1253" t="s">
        <v>91</v>
      </c>
      <c r="BF1253" s="1" t="s">
        <v>75</v>
      </c>
      <c r="BG1253">
        <v>0</v>
      </c>
      <c r="BH1253">
        <v>0</v>
      </c>
      <c r="BI1253" s="1" t="s">
        <v>88</v>
      </c>
      <c r="BJ1253">
        <v>1</v>
      </c>
      <c r="BK1253" s="1" t="s">
        <v>89</v>
      </c>
      <c r="BL1253" t="s">
        <v>91</v>
      </c>
      <c r="BM1253" s="1" t="s">
        <v>329</v>
      </c>
      <c r="BN1253" s="1" t="s">
        <v>110</v>
      </c>
      <c r="BO1253" s="1" t="s">
        <v>165</v>
      </c>
      <c r="BP1253" s="1" t="s">
        <v>91</v>
      </c>
      <c r="BQ1253" t="s">
        <v>91</v>
      </c>
      <c r="BR1253" s="3"/>
      <c r="BS1253" s="3">
        <v>44449</v>
      </c>
      <c r="BT1253" t="s">
        <v>91</v>
      </c>
      <c r="BU1253" t="s">
        <v>91</v>
      </c>
      <c r="BV1253">
        <v>1</v>
      </c>
      <c r="BW1253" s="1" t="s">
        <v>1260</v>
      </c>
    </row>
    <row r="1254" spans="1:75" hidden="1" x14ac:dyDescent="0.35">
      <c r="A1254">
        <v>152750</v>
      </c>
      <c r="B1254" s="1" t="s">
        <v>75</v>
      </c>
      <c r="C1254">
        <v>80</v>
      </c>
      <c r="D1254">
        <v>11121002</v>
      </c>
      <c r="E1254">
        <v>121002</v>
      </c>
      <c r="F1254" s="1" t="s">
        <v>2915</v>
      </c>
      <c r="G1254" s="1" t="s">
        <v>6804</v>
      </c>
      <c r="H1254">
        <v>0</v>
      </c>
      <c r="I1254" s="1" t="s">
        <v>78</v>
      </c>
      <c r="J1254" s="1" t="s">
        <v>6805</v>
      </c>
      <c r="K1254" s="1" t="s">
        <v>6806</v>
      </c>
      <c r="L1254" t="s">
        <v>91</v>
      </c>
      <c r="M1254" t="s">
        <v>91</v>
      </c>
      <c r="N1254" s="1" t="s">
        <v>6807</v>
      </c>
      <c r="O1254" t="s">
        <v>91</v>
      </c>
      <c r="P1254" s="1" t="s">
        <v>6808</v>
      </c>
      <c r="Q1254" s="1" t="s">
        <v>6809</v>
      </c>
      <c r="R1254" s="1" t="s">
        <v>6809</v>
      </c>
      <c r="T1254">
        <v>88106115</v>
      </c>
      <c r="U1254" s="1" t="s">
        <v>3803</v>
      </c>
      <c r="V1254" s="1" t="s">
        <v>2958</v>
      </c>
      <c r="W1254" s="1" t="s">
        <v>87</v>
      </c>
      <c r="Z1254" t="s">
        <v>91</v>
      </c>
      <c r="AA1254" t="s">
        <v>91</v>
      </c>
      <c r="AB1254" t="s">
        <v>91</v>
      </c>
      <c r="AC1254" t="s">
        <v>91</v>
      </c>
      <c r="AD1254" t="s">
        <v>91</v>
      </c>
      <c r="AE1254" t="s">
        <v>91</v>
      </c>
      <c r="AF1254" t="s">
        <v>91</v>
      </c>
      <c r="AG1254" s="1" t="s">
        <v>91</v>
      </c>
      <c r="AH1254" s="1" t="s">
        <v>91</v>
      </c>
      <c r="AI1254" t="s">
        <v>91</v>
      </c>
      <c r="AM1254" t="s">
        <v>91</v>
      </c>
      <c r="AN1254" t="s">
        <v>91</v>
      </c>
      <c r="AO1254" t="s">
        <v>91</v>
      </c>
      <c r="AP1254" t="s">
        <v>91</v>
      </c>
      <c r="AQ1254" s="1" t="s">
        <v>91</v>
      </c>
      <c r="AR1254" s="1" t="s">
        <v>91</v>
      </c>
      <c r="AS1254" s="1" t="s">
        <v>91</v>
      </c>
      <c r="AT1254" s="1" t="s">
        <v>91</v>
      </c>
      <c r="AU1254" s="1" t="s">
        <v>91</v>
      </c>
      <c r="AV1254" t="s">
        <v>91</v>
      </c>
      <c r="AW1254" t="s">
        <v>91</v>
      </c>
      <c r="AX1254" t="s">
        <v>91</v>
      </c>
      <c r="AY1254" t="s">
        <v>91</v>
      </c>
      <c r="AZ1254" t="s">
        <v>91</v>
      </c>
      <c r="BA1254" t="s">
        <v>91</v>
      </c>
      <c r="BB1254" s="2">
        <v>45019.565613425926</v>
      </c>
      <c r="BC1254" s="2"/>
      <c r="BD1254" t="s">
        <v>91</v>
      </c>
      <c r="BF1254" s="1" t="s">
        <v>75</v>
      </c>
      <c r="BI1254" s="1" t="s">
        <v>88</v>
      </c>
      <c r="BJ1254">
        <v>1</v>
      </c>
      <c r="BK1254" s="1" t="s">
        <v>89</v>
      </c>
      <c r="BL1254" t="s">
        <v>91</v>
      </c>
      <c r="BM1254" s="1" t="s">
        <v>91</v>
      </c>
      <c r="BN1254" s="1" t="s">
        <v>91</v>
      </c>
      <c r="BO1254" s="1" t="s">
        <v>91</v>
      </c>
      <c r="BP1254" s="1" t="s">
        <v>91</v>
      </c>
      <c r="BQ1254" t="s">
        <v>91</v>
      </c>
      <c r="BR1254" s="3">
        <v>45019</v>
      </c>
      <c r="BS1254" s="3"/>
      <c r="BT1254" t="s">
        <v>91</v>
      </c>
      <c r="BU1254" t="s">
        <v>91</v>
      </c>
      <c r="BW1254" s="1" t="s">
        <v>90</v>
      </c>
    </row>
    <row r="1255" spans="1:75" hidden="1" x14ac:dyDescent="0.35">
      <c r="A1255">
        <v>134291</v>
      </c>
      <c r="B1255" s="1" t="s">
        <v>75</v>
      </c>
      <c r="C1255">
        <v>80</v>
      </c>
      <c r="D1255">
        <v>11121002</v>
      </c>
      <c r="E1255">
        <v>121002</v>
      </c>
      <c r="F1255" s="1" t="s">
        <v>2915</v>
      </c>
      <c r="G1255" s="1" t="s">
        <v>6810</v>
      </c>
      <c r="I1255" s="1" t="s">
        <v>78</v>
      </c>
      <c r="J1255" s="1" t="s">
        <v>6811</v>
      </c>
      <c r="K1255" s="1" t="s">
        <v>6812</v>
      </c>
      <c r="L1255" t="s">
        <v>91</v>
      </c>
      <c r="M1255" t="s">
        <v>91</v>
      </c>
      <c r="N1255" s="1" t="s">
        <v>6813</v>
      </c>
      <c r="O1255" t="s">
        <v>91</v>
      </c>
      <c r="P1255" s="1" t="s">
        <v>4933</v>
      </c>
      <c r="Q1255" s="1" t="s">
        <v>6814</v>
      </c>
      <c r="R1255" s="1" t="s">
        <v>1695</v>
      </c>
      <c r="S1255">
        <v>1257</v>
      </c>
      <c r="T1255">
        <v>88058100</v>
      </c>
      <c r="U1255" s="1" t="s">
        <v>3441</v>
      </c>
      <c r="V1255" s="1" t="s">
        <v>3102</v>
      </c>
      <c r="W1255" s="1" t="s">
        <v>87</v>
      </c>
      <c r="X1255">
        <v>48</v>
      </c>
      <c r="Y1255">
        <v>33071493</v>
      </c>
      <c r="Z1255" t="s">
        <v>91</v>
      </c>
      <c r="AA1255" t="s">
        <v>91</v>
      </c>
      <c r="AB1255" t="s">
        <v>91</v>
      </c>
      <c r="AC1255" t="s">
        <v>91</v>
      </c>
      <c r="AD1255" t="s">
        <v>91</v>
      </c>
      <c r="AE1255" t="s">
        <v>91</v>
      </c>
      <c r="AF1255" t="s">
        <v>91</v>
      </c>
      <c r="AG1255" s="1" t="s">
        <v>146</v>
      </c>
      <c r="AH1255" s="1" t="s">
        <v>91</v>
      </c>
      <c r="AI1255" t="s">
        <v>91</v>
      </c>
      <c r="AJ1255">
        <v>0</v>
      </c>
      <c r="AK1255">
        <v>0</v>
      </c>
      <c r="AL1255">
        <v>0</v>
      </c>
      <c r="AM1255" t="s">
        <v>91</v>
      </c>
      <c r="AN1255" t="s">
        <v>91</v>
      </c>
      <c r="AO1255" t="s">
        <v>91</v>
      </c>
      <c r="AP1255" t="s">
        <v>91</v>
      </c>
      <c r="AQ1255" s="1" t="s">
        <v>147</v>
      </c>
      <c r="AR1255" s="1" t="s">
        <v>147</v>
      </c>
      <c r="AS1255" s="1" t="s">
        <v>147</v>
      </c>
      <c r="AT1255" s="1" t="s">
        <v>147</v>
      </c>
      <c r="AU1255" s="1" t="s">
        <v>147</v>
      </c>
      <c r="AV1255" t="s">
        <v>91</v>
      </c>
      <c r="AW1255" t="s">
        <v>91</v>
      </c>
      <c r="AX1255" t="s">
        <v>91</v>
      </c>
      <c r="AY1255" t="s">
        <v>91</v>
      </c>
      <c r="AZ1255" t="s">
        <v>91</v>
      </c>
      <c r="BA1255" t="s">
        <v>91</v>
      </c>
      <c r="BB1255" s="2"/>
      <c r="BC1255" s="2">
        <v>44543.67459490741</v>
      </c>
      <c r="BD1255" t="s">
        <v>91</v>
      </c>
      <c r="BF1255" s="1" t="s">
        <v>75</v>
      </c>
      <c r="BG1255">
        <v>0</v>
      </c>
      <c r="BH1255">
        <v>0</v>
      </c>
      <c r="BI1255" s="1" t="s">
        <v>88</v>
      </c>
      <c r="BJ1255">
        <v>1</v>
      </c>
      <c r="BK1255" s="1" t="s">
        <v>89</v>
      </c>
      <c r="BL1255" t="s">
        <v>91</v>
      </c>
      <c r="BM1255" s="1" t="s">
        <v>329</v>
      </c>
      <c r="BN1255" s="1" t="s">
        <v>110</v>
      </c>
      <c r="BO1255" s="1" t="s">
        <v>165</v>
      </c>
      <c r="BP1255" s="1" t="s">
        <v>91</v>
      </c>
      <c r="BQ1255" t="s">
        <v>91</v>
      </c>
      <c r="BR1255" s="3"/>
      <c r="BS1255" s="3">
        <v>44543</v>
      </c>
      <c r="BT1255" t="s">
        <v>91</v>
      </c>
      <c r="BU1255" t="s">
        <v>91</v>
      </c>
      <c r="BV1255">
        <v>5</v>
      </c>
      <c r="BW1255" s="1" t="s">
        <v>1254</v>
      </c>
    </row>
    <row r="1256" spans="1:75" hidden="1" x14ac:dyDescent="0.35">
      <c r="A1256">
        <v>156942</v>
      </c>
      <c r="B1256" s="1" t="s">
        <v>75</v>
      </c>
      <c r="C1256">
        <v>80</v>
      </c>
      <c r="D1256">
        <v>11121002</v>
      </c>
      <c r="E1256">
        <v>121002</v>
      </c>
      <c r="F1256" s="1" t="s">
        <v>2915</v>
      </c>
      <c r="G1256" s="1" t="s">
        <v>6815</v>
      </c>
      <c r="H1256">
        <v>0</v>
      </c>
      <c r="I1256" s="1" t="s">
        <v>78</v>
      </c>
      <c r="J1256" s="1" t="s">
        <v>6816</v>
      </c>
      <c r="K1256" s="1" t="s">
        <v>6817</v>
      </c>
      <c r="L1256" t="s">
        <v>91</v>
      </c>
      <c r="M1256" t="s">
        <v>91</v>
      </c>
      <c r="N1256" s="1" t="s">
        <v>6818</v>
      </c>
      <c r="O1256" t="s">
        <v>91</v>
      </c>
      <c r="P1256" s="1" t="s">
        <v>6819</v>
      </c>
      <c r="Q1256" s="1" t="s">
        <v>6820</v>
      </c>
      <c r="R1256" s="1" t="s">
        <v>236</v>
      </c>
      <c r="S1256">
        <v>1259</v>
      </c>
      <c r="T1256">
        <v>88107350</v>
      </c>
      <c r="U1256" s="1" t="s">
        <v>3210</v>
      </c>
      <c r="V1256" s="1" t="s">
        <v>2958</v>
      </c>
      <c r="W1256" s="1" t="s">
        <v>87</v>
      </c>
      <c r="X1256">
        <v>48</v>
      </c>
      <c r="Y1256">
        <v>33729519</v>
      </c>
      <c r="Z1256" t="s">
        <v>91</v>
      </c>
      <c r="AA1256" t="s">
        <v>91</v>
      </c>
      <c r="AB1256" t="s">
        <v>91</v>
      </c>
      <c r="AC1256" t="s">
        <v>91</v>
      </c>
      <c r="AD1256" t="s">
        <v>91</v>
      </c>
      <c r="AE1256" t="s">
        <v>91</v>
      </c>
      <c r="AF1256" t="s">
        <v>91</v>
      </c>
      <c r="AG1256" s="1" t="s">
        <v>91</v>
      </c>
      <c r="AH1256" s="1" t="s">
        <v>91</v>
      </c>
      <c r="AI1256" t="s">
        <v>91</v>
      </c>
      <c r="AM1256" t="s">
        <v>91</v>
      </c>
      <c r="AN1256" t="s">
        <v>91</v>
      </c>
      <c r="AO1256" t="s">
        <v>91</v>
      </c>
      <c r="AP1256" t="s">
        <v>91</v>
      </c>
      <c r="AQ1256" s="1" t="s">
        <v>91</v>
      </c>
      <c r="AR1256" s="1" t="s">
        <v>91</v>
      </c>
      <c r="AS1256" s="1" t="s">
        <v>91</v>
      </c>
      <c r="AT1256" s="1" t="s">
        <v>91</v>
      </c>
      <c r="AU1256" s="1" t="s">
        <v>91</v>
      </c>
      <c r="AV1256" t="s">
        <v>91</v>
      </c>
      <c r="AW1256" t="s">
        <v>91</v>
      </c>
      <c r="AX1256" t="s">
        <v>91</v>
      </c>
      <c r="AY1256" t="s">
        <v>91</v>
      </c>
      <c r="AZ1256" t="s">
        <v>91</v>
      </c>
      <c r="BA1256" t="s">
        <v>91</v>
      </c>
      <c r="BB1256" s="2">
        <v>45113.505416666667</v>
      </c>
      <c r="BC1256" s="2"/>
      <c r="BD1256" t="s">
        <v>91</v>
      </c>
      <c r="BF1256" s="1" t="s">
        <v>75</v>
      </c>
      <c r="BI1256" s="1" t="s">
        <v>88</v>
      </c>
      <c r="BJ1256">
        <v>1</v>
      </c>
      <c r="BK1256" s="1" t="s">
        <v>89</v>
      </c>
      <c r="BL1256" t="s">
        <v>91</v>
      </c>
      <c r="BM1256" s="1" t="s">
        <v>91</v>
      </c>
      <c r="BN1256" s="1" t="s">
        <v>91</v>
      </c>
      <c r="BO1256" s="1" t="s">
        <v>91</v>
      </c>
      <c r="BP1256" s="1" t="s">
        <v>91</v>
      </c>
      <c r="BQ1256" t="s">
        <v>91</v>
      </c>
      <c r="BR1256" s="3">
        <v>45113</v>
      </c>
      <c r="BS1256" s="3"/>
      <c r="BT1256" t="s">
        <v>91</v>
      </c>
      <c r="BU1256" t="s">
        <v>91</v>
      </c>
      <c r="BW1256" s="1" t="s">
        <v>247</v>
      </c>
    </row>
    <row r="1257" spans="1:75" hidden="1" x14ac:dyDescent="0.35">
      <c r="A1257">
        <v>607</v>
      </c>
      <c r="B1257" s="1" t="s">
        <v>75</v>
      </c>
      <c r="C1257">
        <v>80</v>
      </c>
      <c r="D1257">
        <v>11121002</v>
      </c>
      <c r="E1257">
        <v>121002</v>
      </c>
      <c r="F1257" s="1" t="s">
        <v>2915</v>
      </c>
      <c r="G1257" s="1" t="s">
        <v>6821</v>
      </c>
      <c r="I1257" s="1" t="s">
        <v>78</v>
      </c>
      <c r="J1257" s="1" t="s">
        <v>6822</v>
      </c>
      <c r="K1257" s="1" t="s">
        <v>6823</v>
      </c>
      <c r="L1257" t="s">
        <v>91</v>
      </c>
      <c r="M1257" t="s">
        <v>91</v>
      </c>
      <c r="N1257" s="1" t="s">
        <v>6824</v>
      </c>
      <c r="O1257" t="s">
        <v>91</v>
      </c>
      <c r="P1257" s="1" t="s">
        <v>946</v>
      </c>
      <c r="Q1257" s="1" t="s">
        <v>6825</v>
      </c>
      <c r="R1257" s="1" t="s">
        <v>1458</v>
      </c>
      <c r="S1257">
        <v>1259</v>
      </c>
      <c r="T1257">
        <v>88130100</v>
      </c>
      <c r="U1257" s="1" t="s">
        <v>108</v>
      </c>
      <c r="V1257" s="1" t="s">
        <v>3165</v>
      </c>
      <c r="W1257" s="1" t="s">
        <v>87</v>
      </c>
      <c r="X1257">
        <v>48</v>
      </c>
      <c r="Y1257">
        <v>32420446</v>
      </c>
      <c r="Z1257" t="s">
        <v>91</v>
      </c>
      <c r="AA1257" t="s">
        <v>91</v>
      </c>
      <c r="AB1257" t="s">
        <v>91</v>
      </c>
      <c r="AC1257" t="s">
        <v>91</v>
      </c>
      <c r="AD1257" t="s">
        <v>91</v>
      </c>
      <c r="AE1257" t="s">
        <v>91</v>
      </c>
      <c r="AF1257" t="s">
        <v>91</v>
      </c>
      <c r="AG1257" s="1" t="s">
        <v>146</v>
      </c>
      <c r="AH1257" s="1" t="s">
        <v>91</v>
      </c>
      <c r="AI1257" t="s">
        <v>91</v>
      </c>
      <c r="AJ1257">
        <v>0</v>
      </c>
      <c r="AK1257">
        <v>0</v>
      </c>
      <c r="AL1257">
        <v>0</v>
      </c>
      <c r="AM1257" t="s">
        <v>91</v>
      </c>
      <c r="AN1257" t="s">
        <v>91</v>
      </c>
      <c r="AO1257" t="s">
        <v>91</v>
      </c>
      <c r="AP1257" t="s">
        <v>91</v>
      </c>
      <c r="AQ1257" s="1" t="s">
        <v>147</v>
      </c>
      <c r="AR1257" s="1" t="s">
        <v>147</v>
      </c>
      <c r="AS1257" s="1" t="s">
        <v>147</v>
      </c>
      <c r="AT1257" s="1" t="s">
        <v>147</v>
      </c>
      <c r="AU1257" s="1" t="s">
        <v>147</v>
      </c>
      <c r="AV1257" t="s">
        <v>91</v>
      </c>
      <c r="AW1257" t="s">
        <v>91</v>
      </c>
      <c r="AX1257" t="s">
        <v>91</v>
      </c>
      <c r="AY1257" t="s">
        <v>91</v>
      </c>
      <c r="AZ1257" t="s">
        <v>91</v>
      </c>
      <c r="BA1257" t="s">
        <v>91</v>
      </c>
      <c r="BB1257" s="2">
        <v>43308.392905092594</v>
      </c>
      <c r="BC1257" s="2">
        <v>44755.633784722224</v>
      </c>
      <c r="BD1257" t="s">
        <v>91</v>
      </c>
      <c r="BE1257">
        <v>607</v>
      </c>
      <c r="BF1257" s="1" t="s">
        <v>75</v>
      </c>
      <c r="BG1257">
        <v>0</v>
      </c>
      <c r="BH1257">
        <v>0</v>
      </c>
      <c r="BI1257" s="1" t="s">
        <v>88</v>
      </c>
      <c r="BJ1257">
        <v>1</v>
      </c>
      <c r="BK1257" s="1" t="s">
        <v>89</v>
      </c>
      <c r="BL1257" t="s">
        <v>91</v>
      </c>
      <c r="BM1257" s="1" t="s">
        <v>109</v>
      </c>
      <c r="BN1257" s="1" t="s">
        <v>110</v>
      </c>
      <c r="BO1257" s="1" t="s">
        <v>111</v>
      </c>
      <c r="BP1257" s="1" t="s">
        <v>91</v>
      </c>
      <c r="BQ1257" t="s">
        <v>91</v>
      </c>
      <c r="BR1257" s="3">
        <v>43308</v>
      </c>
      <c r="BS1257" s="3">
        <v>44755</v>
      </c>
      <c r="BT1257" t="s">
        <v>91</v>
      </c>
      <c r="BU1257" t="s">
        <v>91</v>
      </c>
      <c r="BV1257">
        <v>9</v>
      </c>
      <c r="BW1257" s="1" t="s">
        <v>1254</v>
      </c>
    </row>
    <row r="1258" spans="1:75" hidden="1" x14ac:dyDescent="0.35">
      <c r="A1258">
        <v>144393</v>
      </c>
      <c r="B1258" s="1" t="s">
        <v>75</v>
      </c>
      <c r="C1258">
        <v>80</v>
      </c>
      <c r="D1258">
        <v>11121002</v>
      </c>
      <c r="E1258">
        <v>121002</v>
      </c>
      <c r="F1258" s="1" t="s">
        <v>2915</v>
      </c>
      <c r="G1258" s="1" t="s">
        <v>6826</v>
      </c>
      <c r="I1258" s="1" t="s">
        <v>78</v>
      </c>
      <c r="J1258" s="1" t="s">
        <v>6827</v>
      </c>
      <c r="K1258" s="1" t="s">
        <v>6828</v>
      </c>
      <c r="L1258" t="s">
        <v>91</v>
      </c>
      <c r="M1258" t="s">
        <v>91</v>
      </c>
      <c r="N1258" s="1" t="s">
        <v>6829</v>
      </c>
      <c r="O1258" t="s">
        <v>91</v>
      </c>
      <c r="P1258" s="1" t="s">
        <v>4485</v>
      </c>
      <c r="Q1258" s="1" t="s">
        <v>2885</v>
      </c>
      <c r="R1258" s="1" t="s">
        <v>91</v>
      </c>
      <c r="S1258">
        <v>1268</v>
      </c>
      <c r="T1258">
        <v>88790000</v>
      </c>
      <c r="U1258" s="1" t="s">
        <v>108</v>
      </c>
      <c r="V1258" s="1" t="s">
        <v>2971</v>
      </c>
      <c r="W1258" s="1" t="s">
        <v>87</v>
      </c>
      <c r="X1258">
        <v>48</v>
      </c>
      <c r="Y1258">
        <v>36440717</v>
      </c>
      <c r="Z1258" t="s">
        <v>91</v>
      </c>
      <c r="AA1258" t="s">
        <v>91</v>
      </c>
      <c r="AB1258" t="s">
        <v>91</v>
      </c>
      <c r="AC1258" t="s">
        <v>91</v>
      </c>
      <c r="AD1258" t="s">
        <v>91</v>
      </c>
      <c r="AE1258" t="s">
        <v>91</v>
      </c>
      <c r="AF1258" t="s">
        <v>91</v>
      </c>
      <c r="AG1258" s="1" t="s">
        <v>91</v>
      </c>
      <c r="AH1258" s="1" t="s">
        <v>91</v>
      </c>
      <c r="AI1258" t="s">
        <v>91</v>
      </c>
      <c r="AJ1258">
        <v>0</v>
      </c>
      <c r="AK1258">
        <v>0</v>
      </c>
      <c r="AL1258">
        <v>0</v>
      </c>
      <c r="AM1258" t="s">
        <v>91</v>
      </c>
      <c r="AN1258" t="s">
        <v>91</v>
      </c>
      <c r="AO1258" t="s">
        <v>91</v>
      </c>
      <c r="AP1258" t="s">
        <v>91</v>
      </c>
      <c r="AQ1258" s="1" t="s">
        <v>91</v>
      </c>
      <c r="AR1258" s="1" t="s">
        <v>91</v>
      </c>
      <c r="AS1258" s="1" t="s">
        <v>91</v>
      </c>
      <c r="AT1258" s="1" t="s">
        <v>91</v>
      </c>
      <c r="AU1258" s="1" t="s">
        <v>91</v>
      </c>
      <c r="AV1258" t="s">
        <v>91</v>
      </c>
      <c r="AW1258" t="s">
        <v>91</v>
      </c>
      <c r="AX1258" t="s">
        <v>91</v>
      </c>
      <c r="AY1258" t="s">
        <v>91</v>
      </c>
      <c r="AZ1258" t="s">
        <v>91</v>
      </c>
      <c r="BA1258" t="s">
        <v>91</v>
      </c>
      <c r="BB1258" s="2"/>
      <c r="BC1258" s="2"/>
      <c r="BD1258" t="s">
        <v>91</v>
      </c>
      <c r="BF1258" s="1" t="s">
        <v>75</v>
      </c>
      <c r="BG1258">
        <v>0</v>
      </c>
      <c r="BH1258">
        <v>0</v>
      </c>
      <c r="BI1258" s="1" t="s">
        <v>88</v>
      </c>
      <c r="BJ1258">
        <v>1</v>
      </c>
      <c r="BK1258" s="1" t="s">
        <v>89</v>
      </c>
      <c r="BL1258" t="s">
        <v>91</v>
      </c>
      <c r="BM1258" s="1" t="s">
        <v>109</v>
      </c>
      <c r="BN1258" s="1" t="s">
        <v>148</v>
      </c>
      <c r="BO1258" s="1" t="s">
        <v>1040</v>
      </c>
      <c r="BP1258" s="1" t="s">
        <v>91</v>
      </c>
      <c r="BQ1258" t="s">
        <v>91</v>
      </c>
      <c r="BR1258" s="3"/>
      <c r="BS1258" s="3"/>
      <c r="BT1258" t="s">
        <v>91</v>
      </c>
      <c r="BU1258" t="s">
        <v>91</v>
      </c>
      <c r="BV1258">
        <v>9</v>
      </c>
      <c r="BW1258" s="1" t="s">
        <v>255</v>
      </c>
    </row>
    <row r="1259" spans="1:75" hidden="1" x14ac:dyDescent="0.35">
      <c r="A1259">
        <v>156932</v>
      </c>
      <c r="B1259" s="1" t="s">
        <v>75</v>
      </c>
      <c r="C1259">
        <v>80</v>
      </c>
      <c r="D1259">
        <v>11121002</v>
      </c>
      <c r="E1259">
        <v>121002</v>
      </c>
      <c r="F1259" s="1" t="s">
        <v>2915</v>
      </c>
      <c r="G1259" s="1" t="s">
        <v>6830</v>
      </c>
      <c r="H1259">
        <v>0</v>
      </c>
      <c r="I1259" s="1" t="s">
        <v>78</v>
      </c>
      <c r="J1259" s="1" t="s">
        <v>6831</v>
      </c>
      <c r="K1259" s="1" t="s">
        <v>6832</v>
      </c>
      <c r="L1259" t="s">
        <v>91</v>
      </c>
      <c r="M1259" t="s">
        <v>91</v>
      </c>
      <c r="N1259" s="1" t="s">
        <v>6833</v>
      </c>
      <c r="O1259" t="s">
        <v>91</v>
      </c>
      <c r="P1259" s="1" t="s">
        <v>6834</v>
      </c>
      <c r="Q1259" s="1" t="s">
        <v>1949</v>
      </c>
      <c r="R1259" s="1" t="s">
        <v>91</v>
      </c>
      <c r="S1259">
        <v>1268</v>
      </c>
      <c r="T1259">
        <v>88770000</v>
      </c>
      <c r="U1259" s="1" t="s">
        <v>108</v>
      </c>
      <c r="V1259" s="1" t="s">
        <v>3541</v>
      </c>
      <c r="W1259" s="1" t="s">
        <v>87</v>
      </c>
      <c r="X1259">
        <v>48</v>
      </c>
      <c r="Y1259">
        <v>36430030</v>
      </c>
      <c r="Z1259" t="s">
        <v>91</v>
      </c>
      <c r="AA1259" t="s">
        <v>91</v>
      </c>
      <c r="AB1259" t="s">
        <v>91</v>
      </c>
      <c r="AC1259" t="s">
        <v>91</v>
      </c>
      <c r="AD1259" t="s">
        <v>91</v>
      </c>
      <c r="AE1259" t="s">
        <v>91</v>
      </c>
      <c r="AF1259" t="s">
        <v>91</v>
      </c>
      <c r="AG1259" s="1" t="s">
        <v>91</v>
      </c>
      <c r="AH1259" s="1" t="s">
        <v>91</v>
      </c>
      <c r="AI1259" t="s">
        <v>91</v>
      </c>
      <c r="AM1259" t="s">
        <v>91</v>
      </c>
      <c r="AN1259" t="s">
        <v>91</v>
      </c>
      <c r="AO1259" t="s">
        <v>91</v>
      </c>
      <c r="AP1259" t="s">
        <v>91</v>
      </c>
      <c r="AQ1259" s="1" t="s">
        <v>91</v>
      </c>
      <c r="AR1259" s="1" t="s">
        <v>91</v>
      </c>
      <c r="AS1259" s="1" t="s">
        <v>91</v>
      </c>
      <c r="AT1259" s="1" t="s">
        <v>91</v>
      </c>
      <c r="AU1259" s="1" t="s">
        <v>91</v>
      </c>
      <c r="AV1259" t="s">
        <v>91</v>
      </c>
      <c r="AW1259" t="s">
        <v>91</v>
      </c>
      <c r="AX1259" t="s">
        <v>91</v>
      </c>
      <c r="AY1259" t="s">
        <v>91</v>
      </c>
      <c r="AZ1259" t="s">
        <v>91</v>
      </c>
      <c r="BA1259" t="s">
        <v>91</v>
      </c>
      <c r="BB1259" s="2">
        <v>45113.505416666667</v>
      </c>
      <c r="BC1259" s="2"/>
      <c r="BD1259" t="s">
        <v>91</v>
      </c>
      <c r="BF1259" s="1" t="s">
        <v>75</v>
      </c>
      <c r="BI1259" s="1" t="s">
        <v>88</v>
      </c>
      <c r="BJ1259">
        <v>1</v>
      </c>
      <c r="BK1259" s="1" t="s">
        <v>89</v>
      </c>
      <c r="BL1259" t="s">
        <v>91</v>
      </c>
      <c r="BM1259" s="1" t="s">
        <v>91</v>
      </c>
      <c r="BN1259" s="1" t="s">
        <v>91</v>
      </c>
      <c r="BO1259" s="1" t="s">
        <v>91</v>
      </c>
      <c r="BP1259" s="1" t="s">
        <v>91</v>
      </c>
      <c r="BQ1259" t="s">
        <v>91</v>
      </c>
      <c r="BR1259" s="3">
        <v>45113</v>
      </c>
      <c r="BS1259" s="3"/>
      <c r="BT1259" t="s">
        <v>91</v>
      </c>
      <c r="BU1259" t="s">
        <v>91</v>
      </c>
      <c r="BW1259" s="1" t="s">
        <v>90</v>
      </c>
    </row>
    <row r="1260" spans="1:75" hidden="1" x14ac:dyDescent="0.35">
      <c r="A1260">
        <v>118686</v>
      </c>
      <c r="B1260" s="1" t="s">
        <v>75</v>
      </c>
      <c r="C1260">
        <v>80</v>
      </c>
      <c r="D1260">
        <v>11121002</v>
      </c>
      <c r="E1260">
        <v>121002</v>
      </c>
      <c r="F1260" s="1" t="s">
        <v>2915</v>
      </c>
      <c r="G1260" s="1" t="s">
        <v>6835</v>
      </c>
      <c r="I1260" s="1" t="s">
        <v>78</v>
      </c>
      <c r="J1260" s="1" t="s">
        <v>6836</v>
      </c>
      <c r="K1260" s="1" t="s">
        <v>6837</v>
      </c>
      <c r="L1260" t="s">
        <v>91</v>
      </c>
      <c r="M1260" t="s">
        <v>91</v>
      </c>
      <c r="N1260" s="1" t="s">
        <v>6838</v>
      </c>
      <c r="O1260" t="s">
        <v>91</v>
      </c>
      <c r="P1260" s="1" t="s">
        <v>1094</v>
      </c>
      <c r="Q1260" s="1" t="s">
        <v>186</v>
      </c>
      <c r="R1260" s="1" t="s">
        <v>91</v>
      </c>
      <c r="S1260">
        <v>1268</v>
      </c>
      <c r="T1260">
        <v>88750000</v>
      </c>
      <c r="U1260" s="1" t="s">
        <v>108</v>
      </c>
      <c r="V1260" s="1" t="s">
        <v>5656</v>
      </c>
      <c r="W1260" s="1" t="s">
        <v>87</v>
      </c>
      <c r="X1260">
        <v>48</v>
      </c>
      <c r="Y1260">
        <v>36583249</v>
      </c>
      <c r="Z1260" t="s">
        <v>91</v>
      </c>
      <c r="AA1260" t="s">
        <v>91</v>
      </c>
      <c r="AB1260" t="s">
        <v>91</v>
      </c>
      <c r="AC1260" t="s">
        <v>91</v>
      </c>
      <c r="AD1260" t="s">
        <v>91</v>
      </c>
      <c r="AE1260" t="s">
        <v>91</v>
      </c>
      <c r="AF1260" t="s">
        <v>91</v>
      </c>
      <c r="AG1260" s="1" t="s">
        <v>91</v>
      </c>
      <c r="AH1260" s="1" t="s">
        <v>91</v>
      </c>
      <c r="AI1260" t="s">
        <v>91</v>
      </c>
      <c r="AJ1260">
        <v>0</v>
      </c>
      <c r="AK1260">
        <v>0</v>
      </c>
      <c r="AL1260">
        <v>0</v>
      </c>
      <c r="AM1260" t="s">
        <v>91</v>
      </c>
      <c r="AN1260" t="s">
        <v>91</v>
      </c>
      <c r="AO1260" t="s">
        <v>91</v>
      </c>
      <c r="AP1260" t="s">
        <v>91</v>
      </c>
      <c r="AQ1260" s="1" t="s">
        <v>91</v>
      </c>
      <c r="AR1260" s="1" t="s">
        <v>91</v>
      </c>
      <c r="AS1260" s="1" t="s">
        <v>91</v>
      </c>
      <c r="AT1260" s="1" t="s">
        <v>91</v>
      </c>
      <c r="AU1260" s="1" t="s">
        <v>91</v>
      </c>
      <c r="AV1260" t="s">
        <v>91</v>
      </c>
      <c r="AW1260" t="s">
        <v>91</v>
      </c>
      <c r="AX1260" t="s">
        <v>91</v>
      </c>
      <c r="AY1260" t="s">
        <v>91</v>
      </c>
      <c r="AZ1260" t="s">
        <v>91</v>
      </c>
      <c r="BA1260" t="s">
        <v>91</v>
      </c>
      <c r="BB1260" s="2"/>
      <c r="BC1260" s="2"/>
      <c r="BD1260" t="s">
        <v>91</v>
      </c>
      <c r="BF1260" s="1" t="s">
        <v>75</v>
      </c>
      <c r="BG1260">
        <v>0</v>
      </c>
      <c r="BH1260">
        <v>0</v>
      </c>
      <c r="BI1260" s="1" t="s">
        <v>88</v>
      </c>
      <c r="BJ1260">
        <v>1</v>
      </c>
      <c r="BK1260" s="1" t="s">
        <v>89</v>
      </c>
      <c r="BL1260" t="s">
        <v>91</v>
      </c>
      <c r="BM1260" s="1" t="s">
        <v>109</v>
      </c>
      <c r="BN1260" s="1" t="s">
        <v>110</v>
      </c>
      <c r="BO1260" s="1" t="s">
        <v>128</v>
      </c>
      <c r="BP1260" s="1" t="s">
        <v>91</v>
      </c>
      <c r="BQ1260" t="s">
        <v>91</v>
      </c>
      <c r="BR1260" s="3"/>
      <c r="BS1260" s="3"/>
      <c r="BT1260" t="s">
        <v>91</v>
      </c>
      <c r="BU1260" t="s">
        <v>91</v>
      </c>
      <c r="BV1260">
        <v>9</v>
      </c>
      <c r="BW1260" s="1" t="s">
        <v>1038</v>
      </c>
    </row>
    <row r="1261" spans="1:75" hidden="1" x14ac:dyDescent="0.35">
      <c r="A1261">
        <v>144700</v>
      </c>
      <c r="B1261" s="1" t="s">
        <v>75</v>
      </c>
      <c r="C1261">
        <v>80</v>
      </c>
      <c r="D1261">
        <v>11121002</v>
      </c>
      <c r="E1261">
        <v>121002</v>
      </c>
      <c r="F1261" s="1" t="s">
        <v>2915</v>
      </c>
      <c r="G1261" s="1" t="s">
        <v>6839</v>
      </c>
      <c r="I1261" s="1" t="s">
        <v>78</v>
      </c>
      <c r="J1261" s="1" t="s">
        <v>6840</v>
      </c>
      <c r="K1261" s="1" t="s">
        <v>6841</v>
      </c>
      <c r="L1261" t="s">
        <v>91</v>
      </c>
      <c r="M1261" t="s">
        <v>91</v>
      </c>
      <c r="N1261" s="1" t="s">
        <v>3043</v>
      </c>
      <c r="O1261" t="s">
        <v>91</v>
      </c>
      <c r="P1261" s="1" t="s">
        <v>1794</v>
      </c>
      <c r="Q1261" s="1" t="s">
        <v>204</v>
      </c>
      <c r="R1261" s="1" t="s">
        <v>820</v>
      </c>
      <c r="S1261">
        <v>1269</v>
      </c>
      <c r="T1261">
        <v>88801530</v>
      </c>
      <c r="U1261" s="1" t="s">
        <v>108</v>
      </c>
      <c r="V1261" s="1" t="s">
        <v>2943</v>
      </c>
      <c r="W1261" s="1" t="s">
        <v>87</v>
      </c>
      <c r="X1261">
        <v>48</v>
      </c>
      <c r="Y1261">
        <v>34137576</v>
      </c>
      <c r="Z1261" t="s">
        <v>91</v>
      </c>
      <c r="AA1261" t="s">
        <v>91</v>
      </c>
      <c r="AB1261" t="s">
        <v>91</v>
      </c>
      <c r="AC1261" t="s">
        <v>91</v>
      </c>
      <c r="AD1261" t="s">
        <v>91</v>
      </c>
      <c r="AE1261" t="s">
        <v>91</v>
      </c>
      <c r="AF1261" t="s">
        <v>91</v>
      </c>
      <c r="AG1261" s="1" t="s">
        <v>91</v>
      </c>
      <c r="AH1261" s="1" t="s">
        <v>91</v>
      </c>
      <c r="AI1261" t="s">
        <v>91</v>
      </c>
      <c r="AM1261" t="s">
        <v>91</v>
      </c>
      <c r="AN1261" t="s">
        <v>91</v>
      </c>
      <c r="AO1261" t="s">
        <v>91</v>
      </c>
      <c r="AP1261" t="s">
        <v>91</v>
      </c>
      <c r="AQ1261" s="1" t="s">
        <v>91</v>
      </c>
      <c r="AR1261" s="1" t="s">
        <v>91</v>
      </c>
      <c r="AS1261" s="1" t="s">
        <v>91</v>
      </c>
      <c r="AT1261" s="1" t="s">
        <v>91</v>
      </c>
      <c r="AU1261" s="1" t="s">
        <v>91</v>
      </c>
      <c r="AV1261" t="s">
        <v>91</v>
      </c>
      <c r="AW1261" t="s">
        <v>91</v>
      </c>
      <c r="AX1261" t="s">
        <v>91</v>
      </c>
      <c r="AY1261" t="s">
        <v>91</v>
      </c>
      <c r="AZ1261" t="s">
        <v>91</v>
      </c>
      <c r="BA1261" t="s">
        <v>91</v>
      </c>
      <c r="BB1261" s="2"/>
      <c r="BC1261" s="2"/>
      <c r="BD1261" t="s">
        <v>91</v>
      </c>
      <c r="BF1261" s="1" t="s">
        <v>75</v>
      </c>
      <c r="BI1261" s="1" t="s">
        <v>88</v>
      </c>
      <c r="BJ1261">
        <v>1</v>
      </c>
      <c r="BK1261" s="1" t="s">
        <v>89</v>
      </c>
      <c r="BL1261" t="s">
        <v>91</v>
      </c>
      <c r="BM1261" s="1" t="s">
        <v>109</v>
      </c>
      <c r="BN1261" s="1" t="s">
        <v>110</v>
      </c>
      <c r="BO1261" s="1" t="s">
        <v>111</v>
      </c>
      <c r="BP1261" s="1" t="s">
        <v>91</v>
      </c>
      <c r="BQ1261" t="s">
        <v>91</v>
      </c>
      <c r="BR1261" s="3"/>
      <c r="BS1261" s="3"/>
      <c r="BT1261" t="s">
        <v>91</v>
      </c>
      <c r="BU1261" t="s">
        <v>91</v>
      </c>
      <c r="BV1261">
        <v>4</v>
      </c>
      <c r="BW1261" s="1" t="s">
        <v>6842</v>
      </c>
    </row>
    <row r="1262" spans="1:75" hidden="1" x14ac:dyDescent="0.35">
      <c r="A1262">
        <v>156954</v>
      </c>
      <c r="B1262" s="1" t="s">
        <v>75</v>
      </c>
      <c r="C1262">
        <v>80</v>
      </c>
      <c r="D1262">
        <v>11121002</v>
      </c>
      <c r="E1262">
        <v>121002</v>
      </c>
      <c r="F1262" s="1" t="s">
        <v>2915</v>
      </c>
      <c r="G1262" s="1" t="s">
        <v>6843</v>
      </c>
      <c r="H1262">
        <v>0</v>
      </c>
      <c r="I1262" s="1" t="s">
        <v>78</v>
      </c>
      <c r="J1262" s="1" t="s">
        <v>6844</v>
      </c>
      <c r="K1262" s="1" t="s">
        <v>6845</v>
      </c>
      <c r="L1262" t="s">
        <v>91</v>
      </c>
      <c r="M1262" t="s">
        <v>91</v>
      </c>
      <c r="N1262" s="1" t="s">
        <v>2231</v>
      </c>
      <c r="O1262" t="s">
        <v>91</v>
      </c>
      <c r="P1262" s="1" t="s">
        <v>6846</v>
      </c>
      <c r="Q1262" s="1" t="s">
        <v>1042</v>
      </c>
      <c r="R1262" s="1" t="s">
        <v>91</v>
      </c>
      <c r="T1262">
        <v>88108450</v>
      </c>
      <c r="U1262" s="1" t="s">
        <v>6847</v>
      </c>
      <c r="V1262" s="1" t="s">
        <v>2958</v>
      </c>
      <c r="W1262" s="1" t="s">
        <v>87</v>
      </c>
      <c r="X1262">
        <v>48</v>
      </c>
      <c r="Y1262">
        <v>30293542</v>
      </c>
      <c r="Z1262" t="s">
        <v>91</v>
      </c>
      <c r="AA1262" t="s">
        <v>91</v>
      </c>
      <c r="AB1262" t="s">
        <v>91</v>
      </c>
      <c r="AC1262" t="s">
        <v>91</v>
      </c>
      <c r="AD1262" t="s">
        <v>91</v>
      </c>
      <c r="AE1262" t="s">
        <v>91</v>
      </c>
      <c r="AF1262" t="s">
        <v>91</v>
      </c>
      <c r="AG1262" s="1" t="s">
        <v>91</v>
      </c>
      <c r="AH1262" s="1" t="s">
        <v>91</v>
      </c>
      <c r="AI1262" t="s">
        <v>91</v>
      </c>
      <c r="AM1262" t="s">
        <v>91</v>
      </c>
      <c r="AN1262" t="s">
        <v>91</v>
      </c>
      <c r="AO1262" t="s">
        <v>91</v>
      </c>
      <c r="AP1262" t="s">
        <v>91</v>
      </c>
      <c r="AQ1262" s="1" t="s">
        <v>91</v>
      </c>
      <c r="AR1262" s="1" t="s">
        <v>91</v>
      </c>
      <c r="AS1262" s="1" t="s">
        <v>91</v>
      </c>
      <c r="AT1262" s="1" t="s">
        <v>91</v>
      </c>
      <c r="AU1262" s="1" t="s">
        <v>91</v>
      </c>
      <c r="AV1262" t="s">
        <v>91</v>
      </c>
      <c r="AW1262" t="s">
        <v>91</v>
      </c>
      <c r="AX1262" t="s">
        <v>91</v>
      </c>
      <c r="AY1262" t="s">
        <v>91</v>
      </c>
      <c r="AZ1262" t="s">
        <v>91</v>
      </c>
      <c r="BA1262" t="s">
        <v>91</v>
      </c>
      <c r="BB1262" s="2">
        <v>45113.505416666667</v>
      </c>
      <c r="BC1262" s="2"/>
      <c r="BD1262" t="s">
        <v>91</v>
      </c>
      <c r="BF1262" s="1" t="s">
        <v>75</v>
      </c>
      <c r="BI1262" s="1" t="s">
        <v>88</v>
      </c>
      <c r="BJ1262">
        <v>1</v>
      </c>
      <c r="BK1262" s="1" t="s">
        <v>89</v>
      </c>
      <c r="BL1262" t="s">
        <v>91</v>
      </c>
      <c r="BM1262" s="1" t="s">
        <v>91</v>
      </c>
      <c r="BN1262" s="1" t="s">
        <v>91</v>
      </c>
      <c r="BO1262" s="1" t="s">
        <v>91</v>
      </c>
      <c r="BP1262" s="1" t="s">
        <v>91</v>
      </c>
      <c r="BQ1262" t="s">
        <v>91</v>
      </c>
      <c r="BR1262" s="3">
        <v>45113</v>
      </c>
      <c r="BS1262" s="3"/>
      <c r="BT1262" t="s">
        <v>91</v>
      </c>
      <c r="BU1262" t="s">
        <v>91</v>
      </c>
      <c r="BW1262" s="1" t="s">
        <v>90</v>
      </c>
    </row>
    <row r="1263" spans="1:75" hidden="1" x14ac:dyDescent="0.35">
      <c r="A1263">
        <v>144799</v>
      </c>
      <c r="B1263" s="1" t="s">
        <v>75</v>
      </c>
      <c r="C1263">
        <v>80</v>
      </c>
      <c r="D1263">
        <v>11121002</v>
      </c>
      <c r="E1263">
        <v>121002</v>
      </c>
      <c r="F1263" s="1" t="s">
        <v>2915</v>
      </c>
      <c r="G1263" s="1" t="s">
        <v>6848</v>
      </c>
      <c r="I1263" s="1" t="s">
        <v>78</v>
      </c>
      <c r="J1263" s="1" t="s">
        <v>6849</v>
      </c>
      <c r="K1263" s="1" t="s">
        <v>6850</v>
      </c>
      <c r="L1263" t="s">
        <v>91</v>
      </c>
      <c r="M1263" t="s">
        <v>91</v>
      </c>
      <c r="N1263" s="1" t="s">
        <v>6851</v>
      </c>
      <c r="O1263" t="s">
        <v>91</v>
      </c>
      <c r="P1263" s="1" t="s">
        <v>4485</v>
      </c>
      <c r="Q1263" s="1" t="s">
        <v>4814</v>
      </c>
      <c r="R1263" s="1" t="s">
        <v>236</v>
      </c>
      <c r="S1263">
        <v>1268</v>
      </c>
      <c r="T1263">
        <v>88790000</v>
      </c>
      <c r="U1263" s="1" t="s">
        <v>108</v>
      </c>
      <c r="V1263" s="1" t="s">
        <v>2971</v>
      </c>
      <c r="W1263" s="1" t="s">
        <v>87</v>
      </c>
      <c r="X1263">
        <v>51</v>
      </c>
      <c r="Y1263">
        <v>998325522</v>
      </c>
      <c r="Z1263" t="s">
        <v>91</v>
      </c>
      <c r="AA1263" t="s">
        <v>91</v>
      </c>
      <c r="AB1263" t="s">
        <v>91</v>
      </c>
      <c r="AC1263" t="s">
        <v>91</v>
      </c>
      <c r="AD1263" t="s">
        <v>91</v>
      </c>
      <c r="AE1263" t="s">
        <v>91</v>
      </c>
      <c r="AF1263" t="s">
        <v>91</v>
      </c>
      <c r="AG1263" s="1" t="s">
        <v>91</v>
      </c>
      <c r="AH1263" s="1" t="s">
        <v>91</v>
      </c>
      <c r="AI1263" t="s">
        <v>91</v>
      </c>
      <c r="AJ1263">
        <v>0</v>
      </c>
      <c r="AK1263">
        <v>0</v>
      </c>
      <c r="AL1263">
        <v>0</v>
      </c>
      <c r="AM1263" t="s">
        <v>91</v>
      </c>
      <c r="AN1263" t="s">
        <v>91</v>
      </c>
      <c r="AO1263" t="s">
        <v>91</v>
      </c>
      <c r="AP1263" t="s">
        <v>91</v>
      </c>
      <c r="AQ1263" s="1" t="s">
        <v>91</v>
      </c>
      <c r="AR1263" s="1" t="s">
        <v>91</v>
      </c>
      <c r="AS1263" s="1" t="s">
        <v>91</v>
      </c>
      <c r="AT1263" s="1" t="s">
        <v>91</v>
      </c>
      <c r="AU1263" s="1" t="s">
        <v>91</v>
      </c>
      <c r="AV1263" t="s">
        <v>91</v>
      </c>
      <c r="AW1263" t="s">
        <v>91</v>
      </c>
      <c r="AX1263" t="s">
        <v>91</v>
      </c>
      <c r="AY1263" t="s">
        <v>91</v>
      </c>
      <c r="AZ1263" t="s">
        <v>91</v>
      </c>
      <c r="BA1263" t="s">
        <v>91</v>
      </c>
      <c r="BB1263" s="2"/>
      <c r="BC1263" s="2"/>
      <c r="BD1263" t="s">
        <v>91</v>
      </c>
      <c r="BF1263" s="1" t="s">
        <v>75</v>
      </c>
      <c r="BG1263">
        <v>0</v>
      </c>
      <c r="BH1263">
        <v>0</v>
      </c>
      <c r="BI1263" s="1" t="s">
        <v>88</v>
      </c>
      <c r="BJ1263">
        <v>1</v>
      </c>
      <c r="BK1263" s="1" t="s">
        <v>89</v>
      </c>
      <c r="BL1263" t="s">
        <v>91</v>
      </c>
      <c r="BM1263" s="1" t="s">
        <v>109</v>
      </c>
      <c r="BN1263" s="1" t="s">
        <v>110</v>
      </c>
      <c r="BO1263" s="1" t="s">
        <v>128</v>
      </c>
      <c r="BP1263" s="1" t="s">
        <v>91</v>
      </c>
      <c r="BQ1263" t="s">
        <v>91</v>
      </c>
      <c r="BR1263" s="3"/>
      <c r="BS1263" s="3"/>
      <c r="BT1263" t="s">
        <v>91</v>
      </c>
      <c r="BU1263" t="s">
        <v>91</v>
      </c>
      <c r="BV1263">
        <v>9</v>
      </c>
      <c r="BW1263" s="1" t="s">
        <v>90</v>
      </c>
    </row>
    <row r="1264" spans="1:75" hidden="1" x14ac:dyDescent="0.35">
      <c r="A1264">
        <v>151575</v>
      </c>
      <c r="B1264" s="1" t="s">
        <v>75</v>
      </c>
      <c r="C1264">
        <v>80</v>
      </c>
      <c r="D1264">
        <v>11121002</v>
      </c>
      <c r="E1264">
        <v>121002</v>
      </c>
      <c r="F1264" s="1" t="s">
        <v>2915</v>
      </c>
      <c r="G1264" s="1" t="s">
        <v>6852</v>
      </c>
      <c r="H1264">
        <v>0</v>
      </c>
      <c r="I1264" s="1" t="s">
        <v>78</v>
      </c>
      <c r="J1264" s="1" t="s">
        <v>6853</v>
      </c>
      <c r="K1264" s="1" t="s">
        <v>6854</v>
      </c>
      <c r="L1264" t="s">
        <v>91</v>
      </c>
      <c r="M1264" t="s">
        <v>91</v>
      </c>
      <c r="N1264" s="1" t="s">
        <v>6855</v>
      </c>
      <c r="O1264" t="s">
        <v>91</v>
      </c>
      <c r="P1264" s="1" t="s">
        <v>873</v>
      </c>
      <c r="Q1264" s="1" t="s">
        <v>862</v>
      </c>
      <c r="R1264" s="1" t="s">
        <v>1248</v>
      </c>
      <c r="S1264">
        <v>1270</v>
      </c>
      <c r="T1264">
        <v>88960000</v>
      </c>
      <c r="U1264" s="1" t="s">
        <v>108</v>
      </c>
      <c r="V1264" s="1" t="s">
        <v>3694</v>
      </c>
      <c r="W1264" s="1" t="s">
        <v>87</v>
      </c>
      <c r="X1264">
        <v>48</v>
      </c>
      <c r="Y1264">
        <v>35334411</v>
      </c>
      <c r="Z1264" t="s">
        <v>91</v>
      </c>
      <c r="AA1264" t="s">
        <v>91</v>
      </c>
      <c r="AB1264" t="s">
        <v>91</v>
      </c>
      <c r="AC1264" t="s">
        <v>91</v>
      </c>
      <c r="AD1264" t="s">
        <v>91</v>
      </c>
      <c r="AE1264" t="s">
        <v>91</v>
      </c>
      <c r="AF1264" t="s">
        <v>91</v>
      </c>
      <c r="AG1264" s="1" t="s">
        <v>91</v>
      </c>
      <c r="AH1264" s="1" t="s">
        <v>91</v>
      </c>
      <c r="AI1264" t="s">
        <v>91</v>
      </c>
      <c r="AM1264" t="s">
        <v>91</v>
      </c>
      <c r="AN1264" t="s">
        <v>91</v>
      </c>
      <c r="AO1264" t="s">
        <v>91</v>
      </c>
      <c r="AP1264" t="s">
        <v>91</v>
      </c>
      <c r="AQ1264" s="1" t="s">
        <v>91</v>
      </c>
      <c r="AR1264" s="1" t="s">
        <v>91</v>
      </c>
      <c r="AS1264" s="1" t="s">
        <v>91</v>
      </c>
      <c r="AT1264" s="1" t="s">
        <v>91</v>
      </c>
      <c r="AU1264" s="1" t="s">
        <v>91</v>
      </c>
      <c r="AV1264" t="s">
        <v>91</v>
      </c>
      <c r="AW1264" t="s">
        <v>91</v>
      </c>
      <c r="AX1264" t="s">
        <v>91</v>
      </c>
      <c r="AY1264" t="s">
        <v>91</v>
      </c>
      <c r="AZ1264" t="s">
        <v>91</v>
      </c>
      <c r="BA1264" t="s">
        <v>91</v>
      </c>
      <c r="BB1264" s="2">
        <v>44862.597604166665</v>
      </c>
      <c r="BC1264" s="2"/>
      <c r="BD1264" t="s">
        <v>91</v>
      </c>
      <c r="BF1264" s="1" t="s">
        <v>75</v>
      </c>
      <c r="BI1264" s="1" t="s">
        <v>88</v>
      </c>
      <c r="BJ1264">
        <v>1</v>
      </c>
      <c r="BK1264" s="1" t="s">
        <v>89</v>
      </c>
      <c r="BL1264" t="s">
        <v>91</v>
      </c>
      <c r="BM1264" s="1" t="s">
        <v>91</v>
      </c>
      <c r="BN1264" s="1" t="s">
        <v>91</v>
      </c>
      <c r="BO1264" s="1" t="s">
        <v>91</v>
      </c>
      <c r="BP1264" s="1" t="s">
        <v>91</v>
      </c>
      <c r="BQ1264" t="s">
        <v>91</v>
      </c>
      <c r="BR1264" s="3">
        <v>44862</v>
      </c>
      <c r="BS1264" s="3"/>
      <c r="BT1264" t="s">
        <v>91</v>
      </c>
      <c r="BU1264" t="s">
        <v>91</v>
      </c>
      <c r="BW1264" s="1" t="s">
        <v>961</v>
      </c>
    </row>
    <row r="1265" spans="1:75" hidden="1" x14ac:dyDescent="0.35">
      <c r="A1265">
        <v>144863</v>
      </c>
      <c r="B1265" s="1" t="s">
        <v>75</v>
      </c>
      <c r="C1265">
        <v>80</v>
      </c>
      <c r="D1265">
        <v>11121002</v>
      </c>
      <c r="E1265">
        <v>121002</v>
      </c>
      <c r="F1265" s="1" t="s">
        <v>2915</v>
      </c>
      <c r="G1265" s="1" t="s">
        <v>6856</v>
      </c>
      <c r="I1265" s="1" t="s">
        <v>78</v>
      </c>
      <c r="J1265" s="1" t="s">
        <v>6857</v>
      </c>
      <c r="K1265" s="1" t="s">
        <v>6858</v>
      </c>
      <c r="L1265" t="s">
        <v>91</v>
      </c>
      <c r="M1265" t="s">
        <v>91</v>
      </c>
      <c r="N1265" s="1" t="s">
        <v>6859</v>
      </c>
      <c r="O1265" t="s">
        <v>91</v>
      </c>
      <c r="P1265" s="1" t="s">
        <v>6860</v>
      </c>
      <c r="Q1265" s="1" t="s">
        <v>3148</v>
      </c>
      <c r="R1265" s="1" t="s">
        <v>91</v>
      </c>
      <c r="S1265">
        <v>1270</v>
      </c>
      <c r="T1265">
        <v>88960000</v>
      </c>
      <c r="U1265" s="1" t="s">
        <v>108</v>
      </c>
      <c r="V1265" s="1" t="s">
        <v>3694</v>
      </c>
      <c r="W1265" s="1" t="s">
        <v>87</v>
      </c>
      <c r="X1265">
        <v>48</v>
      </c>
      <c r="Y1265">
        <v>998297571</v>
      </c>
      <c r="Z1265" t="s">
        <v>91</v>
      </c>
      <c r="AA1265" t="s">
        <v>91</v>
      </c>
      <c r="AB1265" t="s">
        <v>91</v>
      </c>
      <c r="AC1265" t="s">
        <v>91</v>
      </c>
      <c r="AD1265" t="s">
        <v>91</v>
      </c>
      <c r="AE1265" t="s">
        <v>91</v>
      </c>
      <c r="AF1265" t="s">
        <v>91</v>
      </c>
      <c r="AG1265" s="1" t="s">
        <v>91</v>
      </c>
      <c r="AH1265" s="1" t="s">
        <v>91</v>
      </c>
      <c r="AI1265" t="s">
        <v>91</v>
      </c>
      <c r="AM1265" t="s">
        <v>91</v>
      </c>
      <c r="AN1265" t="s">
        <v>91</v>
      </c>
      <c r="AO1265" t="s">
        <v>91</v>
      </c>
      <c r="AP1265" t="s">
        <v>91</v>
      </c>
      <c r="AQ1265" s="1" t="s">
        <v>91</v>
      </c>
      <c r="AR1265" s="1" t="s">
        <v>91</v>
      </c>
      <c r="AS1265" s="1" t="s">
        <v>91</v>
      </c>
      <c r="AT1265" s="1" t="s">
        <v>91</v>
      </c>
      <c r="AU1265" s="1" t="s">
        <v>91</v>
      </c>
      <c r="AV1265" t="s">
        <v>91</v>
      </c>
      <c r="AW1265" t="s">
        <v>91</v>
      </c>
      <c r="AX1265" t="s">
        <v>91</v>
      </c>
      <c r="AY1265" t="s">
        <v>91</v>
      </c>
      <c r="AZ1265" t="s">
        <v>91</v>
      </c>
      <c r="BA1265" t="s">
        <v>91</v>
      </c>
      <c r="BB1265" s="2"/>
      <c r="BC1265" s="2"/>
      <c r="BD1265" t="s">
        <v>91</v>
      </c>
      <c r="BF1265" s="1" t="s">
        <v>75</v>
      </c>
      <c r="BI1265" s="1" t="s">
        <v>88</v>
      </c>
      <c r="BJ1265">
        <v>1</v>
      </c>
      <c r="BK1265" s="1" t="s">
        <v>89</v>
      </c>
      <c r="BL1265" t="s">
        <v>91</v>
      </c>
      <c r="BM1265" s="1" t="s">
        <v>91</v>
      </c>
      <c r="BN1265" s="1" t="s">
        <v>91</v>
      </c>
      <c r="BO1265" s="1" t="s">
        <v>128</v>
      </c>
      <c r="BP1265" s="1" t="s">
        <v>91</v>
      </c>
      <c r="BQ1265" t="s">
        <v>91</v>
      </c>
      <c r="BR1265" s="3"/>
      <c r="BS1265" s="3"/>
      <c r="BT1265" t="s">
        <v>91</v>
      </c>
      <c r="BU1265" t="s">
        <v>91</v>
      </c>
      <c r="BW1265" s="1" t="s">
        <v>90</v>
      </c>
    </row>
    <row r="1266" spans="1:75" hidden="1" x14ac:dyDescent="0.35">
      <c r="A1266">
        <v>156943</v>
      </c>
      <c r="B1266" s="1" t="s">
        <v>75</v>
      </c>
      <c r="C1266">
        <v>80</v>
      </c>
      <c r="D1266">
        <v>11121002</v>
      </c>
      <c r="E1266">
        <v>121002</v>
      </c>
      <c r="F1266" s="1" t="s">
        <v>2915</v>
      </c>
      <c r="G1266" s="1" t="s">
        <v>6861</v>
      </c>
      <c r="H1266">
        <v>0</v>
      </c>
      <c r="I1266" s="1" t="s">
        <v>78</v>
      </c>
      <c r="J1266" s="1" t="s">
        <v>6862</v>
      </c>
      <c r="K1266" s="1" t="s">
        <v>6863</v>
      </c>
      <c r="L1266" t="s">
        <v>91</v>
      </c>
      <c r="M1266" t="s">
        <v>91</v>
      </c>
      <c r="N1266" s="1" t="s">
        <v>6864</v>
      </c>
      <c r="O1266" t="s">
        <v>91</v>
      </c>
      <c r="P1266" s="1" t="s">
        <v>6865</v>
      </c>
      <c r="Q1266" s="1" t="s">
        <v>3129</v>
      </c>
      <c r="R1266" s="1" t="s">
        <v>6866</v>
      </c>
      <c r="S1266">
        <v>1257</v>
      </c>
      <c r="T1266">
        <v>88032005</v>
      </c>
      <c r="U1266" s="1" t="s">
        <v>4347</v>
      </c>
      <c r="V1266" s="1" t="s">
        <v>2922</v>
      </c>
      <c r="W1266" s="1" t="s">
        <v>87</v>
      </c>
      <c r="X1266">
        <v>48</v>
      </c>
      <c r="Y1266">
        <v>996189363</v>
      </c>
      <c r="Z1266" t="s">
        <v>91</v>
      </c>
      <c r="AA1266" t="s">
        <v>91</v>
      </c>
      <c r="AB1266" t="s">
        <v>91</v>
      </c>
      <c r="AC1266" t="s">
        <v>91</v>
      </c>
      <c r="AD1266" t="s">
        <v>91</v>
      </c>
      <c r="AE1266" t="s">
        <v>91</v>
      </c>
      <c r="AF1266" t="s">
        <v>91</v>
      </c>
      <c r="AG1266" s="1" t="s">
        <v>91</v>
      </c>
      <c r="AH1266" s="1" t="s">
        <v>91</v>
      </c>
      <c r="AI1266" t="s">
        <v>91</v>
      </c>
      <c r="AM1266" t="s">
        <v>91</v>
      </c>
      <c r="AN1266" t="s">
        <v>91</v>
      </c>
      <c r="AO1266" t="s">
        <v>91</v>
      </c>
      <c r="AP1266" t="s">
        <v>91</v>
      </c>
      <c r="AQ1266" s="1" t="s">
        <v>91</v>
      </c>
      <c r="AR1266" s="1" t="s">
        <v>91</v>
      </c>
      <c r="AS1266" s="1" t="s">
        <v>91</v>
      </c>
      <c r="AT1266" s="1" t="s">
        <v>91</v>
      </c>
      <c r="AU1266" s="1" t="s">
        <v>91</v>
      </c>
      <c r="AV1266" t="s">
        <v>91</v>
      </c>
      <c r="AW1266" t="s">
        <v>91</v>
      </c>
      <c r="AX1266" t="s">
        <v>91</v>
      </c>
      <c r="AY1266" t="s">
        <v>91</v>
      </c>
      <c r="AZ1266" t="s">
        <v>91</v>
      </c>
      <c r="BA1266" t="s">
        <v>91</v>
      </c>
      <c r="BB1266" s="2">
        <v>45113.505416666667</v>
      </c>
      <c r="BC1266" s="2"/>
      <c r="BD1266" t="s">
        <v>91</v>
      </c>
      <c r="BF1266" s="1" t="s">
        <v>75</v>
      </c>
      <c r="BI1266" s="1" t="s">
        <v>88</v>
      </c>
      <c r="BJ1266">
        <v>1</v>
      </c>
      <c r="BK1266" s="1" t="s">
        <v>89</v>
      </c>
      <c r="BL1266" t="s">
        <v>91</v>
      </c>
      <c r="BM1266" s="1" t="s">
        <v>91</v>
      </c>
      <c r="BN1266" s="1" t="s">
        <v>91</v>
      </c>
      <c r="BO1266" s="1" t="s">
        <v>91</v>
      </c>
      <c r="BP1266" s="1" t="s">
        <v>91</v>
      </c>
      <c r="BQ1266" t="s">
        <v>91</v>
      </c>
      <c r="BR1266" s="3">
        <v>45113</v>
      </c>
      <c r="BS1266" s="3"/>
      <c r="BT1266" t="s">
        <v>91</v>
      </c>
      <c r="BU1266" t="s">
        <v>91</v>
      </c>
      <c r="BW1266" s="1" t="s">
        <v>3002</v>
      </c>
    </row>
    <row r="1267" spans="1:75" hidden="1" x14ac:dyDescent="0.35">
      <c r="A1267">
        <v>157773</v>
      </c>
      <c r="B1267" s="1" t="s">
        <v>75</v>
      </c>
      <c r="C1267">
        <v>80</v>
      </c>
      <c r="D1267">
        <v>11121004</v>
      </c>
      <c r="E1267">
        <v>121004</v>
      </c>
      <c r="F1267" s="1" t="s">
        <v>6867</v>
      </c>
      <c r="G1267" s="1" t="s">
        <v>6868</v>
      </c>
      <c r="H1267">
        <v>0</v>
      </c>
      <c r="I1267" s="1" t="s">
        <v>78</v>
      </c>
      <c r="J1267" s="1" t="s">
        <v>6869</v>
      </c>
      <c r="K1267" s="1" t="s">
        <v>6870</v>
      </c>
      <c r="L1267" t="s">
        <v>91</v>
      </c>
      <c r="M1267" t="s">
        <v>91</v>
      </c>
      <c r="N1267" s="1" t="s">
        <v>6871</v>
      </c>
      <c r="O1267" t="s">
        <v>91</v>
      </c>
      <c r="P1267" s="1" t="s">
        <v>6872</v>
      </c>
      <c r="Q1267" s="1" t="s">
        <v>6873</v>
      </c>
      <c r="R1267" s="1" t="s">
        <v>434</v>
      </c>
      <c r="T1267">
        <v>88301904</v>
      </c>
      <c r="U1267" s="1" t="s">
        <v>108</v>
      </c>
      <c r="V1267" s="1" t="s">
        <v>6874</v>
      </c>
      <c r="W1267" s="1" t="s">
        <v>87</v>
      </c>
      <c r="X1267">
        <v>47</v>
      </c>
      <c r="Y1267">
        <v>984629175</v>
      </c>
      <c r="Z1267" t="s">
        <v>91</v>
      </c>
      <c r="AA1267" t="s">
        <v>91</v>
      </c>
      <c r="AB1267" t="s">
        <v>91</v>
      </c>
      <c r="AC1267" t="s">
        <v>91</v>
      </c>
      <c r="AD1267" t="s">
        <v>91</v>
      </c>
      <c r="AE1267" t="s">
        <v>91</v>
      </c>
      <c r="AF1267" t="s">
        <v>91</v>
      </c>
      <c r="AG1267" s="1" t="s">
        <v>146</v>
      </c>
      <c r="AH1267" s="1" t="s">
        <v>91</v>
      </c>
      <c r="AI1267" t="s">
        <v>91</v>
      </c>
      <c r="AM1267" t="s">
        <v>91</v>
      </c>
      <c r="AN1267" t="s">
        <v>91</v>
      </c>
      <c r="AO1267" t="s">
        <v>91</v>
      </c>
      <c r="AP1267" t="s">
        <v>91</v>
      </c>
      <c r="AQ1267" s="1" t="s">
        <v>147</v>
      </c>
      <c r="AR1267" s="1" t="s">
        <v>147</v>
      </c>
      <c r="AS1267" s="1" t="s">
        <v>147</v>
      </c>
      <c r="AT1267" s="1" t="s">
        <v>147</v>
      </c>
      <c r="AU1267" s="1" t="s">
        <v>147</v>
      </c>
      <c r="AV1267" t="s">
        <v>91</v>
      </c>
      <c r="AW1267" t="s">
        <v>91</v>
      </c>
      <c r="AX1267" t="s">
        <v>91</v>
      </c>
      <c r="AY1267" t="s">
        <v>91</v>
      </c>
      <c r="AZ1267" t="s">
        <v>91</v>
      </c>
      <c r="BA1267" t="s">
        <v>91</v>
      </c>
      <c r="BB1267" s="2">
        <v>45118.101759259262</v>
      </c>
      <c r="BC1267" s="2">
        <v>45125.690844907411</v>
      </c>
      <c r="BD1267" t="s">
        <v>91</v>
      </c>
      <c r="BF1267" s="1" t="s">
        <v>75</v>
      </c>
      <c r="BH1267">
        <v>0</v>
      </c>
      <c r="BI1267" s="1" t="s">
        <v>721</v>
      </c>
      <c r="BJ1267">
        <v>1</v>
      </c>
      <c r="BK1267" s="1" t="s">
        <v>89</v>
      </c>
      <c r="BL1267" t="s">
        <v>91</v>
      </c>
      <c r="BM1267" s="1" t="s">
        <v>91</v>
      </c>
      <c r="BN1267" s="1" t="s">
        <v>91</v>
      </c>
      <c r="BO1267" s="1" t="s">
        <v>91</v>
      </c>
      <c r="BP1267" s="1" t="s">
        <v>91</v>
      </c>
      <c r="BQ1267" t="s">
        <v>91</v>
      </c>
      <c r="BR1267" s="3">
        <v>45118</v>
      </c>
      <c r="BS1267" s="3">
        <v>45125</v>
      </c>
      <c r="BT1267" t="s">
        <v>91</v>
      </c>
      <c r="BU1267" t="s">
        <v>91</v>
      </c>
      <c r="BW1267" s="1" t="s">
        <v>255</v>
      </c>
    </row>
    <row r="1268" spans="1:75" hidden="1" x14ac:dyDescent="0.35">
      <c r="A1268">
        <v>158717</v>
      </c>
      <c r="B1268" s="1" t="s">
        <v>75</v>
      </c>
      <c r="C1268">
        <v>80</v>
      </c>
      <c r="D1268">
        <v>11121004</v>
      </c>
      <c r="E1268">
        <v>121004</v>
      </c>
      <c r="F1268" s="1" t="s">
        <v>6867</v>
      </c>
      <c r="G1268" s="1" t="s">
        <v>6875</v>
      </c>
      <c r="I1268" s="1" t="s">
        <v>78</v>
      </c>
      <c r="J1268" s="1" t="s">
        <v>6876</v>
      </c>
      <c r="K1268" s="1" t="s">
        <v>6877</v>
      </c>
      <c r="L1268" t="s">
        <v>91</v>
      </c>
      <c r="M1268" t="s">
        <v>91</v>
      </c>
      <c r="N1268" s="1" t="s">
        <v>6878</v>
      </c>
      <c r="O1268" t="s">
        <v>91</v>
      </c>
      <c r="P1268" s="1" t="s">
        <v>6879</v>
      </c>
      <c r="Q1268" s="1" t="s">
        <v>6880</v>
      </c>
      <c r="R1268" s="1" t="s">
        <v>91</v>
      </c>
      <c r="T1268">
        <v>88303100</v>
      </c>
      <c r="U1268" s="1" t="s">
        <v>108</v>
      </c>
      <c r="V1268" s="1" t="s">
        <v>6881</v>
      </c>
      <c r="W1268" s="1" t="s">
        <v>87</v>
      </c>
      <c r="X1268">
        <v>47</v>
      </c>
      <c r="Y1268">
        <v>99263611</v>
      </c>
      <c r="Z1268" t="s">
        <v>91</v>
      </c>
      <c r="AA1268" t="s">
        <v>91</v>
      </c>
      <c r="AB1268" t="s">
        <v>91</v>
      </c>
      <c r="AC1268" t="s">
        <v>91</v>
      </c>
      <c r="AD1268" t="s">
        <v>91</v>
      </c>
      <c r="AE1268" t="s">
        <v>91</v>
      </c>
      <c r="AF1268" t="s">
        <v>91</v>
      </c>
      <c r="AG1268" s="1" t="s">
        <v>91</v>
      </c>
      <c r="AH1268" s="1" t="s">
        <v>91</v>
      </c>
      <c r="AI1268" t="s">
        <v>91</v>
      </c>
      <c r="AM1268" t="s">
        <v>91</v>
      </c>
      <c r="AN1268" t="s">
        <v>91</v>
      </c>
      <c r="AO1268" t="s">
        <v>91</v>
      </c>
      <c r="AP1268" t="s">
        <v>91</v>
      </c>
      <c r="AQ1268" s="1" t="s">
        <v>91</v>
      </c>
      <c r="AR1268" s="1" t="s">
        <v>91</v>
      </c>
      <c r="AS1268" s="1" t="s">
        <v>91</v>
      </c>
      <c r="AT1268" s="1" t="s">
        <v>91</v>
      </c>
      <c r="AU1268" s="1" t="s">
        <v>91</v>
      </c>
      <c r="AV1268" t="s">
        <v>91</v>
      </c>
      <c r="AW1268" t="s">
        <v>91</v>
      </c>
      <c r="AX1268" t="s">
        <v>91</v>
      </c>
      <c r="AY1268" t="s">
        <v>91</v>
      </c>
      <c r="AZ1268" t="s">
        <v>91</v>
      </c>
      <c r="BA1268" t="s">
        <v>91</v>
      </c>
      <c r="BB1268" s="2">
        <v>45155.700069444443</v>
      </c>
      <c r="BC1268" s="2"/>
      <c r="BD1268" t="s">
        <v>91</v>
      </c>
      <c r="BF1268" s="1" t="s">
        <v>75</v>
      </c>
      <c r="BI1268" s="1" t="s">
        <v>88</v>
      </c>
      <c r="BJ1268">
        <v>1</v>
      </c>
      <c r="BK1268" s="1" t="s">
        <v>89</v>
      </c>
      <c r="BL1268" t="s">
        <v>91</v>
      </c>
      <c r="BM1268" s="1" t="s">
        <v>91</v>
      </c>
      <c r="BN1268" s="1" t="s">
        <v>91</v>
      </c>
      <c r="BO1268" s="1" t="s">
        <v>91</v>
      </c>
      <c r="BP1268" s="1" t="s">
        <v>91</v>
      </c>
      <c r="BQ1268" t="s">
        <v>91</v>
      </c>
      <c r="BR1268" s="3">
        <v>45155</v>
      </c>
      <c r="BS1268" s="3"/>
      <c r="BT1268" t="s">
        <v>91</v>
      </c>
      <c r="BU1268" t="s">
        <v>91</v>
      </c>
      <c r="BW1268" s="1" t="s">
        <v>90</v>
      </c>
    </row>
    <row r="1269" spans="1:75" hidden="1" x14ac:dyDescent="0.35">
      <c r="A1269">
        <v>157756</v>
      </c>
      <c r="B1269" s="1" t="s">
        <v>75</v>
      </c>
      <c r="C1269">
        <v>80</v>
      </c>
      <c r="D1269">
        <v>11121004</v>
      </c>
      <c r="E1269">
        <v>121004</v>
      </c>
      <c r="F1269" s="1" t="s">
        <v>6867</v>
      </c>
      <c r="G1269" s="1" t="s">
        <v>6882</v>
      </c>
      <c r="H1269">
        <v>0</v>
      </c>
      <c r="I1269" s="1" t="s">
        <v>78</v>
      </c>
      <c r="J1269" s="1" t="s">
        <v>6883</v>
      </c>
      <c r="K1269" s="1" t="s">
        <v>6884</v>
      </c>
      <c r="L1269" t="s">
        <v>91</v>
      </c>
      <c r="M1269" t="s">
        <v>91</v>
      </c>
      <c r="N1269" s="1" t="s">
        <v>91</v>
      </c>
      <c r="O1269" t="s">
        <v>91</v>
      </c>
      <c r="P1269" s="1" t="s">
        <v>611</v>
      </c>
      <c r="Q1269" s="1" t="s">
        <v>6885</v>
      </c>
      <c r="R1269" s="1" t="s">
        <v>833</v>
      </c>
      <c r="S1269">
        <v>1271</v>
      </c>
      <c r="T1269">
        <v>89010003</v>
      </c>
      <c r="U1269" s="1" t="s">
        <v>108</v>
      </c>
      <c r="V1269" s="1" t="s">
        <v>3571</v>
      </c>
      <c r="W1269" s="1" t="s">
        <v>87</v>
      </c>
      <c r="X1269">
        <v>47</v>
      </c>
      <c r="Y1269">
        <v>32095727</v>
      </c>
      <c r="Z1269" t="s">
        <v>91</v>
      </c>
      <c r="AA1269" t="s">
        <v>91</v>
      </c>
      <c r="AB1269" t="s">
        <v>91</v>
      </c>
      <c r="AC1269" t="s">
        <v>91</v>
      </c>
      <c r="AD1269" t="s">
        <v>91</v>
      </c>
      <c r="AE1269" t="s">
        <v>91</v>
      </c>
      <c r="AF1269" t="s">
        <v>91</v>
      </c>
      <c r="AG1269" s="1" t="s">
        <v>91</v>
      </c>
      <c r="AH1269" s="1" t="s">
        <v>91</v>
      </c>
      <c r="AI1269" t="s">
        <v>91</v>
      </c>
      <c r="AM1269" t="s">
        <v>91</v>
      </c>
      <c r="AN1269" t="s">
        <v>91</v>
      </c>
      <c r="AO1269" t="s">
        <v>91</v>
      </c>
      <c r="AP1269" t="s">
        <v>91</v>
      </c>
      <c r="AQ1269" s="1" t="s">
        <v>91</v>
      </c>
      <c r="AR1269" s="1" t="s">
        <v>91</v>
      </c>
      <c r="AS1269" s="1" t="s">
        <v>91</v>
      </c>
      <c r="AT1269" s="1" t="s">
        <v>91</v>
      </c>
      <c r="AU1269" s="1" t="s">
        <v>91</v>
      </c>
      <c r="AV1269" t="s">
        <v>91</v>
      </c>
      <c r="AW1269" t="s">
        <v>91</v>
      </c>
      <c r="AX1269" t="s">
        <v>91</v>
      </c>
      <c r="AY1269" t="s">
        <v>91</v>
      </c>
      <c r="AZ1269" t="s">
        <v>91</v>
      </c>
      <c r="BA1269" t="s">
        <v>91</v>
      </c>
      <c r="BB1269" s="2">
        <v>45118.101759259262</v>
      </c>
      <c r="BC1269" s="2"/>
      <c r="BD1269" t="s">
        <v>91</v>
      </c>
      <c r="BF1269" s="1" t="s">
        <v>75</v>
      </c>
      <c r="BI1269" s="1" t="s">
        <v>88</v>
      </c>
      <c r="BJ1269">
        <v>1</v>
      </c>
      <c r="BK1269" s="1" t="s">
        <v>89</v>
      </c>
      <c r="BL1269" t="s">
        <v>91</v>
      </c>
      <c r="BM1269" s="1" t="s">
        <v>91</v>
      </c>
      <c r="BN1269" s="1" t="s">
        <v>91</v>
      </c>
      <c r="BO1269" s="1" t="s">
        <v>91</v>
      </c>
      <c r="BP1269" s="1" t="s">
        <v>91</v>
      </c>
      <c r="BQ1269" t="s">
        <v>91</v>
      </c>
      <c r="BR1269" s="3">
        <v>45118</v>
      </c>
      <c r="BS1269" s="3"/>
      <c r="BT1269" t="s">
        <v>91</v>
      </c>
      <c r="BU1269" t="s">
        <v>91</v>
      </c>
      <c r="BW1269" s="1" t="s">
        <v>90</v>
      </c>
    </row>
    <row r="1270" spans="1:75" hidden="1" x14ac:dyDescent="0.35">
      <c r="A1270">
        <v>137512</v>
      </c>
      <c r="B1270" s="1" t="s">
        <v>75</v>
      </c>
      <c r="C1270">
        <v>80</v>
      </c>
      <c r="D1270">
        <v>11121004</v>
      </c>
      <c r="E1270">
        <v>121004</v>
      </c>
      <c r="F1270" s="1" t="s">
        <v>6867</v>
      </c>
      <c r="G1270" s="1" t="s">
        <v>6886</v>
      </c>
      <c r="H1270">
        <v>0</v>
      </c>
      <c r="I1270" s="1" t="s">
        <v>78</v>
      </c>
      <c r="J1270" s="1" t="s">
        <v>6887</v>
      </c>
      <c r="K1270" s="1" t="s">
        <v>6888</v>
      </c>
      <c r="L1270" t="s">
        <v>91</v>
      </c>
      <c r="M1270" t="s">
        <v>91</v>
      </c>
      <c r="N1270" s="1" t="s">
        <v>6889</v>
      </c>
      <c r="O1270" t="s">
        <v>91</v>
      </c>
      <c r="P1270" s="1" t="s">
        <v>6890</v>
      </c>
      <c r="Q1270" s="1" t="s">
        <v>6891</v>
      </c>
      <c r="R1270" s="1" t="s">
        <v>91</v>
      </c>
      <c r="S1270">
        <v>1261</v>
      </c>
      <c r="T1270">
        <v>88301360</v>
      </c>
      <c r="U1270" s="1" t="s">
        <v>108</v>
      </c>
      <c r="V1270" s="1" t="s">
        <v>6874</v>
      </c>
      <c r="W1270" s="1" t="s">
        <v>87</v>
      </c>
      <c r="X1270">
        <v>47</v>
      </c>
      <c r="Y1270">
        <v>33497848</v>
      </c>
      <c r="Z1270" t="s">
        <v>91</v>
      </c>
      <c r="AA1270" t="s">
        <v>91</v>
      </c>
      <c r="AB1270" t="s">
        <v>91</v>
      </c>
      <c r="AC1270" t="s">
        <v>91</v>
      </c>
      <c r="AD1270" t="s">
        <v>91</v>
      </c>
      <c r="AE1270" t="s">
        <v>91</v>
      </c>
      <c r="AF1270" t="s">
        <v>91</v>
      </c>
      <c r="AG1270" s="1" t="s">
        <v>146</v>
      </c>
      <c r="AH1270" s="1" t="s">
        <v>91</v>
      </c>
      <c r="AI1270" t="s">
        <v>91</v>
      </c>
      <c r="AM1270" t="s">
        <v>91</v>
      </c>
      <c r="AN1270" t="s">
        <v>91</v>
      </c>
      <c r="AO1270" t="s">
        <v>91</v>
      </c>
      <c r="AP1270" t="s">
        <v>91</v>
      </c>
      <c r="AQ1270" s="1" t="s">
        <v>147</v>
      </c>
      <c r="AR1270" s="1" t="s">
        <v>147</v>
      </c>
      <c r="AS1270" s="1" t="s">
        <v>147</v>
      </c>
      <c r="AT1270" s="1" t="s">
        <v>147</v>
      </c>
      <c r="AU1270" s="1" t="s">
        <v>147</v>
      </c>
      <c r="AV1270" t="s">
        <v>91</v>
      </c>
      <c r="AW1270" t="s">
        <v>91</v>
      </c>
      <c r="AX1270" t="s">
        <v>91</v>
      </c>
      <c r="AY1270" t="s">
        <v>91</v>
      </c>
      <c r="AZ1270" t="s">
        <v>91</v>
      </c>
      <c r="BA1270" t="s">
        <v>91</v>
      </c>
      <c r="BB1270" s="2">
        <v>44378.578518518516</v>
      </c>
      <c r="BC1270" s="2">
        <v>45119.453518518516</v>
      </c>
      <c r="BD1270" t="s">
        <v>91</v>
      </c>
      <c r="BF1270" s="1" t="s">
        <v>75</v>
      </c>
      <c r="BH1270">
        <v>0</v>
      </c>
      <c r="BI1270" s="1" t="s">
        <v>721</v>
      </c>
      <c r="BJ1270">
        <v>1</v>
      </c>
      <c r="BK1270" s="1" t="s">
        <v>89</v>
      </c>
      <c r="BL1270" t="s">
        <v>91</v>
      </c>
      <c r="BM1270" s="1" t="s">
        <v>109</v>
      </c>
      <c r="BN1270" s="1" t="s">
        <v>110</v>
      </c>
      <c r="BO1270" s="1" t="s">
        <v>1040</v>
      </c>
      <c r="BP1270" s="1" t="s">
        <v>91</v>
      </c>
      <c r="BQ1270" t="s">
        <v>91</v>
      </c>
      <c r="BR1270" s="3">
        <v>44378</v>
      </c>
      <c r="BS1270" s="3">
        <v>45119</v>
      </c>
      <c r="BT1270" t="s">
        <v>91</v>
      </c>
      <c r="BU1270" t="s">
        <v>91</v>
      </c>
      <c r="BW1270" s="1" t="s">
        <v>2774</v>
      </c>
    </row>
    <row r="1271" spans="1:75" hidden="1" x14ac:dyDescent="0.35">
      <c r="A1271">
        <v>137513</v>
      </c>
      <c r="B1271" s="1" t="s">
        <v>75</v>
      </c>
      <c r="C1271">
        <v>80</v>
      </c>
      <c r="D1271">
        <v>11121004</v>
      </c>
      <c r="E1271">
        <v>121004</v>
      </c>
      <c r="F1271" s="1" t="s">
        <v>6867</v>
      </c>
      <c r="G1271" s="1" t="s">
        <v>6892</v>
      </c>
      <c r="H1271">
        <v>0</v>
      </c>
      <c r="I1271" s="1" t="s">
        <v>78</v>
      </c>
      <c r="J1271" s="1" t="s">
        <v>6893</v>
      </c>
      <c r="K1271" s="1" t="s">
        <v>6894</v>
      </c>
      <c r="L1271" t="s">
        <v>91</v>
      </c>
      <c r="M1271" t="s">
        <v>91</v>
      </c>
      <c r="N1271" s="1" t="s">
        <v>6895</v>
      </c>
      <c r="O1271" t="s">
        <v>91</v>
      </c>
      <c r="P1271" s="1" t="s">
        <v>6896</v>
      </c>
      <c r="Q1271" s="1" t="s">
        <v>6897</v>
      </c>
      <c r="R1271" s="1" t="s">
        <v>236</v>
      </c>
      <c r="S1271">
        <v>1262</v>
      </c>
      <c r="T1271">
        <v>88330083</v>
      </c>
      <c r="U1271" s="1" t="s">
        <v>108</v>
      </c>
      <c r="V1271" s="1" t="s">
        <v>6898</v>
      </c>
      <c r="W1271" s="1" t="s">
        <v>87</v>
      </c>
      <c r="X1271">
        <v>47</v>
      </c>
      <c r="Y1271">
        <v>32682320</v>
      </c>
      <c r="Z1271" t="s">
        <v>91</v>
      </c>
      <c r="AA1271" t="s">
        <v>91</v>
      </c>
      <c r="AB1271" t="s">
        <v>91</v>
      </c>
      <c r="AC1271" t="s">
        <v>91</v>
      </c>
      <c r="AD1271" t="s">
        <v>91</v>
      </c>
      <c r="AE1271" t="s">
        <v>91</v>
      </c>
      <c r="AF1271" t="s">
        <v>91</v>
      </c>
      <c r="AG1271" s="1" t="s">
        <v>146</v>
      </c>
      <c r="AH1271" s="1" t="s">
        <v>91</v>
      </c>
      <c r="AI1271" t="s">
        <v>91</v>
      </c>
      <c r="AM1271" t="s">
        <v>91</v>
      </c>
      <c r="AN1271" t="s">
        <v>91</v>
      </c>
      <c r="AO1271" t="s">
        <v>91</v>
      </c>
      <c r="AP1271" t="s">
        <v>91</v>
      </c>
      <c r="AQ1271" s="1" t="s">
        <v>147</v>
      </c>
      <c r="AR1271" s="1" t="s">
        <v>147</v>
      </c>
      <c r="AS1271" s="1" t="s">
        <v>147</v>
      </c>
      <c r="AT1271" s="1" t="s">
        <v>147</v>
      </c>
      <c r="AU1271" s="1" t="s">
        <v>147</v>
      </c>
      <c r="AV1271" t="s">
        <v>91</v>
      </c>
      <c r="AW1271" t="s">
        <v>91</v>
      </c>
      <c r="AX1271" t="s">
        <v>91</v>
      </c>
      <c r="AY1271" t="s">
        <v>91</v>
      </c>
      <c r="AZ1271" t="s">
        <v>91</v>
      </c>
      <c r="BA1271" t="s">
        <v>91</v>
      </c>
      <c r="BB1271" s="2">
        <v>44378.578518518516</v>
      </c>
      <c r="BC1271" s="2">
        <v>45119.453229166669</v>
      </c>
      <c r="BD1271" t="s">
        <v>91</v>
      </c>
      <c r="BF1271" s="1" t="s">
        <v>75</v>
      </c>
      <c r="BH1271">
        <v>0</v>
      </c>
      <c r="BI1271" s="1" t="s">
        <v>721</v>
      </c>
      <c r="BJ1271">
        <v>1</v>
      </c>
      <c r="BK1271" s="1" t="s">
        <v>89</v>
      </c>
      <c r="BL1271" t="s">
        <v>91</v>
      </c>
      <c r="BM1271" s="1" t="s">
        <v>109</v>
      </c>
      <c r="BN1271" s="1" t="s">
        <v>148</v>
      </c>
      <c r="BO1271" s="1" t="s">
        <v>128</v>
      </c>
      <c r="BP1271" s="1" t="s">
        <v>91</v>
      </c>
      <c r="BQ1271" t="s">
        <v>91</v>
      </c>
      <c r="BR1271" s="3">
        <v>44378</v>
      </c>
      <c r="BS1271" s="3">
        <v>45119</v>
      </c>
      <c r="BT1271" t="s">
        <v>91</v>
      </c>
      <c r="BU1271" t="s">
        <v>91</v>
      </c>
      <c r="BW1271" s="1" t="s">
        <v>295</v>
      </c>
    </row>
    <row r="1272" spans="1:75" hidden="1" x14ac:dyDescent="0.35">
      <c r="A1272">
        <v>140103</v>
      </c>
      <c r="B1272" s="1" t="s">
        <v>75</v>
      </c>
      <c r="C1272">
        <v>80</v>
      </c>
      <c r="D1272">
        <v>11121004</v>
      </c>
      <c r="E1272">
        <v>121004</v>
      </c>
      <c r="F1272" s="1" t="s">
        <v>6867</v>
      </c>
      <c r="G1272" s="1" t="s">
        <v>6899</v>
      </c>
      <c r="H1272">
        <v>0</v>
      </c>
      <c r="I1272" s="1" t="s">
        <v>78</v>
      </c>
      <c r="J1272" s="1" t="s">
        <v>6900</v>
      </c>
      <c r="K1272" s="1" t="s">
        <v>6901</v>
      </c>
      <c r="L1272" t="s">
        <v>91</v>
      </c>
      <c r="M1272" t="s">
        <v>91</v>
      </c>
      <c r="N1272" s="1" t="s">
        <v>6902</v>
      </c>
      <c r="O1272" t="s">
        <v>91</v>
      </c>
      <c r="P1272" s="1" t="s">
        <v>6903</v>
      </c>
      <c r="Q1272" s="1" t="s">
        <v>6904</v>
      </c>
      <c r="R1272" s="1" t="s">
        <v>6905</v>
      </c>
      <c r="S1272">
        <v>1260</v>
      </c>
      <c r="T1272">
        <v>88200000</v>
      </c>
      <c r="U1272" s="1" t="s">
        <v>108</v>
      </c>
      <c r="V1272" s="1" t="s">
        <v>6906</v>
      </c>
      <c r="W1272" s="1" t="s">
        <v>87</v>
      </c>
      <c r="X1272">
        <v>48</v>
      </c>
      <c r="Y1272">
        <v>32634091</v>
      </c>
      <c r="Z1272" t="s">
        <v>91</v>
      </c>
      <c r="AA1272" t="s">
        <v>91</v>
      </c>
      <c r="AB1272" t="s">
        <v>91</v>
      </c>
      <c r="AC1272" t="s">
        <v>91</v>
      </c>
      <c r="AD1272" t="s">
        <v>91</v>
      </c>
      <c r="AE1272" t="s">
        <v>91</v>
      </c>
      <c r="AF1272" t="s">
        <v>91</v>
      </c>
      <c r="AG1272" s="1" t="s">
        <v>146</v>
      </c>
      <c r="AH1272" s="1" t="s">
        <v>91</v>
      </c>
      <c r="AI1272" t="s">
        <v>91</v>
      </c>
      <c r="AM1272" t="s">
        <v>91</v>
      </c>
      <c r="AN1272" t="s">
        <v>91</v>
      </c>
      <c r="AO1272" t="s">
        <v>91</v>
      </c>
      <c r="AP1272" t="s">
        <v>91</v>
      </c>
      <c r="AQ1272" s="1" t="s">
        <v>147</v>
      </c>
      <c r="AR1272" s="1" t="s">
        <v>147</v>
      </c>
      <c r="AS1272" s="1" t="s">
        <v>147</v>
      </c>
      <c r="AT1272" s="1" t="s">
        <v>147</v>
      </c>
      <c r="AU1272" s="1" t="s">
        <v>147</v>
      </c>
      <c r="AV1272" t="s">
        <v>91</v>
      </c>
      <c r="AW1272" t="s">
        <v>91</v>
      </c>
      <c r="AX1272" t="s">
        <v>91</v>
      </c>
      <c r="AY1272" t="s">
        <v>91</v>
      </c>
      <c r="AZ1272" t="s">
        <v>91</v>
      </c>
      <c r="BA1272" t="s">
        <v>91</v>
      </c>
      <c r="BB1272" s="2">
        <v>44445.808506944442</v>
      </c>
      <c r="BC1272" s="2">
        <v>44923.646215277775</v>
      </c>
      <c r="BD1272" t="s">
        <v>91</v>
      </c>
      <c r="BF1272" s="1" t="s">
        <v>75</v>
      </c>
      <c r="BH1272">
        <v>0</v>
      </c>
      <c r="BI1272" s="1" t="s">
        <v>88</v>
      </c>
      <c r="BJ1272">
        <v>1</v>
      </c>
      <c r="BK1272" s="1" t="s">
        <v>89</v>
      </c>
      <c r="BL1272" t="s">
        <v>91</v>
      </c>
      <c r="BM1272" s="1" t="s">
        <v>109</v>
      </c>
      <c r="BN1272" s="1" t="s">
        <v>110</v>
      </c>
      <c r="BO1272" s="1" t="s">
        <v>165</v>
      </c>
      <c r="BP1272" s="1" t="s">
        <v>91</v>
      </c>
      <c r="BQ1272" t="s">
        <v>91</v>
      </c>
      <c r="BR1272" s="3">
        <v>44445</v>
      </c>
      <c r="BS1272" s="3">
        <v>44923</v>
      </c>
      <c r="BT1272" t="s">
        <v>91</v>
      </c>
      <c r="BU1272" t="s">
        <v>91</v>
      </c>
      <c r="BW1272" s="1" t="s">
        <v>4943</v>
      </c>
    </row>
    <row r="1273" spans="1:75" hidden="1" x14ac:dyDescent="0.35">
      <c r="A1273">
        <v>137514</v>
      </c>
      <c r="B1273" s="1" t="s">
        <v>75</v>
      </c>
      <c r="C1273">
        <v>80</v>
      </c>
      <c r="D1273">
        <v>11121004</v>
      </c>
      <c r="E1273">
        <v>121004</v>
      </c>
      <c r="F1273" s="1" t="s">
        <v>6867</v>
      </c>
      <c r="G1273" s="1" t="s">
        <v>6907</v>
      </c>
      <c r="H1273">
        <v>0</v>
      </c>
      <c r="I1273" s="1" t="s">
        <v>78</v>
      </c>
      <c r="J1273" s="1" t="s">
        <v>6908</v>
      </c>
      <c r="K1273" s="1" t="s">
        <v>6909</v>
      </c>
      <c r="L1273" t="s">
        <v>91</v>
      </c>
      <c r="M1273" t="s">
        <v>91</v>
      </c>
      <c r="N1273" s="1" t="s">
        <v>6910</v>
      </c>
      <c r="O1273" t="s">
        <v>91</v>
      </c>
      <c r="P1273" s="1" t="s">
        <v>6911</v>
      </c>
      <c r="Q1273" s="1" t="s">
        <v>6912</v>
      </c>
      <c r="R1273" s="1" t="s">
        <v>91</v>
      </c>
      <c r="S1273">
        <v>1263</v>
      </c>
      <c r="T1273">
        <v>88390000</v>
      </c>
      <c r="U1273" s="1" t="s">
        <v>108</v>
      </c>
      <c r="V1273" s="1" t="s">
        <v>6913</v>
      </c>
      <c r="W1273" s="1" t="s">
        <v>87</v>
      </c>
      <c r="X1273">
        <v>47</v>
      </c>
      <c r="Y1273">
        <v>34560947</v>
      </c>
      <c r="Z1273" t="s">
        <v>91</v>
      </c>
      <c r="AA1273" t="s">
        <v>91</v>
      </c>
      <c r="AB1273" t="s">
        <v>91</v>
      </c>
      <c r="AC1273" t="s">
        <v>91</v>
      </c>
      <c r="AD1273" t="s">
        <v>91</v>
      </c>
      <c r="AE1273" t="s">
        <v>91</v>
      </c>
      <c r="AF1273" t="s">
        <v>91</v>
      </c>
      <c r="AG1273" s="1" t="s">
        <v>146</v>
      </c>
      <c r="AH1273" s="1" t="s">
        <v>91</v>
      </c>
      <c r="AI1273" t="s">
        <v>91</v>
      </c>
      <c r="AM1273" t="s">
        <v>91</v>
      </c>
      <c r="AN1273" t="s">
        <v>91</v>
      </c>
      <c r="AO1273" t="s">
        <v>91</v>
      </c>
      <c r="AP1273" t="s">
        <v>91</v>
      </c>
      <c r="AQ1273" s="1" t="s">
        <v>147</v>
      </c>
      <c r="AR1273" s="1" t="s">
        <v>147</v>
      </c>
      <c r="AS1273" s="1" t="s">
        <v>147</v>
      </c>
      <c r="AT1273" s="1" t="s">
        <v>147</v>
      </c>
      <c r="AU1273" s="1" t="s">
        <v>147</v>
      </c>
      <c r="AV1273" t="s">
        <v>91</v>
      </c>
      <c r="AW1273" t="s">
        <v>91</v>
      </c>
      <c r="AX1273" t="s">
        <v>91</v>
      </c>
      <c r="AY1273" t="s">
        <v>91</v>
      </c>
      <c r="AZ1273" t="s">
        <v>91</v>
      </c>
      <c r="BA1273" t="s">
        <v>91</v>
      </c>
      <c r="BB1273" s="2">
        <v>44378.578518518516</v>
      </c>
      <c r="BC1273" s="2">
        <v>45119.453935185185</v>
      </c>
      <c r="BD1273" t="s">
        <v>91</v>
      </c>
      <c r="BF1273" s="1" t="s">
        <v>75</v>
      </c>
      <c r="BH1273">
        <v>0</v>
      </c>
      <c r="BI1273" s="1" t="s">
        <v>721</v>
      </c>
      <c r="BJ1273">
        <v>1</v>
      </c>
      <c r="BK1273" s="1" t="s">
        <v>89</v>
      </c>
      <c r="BL1273" t="s">
        <v>91</v>
      </c>
      <c r="BM1273" s="1" t="s">
        <v>164</v>
      </c>
      <c r="BN1273" s="1" t="s">
        <v>110</v>
      </c>
      <c r="BO1273" s="1" t="s">
        <v>165</v>
      </c>
      <c r="BP1273" s="1" t="s">
        <v>91</v>
      </c>
      <c r="BQ1273" t="s">
        <v>91</v>
      </c>
      <c r="BR1273" s="3">
        <v>44378</v>
      </c>
      <c r="BS1273" s="3">
        <v>45119</v>
      </c>
      <c r="BT1273" t="s">
        <v>91</v>
      </c>
      <c r="BU1273" t="s">
        <v>91</v>
      </c>
      <c r="BW1273" s="1" t="s">
        <v>2774</v>
      </c>
    </row>
    <row r="1274" spans="1:75" hidden="1" x14ac:dyDescent="0.35">
      <c r="A1274">
        <v>157798</v>
      </c>
      <c r="B1274" s="1" t="s">
        <v>75</v>
      </c>
      <c r="C1274">
        <v>80</v>
      </c>
      <c r="D1274">
        <v>11121004</v>
      </c>
      <c r="E1274">
        <v>121004</v>
      </c>
      <c r="F1274" s="1" t="s">
        <v>6867</v>
      </c>
      <c r="G1274" s="1" t="s">
        <v>6914</v>
      </c>
      <c r="H1274">
        <v>0</v>
      </c>
      <c r="I1274" s="1" t="s">
        <v>78</v>
      </c>
      <c r="J1274" s="1" t="s">
        <v>6915</v>
      </c>
      <c r="K1274" s="1" t="s">
        <v>6916</v>
      </c>
      <c r="L1274" t="s">
        <v>91</v>
      </c>
      <c r="M1274" t="s">
        <v>91</v>
      </c>
      <c r="N1274" s="1" t="s">
        <v>6917</v>
      </c>
      <c r="O1274" t="s">
        <v>91</v>
      </c>
      <c r="P1274" s="1" t="s">
        <v>6918</v>
      </c>
      <c r="Q1274" s="1" t="s">
        <v>6919</v>
      </c>
      <c r="R1274" s="1" t="s">
        <v>2531</v>
      </c>
      <c r="T1274">
        <v>88310003</v>
      </c>
      <c r="U1274" s="1" t="s">
        <v>6920</v>
      </c>
      <c r="V1274" s="1" t="s">
        <v>6881</v>
      </c>
      <c r="W1274" s="1" t="s">
        <v>87</v>
      </c>
      <c r="X1274">
        <v>47</v>
      </c>
      <c r="Y1274">
        <v>32413678</v>
      </c>
      <c r="Z1274" t="s">
        <v>91</v>
      </c>
      <c r="AA1274" t="s">
        <v>91</v>
      </c>
      <c r="AB1274" t="s">
        <v>91</v>
      </c>
      <c r="AC1274" t="s">
        <v>91</v>
      </c>
      <c r="AD1274" t="s">
        <v>91</v>
      </c>
      <c r="AE1274" t="s">
        <v>91</v>
      </c>
      <c r="AF1274" t="s">
        <v>91</v>
      </c>
      <c r="AG1274" s="1" t="s">
        <v>91</v>
      </c>
      <c r="AH1274" s="1" t="s">
        <v>91</v>
      </c>
      <c r="AI1274" t="s">
        <v>91</v>
      </c>
      <c r="AM1274" t="s">
        <v>91</v>
      </c>
      <c r="AN1274" t="s">
        <v>91</v>
      </c>
      <c r="AO1274" t="s">
        <v>91</v>
      </c>
      <c r="AP1274" t="s">
        <v>91</v>
      </c>
      <c r="AQ1274" s="1" t="s">
        <v>91</v>
      </c>
      <c r="AR1274" s="1" t="s">
        <v>91</v>
      </c>
      <c r="AS1274" s="1" t="s">
        <v>91</v>
      </c>
      <c r="AT1274" s="1" t="s">
        <v>91</v>
      </c>
      <c r="AU1274" s="1" t="s">
        <v>91</v>
      </c>
      <c r="AV1274" t="s">
        <v>91</v>
      </c>
      <c r="AW1274" t="s">
        <v>91</v>
      </c>
      <c r="AX1274" t="s">
        <v>91</v>
      </c>
      <c r="AY1274" t="s">
        <v>91</v>
      </c>
      <c r="AZ1274" t="s">
        <v>91</v>
      </c>
      <c r="BA1274" t="s">
        <v>91</v>
      </c>
      <c r="BB1274" s="2">
        <v>45118.101759259262</v>
      </c>
      <c r="BC1274" s="2"/>
      <c r="BD1274" t="s">
        <v>91</v>
      </c>
      <c r="BF1274" s="1" t="s">
        <v>75</v>
      </c>
      <c r="BI1274" s="1" t="s">
        <v>88</v>
      </c>
      <c r="BJ1274">
        <v>1</v>
      </c>
      <c r="BK1274" s="1" t="s">
        <v>89</v>
      </c>
      <c r="BL1274" t="s">
        <v>91</v>
      </c>
      <c r="BM1274" s="1" t="s">
        <v>91</v>
      </c>
      <c r="BN1274" s="1" t="s">
        <v>91</v>
      </c>
      <c r="BO1274" s="1" t="s">
        <v>91</v>
      </c>
      <c r="BP1274" s="1" t="s">
        <v>91</v>
      </c>
      <c r="BQ1274" t="s">
        <v>91</v>
      </c>
      <c r="BR1274" s="3">
        <v>45118</v>
      </c>
      <c r="BS1274" s="3"/>
      <c r="BT1274" t="s">
        <v>91</v>
      </c>
      <c r="BU1274" t="s">
        <v>91</v>
      </c>
      <c r="BW1274" s="1" t="s">
        <v>90</v>
      </c>
    </row>
    <row r="1275" spans="1:75" hidden="1" x14ac:dyDescent="0.35">
      <c r="A1275">
        <v>137518</v>
      </c>
      <c r="B1275" s="1" t="s">
        <v>75</v>
      </c>
      <c r="C1275">
        <v>80</v>
      </c>
      <c r="D1275">
        <v>11121004</v>
      </c>
      <c r="E1275">
        <v>121004</v>
      </c>
      <c r="F1275" s="1" t="s">
        <v>6867</v>
      </c>
      <c r="G1275" s="1" t="s">
        <v>6921</v>
      </c>
      <c r="H1275">
        <v>0</v>
      </c>
      <c r="I1275" s="1" t="s">
        <v>78</v>
      </c>
      <c r="J1275" s="1" t="s">
        <v>6922</v>
      </c>
      <c r="K1275" s="1" t="s">
        <v>6923</v>
      </c>
      <c r="L1275" t="s">
        <v>91</v>
      </c>
      <c r="M1275" t="s">
        <v>91</v>
      </c>
      <c r="N1275" s="1" t="s">
        <v>6924</v>
      </c>
      <c r="O1275" t="s">
        <v>91</v>
      </c>
      <c r="P1275" s="1" t="s">
        <v>6925</v>
      </c>
      <c r="Q1275" s="1" t="s">
        <v>6926</v>
      </c>
      <c r="R1275" s="1" t="s">
        <v>91</v>
      </c>
      <c r="S1275">
        <v>1276</v>
      </c>
      <c r="T1275">
        <v>89160051</v>
      </c>
      <c r="U1275" s="1" t="s">
        <v>108</v>
      </c>
      <c r="V1275" s="1" t="s">
        <v>6927</v>
      </c>
      <c r="W1275" s="1" t="s">
        <v>87</v>
      </c>
      <c r="X1275">
        <v>47</v>
      </c>
      <c r="Y1275">
        <v>35219190</v>
      </c>
      <c r="Z1275" t="s">
        <v>91</v>
      </c>
      <c r="AA1275" t="s">
        <v>91</v>
      </c>
      <c r="AB1275" t="s">
        <v>91</v>
      </c>
      <c r="AC1275" t="s">
        <v>91</v>
      </c>
      <c r="AD1275" t="s">
        <v>91</v>
      </c>
      <c r="AE1275" t="s">
        <v>91</v>
      </c>
      <c r="AF1275" t="s">
        <v>91</v>
      </c>
      <c r="AG1275" s="1" t="s">
        <v>146</v>
      </c>
      <c r="AH1275" s="1" t="s">
        <v>91</v>
      </c>
      <c r="AI1275" t="s">
        <v>91</v>
      </c>
      <c r="AM1275" t="s">
        <v>91</v>
      </c>
      <c r="AN1275" t="s">
        <v>91</v>
      </c>
      <c r="AO1275" t="s">
        <v>91</v>
      </c>
      <c r="AP1275" t="s">
        <v>91</v>
      </c>
      <c r="AQ1275" s="1" t="s">
        <v>147</v>
      </c>
      <c r="AR1275" s="1" t="s">
        <v>147</v>
      </c>
      <c r="AS1275" s="1" t="s">
        <v>147</v>
      </c>
      <c r="AT1275" s="1" t="s">
        <v>147</v>
      </c>
      <c r="AU1275" s="1" t="s">
        <v>147</v>
      </c>
      <c r="AV1275" t="s">
        <v>91</v>
      </c>
      <c r="AW1275" t="s">
        <v>91</v>
      </c>
      <c r="AX1275" t="s">
        <v>91</v>
      </c>
      <c r="AY1275" t="s">
        <v>91</v>
      </c>
      <c r="AZ1275" t="s">
        <v>91</v>
      </c>
      <c r="BA1275" t="s">
        <v>91</v>
      </c>
      <c r="BB1275" s="2">
        <v>44378.578518518516</v>
      </c>
      <c r="BC1275" s="2">
        <v>44578.654861111114</v>
      </c>
      <c r="BD1275" t="s">
        <v>91</v>
      </c>
      <c r="BF1275" s="1" t="s">
        <v>75</v>
      </c>
      <c r="BH1275">
        <v>0</v>
      </c>
      <c r="BI1275" s="1" t="s">
        <v>88</v>
      </c>
      <c r="BJ1275">
        <v>1</v>
      </c>
      <c r="BK1275" s="1" t="s">
        <v>89</v>
      </c>
      <c r="BL1275" t="s">
        <v>91</v>
      </c>
      <c r="BM1275" s="1" t="s">
        <v>109</v>
      </c>
      <c r="BN1275" s="1" t="s">
        <v>110</v>
      </c>
      <c r="BO1275" s="1" t="s">
        <v>128</v>
      </c>
      <c r="BP1275" s="1" t="s">
        <v>91</v>
      </c>
      <c r="BQ1275" t="s">
        <v>91</v>
      </c>
      <c r="BR1275" s="3">
        <v>44378</v>
      </c>
      <c r="BS1275" s="3">
        <v>44578</v>
      </c>
      <c r="BT1275" t="s">
        <v>91</v>
      </c>
      <c r="BU1275" t="s">
        <v>91</v>
      </c>
      <c r="BW1275" s="1" t="s">
        <v>274</v>
      </c>
    </row>
    <row r="1276" spans="1:75" hidden="1" x14ac:dyDescent="0.35">
      <c r="A1276">
        <v>137519</v>
      </c>
      <c r="B1276" s="1" t="s">
        <v>75</v>
      </c>
      <c r="C1276">
        <v>80</v>
      </c>
      <c r="D1276">
        <v>11121004</v>
      </c>
      <c r="E1276">
        <v>121004</v>
      </c>
      <c r="F1276" s="1" t="s">
        <v>6867</v>
      </c>
      <c r="G1276" s="1" t="s">
        <v>6928</v>
      </c>
      <c r="H1276">
        <v>0</v>
      </c>
      <c r="I1276" s="1" t="s">
        <v>78</v>
      </c>
      <c r="J1276" s="1" t="s">
        <v>6929</v>
      </c>
      <c r="K1276" s="1" t="s">
        <v>6930</v>
      </c>
      <c r="L1276" t="s">
        <v>91</v>
      </c>
      <c r="M1276" t="s">
        <v>91</v>
      </c>
      <c r="N1276" s="1" t="s">
        <v>6931</v>
      </c>
      <c r="O1276" t="s">
        <v>91</v>
      </c>
      <c r="P1276" s="1" t="s">
        <v>6932</v>
      </c>
      <c r="Q1276" s="1" t="s">
        <v>6933</v>
      </c>
      <c r="R1276" s="1" t="s">
        <v>6934</v>
      </c>
      <c r="T1276">
        <v>88359002</v>
      </c>
      <c r="U1276" s="1" t="s">
        <v>6935</v>
      </c>
      <c r="V1276" s="1" t="s">
        <v>6936</v>
      </c>
      <c r="W1276" s="1" t="s">
        <v>87</v>
      </c>
      <c r="X1276">
        <v>47</v>
      </c>
      <c r="Y1276">
        <v>989133045</v>
      </c>
      <c r="Z1276" t="s">
        <v>91</v>
      </c>
      <c r="AA1276" t="s">
        <v>91</v>
      </c>
      <c r="AB1276" t="s">
        <v>91</v>
      </c>
      <c r="AC1276" t="s">
        <v>91</v>
      </c>
      <c r="AD1276" t="s">
        <v>91</v>
      </c>
      <c r="AE1276" t="s">
        <v>91</v>
      </c>
      <c r="AF1276" t="s">
        <v>91</v>
      </c>
      <c r="AG1276" s="1" t="s">
        <v>146</v>
      </c>
      <c r="AH1276" s="1" t="s">
        <v>91</v>
      </c>
      <c r="AI1276" t="s">
        <v>91</v>
      </c>
      <c r="AM1276" t="s">
        <v>91</v>
      </c>
      <c r="AN1276" t="s">
        <v>91</v>
      </c>
      <c r="AO1276" t="s">
        <v>91</v>
      </c>
      <c r="AP1276" t="s">
        <v>91</v>
      </c>
      <c r="AQ1276" s="1" t="s">
        <v>147</v>
      </c>
      <c r="AR1276" s="1" t="s">
        <v>147</v>
      </c>
      <c r="AS1276" s="1" t="s">
        <v>147</v>
      </c>
      <c r="AT1276" s="1" t="s">
        <v>147</v>
      </c>
      <c r="AU1276" s="1" t="s">
        <v>147</v>
      </c>
      <c r="AV1276" t="s">
        <v>91</v>
      </c>
      <c r="AW1276" t="s">
        <v>91</v>
      </c>
      <c r="AX1276" t="s">
        <v>91</v>
      </c>
      <c r="AY1276" t="s">
        <v>91</v>
      </c>
      <c r="AZ1276" t="s">
        <v>91</v>
      </c>
      <c r="BA1276" t="s">
        <v>91</v>
      </c>
      <c r="BB1276" s="2">
        <v>44378.578518518516</v>
      </c>
      <c r="BC1276" s="2">
        <v>44865.646932870368</v>
      </c>
      <c r="BD1276" t="s">
        <v>91</v>
      </c>
      <c r="BF1276" s="1" t="s">
        <v>75</v>
      </c>
      <c r="BH1276">
        <v>0</v>
      </c>
      <c r="BI1276" s="1" t="s">
        <v>88</v>
      </c>
      <c r="BJ1276">
        <v>1</v>
      </c>
      <c r="BK1276" s="1" t="s">
        <v>89</v>
      </c>
      <c r="BL1276" t="s">
        <v>91</v>
      </c>
      <c r="BM1276" s="1" t="s">
        <v>109</v>
      </c>
      <c r="BN1276" s="1" t="s">
        <v>110</v>
      </c>
      <c r="BO1276" s="1" t="s">
        <v>128</v>
      </c>
      <c r="BP1276" s="1" t="s">
        <v>91</v>
      </c>
      <c r="BQ1276" t="s">
        <v>91</v>
      </c>
      <c r="BR1276" s="3">
        <v>44378</v>
      </c>
      <c r="BS1276" s="3">
        <v>44865</v>
      </c>
      <c r="BT1276" t="s">
        <v>91</v>
      </c>
      <c r="BU1276" t="s">
        <v>91</v>
      </c>
      <c r="BW1276" s="1" t="s">
        <v>1378</v>
      </c>
    </row>
    <row r="1277" spans="1:75" hidden="1" x14ac:dyDescent="0.35">
      <c r="A1277">
        <v>127754</v>
      </c>
      <c r="B1277" s="1" t="s">
        <v>75</v>
      </c>
      <c r="C1277">
        <v>80</v>
      </c>
      <c r="D1277">
        <v>11121004</v>
      </c>
      <c r="E1277">
        <v>121004</v>
      </c>
      <c r="F1277" s="1" t="s">
        <v>6867</v>
      </c>
      <c r="G1277" s="1" t="s">
        <v>6937</v>
      </c>
      <c r="H1277">
        <v>0</v>
      </c>
      <c r="I1277" s="1" t="s">
        <v>78</v>
      </c>
      <c r="J1277" s="1" t="s">
        <v>6938</v>
      </c>
      <c r="K1277" s="1" t="s">
        <v>6939</v>
      </c>
      <c r="L1277" t="s">
        <v>91</v>
      </c>
      <c r="M1277" t="s">
        <v>91</v>
      </c>
      <c r="N1277" s="1" t="s">
        <v>91</v>
      </c>
      <c r="O1277" t="s">
        <v>91</v>
      </c>
      <c r="P1277" s="1" t="s">
        <v>6911</v>
      </c>
      <c r="Q1277" s="1" t="s">
        <v>6940</v>
      </c>
      <c r="R1277" s="1" t="s">
        <v>91</v>
      </c>
      <c r="S1277">
        <v>1263</v>
      </c>
      <c r="T1277">
        <v>88390000</v>
      </c>
      <c r="U1277" s="1" t="s">
        <v>108</v>
      </c>
      <c r="V1277" s="1" t="s">
        <v>6913</v>
      </c>
      <c r="W1277" s="1" t="s">
        <v>87</v>
      </c>
      <c r="X1277">
        <v>47</v>
      </c>
      <c r="Y1277">
        <v>34562939</v>
      </c>
      <c r="Z1277" t="s">
        <v>91</v>
      </c>
      <c r="AA1277" t="s">
        <v>91</v>
      </c>
      <c r="AB1277" t="s">
        <v>91</v>
      </c>
      <c r="AC1277" t="s">
        <v>91</v>
      </c>
      <c r="AD1277" t="s">
        <v>91</v>
      </c>
      <c r="AE1277" t="s">
        <v>91</v>
      </c>
      <c r="AF1277" t="s">
        <v>91</v>
      </c>
      <c r="AG1277" s="1" t="s">
        <v>91</v>
      </c>
      <c r="AH1277" s="1" t="s">
        <v>91</v>
      </c>
      <c r="AI1277" t="s">
        <v>91</v>
      </c>
      <c r="AJ1277">
        <v>0</v>
      </c>
      <c r="AK1277">
        <v>0</v>
      </c>
      <c r="AL1277">
        <v>0</v>
      </c>
      <c r="AM1277" t="s">
        <v>91</v>
      </c>
      <c r="AN1277" t="s">
        <v>91</v>
      </c>
      <c r="AO1277" t="s">
        <v>91</v>
      </c>
      <c r="AP1277" t="s">
        <v>91</v>
      </c>
      <c r="AQ1277" s="1" t="s">
        <v>91</v>
      </c>
      <c r="AR1277" s="1" t="s">
        <v>91</v>
      </c>
      <c r="AS1277" s="1" t="s">
        <v>91</v>
      </c>
      <c r="AT1277" s="1" t="s">
        <v>91</v>
      </c>
      <c r="AU1277" s="1" t="s">
        <v>91</v>
      </c>
      <c r="AV1277" t="s">
        <v>91</v>
      </c>
      <c r="AW1277" t="s">
        <v>91</v>
      </c>
      <c r="AX1277" t="s">
        <v>91</v>
      </c>
      <c r="AY1277" t="s">
        <v>91</v>
      </c>
      <c r="AZ1277" t="s">
        <v>91</v>
      </c>
      <c r="BA1277" t="s">
        <v>91</v>
      </c>
      <c r="BB1277" s="2">
        <v>44111.380995370368</v>
      </c>
      <c r="BC1277" s="2"/>
      <c r="BD1277" t="s">
        <v>91</v>
      </c>
      <c r="BF1277" s="1" t="s">
        <v>75</v>
      </c>
      <c r="BG1277">
        <v>0</v>
      </c>
      <c r="BH1277">
        <v>0</v>
      </c>
      <c r="BI1277" s="1" t="s">
        <v>88</v>
      </c>
      <c r="BJ1277">
        <v>1</v>
      </c>
      <c r="BK1277" s="1" t="s">
        <v>89</v>
      </c>
      <c r="BL1277" t="s">
        <v>91</v>
      </c>
      <c r="BM1277" s="1" t="s">
        <v>109</v>
      </c>
      <c r="BN1277" s="1" t="s">
        <v>110</v>
      </c>
      <c r="BO1277" s="1" t="s">
        <v>128</v>
      </c>
      <c r="BP1277" s="1" t="s">
        <v>91</v>
      </c>
      <c r="BQ1277" t="s">
        <v>91</v>
      </c>
      <c r="BR1277" s="3">
        <v>44111</v>
      </c>
      <c r="BS1277" s="3"/>
      <c r="BT1277" t="s">
        <v>91</v>
      </c>
      <c r="BU1277" t="s">
        <v>91</v>
      </c>
      <c r="BV1277">
        <v>9</v>
      </c>
      <c r="BW1277" s="1" t="s">
        <v>255</v>
      </c>
    </row>
    <row r="1278" spans="1:75" hidden="1" x14ac:dyDescent="0.35">
      <c r="A1278">
        <v>157750</v>
      </c>
      <c r="B1278" s="1" t="s">
        <v>75</v>
      </c>
      <c r="C1278">
        <v>80</v>
      </c>
      <c r="D1278">
        <v>11121004</v>
      </c>
      <c r="E1278">
        <v>121004</v>
      </c>
      <c r="F1278" s="1" t="s">
        <v>6867</v>
      </c>
      <c r="G1278" s="1" t="s">
        <v>6941</v>
      </c>
      <c r="H1278">
        <v>0</v>
      </c>
      <c r="I1278" s="1" t="s">
        <v>78</v>
      </c>
      <c r="J1278" s="1" t="s">
        <v>6942</v>
      </c>
      <c r="K1278" s="1" t="s">
        <v>6943</v>
      </c>
      <c r="L1278" t="s">
        <v>91</v>
      </c>
      <c r="M1278" t="s">
        <v>91</v>
      </c>
      <c r="N1278" s="1" t="s">
        <v>6944</v>
      </c>
      <c r="O1278" t="s">
        <v>91</v>
      </c>
      <c r="P1278" s="1" t="s">
        <v>6945</v>
      </c>
      <c r="Q1278" s="1" t="s">
        <v>1564</v>
      </c>
      <c r="R1278" s="1" t="s">
        <v>91</v>
      </c>
      <c r="S1278">
        <v>1263</v>
      </c>
      <c r="T1278">
        <v>88380000</v>
      </c>
      <c r="U1278" s="1" t="s">
        <v>108</v>
      </c>
      <c r="V1278" s="1" t="s">
        <v>6946</v>
      </c>
      <c r="W1278" s="1" t="s">
        <v>87</v>
      </c>
      <c r="X1278">
        <v>47</v>
      </c>
      <c r="Y1278">
        <v>33450805</v>
      </c>
      <c r="Z1278" t="s">
        <v>91</v>
      </c>
      <c r="AA1278" t="s">
        <v>91</v>
      </c>
      <c r="AB1278" t="s">
        <v>91</v>
      </c>
      <c r="AC1278" t="s">
        <v>91</v>
      </c>
      <c r="AD1278" t="s">
        <v>91</v>
      </c>
      <c r="AE1278" t="s">
        <v>91</v>
      </c>
      <c r="AF1278" t="s">
        <v>91</v>
      </c>
      <c r="AG1278" s="1" t="s">
        <v>91</v>
      </c>
      <c r="AH1278" s="1" t="s">
        <v>91</v>
      </c>
      <c r="AI1278" t="s">
        <v>91</v>
      </c>
      <c r="AM1278" t="s">
        <v>91</v>
      </c>
      <c r="AN1278" t="s">
        <v>91</v>
      </c>
      <c r="AO1278" t="s">
        <v>91</v>
      </c>
      <c r="AP1278" t="s">
        <v>91</v>
      </c>
      <c r="AQ1278" s="1" t="s">
        <v>91</v>
      </c>
      <c r="AR1278" s="1" t="s">
        <v>91</v>
      </c>
      <c r="AS1278" s="1" t="s">
        <v>91</v>
      </c>
      <c r="AT1278" s="1" t="s">
        <v>91</v>
      </c>
      <c r="AU1278" s="1" t="s">
        <v>91</v>
      </c>
      <c r="AV1278" t="s">
        <v>91</v>
      </c>
      <c r="AW1278" t="s">
        <v>91</v>
      </c>
      <c r="AX1278" t="s">
        <v>91</v>
      </c>
      <c r="AY1278" t="s">
        <v>91</v>
      </c>
      <c r="AZ1278" t="s">
        <v>91</v>
      </c>
      <c r="BA1278" t="s">
        <v>91</v>
      </c>
      <c r="BB1278" s="2">
        <v>45118.101759259262</v>
      </c>
      <c r="BC1278" s="2"/>
      <c r="BD1278" t="s">
        <v>91</v>
      </c>
      <c r="BF1278" s="1" t="s">
        <v>75</v>
      </c>
      <c r="BI1278" s="1" t="s">
        <v>88</v>
      </c>
      <c r="BJ1278">
        <v>1</v>
      </c>
      <c r="BK1278" s="1" t="s">
        <v>89</v>
      </c>
      <c r="BL1278" t="s">
        <v>91</v>
      </c>
      <c r="BM1278" s="1" t="s">
        <v>91</v>
      </c>
      <c r="BN1278" s="1" t="s">
        <v>91</v>
      </c>
      <c r="BO1278" s="1" t="s">
        <v>91</v>
      </c>
      <c r="BP1278" s="1" t="s">
        <v>91</v>
      </c>
      <c r="BQ1278" t="s">
        <v>91</v>
      </c>
      <c r="BR1278" s="3">
        <v>45118</v>
      </c>
      <c r="BS1278" s="3"/>
      <c r="BT1278" t="s">
        <v>91</v>
      </c>
      <c r="BU1278" t="s">
        <v>91</v>
      </c>
      <c r="BW1278" s="1" t="s">
        <v>90</v>
      </c>
    </row>
    <row r="1279" spans="1:75" hidden="1" x14ac:dyDescent="0.35">
      <c r="A1279">
        <v>137524</v>
      </c>
      <c r="B1279" s="1" t="s">
        <v>75</v>
      </c>
      <c r="C1279">
        <v>80</v>
      </c>
      <c r="D1279">
        <v>11121004</v>
      </c>
      <c r="E1279">
        <v>121004</v>
      </c>
      <c r="F1279" s="1" t="s">
        <v>6867</v>
      </c>
      <c r="G1279" s="1" t="s">
        <v>6947</v>
      </c>
      <c r="H1279">
        <v>0</v>
      </c>
      <c r="I1279" s="1" t="s">
        <v>78</v>
      </c>
      <c r="J1279" s="1" t="s">
        <v>6948</v>
      </c>
      <c r="K1279" s="1" t="s">
        <v>6949</v>
      </c>
      <c r="L1279" t="s">
        <v>91</v>
      </c>
      <c r="M1279" t="s">
        <v>91</v>
      </c>
      <c r="N1279" s="1" t="s">
        <v>6950</v>
      </c>
      <c r="O1279" t="s">
        <v>91</v>
      </c>
      <c r="P1279" s="1" t="s">
        <v>3083</v>
      </c>
      <c r="Q1279" s="1" t="s">
        <v>4748</v>
      </c>
      <c r="R1279" s="1" t="s">
        <v>91</v>
      </c>
      <c r="S1279">
        <v>1261</v>
      </c>
      <c r="T1279">
        <v>88301110</v>
      </c>
      <c r="U1279" s="1" t="s">
        <v>108</v>
      </c>
      <c r="V1279" s="1" t="s">
        <v>6874</v>
      </c>
      <c r="W1279" s="1" t="s">
        <v>87</v>
      </c>
      <c r="X1279">
        <v>47</v>
      </c>
      <c r="Y1279">
        <v>30452425</v>
      </c>
      <c r="Z1279" t="s">
        <v>91</v>
      </c>
      <c r="AA1279" t="s">
        <v>91</v>
      </c>
      <c r="AB1279" t="s">
        <v>91</v>
      </c>
      <c r="AC1279" t="s">
        <v>91</v>
      </c>
      <c r="AD1279" t="s">
        <v>91</v>
      </c>
      <c r="AE1279" t="s">
        <v>91</v>
      </c>
      <c r="AF1279" t="s">
        <v>91</v>
      </c>
      <c r="AG1279" s="1" t="s">
        <v>146</v>
      </c>
      <c r="AH1279" s="1" t="s">
        <v>91</v>
      </c>
      <c r="AI1279" t="s">
        <v>91</v>
      </c>
      <c r="AM1279" t="s">
        <v>91</v>
      </c>
      <c r="AN1279" t="s">
        <v>91</v>
      </c>
      <c r="AO1279" t="s">
        <v>91</v>
      </c>
      <c r="AP1279" t="s">
        <v>91</v>
      </c>
      <c r="AQ1279" s="1" t="s">
        <v>147</v>
      </c>
      <c r="AR1279" s="1" t="s">
        <v>147</v>
      </c>
      <c r="AS1279" s="1" t="s">
        <v>147</v>
      </c>
      <c r="AT1279" s="1" t="s">
        <v>147</v>
      </c>
      <c r="AU1279" s="1" t="s">
        <v>147</v>
      </c>
      <c r="AV1279" t="s">
        <v>91</v>
      </c>
      <c r="AW1279" t="s">
        <v>91</v>
      </c>
      <c r="AX1279" t="s">
        <v>91</v>
      </c>
      <c r="AY1279" t="s">
        <v>91</v>
      </c>
      <c r="AZ1279" t="s">
        <v>91</v>
      </c>
      <c r="BA1279" t="s">
        <v>91</v>
      </c>
      <c r="BB1279" s="2">
        <v>44378.578518518516</v>
      </c>
      <c r="BC1279" s="2">
        <v>45114.449456018519</v>
      </c>
      <c r="BD1279" t="s">
        <v>91</v>
      </c>
      <c r="BF1279" s="1" t="s">
        <v>75</v>
      </c>
      <c r="BH1279">
        <v>0</v>
      </c>
      <c r="BI1279" s="1" t="s">
        <v>88</v>
      </c>
      <c r="BJ1279">
        <v>1</v>
      </c>
      <c r="BK1279" s="1" t="s">
        <v>89</v>
      </c>
      <c r="BL1279" t="s">
        <v>91</v>
      </c>
      <c r="BM1279" s="1" t="s">
        <v>109</v>
      </c>
      <c r="BN1279" s="1" t="s">
        <v>148</v>
      </c>
      <c r="BO1279" s="1" t="s">
        <v>180</v>
      </c>
      <c r="BP1279" s="1" t="s">
        <v>91</v>
      </c>
      <c r="BQ1279" t="s">
        <v>91</v>
      </c>
      <c r="BR1279" s="3">
        <v>44378</v>
      </c>
      <c r="BS1279" s="3">
        <v>45114</v>
      </c>
      <c r="BT1279" t="s">
        <v>91</v>
      </c>
      <c r="BU1279" t="s">
        <v>91</v>
      </c>
      <c r="BW1279" s="1" t="s">
        <v>149</v>
      </c>
    </row>
    <row r="1280" spans="1:75" hidden="1" x14ac:dyDescent="0.35">
      <c r="A1280">
        <v>137575</v>
      </c>
      <c r="B1280" s="1" t="s">
        <v>75</v>
      </c>
      <c r="C1280">
        <v>80</v>
      </c>
      <c r="D1280">
        <v>11121004</v>
      </c>
      <c r="E1280">
        <v>121004</v>
      </c>
      <c r="F1280" s="1" t="s">
        <v>6867</v>
      </c>
      <c r="G1280" s="1" t="s">
        <v>6947</v>
      </c>
      <c r="H1280">
        <v>0</v>
      </c>
      <c r="I1280" s="1" t="s">
        <v>78</v>
      </c>
      <c r="J1280" s="1" t="s">
        <v>6948</v>
      </c>
      <c r="K1280" s="1" t="s">
        <v>6949</v>
      </c>
      <c r="L1280" t="s">
        <v>91</v>
      </c>
      <c r="M1280" t="s">
        <v>91</v>
      </c>
      <c r="N1280" s="1" t="s">
        <v>6950</v>
      </c>
      <c r="O1280" t="s">
        <v>91</v>
      </c>
      <c r="P1280" s="1" t="s">
        <v>3083</v>
      </c>
      <c r="Q1280" s="1" t="s">
        <v>235</v>
      </c>
      <c r="R1280" s="1" t="s">
        <v>91</v>
      </c>
      <c r="S1280">
        <v>1261</v>
      </c>
      <c r="T1280">
        <v>88301001</v>
      </c>
      <c r="U1280" s="1" t="s">
        <v>108</v>
      </c>
      <c r="V1280" s="1" t="s">
        <v>6874</v>
      </c>
      <c r="W1280" s="1" t="s">
        <v>87</v>
      </c>
      <c r="X1280">
        <v>47</v>
      </c>
      <c r="Y1280">
        <v>30452425</v>
      </c>
      <c r="Z1280" t="s">
        <v>91</v>
      </c>
      <c r="AA1280" t="s">
        <v>91</v>
      </c>
      <c r="AB1280" t="s">
        <v>91</v>
      </c>
      <c r="AC1280" t="s">
        <v>91</v>
      </c>
      <c r="AD1280" t="s">
        <v>91</v>
      </c>
      <c r="AE1280" t="s">
        <v>91</v>
      </c>
      <c r="AF1280" t="s">
        <v>91</v>
      </c>
      <c r="AG1280" s="1" t="s">
        <v>146</v>
      </c>
      <c r="AH1280" s="1" t="s">
        <v>91</v>
      </c>
      <c r="AI1280" t="s">
        <v>91</v>
      </c>
      <c r="AM1280" t="s">
        <v>91</v>
      </c>
      <c r="AN1280" t="s">
        <v>91</v>
      </c>
      <c r="AO1280" t="s">
        <v>91</v>
      </c>
      <c r="AP1280" t="s">
        <v>91</v>
      </c>
      <c r="AQ1280" s="1" t="s">
        <v>147</v>
      </c>
      <c r="AR1280" s="1" t="s">
        <v>147</v>
      </c>
      <c r="AS1280" s="1" t="s">
        <v>147</v>
      </c>
      <c r="AT1280" s="1" t="s">
        <v>147</v>
      </c>
      <c r="AU1280" s="1" t="s">
        <v>147</v>
      </c>
      <c r="AV1280" t="s">
        <v>91</v>
      </c>
      <c r="AW1280" t="s">
        <v>91</v>
      </c>
      <c r="AX1280" t="s">
        <v>91</v>
      </c>
      <c r="AY1280" t="s">
        <v>91</v>
      </c>
      <c r="AZ1280" t="s">
        <v>91</v>
      </c>
      <c r="BA1280" t="s">
        <v>91</v>
      </c>
      <c r="BB1280" s="2">
        <v>44378.578518518516</v>
      </c>
      <c r="BC1280" s="2">
        <v>45119.467268518521</v>
      </c>
      <c r="BD1280" t="s">
        <v>91</v>
      </c>
      <c r="BF1280" s="1" t="s">
        <v>75</v>
      </c>
      <c r="BH1280">
        <v>0</v>
      </c>
      <c r="BI1280" s="1" t="s">
        <v>721</v>
      </c>
      <c r="BJ1280">
        <v>1</v>
      </c>
      <c r="BK1280" s="1" t="s">
        <v>89</v>
      </c>
      <c r="BL1280" t="s">
        <v>91</v>
      </c>
      <c r="BM1280" s="1" t="s">
        <v>109</v>
      </c>
      <c r="BN1280" s="1" t="s">
        <v>148</v>
      </c>
      <c r="BO1280" s="1" t="s">
        <v>180</v>
      </c>
      <c r="BP1280" s="1" t="s">
        <v>91</v>
      </c>
      <c r="BQ1280" t="s">
        <v>91</v>
      </c>
      <c r="BR1280" s="3">
        <v>44378</v>
      </c>
      <c r="BS1280" s="3">
        <v>45119</v>
      </c>
      <c r="BT1280" t="s">
        <v>91</v>
      </c>
      <c r="BU1280" t="s">
        <v>91</v>
      </c>
      <c r="BW1280" s="1" t="s">
        <v>419</v>
      </c>
    </row>
    <row r="1281" spans="1:75" hidden="1" x14ac:dyDescent="0.35">
      <c r="A1281">
        <v>157802</v>
      </c>
      <c r="B1281" s="1" t="s">
        <v>75</v>
      </c>
      <c r="C1281">
        <v>80</v>
      </c>
      <c r="D1281">
        <v>11121004</v>
      </c>
      <c r="E1281">
        <v>121004</v>
      </c>
      <c r="F1281" s="1" t="s">
        <v>6867</v>
      </c>
      <c r="G1281" s="1" t="s">
        <v>6951</v>
      </c>
      <c r="H1281">
        <v>0</v>
      </c>
      <c r="I1281" s="1" t="s">
        <v>78</v>
      </c>
      <c r="J1281" s="1" t="s">
        <v>3257</v>
      </c>
      <c r="K1281" s="1" t="s">
        <v>6952</v>
      </c>
      <c r="L1281" t="s">
        <v>91</v>
      </c>
      <c r="M1281" t="s">
        <v>91</v>
      </c>
      <c r="N1281" s="1" t="s">
        <v>3457</v>
      </c>
      <c r="O1281" t="s">
        <v>91</v>
      </c>
      <c r="P1281" s="1" t="s">
        <v>6953</v>
      </c>
      <c r="Q1281" s="1" t="s">
        <v>552</v>
      </c>
      <c r="R1281" s="1" t="s">
        <v>6954</v>
      </c>
      <c r="S1281">
        <v>1261</v>
      </c>
      <c r="T1281">
        <v>88301320</v>
      </c>
      <c r="U1281" s="1" t="s">
        <v>108</v>
      </c>
      <c r="V1281" s="1" t="s">
        <v>6881</v>
      </c>
      <c r="W1281" s="1" t="s">
        <v>87</v>
      </c>
      <c r="X1281">
        <v>48</v>
      </c>
      <c r="Y1281">
        <v>32247135</v>
      </c>
      <c r="Z1281" t="s">
        <v>91</v>
      </c>
      <c r="AA1281" t="s">
        <v>91</v>
      </c>
      <c r="AB1281" t="s">
        <v>91</v>
      </c>
      <c r="AC1281" t="s">
        <v>91</v>
      </c>
      <c r="AD1281" t="s">
        <v>91</v>
      </c>
      <c r="AE1281" t="s">
        <v>91</v>
      </c>
      <c r="AF1281" t="s">
        <v>91</v>
      </c>
      <c r="AG1281" s="1" t="s">
        <v>91</v>
      </c>
      <c r="AH1281" s="1" t="s">
        <v>91</v>
      </c>
      <c r="AI1281" t="s">
        <v>91</v>
      </c>
      <c r="AM1281" t="s">
        <v>91</v>
      </c>
      <c r="AN1281" t="s">
        <v>91</v>
      </c>
      <c r="AO1281" t="s">
        <v>91</v>
      </c>
      <c r="AP1281" t="s">
        <v>91</v>
      </c>
      <c r="AQ1281" s="1" t="s">
        <v>91</v>
      </c>
      <c r="AR1281" s="1" t="s">
        <v>91</v>
      </c>
      <c r="AS1281" s="1" t="s">
        <v>91</v>
      </c>
      <c r="AT1281" s="1" t="s">
        <v>91</v>
      </c>
      <c r="AU1281" s="1" t="s">
        <v>91</v>
      </c>
      <c r="AV1281" t="s">
        <v>91</v>
      </c>
      <c r="AW1281" t="s">
        <v>91</v>
      </c>
      <c r="AX1281" t="s">
        <v>91</v>
      </c>
      <c r="AY1281" t="s">
        <v>91</v>
      </c>
      <c r="AZ1281" t="s">
        <v>91</v>
      </c>
      <c r="BA1281" t="s">
        <v>91</v>
      </c>
      <c r="BB1281" s="2">
        <v>45118.101759259262</v>
      </c>
      <c r="BC1281" s="2"/>
      <c r="BD1281" t="s">
        <v>91</v>
      </c>
      <c r="BF1281" s="1" t="s">
        <v>75</v>
      </c>
      <c r="BI1281" s="1" t="s">
        <v>88</v>
      </c>
      <c r="BJ1281">
        <v>1</v>
      </c>
      <c r="BK1281" s="1" t="s">
        <v>89</v>
      </c>
      <c r="BL1281" t="s">
        <v>91</v>
      </c>
      <c r="BM1281" s="1" t="s">
        <v>91</v>
      </c>
      <c r="BN1281" s="1" t="s">
        <v>91</v>
      </c>
      <c r="BO1281" s="1" t="s">
        <v>91</v>
      </c>
      <c r="BP1281" s="1" t="s">
        <v>91</v>
      </c>
      <c r="BQ1281" t="s">
        <v>91</v>
      </c>
      <c r="BR1281" s="3">
        <v>45118</v>
      </c>
      <c r="BS1281" s="3"/>
      <c r="BT1281" t="s">
        <v>91</v>
      </c>
      <c r="BU1281" t="s">
        <v>91</v>
      </c>
      <c r="BW1281" s="1" t="s">
        <v>90</v>
      </c>
    </row>
    <row r="1282" spans="1:75" hidden="1" x14ac:dyDescent="0.35">
      <c r="A1282">
        <v>127558</v>
      </c>
      <c r="B1282" s="1" t="s">
        <v>75</v>
      </c>
      <c r="C1282">
        <v>80</v>
      </c>
      <c r="D1282">
        <v>11121004</v>
      </c>
      <c r="E1282">
        <v>121004</v>
      </c>
      <c r="F1282" s="1" t="s">
        <v>6867</v>
      </c>
      <c r="G1282" s="1" t="s">
        <v>6955</v>
      </c>
      <c r="H1282">
        <v>0</v>
      </c>
      <c r="I1282" s="1" t="s">
        <v>78</v>
      </c>
      <c r="J1282" s="1" t="s">
        <v>6956</v>
      </c>
      <c r="K1282" s="1" t="s">
        <v>6957</v>
      </c>
      <c r="L1282" t="s">
        <v>91</v>
      </c>
      <c r="M1282" t="s">
        <v>91</v>
      </c>
      <c r="N1282" s="1" t="s">
        <v>6958</v>
      </c>
      <c r="O1282" t="s">
        <v>91</v>
      </c>
      <c r="P1282" s="1" t="s">
        <v>6959</v>
      </c>
      <c r="Q1282" s="1" t="s">
        <v>6960</v>
      </c>
      <c r="R1282" s="1" t="s">
        <v>1695</v>
      </c>
      <c r="S1282">
        <v>1262</v>
      </c>
      <c r="T1282">
        <v>88337010</v>
      </c>
      <c r="U1282" s="1" t="s">
        <v>6961</v>
      </c>
      <c r="V1282" s="1" t="s">
        <v>6898</v>
      </c>
      <c r="W1282" s="1" t="s">
        <v>87</v>
      </c>
      <c r="X1282">
        <v>47</v>
      </c>
      <c r="Y1282">
        <v>32641212</v>
      </c>
      <c r="Z1282" t="s">
        <v>91</v>
      </c>
      <c r="AA1282" t="s">
        <v>91</v>
      </c>
      <c r="AB1282" t="s">
        <v>91</v>
      </c>
      <c r="AC1282" t="s">
        <v>91</v>
      </c>
      <c r="AD1282" t="s">
        <v>91</v>
      </c>
      <c r="AE1282" t="s">
        <v>91</v>
      </c>
      <c r="AF1282" t="s">
        <v>91</v>
      </c>
      <c r="AG1282" s="1" t="s">
        <v>91</v>
      </c>
      <c r="AH1282" s="1" t="s">
        <v>91</v>
      </c>
      <c r="AI1282" t="s">
        <v>91</v>
      </c>
      <c r="AJ1282">
        <v>0</v>
      </c>
      <c r="AK1282">
        <v>0</v>
      </c>
      <c r="AL1282">
        <v>0</v>
      </c>
      <c r="AM1282" t="s">
        <v>91</v>
      </c>
      <c r="AN1282" t="s">
        <v>91</v>
      </c>
      <c r="AO1282" t="s">
        <v>91</v>
      </c>
      <c r="AP1282" t="s">
        <v>91</v>
      </c>
      <c r="AQ1282" s="1" t="s">
        <v>91</v>
      </c>
      <c r="AR1282" s="1" t="s">
        <v>91</v>
      </c>
      <c r="AS1282" s="1" t="s">
        <v>91</v>
      </c>
      <c r="AT1282" s="1" t="s">
        <v>91</v>
      </c>
      <c r="AU1282" s="1" t="s">
        <v>91</v>
      </c>
      <c r="AV1282" t="s">
        <v>91</v>
      </c>
      <c r="AW1282" t="s">
        <v>91</v>
      </c>
      <c r="AX1282" t="s">
        <v>91</v>
      </c>
      <c r="AY1282" t="s">
        <v>91</v>
      </c>
      <c r="AZ1282" t="s">
        <v>91</v>
      </c>
      <c r="BA1282" t="s">
        <v>91</v>
      </c>
      <c r="BB1282" s="2">
        <v>44111.380995370368</v>
      </c>
      <c r="BC1282" s="2"/>
      <c r="BD1282" t="s">
        <v>91</v>
      </c>
      <c r="BF1282" s="1" t="s">
        <v>75</v>
      </c>
      <c r="BG1282">
        <v>0</v>
      </c>
      <c r="BH1282">
        <v>0</v>
      </c>
      <c r="BI1282" s="1" t="s">
        <v>88</v>
      </c>
      <c r="BJ1282">
        <v>1</v>
      </c>
      <c r="BK1282" s="1" t="s">
        <v>89</v>
      </c>
      <c r="BL1282" t="s">
        <v>91</v>
      </c>
      <c r="BM1282" s="1" t="s">
        <v>109</v>
      </c>
      <c r="BN1282" s="1" t="s">
        <v>110</v>
      </c>
      <c r="BO1282" s="1" t="s">
        <v>128</v>
      </c>
      <c r="BP1282" s="1" t="s">
        <v>91</v>
      </c>
      <c r="BQ1282" t="s">
        <v>91</v>
      </c>
      <c r="BR1282" s="3">
        <v>44111</v>
      </c>
      <c r="BS1282" s="3"/>
      <c r="BT1282" t="s">
        <v>91</v>
      </c>
      <c r="BU1282" t="s">
        <v>91</v>
      </c>
      <c r="BV1282">
        <v>9</v>
      </c>
      <c r="BW1282" s="1" t="s">
        <v>708</v>
      </c>
    </row>
    <row r="1283" spans="1:75" hidden="1" x14ac:dyDescent="0.35">
      <c r="A1283">
        <v>157796</v>
      </c>
      <c r="B1283" s="1" t="s">
        <v>75</v>
      </c>
      <c r="C1283">
        <v>80</v>
      </c>
      <c r="D1283">
        <v>11121004</v>
      </c>
      <c r="E1283">
        <v>121004</v>
      </c>
      <c r="F1283" s="1" t="s">
        <v>6867</v>
      </c>
      <c r="G1283" s="1" t="s">
        <v>6962</v>
      </c>
      <c r="H1283">
        <v>0</v>
      </c>
      <c r="I1283" s="1" t="s">
        <v>78</v>
      </c>
      <c r="J1283" s="1" t="s">
        <v>6963</v>
      </c>
      <c r="K1283" s="1" t="s">
        <v>6964</v>
      </c>
      <c r="L1283" t="s">
        <v>91</v>
      </c>
      <c r="M1283" t="s">
        <v>91</v>
      </c>
      <c r="N1283" s="1" t="s">
        <v>91</v>
      </c>
      <c r="O1283" t="s">
        <v>91</v>
      </c>
      <c r="P1283" s="1" t="s">
        <v>6965</v>
      </c>
      <c r="Q1283" s="1" t="s">
        <v>832</v>
      </c>
      <c r="R1283" s="1" t="s">
        <v>91</v>
      </c>
      <c r="S1283">
        <v>1261</v>
      </c>
      <c r="T1283">
        <v>88310001</v>
      </c>
      <c r="U1283" s="1" t="s">
        <v>6920</v>
      </c>
      <c r="V1283" s="1" t="s">
        <v>6881</v>
      </c>
      <c r="W1283" s="1" t="s">
        <v>87</v>
      </c>
      <c r="X1283">
        <v>47</v>
      </c>
      <c r="Y1283">
        <v>32460346</v>
      </c>
      <c r="Z1283" t="s">
        <v>91</v>
      </c>
      <c r="AA1283" t="s">
        <v>91</v>
      </c>
      <c r="AB1283" t="s">
        <v>91</v>
      </c>
      <c r="AC1283" t="s">
        <v>91</v>
      </c>
      <c r="AD1283" t="s">
        <v>91</v>
      </c>
      <c r="AE1283" t="s">
        <v>91</v>
      </c>
      <c r="AF1283" t="s">
        <v>91</v>
      </c>
      <c r="AG1283" s="1" t="s">
        <v>91</v>
      </c>
      <c r="AH1283" s="1" t="s">
        <v>91</v>
      </c>
      <c r="AI1283" t="s">
        <v>91</v>
      </c>
      <c r="AM1283" t="s">
        <v>91</v>
      </c>
      <c r="AN1283" t="s">
        <v>91</v>
      </c>
      <c r="AO1283" t="s">
        <v>91</v>
      </c>
      <c r="AP1283" t="s">
        <v>91</v>
      </c>
      <c r="AQ1283" s="1" t="s">
        <v>91</v>
      </c>
      <c r="AR1283" s="1" t="s">
        <v>91</v>
      </c>
      <c r="AS1283" s="1" t="s">
        <v>91</v>
      </c>
      <c r="AT1283" s="1" t="s">
        <v>91</v>
      </c>
      <c r="AU1283" s="1" t="s">
        <v>91</v>
      </c>
      <c r="AV1283" t="s">
        <v>91</v>
      </c>
      <c r="AW1283" t="s">
        <v>91</v>
      </c>
      <c r="AX1283" t="s">
        <v>91</v>
      </c>
      <c r="AY1283" t="s">
        <v>91</v>
      </c>
      <c r="AZ1283" t="s">
        <v>91</v>
      </c>
      <c r="BA1283" t="s">
        <v>91</v>
      </c>
      <c r="BB1283" s="2">
        <v>45118.101759259262</v>
      </c>
      <c r="BC1283" s="2"/>
      <c r="BD1283" t="s">
        <v>91</v>
      </c>
      <c r="BF1283" s="1" t="s">
        <v>75</v>
      </c>
      <c r="BI1283" s="1" t="s">
        <v>88</v>
      </c>
      <c r="BJ1283">
        <v>1</v>
      </c>
      <c r="BK1283" s="1" t="s">
        <v>89</v>
      </c>
      <c r="BL1283" t="s">
        <v>91</v>
      </c>
      <c r="BM1283" s="1" t="s">
        <v>91</v>
      </c>
      <c r="BN1283" s="1" t="s">
        <v>91</v>
      </c>
      <c r="BO1283" s="1" t="s">
        <v>91</v>
      </c>
      <c r="BP1283" s="1" t="s">
        <v>91</v>
      </c>
      <c r="BQ1283" t="s">
        <v>91</v>
      </c>
      <c r="BR1283" s="3">
        <v>45118</v>
      </c>
      <c r="BS1283" s="3"/>
      <c r="BT1283" t="s">
        <v>91</v>
      </c>
      <c r="BU1283" t="s">
        <v>91</v>
      </c>
      <c r="BW1283" s="1" t="s">
        <v>90</v>
      </c>
    </row>
    <row r="1284" spans="1:75" hidden="1" x14ac:dyDescent="0.35">
      <c r="A1284">
        <v>137528</v>
      </c>
      <c r="B1284" s="1" t="s">
        <v>75</v>
      </c>
      <c r="C1284">
        <v>80</v>
      </c>
      <c r="D1284">
        <v>11121004</v>
      </c>
      <c r="E1284">
        <v>121004</v>
      </c>
      <c r="F1284" s="1" t="s">
        <v>6867</v>
      </c>
      <c r="G1284" s="1" t="s">
        <v>6966</v>
      </c>
      <c r="H1284">
        <v>0</v>
      </c>
      <c r="I1284" s="1" t="s">
        <v>78</v>
      </c>
      <c r="J1284" s="1" t="s">
        <v>6967</v>
      </c>
      <c r="K1284" s="1" t="s">
        <v>6968</v>
      </c>
      <c r="L1284" t="s">
        <v>91</v>
      </c>
      <c r="M1284" t="s">
        <v>91</v>
      </c>
      <c r="N1284" s="1" t="s">
        <v>6969</v>
      </c>
      <c r="O1284" t="s">
        <v>91</v>
      </c>
      <c r="P1284" s="1" t="s">
        <v>6903</v>
      </c>
      <c r="Q1284" s="1" t="s">
        <v>6970</v>
      </c>
      <c r="R1284" s="1" t="s">
        <v>245</v>
      </c>
      <c r="S1284">
        <v>1260</v>
      </c>
      <c r="T1284">
        <v>88200000</v>
      </c>
      <c r="U1284" s="1" t="s">
        <v>108</v>
      </c>
      <c r="V1284" s="1" t="s">
        <v>6906</v>
      </c>
      <c r="W1284" s="1" t="s">
        <v>87</v>
      </c>
      <c r="X1284">
        <v>48</v>
      </c>
      <c r="Y1284">
        <v>32634280</v>
      </c>
      <c r="Z1284" t="s">
        <v>91</v>
      </c>
      <c r="AA1284" t="s">
        <v>91</v>
      </c>
      <c r="AB1284" t="s">
        <v>91</v>
      </c>
      <c r="AC1284" t="s">
        <v>91</v>
      </c>
      <c r="AD1284" t="s">
        <v>91</v>
      </c>
      <c r="AE1284" t="s">
        <v>91</v>
      </c>
      <c r="AF1284" t="s">
        <v>91</v>
      </c>
      <c r="AG1284" s="1" t="s">
        <v>146</v>
      </c>
      <c r="AH1284" s="1" t="s">
        <v>91</v>
      </c>
      <c r="AI1284" t="s">
        <v>91</v>
      </c>
      <c r="AM1284" t="s">
        <v>91</v>
      </c>
      <c r="AN1284" t="s">
        <v>91</v>
      </c>
      <c r="AO1284" t="s">
        <v>91</v>
      </c>
      <c r="AP1284" t="s">
        <v>91</v>
      </c>
      <c r="AQ1284" s="1" t="s">
        <v>147</v>
      </c>
      <c r="AR1284" s="1" t="s">
        <v>147</v>
      </c>
      <c r="AS1284" s="1" t="s">
        <v>147</v>
      </c>
      <c r="AT1284" s="1" t="s">
        <v>147</v>
      </c>
      <c r="AU1284" s="1" t="s">
        <v>147</v>
      </c>
      <c r="AV1284" t="s">
        <v>91</v>
      </c>
      <c r="AW1284" t="s">
        <v>91</v>
      </c>
      <c r="AX1284" t="s">
        <v>91</v>
      </c>
      <c r="AY1284" t="s">
        <v>91</v>
      </c>
      <c r="AZ1284" t="s">
        <v>91</v>
      </c>
      <c r="BA1284" t="s">
        <v>91</v>
      </c>
      <c r="BB1284" s="2">
        <v>44378.578518518516</v>
      </c>
      <c r="BC1284" s="2">
        <v>45125.677615740744</v>
      </c>
      <c r="BD1284" t="s">
        <v>91</v>
      </c>
      <c r="BF1284" s="1" t="s">
        <v>75</v>
      </c>
      <c r="BH1284">
        <v>0</v>
      </c>
      <c r="BI1284" s="1" t="s">
        <v>721</v>
      </c>
      <c r="BJ1284">
        <v>1</v>
      </c>
      <c r="BK1284" s="1" t="s">
        <v>89</v>
      </c>
      <c r="BL1284" t="s">
        <v>91</v>
      </c>
      <c r="BM1284" s="1" t="s">
        <v>109</v>
      </c>
      <c r="BN1284" s="1" t="s">
        <v>110</v>
      </c>
      <c r="BO1284" s="1" t="s">
        <v>128</v>
      </c>
      <c r="BP1284" s="1" t="s">
        <v>91</v>
      </c>
      <c r="BQ1284" t="s">
        <v>91</v>
      </c>
      <c r="BR1284" s="3">
        <v>44378</v>
      </c>
      <c r="BS1284" s="3">
        <v>45125</v>
      </c>
      <c r="BT1284" t="s">
        <v>91</v>
      </c>
      <c r="BU1284" t="s">
        <v>91</v>
      </c>
      <c r="BW1284" s="1" t="s">
        <v>419</v>
      </c>
    </row>
    <row r="1285" spans="1:75" hidden="1" x14ac:dyDescent="0.35">
      <c r="A1285">
        <v>157127</v>
      </c>
      <c r="B1285" s="1" t="s">
        <v>75</v>
      </c>
      <c r="C1285">
        <v>80</v>
      </c>
      <c r="D1285">
        <v>11121004</v>
      </c>
      <c r="E1285">
        <v>121004</v>
      </c>
      <c r="F1285" s="1" t="s">
        <v>6867</v>
      </c>
      <c r="G1285" s="1" t="s">
        <v>6971</v>
      </c>
      <c r="H1285">
        <v>0</v>
      </c>
      <c r="I1285" s="1" t="s">
        <v>78</v>
      </c>
      <c r="J1285" s="1" t="s">
        <v>6972</v>
      </c>
      <c r="K1285" s="1" t="s">
        <v>6973</v>
      </c>
      <c r="L1285" t="s">
        <v>91</v>
      </c>
      <c r="M1285" t="s">
        <v>91</v>
      </c>
      <c r="N1285" s="1" t="s">
        <v>6974</v>
      </c>
      <c r="O1285" t="s">
        <v>91</v>
      </c>
      <c r="P1285" s="1" t="s">
        <v>6975</v>
      </c>
      <c r="Q1285" s="1" t="s">
        <v>6976</v>
      </c>
      <c r="R1285" s="1" t="s">
        <v>236</v>
      </c>
      <c r="S1285">
        <v>1260</v>
      </c>
      <c r="T1285">
        <v>88200000</v>
      </c>
      <c r="U1285" s="1" t="s">
        <v>108</v>
      </c>
      <c r="V1285" s="1" t="s">
        <v>6906</v>
      </c>
      <c r="W1285" s="1" t="s">
        <v>87</v>
      </c>
      <c r="X1285">
        <v>48</v>
      </c>
      <c r="Y1285">
        <v>32636059</v>
      </c>
      <c r="Z1285" t="s">
        <v>91</v>
      </c>
      <c r="AA1285" t="s">
        <v>91</v>
      </c>
      <c r="AB1285" t="s">
        <v>91</v>
      </c>
      <c r="AC1285" t="s">
        <v>91</v>
      </c>
      <c r="AD1285" t="s">
        <v>91</v>
      </c>
      <c r="AE1285" t="s">
        <v>91</v>
      </c>
      <c r="AF1285" t="s">
        <v>91</v>
      </c>
      <c r="AG1285" s="1" t="s">
        <v>91</v>
      </c>
      <c r="AH1285" s="1" t="s">
        <v>91</v>
      </c>
      <c r="AI1285" t="s">
        <v>91</v>
      </c>
      <c r="AM1285" t="s">
        <v>91</v>
      </c>
      <c r="AN1285" t="s">
        <v>91</v>
      </c>
      <c r="AO1285" t="s">
        <v>91</v>
      </c>
      <c r="AP1285" t="s">
        <v>91</v>
      </c>
      <c r="AQ1285" s="1" t="s">
        <v>91</v>
      </c>
      <c r="AR1285" s="1" t="s">
        <v>91</v>
      </c>
      <c r="AS1285" s="1" t="s">
        <v>91</v>
      </c>
      <c r="AT1285" s="1" t="s">
        <v>91</v>
      </c>
      <c r="AU1285" s="1" t="s">
        <v>91</v>
      </c>
      <c r="AV1285" t="s">
        <v>91</v>
      </c>
      <c r="AW1285" t="s">
        <v>91</v>
      </c>
      <c r="AX1285" t="s">
        <v>91</v>
      </c>
      <c r="AY1285" t="s">
        <v>91</v>
      </c>
      <c r="AZ1285" t="s">
        <v>91</v>
      </c>
      <c r="BA1285" t="s">
        <v>91</v>
      </c>
      <c r="BB1285" s="2">
        <v>45113.505416666667</v>
      </c>
      <c r="BC1285" s="2"/>
      <c r="BD1285" t="s">
        <v>91</v>
      </c>
      <c r="BF1285" s="1" t="s">
        <v>75</v>
      </c>
      <c r="BI1285" s="1" t="s">
        <v>88</v>
      </c>
      <c r="BJ1285">
        <v>1</v>
      </c>
      <c r="BK1285" s="1" t="s">
        <v>89</v>
      </c>
      <c r="BL1285" t="s">
        <v>91</v>
      </c>
      <c r="BM1285" s="1" t="s">
        <v>91</v>
      </c>
      <c r="BN1285" s="1" t="s">
        <v>91</v>
      </c>
      <c r="BO1285" s="1" t="s">
        <v>91</v>
      </c>
      <c r="BP1285" s="1" t="s">
        <v>91</v>
      </c>
      <c r="BQ1285" t="s">
        <v>91</v>
      </c>
      <c r="BR1285" s="3">
        <v>45113</v>
      </c>
      <c r="BS1285" s="3"/>
      <c r="BT1285" t="s">
        <v>91</v>
      </c>
      <c r="BU1285" t="s">
        <v>91</v>
      </c>
      <c r="BW1285" s="1" t="s">
        <v>924</v>
      </c>
    </row>
    <row r="1286" spans="1:75" hidden="1" x14ac:dyDescent="0.35">
      <c r="A1286">
        <v>137530</v>
      </c>
      <c r="B1286" s="1" t="s">
        <v>75</v>
      </c>
      <c r="C1286">
        <v>80</v>
      </c>
      <c r="D1286">
        <v>11121004</v>
      </c>
      <c r="E1286">
        <v>121004</v>
      </c>
      <c r="F1286" s="1" t="s">
        <v>6867</v>
      </c>
      <c r="G1286" s="1" t="s">
        <v>6977</v>
      </c>
      <c r="H1286">
        <v>0</v>
      </c>
      <c r="I1286" s="1" t="s">
        <v>78</v>
      </c>
      <c r="J1286" s="1" t="s">
        <v>6978</v>
      </c>
      <c r="K1286" s="1" t="s">
        <v>6979</v>
      </c>
      <c r="L1286" t="s">
        <v>91</v>
      </c>
      <c r="M1286" t="s">
        <v>91</v>
      </c>
      <c r="N1286" s="1" t="s">
        <v>6980</v>
      </c>
      <c r="O1286" t="s">
        <v>91</v>
      </c>
      <c r="P1286" s="1" t="s">
        <v>860</v>
      </c>
      <c r="Q1286" s="1" t="s">
        <v>6981</v>
      </c>
      <c r="R1286" s="1" t="s">
        <v>6982</v>
      </c>
      <c r="S1286">
        <v>1262</v>
      </c>
      <c r="T1286">
        <v>88330048</v>
      </c>
      <c r="U1286" s="1" t="s">
        <v>108</v>
      </c>
      <c r="V1286" s="1" t="s">
        <v>6898</v>
      </c>
      <c r="W1286" s="1" t="s">
        <v>87</v>
      </c>
      <c r="X1286">
        <v>47</v>
      </c>
      <c r="Y1286">
        <v>33674576</v>
      </c>
      <c r="Z1286" t="s">
        <v>91</v>
      </c>
      <c r="AA1286" t="s">
        <v>91</v>
      </c>
      <c r="AB1286" t="s">
        <v>91</v>
      </c>
      <c r="AC1286" t="s">
        <v>91</v>
      </c>
      <c r="AD1286" t="s">
        <v>91</v>
      </c>
      <c r="AE1286" t="s">
        <v>91</v>
      </c>
      <c r="AF1286" t="s">
        <v>91</v>
      </c>
      <c r="AG1286" s="1" t="s">
        <v>146</v>
      </c>
      <c r="AH1286" s="1" t="s">
        <v>91</v>
      </c>
      <c r="AI1286" t="s">
        <v>91</v>
      </c>
      <c r="AM1286" t="s">
        <v>91</v>
      </c>
      <c r="AN1286" t="s">
        <v>91</v>
      </c>
      <c r="AO1286" t="s">
        <v>91</v>
      </c>
      <c r="AP1286" t="s">
        <v>91</v>
      </c>
      <c r="AQ1286" s="1" t="s">
        <v>147</v>
      </c>
      <c r="AR1286" s="1" t="s">
        <v>147</v>
      </c>
      <c r="AS1286" s="1" t="s">
        <v>147</v>
      </c>
      <c r="AT1286" s="1" t="s">
        <v>147</v>
      </c>
      <c r="AU1286" s="1" t="s">
        <v>147</v>
      </c>
      <c r="AV1286" t="s">
        <v>91</v>
      </c>
      <c r="AW1286" t="s">
        <v>91</v>
      </c>
      <c r="AX1286" t="s">
        <v>91</v>
      </c>
      <c r="AY1286" t="s">
        <v>91</v>
      </c>
      <c r="AZ1286" t="s">
        <v>91</v>
      </c>
      <c r="BA1286" t="s">
        <v>91</v>
      </c>
      <c r="BB1286" s="2">
        <v>44378.578518518516</v>
      </c>
      <c r="BC1286" s="2">
        <v>44865.648078703707</v>
      </c>
      <c r="BD1286" t="s">
        <v>91</v>
      </c>
      <c r="BF1286" s="1" t="s">
        <v>75</v>
      </c>
      <c r="BH1286">
        <v>0</v>
      </c>
      <c r="BI1286" s="1" t="s">
        <v>88</v>
      </c>
      <c r="BJ1286">
        <v>1</v>
      </c>
      <c r="BK1286" s="1" t="s">
        <v>89</v>
      </c>
      <c r="BL1286" t="s">
        <v>91</v>
      </c>
      <c r="BM1286" s="1" t="s">
        <v>109</v>
      </c>
      <c r="BN1286" s="1" t="s">
        <v>110</v>
      </c>
      <c r="BO1286" s="1" t="s">
        <v>180</v>
      </c>
      <c r="BP1286" s="1" t="s">
        <v>91</v>
      </c>
      <c r="BQ1286" t="s">
        <v>91</v>
      </c>
      <c r="BR1286" s="3">
        <v>44378</v>
      </c>
      <c r="BS1286" s="3">
        <v>44865</v>
      </c>
      <c r="BT1286" t="s">
        <v>91</v>
      </c>
      <c r="BU1286" t="s">
        <v>91</v>
      </c>
      <c r="BW1286" s="1" t="s">
        <v>6983</v>
      </c>
    </row>
    <row r="1287" spans="1:75" hidden="1" x14ac:dyDescent="0.35">
      <c r="A1287">
        <v>137588</v>
      </c>
      <c r="B1287" s="1" t="s">
        <v>75</v>
      </c>
      <c r="C1287">
        <v>80</v>
      </c>
      <c r="D1287">
        <v>11121004</v>
      </c>
      <c r="E1287">
        <v>121004</v>
      </c>
      <c r="F1287" s="1" t="s">
        <v>6867</v>
      </c>
      <c r="G1287" s="1" t="s">
        <v>6977</v>
      </c>
      <c r="H1287">
        <v>0</v>
      </c>
      <c r="I1287" s="1" t="s">
        <v>78</v>
      </c>
      <c r="J1287" s="1" t="s">
        <v>6978</v>
      </c>
      <c r="K1287" s="1" t="s">
        <v>6979</v>
      </c>
      <c r="L1287" t="s">
        <v>91</v>
      </c>
      <c r="M1287" t="s">
        <v>91</v>
      </c>
      <c r="N1287" s="1" t="s">
        <v>6980</v>
      </c>
      <c r="O1287" t="s">
        <v>91</v>
      </c>
      <c r="P1287" s="1" t="s">
        <v>6984</v>
      </c>
      <c r="Q1287" s="1" t="s">
        <v>6985</v>
      </c>
      <c r="R1287" s="1" t="s">
        <v>98</v>
      </c>
      <c r="S1287">
        <v>1260</v>
      </c>
      <c r="T1287">
        <v>88210000</v>
      </c>
      <c r="U1287" s="1" t="s">
        <v>6986</v>
      </c>
      <c r="V1287" s="1" t="s">
        <v>6987</v>
      </c>
      <c r="W1287" s="1" t="s">
        <v>87</v>
      </c>
      <c r="X1287">
        <v>47</v>
      </c>
      <c r="Y1287">
        <v>33695203</v>
      </c>
      <c r="Z1287" t="s">
        <v>91</v>
      </c>
      <c r="AA1287" t="s">
        <v>91</v>
      </c>
      <c r="AB1287" t="s">
        <v>91</v>
      </c>
      <c r="AC1287" t="s">
        <v>91</v>
      </c>
      <c r="AD1287" t="s">
        <v>91</v>
      </c>
      <c r="AE1287" t="s">
        <v>91</v>
      </c>
      <c r="AF1287" t="s">
        <v>91</v>
      </c>
      <c r="AG1287" s="1" t="s">
        <v>146</v>
      </c>
      <c r="AH1287" s="1" t="s">
        <v>91</v>
      </c>
      <c r="AI1287" t="s">
        <v>91</v>
      </c>
      <c r="AM1287" t="s">
        <v>91</v>
      </c>
      <c r="AN1287" t="s">
        <v>91</v>
      </c>
      <c r="AO1287" t="s">
        <v>91</v>
      </c>
      <c r="AP1287" t="s">
        <v>91</v>
      </c>
      <c r="AQ1287" s="1" t="s">
        <v>147</v>
      </c>
      <c r="AR1287" s="1" t="s">
        <v>147</v>
      </c>
      <c r="AS1287" s="1" t="s">
        <v>147</v>
      </c>
      <c r="AT1287" s="1" t="s">
        <v>147</v>
      </c>
      <c r="AU1287" s="1" t="s">
        <v>147</v>
      </c>
      <c r="AV1287" t="s">
        <v>91</v>
      </c>
      <c r="AW1287" t="s">
        <v>91</v>
      </c>
      <c r="AX1287" t="s">
        <v>91</v>
      </c>
      <c r="AY1287" t="s">
        <v>91</v>
      </c>
      <c r="AZ1287" t="s">
        <v>91</v>
      </c>
      <c r="BA1287" t="s">
        <v>91</v>
      </c>
      <c r="BB1287" s="2">
        <v>44378.578518518516</v>
      </c>
      <c r="BC1287" s="2">
        <v>44599.650231481479</v>
      </c>
      <c r="BD1287" t="s">
        <v>91</v>
      </c>
      <c r="BF1287" s="1" t="s">
        <v>75</v>
      </c>
      <c r="BH1287">
        <v>0</v>
      </c>
      <c r="BI1287" s="1" t="s">
        <v>88</v>
      </c>
      <c r="BJ1287">
        <v>1</v>
      </c>
      <c r="BK1287" s="1" t="s">
        <v>89</v>
      </c>
      <c r="BL1287" t="s">
        <v>91</v>
      </c>
      <c r="BM1287" s="1" t="s">
        <v>109</v>
      </c>
      <c r="BN1287" s="1" t="s">
        <v>110</v>
      </c>
      <c r="BO1287" s="1" t="s">
        <v>91</v>
      </c>
      <c r="BP1287" s="1" t="s">
        <v>91</v>
      </c>
      <c r="BQ1287" t="s">
        <v>91</v>
      </c>
      <c r="BR1287" s="3">
        <v>44378</v>
      </c>
      <c r="BS1287" s="3">
        <v>44599</v>
      </c>
      <c r="BT1287" t="s">
        <v>91</v>
      </c>
      <c r="BU1287" t="s">
        <v>91</v>
      </c>
      <c r="BW1287" s="1" t="s">
        <v>6988</v>
      </c>
    </row>
    <row r="1288" spans="1:75" hidden="1" x14ac:dyDescent="0.35">
      <c r="A1288">
        <v>157782</v>
      </c>
      <c r="B1288" s="1" t="s">
        <v>75</v>
      </c>
      <c r="C1288">
        <v>80</v>
      </c>
      <c r="D1288">
        <v>11121004</v>
      </c>
      <c r="E1288">
        <v>121004</v>
      </c>
      <c r="F1288" s="1" t="s">
        <v>6867</v>
      </c>
      <c r="G1288" s="1" t="s">
        <v>6989</v>
      </c>
      <c r="H1288">
        <v>0</v>
      </c>
      <c r="I1288" s="1" t="s">
        <v>78</v>
      </c>
      <c r="J1288" s="1" t="s">
        <v>6990</v>
      </c>
      <c r="K1288" s="1" t="s">
        <v>6991</v>
      </c>
      <c r="L1288" t="s">
        <v>91</v>
      </c>
      <c r="M1288" t="s">
        <v>91</v>
      </c>
      <c r="N1288" s="1" t="s">
        <v>6992</v>
      </c>
      <c r="O1288" t="s">
        <v>91</v>
      </c>
      <c r="P1288" s="1" t="s">
        <v>6993</v>
      </c>
      <c r="Q1288" s="1" t="s">
        <v>6994</v>
      </c>
      <c r="R1288" s="1" t="s">
        <v>236</v>
      </c>
      <c r="S1288">
        <v>1260</v>
      </c>
      <c r="T1288">
        <v>88220000</v>
      </c>
      <c r="U1288" s="1" t="s">
        <v>6995</v>
      </c>
      <c r="V1288" s="1" t="s">
        <v>6881</v>
      </c>
      <c r="W1288" s="1" t="s">
        <v>87</v>
      </c>
      <c r="X1288">
        <v>47</v>
      </c>
      <c r="Y1288">
        <v>996613701</v>
      </c>
      <c r="Z1288" t="s">
        <v>91</v>
      </c>
      <c r="AA1288" t="s">
        <v>91</v>
      </c>
      <c r="AB1288" t="s">
        <v>91</v>
      </c>
      <c r="AC1288" t="s">
        <v>91</v>
      </c>
      <c r="AD1288" t="s">
        <v>91</v>
      </c>
      <c r="AE1288" t="s">
        <v>91</v>
      </c>
      <c r="AF1288" t="s">
        <v>91</v>
      </c>
      <c r="AG1288" s="1" t="s">
        <v>91</v>
      </c>
      <c r="AH1288" s="1" t="s">
        <v>91</v>
      </c>
      <c r="AI1288" t="s">
        <v>91</v>
      </c>
      <c r="AM1288" t="s">
        <v>91</v>
      </c>
      <c r="AN1288" t="s">
        <v>91</v>
      </c>
      <c r="AO1288" t="s">
        <v>91</v>
      </c>
      <c r="AP1288" t="s">
        <v>91</v>
      </c>
      <c r="AQ1288" s="1" t="s">
        <v>91</v>
      </c>
      <c r="AR1288" s="1" t="s">
        <v>91</v>
      </c>
      <c r="AS1288" s="1" t="s">
        <v>91</v>
      </c>
      <c r="AT1288" s="1" t="s">
        <v>91</v>
      </c>
      <c r="AU1288" s="1" t="s">
        <v>91</v>
      </c>
      <c r="AV1288" t="s">
        <v>91</v>
      </c>
      <c r="AW1288" t="s">
        <v>91</v>
      </c>
      <c r="AX1288" t="s">
        <v>91</v>
      </c>
      <c r="AY1288" t="s">
        <v>91</v>
      </c>
      <c r="AZ1288" t="s">
        <v>91</v>
      </c>
      <c r="BA1288" t="s">
        <v>91</v>
      </c>
      <c r="BB1288" s="2">
        <v>45118.101759259262</v>
      </c>
      <c r="BC1288" s="2"/>
      <c r="BD1288" t="s">
        <v>91</v>
      </c>
      <c r="BF1288" s="1" t="s">
        <v>75</v>
      </c>
      <c r="BI1288" s="1" t="s">
        <v>88</v>
      </c>
      <c r="BJ1288">
        <v>1</v>
      </c>
      <c r="BK1288" s="1" t="s">
        <v>89</v>
      </c>
      <c r="BL1288" t="s">
        <v>91</v>
      </c>
      <c r="BM1288" s="1" t="s">
        <v>91</v>
      </c>
      <c r="BN1288" s="1" t="s">
        <v>91</v>
      </c>
      <c r="BO1288" s="1" t="s">
        <v>91</v>
      </c>
      <c r="BP1288" s="1" t="s">
        <v>91</v>
      </c>
      <c r="BQ1288" t="s">
        <v>91</v>
      </c>
      <c r="BR1288" s="3">
        <v>45118</v>
      </c>
      <c r="BS1288" s="3"/>
      <c r="BT1288" t="s">
        <v>91</v>
      </c>
      <c r="BU1288" t="s">
        <v>91</v>
      </c>
      <c r="BW1288" s="1" t="s">
        <v>90</v>
      </c>
    </row>
    <row r="1289" spans="1:75" hidden="1" x14ac:dyDescent="0.35">
      <c r="A1289">
        <v>137532</v>
      </c>
      <c r="B1289" s="1" t="s">
        <v>75</v>
      </c>
      <c r="C1289">
        <v>80</v>
      </c>
      <c r="D1289">
        <v>11121004</v>
      </c>
      <c r="E1289">
        <v>121004</v>
      </c>
      <c r="F1289" s="1" t="s">
        <v>6867</v>
      </c>
      <c r="G1289" s="1" t="s">
        <v>6996</v>
      </c>
      <c r="H1289">
        <v>0</v>
      </c>
      <c r="I1289" s="1" t="s">
        <v>78</v>
      </c>
      <c r="J1289" s="1" t="s">
        <v>6997</v>
      </c>
      <c r="K1289" s="1" t="s">
        <v>6998</v>
      </c>
      <c r="L1289" t="s">
        <v>91</v>
      </c>
      <c r="M1289" t="s">
        <v>91</v>
      </c>
      <c r="N1289" s="1" t="s">
        <v>6999</v>
      </c>
      <c r="O1289" t="s">
        <v>91</v>
      </c>
      <c r="P1289" s="1" t="s">
        <v>7000</v>
      </c>
      <c r="Q1289" s="1" t="s">
        <v>7001</v>
      </c>
      <c r="R1289" s="1" t="s">
        <v>91</v>
      </c>
      <c r="S1289">
        <v>1261</v>
      </c>
      <c r="T1289">
        <v>88301670</v>
      </c>
      <c r="U1289" s="1" t="s">
        <v>7002</v>
      </c>
      <c r="V1289" s="1" t="s">
        <v>6874</v>
      </c>
      <c r="W1289" s="1" t="s">
        <v>87</v>
      </c>
      <c r="X1289">
        <v>47</v>
      </c>
      <c r="Y1289">
        <v>33488590</v>
      </c>
      <c r="Z1289" t="s">
        <v>91</v>
      </c>
      <c r="AA1289" t="s">
        <v>91</v>
      </c>
      <c r="AB1289" t="s">
        <v>91</v>
      </c>
      <c r="AC1289" t="s">
        <v>91</v>
      </c>
      <c r="AD1289" t="s">
        <v>91</v>
      </c>
      <c r="AE1289" t="s">
        <v>91</v>
      </c>
      <c r="AF1289" t="s">
        <v>91</v>
      </c>
      <c r="AG1289" s="1" t="s">
        <v>146</v>
      </c>
      <c r="AH1289" s="1" t="s">
        <v>91</v>
      </c>
      <c r="AI1289" t="s">
        <v>91</v>
      </c>
      <c r="AM1289" t="s">
        <v>91</v>
      </c>
      <c r="AN1289" t="s">
        <v>91</v>
      </c>
      <c r="AO1289" t="s">
        <v>91</v>
      </c>
      <c r="AP1289" t="s">
        <v>91</v>
      </c>
      <c r="AQ1289" s="1" t="s">
        <v>147</v>
      </c>
      <c r="AR1289" s="1" t="s">
        <v>147</v>
      </c>
      <c r="AS1289" s="1" t="s">
        <v>147</v>
      </c>
      <c r="AT1289" s="1" t="s">
        <v>147</v>
      </c>
      <c r="AU1289" s="1" t="s">
        <v>147</v>
      </c>
      <c r="AV1289" t="s">
        <v>91</v>
      </c>
      <c r="AW1289" t="s">
        <v>91</v>
      </c>
      <c r="AX1289" t="s">
        <v>91</v>
      </c>
      <c r="AY1289" t="s">
        <v>91</v>
      </c>
      <c r="AZ1289" t="s">
        <v>91</v>
      </c>
      <c r="BA1289" t="s">
        <v>91</v>
      </c>
      <c r="BB1289" s="2">
        <v>44378.578518518516</v>
      </c>
      <c r="BC1289" s="2">
        <v>45118.610659722224</v>
      </c>
      <c r="BD1289" t="s">
        <v>91</v>
      </c>
      <c r="BF1289" s="1" t="s">
        <v>75</v>
      </c>
      <c r="BH1289">
        <v>0</v>
      </c>
      <c r="BI1289" s="1" t="s">
        <v>721</v>
      </c>
      <c r="BJ1289">
        <v>1</v>
      </c>
      <c r="BK1289" s="1" t="s">
        <v>89</v>
      </c>
      <c r="BL1289" t="s">
        <v>91</v>
      </c>
      <c r="BM1289" s="1" t="s">
        <v>109</v>
      </c>
      <c r="BN1289" s="1" t="s">
        <v>148</v>
      </c>
      <c r="BO1289" s="1" t="s">
        <v>128</v>
      </c>
      <c r="BP1289" s="1" t="s">
        <v>91</v>
      </c>
      <c r="BQ1289" t="s">
        <v>91</v>
      </c>
      <c r="BR1289" s="3">
        <v>44378</v>
      </c>
      <c r="BS1289" s="3">
        <v>45118</v>
      </c>
      <c r="BT1289" t="s">
        <v>91</v>
      </c>
      <c r="BU1289" t="s">
        <v>91</v>
      </c>
      <c r="BW1289" s="1" t="s">
        <v>255</v>
      </c>
    </row>
    <row r="1290" spans="1:75" hidden="1" x14ac:dyDescent="0.35">
      <c r="A1290">
        <v>137533</v>
      </c>
      <c r="B1290" s="1" t="s">
        <v>75</v>
      </c>
      <c r="C1290">
        <v>80</v>
      </c>
      <c r="D1290">
        <v>11121004</v>
      </c>
      <c r="E1290">
        <v>121004</v>
      </c>
      <c r="F1290" s="1" t="s">
        <v>6867</v>
      </c>
      <c r="G1290" s="1" t="s">
        <v>7003</v>
      </c>
      <c r="H1290">
        <v>0</v>
      </c>
      <c r="I1290" s="1" t="s">
        <v>78</v>
      </c>
      <c r="J1290" s="1" t="s">
        <v>7004</v>
      </c>
      <c r="K1290" s="1" t="s">
        <v>7005</v>
      </c>
      <c r="L1290" t="s">
        <v>91</v>
      </c>
      <c r="M1290" t="s">
        <v>91</v>
      </c>
      <c r="N1290" s="1" t="s">
        <v>7006</v>
      </c>
      <c r="O1290" t="s">
        <v>91</v>
      </c>
      <c r="P1290" s="1" t="s">
        <v>7007</v>
      </c>
      <c r="Q1290" s="1" t="s">
        <v>2249</v>
      </c>
      <c r="R1290" s="1" t="s">
        <v>91</v>
      </c>
      <c r="T1290">
        <v>89111420</v>
      </c>
      <c r="U1290" s="1" t="s">
        <v>108</v>
      </c>
      <c r="V1290" s="1" t="s">
        <v>7008</v>
      </c>
      <c r="W1290" s="1" t="s">
        <v>87</v>
      </c>
      <c r="X1290">
        <v>47</v>
      </c>
      <c r="Y1290">
        <v>33324884</v>
      </c>
      <c r="Z1290" t="s">
        <v>91</v>
      </c>
      <c r="AA1290" t="s">
        <v>91</v>
      </c>
      <c r="AB1290" t="s">
        <v>91</v>
      </c>
      <c r="AC1290" t="s">
        <v>91</v>
      </c>
      <c r="AD1290" t="s">
        <v>91</v>
      </c>
      <c r="AE1290" t="s">
        <v>91</v>
      </c>
      <c r="AF1290" t="s">
        <v>91</v>
      </c>
      <c r="AG1290" s="1" t="s">
        <v>146</v>
      </c>
      <c r="AH1290" s="1" t="s">
        <v>91</v>
      </c>
      <c r="AI1290" t="s">
        <v>91</v>
      </c>
      <c r="AM1290" t="s">
        <v>91</v>
      </c>
      <c r="AN1290" t="s">
        <v>91</v>
      </c>
      <c r="AO1290" t="s">
        <v>91</v>
      </c>
      <c r="AP1290" t="s">
        <v>91</v>
      </c>
      <c r="AQ1290" s="1" t="s">
        <v>147</v>
      </c>
      <c r="AR1290" s="1" t="s">
        <v>147</v>
      </c>
      <c r="AS1290" s="1" t="s">
        <v>147</v>
      </c>
      <c r="AT1290" s="1" t="s">
        <v>147</v>
      </c>
      <c r="AU1290" s="1" t="s">
        <v>147</v>
      </c>
      <c r="AV1290" t="s">
        <v>91</v>
      </c>
      <c r="AW1290" t="s">
        <v>91</v>
      </c>
      <c r="AX1290" t="s">
        <v>91</v>
      </c>
      <c r="AY1290" t="s">
        <v>91</v>
      </c>
      <c r="AZ1290" t="s">
        <v>91</v>
      </c>
      <c r="BA1290" t="s">
        <v>91</v>
      </c>
      <c r="BB1290" s="2">
        <v>44378.578518518516</v>
      </c>
      <c r="BC1290" s="2">
        <v>45114.507847222223</v>
      </c>
      <c r="BD1290" t="s">
        <v>91</v>
      </c>
      <c r="BF1290" s="1" t="s">
        <v>75</v>
      </c>
      <c r="BH1290">
        <v>0</v>
      </c>
      <c r="BI1290" s="1" t="s">
        <v>88</v>
      </c>
      <c r="BJ1290">
        <v>1</v>
      </c>
      <c r="BK1290" s="1" t="s">
        <v>89</v>
      </c>
      <c r="BL1290" t="s">
        <v>91</v>
      </c>
      <c r="BM1290" s="1" t="s">
        <v>164</v>
      </c>
      <c r="BN1290" s="1" t="s">
        <v>110</v>
      </c>
      <c r="BO1290" s="1" t="s">
        <v>165</v>
      </c>
      <c r="BP1290" s="1" t="s">
        <v>91</v>
      </c>
      <c r="BQ1290" t="s">
        <v>91</v>
      </c>
      <c r="BR1290" s="3">
        <v>44378</v>
      </c>
      <c r="BS1290" s="3">
        <v>45114</v>
      </c>
      <c r="BT1290" t="s">
        <v>91</v>
      </c>
      <c r="BU1290" t="s">
        <v>91</v>
      </c>
      <c r="BW1290" s="1" t="s">
        <v>735</v>
      </c>
    </row>
    <row r="1291" spans="1:75" hidden="1" x14ac:dyDescent="0.35">
      <c r="A1291">
        <v>157789</v>
      </c>
      <c r="B1291" s="1" t="s">
        <v>75</v>
      </c>
      <c r="C1291">
        <v>80</v>
      </c>
      <c r="D1291">
        <v>11121004</v>
      </c>
      <c r="E1291">
        <v>121004</v>
      </c>
      <c r="F1291" s="1" t="s">
        <v>6867</v>
      </c>
      <c r="G1291" s="1" t="s">
        <v>7009</v>
      </c>
      <c r="H1291">
        <v>0</v>
      </c>
      <c r="I1291" s="1" t="s">
        <v>78</v>
      </c>
      <c r="J1291" s="1" t="s">
        <v>7010</v>
      </c>
      <c r="K1291" s="1" t="s">
        <v>7011</v>
      </c>
      <c r="L1291" t="s">
        <v>91</v>
      </c>
      <c r="M1291" t="s">
        <v>91</v>
      </c>
      <c r="N1291" s="1" t="s">
        <v>7012</v>
      </c>
      <c r="O1291" t="s">
        <v>91</v>
      </c>
      <c r="P1291" s="1" t="s">
        <v>7013</v>
      </c>
      <c r="Q1291" s="1" t="s">
        <v>7014</v>
      </c>
      <c r="R1291" s="1" t="s">
        <v>91</v>
      </c>
      <c r="S1291">
        <v>1260</v>
      </c>
      <c r="T1291">
        <v>88220000</v>
      </c>
      <c r="U1291" s="1" t="s">
        <v>108</v>
      </c>
      <c r="V1291" s="1" t="s">
        <v>7015</v>
      </c>
      <c r="W1291" s="1" t="s">
        <v>87</v>
      </c>
      <c r="X1291">
        <v>47</v>
      </c>
      <c r="Y1291">
        <v>33688083</v>
      </c>
      <c r="Z1291" t="s">
        <v>91</v>
      </c>
      <c r="AA1291" t="s">
        <v>91</v>
      </c>
      <c r="AB1291" t="s">
        <v>91</v>
      </c>
      <c r="AC1291" t="s">
        <v>91</v>
      </c>
      <c r="AD1291" t="s">
        <v>91</v>
      </c>
      <c r="AE1291" t="s">
        <v>91</v>
      </c>
      <c r="AF1291" t="s">
        <v>91</v>
      </c>
      <c r="AG1291" s="1" t="s">
        <v>91</v>
      </c>
      <c r="AH1291" s="1" t="s">
        <v>91</v>
      </c>
      <c r="AI1291" t="s">
        <v>91</v>
      </c>
      <c r="AM1291" t="s">
        <v>91</v>
      </c>
      <c r="AN1291" t="s">
        <v>91</v>
      </c>
      <c r="AO1291" t="s">
        <v>91</v>
      </c>
      <c r="AP1291" t="s">
        <v>91</v>
      </c>
      <c r="AQ1291" s="1" t="s">
        <v>91</v>
      </c>
      <c r="AR1291" s="1" t="s">
        <v>91</v>
      </c>
      <c r="AS1291" s="1" t="s">
        <v>91</v>
      </c>
      <c r="AT1291" s="1" t="s">
        <v>91</v>
      </c>
      <c r="AU1291" s="1" t="s">
        <v>91</v>
      </c>
      <c r="AV1291" t="s">
        <v>91</v>
      </c>
      <c r="AW1291" t="s">
        <v>91</v>
      </c>
      <c r="AX1291" t="s">
        <v>91</v>
      </c>
      <c r="AY1291" t="s">
        <v>91</v>
      </c>
      <c r="AZ1291" t="s">
        <v>91</v>
      </c>
      <c r="BA1291" t="s">
        <v>91</v>
      </c>
      <c r="BB1291" s="2">
        <v>45118.101759259262</v>
      </c>
      <c r="BC1291" s="2"/>
      <c r="BD1291" t="s">
        <v>91</v>
      </c>
      <c r="BF1291" s="1" t="s">
        <v>75</v>
      </c>
      <c r="BI1291" s="1" t="s">
        <v>88</v>
      </c>
      <c r="BJ1291">
        <v>1</v>
      </c>
      <c r="BK1291" s="1" t="s">
        <v>89</v>
      </c>
      <c r="BL1291" t="s">
        <v>91</v>
      </c>
      <c r="BM1291" s="1" t="s">
        <v>91</v>
      </c>
      <c r="BN1291" s="1" t="s">
        <v>91</v>
      </c>
      <c r="BO1291" s="1" t="s">
        <v>91</v>
      </c>
      <c r="BP1291" s="1" t="s">
        <v>91</v>
      </c>
      <c r="BQ1291" t="s">
        <v>91</v>
      </c>
      <c r="BR1291" s="3">
        <v>45118</v>
      </c>
      <c r="BS1291" s="3"/>
      <c r="BT1291" t="s">
        <v>91</v>
      </c>
      <c r="BU1291" t="s">
        <v>91</v>
      </c>
      <c r="BW1291" s="1" t="s">
        <v>90</v>
      </c>
    </row>
    <row r="1292" spans="1:75" hidden="1" x14ac:dyDescent="0.35">
      <c r="A1292">
        <v>157128</v>
      </c>
      <c r="B1292" s="1" t="s">
        <v>75</v>
      </c>
      <c r="C1292">
        <v>80</v>
      </c>
      <c r="D1292">
        <v>11121004</v>
      </c>
      <c r="E1292">
        <v>121004</v>
      </c>
      <c r="F1292" s="1" t="s">
        <v>6867</v>
      </c>
      <c r="G1292" s="1" t="s">
        <v>7016</v>
      </c>
      <c r="H1292">
        <v>0</v>
      </c>
      <c r="I1292" s="1" t="s">
        <v>78</v>
      </c>
      <c r="J1292" s="1" t="s">
        <v>7017</v>
      </c>
      <c r="K1292" s="1" t="s">
        <v>7018</v>
      </c>
      <c r="L1292" t="s">
        <v>91</v>
      </c>
      <c r="M1292" t="s">
        <v>91</v>
      </c>
      <c r="N1292" s="1" t="s">
        <v>7019</v>
      </c>
      <c r="O1292" t="s">
        <v>91</v>
      </c>
      <c r="P1292" s="1" t="s">
        <v>364</v>
      </c>
      <c r="Q1292" s="1" t="s">
        <v>144</v>
      </c>
      <c r="R1292" s="1" t="s">
        <v>91</v>
      </c>
      <c r="S1292">
        <v>1263</v>
      </c>
      <c r="T1292">
        <v>88380000</v>
      </c>
      <c r="U1292" s="1" t="s">
        <v>108</v>
      </c>
      <c r="V1292" s="1" t="s">
        <v>6946</v>
      </c>
      <c r="W1292" s="1" t="s">
        <v>87</v>
      </c>
      <c r="X1292">
        <v>47</v>
      </c>
      <c r="Y1292">
        <v>32685214</v>
      </c>
      <c r="Z1292" t="s">
        <v>91</v>
      </c>
      <c r="AA1292" t="s">
        <v>91</v>
      </c>
      <c r="AB1292" t="s">
        <v>91</v>
      </c>
      <c r="AC1292" t="s">
        <v>91</v>
      </c>
      <c r="AD1292" t="s">
        <v>91</v>
      </c>
      <c r="AE1292" t="s">
        <v>91</v>
      </c>
      <c r="AF1292" t="s">
        <v>91</v>
      </c>
      <c r="AG1292" s="1" t="s">
        <v>91</v>
      </c>
      <c r="AH1292" s="1" t="s">
        <v>91</v>
      </c>
      <c r="AI1292" t="s">
        <v>91</v>
      </c>
      <c r="AM1292" t="s">
        <v>91</v>
      </c>
      <c r="AN1292" t="s">
        <v>91</v>
      </c>
      <c r="AO1292" t="s">
        <v>91</v>
      </c>
      <c r="AP1292" t="s">
        <v>91</v>
      </c>
      <c r="AQ1292" s="1" t="s">
        <v>91</v>
      </c>
      <c r="AR1292" s="1" t="s">
        <v>91</v>
      </c>
      <c r="AS1292" s="1" t="s">
        <v>91</v>
      </c>
      <c r="AT1292" s="1" t="s">
        <v>91</v>
      </c>
      <c r="AU1292" s="1" t="s">
        <v>91</v>
      </c>
      <c r="AV1292" t="s">
        <v>91</v>
      </c>
      <c r="AW1292" t="s">
        <v>91</v>
      </c>
      <c r="AX1292" t="s">
        <v>91</v>
      </c>
      <c r="AY1292" t="s">
        <v>91</v>
      </c>
      <c r="AZ1292" t="s">
        <v>91</v>
      </c>
      <c r="BA1292" t="s">
        <v>91</v>
      </c>
      <c r="BB1292" s="2">
        <v>45113.505416666667</v>
      </c>
      <c r="BC1292" s="2"/>
      <c r="BD1292" t="s">
        <v>91</v>
      </c>
      <c r="BF1292" s="1" t="s">
        <v>75</v>
      </c>
      <c r="BI1292" s="1" t="s">
        <v>88</v>
      </c>
      <c r="BJ1292">
        <v>1</v>
      </c>
      <c r="BK1292" s="1" t="s">
        <v>89</v>
      </c>
      <c r="BL1292" t="s">
        <v>91</v>
      </c>
      <c r="BM1292" s="1" t="s">
        <v>91</v>
      </c>
      <c r="BN1292" s="1" t="s">
        <v>91</v>
      </c>
      <c r="BO1292" s="1" t="s">
        <v>91</v>
      </c>
      <c r="BP1292" s="1" t="s">
        <v>91</v>
      </c>
      <c r="BQ1292" t="s">
        <v>91</v>
      </c>
      <c r="BR1292" s="3">
        <v>45113</v>
      </c>
      <c r="BS1292" s="3"/>
      <c r="BT1292" t="s">
        <v>91</v>
      </c>
      <c r="BU1292" t="s">
        <v>91</v>
      </c>
      <c r="BW1292" s="1" t="s">
        <v>90</v>
      </c>
    </row>
    <row r="1293" spans="1:75" hidden="1" x14ac:dyDescent="0.35">
      <c r="A1293">
        <v>127479</v>
      </c>
      <c r="B1293" s="1" t="s">
        <v>75</v>
      </c>
      <c r="C1293">
        <v>80</v>
      </c>
      <c r="D1293">
        <v>11121004</v>
      </c>
      <c r="E1293">
        <v>121004</v>
      </c>
      <c r="F1293" s="1" t="s">
        <v>6867</v>
      </c>
      <c r="G1293" s="1" t="s">
        <v>7020</v>
      </c>
      <c r="H1293">
        <v>0</v>
      </c>
      <c r="I1293" s="1" t="s">
        <v>78</v>
      </c>
      <c r="J1293" s="1" t="s">
        <v>7021</v>
      </c>
      <c r="K1293" s="1" t="s">
        <v>7022</v>
      </c>
      <c r="L1293" t="s">
        <v>91</v>
      </c>
      <c r="M1293" t="s">
        <v>91</v>
      </c>
      <c r="N1293" s="1" t="s">
        <v>7023</v>
      </c>
      <c r="O1293" t="s">
        <v>91</v>
      </c>
      <c r="P1293" s="1" t="s">
        <v>7024</v>
      </c>
      <c r="Q1293" s="1" t="s">
        <v>255</v>
      </c>
      <c r="R1293" s="1" t="s">
        <v>1411</v>
      </c>
      <c r="S1293">
        <v>1260</v>
      </c>
      <c r="T1293">
        <v>88200000</v>
      </c>
      <c r="U1293" s="1" t="s">
        <v>108</v>
      </c>
      <c r="V1293" s="1" t="s">
        <v>6906</v>
      </c>
      <c r="W1293" s="1" t="s">
        <v>87</v>
      </c>
      <c r="X1293">
        <v>48</v>
      </c>
      <c r="Y1293">
        <v>32630714</v>
      </c>
      <c r="Z1293" t="s">
        <v>91</v>
      </c>
      <c r="AA1293" t="s">
        <v>91</v>
      </c>
      <c r="AB1293" t="s">
        <v>91</v>
      </c>
      <c r="AC1293" t="s">
        <v>91</v>
      </c>
      <c r="AD1293" t="s">
        <v>91</v>
      </c>
      <c r="AE1293" t="s">
        <v>91</v>
      </c>
      <c r="AF1293" t="s">
        <v>91</v>
      </c>
      <c r="AG1293" s="1" t="s">
        <v>91</v>
      </c>
      <c r="AH1293" s="1" t="s">
        <v>91</v>
      </c>
      <c r="AI1293" t="s">
        <v>91</v>
      </c>
      <c r="AM1293" t="s">
        <v>91</v>
      </c>
      <c r="AN1293" t="s">
        <v>91</v>
      </c>
      <c r="AO1293" t="s">
        <v>91</v>
      </c>
      <c r="AP1293" t="s">
        <v>91</v>
      </c>
      <c r="AQ1293" s="1" t="s">
        <v>91</v>
      </c>
      <c r="AR1293" s="1" t="s">
        <v>91</v>
      </c>
      <c r="AS1293" s="1" t="s">
        <v>91</v>
      </c>
      <c r="AT1293" s="1" t="s">
        <v>91</v>
      </c>
      <c r="AU1293" s="1" t="s">
        <v>91</v>
      </c>
      <c r="AV1293" t="s">
        <v>91</v>
      </c>
      <c r="AW1293" t="s">
        <v>91</v>
      </c>
      <c r="AX1293" t="s">
        <v>91</v>
      </c>
      <c r="AY1293" t="s">
        <v>91</v>
      </c>
      <c r="AZ1293" t="s">
        <v>91</v>
      </c>
      <c r="BA1293" t="s">
        <v>91</v>
      </c>
      <c r="BB1293" s="2">
        <v>44111.380995370368</v>
      </c>
      <c r="BC1293" s="2"/>
      <c r="BD1293" t="s">
        <v>91</v>
      </c>
      <c r="BF1293" s="1" t="s">
        <v>75</v>
      </c>
      <c r="BI1293" s="1" t="s">
        <v>88</v>
      </c>
      <c r="BJ1293">
        <v>1</v>
      </c>
      <c r="BK1293" s="1" t="s">
        <v>89</v>
      </c>
      <c r="BL1293" t="s">
        <v>91</v>
      </c>
      <c r="BM1293" s="1" t="s">
        <v>109</v>
      </c>
      <c r="BN1293" s="1" t="s">
        <v>110</v>
      </c>
      <c r="BO1293" s="1" t="s">
        <v>111</v>
      </c>
      <c r="BP1293" s="1" t="s">
        <v>91</v>
      </c>
      <c r="BQ1293" t="s">
        <v>91</v>
      </c>
      <c r="BR1293" s="3">
        <v>44111</v>
      </c>
      <c r="BS1293" s="3"/>
      <c r="BT1293" t="s">
        <v>91</v>
      </c>
      <c r="BU1293" t="s">
        <v>91</v>
      </c>
      <c r="BV1293">
        <v>9</v>
      </c>
      <c r="BW1293" s="1" t="s">
        <v>390</v>
      </c>
    </row>
    <row r="1294" spans="1:75" hidden="1" x14ac:dyDescent="0.35">
      <c r="A1294">
        <v>117443</v>
      </c>
      <c r="B1294" s="1" t="s">
        <v>75</v>
      </c>
      <c r="C1294">
        <v>80</v>
      </c>
      <c r="D1294">
        <v>11121004</v>
      </c>
      <c r="E1294">
        <v>121004</v>
      </c>
      <c r="F1294" s="1" t="s">
        <v>6867</v>
      </c>
      <c r="G1294" s="1" t="s">
        <v>7025</v>
      </c>
      <c r="H1294">
        <v>0</v>
      </c>
      <c r="I1294" s="1" t="s">
        <v>78</v>
      </c>
      <c r="J1294" s="1" t="s">
        <v>7026</v>
      </c>
      <c r="K1294" s="1" t="s">
        <v>7027</v>
      </c>
      <c r="L1294" t="s">
        <v>91</v>
      </c>
      <c r="M1294" t="s">
        <v>91</v>
      </c>
      <c r="N1294" s="1" t="s">
        <v>91</v>
      </c>
      <c r="O1294" t="s">
        <v>91</v>
      </c>
      <c r="P1294" s="1" t="s">
        <v>593</v>
      </c>
      <c r="Q1294" s="1" t="s">
        <v>7028</v>
      </c>
      <c r="R1294" s="1" t="s">
        <v>7029</v>
      </c>
      <c r="S1294">
        <v>1262</v>
      </c>
      <c r="T1294">
        <v>88339005</v>
      </c>
      <c r="U1294" s="1" t="s">
        <v>7030</v>
      </c>
      <c r="V1294" s="1" t="s">
        <v>6898</v>
      </c>
      <c r="W1294" s="1" t="s">
        <v>87</v>
      </c>
      <c r="X1294">
        <v>48</v>
      </c>
      <c r="Y1294">
        <v>30243492</v>
      </c>
      <c r="Z1294" t="s">
        <v>91</v>
      </c>
      <c r="AA1294" t="s">
        <v>91</v>
      </c>
      <c r="AB1294" t="s">
        <v>91</v>
      </c>
      <c r="AC1294" t="s">
        <v>91</v>
      </c>
      <c r="AD1294" t="s">
        <v>91</v>
      </c>
      <c r="AE1294" t="s">
        <v>91</v>
      </c>
      <c r="AF1294" t="s">
        <v>91</v>
      </c>
      <c r="AG1294" s="1" t="s">
        <v>91</v>
      </c>
      <c r="AH1294" s="1" t="s">
        <v>91</v>
      </c>
      <c r="AI1294" t="s">
        <v>91</v>
      </c>
      <c r="AJ1294">
        <v>0</v>
      </c>
      <c r="AK1294">
        <v>0</v>
      </c>
      <c r="AL1294">
        <v>0</v>
      </c>
      <c r="AM1294" t="s">
        <v>91</v>
      </c>
      <c r="AN1294" t="s">
        <v>91</v>
      </c>
      <c r="AO1294" t="s">
        <v>91</v>
      </c>
      <c r="AP1294" t="s">
        <v>91</v>
      </c>
      <c r="AQ1294" s="1" t="s">
        <v>91</v>
      </c>
      <c r="AR1294" s="1" t="s">
        <v>91</v>
      </c>
      <c r="AS1294" s="1" t="s">
        <v>91</v>
      </c>
      <c r="AT1294" s="1" t="s">
        <v>91</v>
      </c>
      <c r="AU1294" s="1" t="s">
        <v>91</v>
      </c>
      <c r="AV1294" t="s">
        <v>91</v>
      </c>
      <c r="AW1294" t="s">
        <v>91</v>
      </c>
      <c r="AX1294" t="s">
        <v>91</v>
      </c>
      <c r="AY1294" t="s">
        <v>91</v>
      </c>
      <c r="AZ1294" t="s">
        <v>91</v>
      </c>
      <c r="BA1294" t="s">
        <v>91</v>
      </c>
      <c r="BB1294" s="2">
        <v>44034.350266203706</v>
      </c>
      <c r="BC1294" s="2"/>
      <c r="BD1294" t="s">
        <v>91</v>
      </c>
      <c r="BF1294" s="1" t="s">
        <v>75</v>
      </c>
      <c r="BG1294">
        <v>0</v>
      </c>
      <c r="BH1294">
        <v>0</v>
      </c>
      <c r="BI1294" s="1" t="s">
        <v>88</v>
      </c>
      <c r="BJ1294">
        <v>1</v>
      </c>
      <c r="BK1294" s="1" t="s">
        <v>89</v>
      </c>
      <c r="BL1294" t="s">
        <v>91</v>
      </c>
      <c r="BM1294" s="1" t="s">
        <v>109</v>
      </c>
      <c r="BN1294" s="1" t="s">
        <v>110</v>
      </c>
      <c r="BO1294" s="1" t="s">
        <v>128</v>
      </c>
      <c r="BP1294" s="1" t="s">
        <v>91</v>
      </c>
      <c r="BQ1294" t="s">
        <v>91</v>
      </c>
      <c r="BR1294" s="3">
        <v>44034</v>
      </c>
      <c r="BS1294" s="3"/>
      <c r="BT1294" t="s">
        <v>91</v>
      </c>
      <c r="BU1294" t="s">
        <v>91</v>
      </c>
      <c r="BV1294">
        <v>9</v>
      </c>
      <c r="BW1294" s="1" t="s">
        <v>90</v>
      </c>
    </row>
    <row r="1295" spans="1:75" hidden="1" x14ac:dyDescent="0.35">
      <c r="A1295">
        <v>144883</v>
      </c>
      <c r="B1295" s="1" t="s">
        <v>75</v>
      </c>
      <c r="C1295">
        <v>80</v>
      </c>
      <c r="D1295">
        <v>11121004</v>
      </c>
      <c r="E1295">
        <v>121004</v>
      </c>
      <c r="F1295" s="1" t="s">
        <v>6867</v>
      </c>
      <c r="G1295" s="1" t="s">
        <v>7031</v>
      </c>
      <c r="H1295">
        <v>0</v>
      </c>
      <c r="I1295" s="1" t="s">
        <v>78</v>
      </c>
      <c r="J1295" s="1" t="s">
        <v>7032</v>
      </c>
      <c r="K1295" s="1" t="s">
        <v>7033</v>
      </c>
      <c r="L1295" t="s">
        <v>91</v>
      </c>
      <c r="M1295" t="s">
        <v>91</v>
      </c>
      <c r="N1295" s="1" t="s">
        <v>7034</v>
      </c>
      <c r="O1295" t="s">
        <v>91</v>
      </c>
      <c r="P1295" s="1" t="s">
        <v>2705</v>
      </c>
      <c r="Q1295" s="1" t="s">
        <v>2742</v>
      </c>
      <c r="R1295" s="1" t="s">
        <v>135</v>
      </c>
      <c r="S1295">
        <v>1271</v>
      </c>
      <c r="T1295">
        <v>89010002</v>
      </c>
      <c r="U1295" s="1" t="s">
        <v>108</v>
      </c>
      <c r="V1295" s="1" t="s">
        <v>3571</v>
      </c>
      <c r="W1295" s="1" t="s">
        <v>87</v>
      </c>
      <c r="X1295">
        <v>47</v>
      </c>
      <c r="Y1295">
        <v>33222100</v>
      </c>
      <c r="Z1295" t="s">
        <v>91</v>
      </c>
      <c r="AA1295" t="s">
        <v>91</v>
      </c>
      <c r="AB1295" t="s">
        <v>91</v>
      </c>
      <c r="AC1295" t="s">
        <v>91</v>
      </c>
      <c r="AD1295" t="s">
        <v>91</v>
      </c>
      <c r="AE1295" t="s">
        <v>91</v>
      </c>
      <c r="AF1295" t="s">
        <v>91</v>
      </c>
      <c r="AG1295" s="1" t="s">
        <v>146</v>
      </c>
      <c r="AH1295" s="1" t="s">
        <v>91</v>
      </c>
      <c r="AI1295" t="s">
        <v>91</v>
      </c>
      <c r="AM1295" t="s">
        <v>91</v>
      </c>
      <c r="AN1295" t="s">
        <v>91</v>
      </c>
      <c r="AO1295" t="s">
        <v>91</v>
      </c>
      <c r="AP1295" t="s">
        <v>91</v>
      </c>
      <c r="AQ1295" s="1" t="s">
        <v>147</v>
      </c>
      <c r="AR1295" s="1" t="s">
        <v>147</v>
      </c>
      <c r="AS1295" s="1" t="s">
        <v>147</v>
      </c>
      <c r="AT1295" s="1" t="s">
        <v>147</v>
      </c>
      <c r="AU1295" s="1" t="s">
        <v>147</v>
      </c>
      <c r="AV1295" t="s">
        <v>91</v>
      </c>
      <c r="AW1295" t="s">
        <v>91</v>
      </c>
      <c r="AX1295" t="s">
        <v>91</v>
      </c>
      <c r="AY1295" t="s">
        <v>91</v>
      </c>
      <c r="AZ1295" t="s">
        <v>91</v>
      </c>
      <c r="BA1295" t="s">
        <v>91</v>
      </c>
      <c r="BB1295" s="2">
        <v>44558.718495370369</v>
      </c>
      <c r="BC1295" s="2">
        <v>45114.514652777776</v>
      </c>
      <c r="BD1295" t="s">
        <v>91</v>
      </c>
      <c r="BF1295" s="1" t="s">
        <v>75</v>
      </c>
      <c r="BH1295">
        <v>0</v>
      </c>
      <c r="BI1295" s="1" t="s">
        <v>88</v>
      </c>
      <c r="BJ1295">
        <v>1</v>
      </c>
      <c r="BK1295" s="1" t="s">
        <v>89</v>
      </c>
      <c r="BL1295" t="s">
        <v>91</v>
      </c>
      <c r="BM1295" s="1" t="s">
        <v>91</v>
      </c>
      <c r="BN1295" s="1" t="s">
        <v>91</v>
      </c>
      <c r="BO1295" s="1" t="s">
        <v>91</v>
      </c>
      <c r="BP1295" s="1" t="s">
        <v>91</v>
      </c>
      <c r="BQ1295" t="s">
        <v>91</v>
      </c>
      <c r="BR1295" s="3">
        <v>44558</v>
      </c>
      <c r="BS1295" s="3">
        <v>45114</v>
      </c>
      <c r="BT1295" t="s">
        <v>91</v>
      </c>
      <c r="BU1295" t="s">
        <v>91</v>
      </c>
      <c r="BW1295" s="1" t="s">
        <v>120</v>
      </c>
    </row>
    <row r="1296" spans="1:75" hidden="1" x14ac:dyDescent="0.35">
      <c r="A1296">
        <v>157746</v>
      </c>
      <c r="B1296" s="1" t="s">
        <v>75</v>
      </c>
      <c r="C1296">
        <v>80</v>
      </c>
      <c r="D1296">
        <v>11121004</v>
      </c>
      <c r="E1296">
        <v>121004</v>
      </c>
      <c r="F1296" s="1" t="s">
        <v>6867</v>
      </c>
      <c r="G1296" s="1" t="s">
        <v>7035</v>
      </c>
      <c r="H1296">
        <v>0</v>
      </c>
      <c r="I1296" s="1" t="s">
        <v>78</v>
      </c>
      <c r="J1296" s="1" t="s">
        <v>7036</v>
      </c>
      <c r="K1296" s="1" t="s">
        <v>7037</v>
      </c>
      <c r="L1296" t="s">
        <v>91</v>
      </c>
      <c r="M1296" t="s">
        <v>91</v>
      </c>
      <c r="N1296" s="1" t="s">
        <v>7038</v>
      </c>
      <c r="O1296" t="s">
        <v>91</v>
      </c>
      <c r="P1296" s="1" t="s">
        <v>1856</v>
      </c>
      <c r="Q1296" s="1" t="s">
        <v>2742</v>
      </c>
      <c r="R1296" s="1" t="s">
        <v>91</v>
      </c>
      <c r="S1296">
        <v>1271</v>
      </c>
      <c r="T1296">
        <v>89010002</v>
      </c>
      <c r="U1296" s="1" t="s">
        <v>108</v>
      </c>
      <c r="V1296" s="1" t="s">
        <v>3571</v>
      </c>
      <c r="W1296" s="1" t="s">
        <v>87</v>
      </c>
      <c r="X1296">
        <v>47</v>
      </c>
      <c r="Y1296">
        <v>32222100</v>
      </c>
      <c r="Z1296" t="s">
        <v>91</v>
      </c>
      <c r="AA1296" t="s">
        <v>91</v>
      </c>
      <c r="AB1296" t="s">
        <v>91</v>
      </c>
      <c r="AC1296" t="s">
        <v>91</v>
      </c>
      <c r="AD1296" t="s">
        <v>91</v>
      </c>
      <c r="AE1296" t="s">
        <v>91</v>
      </c>
      <c r="AF1296" t="s">
        <v>91</v>
      </c>
      <c r="AG1296" s="1" t="s">
        <v>91</v>
      </c>
      <c r="AH1296" s="1" t="s">
        <v>91</v>
      </c>
      <c r="AI1296" t="s">
        <v>91</v>
      </c>
      <c r="AM1296" t="s">
        <v>91</v>
      </c>
      <c r="AN1296" t="s">
        <v>91</v>
      </c>
      <c r="AO1296" t="s">
        <v>91</v>
      </c>
      <c r="AP1296" t="s">
        <v>91</v>
      </c>
      <c r="AQ1296" s="1" t="s">
        <v>91</v>
      </c>
      <c r="AR1296" s="1" t="s">
        <v>91</v>
      </c>
      <c r="AS1296" s="1" t="s">
        <v>91</v>
      </c>
      <c r="AT1296" s="1" t="s">
        <v>91</v>
      </c>
      <c r="AU1296" s="1" t="s">
        <v>91</v>
      </c>
      <c r="AV1296" t="s">
        <v>91</v>
      </c>
      <c r="AW1296" t="s">
        <v>91</v>
      </c>
      <c r="AX1296" t="s">
        <v>91</v>
      </c>
      <c r="AY1296" t="s">
        <v>91</v>
      </c>
      <c r="AZ1296" t="s">
        <v>91</v>
      </c>
      <c r="BA1296" t="s">
        <v>91</v>
      </c>
      <c r="BB1296" s="2">
        <v>45118.101759259262</v>
      </c>
      <c r="BC1296" s="2"/>
      <c r="BD1296" t="s">
        <v>91</v>
      </c>
      <c r="BF1296" s="1" t="s">
        <v>75</v>
      </c>
      <c r="BI1296" s="1" t="s">
        <v>88</v>
      </c>
      <c r="BJ1296">
        <v>1</v>
      </c>
      <c r="BK1296" s="1" t="s">
        <v>89</v>
      </c>
      <c r="BL1296" t="s">
        <v>91</v>
      </c>
      <c r="BM1296" s="1" t="s">
        <v>91</v>
      </c>
      <c r="BN1296" s="1" t="s">
        <v>91</v>
      </c>
      <c r="BO1296" s="1" t="s">
        <v>91</v>
      </c>
      <c r="BP1296" s="1" t="s">
        <v>91</v>
      </c>
      <c r="BQ1296" t="s">
        <v>91</v>
      </c>
      <c r="BR1296" s="3">
        <v>45118</v>
      </c>
      <c r="BS1296" s="3"/>
      <c r="BT1296" t="s">
        <v>91</v>
      </c>
      <c r="BU1296" t="s">
        <v>91</v>
      </c>
      <c r="BW1296" s="1" t="s">
        <v>90</v>
      </c>
    </row>
    <row r="1297" spans="1:75" hidden="1" x14ac:dyDescent="0.35">
      <c r="A1297">
        <v>117449</v>
      </c>
      <c r="B1297" s="1" t="s">
        <v>75</v>
      </c>
      <c r="C1297">
        <v>80</v>
      </c>
      <c r="D1297">
        <v>11121004</v>
      </c>
      <c r="E1297">
        <v>121004</v>
      </c>
      <c r="F1297" s="1" t="s">
        <v>6867</v>
      </c>
      <c r="G1297" s="1" t="s">
        <v>7039</v>
      </c>
      <c r="H1297">
        <v>0</v>
      </c>
      <c r="I1297" s="1" t="s">
        <v>78</v>
      </c>
      <c r="J1297" s="1" t="s">
        <v>7040</v>
      </c>
      <c r="K1297" s="1" t="s">
        <v>7041</v>
      </c>
      <c r="L1297" t="s">
        <v>91</v>
      </c>
      <c r="M1297" t="s">
        <v>91</v>
      </c>
      <c r="N1297" s="1" t="s">
        <v>7042</v>
      </c>
      <c r="O1297" t="s">
        <v>91</v>
      </c>
      <c r="P1297" s="1" t="s">
        <v>6890</v>
      </c>
      <c r="Q1297" s="1" t="s">
        <v>2022</v>
      </c>
      <c r="R1297" s="1" t="s">
        <v>91</v>
      </c>
      <c r="S1297">
        <v>1261</v>
      </c>
      <c r="T1297">
        <v>88301000</v>
      </c>
      <c r="U1297" s="1" t="s">
        <v>108</v>
      </c>
      <c r="V1297" s="1" t="s">
        <v>6874</v>
      </c>
      <c r="W1297" s="1" t="s">
        <v>87</v>
      </c>
      <c r="X1297">
        <v>47</v>
      </c>
      <c r="Y1297">
        <v>30452742</v>
      </c>
      <c r="Z1297" t="s">
        <v>91</v>
      </c>
      <c r="AA1297" t="s">
        <v>91</v>
      </c>
      <c r="AB1297" t="s">
        <v>91</v>
      </c>
      <c r="AC1297" t="s">
        <v>91</v>
      </c>
      <c r="AD1297" t="s">
        <v>91</v>
      </c>
      <c r="AE1297" t="s">
        <v>91</v>
      </c>
      <c r="AF1297" t="s">
        <v>91</v>
      </c>
      <c r="AG1297" s="1" t="s">
        <v>146</v>
      </c>
      <c r="AH1297" s="1" t="s">
        <v>91</v>
      </c>
      <c r="AI1297" t="s">
        <v>91</v>
      </c>
      <c r="AJ1297">
        <v>0</v>
      </c>
      <c r="AK1297">
        <v>0</v>
      </c>
      <c r="AL1297">
        <v>0</v>
      </c>
      <c r="AM1297" t="s">
        <v>91</v>
      </c>
      <c r="AN1297" t="s">
        <v>91</v>
      </c>
      <c r="AO1297" t="s">
        <v>91</v>
      </c>
      <c r="AP1297" t="s">
        <v>91</v>
      </c>
      <c r="AQ1297" s="1" t="s">
        <v>147</v>
      </c>
      <c r="AR1297" s="1" t="s">
        <v>147</v>
      </c>
      <c r="AS1297" s="1" t="s">
        <v>147</v>
      </c>
      <c r="AT1297" s="1" t="s">
        <v>147</v>
      </c>
      <c r="AU1297" s="1" t="s">
        <v>147</v>
      </c>
      <c r="AV1297" t="s">
        <v>91</v>
      </c>
      <c r="AW1297" t="s">
        <v>91</v>
      </c>
      <c r="AX1297" t="s">
        <v>91</v>
      </c>
      <c r="AY1297" t="s">
        <v>91</v>
      </c>
      <c r="AZ1297" t="s">
        <v>91</v>
      </c>
      <c r="BA1297" t="s">
        <v>91</v>
      </c>
      <c r="BB1297" s="2">
        <v>44034.350266203706</v>
      </c>
      <c r="BC1297" s="2">
        <v>45119.633321759262</v>
      </c>
      <c r="BD1297" t="s">
        <v>91</v>
      </c>
      <c r="BF1297" s="1" t="s">
        <v>75</v>
      </c>
      <c r="BG1297">
        <v>0</v>
      </c>
      <c r="BH1297">
        <v>0</v>
      </c>
      <c r="BI1297" s="1" t="s">
        <v>721</v>
      </c>
      <c r="BJ1297">
        <v>1</v>
      </c>
      <c r="BK1297" s="1" t="s">
        <v>89</v>
      </c>
      <c r="BL1297" t="s">
        <v>91</v>
      </c>
      <c r="BM1297" s="1" t="s">
        <v>109</v>
      </c>
      <c r="BN1297" s="1" t="s">
        <v>91</v>
      </c>
      <c r="BO1297" s="1" t="s">
        <v>1040</v>
      </c>
      <c r="BP1297" s="1" t="s">
        <v>91</v>
      </c>
      <c r="BQ1297" t="s">
        <v>91</v>
      </c>
      <c r="BR1297" s="3">
        <v>44034</v>
      </c>
      <c r="BS1297" s="3">
        <v>45119</v>
      </c>
      <c r="BT1297" t="s">
        <v>91</v>
      </c>
      <c r="BU1297" t="s">
        <v>91</v>
      </c>
      <c r="BV1297">
        <v>8</v>
      </c>
      <c r="BW1297" s="1" t="s">
        <v>263</v>
      </c>
    </row>
    <row r="1298" spans="1:75" hidden="1" x14ac:dyDescent="0.35">
      <c r="A1298">
        <v>137544</v>
      </c>
      <c r="B1298" s="1" t="s">
        <v>75</v>
      </c>
      <c r="C1298">
        <v>80</v>
      </c>
      <c r="D1298">
        <v>11121004</v>
      </c>
      <c r="E1298">
        <v>121004</v>
      </c>
      <c r="F1298" s="1" t="s">
        <v>6867</v>
      </c>
      <c r="G1298" s="1" t="s">
        <v>7043</v>
      </c>
      <c r="H1298">
        <v>0</v>
      </c>
      <c r="I1298" s="1" t="s">
        <v>78</v>
      </c>
      <c r="J1298" s="1" t="s">
        <v>7044</v>
      </c>
      <c r="K1298" s="1" t="s">
        <v>7045</v>
      </c>
      <c r="L1298" t="s">
        <v>91</v>
      </c>
      <c r="M1298" t="s">
        <v>91</v>
      </c>
      <c r="N1298" s="1" t="s">
        <v>7046</v>
      </c>
      <c r="O1298" t="s">
        <v>91</v>
      </c>
      <c r="P1298" s="1" t="s">
        <v>7047</v>
      </c>
      <c r="Q1298" s="1" t="s">
        <v>5591</v>
      </c>
      <c r="R1298" s="1" t="s">
        <v>833</v>
      </c>
      <c r="S1298">
        <v>1263</v>
      </c>
      <c r="T1298">
        <v>88390000</v>
      </c>
      <c r="U1298" s="1" t="s">
        <v>7048</v>
      </c>
      <c r="V1298" s="1" t="s">
        <v>6913</v>
      </c>
      <c r="W1298" s="1" t="s">
        <v>87</v>
      </c>
      <c r="X1298">
        <v>47</v>
      </c>
      <c r="Y1298">
        <v>34561017</v>
      </c>
      <c r="Z1298" t="s">
        <v>91</v>
      </c>
      <c r="AA1298" t="s">
        <v>91</v>
      </c>
      <c r="AB1298" t="s">
        <v>91</v>
      </c>
      <c r="AC1298" t="s">
        <v>91</v>
      </c>
      <c r="AD1298" t="s">
        <v>91</v>
      </c>
      <c r="AE1298" t="s">
        <v>91</v>
      </c>
      <c r="AF1298" t="s">
        <v>91</v>
      </c>
      <c r="AG1298" s="1" t="s">
        <v>146</v>
      </c>
      <c r="AH1298" s="1" t="s">
        <v>91</v>
      </c>
      <c r="AI1298" t="s">
        <v>91</v>
      </c>
      <c r="AM1298" t="s">
        <v>91</v>
      </c>
      <c r="AN1298" t="s">
        <v>91</v>
      </c>
      <c r="AO1298" t="s">
        <v>91</v>
      </c>
      <c r="AP1298" t="s">
        <v>91</v>
      </c>
      <c r="AQ1298" s="1" t="s">
        <v>147</v>
      </c>
      <c r="AR1298" s="1" t="s">
        <v>147</v>
      </c>
      <c r="AS1298" s="1" t="s">
        <v>147</v>
      </c>
      <c r="AT1298" s="1" t="s">
        <v>147</v>
      </c>
      <c r="AU1298" s="1" t="s">
        <v>147</v>
      </c>
      <c r="AV1298" t="s">
        <v>91</v>
      </c>
      <c r="AW1298" t="s">
        <v>91</v>
      </c>
      <c r="AX1298" t="s">
        <v>91</v>
      </c>
      <c r="AY1298" t="s">
        <v>91</v>
      </c>
      <c r="AZ1298" t="s">
        <v>91</v>
      </c>
      <c r="BA1298" t="s">
        <v>91</v>
      </c>
      <c r="BB1298" s="2">
        <v>44378.578518518516</v>
      </c>
      <c r="BC1298" s="2">
        <v>44606.699456018519</v>
      </c>
      <c r="BD1298" t="s">
        <v>91</v>
      </c>
      <c r="BF1298" s="1" t="s">
        <v>75</v>
      </c>
      <c r="BH1298">
        <v>0</v>
      </c>
      <c r="BI1298" s="1" t="s">
        <v>88</v>
      </c>
      <c r="BJ1298">
        <v>1</v>
      </c>
      <c r="BK1298" s="1" t="s">
        <v>89</v>
      </c>
      <c r="BL1298" t="s">
        <v>91</v>
      </c>
      <c r="BM1298" s="1" t="s">
        <v>109</v>
      </c>
      <c r="BN1298" s="1" t="s">
        <v>110</v>
      </c>
      <c r="BO1298" s="1" t="s">
        <v>111</v>
      </c>
      <c r="BP1298" s="1" t="s">
        <v>91</v>
      </c>
      <c r="BQ1298" t="s">
        <v>91</v>
      </c>
      <c r="BR1298" s="3">
        <v>44378</v>
      </c>
      <c r="BS1298" s="3">
        <v>44606</v>
      </c>
      <c r="BT1298" t="s">
        <v>91</v>
      </c>
      <c r="BU1298" t="s">
        <v>91</v>
      </c>
      <c r="BW1298" s="1" t="s">
        <v>1171</v>
      </c>
    </row>
    <row r="1299" spans="1:75" hidden="1" x14ac:dyDescent="0.35">
      <c r="A1299">
        <v>137545</v>
      </c>
      <c r="B1299" s="1" t="s">
        <v>75</v>
      </c>
      <c r="C1299">
        <v>80</v>
      </c>
      <c r="D1299">
        <v>11121004</v>
      </c>
      <c r="E1299">
        <v>121004</v>
      </c>
      <c r="F1299" s="1" t="s">
        <v>6867</v>
      </c>
      <c r="G1299" s="1" t="s">
        <v>7049</v>
      </c>
      <c r="H1299">
        <v>0</v>
      </c>
      <c r="I1299" s="1" t="s">
        <v>78</v>
      </c>
      <c r="J1299" s="1" t="s">
        <v>7050</v>
      </c>
      <c r="K1299" s="1" t="s">
        <v>7051</v>
      </c>
      <c r="L1299" t="s">
        <v>91</v>
      </c>
      <c r="M1299" t="s">
        <v>91</v>
      </c>
      <c r="N1299" s="1" t="s">
        <v>7052</v>
      </c>
      <c r="O1299" t="s">
        <v>91</v>
      </c>
      <c r="P1299" s="1" t="s">
        <v>7053</v>
      </c>
      <c r="Q1299" s="1" t="s">
        <v>7054</v>
      </c>
      <c r="R1299" s="1" t="s">
        <v>236</v>
      </c>
      <c r="S1299">
        <v>1273</v>
      </c>
      <c r="T1299">
        <v>89020000</v>
      </c>
      <c r="U1299" s="1" t="s">
        <v>7055</v>
      </c>
      <c r="V1299" s="1" t="s">
        <v>3571</v>
      </c>
      <c r="W1299" s="1" t="s">
        <v>87</v>
      </c>
      <c r="X1299">
        <v>47</v>
      </c>
      <c r="Y1299">
        <v>30423040</v>
      </c>
      <c r="Z1299" t="s">
        <v>91</v>
      </c>
      <c r="AA1299" t="s">
        <v>91</v>
      </c>
      <c r="AB1299" t="s">
        <v>91</v>
      </c>
      <c r="AC1299" t="s">
        <v>91</v>
      </c>
      <c r="AD1299" t="s">
        <v>91</v>
      </c>
      <c r="AE1299" t="s">
        <v>91</v>
      </c>
      <c r="AF1299" t="s">
        <v>91</v>
      </c>
      <c r="AG1299" s="1" t="s">
        <v>146</v>
      </c>
      <c r="AH1299" s="1" t="s">
        <v>91</v>
      </c>
      <c r="AI1299" t="s">
        <v>91</v>
      </c>
      <c r="AM1299" t="s">
        <v>91</v>
      </c>
      <c r="AN1299" t="s">
        <v>91</v>
      </c>
      <c r="AO1299" t="s">
        <v>91</v>
      </c>
      <c r="AP1299" t="s">
        <v>91</v>
      </c>
      <c r="AQ1299" s="1" t="s">
        <v>147</v>
      </c>
      <c r="AR1299" s="1" t="s">
        <v>147</v>
      </c>
      <c r="AS1299" s="1" t="s">
        <v>147</v>
      </c>
      <c r="AT1299" s="1" t="s">
        <v>147</v>
      </c>
      <c r="AU1299" s="1" t="s">
        <v>147</v>
      </c>
      <c r="AV1299" t="s">
        <v>91</v>
      </c>
      <c r="AW1299" t="s">
        <v>91</v>
      </c>
      <c r="AX1299" t="s">
        <v>91</v>
      </c>
      <c r="AY1299" t="s">
        <v>91</v>
      </c>
      <c r="AZ1299" t="s">
        <v>91</v>
      </c>
      <c r="BA1299" t="s">
        <v>91</v>
      </c>
      <c r="BB1299" s="2">
        <v>44378.578518518516</v>
      </c>
      <c r="BC1299" s="2">
        <v>44659.623414351852</v>
      </c>
      <c r="BD1299" t="s">
        <v>91</v>
      </c>
      <c r="BF1299" s="1" t="s">
        <v>75</v>
      </c>
      <c r="BH1299">
        <v>0</v>
      </c>
      <c r="BI1299" s="1" t="s">
        <v>88</v>
      </c>
      <c r="BJ1299">
        <v>1</v>
      </c>
      <c r="BK1299" s="1" t="s">
        <v>89</v>
      </c>
      <c r="BL1299" t="s">
        <v>91</v>
      </c>
      <c r="BM1299" s="1" t="s">
        <v>109</v>
      </c>
      <c r="BN1299" s="1" t="s">
        <v>110</v>
      </c>
      <c r="BO1299" s="1" t="s">
        <v>111</v>
      </c>
      <c r="BP1299" s="1" t="s">
        <v>91</v>
      </c>
      <c r="BQ1299" t="s">
        <v>91</v>
      </c>
      <c r="BR1299" s="3">
        <v>44378</v>
      </c>
      <c r="BS1299" s="3">
        <v>44659</v>
      </c>
      <c r="BT1299" t="s">
        <v>91</v>
      </c>
      <c r="BU1299" t="s">
        <v>91</v>
      </c>
      <c r="BW1299" s="1" t="s">
        <v>390</v>
      </c>
    </row>
    <row r="1300" spans="1:75" hidden="1" x14ac:dyDescent="0.35">
      <c r="A1300">
        <v>1234</v>
      </c>
      <c r="B1300" s="1" t="s">
        <v>75</v>
      </c>
      <c r="C1300">
        <v>80</v>
      </c>
      <c r="D1300">
        <v>11121004</v>
      </c>
      <c r="E1300">
        <v>121004</v>
      </c>
      <c r="F1300" s="1" t="s">
        <v>6867</v>
      </c>
      <c r="G1300" s="1" t="s">
        <v>7056</v>
      </c>
      <c r="I1300" s="1" t="s">
        <v>78</v>
      </c>
      <c r="J1300" s="1" t="s">
        <v>7057</v>
      </c>
      <c r="K1300" s="1" t="s">
        <v>7058</v>
      </c>
      <c r="L1300" t="s">
        <v>91</v>
      </c>
      <c r="M1300" t="s">
        <v>91</v>
      </c>
      <c r="N1300" s="1" t="s">
        <v>7059</v>
      </c>
      <c r="O1300" t="s">
        <v>91</v>
      </c>
      <c r="P1300" s="1" t="s">
        <v>7060</v>
      </c>
      <c r="Q1300" s="1" t="s">
        <v>463</v>
      </c>
      <c r="R1300" s="1" t="s">
        <v>173</v>
      </c>
      <c r="S1300">
        <v>1274</v>
      </c>
      <c r="T1300">
        <v>89110000</v>
      </c>
      <c r="U1300" s="1" t="s">
        <v>108</v>
      </c>
      <c r="V1300" s="1" t="s">
        <v>7008</v>
      </c>
      <c r="W1300" s="1" t="s">
        <v>87</v>
      </c>
      <c r="X1300">
        <v>47</v>
      </c>
      <c r="Y1300">
        <v>33325078</v>
      </c>
      <c r="Z1300" t="s">
        <v>91</v>
      </c>
      <c r="AA1300" t="s">
        <v>91</v>
      </c>
      <c r="AB1300" t="s">
        <v>91</v>
      </c>
      <c r="AC1300" t="s">
        <v>91</v>
      </c>
      <c r="AD1300" t="s">
        <v>91</v>
      </c>
      <c r="AE1300" t="s">
        <v>91</v>
      </c>
      <c r="AF1300" t="s">
        <v>91</v>
      </c>
      <c r="AG1300" s="1" t="s">
        <v>91</v>
      </c>
      <c r="AH1300" s="1" t="s">
        <v>91</v>
      </c>
      <c r="AI1300" t="s">
        <v>91</v>
      </c>
      <c r="AJ1300">
        <v>0</v>
      </c>
      <c r="AK1300">
        <v>0</v>
      </c>
      <c r="AL1300">
        <v>0</v>
      </c>
      <c r="AM1300" t="s">
        <v>91</v>
      </c>
      <c r="AN1300" t="s">
        <v>91</v>
      </c>
      <c r="AO1300" t="s">
        <v>91</v>
      </c>
      <c r="AP1300" t="s">
        <v>91</v>
      </c>
      <c r="AQ1300" s="1" t="s">
        <v>91</v>
      </c>
      <c r="AR1300" s="1" t="s">
        <v>91</v>
      </c>
      <c r="AS1300" s="1" t="s">
        <v>91</v>
      </c>
      <c r="AT1300" s="1" t="s">
        <v>91</v>
      </c>
      <c r="AU1300" s="1" t="s">
        <v>91</v>
      </c>
      <c r="AV1300" t="s">
        <v>91</v>
      </c>
      <c r="AW1300" t="s">
        <v>91</v>
      </c>
      <c r="AX1300" t="s">
        <v>91</v>
      </c>
      <c r="AY1300" t="s">
        <v>91</v>
      </c>
      <c r="AZ1300" t="s">
        <v>91</v>
      </c>
      <c r="BA1300" t="s">
        <v>91</v>
      </c>
      <c r="BB1300" s="2">
        <v>43308.393182870372</v>
      </c>
      <c r="BC1300" s="2"/>
      <c r="BD1300" t="s">
        <v>91</v>
      </c>
      <c r="BE1300">
        <v>1234</v>
      </c>
      <c r="BF1300" s="1" t="s">
        <v>75</v>
      </c>
      <c r="BG1300">
        <v>0</v>
      </c>
      <c r="BH1300">
        <v>0</v>
      </c>
      <c r="BI1300" s="1" t="s">
        <v>88</v>
      </c>
      <c r="BJ1300">
        <v>1</v>
      </c>
      <c r="BK1300" s="1" t="s">
        <v>89</v>
      </c>
      <c r="BL1300" t="s">
        <v>91</v>
      </c>
      <c r="BM1300" s="1" t="s">
        <v>109</v>
      </c>
      <c r="BN1300" s="1" t="s">
        <v>110</v>
      </c>
      <c r="BO1300" s="1" t="s">
        <v>165</v>
      </c>
      <c r="BP1300" s="1" t="s">
        <v>91</v>
      </c>
      <c r="BQ1300" t="s">
        <v>91</v>
      </c>
      <c r="BR1300" s="3">
        <v>43308</v>
      </c>
      <c r="BS1300" s="3"/>
      <c r="BT1300" t="s">
        <v>91</v>
      </c>
      <c r="BU1300" t="s">
        <v>91</v>
      </c>
      <c r="BV1300">
        <v>5</v>
      </c>
      <c r="BW1300" s="1" t="s">
        <v>419</v>
      </c>
    </row>
    <row r="1301" spans="1:75" hidden="1" x14ac:dyDescent="0.35">
      <c r="A1301">
        <v>137547</v>
      </c>
      <c r="B1301" s="1" t="s">
        <v>75</v>
      </c>
      <c r="C1301">
        <v>80</v>
      </c>
      <c r="D1301">
        <v>11121004</v>
      </c>
      <c r="E1301">
        <v>121004</v>
      </c>
      <c r="F1301" s="1" t="s">
        <v>6867</v>
      </c>
      <c r="G1301" s="1" t="s">
        <v>7061</v>
      </c>
      <c r="H1301">
        <v>0</v>
      </c>
      <c r="I1301" s="1" t="s">
        <v>78</v>
      </c>
      <c r="J1301" s="1" t="s">
        <v>3436</v>
      </c>
      <c r="K1301" s="1" t="s">
        <v>7062</v>
      </c>
      <c r="L1301" t="s">
        <v>91</v>
      </c>
      <c r="M1301" t="s">
        <v>91</v>
      </c>
      <c r="N1301" s="1" t="s">
        <v>7063</v>
      </c>
      <c r="O1301" t="s">
        <v>91</v>
      </c>
      <c r="P1301" s="1" t="s">
        <v>7064</v>
      </c>
      <c r="Q1301" s="1" t="s">
        <v>7065</v>
      </c>
      <c r="R1301" s="1" t="s">
        <v>7066</v>
      </c>
      <c r="S1301">
        <v>1273</v>
      </c>
      <c r="T1301">
        <v>89065800</v>
      </c>
      <c r="U1301" s="1" t="s">
        <v>7067</v>
      </c>
      <c r="V1301" s="1" t="s">
        <v>3571</v>
      </c>
      <c r="W1301" s="1" t="s">
        <v>87</v>
      </c>
      <c r="X1301">
        <v>47</v>
      </c>
      <c r="Y1301">
        <v>30572233</v>
      </c>
      <c r="Z1301" t="s">
        <v>91</v>
      </c>
      <c r="AA1301" t="s">
        <v>91</v>
      </c>
      <c r="AB1301" t="s">
        <v>91</v>
      </c>
      <c r="AC1301" t="s">
        <v>91</v>
      </c>
      <c r="AD1301" t="s">
        <v>91</v>
      </c>
      <c r="AE1301" t="s">
        <v>91</v>
      </c>
      <c r="AF1301" t="s">
        <v>91</v>
      </c>
      <c r="AG1301" s="1" t="s">
        <v>146</v>
      </c>
      <c r="AH1301" s="1" t="s">
        <v>91</v>
      </c>
      <c r="AI1301" t="s">
        <v>91</v>
      </c>
      <c r="AM1301" t="s">
        <v>91</v>
      </c>
      <c r="AN1301" t="s">
        <v>91</v>
      </c>
      <c r="AO1301" t="s">
        <v>91</v>
      </c>
      <c r="AP1301" t="s">
        <v>91</v>
      </c>
      <c r="AQ1301" s="1" t="s">
        <v>147</v>
      </c>
      <c r="AR1301" s="1" t="s">
        <v>147</v>
      </c>
      <c r="AS1301" s="1" t="s">
        <v>147</v>
      </c>
      <c r="AT1301" s="1" t="s">
        <v>147</v>
      </c>
      <c r="AU1301" s="1" t="s">
        <v>147</v>
      </c>
      <c r="AV1301" t="s">
        <v>91</v>
      </c>
      <c r="AW1301" t="s">
        <v>91</v>
      </c>
      <c r="AX1301" t="s">
        <v>91</v>
      </c>
      <c r="AY1301" t="s">
        <v>91</v>
      </c>
      <c r="AZ1301" t="s">
        <v>91</v>
      </c>
      <c r="BA1301" t="s">
        <v>91</v>
      </c>
      <c r="BB1301" s="2">
        <v>44378.578518518516</v>
      </c>
      <c r="BC1301" s="2">
        <v>45114.468912037039</v>
      </c>
      <c r="BD1301" t="s">
        <v>91</v>
      </c>
      <c r="BF1301" s="1" t="s">
        <v>75</v>
      </c>
      <c r="BH1301">
        <v>0</v>
      </c>
      <c r="BI1301" s="1" t="s">
        <v>88</v>
      </c>
      <c r="BJ1301">
        <v>1</v>
      </c>
      <c r="BK1301" s="1" t="s">
        <v>89</v>
      </c>
      <c r="BL1301" t="s">
        <v>91</v>
      </c>
      <c r="BM1301" s="1" t="s">
        <v>164</v>
      </c>
      <c r="BN1301" s="1" t="s">
        <v>110</v>
      </c>
      <c r="BO1301" s="1" t="s">
        <v>165</v>
      </c>
      <c r="BP1301" s="1" t="s">
        <v>91</v>
      </c>
      <c r="BQ1301" t="s">
        <v>91</v>
      </c>
      <c r="BR1301" s="3">
        <v>44378</v>
      </c>
      <c r="BS1301" s="3">
        <v>45114</v>
      </c>
      <c r="BT1301" t="s">
        <v>91</v>
      </c>
      <c r="BU1301" t="s">
        <v>91</v>
      </c>
      <c r="BW1301" s="1" t="s">
        <v>601</v>
      </c>
    </row>
    <row r="1302" spans="1:75" hidden="1" x14ac:dyDescent="0.35">
      <c r="A1302">
        <v>137548</v>
      </c>
      <c r="B1302" s="1" t="s">
        <v>75</v>
      </c>
      <c r="C1302">
        <v>80</v>
      </c>
      <c r="D1302">
        <v>11121004</v>
      </c>
      <c r="E1302">
        <v>121004</v>
      </c>
      <c r="F1302" s="1" t="s">
        <v>6867</v>
      </c>
      <c r="G1302" s="1" t="s">
        <v>7068</v>
      </c>
      <c r="H1302">
        <v>0</v>
      </c>
      <c r="I1302" s="1" t="s">
        <v>78</v>
      </c>
      <c r="J1302" s="1" t="s">
        <v>7069</v>
      </c>
      <c r="K1302" s="1" t="s">
        <v>7070</v>
      </c>
      <c r="L1302" t="s">
        <v>91</v>
      </c>
      <c r="M1302" t="s">
        <v>91</v>
      </c>
      <c r="N1302" s="1" t="s">
        <v>7071</v>
      </c>
      <c r="O1302" t="s">
        <v>91</v>
      </c>
      <c r="P1302" s="1" t="s">
        <v>7072</v>
      </c>
      <c r="Q1302" s="1" t="s">
        <v>390</v>
      </c>
      <c r="R1302" s="1" t="s">
        <v>7073</v>
      </c>
      <c r="S1302">
        <v>1262</v>
      </c>
      <c r="T1302">
        <v>88339005</v>
      </c>
      <c r="U1302" s="1" t="s">
        <v>7030</v>
      </c>
      <c r="V1302" s="1" t="s">
        <v>6898</v>
      </c>
      <c r="W1302" s="1" t="s">
        <v>87</v>
      </c>
      <c r="X1302">
        <v>47</v>
      </c>
      <c r="Y1302">
        <v>999198777</v>
      </c>
      <c r="Z1302" t="s">
        <v>91</v>
      </c>
      <c r="AA1302" t="s">
        <v>91</v>
      </c>
      <c r="AB1302" t="s">
        <v>91</v>
      </c>
      <c r="AC1302" t="s">
        <v>91</v>
      </c>
      <c r="AD1302" t="s">
        <v>91</v>
      </c>
      <c r="AE1302" t="s">
        <v>91</v>
      </c>
      <c r="AF1302" t="s">
        <v>91</v>
      </c>
      <c r="AG1302" s="1" t="s">
        <v>146</v>
      </c>
      <c r="AH1302" s="1" t="s">
        <v>91</v>
      </c>
      <c r="AI1302" t="s">
        <v>91</v>
      </c>
      <c r="AM1302" t="s">
        <v>91</v>
      </c>
      <c r="AN1302" t="s">
        <v>91</v>
      </c>
      <c r="AO1302" t="s">
        <v>91</v>
      </c>
      <c r="AP1302" t="s">
        <v>91</v>
      </c>
      <c r="AQ1302" s="1" t="s">
        <v>147</v>
      </c>
      <c r="AR1302" s="1" t="s">
        <v>147</v>
      </c>
      <c r="AS1302" s="1" t="s">
        <v>147</v>
      </c>
      <c r="AT1302" s="1" t="s">
        <v>147</v>
      </c>
      <c r="AU1302" s="1" t="s">
        <v>147</v>
      </c>
      <c r="AV1302" t="s">
        <v>91</v>
      </c>
      <c r="AW1302" t="s">
        <v>91</v>
      </c>
      <c r="AX1302" t="s">
        <v>91</v>
      </c>
      <c r="AY1302" t="s">
        <v>91</v>
      </c>
      <c r="AZ1302" t="s">
        <v>91</v>
      </c>
      <c r="BA1302" t="s">
        <v>91</v>
      </c>
      <c r="BB1302" s="2">
        <v>44378.578518518516</v>
      </c>
      <c r="BC1302" s="2">
        <v>44623.713217592594</v>
      </c>
      <c r="BD1302" t="s">
        <v>91</v>
      </c>
      <c r="BF1302" s="1" t="s">
        <v>75</v>
      </c>
      <c r="BH1302">
        <v>0</v>
      </c>
      <c r="BI1302" s="1" t="s">
        <v>88</v>
      </c>
      <c r="BJ1302">
        <v>1</v>
      </c>
      <c r="BK1302" s="1" t="s">
        <v>89</v>
      </c>
      <c r="BL1302" t="s">
        <v>91</v>
      </c>
      <c r="BM1302" s="1" t="s">
        <v>109</v>
      </c>
      <c r="BN1302" s="1" t="s">
        <v>110</v>
      </c>
      <c r="BO1302" s="1" t="s">
        <v>128</v>
      </c>
      <c r="BP1302" s="1" t="s">
        <v>91</v>
      </c>
      <c r="BQ1302" t="s">
        <v>91</v>
      </c>
      <c r="BR1302" s="3">
        <v>44378</v>
      </c>
      <c r="BS1302" s="3">
        <v>44623</v>
      </c>
      <c r="BT1302" t="s">
        <v>91</v>
      </c>
      <c r="BU1302" t="s">
        <v>91</v>
      </c>
      <c r="BW1302" s="1" t="s">
        <v>3738</v>
      </c>
    </row>
    <row r="1303" spans="1:75" hidden="1" x14ac:dyDescent="0.35">
      <c r="A1303">
        <v>1227</v>
      </c>
      <c r="B1303" s="1" t="s">
        <v>75</v>
      </c>
      <c r="C1303">
        <v>80</v>
      </c>
      <c r="D1303">
        <v>11121004</v>
      </c>
      <c r="E1303">
        <v>121004</v>
      </c>
      <c r="F1303" s="1" t="s">
        <v>6867</v>
      </c>
      <c r="G1303" s="1" t="s">
        <v>7074</v>
      </c>
      <c r="I1303" s="1" t="s">
        <v>78</v>
      </c>
      <c r="J1303" s="1" t="s">
        <v>7075</v>
      </c>
      <c r="K1303" s="1" t="s">
        <v>7076</v>
      </c>
      <c r="L1303" t="s">
        <v>91</v>
      </c>
      <c r="M1303" t="s">
        <v>91</v>
      </c>
      <c r="N1303" s="1" t="s">
        <v>7077</v>
      </c>
      <c r="O1303" t="s">
        <v>91</v>
      </c>
      <c r="P1303" s="1" t="s">
        <v>7078</v>
      </c>
      <c r="Q1303" s="1" t="s">
        <v>2885</v>
      </c>
      <c r="R1303" s="1" t="s">
        <v>1522</v>
      </c>
      <c r="T1303">
        <v>89070700</v>
      </c>
      <c r="U1303" s="1" t="s">
        <v>7079</v>
      </c>
      <c r="V1303" s="1" t="s">
        <v>3571</v>
      </c>
      <c r="W1303" s="1" t="s">
        <v>87</v>
      </c>
      <c r="X1303">
        <v>47</v>
      </c>
      <c r="Y1303">
        <v>33341892</v>
      </c>
      <c r="Z1303" t="s">
        <v>91</v>
      </c>
      <c r="AA1303" t="s">
        <v>91</v>
      </c>
      <c r="AB1303" t="s">
        <v>91</v>
      </c>
      <c r="AC1303" t="s">
        <v>91</v>
      </c>
      <c r="AD1303" t="s">
        <v>91</v>
      </c>
      <c r="AE1303" t="s">
        <v>91</v>
      </c>
      <c r="AF1303" t="s">
        <v>91</v>
      </c>
      <c r="AG1303" s="1" t="s">
        <v>91</v>
      </c>
      <c r="AH1303" s="1" t="s">
        <v>91</v>
      </c>
      <c r="AI1303" t="s">
        <v>91</v>
      </c>
      <c r="AJ1303">
        <v>0</v>
      </c>
      <c r="AK1303">
        <v>0</v>
      </c>
      <c r="AL1303">
        <v>0</v>
      </c>
      <c r="AM1303" t="s">
        <v>91</v>
      </c>
      <c r="AN1303" t="s">
        <v>91</v>
      </c>
      <c r="AO1303" t="s">
        <v>91</v>
      </c>
      <c r="AP1303" t="s">
        <v>91</v>
      </c>
      <c r="AQ1303" s="1" t="s">
        <v>91</v>
      </c>
      <c r="AR1303" s="1" t="s">
        <v>91</v>
      </c>
      <c r="AS1303" s="1" t="s">
        <v>91</v>
      </c>
      <c r="AT1303" s="1" t="s">
        <v>91</v>
      </c>
      <c r="AU1303" s="1" t="s">
        <v>91</v>
      </c>
      <c r="AV1303" t="s">
        <v>91</v>
      </c>
      <c r="AW1303" t="s">
        <v>91</v>
      </c>
      <c r="AX1303" t="s">
        <v>91</v>
      </c>
      <c r="AY1303" t="s">
        <v>91</v>
      </c>
      <c r="AZ1303" t="s">
        <v>91</v>
      </c>
      <c r="BA1303" t="s">
        <v>91</v>
      </c>
      <c r="BB1303" s="2">
        <v>43308.393171296295</v>
      </c>
      <c r="BC1303" s="2"/>
      <c r="BD1303" t="s">
        <v>91</v>
      </c>
      <c r="BE1303">
        <v>1227</v>
      </c>
      <c r="BF1303" s="1" t="s">
        <v>75</v>
      </c>
      <c r="BG1303">
        <v>0</v>
      </c>
      <c r="BH1303">
        <v>0</v>
      </c>
      <c r="BI1303" s="1" t="s">
        <v>88</v>
      </c>
      <c r="BJ1303">
        <v>1</v>
      </c>
      <c r="BK1303" s="1" t="s">
        <v>89</v>
      </c>
      <c r="BL1303" t="s">
        <v>91</v>
      </c>
      <c r="BM1303" s="1" t="s">
        <v>197</v>
      </c>
      <c r="BN1303" s="1" t="s">
        <v>110</v>
      </c>
      <c r="BO1303" s="1" t="s">
        <v>165</v>
      </c>
      <c r="BP1303" s="1" t="s">
        <v>91</v>
      </c>
      <c r="BQ1303" t="s">
        <v>91</v>
      </c>
      <c r="BR1303" s="3">
        <v>43308</v>
      </c>
      <c r="BS1303" s="3"/>
      <c r="BT1303" t="s">
        <v>91</v>
      </c>
      <c r="BU1303" t="s">
        <v>91</v>
      </c>
      <c r="BV1303">
        <v>1</v>
      </c>
      <c r="BW1303" s="1" t="s">
        <v>120</v>
      </c>
    </row>
    <row r="1304" spans="1:75" hidden="1" x14ac:dyDescent="0.35">
      <c r="A1304">
        <v>1228</v>
      </c>
      <c r="B1304" s="1" t="s">
        <v>75</v>
      </c>
      <c r="C1304">
        <v>80</v>
      </c>
      <c r="D1304">
        <v>11121004</v>
      </c>
      <c r="E1304">
        <v>121004</v>
      </c>
      <c r="F1304" s="1" t="s">
        <v>6867</v>
      </c>
      <c r="G1304" s="1" t="s">
        <v>7080</v>
      </c>
      <c r="I1304" s="1" t="s">
        <v>78</v>
      </c>
      <c r="J1304" s="1" t="s">
        <v>7081</v>
      </c>
      <c r="K1304" s="1" t="s">
        <v>7082</v>
      </c>
      <c r="L1304" t="s">
        <v>91</v>
      </c>
      <c r="M1304" t="s">
        <v>91</v>
      </c>
      <c r="N1304" s="1" t="s">
        <v>7083</v>
      </c>
      <c r="O1304" t="s">
        <v>91</v>
      </c>
      <c r="P1304" s="1" t="s">
        <v>7084</v>
      </c>
      <c r="Q1304" s="1" t="s">
        <v>7085</v>
      </c>
      <c r="R1304" s="1" t="s">
        <v>91</v>
      </c>
      <c r="S1304">
        <v>1273</v>
      </c>
      <c r="T1304">
        <v>89066302</v>
      </c>
      <c r="U1304" s="1" t="s">
        <v>7086</v>
      </c>
      <c r="V1304" s="1" t="s">
        <v>3571</v>
      </c>
      <c r="W1304" s="1" t="s">
        <v>87</v>
      </c>
      <c r="X1304">
        <v>47</v>
      </c>
      <c r="Y1304">
        <v>32340581</v>
      </c>
      <c r="Z1304" t="s">
        <v>91</v>
      </c>
      <c r="AA1304" t="s">
        <v>91</v>
      </c>
      <c r="AB1304" t="s">
        <v>91</v>
      </c>
      <c r="AC1304" t="s">
        <v>91</v>
      </c>
      <c r="AD1304" t="s">
        <v>91</v>
      </c>
      <c r="AE1304" t="s">
        <v>91</v>
      </c>
      <c r="AF1304" t="s">
        <v>91</v>
      </c>
      <c r="AG1304" s="1" t="s">
        <v>146</v>
      </c>
      <c r="AH1304" s="1" t="s">
        <v>91</v>
      </c>
      <c r="AI1304" t="s">
        <v>91</v>
      </c>
      <c r="AJ1304">
        <v>0</v>
      </c>
      <c r="AK1304">
        <v>0</v>
      </c>
      <c r="AL1304">
        <v>0</v>
      </c>
      <c r="AM1304" t="s">
        <v>91</v>
      </c>
      <c r="AN1304" t="s">
        <v>91</v>
      </c>
      <c r="AO1304" t="s">
        <v>91</v>
      </c>
      <c r="AP1304" t="s">
        <v>91</v>
      </c>
      <c r="AQ1304" s="1" t="s">
        <v>147</v>
      </c>
      <c r="AR1304" s="1" t="s">
        <v>147</v>
      </c>
      <c r="AS1304" s="1" t="s">
        <v>147</v>
      </c>
      <c r="AT1304" s="1" t="s">
        <v>147</v>
      </c>
      <c r="AU1304" s="1" t="s">
        <v>147</v>
      </c>
      <c r="AV1304" t="s">
        <v>91</v>
      </c>
      <c r="AW1304" t="s">
        <v>91</v>
      </c>
      <c r="AX1304" t="s">
        <v>91</v>
      </c>
      <c r="AY1304" t="s">
        <v>91</v>
      </c>
      <c r="AZ1304" t="s">
        <v>91</v>
      </c>
      <c r="BA1304" t="s">
        <v>91</v>
      </c>
      <c r="BB1304" s="2">
        <v>43308.393171296295</v>
      </c>
      <c r="BC1304" s="2">
        <v>45125.682326388887</v>
      </c>
      <c r="BD1304" t="s">
        <v>91</v>
      </c>
      <c r="BE1304">
        <v>1228</v>
      </c>
      <c r="BF1304" s="1" t="s">
        <v>75</v>
      </c>
      <c r="BG1304">
        <v>0</v>
      </c>
      <c r="BH1304">
        <v>0</v>
      </c>
      <c r="BI1304" s="1" t="s">
        <v>721</v>
      </c>
      <c r="BJ1304">
        <v>1</v>
      </c>
      <c r="BK1304" s="1" t="s">
        <v>89</v>
      </c>
      <c r="BL1304" t="s">
        <v>91</v>
      </c>
      <c r="BM1304" s="1" t="s">
        <v>109</v>
      </c>
      <c r="BN1304" s="1" t="s">
        <v>110</v>
      </c>
      <c r="BO1304" s="1" t="s">
        <v>128</v>
      </c>
      <c r="BP1304" s="1" t="s">
        <v>91</v>
      </c>
      <c r="BQ1304" t="s">
        <v>91</v>
      </c>
      <c r="BR1304" s="3">
        <v>43308</v>
      </c>
      <c r="BS1304" s="3">
        <v>45125</v>
      </c>
      <c r="BT1304" t="s">
        <v>91</v>
      </c>
      <c r="BU1304" t="s">
        <v>91</v>
      </c>
      <c r="BV1304">
        <v>7</v>
      </c>
      <c r="BW1304" s="1" t="s">
        <v>728</v>
      </c>
    </row>
    <row r="1305" spans="1:75" hidden="1" x14ac:dyDescent="0.35">
      <c r="A1305">
        <v>157054</v>
      </c>
      <c r="B1305" s="1" t="s">
        <v>75</v>
      </c>
      <c r="C1305">
        <v>80</v>
      </c>
      <c r="D1305">
        <v>11121004</v>
      </c>
      <c r="E1305">
        <v>121004</v>
      </c>
      <c r="F1305" s="1" t="s">
        <v>6867</v>
      </c>
      <c r="G1305" s="1" t="s">
        <v>7087</v>
      </c>
      <c r="H1305">
        <v>0</v>
      </c>
      <c r="I1305" s="1" t="s">
        <v>78</v>
      </c>
      <c r="J1305" s="1" t="s">
        <v>7088</v>
      </c>
      <c r="K1305" s="1" t="s">
        <v>7089</v>
      </c>
      <c r="L1305" t="s">
        <v>91</v>
      </c>
      <c r="M1305" t="s">
        <v>91</v>
      </c>
      <c r="N1305" s="1" t="s">
        <v>1232</v>
      </c>
      <c r="O1305" t="s">
        <v>91</v>
      </c>
      <c r="P1305" s="1" t="s">
        <v>7053</v>
      </c>
      <c r="Q1305" s="1" t="s">
        <v>7090</v>
      </c>
      <c r="R1305" s="1" t="s">
        <v>98</v>
      </c>
      <c r="S1305">
        <v>1273</v>
      </c>
      <c r="T1305">
        <v>89022003</v>
      </c>
      <c r="U1305" s="1" t="s">
        <v>7055</v>
      </c>
      <c r="V1305" s="1" t="s">
        <v>3571</v>
      </c>
      <c r="W1305" s="1" t="s">
        <v>87</v>
      </c>
      <c r="X1305">
        <v>48</v>
      </c>
      <c r="Y1305">
        <v>32259791</v>
      </c>
      <c r="Z1305" t="s">
        <v>91</v>
      </c>
      <c r="AA1305" t="s">
        <v>91</v>
      </c>
      <c r="AB1305" t="s">
        <v>91</v>
      </c>
      <c r="AC1305" t="s">
        <v>91</v>
      </c>
      <c r="AD1305" t="s">
        <v>91</v>
      </c>
      <c r="AE1305" t="s">
        <v>91</v>
      </c>
      <c r="AF1305" t="s">
        <v>91</v>
      </c>
      <c r="AG1305" s="1" t="s">
        <v>91</v>
      </c>
      <c r="AH1305" s="1" t="s">
        <v>91</v>
      </c>
      <c r="AI1305" t="s">
        <v>91</v>
      </c>
      <c r="AM1305" t="s">
        <v>91</v>
      </c>
      <c r="AN1305" t="s">
        <v>91</v>
      </c>
      <c r="AO1305" t="s">
        <v>91</v>
      </c>
      <c r="AP1305" t="s">
        <v>91</v>
      </c>
      <c r="AQ1305" s="1" t="s">
        <v>91</v>
      </c>
      <c r="AR1305" s="1" t="s">
        <v>91</v>
      </c>
      <c r="AS1305" s="1" t="s">
        <v>91</v>
      </c>
      <c r="AT1305" s="1" t="s">
        <v>91</v>
      </c>
      <c r="AU1305" s="1" t="s">
        <v>91</v>
      </c>
      <c r="AV1305" t="s">
        <v>91</v>
      </c>
      <c r="AW1305" t="s">
        <v>91</v>
      </c>
      <c r="AX1305" t="s">
        <v>91</v>
      </c>
      <c r="AY1305" t="s">
        <v>91</v>
      </c>
      <c r="AZ1305" t="s">
        <v>91</v>
      </c>
      <c r="BA1305" t="s">
        <v>91</v>
      </c>
      <c r="BB1305" s="2">
        <v>45113.505416666667</v>
      </c>
      <c r="BC1305" s="2"/>
      <c r="BD1305" t="s">
        <v>91</v>
      </c>
      <c r="BF1305" s="1" t="s">
        <v>75</v>
      </c>
      <c r="BI1305" s="1" t="s">
        <v>88</v>
      </c>
      <c r="BJ1305">
        <v>1</v>
      </c>
      <c r="BK1305" s="1" t="s">
        <v>89</v>
      </c>
      <c r="BL1305" t="s">
        <v>91</v>
      </c>
      <c r="BM1305" s="1" t="s">
        <v>91</v>
      </c>
      <c r="BN1305" s="1" t="s">
        <v>91</v>
      </c>
      <c r="BO1305" s="1" t="s">
        <v>91</v>
      </c>
      <c r="BP1305" s="1" t="s">
        <v>91</v>
      </c>
      <c r="BQ1305" t="s">
        <v>91</v>
      </c>
      <c r="BR1305" s="3">
        <v>45113</v>
      </c>
      <c r="BS1305" s="3"/>
      <c r="BT1305" t="s">
        <v>91</v>
      </c>
      <c r="BU1305" t="s">
        <v>91</v>
      </c>
      <c r="BW1305" s="1" t="s">
        <v>90</v>
      </c>
    </row>
    <row r="1306" spans="1:75" hidden="1" x14ac:dyDescent="0.35">
      <c r="A1306">
        <v>158722</v>
      </c>
      <c r="B1306" s="1" t="s">
        <v>75</v>
      </c>
      <c r="C1306">
        <v>80</v>
      </c>
      <c r="D1306">
        <v>11121004</v>
      </c>
      <c r="E1306">
        <v>121004</v>
      </c>
      <c r="F1306" s="1" t="s">
        <v>6867</v>
      </c>
      <c r="G1306" s="1" t="s">
        <v>7091</v>
      </c>
      <c r="I1306" s="1" t="s">
        <v>78</v>
      </c>
      <c r="J1306" s="1" t="s">
        <v>7092</v>
      </c>
      <c r="K1306" s="1" t="s">
        <v>7093</v>
      </c>
      <c r="L1306" t="s">
        <v>91</v>
      </c>
      <c r="M1306" t="s">
        <v>91</v>
      </c>
      <c r="N1306" s="1" t="s">
        <v>7094</v>
      </c>
      <c r="O1306" t="s">
        <v>91</v>
      </c>
      <c r="P1306" s="1" t="s">
        <v>7084</v>
      </c>
      <c r="Q1306" s="1" t="s">
        <v>706</v>
      </c>
      <c r="R1306" s="1" t="s">
        <v>91</v>
      </c>
      <c r="T1306">
        <v>89066301</v>
      </c>
      <c r="U1306" s="1" t="s">
        <v>7086</v>
      </c>
      <c r="V1306" s="1" t="s">
        <v>3571</v>
      </c>
      <c r="W1306" s="1" t="s">
        <v>87</v>
      </c>
      <c r="X1306">
        <v>47</v>
      </c>
      <c r="Y1306">
        <v>991016216</v>
      </c>
      <c r="Z1306" t="s">
        <v>91</v>
      </c>
      <c r="AA1306" t="s">
        <v>91</v>
      </c>
      <c r="AB1306" t="s">
        <v>91</v>
      </c>
      <c r="AC1306" t="s">
        <v>91</v>
      </c>
      <c r="AD1306" t="s">
        <v>91</v>
      </c>
      <c r="AE1306" t="s">
        <v>91</v>
      </c>
      <c r="AF1306" t="s">
        <v>91</v>
      </c>
      <c r="AG1306" s="1" t="s">
        <v>91</v>
      </c>
      <c r="AH1306" s="1" t="s">
        <v>91</v>
      </c>
      <c r="AI1306" t="s">
        <v>91</v>
      </c>
      <c r="AM1306" t="s">
        <v>91</v>
      </c>
      <c r="AN1306" t="s">
        <v>91</v>
      </c>
      <c r="AO1306" t="s">
        <v>91</v>
      </c>
      <c r="AP1306" t="s">
        <v>91</v>
      </c>
      <c r="AQ1306" s="1" t="s">
        <v>91</v>
      </c>
      <c r="AR1306" s="1" t="s">
        <v>91</v>
      </c>
      <c r="AS1306" s="1" t="s">
        <v>91</v>
      </c>
      <c r="AT1306" s="1" t="s">
        <v>91</v>
      </c>
      <c r="AU1306" s="1" t="s">
        <v>91</v>
      </c>
      <c r="AV1306" t="s">
        <v>91</v>
      </c>
      <c r="AW1306" t="s">
        <v>91</v>
      </c>
      <c r="AX1306" t="s">
        <v>91</v>
      </c>
      <c r="AY1306" t="s">
        <v>91</v>
      </c>
      <c r="AZ1306" t="s">
        <v>91</v>
      </c>
      <c r="BA1306" t="s">
        <v>91</v>
      </c>
      <c r="BB1306" s="2">
        <v>45155.700069444443</v>
      </c>
      <c r="BC1306" s="2"/>
      <c r="BD1306" t="s">
        <v>91</v>
      </c>
      <c r="BF1306" s="1" t="s">
        <v>75</v>
      </c>
      <c r="BI1306" s="1" t="s">
        <v>88</v>
      </c>
      <c r="BJ1306">
        <v>1</v>
      </c>
      <c r="BK1306" s="1" t="s">
        <v>89</v>
      </c>
      <c r="BL1306" t="s">
        <v>91</v>
      </c>
      <c r="BM1306" s="1" t="s">
        <v>91</v>
      </c>
      <c r="BN1306" s="1" t="s">
        <v>91</v>
      </c>
      <c r="BO1306" s="1" t="s">
        <v>91</v>
      </c>
      <c r="BP1306" s="1" t="s">
        <v>91</v>
      </c>
      <c r="BQ1306" t="s">
        <v>91</v>
      </c>
      <c r="BR1306" s="3">
        <v>45155</v>
      </c>
      <c r="BS1306" s="3"/>
      <c r="BT1306" t="s">
        <v>91</v>
      </c>
      <c r="BU1306" t="s">
        <v>91</v>
      </c>
      <c r="BW1306" s="1" t="s">
        <v>1254</v>
      </c>
    </row>
    <row r="1307" spans="1:75" hidden="1" x14ac:dyDescent="0.35">
      <c r="A1307">
        <v>157795</v>
      </c>
      <c r="B1307" s="1" t="s">
        <v>75</v>
      </c>
      <c r="C1307">
        <v>80</v>
      </c>
      <c r="D1307">
        <v>11121004</v>
      </c>
      <c r="E1307">
        <v>121004</v>
      </c>
      <c r="F1307" s="1" t="s">
        <v>6867</v>
      </c>
      <c r="G1307" s="1" t="s">
        <v>7095</v>
      </c>
      <c r="H1307">
        <v>0</v>
      </c>
      <c r="I1307" s="1" t="s">
        <v>78</v>
      </c>
      <c r="J1307" s="1" t="s">
        <v>7096</v>
      </c>
      <c r="K1307" s="1" t="s">
        <v>7097</v>
      </c>
      <c r="L1307" t="s">
        <v>91</v>
      </c>
      <c r="M1307" t="s">
        <v>91</v>
      </c>
      <c r="N1307" s="1" t="s">
        <v>3457</v>
      </c>
      <c r="O1307" t="s">
        <v>91</v>
      </c>
      <c r="P1307" s="1" t="s">
        <v>593</v>
      </c>
      <c r="Q1307" s="1" t="s">
        <v>390</v>
      </c>
      <c r="R1307" s="1" t="s">
        <v>7098</v>
      </c>
      <c r="S1307">
        <v>1262</v>
      </c>
      <c r="T1307">
        <v>88339005</v>
      </c>
      <c r="U1307" s="1" t="s">
        <v>7030</v>
      </c>
      <c r="V1307" s="1" t="s">
        <v>5871</v>
      </c>
      <c r="W1307" s="1" t="s">
        <v>87</v>
      </c>
      <c r="X1307">
        <v>47</v>
      </c>
      <c r="Y1307">
        <v>30627808</v>
      </c>
      <c r="Z1307" t="s">
        <v>91</v>
      </c>
      <c r="AA1307" t="s">
        <v>91</v>
      </c>
      <c r="AB1307" t="s">
        <v>91</v>
      </c>
      <c r="AC1307" t="s">
        <v>91</v>
      </c>
      <c r="AD1307" t="s">
        <v>91</v>
      </c>
      <c r="AE1307" t="s">
        <v>91</v>
      </c>
      <c r="AF1307" t="s">
        <v>91</v>
      </c>
      <c r="AG1307" s="1" t="s">
        <v>91</v>
      </c>
      <c r="AH1307" s="1" t="s">
        <v>91</v>
      </c>
      <c r="AI1307" t="s">
        <v>91</v>
      </c>
      <c r="AM1307" t="s">
        <v>91</v>
      </c>
      <c r="AN1307" t="s">
        <v>91</v>
      </c>
      <c r="AO1307" t="s">
        <v>91</v>
      </c>
      <c r="AP1307" t="s">
        <v>91</v>
      </c>
      <c r="AQ1307" s="1" t="s">
        <v>91</v>
      </c>
      <c r="AR1307" s="1" t="s">
        <v>91</v>
      </c>
      <c r="AS1307" s="1" t="s">
        <v>91</v>
      </c>
      <c r="AT1307" s="1" t="s">
        <v>91</v>
      </c>
      <c r="AU1307" s="1" t="s">
        <v>91</v>
      </c>
      <c r="AV1307" t="s">
        <v>91</v>
      </c>
      <c r="AW1307" t="s">
        <v>91</v>
      </c>
      <c r="AX1307" t="s">
        <v>91</v>
      </c>
      <c r="AY1307" t="s">
        <v>91</v>
      </c>
      <c r="AZ1307" t="s">
        <v>91</v>
      </c>
      <c r="BA1307" t="s">
        <v>91</v>
      </c>
      <c r="BB1307" s="2">
        <v>45118.101759259262</v>
      </c>
      <c r="BC1307" s="2"/>
      <c r="BD1307" t="s">
        <v>91</v>
      </c>
      <c r="BF1307" s="1" t="s">
        <v>75</v>
      </c>
      <c r="BI1307" s="1" t="s">
        <v>88</v>
      </c>
      <c r="BJ1307">
        <v>1</v>
      </c>
      <c r="BK1307" s="1" t="s">
        <v>89</v>
      </c>
      <c r="BL1307" t="s">
        <v>91</v>
      </c>
      <c r="BM1307" s="1" t="s">
        <v>91</v>
      </c>
      <c r="BN1307" s="1" t="s">
        <v>91</v>
      </c>
      <c r="BO1307" s="1" t="s">
        <v>91</v>
      </c>
      <c r="BP1307" s="1" t="s">
        <v>91</v>
      </c>
      <c r="BQ1307" t="s">
        <v>91</v>
      </c>
      <c r="BR1307" s="3">
        <v>45118</v>
      </c>
      <c r="BS1307" s="3"/>
      <c r="BT1307" t="s">
        <v>91</v>
      </c>
      <c r="BU1307" t="s">
        <v>91</v>
      </c>
      <c r="BW1307" s="1" t="s">
        <v>90</v>
      </c>
    </row>
    <row r="1308" spans="1:75" hidden="1" x14ac:dyDescent="0.35">
      <c r="A1308">
        <v>141972</v>
      </c>
      <c r="B1308" s="1" t="s">
        <v>75</v>
      </c>
      <c r="C1308">
        <v>80</v>
      </c>
      <c r="D1308">
        <v>11121004</v>
      </c>
      <c r="E1308">
        <v>121004</v>
      </c>
      <c r="F1308" s="1" t="s">
        <v>6867</v>
      </c>
      <c r="G1308" s="1" t="s">
        <v>7099</v>
      </c>
      <c r="H1308">
        <v>0</v>
      </c>
      <c r="I1308" s="1" t="s">
        <v>78</v>
      </c>
      <c r="J1308" s="1" t="s">
        <v>7100</v>
      </c>
      <c r="K1308" s="1" t="s">
        <v>7101</v>
      </c>
      <c r="L1308" t="s">
        <v>91</v>
      </c>
      <c r="M1308" t="s">
        <v>91</v>
      </c>
      <c r="N1308" s="1" t="s">
        <v>91</v>
      </c>
      <c r="O1308" t="s">
        <v>91</v>
      </c>
      <c r="P1308" s="1" t="s">
        <v>7102</v>
      </c>
      <c r="Q1308" s="1" t="s">
        <v>4762</v>
      </c>
      <c r="R1308" s="1" t="s">
        <v>419</v>
      </c>
      <c r="S1308">
        <v>1263</v>
      </c>
      <c r="T1308">
        <v>88350002</v>
      </c>
      <c r="U1308" s="1" t="s">
        <v>7103</v>
      </c>
      <c r="V1308" s="1" t="s">
        <v>6936</v>
      </c>
      <c r="W1308" s="1" t="s">
        <v>87</v>
      </c>
      <c r="X1308">
        <v>47</v>
      </c>
      <c r="Y1308">
        <v>32510740</v>
      </c>
      <c r="Z1308" t="s">
        <v>91</v>
      </c>
      <c r="AA1308" t="s">
        <v>91</v>
      </c>
      <c r="AB1308" t="s">
        <v>91</v>
      </c>
      <c r="AC1308" t="s">
        <v>91</v>
      </c>
      <c r="AD1308" t="s">
        <v>91</v>
      </c>
      <c r="AE1308" t="s">
        <v>91</v>
      </c>
      <c r="AF1308" t="s">
        <v>91</v>
      </c>
      <c r="AG1308" s="1" t="s">
        <v>91</v>
      </c>
      <c r="AH1308" s="1" t="s">
        <v>91</v>
      </c>
      <c r="AI1308" t="s">
        <v>91</v>
      </c>
      <c r="AM1308" t="s">
        <v>91</v>
      </c>
      <c r="AN1308" t="s">
        <v>91</v>
      </c>
      <c r="AO1308" t="s">
        <v>91</v>
      </c>
      <c r="AP1308" t="s">
        <v>91</v>
      </c>
      <c r="AQ1308" s="1" t="s">
        <v>91</v>
      </c>
      <c r="AR1308" s="1" t="s">
        <v>91</v>
      </c>
      <c r="AS1308" s="1" t="s">
        <v>91</v>
      </c>
      <c r="AT1308" s="1" t="s">
        <v>91</v>
      </c>
      <c r="AU1308" s="1" t="s">
        <v>91</v>
      </c>
      <c r="AV1308" t="s">
        <v>91</v>
      </c>
      <c r="AW1308" t="s">
        <v>91</v>
      </c>
      <c r="AX1308" t="s">
        <v>91</v>
      </c>
      <c r="AY1308" t="s">
        <v>91</v>
      </c>
      <c r="AZ1308" t="s">
        <v>91</v>
      </c>
      <c r="BA1308" t="s">
        <v>91</v>
      </c>
      <c r="BB1308" s="2">
        <v>44506.942743055559</v>
      </c>
      <c r="BC1308" s="2"/>
      <c r="BD1308" t="s">
        <v>91</v>
      </c>
      <c r="BF1308" s="1" t="s">
        <v>75</v>
      </c>
      <c r="BI1308" s="1" t="s">
        <v>88</v>
      </c>
      <c r="BJ1308">
        <v>1</v>
      </c>
      <c r="BK1308" s="1" t="s">
        <v>89</v>
      </c>
      <c r="BL1308" t="s">
        <v>91</v>
      </c>
      <c r="BM1308" s="1" t="s">
        <v>109</v>
      </c>
      <c r="BN1308" s="1" t="s">
        <v>148</v>
      </c>
      <c r="BO1308" s="1" t="s">
        <v>91</v>
      </c>
      <c r="BP1308" s="1" t="s">
        <v>91</v>
      </c>
      <c r="BQ1308" t="s">
        <v>91</v>
      </c>
      <c r="BR1308" s="3">
        <v>44506</v>
      </c>
      <c r="BS1308" s="3"/>
      <c r="BT1308" t="s">
        <v>91</v>
      </c>
      <c r="BU1308" t="s">
        <v>91</v>
      </c>
      <c r="BW1308" s="1" t="s">
        <v>90</v>
      </c>
    </row>
    <row r="1309" spans="1:75" hidden="1" x14ac:dyDescent="0.35">
      <c r="A1309">
        <v>117517</v>
      </c>
      <c r="B1309" s="1" t="s">
        <v>75</v>
      </c>
      <c r="C1309">
        <v>80</v>
      </c>
      <c r="D1309">
        <v>11121004</v>
      </c>
      <c r="E1309">
        <v>121004</v>
      </c>
      <c r="F1309" s="1" t="s">
        <v>6867</v>
      </c>
      <c r="G1309" s="1" t="s">
        <v>7104</v>
      </c>
      <c r="H1309">
        <v>0</v>
      </c>
      <c r="I1309" s="1" t="s">
        <v>78</v>
      </c>
      <c r="J1309" s="1" t="s">
        <v>7105</v>
      </c>
      <c r="K1309" s="1" t="s">
        <v>7106</v>
      </c>
      <c r="L1309" t="s">
        <v>91</v>
      </c>
      <c r="M1309" t="s">
        <v>91</v>
      </c>
      <c r="N1309" s="1" t="s">
        <v>7107</v>
      </c>
      <c r="O1309" t="s">
        <v>91</v>
      </c>
      <c r="P1309" s="1" t="s">
        <v>7108</v>
      </c>
      <c r="Q1309" s="1" t="s">
        <v>783</v>
      </c>
      <c r="R1309" s="1" t="s">
        <v>7109</v>
      </c>
      <c r="S1309">
        <v>1260</v>
      </c>
      <c r="T1309">
        <v>88270000</v>
      </c>
      <c r="U1309" s="1" t="s">
        <v>108</v>
      </c>
      <c r="V1309" s="1" t="s">
        <v>7110</v>
      </c>
      <c r="W1309" s="1" t="s">
        <v>87</v>
      </c>
      <c r="X1309">
        <v>48</v>
      </c>
      <c r="Y1309">
        <v>32671729</v>
      </c>
      <c r="Z1309" t="s">
        <v>91</v>
      </c>
      <c r="AA1309" t="s">
        <v>91</v>
      </c>
      <c r="AB1309" t="s">
        <v>91</v>
      </c>
      <c r="AC1309" t="s">
        <v>91</v>
      </c>
      <c r="AD1309" t="s">
        <v>91</v>
      </c>
      <c r="AE1309" t="s">
        <v>91</v>
      </c>
      <c r="AF1309" t="s">
        <v>91</v>
      </c>
      <c r="AG1309" s="1" t="s">
        <v>146</v>
      </c>
      <c r="AH1309" s="1" t="s">
        <v>91</v>
      </c>
      <c r="AI1309" t="s">
        <v>91</v>
      </c>
      <c r="AJ1309">
        <v>0</v>
      </c>
      <c r="AK1309">
        <v>0</v>
      </c>
      <c r="AL1309">
        <v>0</v>
      </c>
      <c r="AM1309" t="s">
        <v>91</v>
      </c>
      <c r="AN1309" t="s">
        <v>91</v>
      </c>
      <c r="AO1309" t="s">
        <v>91</v>
      </c>
      <c r="AP1309" t="s">
        <v>91</v>
      </c>
      <c r="AQ1309" s="1" t="s">
        <v>147</v>
      </c>
      <c r="AR1309" s="1" t="s">
        <v>147</v>
      </c>
      <c r="AS1309" s="1" t="s">
        <v>147</v>
      </c>
      <c r="AT1309" s="1" t="s">
        <v>147</v>
      </c>
      <c r="AU1309" s="1" t="s">
        <v>147</v>
      </c>
      <c r="AV1309" t="s">
        <v>91</v>
      </c>
      <c r="AW1309" t="s">
        <v>91</v>
      </c>
      <c r="AX1309" t="s">
        <v>91</v>
      </c>
      <c r="AY1309" t="s">
        <v>91</v>
      </c>
      <c r="AZ1309" t="s">
        <v>91</v>
      </c>
      <c r="BA1309" t="s">
        <v>91</v>
      </c>
      <c r="BB1309" s="2">
        <v>44034.350266203706</v>
      </c>
      <c r="BC1309" s="2">
        <v>45127.699861111112</v>
      </c>
      <c r="BD1309" t="s">
        <v>91</v>
      </c>
      <c r="BF1309" s="1" t="s">
        <v>75</v>
      </c>
      <c r="BG1309">
        <v>0</v>
      </c>
      <c r="BH1309">
        <v>0</v>
      </c>
      <c r="BI1309" s="1" t="s">
        <v>721</v>
      </c>
      <c r="BJ1309">
        <v>1</v>
      </c>
      <c r="BK1309" s="1" t="s">
        <v>89</v>
      </c>
      <c r="BL1309" t="s">
        <v>91</v>
      </c>
      <c r="BM1309" s="1" t="s">
        <v>109</v>
      </c>
      <c r="BN1309" s="1" t="s">
        <v>148</v>
      </c>
      <c r="BO1309" s="1" t="s">
        <v>165</v>
      </c>
      <c r="BP1309" s="1" t="s">
        <v>91</v>
      </c>
      <c r="BQ1309" t="s">
        <v>91</v>
      </c>
      <c r="BR1309" s="3">
        <v>44034</v>
      </c>
      <c r="BS1309" s="3">
        <v>45127</v>
      </c>
      <c r="BT1309" t="s">
        <v>91</v>
      </c>
      <c r="BU1309" t="s">
        <v>91</v>
      </c>
      <c r="BV1309">
        <v>9</v>
      </c>
      <c r="BW1309" s="1" t="s">
        <v>390</v>
      </c>
    </row>
    <row r="1310" spans="1:75" hidden="1" x14ac:dyDescent="0.35">
      <c r="A1310">
        <v>137554</v>
      </c>
      <c r="B1310" s="1" t="s">
        <v>75</v>
      </c>
      <c r="C1310">
        <v>80</v>
      </c>
      <c r="D1310">
        <v>11121004</v>
      </c>
      <c r="E1310">
        <v>121004</v>
      </c>
      <c r="F1310" s="1" t="s">
        <v>6867</v>
      </c>
      <c r="G1310" s="1" t="s">
        <v>7111</v>
      </c>
      <c r="H1310">
        <v>0</v>
      </c>
      <c r="I1310" s="1" t="s">
        <v>78</v>
      </c>
      <c r="J1310" s="1" t="s">
        <v>7112</v>
      </c>
      <c r="K1310" s="1" t="s">
        <v>7113</v>
      </c>
      <c r="L1310" t="s">
        <v>91</v>
      </c>
      <c r="M1310" t="s">
        <v>91</v>
      </c>
      <c r="N1310" s="1" t="s">
        <v>7107</v>
      </c>
      <c r="O1310" t="s">
        <v>91</v>
      </c>
      <c r="P1310" s="1" t="s">
        <v>7114</v>
      </c>
      <c r="Q1310" s="1" t="s">
        <v>255</v>
      </c>
      <c r="R1310" s="1" t="s">
        <v>91</v>
      </c>
      <c r="S1310">
        <v>1263</v>
      </c>
      <c r="T1310">
        <v>88350001</v>
      </c>
      <c r="U1310" s="1" t="s">
        <v>108</v>
      </c>
      <c r="V1310" s="1" t="s">
        <v>6936</v>
      </c>
      <c r="W1310" s="1" t="s">
        <v>87</v>
      </c>
      <c r="X1310">
        <v>47</v>
      </c>
      <c r="Y1310">
        <v>33510770</v>
      </c>
      <c r="Z1310" t="s">
        <v>91</v>
      </c>
      <c r="AA1310" t="s">
        <v>91</v>
      </c>
      <c r="AB1310" t="s">
        <v>91</v>
      </c>
      <c r="AC1310" t="s">
        <v>91</v>
      </c>
      <c r="AD1310" t="s">
        <v>91</v>
      </c>
      <c r="AE1310" t="s">
        <v>91</v>
      </c>
      <c r="AF1310" t="s">
        <v>91</v>
      </c>
      <c r="AG1310" s="1" t="s">
        <v>91</v>
      </c>
      <c r="AH1310" s="1" t="s">
        <v>91</v>
      </c>
      <c r="AI1310" t="s">
        <v>91</v>
      </c>
      <c r="AM1310" t="s">
        <v>91</v>
      </c>
      <c r="AN1310" t="s">
        <v>91</v>
      </c>
      <c r="AO1310" t="s">
        <v>91</v>
      </c>
      <c r="AP1310" t="s">
        <v>91</v>
      </c>
      <c r="AQ1310" s="1" t="s">
        <v>91</v>
      </c>
      <c r="AR1310" s="1" t="s">
        <v>91</v>
      </c>
      <c r="AS1310" s="1" t="s">
        <v>91</v>
      </c>
      <c r="AT1310" s="1" t="s">
        <v>91</v>
      </c>
      <c r="AU1310" s="1" t="s">
        <v>91</v>
      </c>
      <c r="AV1310" t="s">
        <v>91</v>
      </c>
      <c r="AW1310" t="s">
        <v>91</v>
      </c>
      <c r="AX1310" t="s">
        <v>91</v>
      </c>
      <c r="AY1310" t="s">
        <v>91</v>
      </c>
      <c r="AZ1310" t="s">
        <v>91</v>
      </c>
      <c r="BA1310" t="s">
        <v>91</v>
      </c>
      <c r="BB1310" s="2">
        <v>44378.578518518516</v>
      </c>
      <c r="BC1310" s="2"/>
      <c r="BD1310" t="s">
        <v>91</v>
      </c>
      <c r="BF1310" s="1" t="s">
        <v>75</v>
      </c>
      <c r="BI1310" s="1" t="s">
        <v>88</v>
      </c>
      <c r="BJ1310">
        <v>1</v>
      </c>
      <c r="BK1310" s="1" t="s">
        <v>89</v>
      </c>
      <c r="BL1310" t="s">
        <v>91</v>
      </c>
      <c r="BM1310" s="1" t="s">
        <v>109</v>
      </c>
      <c r="BN1310" s="1" t="s">
        <v>110</v>
      </c>
      <c r="BO1310" s="1" t="s">
        <v>165</v>
      </c>
      <c r="BP1310" s="1" t="s">
        <v>91</v>
      </c>
      <c r="BQ1310" t="s">
        <v>91</v>
      </c>
      <c r="BR1310" s="3">
        <v>44378</v>
      </c>
      <c r="BS1310" s="3"/>
      <c r="BT1310" t="s">
        <v>91</v>
      </c>
      <c r="BU1310" t="s">
        <v>91</v>
      </c>
      <c r="BW1310" s="1" t="s">
        <v>7115</v>
      </c>
    </row>
    <row r="1311" spans="1:75" hidden="1" x14ac:dyDescent="0.35">
      <c r="A1311">
        <v>157792</v>
      </c>
      <c r="B1311" s="1" t="s">
        <v>75</v>
      </c>
      <c r="C1311">
        <v>80</v>
      </c>
      <c r="D1311">
        <v>11121004</v>
      </c>
      <c r="E1311">
        <v>121004</v>
      </c>
      <c r="F1311" s="1" t="s">
        <v>6867</v>
      </c>
      <c r="G1311" s="1" t="s">
        <v>7116</v>
      </c>
      <c r="H1311">
        <v>0</v>
      </c>
      <c r="I1311" s="1" t="s">
        <v>78</v>
      </c>
      <c r="J1311" s="1" t="s">
        <v>7117</v>
      </c>
      <c r="K1311" s="1" t="s">
        <v>7118</v>
      </c>
      <c r="L1311" t="s">
        <v>91</v>
      </c>
      <c r="M1311" t="s">
        <v>91</v>
      </c>
      <c r="N1311" s="1" t="s">
        <v>91</v>
      </c>
      <c r="O1311" t="s">
        <v>91</v>
      </c>
      <c r="P1311" s="1" t="s">
        <v>7119</v>
      </c>
      <c r="Q1311" s="1" t="s">
        <v>7120</v>
      </c>
      <c r="R1311" s="1" t="s">
        <v>833</v>
      </c>
      <c r="T1311">
        <v>88340542</v>
      </c>
      <c r="U1311" s="1" t="s">
        <v>108</v>
      </c>
      <c r="V1311" s="1" t="s">
        <v>7121</v>
      </c>
      <c r="W1311" s="1" t="s">
        <v>87</v>
      </c>
      <c r="X1311">
        <v>47</v>
      </c>
      <c r="Y1311">
        <v>30560776</v>
      </c>
      <c r="Z1311" t="s">
        <v>91</v>
      </c>
      <c r="AA1311" t="s">
        <v>91</v>
      </c>
      <c r="AB1311" t="s">
        <v>91</v>
      </c>
      <c r="AC1311" t="s">
        <v>91</v>
      </c>
      <c r="AD1311" t="s">
        <v>91</v>
      </c>
      <c r="AE1311" t="s">
        <v>91</v>
      </c>
      <c r="AF1311" t="s">
        <v>91</v>
      </c>
      <c r="AG1311" s="1" t="s">
        <v>91</v>
      </c>
      <c r="AH1311" s="1" t="s">
        <v>91</v>
      </c>
      <c r="AI1311" t="s">
        <v>91</v>
      </c>
      <c r="AM1311" t="s">
        <v>91</v>
      </c>
      <c r="AN1311" t="s">
        <v>91</v>
      </c>
      <c r="AO1311" t="s">
        <v>91</v>
      </c>
      <c r="AP1311" t="s">
        <v>91</v>
      </c>
      <c r="AQ1311" s="1" t="s">
        <v>91</v>
      </c>
      <c r="AR1311" s="1" t="s">
        <v>91</v>
      </c>
      <c r="AS1311" s="1" t="s">
        <v>91</v>
      </c>
      <c r="AT1311" s="1" t="s">
        <v>91</v>
      </c>
      <c r="AU1311" s="1" t="s">
        <v>91</v>
      </c>
      <c r="AV1311" t="s">
        <v>91</v>
      </c>
      <c r="AW1311" t="s">
        <v>91</v>
      </c>
      <c r="AX1311" t="s">
        <v>91</v>
      </c>
      <c r="AY1311" t="s">
        <v>91</v>
      </c>
      <c r="AZ1311" t="s">
        <v>91</v>
      </c>
      <c r="BA1311" t="s">
        <v>91</v>
      </c>
      <c r="BB1311" s="2">
        <v>45118.101759259262</v>
      </c>
      <c r="BC1311" s="2"/>
      <c r="BD1311" t="s">
        <v>91</v>
      </c>
      <c r="BF1311" s="1" t="s">
        <v>75</v>
      </c>
      <c r="BI1311" s="1" t="s">
        <v>88</v>
      </c>
      <c r="BJ1311">
        <v>1</v>
      </c>
      <c r="BK1311" s="1" t="s">
        <v>89</v>
      </c>
      <c r="BL1311" t="s">
        <v>91</v>
      </c>
      <c r="BM1311" s="1" t="s">
        <v>91</v>
      </c>
      <c r="BN1311" s="1" t="s">
        <v>91</v>
      </c>
      <c r="BO1311" s="1" t="s">
        <v>91</v>
      </c>
      <c r="BP1311" s="1" t="s">
        <v>91</v>
      </c>
      <c r="BQ1311" t="s">
        <v>91</v>
      </c>
      <c r="BR1311" s="3">
        <v>45118</v>
      </c>
      <c r="BS1311" s="3"/>
      <c r="BT1311" t="s">
        <v>91</v>
      </c>
      <c r="BU1311" t="s">
        <v>91</v>
      </c>
      <c r="BW1311" s="1" t="s">
        <v>90</v>
      </c>
    </row>
    <row r="1312" spans="1:75" hidden="1" x14ac:dyDescent="0.35">
      <c r="A1312">
        <v>137556</v>
      </c>
      <c r="B1312" s="1" t="s">
        <v>75</v>
      </c>
      <c r="C1312">
        <v>80</v>
      </c>
      <c r="D1312">
        <v>11121004</v>
      </c>
      <c r="E1312">
        <v>121004</v>
      </c>
      <c r="F1312" s="1" t="s">
        <v>6867</v>
      </c>
      <c r="G1312" s="1" t="s">
        <v>7122</v>
      </c>
      <c r="H1312">
        <v>0</v>
      </c>
      <c r="I1312" s="1" t="s">
        <v>78</v>
      </c>
      <c r="J1312" s="1" t="s">
        <v>7123</v>
      </c>
      <c r="K1312" s="1" t="s">
        <v>7124</v>
      </c>
      <c r="L1312" t="s">
        <v>91</v>
      </c>
      <c r="M1312" t="s">
        <v>91</v>
      </c>
      <c r="N1312" s="1" t="s">
        <v>7125</v>
      </c>
      <c r="O1312" t="s">
        <v>91</v>
      </c>
      <c r="P1312" s="1" t="s">
        <v>7126</v>
      </c>
      <c r="Q1312" s="1" t="s">
        <v>4259</v>
      </c>
      <c r="R1312" s="1" t="s">
        <v>173</v>
      </c>
      <c r="S1312">
        <v>1263</v>
      </c>
      <c r="T1312">
        <v>88370232</v>
      </c>
      <c r="U1312" s="1" t="s">
        <v>108</v>
      </c>
      <c r="V1312" s="1" t="s">
        <v>7127</v>
      </c>
      <c r="W1312" s="1" t="s">
        <v>87</v>
      </c>
      <c r="X1312">
        <v>47</v>
      </c>
      <c r="Y1312">
        <v>33193162</v>
      </c>
      <c r="Z1312" t="s">
        <v>91</v>
      </c>
      <c r="AA1312" t="s">
        <v>91</v>
      </c>
      <c r="AB1312" t="s">
        <v>91</v>
      </c>
      <c r="AC1312" t="s">
        <v>91</v>
      </c>
      <c r="AD1312" t="s">
        <v>91</v>
      </c>
      <c r="AE1312" t="s">
        <v>91</v>
      </c>
      <c r="AF1312" t="s">
        <v>91</v>
      </c>
      <c r="AG1312" s="1" t="s">
        <v>146</v>
      </c>
      <c r="AH1312" s="1" t="s">
        <v>91</v>
      </c>
      <c r="AI1312" t="s">
        <v>91</v>
      </c>
      <c r="AM1312" t="s">
        <v>91</v>
      </c>
      <c r="AN1312" t="s">
        <v>91</v>
      </c>
      <c r="AO1312" t="s">
        <v>91</v>
      </c>
      <c r="AP1312" t="s">
        <v>91</v>
      </c>
      <c r="AQ1312" s="1" t="s">
        <v>147</v>
      </c>
      <c r="AR1312" s="1" t="s">
        <v>147</v>
      </c>
      <c r="AS1312" s="1" t="s">
        <v>147</v>
      </c>
      <c r="AT1312" s="1" t="s">
        <v>147</v>
      </c>
      <c r="AU1312" s="1" t="s">
        <v>147</v>
      </c>
      <c r="AV1312" t="s">
        <v>91</v>
      </c>
      <c r="AW1312" t="s">
        <v>91</v>
      </c>
      <c r="AX1312" t="s">
        <v>91</v>
      </c>
      <c r="AY1312" t="s">
        <v>91</v>
      </c>
      <c r="AZ1312" t="s">
        <v>91</v>
      </c>
      <c r="BA1312" t="s">
        <v>91</v>
      </c>
      <c r="BB1312" s="2">
        <v>44378.578518518516</v>
      </c>
      <c r="BC1312" s="2">
        <v>45114.479004629633</v>
      </c>
      <c r="BD1312" t="s">
        <v>91</v>
      </c>
      <c r="BF1312" s="1" t="s">
        <v>75</v>
      </c>
      <c r="BH1312">
        <v>0</v>
      </c>
      <c r="BI1312" s="1" t="s">
        <v>88</v>
      </c>
      <c r="BJ1312">
        <v>1</v>
      </c>
      <c r="BK1312" s="1" t="s">
        <v>89</v>
      </c>
      <c r="BL1312" t="s">
        <v>91</v>
      </c>
      <c r="BM1312" s="1" t="s">
        <v>109</v>
      </c>
      <c r="BN1312" s="1" t="s">
        <v>110</v>
      </c>
      <c r="BO1312" s="1" t="s">
        <v>128</v>
      </c>
      <c r="BP1312" s="1" t="s">
        <v>91</v>
      </c>
      <c r="BQ1312" t="s">
        <v>91</v>
      </c>
      <c r="BR1312" s="3">
        <v>44378</v>
      </c>
      <c r="BS1312" s="3">
        <v>45114</v>
      </c>
      <c r="BT1312" t="s">
        <v>91</v>
      </c>
      <c r="BU1312" t="s">
        <v>91</v>
      </c>
      <c r="BW1312" s="1" t="s">
        <v>1260</v>
      </c>
    </row>
    <row r="1313" spans="1:75" hidden="1" x14ac:dyDescent="0.35">
      <c r="A1313">
        <v>117453</v>
      </c>
      <c r="B1313" s="1" t="s">
        <v>75</v>
      </c>
      <c r="C1313">
        <v>80</v>
      </c>
      <c r="D1313">
        <v>11121004</v>
      </c>
      <c r="E1313">
        <v>121004</v>
      </c>
      <c r="F1313" s="1" t="s">
        <v>6867</v>
      </c>
      <c r="G1313" s="1" t="s">
        <v>7128</v>
      </c>
      <c r="H1313">
        <v>0</v>
      </c>
      <c r="I1313" s="1" t="s">
        <v>78</v>
      </c>
      <c r="J1313" s="1" t="s">
        <v>7129</v>
      </c>
      <c r="K1313" s="1" t="s">
        <v>7130</v>
      </c>
      <c r="L1313" t="s">
        <v>91</v>
      </c>
      <c r="M1313" t="s">
        <v>91</v>
      </c>
      <c r="N1313" s="1" t="s">
        <v>7131</v>
      </c>
      <c r="O1313" t="s">
        <v>91</v>
      </c>
      <c r="P1313" s="1" t="s">
        <v>7132</v>
      </c>
      <c r="Q1313" s="1" t="s">
        <v>2162</v>
      </c>
      <c r="R1313" s="1" t="s">
        <v>91</v>
      </c>
      <c r="S1313">
        <v>1263</v>
      </c>
      <c r="T1313">
        <v>88350002</v>
      </c>
      <c r="U1313" s="1" t="s">
        <v>108</v>
      </c>
      <c r="V1313" s="1" t="s">
        <v>6936</v>
      </c>
      <c r="W1313" s="1" t="s">
        <v>87</v>
      </c>
      <c r="X1313">
        <v>47</v>
      </c>
      <c r="Y1313">
        <v>33513897</v>
      </c>
      <c r="Z1313" t="s">
        <v>91</v>
      </c>
      <c r="AA1313" t="s">
        <v>91</v>
      </c>
      <c r="AB1313" t="s">
        <v>91</v>
      </c>
      <c r="AC1313" t="s">
        <v>91</v>
      </c>
      <c r="AD1313" t="s">
        <v>91</v>
      </c>
      <c r="AE1313" t="s">
        <v>91</v>
      </c>
      <c r="AF1313" t="s">
        <v>91</v>
      </c>
      <c r="AG1313" s="1" t="s">
        <v>91</v>
      </c>
      <c r="AH1313" s="1" t="s">
        <v>91</v>
      </c>
      <c r="AI1313" t="s">
        <v>91</v>
      </c>
      <c r="AJ1313">
        <v>0</v>
      </c>
      <c r="AK1313">
        <v>0</v>
      </c>
      <c r="AL1313">
        <v>0</v>
      </c>
      <c r="AM1313" t="s">
        <v>91</v>
      </c>
      <c r="AN1313" t="s">
        <v>91</v>
      </c>
      <c r="AO1313" t="s">
        <v>91</v>
      </c>
      <c r="AP1313" t="s">
        <v>91</v>
      </c>
      <c r="AQ1313" s="1" t="s">
        <v>91</v>
      </c>
      <c r="AR1313" s="1" t="s">
        <v>91</v>
      </c>
      <c r="AS1313" s="1" t="s">
        <v>91</v>
      </c>
      <c r="AT1313" s="1" t="s">
        <v>91</v>
      </c>
      <c r="AU1313" s="1" t="s">
        <v>91</v>
      </c>
      <c r="AV1313" t="s">
        <v>91</v>
      </c>
      <c r="AW1313" t="s">
        <v>91</v>
      </c>
      <c r="AX1313" t="s">
        <v>91</v>
      </c>
      <c r="AY1313" t="s">
        <v>91</v>
      </c>
      <c r="AZ1313" t="s">
        <v>91</v>
      </c>
      <c r="BA1313" t="s">
        <v>91</v>
      </c>
      <c r="BB1313" s="2">
        <v>44034.350266203706</v>
      </c>
      <c r="BC1313" s="2"/>
      <c r="BD1313" t="s">
        <v>91</v>
      </c>
      <c r="BF1313" s="1" t="s">
        <v>75</v>
      </c>
      <c r="BG1313">
        <v>0</v>
      </c>
      <c r="BH1313">
        <v>0</v>
      </c>
      <c r="BI1313" s="1" t="s">
        <v>88</v>
      </c>
      <c r="BJ1313">
        <v>1</v>
      </c>
      <c r="BK1313" s="1" t="s">
        <v>89</v>
      </c>
      <c r="BL1313" t="s">
        <v>91</v>
      </c>
      <c r="BM1313" s="1" t="s">
        <v>329</v>
      </c>
      <c r="BN1313" s="1" t="s">
        <v>110</v>
      </c>
      <c r="BO1313" s="1" t="s">
        <v>165</v>
      </c>
      <c r="BP1313" s="1" t="s">
        <v>91</v>
      </c>
      <c r="BQ1313" t="s">
        <v>91</v>
      </c>
      <c r="BR1313" s="3">
        <v>44034</v>
      </c>
      <c r="BS1313" s="3"/>
      <c r="BT1313" t="s">
        <v>91</v>
      </c>
      <c r="BU1313" t="s">
        <v>91</v>
      </c>
      <c r="BV1313">
        <v>5</v>
      </c>
      <c r="BW1313" s="1" t="s">
        <v>601</v>
      </c>
    </row>
    <row r="1314" spans="1:75" hidden="1" x14ac:dyDescent="0.35">
      <c r="A1314">
        <v>137558</v>
      </c>
      <c r="B1314" s="1" t="s">
        <v>75</v>
      </c>
      <c r="C1314">
        <v>80</v>
      </c>
      <c r="D1314">
        <v>11121004</v>
      </c>
      <c r="E1314">
        <v>121004</v>
      </c>
      <c r="F1314" s="1" t="s">
        <v>6867</v>
      </c>
      <c r="G1314" s="1" t="s">
        <v>7133</v>
      </c>
      <c r="H1314">
        <v>0</v>
      </c>
      <c r="I1314" s="1" t="s">
        <v>78</v>
      </c>
      <c r="J1314" s="1" t="s">
        <v>7134</v>
      </c>
      <c r="K1314" s="1" t="s">
        <v>7135</v>
      </c>
      <c r="L1314" t="s">
        <v>91</v>
      </c>
      <c r="M1314" t="s">
        <v>91</v>
      </c>
      <c r="N1314" s="1" t="s">
        <v>7136</v>
      </c>
      <c r="O1314" t="s">
        <v>91</v>
      </c>
      <c r="P1314" s="1" t="s">
        <v>292</v>
      </c>
      <c r="Q1314" s="1" t="s">
        <v>589</v>
      </c>
      <c r="R1314" s="1" t="s">
        <v>91</v>
      </c>
      <c r="S1314">
        <v>1276</v>
      </c>
      <c r="T1314">
        <v>89160045</v>
      </c>
      <c r="U1314" s="1" t="s">
        <v>108</v>
      </c>
      <c r="V1314" s="1" t="s">
        <v>6927</v>
      </c>
      <c r="W1314" s="1" t="s">
        <v>87</v>
      </c>
      <c r="X1314">
        <v>47</v>
      </c>
      <c r="Y1314">
        <v>35211539</v>
      </c>
      <c r="Z1314" t="s">
        <v>91</v>
      </c>
      <c r="AA1314" t="s">
        <v>91</v>
      </c>
      <c r="AB1314" t="s">
        <v>91</v>
      </c>
      <c r="AC1314" t="s">
        <v>91</v>
      </c>
      <c r="AD1314" t="s">
        <v>91</v>
      </c>
      <c r="AE1314" t="s">
        <v>91</v>
      </c>
      <c r="AF1314" t="s">
        <v>91</v>
      </c>
      <c r="AG1314" s="1" t="s">
        <v>146</v>
      </c>
      <c r="AH1314" s="1" t="s">
        <v>91</v>
      </c>
      <c r="AI1314" t="s">
        <v>91</v>
      </c>
      <c r="AM1314" t="s">
        <v>91</v>
      </c>
      <c r="AN1314" t="s">
        <v>91</v>
      </c>
      <c r="AO1314" t="s">
        <v>91</v>
      </c>
      <c r="AP1314" t="s">
        <v>91</v>
      </c>
      <c r="AQ1314" s="1" t="s">
        <v>147</v>
      </c>
      <c r="AR1314" s="1" t="s">
        <v>147</v>
      </c>
      <c r="AS1314" s="1" t="s">
        <v>147</v>
      </c>
      <c r="AT1314" s="1" t="s">
        <v>147</v>
      </c>
      <c r="AU1314" s="1" t="s">
        <v>147</v>
      </c>
      <c r="AV1314" t="s">
        <v>91</v>
      </c>
      <c r="AW1314" t="s">
        <v>91</v>
      </c>
      <c r="AX1314" t="s">
        <v>91</v>
      </c>
      <c r="AY1314" t="s">
        <v>91</v>
      </c>
      <c r="AZ1314" t="s">
        <v>91</v>
      </c>
      <c r="BA1314" t="s">
        <v>91</v>
      </c>
      <c r="BB1314" s="2">
        <v>44378.578518518516</v>
      </c>
      <c r="BC1314" s="2">
        <v>45114.479525462964</v>
      </c>
      <c r="BD1314" t="s">
        <v>91</v>
      </c>
      <c r="BF1314" s="1" t="s">
        <v>75</v>
      </c>
      <c r="BH1314">
        <v>0</v>
      </c>
      <c r="BI1314" s="1" t="s">
        <v>88</v>
      </c>
      <c r="BJ1314">
        <v>1</v>
      </c>
      <c r="BK1314" s="1" t="s">
        <v>89</v>
      </c>
      <c r="BL1314" t="s">
        <v>91</v>
      </c>
      <c r="BM1314" s="1" t="s">
        <v>109</v>
      </c>
      <c r="BN1314" s="1" t="s">
        <v>148</v>
      </c>
      <c r="BO1314" s="1" t="s">
        <v>128</v>
      </c>
      <c r="BP1314" s="1" t="s">
        <v>91</v>
      </c>
      <c r="BQ1314" t="s">
        <v>91</v>
      </c>
      <c r="BR1314" s="3">
        <v>44378</v>
      </c>
      <c r="BS1314" s="3">
        <v>45114</v>
      </c>
      <c r="BT1314" t="s">
        <v>91</v>
      </c>
      <c r="BU1314" t="s">
        <v>91</v>
      </c>
      <c r="BW1314" s="1" t="s">
        <v>1048</v>
      </c>
    </row>
    <row r="1315" spans="1:75" hidden="1" x14ac:dyDescent="0.35">
      <c r="A1315">
        <v>1314</v>
      </c>
      <c r="B1315" s="1" t="s">
        <v>75</v>
      </c>
      <c r="C1315">
        <v>80</v>
      </c>
      <c r="D1315">
        <v>11121004</v>
      </c>
      <c r="E1315">
        <v>121004</v>
      </c>
      <c r="F1315" s="1" t="s">
        <v>6867</v>
      </c>
      <c r="G1315" s="1" t="s">
        <v>7137</v>
      </c>
      <c r="I1315" s="1" t="s">
        <v>78</v>
      </c>
      <c r="J1315" s="1" t="s">
        <v>7138</v>
      </c>
      <c r="K1315" s="1" t="s">
        <v>7139</v>
      </c>
      <c r="L1315" t="s">
        <v>91</v>
      </c>
      <c r="M1315" t="s">
        <v>91</v>
      </c>
      <c r="N1315" s="1" t="s">
        <v>7140</v>
      </c>
      <c r="O1315" t="s">
        <v>91</v>
      </c>
      <c r="P1315" s="1" t="s">
        <v>6925</v>
      </c>
      <c r="Q1315" s="1" t="s">
        <v>2022</v>
      </c>
      <c r="R1315" s="1" t="s">
        <v>370</v>
      </c>
      <c r="S1315">
        <v>1276</v>
      </c>
      <c r="T1315">
        <v>89160051</v>
      </c>
      <c r="U1315" s="1" t="s">
        <v>108</v>
      </c>
      <c r="V1315" s="1" t="s">
        <v>6927</v>
      </c>
      <c r="W1315" s="1" t="s">
        <v>87</v>
      </c>
      <c r="X1315">
        <v>47</v>
      </c>
      <c r="Y1315">
        <v>35222289</v>
      </c>
      <c r="Z1315" t="s">
        <v>91</v>
      </c>
      <c r="AA1315" t="s">
        <v>91</v>
      </c>
      <c r="AB1315" t="s">
        <v>91</v>
      </c>
      <c r="AC1315" t="s">
        <v>91</v>
      </c>
      <c r="AD1315" t="s">
        <v>91</v>
      </c>
      <c r="AE1315" t="s">
        <v>91</v>
      </c>
      <c r="AF1315" t="s">
        <v>91</v>
      </c>
      <c r="AG1315" s="1" t="s">
        <v>91</v>
      </c>
      <c r="AH1315" s="1" t="s">
        <v>91</v>
      </c>
      <c r="AI1315" t="s">
        <v>91</v>
      </c>
      <c r="AJ1315">
        <v>0</v>
      </c>
      <c r="AK1315">
        <v>0</v>
      </c>
      <c r="AL1315">
        <v>0</v>
      </c>
      <c r="AM1315" t="s">
        <v>91</v>
      </c>
      <c r="AN1315" t="s">
        <v>91</v>
      </c>
      <c r="AO1315" t="s">
        <v>91</v>
      </c>
      <c r="AP1315" t="s">
        <v>91</v>
      </c>
      <c r="AQ1315" s="1" t="s">
        <v>91</v>
      </c>
      <c r="AR1315" s="1" t="s">
        <v>91</v>
      </c>
      <c r="AS1315" s="1" t="s">
        <v>91</v>
      </c>
      <c r="AT1315" s="1" t="s">
        <v>91</v>
      </c>
      <c r="AU1315" s="1" t="s">
        <v>91</v>
      </c>
      <c r="AV1315" t="s">
        <v>91</v>
      </c>
      <c r="AW1315" t="s">
        <v>91</v>
      </c>
      <c r="AX1315" t="s">
        <v>91</v>
      </c>
      <c r="AY1315" t="s">
        <v>91</v>
      </c>
      <c r="AZ1315" t="s">
        <v>91</v>
      </c>
      <c r="BA1315" t="s">
        <v>91</v>
      </c>
      <c r="BB1315" s="2">
        <v>43308.393217592595</v>
      </c>
      <c r="BC1315" s="2"/>
      <c r="BD1315" t="s">
        <v>91</v>
      </c>
      <c r="BE1315">
        <v>1314</v>
      </c>
      <c r="BF1315" s="1" t="s">
        <v>75</v>
      </c>
      <c r="BG1315">
        <v>0</v>
      </c>
      <c r="BH1315">
        <v>0</v>
      </c>
      <c r="BI1315" s="1" t="s">
        <v>88</v>
      </c>
      <c r="BJ1315">
        <v>1</v>
      </c>
      <c r="BK1315" s="1" t="s">
        <v>89</v>
      </c>
      <c r="BL1315" t="s">
        <v>91</v>
      </c>
      <c r="BM1315" s="1" t="s">
        <v>109</v>
      </c>
      <c r="BN1315" s="1" t="s">
        <v>110</v>
      </c>
      <c r="BO1315" s="1" t="s">
        <v>165</v>
      </c>
      <c r="BP1315" s="1" t="s">
        <v>91</v>
      </c>
      <c r="BQ1315" t="s">
        <v>91</v>
      </c>
      <c r="BR1315" s="3">
        <v>43308</v>
      </c>
      <c r="BS1315" s="3"/>
      <c r="BT1315" t="s">
        <v>91</v>
      </c>
      <c r="BU1315" t="s">
        <v>91</v>
      </c>
      <c r="BV1315">
        <v>5</v>
      </c>
      <c r="BW1315" s="1" t="s">
        <v>90</v>
      </c>
    </row>
    <row r="1316" spans="1:75" hidden="1" x14ac:dyDescent="0.35">
      <c r="A1316">
        <v>141890</v>
      </c>
      <c r="B1316" s="1" t="s">
        <v>75</v>
      </c>
      <c r="C1316">
        <v>80</v>
      </c>
      <c r="D1316">
        <v>11121004</v>
      </c>
      <c r="E1316">
        <v>121004</v>
      </c>
      <c r="F1316" s="1" t="s">
        <v>6867</v>
      </c>
      <c r="G1316" s="1" t="s">
        <v>7141</v>
      </c>
      <c r="H1316">
        <v>0</v>
      </c>
      <c r="I1316" s="1" t="s">
        <v>78</v>
      </c>
      <c r="J1316" s="1" t="s">
        <v>7142</v>
      </c>
      <c r="K1316" s="1" t="s">
        <v>7143</v>
      </c>
      <c r="L1316" t="s">
        <v>91</v>
      </c>
      <c r="M1316" t="s">
        <v>91</v>
      </c>
      <c r="N1316" s="1" t="s">
        <v>7144</v>
      </c>
      <c r="O1316" t="s">
        <v>91</v>
      </c>
      <c r="P1316" s="1" t="s">
        <v>475</v>
      </c>
      <c r="Q1316" s="1" t="s">
        <v>7145</v>
      </c>
      <c r="R1316" s="1" t="s">
        <v>173</v>
      </c>
      <c r="S1316">
        <v>1262</v>
      </c>
      <c r="T1316">
        <v>88330045</v>
      </c>
      <c r="U1316" s="1" t="s">
        <v>108</v>
      </c>
      <c r="V1316" s="1" t="s">
        <v>5871</v>
      </c>
      <c r="W1316" s="1" t="s">
        <v>87</v>
      </c>
      <c r="X1316">
        <v>47</v>
      </c>
      <c r="Y1316">
        <v>996570796</v>
      </c>
      <c r="Z1316" t="s">
        <v>91</v>
      </c>
      <c r="AA1316" t="s">
        <v>91</v>
      </c>
      <c r="AB1316" t="s">
        <v>91</v>
      </c>
      <c r="AC1316" t="s">
        <v>91</v>
      </c>
      <c r="AD1316" t="s">
        <v>91</v>
      </c>
      <c r="AE1316" t="s">
        <v>91</v>
      </c>
      <c r="AF1316" t="s">
        <v>91</v>
      </c>
      <c r="AG1316" s="1" t="s">
        <v>91</v>
      </c>
      <c r="AH1316" s="1" t="s">
        <v>91</v>
      </c>
      <c r="AI1316" t="s">
        <v>91</v>
      </c>
      <c r="AM1316" t="s">
        <v>91</v>
      </c>
      <c r="AN1316" t="s">
        <v>91</v>
      </c>
      <c r="AO1316" t="s">
        <v>91</v>
      </c>
      <c r="AP1316" t="s">
        <v>91</v>
      </c>
      <c r="AQ1316" s="1" t="s">
        <v>91</v>
      </c>
      <c r="AR1316" s="1" t="s">
        <v>91</v>
      </c>
      <c r="AS1316" s="1" t="s">
        <v>91</v>
      </c>
      <c r="AT1316" s="1" t="s">
        <v>91</v>
      </c>
      <c r="AU1316" s="1" t="s">
        <v>91</v>
      </c>
      <c r="AV1316" t="s">
        <v>91</v>
      </c>
      <c r="AW1316" t="s">
        <v>91</v>
      </c>
      <c r="AX1316" t="s">
        <v>91</v>
      </c>
      <c r="AY1316" t="s">
        <v>91</v>
      </c>
      <c r="AZ1316" t="s">
        <v>91</v>
      </c>
      <c r="BA1316" t="s">
        <v>91</v>
      </c>
      <c r="BB1316" s="2">
        <v>44497.815659722219</v>
      </c>
      <c r="BC1316" s="2"/>
      <c r="BD1316" t="s">
        <v>91</v>
      </c>
      <c r="BF1316" s="1" t="s">
        <v>75</v>
      </c>
      <c r="BI1316" s="1" t="s">
        <v>88</v>
      </c>
      <c r="BJ1316">
        <v>1</v>
      </c>
      <c r="BK1316" s="1" t="s">
        <v>89</v>
      </c>
      <c r="BL1316" t="s">
        <v>91</v>
      </c>
      <c r="BM1316" s="1" t="s">
        <v>91</v>
      </c>
      <c r="BN1316" s="1" t="s">
        <v>91</v>
      </c>
      <c r="BO1316" s="1" t="s">
        <v>128</v>
      </c>
      <c r="BP1316" s="1" t="s">
        <v>91</v>
      </c>
      <c r="BQ1316" t="s">
        <v>91</v>
      </c>
      <c r="BR1316" s="3">
        <v>44497</v>
      </c>
      <c r="BS1316" s="3"/>
      <c r="BT1316" t="s">
        <v>91</v>
      </c>
      <c r="BU1316" t="s">
        <v>91</v>
      </c>
      <c r="BW1316" s="1" t="s">
        <v>2106</v>
      </c>
    </row>
    <row r="1317" spans="1:75" hidden="1" x14ac:dyDescent="0.35">
      <c r="A1317">
        <v>137560</v>
      </c>
      <c r="B1317" s="1" t="s">
        <v>75</v>
      </c>
      <c r="C1317">
        <v>80</v>
      </c>
      <c r="D1317">
        <v>11121004</v>
      </c>
      <c r="E1317">
        <v>121004</v>
      </c>
      <c r="F1317" s="1" t="s">
        <v>6867</v>
      </c>
      <c r="G1317" s="1" t="s">
        <v>7146</v>
      </c>
      <c r="H1317">
        <v>0</v>
      </c>
      <c r="I1317" s="1" t="s">
        <v>78</v>
      </c>
      <c r="J1317" s="1" t="s">
        <v>7147</v>
      </c>
      <c r="K1317" s="1" t="s">
        <v>7148</v>
      </c>
      <c r="L1317" t="s">
        <v>91</v>
      </c>
      <c r="M1317" t="s">
        <v>91</v>
      </c>
      <c r="N1317" s="1" t="s">
        <v>7149</v>
      </c>
      <c r="O1317" t="s">
        <v>91</v>
      </c>
      <c r="P1317" s="1" t="s">
        <v>7150</v>
      </c>
      <c r="Q1317" s="1" t="s">
        <v>427</v>
      </c>
      <c r="R1317" s="1" t="s">
        <v>7151</v>
      </c>
      <c r="S1317">
        <v>1276</v>
      </c>
      <c r="T1317">
        <v>89160043</v>
      </c>
      <c r="U1317" s="1" t="s">
        <v>108</v>
      </c>
      <c r="V1317" s="1" t="s">
        <v>6927</v>
      </c>
      <c r="W1317" s="1" t="s">
        <v>87</v>
      </c>
      <c r="X1317">
        <v>47</v>
      </c>
      <c r="Y1317">
        <v>35226768</v>
      </c>
      <c r="Z1317" t="s">
        <v>91</v>
      </c>
      <c r="AA1317" t="s">
        <v>91</v>
      </c>
      <c r="AB1317" t="s">
        <v>91</v>
      </c>
      <c r="AC1317" t="s">
        <v>91</v>
      </c>
      <c r="AD1317" t="s">
        <v>91</v>
      </c>
      <c r="AE1317" t="s">
        <v>91</v>
      </c>
      <c r="AF1317" t="s">
        <v>91</v>
      </c>
      <c r="AG1317" s="1" t="s">
        <v>146</v>
      </c>
      <c r="AH1317" s="1" t="s">
        <v>91</v>
      </c>
      <c r="AI1317" t="s">
        <v>91</v>
      </c>
      <c r="AM1317" t="s">
        <v>91</v>
      </c>
      <c r="AN1317" t="s">
        <v>91</v>
      </c>
      <c r="AO1317" t="s">
        <v>91</v>
      </c>
      <c r="AP1317" t="s">
        <v>91</v>
      </c>
      <c r="AQ1317" s="1" t="s">
        <v>147</v>
      </c>
      <c r="AR1317" s="1" t="s">
        <v>147</v>
      </c>
      <c r="AS1317" s="1" t="s">
        <v>147</v>
      </c>
      <c r="AT1317" s="1" t="s">
        <v>147</v>
      </c>
      <c r="AU1317" s="1" t="s">
        <v>147</v>
      </c>
      <c r="AV1317" t="s">
        <v>91</v>
      </c>
      <c r="AW1317" t="s">
        <v>91</v>
      </c>
      <c r="AX1317" t="s">
        <v>91</v>
      </c>
      <c r="AY1317" t="s">
        <v>91</v>
      </c>
      <c r="AZ1317" t="s">
        <v>91</v>
      </c>
      <c r="BA1317" t="s">
        <v>91</v>
      </c>
      <c r="BB1317" s="2">
        <v>44378.578518518516</v>
      </c>
      <c r="BC1317" s="2">
        <v>45114.479895833334</v>
      </c>
      <c r="BD1317" t="s">
        <v>91</v>
      </c>
      <c r="BF1317" s="1" t="s">
        <v>75</v>
      </c>
      <c r="BH1317">
        <v>0</v>
      </c>
      <c r="BI1317" s="1" t="s">
        <v>88</v>
      </c>
      <c r="BJ1317">
        <v>1</v>
      </c>
      <c r="BK1317" s="1" t="s">
        <v>89</v>
      </c>
      <c r="BL1317" t="s">
        <v>91</v>
      </c>
      <c r="BM1317" s="1" t="s">
        <v>164</v>
      </c>
      <c r="BN1317" s="1" t="s">
        <v>110</v>
      </c>
      <c r="BO1317" s="1" t="s">
        <v>165</v>
      </c>
      <c r="BP1317" s="1" t="s">
        <v>91</v>
      </c>
      <c r="BQ1317" t="s">
        <v>91</v>
      </c>
      <c r="BR1317" s="3">
        <v>44378</v>
      </c>
      <c r="BS1317" s="3">
        <v>45114</v>
      </c>
      <c r="BT1317" t="s">
        <v>91</v>
      </c>
      <c r="BU1317" t="s">
        <v>91</v>
      </c>
      <c r="BW1317" s="1" t="s">
        <v>295</v>
      </c>
    </row>
    <row r="1318" spans="1:75" hidden="1" x14ac:dyDescent="0.35">
      <c r="A1318">
        <v>157111</v>
      </c>
      <c r="B1318" s="1" t="s">
        <v>75</v>
      </c>
      <c r="C1318">
        <v>80</v>
      </c>
      <c r="D1318">
        <v>11121004</v>
      </c>
      <c r="E1318">
        <v>121004</v>
      </c>
      <c r="F1318" s="1" t="s">
        <v>6867</v>
      </c>
      <c r="G1318" s="1" t="s">
        <v>7152</v>
      </c>
      <c r="H1318">
        <v>0</v>
      </c>
      <c r="I1318" s="1" t="s">
        <v>78</v>
      </c>
      <c r="J1318" s="1" t="s">
        <v>406</v>
      </c>
      <c r="K1318" s="1" t="s">
        <v>7153</v>
      </c>
      <c r="L1318" t="s">
        <v>91</v>
      </c>
      <c r="M1318" t="s">
        <v>91</v>
      </c>
      <c r="N1318" s="1" t="s">
        <v>408</v>
      </c>
      <c r="O1318" t="s">
        <v>91</v>
      </c>
      <c r="P1318" s="1" t="s">
        <v>243</v>
      </c>
      <c r="Q1318" s="1" t="s">
        <v>7154</v>
      </c>
      <c r="R1318" s="1" t="s">
        <v>820</v>
      </c>
      <c r="T1318">
        <v>88330058</v>
      </c>
      <c r="U1318" s="1" t="s">
        <v>108</v>
      </c>
      <c r="V1318" s="1" t="s">
        <v>5871</v>
      </c>
      <c r="W1318" s="1" t="s">
        <v>87</v>
      </c>
      <c r="X1318">
        <v>42</v>
      </c>
      <c r="Y1318">
        <v>999551414</v>
      </c>
      <c r="Z1318" t="s">
        <v>91</v>
      </c>
      <c r="AA1318" t="s">
        <v>91</v>
      </c>
      <c r="AB1318" t="s">
        <v>91</v>
      </c>
      <c r="AC1318" t="s">
        <v>91</v>
      </c>
      <c r="AD1318" t="s">
        <v>91</v>
      </c>
      <c r="AE1318" t="s">
        <v>91</v>
      </c>
      <c r="AF1318" t="s">
        <v>91</v>
      </c>
      <c r="AG1318" s="1" t="s">
        <v>91</v>
      </c>
      <c r="AH1318" s="1" t="s">
        <v>91</v>
      </c>
      <c r="AI1318" t="s">
        <v>91</v>
      </c>
      <c r="AM1318" t="s">
        <v>91</v>
      </c>
      <c r="AN1318" t="s">
        <v>91</v>
      </c>
      <c r="AO1318" t="s">
        <v>91</v>
      </c>
      <c r="AP1318" t="s">
        <v>91</v>
      </c>
      <c r="AQ1318" s="1" t="s">
        <v>91</v>
      </c>
      <c r="AR1318" s="1" t="s">
        <v>91</v>
      </c>
      <c r="AS1318" s="1" t="s">
        <v>91</v>
      </c>
      <c r="AT1318" s="1" t="s">
        <v>91</v>
      </c>
      <c r="AU1318" s="1" t="s">
        <v>91</v>
      </c>
      <c r="AV1318" t="s">
        <v>91</v>
      </c>
      <c r="AW1318" t="s">
        <v>91</v>
      </c>
      <c r="AX1318" t="s">
        <v>91</v>
      </c>
      <c r="AY1318" t="s">
        <v>91</v>
      </c>
      <c r="AZ1318" t="s">
        <v>91</v>
      </c>
      <c r="BA1318" t="s">
        <v>91</v>
      </c>
      <c r="BB1318" s="2">
        <v>45113.505416666667</v>
      </c>
      <c r="BC1318" s="2"/>
      <c r="BD1318" t="s">
        <v>91</v>
      </c>
      <c r="BF1318" s="1" t="s">
        <v>75</v>
      </c>
      <c r="BI1318" s="1" t="s">
        <v>88</v>
      </c>
      <c r="BJ1318">
        <v>1</v>
      </c>
      <c r="BK1318" s="1" t="s">
        <v>89</v>
      </c>
      <c r="BL1318" t="s">
        <v>91</v>
      </c>
      <c r="BM1318" s="1" t="s">
        <v>91</v>
      </c>
      <c r="BN1318" s="1" t="s">
        <v>91</v>
      </c>
      <c r="BO1318" s="1" t="s">
        <v>91</v>
      </c>
      <c r="BP1318" s="1" t="s">
        <v>91</v>
      </c>
      <c r="BQ1318" t="s">
        <v>91</v>
      </c>
      <c r="BR1318" s="3">
        <v>45113</v>
      </c>
      <c r="BS1318" s="3"/>
      <c r="BT1318" t="s">
        <v>91</v>
      </c>
      <c r="BU1318" t="s">
        <v>91</v>
      </c>
      <c r="BW1318" s="1" t="s">
        <v>90</v>
      </c>
    </row>
    <row r="1319" spans="1:75" hidden="1" x14ac:dyDescent="0.35">
      <c r="A1319">
        <v>144839</v>
      </c>
      <c r="B1319" s="1" t="s">
        <v>75</v>
      </c>
      <c r="C1319">
        <v>80</v>
      </c>
      <c r="D1319">
        <v>11121004</v>
      </c>
      <c r="E1319">
        <v>121004</v>
      </c>
      <c r="F1319" s="1" t="s">
        <v>6867</v>
      </c>
      <c r="G1319" s="1" t="s">
        <v>7155</v>
      </c>
      <c r="I1319" s="1" t="s">
        <v>78</v>
      </c>
      <c r="J1319" s="1" t="s">
        <v>7156</v>
      </c>
      <c r="K1319" s="1" t="s">
        <v>7157</v>
      </c>
      <c r="L1319" t="s">
        <v>91</v>
      </c>
      <c r="M1319" t="s">
        <v>91</v>
      </c>
      <c r="N1319" s="1" t="s">
        <v>7158</v>
      </c>
      <c r="O1319" t="s">
        <v>91</v>
      </c>
      <c r="P1319" s="1" t="s">
        <v>2326</v>
      </c>
      <c r="Q1319" s="1" t="s">
        <v>1260</v>
      </c>
      <c r="R1319" s="1" t="s">
        <v>434</v>
      </c>
      <c r="S1319">
        <v>1277</v>
      </c>
      <c r="T1319">
        <v>89201050</v>
      </c>
      <c r="U1319" s="1" t="s">
        <v>108</v>
      </c>
      <c r="V1319" s="1" t="s">
        <v>100</v>
      </c>
      <c r="W1319" s="1" t="s">
        <v>87</v>
      </c>
      <c r="X1319">
        <v>47</v>
      </c>
      <c r="Y1319">
        <v>992515636</v>
      </c>
      <c r="Z1319" t="s">
        <v>91</v>
      </c>
      <c r="AA1319" t="s">
        <v>91</v>
      </c>
      <c r="AB1319" t="s">
        <v>91</v>
      </c>
      <c r="AC1319" t="s">
        <v>91</v>
      </c>
      <c r="AD1319" t="s">
        <v>91</v>
      </c>
      <c r="AE1319" t="s">
        <v>91</v>
      </c>
      <c r="AF1319" t="s">
        <v>91</v>
      </c>
      <c r="AG1319" s="1" t="s">
        <v>91</v>
      </c>
      <c r="AH1319" s="1" t="s">
        <v>91</v>
      </c>
      <c r="AI1319" t="s">
        <v>91</v>
      </c>
      <c r="AM1319" t="s">
        <v>91</v>
      </c>
      <c r="AN1319" t="s">
        <v>91</v>
      </c>
      <c r="AO1319" t="s">
        <v>91</v>
      </c>
      <c r="AP1319" t="s">
        <v>91</v>
      </c>
      <c r="AQ1319" s="1" t="s">
        <v>91</v>
      </c>
      <c r="AR1319" s="1" t="s">
        <v>91</v>
      </c>
      <c r="AS1319" s="1" t="s">
        <v>91</v>
      </c>
      <c r="AT1319" s="1" t="s">
        <v>91</v>
      </c>
      <c r="AU1319" s="1" t="s">
        <v>91</v>
      </c>
      <c r="AV1319" t="s">
        <v>91</v>
      </c>
      <c r="AW1319" t="s">
        <v>91</v>
      </c>
      <c r="AX1319" t="s">
        <v>91</v>
      </c>
      <c r="AY1319" t="s">
        <v>91</v>
      </c>
      <c r="AZ1319" t="s">
        <v>91</v>
      </c>
      <c r="BA1319" t="s">
        <v>91</v>
      </c>
      <c r="BB1319" s="2"/>
      <c r="BC1319" s="2"/>
      <c r="BD1319" t="s">
        <v>91</v>
      </c>
      <c r="BF1319" s="1" t="s">
        <v>75</v>
      </c>
      <c r="BI1319" s="1" t="s">
        <v>88</v>
      </c>
      <c r="BJ1319">
        <v>1</v>
      </c>
      <c r="BK1319" s="1" t="s">
        <v>89</v>
      </c>
      <c r="BL1319" t="s">
        <v>91</v>
      </c>
      <c r="BM1319" s="1" t="s">
        <v>91</v>
      </c>
      <c r="BN1319" s="1" t="s">
        <v>91</v>
      </c>
      <c r="BO1319" s="1" t="s">
        <v>180</v>
      </c>
      <c r="BP1319" s="1" t="s">
        <v>91</v>
      </c>
      <c r="BQ1319" t="s">
        <v>91</v>
      </c>
      <c r="BR1319" s="3"/>
      <c r="BS1319" s="3"/>
      <c r="BT1319" t="s">
        <v>91</v>
      </c>
      <c r="BU1319" t="s">
        <v>91</v>
      </c>
      <c r="BW1319" s="1" t="s">
        <v>90</v>
      </c>
    </row>
    <row r="1320" spans="1:75" hidden="1" x14ac:dyDescent="0.35">
      <c r="A1320">
        <v>137563</v>
      </c>
      <c r="B1320" s="1" t="s">
        <v>75</v>
      </c>
      <c r="C1320">
        <v>80</v>
      </c>
      <c r="D1320">
        <v>11121004</v>
      </c>
      <c r="E1320">
        <v>121004</v>
      </c>
      <c r="F1320" s="1" t="s">
        <v>6867</v>
      </c>
      <c r="G1320" s="1" t="s">
        <v>7159</v>
      </c>
      <c r="H1320">
        <v>0</v>
      </c>
      <c r="I1320" s="1" t="s">
        <v>78</v>
      </c>
      <c r="J1320" s="1" t="s">
        <v>7160</v>
      </c>
      <c r="K1320" s="1" t="s">
        <v>7161</v>
      </c>
      <c r="L1320" t="s">
        <v>91</v>
      </c>
      <c r="M1320" t="s">
        <v>91</v>
      </c>
      <c r="N1320" s="1" t="s">
        <v>7162</v>
      </c>
      <c r="O1320" t="s">
        <v>91</v>
      </c>
      <c r="P1320" s="1" t="s">
        <v>7013</v>
      </c>
      <c r="Q1320" s="1" t="s">
        <v>7001</v>
      </c>
      <c r="R1320" s="1" t="s">
        <v>173</v>
      </c>
      <c r="S1320">
        <v>1260</v>
      </c>
      <c r="T1320">
        <v>88220000</v>
      </c>
      <c r="U1320" s="1" t="s">
        <v>108</v>
      </c>
      <c r="V1320" s="1" t="s">
        <v>7015</v>
      </c>
      <c r="W1320" s="1" t="s">
        <v>87</v>
      </c>
      <c r="X1320">
        <v>47</v>
      </c>
      <c r="Y1320">
        <v>33688497</v>
      </c>
      <c r="Z1320" t="s">
        <v>91</v>
      </c>
      <c r="AA1320" t="s">
        <v>91</v>
      </c>
      <c r="AB1320" t="s">
        <v>91</v>
      </c>
      <c r="AC1320" t="s">
        <v>91</v>
      </c>
      <c r="AD1320" t="s">
        <v>91</v>
      </c>
      <c r="AE1320" t="s">
        <v>91</v>
      </c>
      <c r="AF1320" t="s">
        <v>91</v>
      </c>
      <c r="AG1320" s="1" t="s">
        <v>146</v>
      </c>
      <c r="AH1320" s="1" t="s">
        <v>91</v>
      </c>
      <c r="AI1320" t="s">
        <v>91</v>
      </c>
      <c r="AM1320" t="s">
        <v>91</v>
      </c>
      <c r="AN1320" t="s">
        <v>91</v>
      </c>
      <c r="AO1320" t="s">
        <v>91</v>
      </c>
      <c r="AP1320" t="s">
        <v>91</v>
      </c>
      <c r="AQ1320" s="1" t="s">
        <v>147</v>
      </c>
      <c r="AR1320" s="1" t="s">
        <v>147</v>
      </c>
      <c r="AS1320" s="1" t="s">
        <v>147</v>
      </c>
      <c r="AT1320" s="1" t="s">
        <v>147</v>
      </c>
      <c r="AU1320" s="1" t="s">
        <v>147</v>
      </c>
      <c r="AV1320" t="s">
        <v>91</v>
      </c>
      <c r="AW1320" t="s">
        <v>91</v>
      </c>
      <c r="AX1320" t="s">
        <v>91</v>
      </c>
      <c r="AY1320" t="s">
        <v>91</v>
      </c>
      <c r="AZ1320" t="s">
        <v>91</v>
      </c>
      <c r="BA1320" t="s">
        <v>91</v>
      </c>
      <c r="BB1320" s="2">
        <v>44378.578518518516</v>
      </c>
      <c r="BC1320" s="2">
        <v>45049.602986111109</v>
      </c>
      <c r="BD1320" t="s">
        <v>91</v>
      </c>
      <c r="BF1320" s="1" t="s">
        <v>75</v>
      </c>
      <c r="BH1320">
        <v>0</v>
      </c>
      <c r="BI1320" s="1" t="s">
        <v>88</v>
      </c>
      <c r="BJ1320">
        <v>1</v>
      </c>
      <c r="BK1320" s="1" t="s">
        <v>89</v>
      </c>
      <c r="BL1320" t="s">
        <v>91</v>
      </c>
      <c r="BM1320" s="1" t="s">
        <v>109</v>
      </c>
      <c r="BN1320" s="1" t="s">
        <v>148</v>
      </c>
      <c r="BO1320" s="1" t="s">
        <v>165</v>
      </c>
      <c r="BP1320" s="1" t="s">
        <v>91</v>
      </c>
      <c r="BQ1320" t="s">
        <v>91</v>
      </c>
      <c r="BR1320" s="3">
        <v>44378</v>
      </c>
      <c r="BS1320" s="3">
        <v>45049</v>
      </c>
      <c r="BT1320" t="s">
        <v>91</v>
      </c>
      <c r="BU1320" t="s">
        <v>91</v>
      </c>
      <c r="BW1320" s="1" t="s">
        <v>330</v>
      </c>
    </row>
    <row r="1321" spans="1:75" hidden="1" x14ac:dyDescent="0.35">
      <c r="A1321">
        <v>1229</v>
      </c>
      <c r="B1321" s="1" t="s">
        <v>75</v>
      </c>
      <c r="C1321">
        <v>80</v>
      </c>
      <c r="D1321">
        <v>11121004</v>
      </c>
      <c r="E1321">
        <v>121004</v>
      </c>
      <c r="F1321" s="1" t="s">
        <v>6867</v>
      </c>
      <c r="G1321" s="1" t="s">
        <v>7163</v>
      </c>
      <c r="I1321" s="1" t="s">
        <v>78</v>
      </c>
      <c r="J1321" s="1" t="s">
        <v>7164</v>
      </c>
      <c r="K1321" s="1" t="s">
        <v>7165</v>
      </c>
      <c r="L1321" t="s">
        <v>91</v>
      </c>
      <c r="M1321" t="s">
        <v>91</v>
      </c>
      <c r="N1321" s="1" t="s">
        <v>7166</v>
      </c>
      <c r="O1321" t="s">
        <v>91</v>
      </c>
      <c r="P1321" s="1" t="s">
        <v>682</v>
      </c>
      <c r="Q1321" s="1" t="s">
        <v>7167</v>
      </c>
      <c r="R1321" s="1" t="s">
        <v>91</v>
      </c>
      <c r="S1321">
        <v>1271</v>
      </c>
      <c r="T1321">
        <v>89010200</v>
      </c>
      <c r="U1321" s="1" t="s">
        <v>108</v>
      </c>
      <c r="V1321" s="1" t="s">
        <v>3571</v>
      </c>
      <c r="W1321" s="1" t="s">
        <v>87</v>
      </c>
      <c r="X1321">
        <v>47</v>
      </c>
      <c r="Y1321">
        <v>33229363</v>
      </c>
      <c r="Z1321" t="s">
        <v>91</v>
      </c>
      <c r="AA1321" t="s">
        <v>91</v>
      </c>
      <c r="AB1321" t="s">
        <v>91</v>
      </c>
      <c r="AC1321" t="s">
        <v>91</v>
      </c>
      <c r="AD1321" t="s">
        <v>91</v>
      </c>
      <c r="AE1321" t="s">
        <v>91</v>
      </c>
      <c r="AF1321" t="s">
        <v>91</v>
      </c>
      <c r="AG1321" s="1" t="s">
        <v>91</v>
      </c>
      <c r="AH1321" s="1" t="s">
        <v>91</v>
      </c>
      <c r="AI1321" t="s">
        <v>91</v>
      </c>
      <c r="AJ1321">
        <v>0</v>
      </c>
      <c r="AK1321">
        <v>0</v>
      </c>
      <c r="AL1321">
        <v>0</v>
      </c>
      <c r="AM1321" t="s">
        <v>91</v>
      </c>
      <c r="AN1321" t="s">
        <v>91</v>
      </c>
      <c r="AO1321" t="s">
        <v>91</v>
      </c>
      <c r="AP1321" t="s">
        <v>91</v>
      </c>
      <c r="AQ1321" s="1" t="s">
        <v>91</v>
      </c>
      <c r="AR1321" s="1" t="s">
        <v>91</v>
      </c>
      <c r="AS1321" s="1" t="s">
        <v>91</v>
      </c>
      <c r="AT1321" s="1" t="s">
        <v>91</v>
      </c>
      <c r="AU1321" s="1" t="s">
        <v>91</v>
      </c>
      <c r="AV1321" t="s">
        <v>91</v>
      </c>
      <c r="AW1321" t="s">
        <v>91</v>
      </c>
      <c r="AX1321" t="s">
        <v>91</v>
      </c>
      <c r="AY1321" t="s">
        <v>91</v>
      </c>
      <c r="AZ1321" t="s">
        <v>91</v>
      </c>
      <c r="BA1321" t="s">
        <v>91</v>
      </c>
      <c r="BB1321" s="2">
        <v>43308.393171296295</v>
      </c>
      <c r="BC1321" s="2"/>
      <c r="BD1321" t="s">
        <v>91</v>
      </c>
      <c r="BE1321">
        <v>1229</v>
      </c>
      <c r="BF1321" s="1" t="s">
        <v>75</v>
      </c>
      <c r="BG1321">
        <v>0</v>
      </c>
      <c r="BH1321">
        <v>0</v>
      </c>
      <c r="BI1321" s="1" t="s">
        <v>88</v>
      </c>
      <c r="BJ1321">
        <v>1</v>
      </c>
      <c r="BK1321" s="1" t="s">
        <v>89</v>
      </c>
      <c r="BL1321" t="s">
        <v>91</v>
      </c>
      <c r="BM1321" s="1" t="s">
        <v>109</v>
      </c>
      <c r="BN1321" s="1" t="s">
        <v>110</v>
      </c>
      <c r="BO1321" s="1" t="s">
        <v>111</v>
      </c>
      <c r="BP1321" s="1" t="s">
        <v>91</v>
      </c>
      <c r="BQ1321" t="s">
        <v>91</v>
      </c>
      <c r="BR1321" s="3">
        <v>43308</v>
      </c>
      <c r="BS1321" s="3"/>
      <c r="BT1321" t="s">
        <v>91</v>
      </c>
      <c r="BU1321" t="s">
        <v>91</v>
      </c>
      <c r="BV1321">
        <v>6</v>
      </c>
      <c r="BW1321" s="1" t="s">
        <v>735</v>
      </c>
    </row>
    <row r="1322" spans="1:75" hidden="1" x14ac:dyDescent="0.35">
      <c r="A1322">
        <v>157768</v>
      </c>
      <c r="B1322" s="1" t="s">
        <v>75</v>
      </c>
      <c r="C1322">
        <v>80</v>
      </c>
      <c r="D1322">
        <v>11121004</v>
      </c>
      <c r="E1322">
        <v>121004</v>
      </c>
      <c r="F1322" s="1" t="s">
        <v>6867</v>
      </c>
      <c r="G1322" s="1" t="s">
        <v>7168</v>
      </c>
      <c r="H1322">
        <v>0</v>
      </c>
      <c r="I1322" s="1" t="s">
        <v>78</v>
      </c>
      <c r="J1322" s="1" t="s">
        <v>7169</v>
      </c>
      <c r="K1322" s="1" t="s">
        <v>7170</v>
      </c>
      <c r="L1322" t="s">
        <v>91</v>
      </c>
      <c r="M1322" t="s">
        <v>91</v>
      </c>
      <c r="N1322" s="1" t="s">
        <v>7171</v>
      </c>
      <c r="O1322" t="s">
        <v>91</v>
      </c>
      <c r="P1322" s="1" t="s">
        <v>7172</v>
      </c>
      <c r="Q1322" s="1" t="s">
        <v>7173</v>
      </c>
      <c r="R1322" s="1" t="s">
        <v>91</v>
      </c>
      <c r="T1322">
        <v>88370396</v>
      </c>
      <c r="U1322" s="1" t="s">
        <v>108</v>
      </c>
      <c r="V1322" s="1" t="s">
        <v>7127</v>
      </c>
      <c r="W1322" s="1" t="s">
        <v>87</v>
      </c>
      <c r="X1322">
        <v>49</v>
      </c>
      <c r="Y1322">
        <v>988051421</v>
      </c>
      <c r="Z1322" t="s">
        <v>91</v>
      </c>
      <c r="AA1322" t="s">
        <v>91</v>
      </c>
      <c r="AB1322" t="s">
        <v>91</v>
      </c>
      <c r="AC1322" t="s">
        <v>91</v>
      </c>
      <c r="AD1322" t="s">
        <v>91</v>
      </c>
      <c r="AE1322" t="s">
        <v>91</v>
      </c>
      <c r="AF1322" t="s">
        <v>91</v>
      </c>
      <c r="AG1322" s="1" t="s">
        <v>91</v>
      </c>
      <c r="AH1322" s="1" t="s">
        <v>91</v>
      </c>
      <c r="AI1322" t="s">
        <v>91</v>
      </c>
      <c r="AM1322" t="s">
        <v>91</v>
      </c>
      <c r="AN1322" t="s">
        <v>91</v>
      </c>
      <c r="AO1322" t="s">
        <v>91</v>
      </c>
      <c r="AP1322" t="s">
        <v>91</v>
      </c>
      <c r="AQ1322" s="1" t="s">
        <v>91</v>
      </c>
      <c r="AR1322" s="1" t="s">
        <v>91</v>
      </c>
      <c r="AS1322" s="1" t="s">
        <v>91</v>
      </c>
      <c r="AT1322" s="1" t="s">
        <v>91</v>
      </c>
      <c r="AU1322" s="1" t="s">
        <v>91</v>
      </c>
      <c r="AV1322" t="s">
        <v>91</v>
      </c>
      <c r="AW1322" t="s">
        <v>91</v>
      </c>
      <c r="AX1322" t="s">
        <v>91</v>
      </c>
      <c r="AY1322" t="s">
        <v>91</v>
      </c>
      <c r="AZ1322" t="s">
        <v>91</v>
      </c>
      <c r="BA1322" t="s">
        <v>91</v>
      </c>
      <c r="BB1322" s="2">
        <v>45118.101759259262</v>
      </c>
      <c r="BC1322" s="2"/>
      <c r="BD1322" t="s">
        <v>91</v>
      </c>
      <c r="BF1322" s="1" t="s">
        <v>75</v>
      </c>
      <c r="BI1322" s="1" t="s">
        <v>88</v>
      </c>
      <c r="BJ1322">
        <v>1</v>
      </c>
      <c r="BK1322" s="1" t="s">
        <v>89</v>
      </c>
      <c r="BL1322" t="s">
        <v>91</v>
      </c>
      <c r="BM1322" s="1" t="s">
        <v>91</v>
      </c>
      <c r="BN1322" s="1" t="s">
        <v>91</v>
      </c>
      <c r="BO1322" s="1" t="s">
        <v>91</v>
      </c>
      <c r="BP1322" s="1" t="s">
        <v>91</v>
      </c>
      <c r="BQ1322" t="s">
        <v>91</v>
      </c>
      <c r="BR1322" s="3">
        <v>45118</v>
      </c>
      <c r="BS1322" s="3"/>
      <c r="BT1322" t="s">
        <v>91</v>
      </c>
      <c r="BU1322" t="s">
        <v>91</v>
      </c>
      <c r="BW1322" s="1" t="s">
        <v>3148</v>
      </c>
    </row>
    <row r="1323" spans="1:75" hidden="1" x14ac:dyDescent="0.35">
      <c r="A1323">
        <v>137565</v>
      </c>
      <c r="B1323" s="1" t="s">
        <v>75</v>
      </c>
      <c r="C1323">
        <v>80</v>
      </c>
      <c r="D1323">
        <v>11121004</v>
      </c>
      <c r="E1323">
        <v>121004</v>
      </c>
      <c r="F1323" s="1" t="s">
        <v>6867</v>
      </c>
      <c r="G1323" s="1" t="s">
        <v>7174</v>
      </c>
      <c r="H1323">
        <v>0</v>
      </c>
      <c r="I1323" s="1" t="s">
        <v>78</v>
      </c>
      <c r="J1323" s="1" t="s">
        <v>7175</v>
      </c>
      <c r="K1323" s="1" t="s">
        <v>7176</v>
      </c>
      <c r="L1323" t="s">
        <v>91</v>
      </c>
      <c r="M1323" t="s">
        <v>91</v>
      </c>
      <c r="N1323" s="1" t="s">
        <v>7177</v>
      </c>
      <c r="O1323" t="s">
        <v>91</v>
      </c>
      <c r="P1323" s="1" t="s">
        <v>682</v>
      </c>
      <c r="Q1323" s="1" t="s">
        <v>7178</v>
      </c>
      <c r="R1323" s="1" t="s">
        <v>7179</v>
      </c>
      <c r="S1323">
        <v>1273</v>
      </c>
      <c r="T1323">
        <v>89010911</v>
      </c>
      <c r="U1323" s="1" t="s">
        <v>108</v>
      </c>
      <c r="V1323" s="1" t="s">
        <v>3571</v>
      </c>
      <c r="W1323" s="1" t="s">
        <v>87</v>
      </c>
      <c r="X1323">
        <v>47</v>
      </c>
      <c r="Y1323">
        <v>30190464</v>
      </c>
      <c r="Z1323" t="s">
        <v>91</v>
      </c>
      <c r="AA1323" t="s">
        <v>91</v>
      </c>
      <c r="AB1323" t="s">
        <v>91</v>
      </c>
      <c r="AC1323" t="s">
        <v>91</v>
      </c>
      <c r="AD1323" t="s">
        <v>91</v>
      </c>
      <c r="AE1323" t="s">
        <v>91</v>
      </c>
      <c r="AF1323" t="s">
        <v>91</v>
      </c>
      <c r="AG1323" s="1" t="s">
        <v>146</v>
      </c>
      <c r="AH1323" s="1" t="s">
        <v>91</v>
      </c>
      <c r="AI1323" t="s">
        <v>91</v>
      </c>
      <c r="AM1323" t="s">
        <v>91</v>
      </c>
      <c r="AN1323" t="s">
        <v>91</v>
      </c>
      <c r="AO1323" t="s">
        <v>91</v>
      </c>
      <c r="AP1323" t="s">
        <v>91</v>
      </c>
      <c r="AQ1323" s="1" t="s">
        <v>147</v>
      </c>
      <c r="AR1323" s="1" t="s">
        <v>147</v>
      </c>
      <c r="AS1323" s="1" t="s">
        <v>147</v>
      </c>
      <c r="AT1323" s="1" t="s">
        <v>147</v>
      </c>
      <c r="AU1323" s="1" t="s">
        <v>147</v>
      </c>
      <c r="AV1323" t="s">
        <v>91</v>
      </c>
      <c r="AW1323" t="s">
        <v>91</v>
      </c>
      <c r="AX1323" t="s">
        <v>91</v>
      </c>
      <c r="AY1323" t="s">
        <v>91</v>
      </c>
      <c r="AZ1323" t="s">
        <v>91</v>
      </c>
      <c r="BA1323" t="s">
        <v>91</v>
      </c>
      <c r="BB1323" s="2">
        <v>44378.578518518516</v>
      </c>
      <c r="BC1323" s="2">
        <v>44587.725578703707</v>
      </c>
      <c r="BD1323" t="s">
        <v>91</v>
      </c>
      <c r="BF1323" s="1" t="s">
        <v>75</v>
      </c>
      <c r="BH1323">
        <v>0</v>
      </c>
      <c r="BI1323" s="1" t="s">
        <v>88</v>
      </c>
      <c r="BJ1323">
        <v>1</v>
      </c>
      <c r="BK1323" s="1" t="s">
        <v>89</v>
      </c>
      <c r="BL1323" t="s">
        <v>91</v>
      </c>
      <c r="BM1323" s="1" t="s">
        <v>197</v>
      </c>
      <c r="BN1323" s="1" t="s">
        <v>110</v>
      </c>
      <c r="BO1323" s="1" t="s">
        <v>165</v>
      </c>
      <c r="BP1323" s="1" t="s">
        <v>91</v>
      </c>
      <c r="BQ1323" t="s">
        <v>91</v>
      </c>
      <c r="BR1323" s="3">
        <v>44378</v>
      </c>
      <c r="BS1323" s="3">
        <v>44587</v>
      </c>
      <c r="BT1323" t="s">
        <v>91</v>
      </c>
      <c r="BU1323" t="s">
        <v>91</v>
      </c>
      <c r="BW1323" s="1" t="s">
        <v>6074</v>
      </c>
    </row>
    <row r="1324" spans="1:75" hidden="1" x14ac:dyDescent="0.35">
      <c r="A1324">
        <v>137566</v>
      </c>
      <c r="B1324" s="1" t="s">
        <v>75</v>
      </c>
      <c r="C1324">
        <v>80</v>
      </c>
      <c r="D1324">
        <v>11121004</v>
      </c>
      <c r="E1324">
        <v>121004</v>
      </c>
      <c r="F1324" s="1" t="s">
        <v>6867</v>
      </c>
      <c r="G1324" s="1" t="s">
        <v>7180</v>
      </c>
      <c r="H1324">
        <v>0</v>
      </c>
      <c r="I1324" s="1" t="s">
        <v>78</v>
      </c>
      <c r="J1324" s="1" t="s">
        <v>7175</v>
      </c>
      <c r="K1324" s="1" t="s">
        <v>7181</v>
      </c>
      <c r="L1324" t="s">
        <v>91</v>
      </c>
      <c r="M1324" t="s">
        <v>91</v>
      </c>
      <c r="N1324" s="1" t="s">
        <v>7182</v>
      </c>
      <c r="O1324" t="s">
        <v>91</v>
      </c>
      <c r="P1324" s="1" t="s">
        <v>2705</v>
      </c>
      <c r="Q1324" s="1" t="s">
        <v>6298</v>
      </c>
      <c r="R1324" s="1" t="s">
        <v>91</v>
      </c>
      <c r="S1324">
        <v>1271</v>
      </c>
      <c r="T1324">
        <v>89010003</v>
      </c>
      <c r="U1324" s="1" t="s">
        <v>108</v>
      </c>
      <c r="V1324" s="1" t="s">
        <v>3571</v>
      </c>
      <c r="W1324" s="1" t="s">
        <v>87</v>
      </c>
      <c r="X1324">
        <v>47</v>
      </c>
      <c r="Y1324">
        <v>32322811</v>
      </c>
      <c r="Z1324" t="s">
        <v>91</v>
      </c>
      <c r="AA1324" t="s">
        <v>91</v>
      </c>
      <c r="AB1324" t="s">
        <v>91</v>
      </c>
      <c r="AC1324" t="s">
        <v>91</v>
      </c>
      <c r="AD1324" t="s">
        <v>91</v>
      </c>
      <c r="AE1324" t="s">
        <v>91</v>
      </c>
      <c r="AF1324" t="s">
        <v>91</v>
      </c>
      <c r="AG1324" s="1" t="s">
        <v>91</v>
      </c>
      <c r="AH1324" s="1" t="s">
        <v>91</v>
      </c>
      <c r="AI1324" t="s">
        <v>91</v>
      </c>
      <c r="AM1324" t="s">
        <v>91</v>
      </c>
      <c r="AN1324" t="s">
        <v>91</v>
      </c>
      <c r="AO1324" t="s">
        <v>91</v>
      </c>
      <c r="AP1324" t="s">
        <v>91</v>
      </c>
      <c r="AQ1324" s="1" t="s">
        <v>91</v>
      </c>
      <c r="AR1324" s="1" t="s">
        <v>91</v>
      </c>
      <c r="AS1324" s="1" t="s">
        <v>91</v>
      </c>
      <c r="AT1324" s="1" t="s">
        <v>91</v>
      </c>
      <c r="AU1324" s="1" t="s">
        <v>91</v>
      </c>
      <c r="AV1324" t="s">
        <v>91</v>
      </c>
      <c r="AW1324" t="s">
        <v>91</v>
      </c>
      <c r="AX1324" t="s">
        <v>91</v>
      </c>
      <c r="AY1324" t="s">
        <v>91</v>
      </c>
      <c r="AZ1324" t="s">
        <v>91</v>
      </c>
      <c r="BA1324" t="s">
        <v>91</v>
      </c>
      <c r="BB1324" s="2">
        <v>44378.578518518516</v>
      </c>
      <c r="BC1324" s="2"/>
      <c r="BD1324" t="s">
        <v>91</v>
      </c>
      <c r="BF1324" s="1" t="s">
        <v>75</v>
      </c>
      <c r="BI1324" s="1" t="s">
        <v>88</v>
      </c>
      <c r="BJ1324">
        <v>1</v>
      </c>
      <c r="BK1324" s="1" t="s">
        <v>89</v>
      </c>
      <c r="BL1324" t="s">
        <v>91</v>
      </c>
      <c r="BM1324" s="1" t="s">
        <v>164</v>
      </c>
      <c r="BN1324" s="1" t="s">
        <v>110</v>
      </c>
      <c r="BO1324" s="1" t="s">
        <v>165</v>
      </c>
      <c r="BP1324" s="1" t="s">
        <v>91</v>
      </c>
      <c r="BQ1324" t="s">
        <v>91</v>
      </c>
      <c r="BR1324" s="3">
        <v>44378</v>
      </c>
      <c r="BS1324" s="3"/>
      <c r="BT1324" t="s">
        <v>91</v>
      </c>
      <c r="BU1324" t="s">
        <v>91</v>
      </c>
      <c r="BW1324" s="1" t="s">
        <v>601</v>
      </c>
    </row>
    <row r="1325" spans="1:75" hidden="1" x14ac:dyDescent="0.35">
      <c r="A1325">
        <v>157772</v>
      </c>
      <c r="B1325" s="1" t="s">
        <v>75</v>
      </c>
      <c r="C1325">
        <v>80</v>
      </c>
      <c r="D1325">
        <v>11121004</v>
      </c>
      <c r="E1325">
        <v>121004</v>
      </c>
      <c r="F1325" s="1" t="s">
        <v>6867</v>
      </c>
      <c r="G1325" s="1" t="s">
        <v>7183</v>
      </c>
      <c r="H1325">
        <v>0</v>
      </c>
      <c r="I1325" s="1" t="s">
        <v>78</v>
      </c>
      <c r="J1325" s="1" t="s">
        <v>7184</v>
      </c>
      <c r="K1325" s="1" t="s">
        <v>7185</v>
      </c>
      <c r="L1325" t="s">
        <v>91</v>
      </c>
      <c r="M1325" t="s">
        <v>91</v>
      </c>
      <c r="N1325" s="1" t="s">
        <v>7186</v>
      </c>
      <c r="O1325" t="s">
        <v>91</v>
      </c>
      <c r="P1325" s="1" t="s">
        <v>7187</v>
      </c>
      <c r="Q1325" s="1" t="s">
        <v>1108</v>
      </c>
      <c r="R1325" s="1" t="s">
        <v>7188</v>
      </c>
      <c r="S1325">
        <v>1260</v>
      </c>
      <c r="T1325">
        <v>88220000</v>
      </c>
      <c r="U1325" s="1" t="s">
        <v>7189</v>
      </c>
      <c r="V1325" s="1" t="s">
        <v>7015</v>
      </c>
      <c r="W1325" s="1" t="s">
        <v>87</v>
      </c>
      <c r="X1325">
        <v>47</v>
      </c>
      <c r="Y1325">
        <v>32681543</v>
      </c>
      <c r="Z1325" t="s">
        <v>91</v>
      </c>
      <c r="AA1325" t="s">
        <v>91</v>
      </c>
      <c r="AB1325" t="s">
        <v>91</v>
      </c>
      <c r="AC1325" t="s">
        <v>91</v>
      </c>
      <c r="AD1325" t="s">
        <v>91</v>
      </c>
      <c r="AE1325" t="s">
        <v>91</v>
      </c>
      <c r="AF1325" t="s">
        <v>91</v>
      </c>
      <c r="AG1325" s="1" t="s">
        <v>91</v>
      </c>
      <c r="AH1325" s="1" t="s">
        <v>91</v>
      </c>
      <c r="AI1325" t="s">
        <v>91</v>
      </c>
      <c r="AM1325" t="s">
        <v>91</v>
      </c>
      <c r="AN1325" t="s">
        <v>91</v>
      </c>
      <c r="AO1325" t="s">
        <v>91</v>
      </c>
      <c r="AP1325" t="s">
        <v>91</v>
      </c>
      <c r="AQ1325" s="1" t="s">
        <v>91</v>
      </c>
      <c r="AR1325" s="1" t="s">
        <v>91</v>
      </c>
      <c r="AS1325" s="1" t="s">
        <v>91</v>
      </c>
      <c r="AT1325" s="1" t="s">
        <v>91</v>
      </c>
      <c r="AU1325" s="1" t="s">
        <v>91</v>
      </c>
      <c r="AV1325" t="s">
        <v>91</v>
      </c>
      <c r="AW1325" t="s">
        <v>91</v>
      </c>
      <c r="AX1325" t="s">
        <v>91</v>
      </c>
      <c r="AY1325" t="s">
        <v>91</v>
      </c>
      <c r="AZ1325" t="s">
        <v>91</v>
      </c>
      <c r="BA1325" t="s">
        <v>91</v>
      </c>
      <c r="BB1325" s="2">
        <v>45118.101759259262</v>
      </c>
      <c r="BC1325" s="2"/>
      <c r="BD1325" t="s">
        <v>91</v>
      </c>
      <c r="BF1325" s="1" t="s">
        <v>75</v>
      </c>
      <c r="BI1325" s="1" t="s">
        <v>88</v>
      </c>
      <c r="BJ1325">
        <v>1</v>
      </c>
      <c r="BK1325" s="1" t="s">
        <v>89</v>
      </c>
      <c r="BL1325" t="s">
        <v>91</v>
      </c>
      <c r="BM1325" s="1" t="s">
        <v>91</v>
      </c>
      <c r="BN1325" s="1" t="s">
        <v>91</v>
      </c>
      <c r="BO1325" s="1" t="s">
        <v>91</v>
      </c>
      <c r="BP1325" s="1" t="s">
        <v>91</v>
      </c>
      <c r="BQ1325" t="s">
        <v>91</v>
      </c>
      <c r="BR1325" s="3">
        <v>45118</v>
      </c>
      <c r="BS1325" s="3"/>
      <c r="BT1325" t="s">
        <v>91</v>
      </c>
      <c r="BU1325" t="s">
        <v>91</v>
      </c>
      <c r="BW1325" s="1" t="s">
        <v>90</v>
      </c>
    </row>
    <row r="1326" spans="1:75" hidden="1" x14ac:dyDescent="0.35">
      <c r="A1326">
        <v>137567</v>
      </c>
      <c r="B1326" s="1" t="s">
        <v>75</v>
      </c>
      <c r="C1326">
        <v>80</v>
      </c>
      <c r="D1326">
        <v>11121004</v>
      </c>
      <c r="E1326">
        <v>121004</v>
      </c>
      <c r="F1326" s="1" t="s">
        <v>6867</v>
      </c>
      <c r="G1326" s="1" t="s">
        <v>7190</v>
      </c>
      <c r="H1326">
        <v>0</v>
      </c>
      <c r="I1326" s="1" t="s">
        <v>78</v>
      </c>
      <c r="J1326" s="1" t="s">
        <v>7191</v>
      </c>
      <c r="K1326" s="1" t="s">
        <v>7192</v>
      </c>
      <c r="L1326" t="s">
        <v>91</v>
      </c>
      <c r="M1326" t="s">
        <v>91</v>
      </c>
      <c r="N1326" s="1" t="s">
        <v>7193</v>
      </c>
      <c r="O1326" t="s">
        <v>91</v>
      </c>
      <c r="P1326" s="1" t="s">
        <v>7194</v>
      </c>
      <c r="Q1326" s="1" t="s">
        <v>228</v>
      </c>
      <c r="R1326" s="1" t="s">
        <v>173</v>
      </c>
      <c r="S1326">
        <v>1260</v>
      </c>
      <c r="T1326">
        <v>88220000</v>
      </c>
      <c r="U1326" s="1" t="s">
        <v>7195</v>
      </c>
      <c r="V1326" s="1" t="s">
        <v>7015</v>
      </c>
      <c r="W1326" s="1" t="s">
        <v>87</v>
      </c>
      <c r="X1326">
        <v>47</v>
      </c>
      <c r="Y1326">
        <v>984979604</v>
      </c>
      <c r="Z1326" t="s">
        <v>91</v>
      </c>
      <c r="AA1326" t="s">
        <v>91</v>
      </c>
      <c r="AB1326" t="s">
        <v>91</v>
      </c>
      <c r="AC1326" t="s">
        <v>91</v>
      </c>
      <c r="AD1326" t="s">
        <v>91</v>
      </c>
      <c r="AE1326" t="s">
        <v>91</v>
      </c>
      <c r="AF1326" t="s">
        <v>91</v>
      </c>
      <c r="AG1326" s="1" t="s">
        <v>146</v>
      </c>
      <c r="AH1326" s="1" t="s">
        <v>91</v>
      </c>
      <c r="AI1326" t="s">
        <v>91</v>
      </c>
      <c r="AM1326" t="s">
        <v>91</v>
      </c>
      <c r="AN1326" t="s">
        <v>91</v>
      </c>
      <c r="AO1326" t="s">
        <v>91</v>
      </c>
      <c r="AP1326" t="s">
        <v>91</v>
      </c>
      <c r="AQ1326" s="1" t="s">
        <v>147</v>
      </c>
      <c r="AR1326" s="1" t="s">
        <v>147</v>
      </c>
      <c r="AS1326" s="1" t="s">
        <v>147</v>
      </c>
      <c r="AT1326" s="1" t="s">
        <v>147</v>
      </c>
      <c r="AU1326" s="1" t="s">
        <v>147</v>
      </c>
      <c r="AV1326" t="s">
        <v>91</v>
      </c>
      <c r="AW1326" t="s">
        <v>91</v>
      </c>
      <c r="AX1326" t="s">
        <v>91</v>
      </c>
      <c r="AY1326" t="s">
        <v>91</v>
      </c>
      <c r="AZ1326" t="s">
        <v>91</v>
      </c>
      <c r="BA1326" t="s">
        <v>91</v>
      </c>
      <c r="BB1326" s="2">
        <v>44378.578518518516</v>
      </c>
      <c r="BC1326" s="2">
        <v>44649.401736111111</v>
      </c>
      <c r="BD1326" t="s">
        <v>91</v>
      </c>
      <c r="BF1326" s="1" t="s">
        <v>75</v>
      </c>
      <c r="BH1326">
        <v>0</v>
      </c>
      <c r="BI1326" s="1" t="s">
        <v>88</v>
      </c>
      <c r="BJ1326">
        <v>1</v>
      </c>
      <c r="BK1326" s="1" t="s">
        <v>89</v>
      </c>
      <c r="BL1326" t="s">
        <v>91</v>
      </c>
      <c r="BM1326" s="1" t="s">
        <v>109</v>
      </c>
      <c r="BN1326" s="1" t="s">
        <v>110</v>
      </c>
      <c r="BO1326" s="1" t="s">
        <v>128</v>
      </c>
      <c r="BP1326" s="1" t="s">
        <v>91</v>
      </c>
      <c r="BQ1326" t="s">
        <v>91</v>
      </c>
      <c r="BR1326" s="3">
        <v>44378</v>
      </c>
      <c r="BS1326" s="3">
        <v>44649</v>
      </c>
      <c r="BT1326" t="s">
        <v>91</v>
      </c>
      <c r="BU1326" t="s">
        <v>91</v>
      </c>
      <c r="BW1326" s="1" t="s">
        <v>1979</v>
      </c>
    </row>
    <row r="1327" spans="1:75" hidden="1" x14ac:dyDescent="0.35">
      <c r="A1327">
        <v>127755</v>
      </c>
      <c r="B1327" s="1" t="s">
        <v>75</v>
      </c>
      <c r="C1327">
        <v>80</v>
      </c>
      <c r="D1327">
        <v>11121004</v>
      </c>
      <c r="E1327">
        <v>121004</v>
      </c>
      <c r="F1327" s="1" t="s">
        <v>6867</v>
      </c>
      <c r="G1327" s="1" t="s">
        <v>7196</v>
      </c>
      <c r="H1327">
        <v>0</v>
      </c>
      <c r="I1327" s="1" t="s">
        <v>78</v>
      </c>
      <c r="J1327" s="1" t="s">
        <v>7197</v>
      </c>
      <c r="K1327" s="1" t="s">
        <v>7198</v>
      </c>
      <c r="L1327" t="s">
        <v>91</v>
      </c>
      <c r="M1327" t="s">
        <v>91</v>
      </c>
      <c r="N1327" s="1" t="s">
        <v>7199</v>
      </c>
      <c r="O1327" t="s">
        <v>91</v>
      </c>
      <c r="P1327" s="1" t="s">
        <v>3970</v>
      </c>
      <c r="Q1327" s="1" t="s">
        <v>7200</v>
      </c>
      <c r="R1327" s="1" t="s">
        <v>370</v>
      </c>
      <c r="S1327">
        <v>1260</v>
      </c>
      <c r="T1327">
        <v>88220000</v>
      </c>
      <c r="U1327" s="1" t="s">
        <v>343</v>
      </c>
      <c r="V1327" s="1" t="s">
        <v>7015</v>
      </c>
      <c r="W1327" s="1" t="s">
        <v>87</v>
      </c>
      <c r="X1327">
        <v>47</v>
      </c>
      <c r="Y1327">
        <v>33680296</v>
      </c>
      <c r="Z1327" t="s">
        <v>91</v>
      </c>
      <c r="AA1327" t="s">
        <v>91</v>
      </c>
      <c r="AB1327" t="s">
        <v>91</v>
      </c>
      <c r="AC1327" t="s">
        <v>91</v>
      </c>
      <c r="AD1327" t="s">
        <v>91</v>
      </c>
      <c r="AE1327" t="s">
        <v>91</v>
      </c>
      <c r="AF1327" t="s">
        <v>91</v>
      </c>
      <c r="AG1327" s="1" t="s">
        <v>91</v>
      </c>
      <c r="AH1327" s="1" t="s">
        <v>91</v>
      </c>
      <c r="AI1327" t="s">
        <v>91</v>
      </c>
      <c r="AJ1327">
        <v>0</v>
      </c>
      <c r="AK1327">
        <v>0</v>
      </c>
      <c r="AL1327">
        <v>0</v>
      </c>
      <c r="AM1327" t="s">
        <v>91</v>
      </c>
      <c r="AN1327" t="s">
        <v>91</v>
      </c>
      <c r="AO1327" t="s">
        <v>91</v>
      </c>
      <c r="AP1327" t="s">
        <v>91</v>
      </c>
      <c r="AQ1327" s="1" t="s">
        <v>91</v>
      </c>
      <c r="AR1327" s="1" t="s">
        <v>91</v>
      </c>
      <c r="AS1327" s="1" t="s">
        <v>91</v>
      </c>
      <c r="AT1327" s="1" t="s">
        <v>91</v>
      </c>
      <c r="AU1327" s="1" t="s">
        <v>91</v>
      </c>
      <c r="AV1327" t="s">
        <v>91</v>
      </c>
      <c r="AW1327" t="s">
        <v>91</v>
      </c>
      <c r="AX1327" t="s">
        <v>91</v>
      </c>
      <c r="AY1327" t="s">
        <v>91</v>
      </c>
      <c r="AZ1327" t="s">
        <v>91</v>
      </c>
      <c r="BA1327" t="s">
        <v>91</v>
      </c>
      <c r="BB1327" s="2">
        <v>44111.380995370368</v>
      </c>
      <c r="BC1327" s="2"/>
      <c r="BD1327" t="s">
        <v>91</v>
      </c>
      <c r="BF1327" s="1" t="s">
        <v>75</v>
      </c>
      <c r="BG1327">
        <v>0</v>
      </c>
      <c r="BH1327">
        <v>0</v>
      </c>
      <c r="BI1327" s="1" t="s">
        <v>88</v>
      </c>
      <c r="BJ1327">
        <v>1</v>
      </c>
      <c r="BK1327" s="1" t="s">
        <v>89</v>
      </c>
      <c r="BL1327" t="s">
        <v>91</v>
      </c>
      <c r="BM1327" s="1" t="s">
        <v>109</v>
      </c>
      <c r="BN1327" s="1" t="s">
        <v>110</v>
      </c>
      <c r="BO1327" s="1" t="s">
        <v>128</v>
      </c>
      <c r="BP1327" s="1" t="s">
        <v>91</v>
      </c>
      <c r="BQ1327" t="s">
        <v>91</v>
      </c>
      <c r="BR1327" s="3">
        <v>44111</v>
      </c>
      <c r="BS1327" s="3"/>
      <c r="BT1327" t="s">
        <v>91</v>
      </c>
      <c r="BU1327" t="s">
        <v>91</v>
      </c>
      <c r="BV1327">
        <v>7</v>
      </c>
      <c r="BW1327" s="1" t="s">
        <v>589</v>
      </c>
    </row>
    <row r="1328" spans="1:75" hidden="1" x14ac:dyDescent="0.35">
      <c r="A1328">
        <v>137569</v>
      </c>
      <c r="B1328" s="1" t="s">
        <v>75</v>
      </c>
      <c r="C1328">
        <v>80</v>
      </c>
      <c r="D1328">
        <v>11121004</v>
      </c>
      <c r="E1328">
        <v>121004</v>
      </c>
      <c r="F1328" s="1" t="s">
        <v>6867</v>
      </c>
      <c r="G1328" s="1" t="s">
        <v>7201</v>
      </c>
      <c r="H1328">
        <v>0</v>
      </c>
      <c r="I1328" s="1" t="s">
        <v>78</v>
      </c>
      <c r="J1328" s="1" t="s">
        <v>7202</v>
      </c>
      <c r="K1328" s="1" t="s">
        <v>7203</v>
      </c>
      <c r="L1328" t="s">
        <v>91</v>
      </c>
      <c r="M1328" t="s">
        <v>91</v>
      </c>
      <c r="N1328" s="1" t="s">
        <v>7204</v>
      </c>
      <c r="O1328" t="s">
        <v>91</v>
      </c>
      <c r="P1328" s="1" t="s">
        <v>6953</v>
      </c>
      <c r="Q1328" s="1" t="s">
        <v>552</v>
      </c>
      <c r="R1328" s="1" t="s">
        <v>7205</v>
      </c>
      <c r="S1328">
        <v>1261</v>
      </c>
      <c r="T1328">
        <v>88301320</v>
      </c>
      <c r="U1328" s="1" t="s">
        <v>108</v>
      </c>
      <c r="V1328" s="1" t="s">
        <v>6874</v>
      </c>
      <c r="W1328" s="1" t="s">
        <v>87</v>
      </c>
      <c r="X1328">
        <v>47</v>
      </c>
      <c r="Y1328">
        <v>997272501</v>
      </c>
      <c r="Z1328" t="s">
        <v>91</v>
      </c>
      <c r="AA1328" t="s">
        <v>91</v>
      </c>
      <c r="AB1328" t="s">
        <v>91</v>
      </c>
      <c r="AC1328" t="s">
        <v>91</v>
      </c>
      <c r="AD1328" t="s">
        <v>91</v>
      </c>
      <c r="AE1328" t="s">
        <v>91</v>
      </c>
      <c r="AF1328" t="s">
        <v>91</v>
      </c>
      <c r="AG1328" s="1" t="s">
        <v>146</v>
      </c>
      <c r="AH1328" s="1" t="s">
        <v>91</v>
      </c>
      <c r="AI1328" t="s">
        <v>91</v>
      </c>
      <c r="AM1328" t="s">
        <v>91</v>
      </c>
      <c r="AN1328" t="s">
        <v>91</v>
      </c>
      <c r="AO1328" t="s">
        <v>91</v>
      </c>
      <c r="AP1328" t="s">
        <v>91</v>
      </c>
      <c r="AQ1328" s="1" t="s">
        <v>147</v>
      </c>
      <c r="AR1328" s="1" t="s">
        <v>147</v>
      </c>
      <c r="AS1328" s="1" t="s">
        <v>147</v>
      </c>
      <c r="AT1328" s="1" t="s">
        <v>147</v>
      </c>
      <c r="AU1328" s="1" t="s">
        <v>147</v>
      </c>
      <c r="AV1328" t="s">
        <v>91</v>
      </c>
      <c r="AW1328" t="s">
        <v>91</v>
      </c>
      <c r="AX1328" t="s">
        <v>91</v>
      </c>
      <c r="AY1328" t="s">
        <v>91</v>
      </c>
      <c r="AZ1328" t="s">
        <v>91</v>
      </c>
      <c r="BA1328" t="s">
        <v>91</v>
      </c>
      <c r="BB1328" s="2">
        <v>44378.578518518516</v>
      </c>
      <c r="BC1328" s="2">
        <v>45118.700416666667</v>
      </c>
      <c r="BD1328" t="s">
        <v>91</v>
      </c>
      <c r="BF1328" s="1" t="s">
        <v>75</v>
      </c>
      <c r="BH1328">
        <v>0</v>
      </c>
      <c r="BI1328" s="1" t="s">
        <v>721</v>
      </c>
      <c r="BJ1328">
        <v>1</v>
      </c>
      <c r="BK1328" s="1" t="s">
        <v>89</v>
      </c>
      <c r="BL1328" t="s">
        <v>91</v>
      </c>
      <c r="BM1328" s="1" t="s">
        <v>109</v>
      </c>
      <c r="BN1328" s="1" t="s">
        <v>110</v>
      </c>
      <c r="BO1328" s="1" t="s">
        <v>165</v>
      </c>
      <c r="BP1328" s="1" t="s">
        <v>91</v>
      </c>
      <c r="BQ1328" t="s">
        <v>91</v>
      </c>
      <c r="BR1328" s="3">
        <v>44378</v>
      </c>
      <c r="BS1328" s="3">
        <v>45118</v>
      </c>
      <c r="BT1328" t="s">
        <v>91</v>
      </c>
      <c r="BU1328" t="s">
        <v>91</v>
      </c>
      <c r="BW1328" s="1" t="s">
        <v>3600</v>
      </c>
    </row>
    <row r="1329" spans="1:75" hidden="1" x14ac:dyDescent="0.35">
      <c r="A1329">
        <v>137570</v>
      </c>
      <c r="B1329" s="1" t="s">
        <v>75</v>
      </c>
      <c r="C1329">
        <v>80</v>
      </c>
      <c r="D1329">
        <v>11121004</v>
      </c>
      <c r="E1329">
        <v>121004</v>
      </c>
      <c r="F1329" s="1" t="s">
        <v>6867</v>
      </c>
      <c r="G1329" s="1" t="s">
        <v>7206</v>
      </c>
      <c r="H1329">
        <v>0</v>
      </c>
      <c r="I1329" s="1" t="s">
        <v>78</v>
      </c>
      <c r="J1329" s="1" t="s">
        <v>7207</v>
      </c>
      <c r="K1329" s="1" t="s">
        <v>7208</v>
      </c>
      <c r="L1329" t="s">
        <v>91</v>
      </c>
      <c r="M1329" t="s">
        <v>91</v>
      </c>
      <c r="N1329" s="1" t="s">
        <v>7209</v>
      </c>
      <c r="O1329" t="s">
        <v>91</v>
      </c>
      <c r="P1329" s="1" t="s">
        <v>7210</v>
      </c>
      <c r="Q1329" s="1" t="s">
        <v>7211</v>
      </c>
      <c r="R1329" s="1" t="s">
        <v>236</v>
      </c>
      <c r="S1329">
        <v>1263</v>
      </c>
      <c r="T1329">
        <v>88370750</v>
      </c>
      <c r="U1329" s="1" t="s">
        <v>7212</v>
      </c>
      <c r="V1329" s="1" t="s">
        <v>7127</v>
      </c>
      <c r="W1329" s="1" t="s">
        <v>87</v>
      </c>
      <c r="X1329">
        <v>47</v>
      </c>
      <c r="Y1329">
        <v>33489434</v>
      </c>
      <c r="Z1329" t="s">
        <v>91</v>
      </c>
      <c r="AA1329" t="s">
        <v>91</v>
      </c>
      <c r="AB1329" t="s">
        <v>91</v>
      </c>
      <c r="AC1329" t="s">
        <v>91</v>
      </c>
      <c r="AD1329" t="s">
        <v>91</v>
      </c>
      <c r="AE1329" t="s">
        <v>91</v>
      </c>
      <c r="AF1329" t="s">
        <v>91</v>
      </c>
      <c r="AG1329" s="1" t="s">
        <v>146</v>
      </c>
      <c r="AH1329" s="1" t="s">
        <v>91</v>
      </c>
      <c r="AI1329" t="s">
        <v>91</v>
      </c>
      <c r="AM1329" t="s">
        <v>91</v>
      </c>
      <c r="AN1329" t="s">
        <v>91</v>
      </c>
      <c r="AO1329" t="s">
        <v>91</v>
      </c>
      <c r="AP1329" t="s">
        <v>91</v>
      </c>
      <c r="AQ1329" s="1" t="s">
        <v>147</v>
      </c>
      <c r="AR1329" s="1" t="s">
        <v>147</v>
      </c>
      <c r="AS1329" s="1" t="s">
        <v>147</v>
      </c>
      <c r="AT1329" s="1" t="s">
        <v>147</v>
      </c>
      <c r="AU1329" s="1" t="s">
        <v>147</v>
      </c>
      <c r="AV1329" t="s">
        <v>91</v>
      </c>
      <c r="AW1329" t="s">
        <v>91</v>
      </c>
      <c r="AX1329" t="s">
        <v>91</v>
      </c>
      <c r="AY1329" t="s">
        <v>91</v>
      </c>
      <c r="AZ1329" t="s">
        <v>91</v>
      </c>
      <c r="BA1329" t="s">
        <v>91</v>
      </c>
      <c r="BB1329" s="2">
        <v>44378.578518518516</v>
      </c>
      <c r="BC1329" s="2">
        <v>44670.711423611108</v>
      </c>
      <c r="BD1329" t="s">
        <v>91</v>
      </c>
      <c r="BF1329" s="1" t="s">
        <v>75</v>
      </c>
      <c r="BH1329">
        <v>0</v>
      </c>
      <c r="BI1329" s="1" t="s">
        <v>88</v>
      </c>
      <c r="BJ1329">
        <v>1</v>
      </c>
      <c r="BK1329" s="1" t="s">
        <v>89</v>
      </c>
      <c r="BL1329" t="s">
        <v>91</v>
      </c>
      <c r="BM1329" s="1" t="s">
        <v>109</v>
      </c>
      <c r="BN1329" s="1" t="s">
        <v>110</v>
      </c>
      <c r="BO1329" s="1" t="s">
        <v>180</v>
      </c>
      <c r="BP1329" s="1" t="s">
        <v>91</v>
      </c>
      <c r="BQ1329" t="s">
        <v>91</v>
      </c>
      <c r="BR1329" s="3">
        <v>44378</v>
      </c>
      <c r="BS1329" s="3">
        <v>44670</v>
      </c>
      <c r="BT1329" t="s">
        <v>91</v>
      </c>
      <c r="BU1329" t="s">
        <v>91</v>
      </c>
      <c r="BW1329" s="1" t="s">
        <v>478</v>
      </c>
    </row>
    <row r="1330" spans="1:75" hidden="1" x14ac:dyDescent="0.35">
      <c r="A1330">
        <v>120538</v>
      </c>
      <c r="B1330" s="1" t="s">
        <v>75</v>
      </c>
      <c r="C1330">
        <v>80</v>
      </c>
      <c r="D1330">
        <v>11121004</v>
      </c>
      <c r="E1330">
        <v>121004</v>
      </c>
      <c r="F1330" s="1" t="s">
        <v>6867</v>
      </c>
      <c r="G1330" s="1" t="s">
        <v>7213</v>
      </c>
      <c r="H1330">
        <v>0</v>
      </c>
      <c r="I1330" s="1" t="s">
        <v>78</v>
      </c>
      <c r="J1330" s="1" t="s">
        <v>7214</v>
      </c>
      <c r="K1330" s="1" t="s">
        <v>7215</v>
      </c>
      <c r="L1330" t="s">
        <v>91</v>
      </c>
      <c r="M1330" t="s">
        <v>91</v>
      </c>
      <c r="N1330" s="1" t="s">
        <v>7216</v>
      </c>
      <c r="O1330" t="s">
        <v>91</v>
      </c>
      <c r="P1330" s="1" t="s">
        <v>682</v>
      </c>
      <c r="Q1330" s="1" t="s">
        <v>7217</v>
      </c>
      <c r="R1330" s="1" t="s">
        <v>91</v>
      </c>
      <c r="S1330">
        <v>1271</v>
      </c>
      <c r="T1330">
        <v>89010207</v>
      </c>
      <c r="U1330" s="1" t="s">
        <v>108</v>
      </c>
      <c r="V1330" s="1" t="s">
        <v>3571</v>
      </c>
      <c r="W1330" s="1" t="s">
        <v>87</v>
      </c>
      <c r="X1330">
        <v>47</v>
      </c>
      <c r="Y1330">
        <v>30387403</v>
      </c>
      <c r="Z1330" t="s">
        <v>91</v>
      </c>
      <c r="AA1330" t="s">
        <v>91</v>
      </c>
      <c r="AB1330" t="s">
        <v>91</v>
      </c>
      <c r="AC1330" t="s">
        <v>91</v>
      </c>
      <c r="AD1330" t="s">
        <v>91</v>
      </c>
      <c r="AE1330" t="s">
        <v>91</v>
      </c>
      <c r="AF1330" t="s">
        <v>91</v>
      </c>
      <c r="AG1330" s="1" t="s">
        <v>91</v>
      </c>
      <c r="AH1330" s="1" t="s">
        <v>91</v>
      </c>
      <c r="AI1330" t="s">
        <v>91</v>
      </c>
      <c r="AM1330" t="s">
        <v>91</v>
      </c>
      <c r="AN1330" t="s">
        <v>91</v>
      </c>
      <c r="AO1330" t="s">
        <v>91</v>
      </c>
      <c r="AP1330" t="s">
        <v>91</v>
      </c>
      <c r="AQ1330" s="1" t="s">
        <v>91</v>
      </c>
      <c r="AR1330" s="1" t="s">
        <v>91</v>
      </c>
      <c r="AS1330" s="1" t="s">
        <v>91</v>
      </c>
      <c r="AT1330" s="1" t="s">
        <v>91</v>
      </c>
      <c r="AU1330" s="1" t="s">
        <v>91</v>
      </c>
      <c r="AV1330" t="s">
        <v>91</v>
      </c>
      <c r="AW1330" t="s">
        <v>91</v>
      </c>
      <c r="AX1330" t="s">
        <v>91</v>
      </c>
      <c r="AY1330" t="s">
        <v>91</v>
      </c>
      <c r="AZ1330" t="s">
        <v>91</v>
      </c>
      <c r="BA1330" t="s">
        <v>91</v>
      </c>
      <c r="BB1330" s="2">
        <v>44096.645520833335</v>
      </c>
      <c r="BC1330" s="2"/>
      <c r="BD1330" t="s">
        <v>91</v>
      </c>
      <c r="BF1330" s="1" t="s">
        <v>75</v>
      </c>
      <c r="BI1330" s="1" t="s">
        <v>88</v>
      </c>
      <c r="BJ1330">
        <v>1</v>
      </c>
      <c r="BK1330" s="1" t="s">
        <v>89</v>
      </c>
      <c r="BL1330" t="s">
        <v>91</v>
      </c>
      <c r="BM1330" s="1" t="s">
        <v>109</v>
      </c>
      <c r="BN1330" s="1" t="s">
        <v>110</v>
      </c>
      <c r="BO1330" s="1" t="s">
        <v>91</v>
      </c>
      <c r="BP1330" s="1" t="s">
        <v>91</v>
      </c>
      <c r="BQ1330" t="s">
        <v>91</v>
      </c>
      <c r="BR1330" s="3">
        <v>44096</v>
      </c>
      <c r="BS1330" s="3"/>
      <c r="BT1330" t="s">
        <v>91</v>
      </c>
      <c r="BU1330" t="s">
        <v>91</v>
      </c>
      <c r="BV1330">
        <v>9</v>
      </c>
      <c r="BW1330" s="1" t="s">
        <v>90</v>
      </c>
    </row>
    <row r="1331" spans="1:75" hidden="1" x14ac:dyDescent="0.35">
      <c r="A1331">
        <v>117463</v>
      </c>
      <c r="B1331" s="1" t="s">
        <v>75</v>
      </c>
      <c r="C1331">
        <v>80</v>
      </c>
      <c r="D1331">
        <v>11121004</v>
      </c>
      <c r="E1331">
        <v>121004</v>
      </c>
      <c r="F1331" s="1" t="s">
        <v>6867</v>
      </c>
      <c r="G1331" s="1" t="s">
        <v>7218</v>
      </c>
      <c r="H1331">
        <v>0</v>
      </c>
      <c r="I1331" s="1" t="s">
        <v>78</v>
      </c>
      <c r="J1331" s="1" t="s">
        <v>7219</v>
      </c>
      <c r="K1331" s="1" t="s">
        <v>7220</v>
      </c>
      <c r="L1331" t="s">
        <v>91</v>
      </c>
      <c r="M1331" t="s">
        <v>91</v>
      </c>
      <c r="N1331" s="1" t="s">
        <v>7221</v>
      </c>
      <c r="O1331" t="s">
        <v>91</v>
      </c>
      <c r="P1331" s="1" t="s">
        <v>873</v>
      </c>
      <c r="Q1331" s="1" t="s">
        <v>3397</v>
      </c>
      <c r="R1331" s="1" t="s">
        <v>7222</v>
      </c>
      <c r="S1331">
        <v>1262</v>
      </c>
      <c r="T1331">
        <v>88340347</v>
      </c>
      <c r="U1331" s="1" t="s">
        <v>108</v>
      </c>
      <c r="V1331" s="1" t="s">
        <v>7223</v>
      </c>
      <c r="W1331" s="1" t="s">
        <v>87</v>
      </c>
      <c r="X1331">
        <v>47</v>
      </c>
      <c r="Y1331">
        <v>33655552</v>
      </c>
      <c r="Z1331" t="s">
        <v>91</v>
      </c>
      <c r="AA1331" t="s">
        <v>91</v>
      </c>
      <c r="AB1331" t="s">
        <v>91</v>
      </c>
      <c r="AC1331" t="s">
        <v>91</v>
      </c>
      <c r="AD1331" t="s">
        <v>91</v>
      </c>
      <c r="AE1331" t="s">
        <v>91</v>
      </c>
      <c r="AF1331" t="s">
        <v>91</v>
      </c>
      <c r="AG1331" s="1" t="s">
        <v>91</v>
      </c>
      <c r="AH1331" s="1" t="s">
        <v>91</v>
      </c>
      <c r="AI1331" t="s">
        <v>91</v>
      </c>
      <c r="AJ1331">
        <v>0</v>
      </c>
      <c r="AK1331">
        <v>0</v>
      </c>
      <c r="AL1331">
        <v>0</v>
      </c>
      <c r="AM1331" t="s">
        <v>91</v>
      </c>
      <c r="AN1331" t="s">
        <v>91</v>
      </c>
      <c r="AO1331" t="s">
        <v>91</v>
      </c>
      <c r="AP1331" t="s">
        <v>91</v>
      </c>
      <c r="AQ1331" s="1" t="s">
        <v>91</v>
      </c>
      <c r="AR1331" s="1" t="s">
        <v>91</v>
      </c>
      <c r="AS1331" s="1" t="s">
        <v>91</v>
      </c>
      <c r="AT1331" s="1" t="s">
        <v>91</v>
      </c>
      <c r="AU1331" s="1" t="s">
        <v>91</v>
      </c>
      <c r="AV1331" t="s">
        <v>91</v>
      </c>
      <c r="AW1331" t="s">
        <v>91</v>
      </c>
      <c r="AX1331" t="s">
        <v>91</v>
      </c>
      <c r="AY1331" t="s">
        <v>91</v>
      </c>
      <c r="AZ1331" t="s">
        <v>91</v>
      </c>
      <c r="BA1331" t="s">
        <v>91</v>
      </c>
      <c r="BB1331" s="2">
        <v>44034.350266203706</v>
      </c>
      <c r="BC1331" s="2"/>
      <c r="BD1331" t="s">
        <v>91</v>
      </c>
      <c r="BF1331" s="1" t="s">
        <v>75</v>
      </c>
      <c r="BG1331">
        <v>0</v>
      </c>
      <c r="BH1331">
        <v>0</v>
      </c>
      <c r="BI1331" s="1" t="s">
        <v>88</v>
      </c>
      <c r="BJ1331">
        <v>1</v>
      </c>
      <c r="BK1331" s="1" t="s">
        <v>89</v>
      </c>
      <c r="BL1331" t="s">
        <v>91</v>
      </c>
      <c r="BM1331" s="1" t="s">
        <v>109</v>
      </c>
      <c r="BN1331" s="1" t="s">
        <v>110</v>
      </c>
      <c r="BO1331" s="1" t="s">
        <v>111</v>
      </c>
      <c r="BP1331" s="1" t="s">
        <v>91</v>
      </c>
      <c r="BQ1331" t="s">
        <v>91</v>
      </c>
      <c r="BR1331" s="3">
        <v>44034</v>
      </c>
      <c r="BS1331" s="3"/>
      <c r="BT1331" t="s">
        <v>91</v>
      </c>
      <c r="BU1331" t="s">
        <v>91</v>
      </c>
      <c r="BV1331">
        <v>6</v>
      </c>
      <c r="BW1331" s="1" t="s">
        <v>804</v>
      </c>
    </row>
    <row r="1332" spans="1:75" hidden="1" x14ac:dyDescent="0.35">
      <c r="A1332">
        <v>157751</v>
      </c>
      <c r="B1332" s="1" t="s">
        <v>75</v>
      </c>
      <c r="C1332">
        <v>80</v>
      </c>
      <c r="D1332">
        <v>11121004</v>
      </c>
      <c r="E1332">
        <v>121004</v>
      </c>
      <c r="F1332" s="1" t="s">
        <v>6867</v>
      </c>
      <c r="G1332" s="1" t="s">
        <v>7224</v>
      </c>
      <c r="H1332">
        <v>0</v>
      </c>
      <c r="I1332" s="1" t="s">
        <v>78</v>
      </c>
      <c r="J1332" s="1" t="s">
        <v>7225</v>
      </c>
      <c r="K1332" s="1" t="s">
        <v>7226</v>
      </c>
      <c r="L1332" t="s">
        <v>91</v>
      </c>
      <c r="M1332" t="s">
        <v>91</v>
      </c>
      <c r="N1332" s="1" t="s">
        <v>7227</v>
      </c>
      <c r="O1332" t="s">
        <v>91</v>
      </c>
      <c r="P1332" s="1" t="s">
        <v>3083</v>
      </c>
      <c r="Q1332" s="1" t="s">
        <v>235</v>
      </c>
      <c r="R1332" s="1" t="s">
        <v>91</v>
      </c>
      <c r="S1332">
        <v>1261</v>
      </c>
      <c r="T1332">
        <v>88301001</v>
      </c>
      <c r="U1332" s="1" t="s">
        <v>108</v>
      </c>
      <c r="V1332" s="1" t="s">
        <v>6881</v>
      </c>
      <c r="W1332" s="1" t="s">
        <v>87</v>
      </c>
      <c r="X1332">
        <v>47</v>
      </c>
      <c r="Y1332">
        <v>30452425</v>
      </c>
      <c r="Z1332" t="s">
        <v>91</v>
      </c>
      <c r="AA1332" t="s">
        <v>91</v>
      </c>
      <c r="AB1332" t="s">
        <v>91</v>
      </c>
      <c r="AC1332" t="s">
        <v>91</v>
      </c>
      <c r="AD1332" t="s">
        <v>91</v>
      </c>
      <c r="AE1332" t="s">
        <v>91</v>
      </c>
      <c r="AF1332" t="s">
        <v>91</v>
      </c>
      <c r="AG1332" s="1" t="s">
        <v>91</v>
      </c>
      <c r="AH1332" s="1" t="s">
        <v>91</v>
      </c>
      <c r="AI1332" t="s">
        <v>91</v>
      </c>
      <c r="AM1332" t="s">
        <v>91</v>
      </c>
      <c r="AN1332" t="s">
        <v>91</v>
      </c>
      <c r="AO1332" t="s">
        <v>91</v>
      </c>
      <c r="AP1332" t="s">
        <v>91</v>
      </c>
      <c r="AQ1332" s="1" t="s">
        <v>91</v>
      </c>
      <c r="AR1332" s="1" t="s">
        <v>91</v>
      </c>
      <c r="AS1332" s="1" t="s">
        <v>91</v>
      </c>
      <c r="AT1332" s="1" t="s">
        <v>91</v>
      </c>
      <c r="AU1332" s="1" t="s">
        <v>91</v>
      </c>
      <c r="AV1332" t="s">
        <v>91</v>
      </c>
      <c r="AW1332" t="s">
        <v>91</v>
      </c>
      <c r="AX1332" t="s">
        <v>91</v>
      </c>
      <c r="AY1332" t="s">
        <v>91</v>
      </c>
      <c r="AZ1332" t="s">
        <v>91</v>
      </c>
      <c r="BA1332" t="s">
        <v>91</v>
      </c>
      <c r="BB1332" s="2">
        <v>45118.101759259262</v>
      </c>
      <c r="BC1332" s="2"/>
      <c r="BD1332" t="s">
        <v>91</v>
      </c>
      <c r="BF1332" s="1" t="s">
        <v>75</v>
      </c>
      <c r="BI1332" s="1" t="s">
        <v>88</v>
      </c>
      <c r="BJ1332">
        <v>1</v>
      </c>
      <c r="BK1332" s="1" t="s">
        <v>89</v>
      </c>
      <c r="BL1332" t="s">
        <v>91</v>
      </c>
      <c r="BM1332" s="1" t="s">
        <v>91</v>
      </c>
      <c r="BN1332" s="1" t="s">
        <v>91</v>
      </c>
      <c r="BO1332" s="1" t="s">
        <v>91</v>
      </c>
      <c r="BP1332" s="1" t="s">
        <v>91</v>
      </c>
      <c r="BQ1332" t="s">
        <v>91</v>
      </c>
      <c r="BR1332" s="3">
        <v>45118</v>
      </c>
      <c r="BS1332" s="3"/>
      <c r="BT1332" t="s">
        <v>91</v>
      </c>
      <c r="BU1332" t="s">
        <v>91</v>
      </c>
      <c r="BW1332" s="1" t="s">
        <v>3211</v>
      </c>
    </row>
    <row r="1333" spans="1:75" hidden="1" x14ac:dyDescent="0.35">
      <c r="A1333">
        <v>157766</v>
      </c>
      <c r="B1333" s="1" t="s">
        <v>75</v>
      </c>
      <c r="C1333">
        <v>80</v>
      </c>
      <c r="D1333">
        <v>11121004</v>
      </c>
      <c r="E1333">
        <v>121004</v>
      </c>
      <c r="F1333" s="1" t="s">
        <v>6867</v>
      </c>
      <c r="G1333" s="1" t="s">
        <v>7228</v>
      </c>
      <c r="H1333">
        <v>0</v>
      </c>
      <c r="I1333" s="1" t="s">
        <v>78</v>
      </c>
      <c r="J1333" s="1" t="s">
        <v>7229</v>
      </c>
      <c r="K1333" s="1" t="s">
        <v>7230</v>
      </c>
      <c r="L1333" t="s">
        <v>91</v>
      </c>
      <c r="M1333" t="s">
        <v>91</v>
      </c>
      <c r="N1333" s="1" t="s">
        <v>7231</v>
      </c>
      <c r="O1333" t="s">
        <v>91</v>
      </c>
      <c r="P1333" s="1" t="s">
        <v>7232</v>
      </c>
      <c r="Q1333" s="1" t="s">
        <v>7233</v>
      </c>
      <c r="R1333" s="1" t="s">
        <v>7234</v>
      </c>
      <c r="T1333">
        <v>88309201</v>
      </c>
      <c r="U1333" s="1" t="s">
        <v>7235</v>
      </c>
      <c r="V1333" s="1" t="s">
        <v>6881</v>
      </c>
      <c r="W1333" s="1" t="s">
        <v>87</v>
      </c>
      <c r="X1333">
        <v>47</v>
      </c>
      <c r="Y1333">
        <v>32480138</v>
      </c>
      <c r="Z1333" t="s">
        <v>91</v>
      </c>
      <c r="AA1333" t="s">
        <v>91</v>
      </c>
      <c r="AB1333" t="s">
        <v>91</v>
      </c>
      <c r="AC1333" t="s">
        <v>91</v>
      </c>
      <c r="AD1333" t="s">
        <v>91</v>
      </c>
      <c r="AE1333" t="s">
        <v>91</v>
      </c>
      <c r="AF1333" t="s">
        <v>91</v>
      </c>
      <c r="AG1333" s="1" t="s">
        <v>91</v>
      </c>
      <c r="AH1333" s="1" t="s">
        <v>91</v>
      </c>
      <c r="AI1333" t="s">
        <v>91</v>
      </c>
      <c r="AM1333" t="s">
        <v>91</v>
      </c>
      <c r="AN1333" t="s">
        <v>91</v>
      </c>
      <c r="AO1333" t="s">
        <v>91</v>
      </c>
      <c r="AP1333" t="s">
        <v>91</v>
      </c>
      <c r="AQ1333" s="1" t="s">
        <v>91</v>
      </c>
      <c r="AR1333" s="1" t="s">
        <v>91</v>
      </c>
      <c r="AS1333" s="1" t="s">
        <v>91</v>
      </c>
      <c r="AT1333" s="1" t="s">
        <v>91</v>
      </c>
      <c r="AU1333" s="1" t="s">
        <v>91</v>
      </c>
      <c r="AV1333" t="s">
        <v>91</v>
      </c>
      <c r="AW1333" t="s">
        <v>91</v>
      </c>
      <c r="AX1333" t="s">
        <v>91</v>
      </c>
      <c r="AY1333" t="s">
        <v>91</v>
      </c>
      <c r="AZ1333" t="s">
        <v>91</v>
      </c>
      <c r="BA1333" t="s">
        <v>91</v>
      </c>
      <c r="BB1333" s="2">
        <v>45118.101759259262</v>
      </c>
      <c r="BC1333" s="2"/>
      <c r="BD1333" t="s">
        <v>91</v>
      </c>
      <c r="BF1333" s="1" t="s">
        <v>75</v>
      </c>
      <c r="BI1333" s="1" t="s">
        <v>88</v>
      </c>
      <c r="BJ1333">
        <v>1</v>
      </c>
      <c r="BK1333" s="1" t="s">
        <v>89</v>
      </c>
      <c r="BL1333" t="s">
        <v>91</v>
      </c>
      <c r="BM1333" s="1" t="s">
        <v>91</v>
      </c>
      <c r="BN1333" s="1" t="s">
        <v>91</v>
      </c>
      <c r="BO1333" s="1" t="s">
        <v>91</v>
      </c>
      <c r="BP1333" s="1" t="s">
        <v>91</v>
      </c>
      <c r="BQ1333" t="s">
        <v>91</v>
      </c>
      <c r="BR1333" s="3">
        <v>45118</v>
      </c>
      <c r="BS1333" s="3"/>
      <c r="BT1333" t="s">
        <v>91</v>
      </c>
      <c r="BU1333" t="s">
        <v>91</v>
      </c>
      <c r="BW1333" s="1" t="s">
        <v>90</v>
      </c>
    </row>
    <row r="1334" spans="1:75" hidden="1" x14ac:dyDescent="0.35">
      <c r="A1334">
        <v>137576</v>
      </c>
      <c r="B1334" s="1" t="s">
        <v>75</v>
      </c>
      <c r="C1334">
        <v>80</v>
      </c>
      <c r="D1334">
        <v>11121004</v>
      </c>
      <c r="E1334">
        <v>121004</v>
      </c>
      <c r="F1334" s="1" t="s">
        <v>6867</v>
      </c>
      <c r="G1334" s="1" t="s">
        <v>7236</v>
      </c>
      <c r="H1334">
        <v>0</v>
      </c>
      <c r="I1334" s="1" t="s">
        <v>78</v>
      </c>
      <c r="J1334" s="1" t="s">
        <v>7237</v>
      </c>
      <c r="K1334" s="1" t="s">
        <v>7238</v>
      </c>
      <c r="L1334" t="s">
        <v>91</v>
      </c>
      <c r="M1334" t="s">
        <v>91</v>
      </c>
      <c r="N1334" s="1" t="s">
        <v>7239</v>
      </c>
      <c r="O1334" t="s">
        <v>91</v>
      </c>
      <c r="P1334" s="1" t="s">
        <v>682</v>
      </c>
      <c r="Q1334" s="1" t="s">
        <v>7240</v>
      </c>
      <c r="R1334" s="1" t="s">
        <v>236</v>
      </c>
      <c r="T1334">
        <v>89010204</v>
      </c>
      <c r="U1334" s="1" t="s">
        <v>108</v>
      </c>
      <c r="V1334" s="1" t="s">
        <v>3571</v>
      </c>
      <c r="W1334" s="1" t="s">
        <v>87</v>
      </c>
      <c r="X1334">
        <v>47</v>
      </c>
      <c r="Y1334">
        <v>33229000</v>
      </c>
      <c r="Z1334" t="s">
        <v>91</v>
      </c>
      <c r="AA1334" t="s">
        <v>91</v>
      </c>
      <c r="AB1334" t="s">
        <v>91</v>
      </c>
      <c r="AC1334" t="s">
        <v>91</v>
      </c>
      <c r="AD1334" t="s">
        <v>91</v>
      </c>
      <c r="AE1334" t="s">
        <v>91</v>
      </c>
      <c r="AF1334" t="s">
        <v>91</v>
      </c>
      <c r="AG1334" s="1" t="s">
        <v>146</v>
      </c>
      <c r="AH1334" s="1" t="s">
        <v>91</v>
      </c>
      <c r="AI1334" t="s">
        <v>91</v>
      </c>
      <c r="AM1334" t="s">
        <v>91</v>
      </c>
      <c r="AN1334" t="s">
        <v>91</v>
      </c>
      <c r="AO1334" t="s">
        <v>91</v>
      </c>
      <c r="AP1334" t="s">
        <v>91</v>
      </c>
      <c r="AQ1334" s="1" t="s">
        <v>147</v>
      </c>
      <c r="AR1334" s="1" t="s">
        <v>147</v>
      </c>
      <c r="AS1334" s="1" t="s">
        <v>147</v>
      </c>
      <c r="AT1334" s="1" t="s">
        <v>147</v>
      </c>
      <c r="AU1334" s="1" t="s">
        <v>147</v>
      </c>
      <c r="AV1334" t="s">
        <v>91</v>
      </c>
      <c r="AW1334" t="s">
        <v>91</v>
      </c>
      <c r="AX1334" t="s">
        <v>91</v>
      </c>
      <c r="AY1334" t="s">
        <v>91</v>
      </c>
      <c r="AZ1334" t="s">
        <v>91</v>
      </c>
      <c r="BA1334" t="s">
        <v>91</v>
      </c>
      <c r="BB1334" s="2">
        <v>44378.578518518516</v>
      </c>
      <c r="BC1334" s="2">
        <v>44957.672418981485</v>
      </c>
      <c r="BD1334" t="s">
        <v>91</v>
      </c>
      <c r="BF1334" s="1" t="s">
        <v>75</v>
      </c>
      <c r="BH1334">
        <v>0</v>
      </c>
      <c r="BI1334" s="1" t="s">
        <v>88</v>
      </c>
      <c r="BJ1334">
        <v>1</v>
      </c>
      <c r="BK1334" s="1" t="s">
        <v>89</v>
      </c>
      <c r="BL1334" t="s">
        <v>91</v>
      </c>
      <c r="BM1334" s="1" t="s">
        <v>109</v>
      </c>
      <c r="BN1334" s="1" t="s">
        <v>110</v>
      </c>
      <c r="BO1334" s="1" t="s">
        <v>128</v>
      </c>
      <c r="BP1334" s="1" t="s">
        <v>91</v>
      </c>
      <c r="BQ1334" t="s">
        <v>91</v>
      </c>
      <c r="BR1334" s="3">
        <v>44378</v>
      </c>
      <c r="BS1334" s="3">
        <v>44957</v>
      </c>
      <c r="BT1334" t="s">
        <v>91</v>
      </c>
      <c r="BU1334" t="s">
        <v>91</v>
      </c>
      <c r="BW1334" s="1" t="s">
        <v>924</v>
      </c>
    </row>
    <row r="1335" spans="1:75" hidden="1" x14ac:dyDescent="0.35">
      <c r="A1335">
        <v>137577</v>
      </c>
      <c r="B1335" s="1" t="s">
        <v>75</v>
      </c>
      <c r="C1335">
        <v>80</v>
      </c>
      <c r="D1335">
        <v>11121004</v>
      </c>
      <c r="E1335">
        <v>121004</v>
      </c>
      <c r="F1335" s="1" t="s">
        <v>6867</v>
      </c>
      <c r="G1335" s="1" t="s">
        <v>7241</v>
      </c>
      <c r="H1335">
        <v>0</v>
      </c>
      <c r="I1335" s="1" t="s">
        <v>78</v>
      </c>
      <c r="J1335" s="1" t="s">
        <v>7242</v>
      </c>
      <c r="K1335" s="1" t="s">
        <v>7243</v>
      </c>
      <c r="L1335" t="s">
        <v>91</v>
      </c>
      <c r="M1335" t="s">
        <v>91</v>
      </c>
      <c r="N1335" s="1" t="s">
        <v>7244</v>
      </c>
      <c r="O1335" t="s">
        <v>91</v>
      </c>
      <c r="P1335" s="1" t="s">
        <v>6890</v>
      </c>
      <c r="Q1335" s="1" t="s">
        <v>5112</v>
      </c>
      <c r="R1335" s="1" t="s">
        <v>108</v>
      </c>
      <c r="S1335">
        <v>1261</v>
      </c>
      <c r="T1335">
        <v>88301360</v>
      </c>
      <c r="U1335" s="1" t="s">
        <v>108</v>
      </c>
      <c r="V1335" s="1" t="s">
        <v>6874</v>
      </c>
      <c r="W1335" s="1" t="s">
        <v>87</v>
      </c>
      <c r="X1335">
        <v>47</v>
      </c>
      <c r="Y1335">
        <v>33496097</v>
      </c>
      <c r="Z1335" t="s">
        <v>91</v>
      </c>
      <c r="AA1335" t="s">
        <v>91</v>
      </c>
      <c r="AB1335" t="s">
        <v>91</v>
      </c>
      <c r="AC1335" t="s">
        <v>91</v>
      </c>
      <c r="AD1335" t="s">
        <v>91</v>
      </c>
      <c r="AE1335" t="s">
        <v>91</v>
      </c>
      <c r="AF1335" t="s">
        <v>91</v>
      </c>
      <c r="AG1335" s="1" t="s">
        <v>146</v>
      </c>
      <c r="AH1335" s="1" t="s">
        <v>91</v>
      </c>
      <c r="AI1335" t="s">
        <v>91</v>
      </c>
      <c r="AM1335" t="s">
        <v>91</v>
      </c>
      <c r="AN1335" t="s">
        <v>91</v>
      </c>
      <c r="AO1335" t="s">
        <v>91</v>
      </c>
      <c r="AP1335" t="s">
        <v>91</v>
      </c>
      <c r="AQ1335" s="1" t="s">
        <v>147</v>
      </c>
      <c r="AR1335" s="1" t="s">
        <v>147</v>
      </c>
      <c r="AS1335" s="1" t="s">
        <v>147</v>
      </c>
      <c r="AT1335" s="1" t="s">
        <v>147</v>
      </c>
      <c r="AU1335" s="1" t="s">
        <v>147</v>
      </c>
      <c r="AV1335" t="s">
        <v>91</v>
      </c>
      <c r="AW1335" t="s">
        <v>91</v>
      </c>
      <c r="AX1335" t="s">
        <v>91</v>
      </c>
      <c r="AY1335" t="s">
        <v>91</v>
      </c>
      <c r="AZ1335" t="s">
        <v>91</v>
      </c>
      <c r="BA1335" t="s">
        <v>91</v>
      </c>
      <c r="BB1335" s="2">
        <v>44378.578518518516</v>
      </c>
      <c r="BC1335" s="2">
        <v>44669.713414351849</v>
      </c>
      <c r="BD1335" t="s">
        <v>91</v>
      </c>
      <c r="BF1335" s="1" t="s">
        <v>75</v>
      </c>
      <c r="BH1335">
        <v>0</v>
      </c>
      <c r="BI1335" s="1" t="s">
        <v>88</v>
      </c>
      <c r="BJ1335">
        <v>1</v>
      </c>
      <c r="BK1335" s="1" t="s">
        <v>89</v>
      </c>
      <c r="BL1335" t="s">
        <v>91</v>
      </c>
      <c r="BM1335" s="1" t="s">
        <v>197</v>
      </c>
      <c r="BN1335" s="1" t="s">
        <v>148</v>
      </c>
      <c r="BO1335" s="1" t="s">
        <v>165</v>
      </c>
      <c r="BP1335" s="1" t="s">
        <v>91</v>
      </c>
      <c r="BQ1335" t="s">
        <v>91</v>
      </c>
      <c r="BR1335" s="3">
        <v>44378</v>
      </c>
      <c r="BS1335" s="3">
        <v>44669</v>
      </c>
      <c r="BT1335" t="s">
        <v>91</v>
      </c>
      <c r="BU1335" t="s">
        <v>91</v>
      </c>
      <c r="BW1335" s="1" t="s">
        <v>255</v>
      </c>
    </row>
    <row r="1336" spans="1:75" hidden="1" x14ac:dyDescent="0.35">
      <c r="A1336">
        <v>151581</v>
      </c>
      <c r="B1336" s="1" t="s">
        <v>75</v>
      </c>
      <c r="C1336">
        <v>80</v>
      </c>
      <c r="D1336">
        <v>11121004</v>
      </c>
      <c r="E1336">
        <v>121004</v>
      </c>
      <c r="F1336" s="1" t="s">
        <v>6867</v>
      </c>
      <c r="G1336" s="1" t="s">
        <v>7245</v>
      </c>
      <c r="H1336">
        <v>0</v>
      </c>
      <c r="I1336" s="1" t="s">
        <v>78</v>
      </c>
      <c r="J1336" s="1" t="s">
        <v>7246</v>
      </c>
      <c r="K1336" s="1" t="s">
        <v>7247</v>
      </c>
      <c r="L1336" t="s">
        <v>91</v>
      </c>
      <c r="M1336" t="s">
        <v>91</v>
      </c>
      <c r="N1336" s="1" t="s">
        <v>2656</v>
      </c>
      <c r="O1336" t="s">
        <v>91</v>
      </c>
      <c r="P1336" s="1" t="s">
        <v>1886</v>
      </c>
      <c r="Q1336" s="1" t="s">
        <v>7248</v>
      </c>
      <c r="R1336" s="1" t="s">
        <v>91</v>
      </c>
      <c r="S1336">
        <v>1287</v>
      </c>
      <c r="T1336">
        <v>89802120</v>
      </c>
      <c r="U1336" s="1" t="s">
        <v>108</v>
      </c>
      <c r="V1336" s="1" t="s">
        <v>86</v>
      </c>
      <c r="W1336" s="1" t="s">
        <v>87</v>
      </c>
      <c r="X1336">
        <v>49</v>
      </c>
      <c r="Y1336">
        <v>33120909</v>
      </c>
      <c r="Z1336" t="s">
        <v>91</v>
      </c>
      <c r="AA1336" t="s">
        <v>91</v>
      </c>
      <c r="AB1336" t="s">
        <v>91</v>
      </c>
      <c r="AC1336" t="s">
        <v>91</v>
      </c>
      <c r="AD1336" t="s">
        <v>91</v>
      </c>
      <c r="AE1336" t="s">
        <v>91</v>
      </c>
      <c r="AF1336" t="s">
        <v>91</v>
      </c>
      <c r="AG1336" s="1" t="s">
        <v>91</v>
      </c>
      <c r="AH1336" s="1" t="s">
        <v>91</v>
      </c>
      <c r="AI1336" t="s">
        <v>91</v>
      </c>
      <c r="AM1336" t="s">
        <v>91</v>
      </c>
      <c r="AN1336" t="s">
        <v>91</v>
      </c>
      <c r="AO1336" t="s">
        <v>91</v>
      </c>
      <c r="AP1336" t="s">
        <v>91</v>
      </c>
      <c r="AQ1336" s="1" t="s">
        <v>91</v>
      </c>
      <c r="AR1336" s="1" t="s">
        <v>91</v>
      </c>
      <c r="AS1336" s="1" t="s">
        <v>91</v>
      </c>
      <c r="AT1336" s="1" t="s">
        <v>91</v>
      </c>
      <c r="AU1336" s="1" t="s">
        <v>91</v>
      </c>
      <c r="AV1336" t="s">
        <v>91</v>
      </c>
      <c r="AW1336" t="s">
        <v>91</v>
      </c>
      <c r="AX1336" t="s">
        <v>91</v>
      </c>
      <c r="AY1336" t="s">
        <v>91</v>
      </c>
      <c r="AZ1336" t="s">
        <v>91</v>
      </c>
      <c r="BA1336" t="s">
        <v>91</v>
      </c>
      <c r="BB1336" s="2">
        <v>44862.597604166665</v>
      </c>
      <c r="BC1336" s="2"/>
      <c r="BD1336" t="s">
        <v>91</v>
      </c>
      <c r="BF1336" s="1" t="s">
        <v>75</v>
      </c>
      <c r="BI1336" s="1" t="s">
        <v>88</v>
      </c>
      <c r="BJ1336">
        <v>1</v>
      </c>
      <c r="BK1336" s="1" t="s">
        <v>89</v>
      </c>
      <c r="BL1336" t="s">
        <v>91</v>
      </c>
      <c r="BM1336" s="1" t="s">
        <v>91</v>
      </c>
      <c r="BN1336" s="1" t="s">
        <v>91</v>
      </c>
      <c r="BO1336" s="1" t="s">
        <v>91</v>
      </c>
      <c r="BP1336" s="1" t="s">
        <v>91</v>
      </c>
      <c r="BQ1336" t="s">
        <v>91</v>
      </c>
      <c r="BR1336" s="3">
        <v>44862</v>
      </c>
      <c r="BS1336" s="3"/>
      <c r="BT1336" t="s">
        <v>91</v>
      </c>
      <c r="BU1336" t="s">
        <v>91</v>
      </c>
      <c r="BW1336" s="1" t="s">
        <v>90</v>
      </c>
    </row>
    <row r="1337" spans="1:75" hidden="1" x14ac:dyDescent="0.35">
      <c r="A1337">
        <v>157097</v>
      </c>
      <c r="B1337" s="1" t="s">
        <v>75</v>
      </c>
      <c r="C1337">
        <v>80</v>
      </c>
      <c r="D1337">
        <v>11121004</v>
      </c>
      <c r="E1337">
        <v>121004</v>
      </c>
      <c r="F1337" s="1" t="s">
        <v>6867</v>
      </c>
      <c r="G1337" s="1" t="s">
        <v>7249</v>
      </c>
      <c r="H1337">
        <v>0</v>
      </c>
      <c r="I1337" s="1" t="s">
        <v>78</v>
      </c>
      <c r="J1337" s="1" t="s">
        <v>7250</v>
      </c>
      <c r="K1337" s="1" t="s">
        <v>7251</v>
      </c>
      <c r="L1337" t="s">
        <v>91</v>
      </c>
      <c r="M1337" t="s">
        <v>91</v>
      </c>
      <c r="N1337" s="1" t="s">
        <v>7252</v>
      </c>
      <c r="O1337" t="s">
        <v>91</v>
      </c>
      <c r="P1337" s="1" t="s">
        <v>7253</v>
      </c>
      <c r="Q1337" s="1" t="s">
        <v>1082</v>
      </c>
      <c r="R1337" s="1" t="s">
        <v>370</v>
      </c>
      <c r="S1337">
        <v>1261</v>
      </c>
      <c r="T1337">
        <v>88301350</v>
      </c>
      <c r="U1337" s="1" t="s">
        <v>108</v>
      </c>
      <c r="V1337" s="1" t="s">
        <v>6874</v>
      </c>
      <c r="W1337" s="1" t="s">
        <v>87</v>
      </c>
      <c r="X1337">
        <v>47</v>
      </c>
      <c r="Y1337">
        <v>21251283</v>
      </c>
      <c r="Z1337" t="s">
        <v>91</v>
      </c>
      <c r="AA1337" t="s">
        <v>91</v>
      </c>
      <c r="AB1337" t="s">
        <v>91</v>
      </c>
      <c r="AC1337" t="s">
        <v>91</v>
      </c>
      <c r="AD1337" t="s">
        <v>91</v>
      </c>
      <c r="AE1337" t="s">
        <v>91</v>
      </c>
      <c r="AF1337" t="s">
        <v>91</v>
      </c>
      <c r="AG1337" s="1" t="s">
        <v>146</v>
      </c>
      <c r="AH1337" s="1" t="s">
        <v>91</v>
      </c>
      <c r="AI1337" t="s">
        <v>91</v>
      </c>
      <c r="AM1337" t="s">
        <v>91</v>
      </c>
      <c r="AN1337" t="s">
        <v>91</v>
      </c>
      <c r="AO1337" t="s">
        <v>91</v>
      </c>
      <c r="AP1337" t="s">
        <v>91</v>
      </c>
      <c r="AQ1337" s="1" t="s">
        <v>147</v>
      </c>
      <c r="AR1337" s="1" t="s">
        <v>147</v>
      </c>
      <c r="AS1337" s="1" t="s">
        <v>147</v>
      </c>
      <c r="AT1337" s="1" t="s">
        <v>147</v>
      </c>
      <c r="AU1337" s="1" t="s">
        <v>147</v>
      </c>
      <c r="AV1337" t="s">
        <v>91</v>
      </c>
      <c r="AW1337" t="s">
        <v>91</v>
      </c>
      <c r="AX1337" t="s">
        <v>91</v>
      </c>
      <c r="AY1337" t="s">
        <v>91</v>
      </c>
      <c r="AZ1337" t="s">
        <v>91</v>
      </c>
      <c r="BA1337" t="s">
        <v>91</v>
      </c>
      <c r="BB1337" s="2">
        <v>45113.505416666667</v>
      </c>
      <c r="BC1337" s="2">
        <v>45114.483252314814</v>
      </c>
      <c r="BD1337" t="s">
        <v>91</v>
      </c>
      <c r="BF1337" s="1" t="s">
        <v>75</v>
      </c>
      <c r="BH1337">
        <v>0</v>
      </c>
      <c r="BI1337" s="1" t="s">
        <v>88</v>
      </c>
      <c r="BJ1337">
        <v>1</v>
      </c>
      <c r="BK1337" s="1" t="s">
        <v>89</v>
      </c>
      <c r="BL1337" t="s">
        <v>91</v>
      </c>
      <c r="BM1337" s="1" t="s">
        <v>91</v>
      </c>
      <c r="BN1337" s="1" t="s">
        <v>91</v>
      </c>
      <c r="BO1337" s="1" t="s">
        <v>91</v>
      </c>
      <c r="BP1337" s="1" t="s">
        <v>91</v>
      </c>
      <c r="BQ1337" t="s">
        <v>91</v>
      </c>
      <c r="BR1337" s="3">
        <v>45113</v>
      </c>
      <c r="BS1337" s="3">
        <v>45114</v>
      </c>
      <c r="BT1337" t="s">
        <v>91</v>
      </c>
      <c r="BU1337" t="s">
        <v>91</v>
      </c>
      <c r="BW1337" s="1" t="s">
        <v>263</v>
      </c>
    </row>
    <row r="1338" spans="1:75" hidden="1" x14ac:dyDescent="0.35">
      <c r="A1338">
        <v>157077</v>
      </c>
      <c r="B1338" s="1" t="s">
        <v>75</v>
      </c>
      <c r="C1338">
        <v>80</v>
      </c>
      <c r="D1338">
        <v>11121004</v>
      </c>
      <c r="E1338">
        <v>121004</v>
      </c>
      <c r="F1338" s="1" t="s">
        <v>6867</v>
      </c>
      <c r="G1338" s="1" t="s">
        <v>7254</v>
      </c>
      <c r="H1338">
        <v>0</v>
      </c>
      <c r="I1338" s="1" t="s">
        <v>78</v>
      </c>
      <c r="J1338" s="1" t="s">
        <v>7255</v>
      </c>
      <c r="K1338" s="1" t="s">
        <v>7256</v>
      </c>
      <c r="L1338" t="s">
        <v>91</v>
      </c>
      <c r="M1338" t="s">
        <v>91</v>
      </c>
      <c r="N1338" s="1" t="s">
        <v>91</v>
      </c>
      <c r="O1338" t="s">
        <v>91</v>
      </c>
      <c r="P1338" s="1" t="s">
        <v>7257</v>
      </c>
      <c r="Q1338" s="1" t="s">
        <v>651</v>
      </c>
      <c r="R1338" s="1" t="s">
        <v>98</v>
      </c>
      <c r="S1338">
        <v>1275</v>
      </c>
      <c r="T1338">
        <v>89135000</v>
      </c>
      <c r="U1338" s="1" t="s">
        <v>108</v>
      </c>
      <c r="V1338" s="1" t="s">
        <v>7258</v>
      </c>
      <c r="W1338" s="1" t="s">
        <v>87</v>
      </c>
      <c r="X1338">
        <v>47</v>
      </c>
      <c r="Y1338">
        <v>33530351</v>
      </c>
      <c r="Z1338" t="s">
        <v>91</v>
      </c>
      <c r="AA1338" t="s">
        <v>91</v>
      </c>
      <c r="AB1338" t="s">
        <v>91</v>
      </c>
      <c r="AC1338" t="s">
        <v>91</v>
      </c>
      <c r="AD1338" t="s">
        <v>91</v>
      </c>
      <c r="AE1338" t="s">
        <v>91</v>
      </c>
      <c r="AF1338" t="s">
        <v>91</v>
      </c>
      <c r="AG1338" s="1" t="s">
        <v>91</v>
      </c>
      <c r="AH1338" s="1" t="s">
        <v>91</v>
      </c>
      <c r="AI1338" t="s">
        <v>91</v>
      </c>
      <c r="AM1338" t="s">
        <v>91</v>
      </c>
      <c r="AN1338" t="s">
        <v>91</v>
      </c>
      <c r="AO1338" t="s">
        <v>91</v>
      </c>
      <c r="AP1338" t="s">
        <v>91</v>
      </c>
      <c r="AQ1338" s="1" t="s">
        <v>91</v>
      </c>
      <c r="AR1338" s="1" t="s">
        <v>91</v>
      </c>
      <c r="AS1338" s="1" t="s">
        <v>91</v>
      </c>
      <c r="AT1338" s="1" t="s">
        <v>91</v>
      </c>
      <c r="AU1338" s="1" t="s">
        <v>91</v>
      </c>
      <c r="AV1338" t="s">
        <v>91</v>
      </c>
      <c r="AW1338" t="s">
        <v>91</v>
      </c>
      <c r="AX1338" t="s">
        <v>91</v>
      </c>
      <c r="AY1338" t="s">
        <v>91</v>
      </c>
      <c r="AZ1338" t="s">
        <v>91</v>
      </c>
      <c r="BA1338" t="s">
        <v>91</v>
      </c>
      <c r="BB1338" s="2">
        <v>45113.505416666667</v>
      </c>
      <c r="BC1338" s="2"/>
      <c r="BD1338" t="s">
        <v>91</v>
      </c>
      <c r="BF1338" s="1" t="s">
        <v>75</v>
      </c>
      <c r="BI1338" s="1" t="s">
        <v>88</v>
      </c>
      <c r="BJ1338">
        <v>1</v>
      </c>
      <c r="BK1338" s="1" t="s">
        <v>89</v>
      </c>
      <c r="BL1338" t="s">
        <v>91</v>
      </c>
      <c r="BM1338" s="1" t="s">
        <v>91</v>
      </c>
      <c r="BN1338" s="1" t="s">
        <v>91</v>
      </c>
      <c r="BO1338" s="1" t="s">
        <v>91</v>
      </c>
      <c r="BP1338" s="1" t="s">
        <v>91</v>
      </c>
      <c r="BQ1338" t="s">
        <v>91</v>
      </c>
      <c r="BR1338" s="3">
        <v>45113</v>
      </c>
      <c r="BS1338" s="3"/>
      <c r="BT1338" t="s">
        <v>91</v>
      </c>
      <c r="BU1338" t="s">
        <v>91</v>
      </c>
      <c r="BW1338" s="1" t="s">
        <v>396</v>
      </c>
    </row>
    <row r="1339" spans="1:75" hidden="1" x14ac:dyDescent="0.35">
      <c r="A1339">
        <v>137578</v>
      </c>
      <c r="B1339" s="1" t="s">
        <v>75</v>
      </c>
      <c r="C1339">
        <v>80</v>
      </c>
      <c r="D1339">
        <v>11121004</v>
      </c>
      <c r="E1339">
        <v>121004</v>
      </c>
      <c r="F1339" s="1" t="s">
        <v>6867</v>
      </c>
      <c r="G1339" s="1" t="s">
        <v>7259</v>
      </c>
      <c r="H1339">
        <v>0</v>
      </c>
      <c r="I1339" s="1" t="s">
        <v>78</v>
      </c>
      <c r="J1339" s="1" t="s">
        <v>7255</v>
      </c>
      <c r="K1339" s="1" t="s">
        <v>7260</v>
      </c>
      <c r="L1339" t="s">
        <v>91</v>
      </c>
      <c r="M1339" t="s">
        <v>91</v>
      </c>
      <c r="N1339" s="1" t="s">
        <v>7261</v>
      </c>
      <c r="O1339" t="s">
        <v>91</v>
      </c>
      <c r="P1339" s="1" t="s">
        <v>7262</v>
      </c>
      <c r="Q1339" s="1" t="s">
        <v>955</v>
      </c>
      <c r="R1339" s="1" t="s">
        <v>91</v>
      </c>
      <c r="S1339">
        <v>1275</v>
      </c>
      <c r="T1339">
        <v>89138000</v>
      </c>
      <c r="U1339" s="1" t="s">
        <v>108</v>
      </c>
      <c r="V1339" s="1" t="s">
        <v>7263</v>
      </c>
      <c r="W1339" s="1" t="s">
        <v>87</v>
      </c>
      <c r="X1339">
        <v>47</v>
      </c>
      <c r="Y1339">
        <v>33830300</v>
      </c>
      <c r="Z1339" t="s">
        <v>91</v>
      </c>
      <c r="AA1339" t="s">
        <v>91</v>
      </c>
      <c r="AB1339" t="s">
        <v>91</v>
      </c>
      <c r="AC1339" t="s">
        <v>91</v>
      </c>
      <c r="AD1339" t="s">
        <v>91</v>
      </c>
      <c r="AE1339" t="s">
        <v>91</v>
      </c>
      <c r="AF1339" t="s">
        <v>91</v>
      </c>
      <c r="AG1339" s="1" t="s">
        <v>146</v>
      </c>
      <c r="AH1339" s="1" t="s">
        <v>91</v>
      </c>
      <c r="AI1339" t="s">
        <v>91</v>
      </c>
      <c r="AM1339" t="s">
        <v>91</v>
      </c>
      <c r="AN1339" t="s">
        <v>91</v>
      </c>
      <c r="AO1339" t="s">
        <v>91</v>
      </c>
      <c r="AP1339" t="s">
        <v>91</v>
      </c>
      <c r="AQ1339" s="1" t="s">
        <v>147</v>
      </c>
      <c r="AR1339" s="1" t="s">
        <v>147</v>
      </c>
      <c r="AS1339" s="1" t="s">
        <v>147</v>
      </c>
      <c r="AT1339" s="1" t="s">
        <v>147</v>
      </c>
      <c r="AU1339" s="1" t="s">
        <v>147</v>
      </c>
      <c r="AV1339" t="s">
        <v>91</v>
      </c>
      <c r="AW1339" t="s">
        <v>91</v>
      </c>
      <c r="AX1339" t="s">
        <v>91</v>
      </c>
      <c r="AY1339" t="s">
        <v>91</v>
      </c>
      <c r="AZ1339" t="s">
        <v>91</v>
      </c>
      <c r="BA1339" t="s">
        <v>91</v>
      </c>
      <c r="BB1339" s="2">
        <v>44378.578518518516</v>
      </c>
      <c r="BC1339" s="2">
        <v>44631.612557870372</v>
      </c>
      <c r="BD1339" t="s">
        <v>91</v>
      </c>
      <c r="BF1339" s="1" t="s">
        <v>75</v>
      </c>
      <c r="BH1339">
        <v>0</v>
      </c>
      <c r="BI1339" s="1" t="s">
        <v>88</v>
      </c>
      <c r="BJ1339">
        <v>1</v>
      </c>
      <c r="BK1339" s="1" t="s">
        <v>89</v>
      </c>
      <c r="BL1339" t="s">
        <v>91</v>
      </c>
      <c r="BM1339" s="1" t="s">
        <v>109</v>
      </c>
      <c r="BN1339" s="1" t="s">
        <v>110</v>
      </c>
      <c r="BO1339" s="1" t="s">
        <v>128</v>
      </c>
      <c r="BP1339" s="1" t="s">
        <v>91</v>
      </c>
      <c r="BQ1339" t="s">
        <v>91</v>
      </c>
      <c r="BR1339" s="3">
        <v>44378</v>
      </c>
      <c r="BS1339" s="3">
        <v>44631</v>
      </c>
      <c r="BT1339" t="s">
        <v>91</v>
      </c>
      <c r="BU1339" t="s">
        <v>91</v>
      </c>
      <c r="BW1339" s="1" t="s">
        <v>396</v>
      </c>
    </row>
    <row r="1340" spans="1:75" hidden="1" x14ac:dyDescent="0.35">
      <c r="A1340">
        <v>137580</v>
      </c>
      <c r="B1340" s="1" t="s">
        <v>75</v>
      </c>
      <c r="C1340">
        <v>80</v>
      </c>
      <c r="D1340">
        <v>11121004</v>
      </c>
      <c r="E1340">
        <v>121004</v>
      </c>
      <c r="F1340" s="1" t="s">
        <v>6867</v>
      </c>
      <c r="G1340" s="1" t="s">
        <v>7264</v>
      </c>
      <c r="H1340">
        <v>0</v>
      </c>
      <c r="I1340" s="1" t="s">
        <v>78</v>
      </c>
      <c r="J1340" s="1" t="s">
        <v>7265</v>
      </c>
      <c r="K1340" s="1" t="s">
        <v>7266</v>
      </c>
      <c r="L1340" t="s">
        <v>91</v>
      </c>
      <c r="M1340" t="s">
        <v>91</v>
      </c>
      <c r="N1340" s="1" t="s">
        <v>7267</v>
      </c>
      <c r="O1340" t="s">
        <v>91</v>
      </c>
      <c r="P1340" s="1" t="s">
        <v>7268</v>
      </c>
      <c r="Q1340" s="1" t="s">
        <v>1716</v>
      </c>
      <c r="R1340" s="1" t="s">
        <v>7269</v>
      </c>
      <c r="S1340">
        <v>1260</v>
      </c>
      <c r="T1340">
        <v>88200000</v>
      </c>
      <c r="U1340" s="1" t="s">
        <v>108</v>
      </c>
      <c r="V1340" s="1" t="s">
        <v>6906</v>
      </c>
      <c r="W1340" s="1" t="s">
        <v>87</v>
      </c>
      <c r="X1340">
        <v>48</v>
      </c>
      <c r="Y1340">
        <v>32634624</v>
      </c>
      <c r="Z1340" t="s">
        <v>91</v>
      </c>
      <c r="AA1340" t="s">
        <v>91</v>
      </c>
      <c r="AB1340" t="s">
        <v>91</v>
      </c>
      <c r="AC1340" t="s">
        <v>91</v>
      </c>
      <c r="AD1340" t="s">
        <v>91</v>
      </c>
      <c r="AE1340" t="s">
        <v>91</v>
      </c>
      <c r="AF1340" t="s">
        <v>91</v>
      </c>
      <c r="AG1340" s="1" t="s">
        <v>146</v>
      </c>
      <c r="AH1340" s="1" t="s">
        <v>91</v>
      </c>
      <c r="AI1340" t="s">
        <v>91</v>
      </c>
      <c r="AM1340" t="s">
        <v>91</v>
      </c>
      <c r="AN1340" t="s">
        <v>91</v>
      </c>
      <c r="AO1340" t="s">
        <v>91</v>
      </c>
      <c r="AP1340" t="s">
        <v>91</v>
      </c>
      <c r="AQ1340" s="1" t="s">
        <v>147</v>
      </c>
      <c r="AR1340" s="1" t="s">
        <v>147</v>
      </c>
      <c r="AS1340" s="1" t="s">
        <v>147</v>
      </c>
      <c r="AT1340" s="1" t="s">
        <v>147</v>
      </c>
      <c r="AU1340" s="1" t="s">
        <v>147</v>
      </c>
      <c r="AV1340" t="s">
        <v>91</v>
      </c>
      <c r="AW1340" t="s">
        <v>91</v>
      </c>
      <c r="AX1340" t="s">
        <v>91</v>
      </c>
      <c r="AY1340" t="s">
        <v>91</v>
      </c>
      <c r="AZ1340" t="s">
        <v>91</v>
      </c>
      <c r="BA1340" t="s">
        <v>91</v>
      </c>
      <c r="BB1340" s="2">
        <v>44378.578518518516</v>
      </c>
      <c r="BC1340" s="2">
        <v>44866.362071759257</v>
      </c>
      <c r="BD1340" t="s">
        <v>91</v>
      </c>
      <c r="BF1340" s="1" t="s">
        <v>75</v>
      </c>
      <c r="BH1340">
        <v>0</v>
      </c>
      <c r="BI1340" s="1" t="s">
        <v>88</v>
      </c>
      <c r="BJ1340">
        <v>1</v>
      </c>
      <c r="BK1340" s="1" t="s">
        <v>89</v>
      </c>
      <c r="BL1340" t="s">
        <v>91</v>
      </c>
      <c r="BM1340" s="1" t="s">
        <v>109</v>
      </c>
      <c r="BN1340" s="1" t="s">
        <v>110</v>
      </c>
      <c r="BO1340" s="1" t="s">
        <v>165</v>
      </c>
      <c r="BP1340" s="1" t="s">
        <v>91</v>
      </c>
      <c r="BQ1340" t="s">
        <v>91</v>
      </c>
      <c r="BR1340" s="3">
        <v>44378</v>
      </c>
      <c r="BS1340" s="3">
        <v>44866</v>
      </c>
      <c r="BT1340" t="s">
        <v>91</v>
      </c>
      <c r="BU1340" t="s">
        <v>91</v>
      </c>
      <c r="BW1340" s="1" t="s">
        <v>90</v>
      </c>
    </row>
    <row r="1341" spans="1:75" hidden="1" x14ac:dyDescent="0.35">
      <c r="A1341">
        <v>137581</v>
      </c>
      <c r="B1341" s="1" t="s">
        <v>75</v>
      </c>
      <c r="C1341">
        <v>80</v>
      </c>
      <c r="D1341">
        <v>11121004</v>
      </c>
      <c r="E1341">
        <v>121004</v>
      </c>
      <c r="F1341" s="1" t="s">
        <v>6867</v>
      </c>
      <c r="G1341" s="1" t="s">
        <v>7270</v>
      </c>
      <c r="H1341">
        <v>0</v>
      </c>
      <c r="I1341" s="1" t="s">
        <v>78</v>
      </c>
      <c r="J1341" s="1" t="s">
        <v>7265</v>
      </c>
      <c r="K1341" s="1" t="s">
        <v>7271</v>
      </c>
      <c r="L1341" t="s">
        <v>91</v>
      </c>
      <c r="M1341" t="s">
        <v>91</v>
      </c>
      <c r="N1341" s="1" t="s">
        <v>7272</v>
      </c>
      <c r="O1341" t="s">
        <v>91</v>
      </c>
      <c r="P1341" s="1" t="s">
        <v>7273</v>
      </c>
      <c r="Q1341" s="1" t="s">
        <v>7274</v>
      </c>
      <c r="R1341" s="1" t="s">
        <v>7275</v>
      </c>
      <c r="S1341">
        <v>1260</v>
      </c>
      <c r="T1341">
        <v>88220000</v>
      </c>
      <c r="U1341" s="1" t="s">
        <v>7195</v>
      </c>
      <c r="V1341" s="1" t="s">
        <v>7015</v>
      </c>
      <c r="W1341" s="1" t="s">
        <v>87</v>
      </c>
      <c r="X1341">
        <v>47</v>
      </c>
      <c r="Y1341">
        <v>33685983</v>
      </c>
      <c r="Z1341" t="s">
        <v>91</v>
      </c>
      <c r="AA1341" t="s">
        <v>91</v>
      </c>
      <c r="AB1341" t="s">
        <v>91</v>
      </c>
      <c r="AC1341" t="s">
        <v>91</v>
      </c>
      <c r="AD1341" t="s">
        <v>91</v>
      </c>
      <c r="AE1341" t="s">
        <v>91</v>
      </c>
      <c r="AF1341" t="s">
        <v>91</v>
      </c>
      <c r="AG1341" s="1" t="s">
        <v>146</v>
      </c>
      <c r="AH1341" s="1" t="s">
        <v>91</v>
      </c>
      <c r="AI1341" t="s">
        <v>91</v>
      </c>
      <c r="AM1341" t="s">
        <v>91</v>
      </c>
      <c r="AN1341" t="s">
        <v>91</v>
      </c>
      <c r="AO1341" t="s">
        <v>91</v>
      </c>
      <c r="AP1341" t="s">
        <v>91</v>
      </c>
      <c r="AQ1341" s="1" t="s">
        <v>147</v>
      </c>
      <c r="AR1341" s="1" t="s">
        <v>147</v>
      </c>
      <c r="AS1341" s="1" t="s">
        <v>147</v>
      </c>
      <c r="AT1341" s="1" t="s">
        <v>147</v>
      </c>
      <c r="AU1341" s="1" t="s">
        <v>147</v>
      </c>
      <c r="AV1341" t="s">
        <v>91</v>
      </c>
      <c r="AW1341" t="s">
        <v>91</v>
      </c>
      <c r="AX1341" t="s">
        <v>91</v>
      </c>
      <c r="AY1341" t="s">
        <v>91</v>
      </c>
      <c r="AZ1341" t="s">
        <v>91</v>
      </c>
      <c r="BA1341" t="s">
        <v>91</v>
      </c>
      <c r="BB1341" s="2">
        <v>44378.578518518516</v>
      </c>
      <c r="BC1341" s="2">
        <v>44866.362280092595</v>
      </c>
      <c r="BD1341" t="s">
        <v>91</v>
      </c>
      <c r="BF1341" s="1" t="s">
        <v>75</v>
      </c>
      <c r="BH1341">
        <v>0</v>
      </c>
      <c r="BI1341" s="1" t="s">
        <v>88</v>
      </c>
      <c r="BJ1341">
        <v>1</v>
      </c>
      <c r="BK1341" s="1" t="s">
        <v>89</v>
      </c>
      <c r="BL1341" t="s">
        <v>91</v>
      </c>
      <c r="BM1341" s="1" t="s">
        <v>329</v>
      </c>
      <c r="BN1341" s="1" t="s">
        <v>110</v>
      </c>
      <c r="BO1341" s="1" t="s">
        <v>165</v>
      </c>
      <c r="BP1341" s="1" t="s">
        <v>91</v>
      </c>
      <c r="BQ1341" t="s">
        <v>91</v>
      </c>
      <c r="BR1341" s="3">
        <v>44378</v>
      </c>
      <c r="BS1341" s="3">
        <v>44866</v>
      </c>
      <c r="BT1341" t="s">
        <v>91</v>
      </c>
      <c r="BU1341" t="s">
        <v>91</v>
      </c>
      <c r="BW1341" s="1" t="s">
        <v>90</v>
      </c>
    </row>
    <row r="1342" spans="1:75" hidden="1" x14ac:dyDescent="0.35">
      <c r="A1342">
        <v>137582</v>
      </c>
      <c r="B1342" s="1" t="s">
        <v>75</v>
      </c>
      <c r="C1342">
        <v>80</v>
      </c>
      <c r="D1342">
        <v>11121004</v>
      </c>
      <c r="E1342">
        <v>121004</v>
      </c>
      <c r="F1342" s="1" t="s">
        <v>6867</v>
      </c>
      <c r="G1342" s="1" t="s">
        <v>7276</v>
      </c>
      <c r="H1342">
        <v>0</v>
      </c>
      <c r="I1342" s="1" t="s">
        <v>78</v>
      </c>
      <c r="J1342" s="1" t="s">
        <v>7265</v>
      </c>
      <c r="K1342" s="1" t="s">
        <v>7277</v>
      </c>
      <c r="L1342" t="s">
        <v>91</v>
      </c>
      <c r="M1342" t="s">
        <v>91</v>
      </c>
      <c r="N1342" s="1" t="s">
        <v>7278</v>
      </c>
      <c r="O1342" t="s">
        <v>91</v>
      </c>
      <c r="P1342" s="1" t="s">
        <v>873</v>
      </c>
      <c r="Q1342" s="1" t="s">
        <v>3569</v>
      </c>
      <c r="R1342" s="1" t="s">
        <v>7279</v>
      </c>
      <c r="S1342">
        <v>1260</v>
      </c>
      <c r="T1342">
        <v>88240000</v>
      </c>
      <c r="U1342" s="1" t="s">
        <v>108</v>
      </c>
      <c r="V1342" s="1" t="s">
        <v>7280</v>
      </c>
      <c r="W1342" s="1" t="s">
        <v>87</v>
      </c>
      <c r="X1342">
        <v>48</v>
      </c>
      <c r="Y1342">
        <v>32654124</v>
      </c>
      <c r="Z1342" t="s">
        <v>91</v>
      </c>
      <c r="AA1342" t="s">
        <v>91</v>
      </c>
      <c r="AB1342" t="s">
        <v>91</v>
      </c>
      <c r="AC1342" t="s">
        <v>91</v>
      </c>
      <c r="AD1342" t="s">
        <v>91</v>
      </c>
      <c r="AE1342" t="s">
        <v>91</v>
      </c>
      <c r="AF1342" t="s">
        <v>91</v>
      </c>
      <c r="AG1342" s="1" t="s">
        <v>146</v>
      </c>
      <c r="AH1342" s="1" t="s">
        <v>91</v>
      </c>
      <c r="AI1342" t="s">
        <v>91</v>
      </c>
      <c r="AM1342" t="s">
        <v>91</v>
      </c>
      <c r="AN1342" t="s">
        <v>91</v>
      </c>
      <c r="AO1342" t="s">
        <v>91</v>
      </c>
      <c r="AP1342" t="s">
        <v>91</v>
      </c>
      <c r="AQ1342" s="1" t="s">
        <v>147</v>
      </c>
      <c r="AR1342" s="1" t="s">
        <v>147</v>
      </c>
      <c r="AS1342" s="1" t="s">
        <v>147</v>
      </c>
      <c r="AT1342" s="1" t="s">
        <v>147</v>
      </c>
      <c r="AU1342" s="1" t="s">
        <v>147</v>
      </c>
      <c r="AV1342" t="s">
        <v>91</v>
      </c>
      <c r="AW1342" t="s">
        <v>91</v>
      </c>
      <c r="AX1342" t="s">
        <v>91</v>
      </c>
      <c r="AY1342" t="s">
        <v>91</v>
      </c>
      <c r="AZ1342" t="s">
        <v>91</v>
      </c>
      <c r="BA1342" t="s">
        <v>91</v>
      </c>
      <c r="BB1342" s="2">
        <v>44378.578518518516</v>
      </c>
      <c r="BC1342" s="2">
        <v>44866.362476851849</v>
      </c>
      <c r="BD1342" t="s">
        <v>91</v>
      </c>
      <c r="BF1342" s="1" t="s">
        <v>75</v>
      </c>
      <c r="BH1342">
        <v>0</v>
      </c>
      <c r="BI1342" s="1" t="s">
        <v>88</v>
      </c>
      <c r="BJ1342">
        <v>1</v>
      </c>
      <c r="BK1342" s="1" t="s">
        <v>89</v>
      </c>
      <c r="BL1342" t="s">
        <v>91</v>
      </c>
      <c r="BM1342" s="1" t="s">
        <v>109</v>
      </c>
      <c r="BN1342" s="1" t="s">
        <v>110</v>
      </c>
      <c r="BO1342" s="1" t="s">
        <v>165</v>
      </c>
      <c r="BP1342" s="1" t="s">
        <v>91</v>
      </c>
      <c r="BQ1342" t="s">
        <v>91</v>
      </c>
      <c r="BR1342" s="3">
        <v>44378</v>
      </c>
      <c r="BS1342" s="3">
        <v>44866</v>
      </c>
      <c r="BT1342" t="s">
        <v>91</v>
      </c>
      <c r="BU1342" t="s">
        <v>91</v>
      </c>
      <c r="BW1342" s="1" t="s">
        <v>90</v>
      </c>
    </row>
    <row r="1343" spans="1:75" hidden="1" x14ac:dyDescent="0.35">
      <c r="A1343">
        <v>157771</v>
      </c>
      <c r="B1343" s="1" t="s">
        <v>75</v>
      </c>
      <c r="C1343">
        <v>80</v>
      </c>
      <c r="D1343">
        <v>11121004</v>
      </c>
      <c r="E1343">
        <v>121004</v>
      </c>
      <c r="F1343" s="1" t="s">
        <v>6867</v>
      </c>
      <c r="G1343" s="1" t="s">
        <v>7281</v>
      </c>
      <c r="H1343">
        <v>0</v>
      </c>
      <c r="I1343" s="1" t="s">
        <v>78</v>
      </c>
      <c r="J1343" s="1" t="s">
        <v>7282</v>
      </c>
      <c r="K1343" s="1" t="s">
        <v>7283</v>
      </c>
      <c r="L1343" t="s">
        <v>91</v>
      </c>
      <c r="M1343" t="s">
        <v>91</v>
      </c>
      <c r="N1343" s="1" t="s">
        <v>7284</v>
      </c>
      <c r="O1343" t="s">
        <v>91</v>
      </c>
      <c r="P1343" s="1" t="s">
        <v>7285</v>
      </c>
      <c r="Q1343" s="1" t="s">
        <v>4228</v>
      </c>
      <c r="R1343" s="1" t="s">
        <v>7286</v>
      </c>
      <c r="T1343">
        <v>88343838</v>
      </c>
      <c r="U1343" s="1" t="s">
        <v>7287</v>
      </c>
      <c r="V1343" s="1" t="s">
        <v>7121</v>
      </c>
      <c r="W1343" s="1" t="s">
        <v>87</v>
      </c>
      <c r="X1343">
        <v>47</v>
      </c>
      <c r="Y1343">
        <v>999671478</v>
      </c>
      <c r="Z1343" t="s">
        <v>91</v>
      </c>
      <c r="AA1343" t="s">
        <v>91</v>
      </c>
      <c r="AB1343" t="s">
        <v>91</v>
      </c>
      <c r="AC1343" t="s">
        <v>91</v>
      </c>
      <c r="AD1343" t="s">
        <v>91</v>
      </c>
      <c r="AE1343" t="s">
        <v>91</v>
      </c>
      <c r="AF1343" t="s">
        <v>91</v>
      </c>
      <c r="AG1343" s="1" t="s">
        <v>91</v>
      </c>
      <c r="AH1343" s="1" t="s">
        <v>91</v>
      </c>
      <c r="AI1343" t="s">
        <v>91</v>
      </c>
      <c r="AM1343" t="s">
        <v>91</v>
      </c>
      <c r="AN1343" t="s">
        <v>91</v>
      </c>
      <c r="AO1343" t="s">
        <v>91</v>
      </c>
      <c r="AP1343" t="s">
        <v>91</v>
      </c>
      <c r="AQ1343" s="1" t="s">
        <v>91</v>
      </c>
      <c r="AR1343" s="1" t="s">
        <v>91</v>
      </c>
      <c r="AS1343" s="1" t="s">
        <v>91</v>
      </c>
      <c r="AT1343" s="1" t="s">
        <v>91</v>
      </c>
      <c r="AU1343" s="1" t="s">
        <v>91</v>
      </c>
      <c r="AV1343" t="s">
        <v>91</v>
      </c>
      <c r="AW1343" t="s">
        <v>91</v>
      </c>
      <c r="AX1343" t="s">
        <v>91</v>
      </c>
      <c r="AY1343" t="s">
        <v>91</v>
      </c>
      <c r="AZ1343" t="s">
        <v>91</v>
      </c>
      <c r="BA1343" t="s">
        <v>91</v>
      </c>
      <c r="BB1343" s="2">
        <v>45118.101759259262</v>
      </c>
      <c r="BC1343" s="2"/>
      <c r="BD1343" t="s">
        <v>91</v>
      </c>
      <c r="BF1343" s="1" t="s">
        <v>75</v>
      </c>
      <c r="BI1343" s="1" t="s">
        <v>88</v>
      </c>
      <c r="BJ1343">
        <v>1</v>
      </c>
      <c r="BK1343" s="1" t="s">
        <v>89</v>
      </c>
      <c r="BL1343" t="s">
        <v>91</v>
      </c>
      <c r="BM1343" s="1" t="s">
        <v>91</v>
      </c>
      <c r="BN1343" s="1" t="s">
        <v>91</v>
      </c>
      <c r="BO1343" s="1" t="s">
        <v>91</v>
      </c>
      <c r="BP1343" s="1" t="s">
        <v>91</v>
      </c>
      <c r="BQ1343" t="s">
        <v>91</v>
      </c>
      <c r="BR1343" s="3">
        <v>45118</v>
      </c>
      <c r="BS1343" s="3"/>
      <c r="BT1343" t="s">
        <v>91</v>
      </c>
      <c r="BU1343" t="s">
        <v>91</v>
      </c>
      <c r="BW1343" s="1" t="s">
        <v>90</v>
      </c>
    </row>
    <row r="1344" spans="1:75" hidden="1" x14ac:dyDescent="0.35">
      <c r="A1344">
        <v>157070</v>
      </c>
      <c r="B1344" s="1" t="s">
        <v>75</v>
      </c>
      <c r="C1344">
        <v>80</v>
      </c>
      <c r="D1344">
        <v>11121004</v>
      </c>
      <c r="E1344">
        <v>121004</v>
      </c>
      <c r="F1344" s="1" t="s">
        <v>6867</v>
      </c>
      <c r="G1344" s="1" t="s">
        <v>7288</v>
      </c>
      <c r="H1344">
        <v>0</v>
      </c>
      <c r="I1344" s="1" t="s">
        <v>78</v>
      </c>
      <c r="J1344" s="1" t="s">
        <v>7289</v>
      </c>
      <c r="K1344" s="1" t="s">
        <v>7290</v>
      </c>
      <c r="L1344" t="s">
        <v>91</v>
      </c>
      <c r="M1344" t="s">
        <v>91</v>
      </c>
      <c r="N1344" s="1" t="s">
        <v>7291</v>
      </c>
      <c r="O1344" t="s">
        <v>91</v>
      </c>
      <c r="P1344" s="1" t="s">
        <v>611</v>
      </c>
      <c r="Q1344" s="1" t="s">
        <v>7292</v>
      </c>
      <c r="R1344" s="1" t="s">
        <v>91</v>
      </c>
      <c r="S1344">
        <v>1271</v>
      </c>
      <c r="T1344">
        <v>89010002</v>
      </c>
      <c r="U1344" s="1" t="s">
        <v>108</v>
      </c>
      <c r="V1344" s="1" t="s">
        <v>3571</v>
      </c>
      <c r="W1344" s="1" t="s">
        <v>87</v>
      </c>
      <c r="X1344">
        <v>47</v>
      </c>
      <c r="Y1344">
        <v>30410338</v>
      </c>
      <c r="Z1344" t="s">
        <v>91</v>
      </c>
      <c r="AA1344" t="s">
        <v>91</v>
      </c>
      <c r="AB1344" t="s">
        <v>91</v>
      </c>
      <c r="AC1344" t="s">
        <v>91</v>
      </c>
      <c r="AD1344" t="s">
        <v>91</v>
      </c>
      <c r="AE1344" t="s">
        <v>91</v>
      </c>
      <c r="AF1344" t="s">
        <v>91</v>
      </c>
      <c r="AG1344" s="1" t="s">
        <v>91</v>
      </c>
      <c r="AH1344" s="1" t="s">
        <v>91</v>
      </c>
      <c r="AI1344" t="s">
        <v>91</v>
      </c>
      <c r="AM1344" t="s">
        <v>91</v>
      </c>
      <c r="AN1344" t="s">
        <v>91</v>
      </c>
      <c r="AO1344" t="s">
        <v>91</v>
      </c>
      <c r="AP1344" t="s">
        <v>91</v>
      </c>
      <c r="AQ1344" s="1" t="s">
        <v>91</v>
      </c>
      <c r="AR1344" s="1" t="s">
        <v>91</v>
      </c>
      <c r="AS1344" s="1" t="s">
        <v>91</v>
      </c>
      <c r="AT1344" s="1" t="s">
        <v>91</v>
      </c>
      <c r="AU1344" s="1" t="s">
        <v>91</v>
      </c>
      <c r="AV1344" t="s">
        <v>91</v>
      </c>
      <c r="AW1344" t="s">
        <v>91</v>
      </c>
      <c r="AX1344" t="s">
        <v>91</v>
      </c>
      <c r="AY1344" t="s">
        <v>91</v>
      </c>
      <c r="AZ1344" t="s">
        <v>91</v>
      </c>
      <c r="BA1344" t="s">
        <v>91</v>
      </c>
      <c r="BB1344" s="2">
        <v>45113.505416666667</v>
      </c>
      <c r="BC1344" s="2"/>
      <c r="BD1344" t="s">
        <v>91</v>
      </c>
      <c r="BF1344" s="1" t="s">
        <v>75</v>
      </c>
      <c r="BI1344" s="1" t="s">
        <v>88</v>
      </c>
      <c r="BJ1344">
        <v>1</v>
      </c>
      <c r="BK1344" s="1" t="s">
        <v>89</v>
      </c>
      <c r="BL1344" t="s">
        <v>91</v>
      </c>
      <c r="BM1344" s="1" t="s">
        <v>91</v>
      </c>
      <c r="BN1344" s="1" t="s">
        <v>91</v>
      </c>
      <c r="BO1344" s="1" t="s">
        <v>91</v>
      </c>
      <c r="BP1344" s="1" t="s">
        <v>91</v>
      </c>
      <c r="BQ1344" t="s">
        <v>91</v>
      </c>
      <c r="BR1344" s="3">
        <v>45113</v>
      </c>
      <c r="BS1344" s="3"/>
      <c r="BT1344" t="s">
        <v>91</v>
      </c>
      <c r="BU1344" t="s">
        <v>91</v>
      </c>
      <c r="BW1344" s="1" t="s">
        <v>735</v>
      </c>
    </row>
    <row r="1345" spans="1:75" hidden="1" x14ac:dyDescent="0.35">
      <c r="A1345">
        <v>157102</v>
      </c>
      <c r="B1345" s="1" t="s">
        <v>75</v>
      </c>
      <c r="C1345">
        <v>80</v>
      </c>
      <c r="D1345">
        <v>11121004</v>
      </c>
      <c r="E1345">
        <v>121004</v>
      </c>
      <c r="F1345" s="1" t="s">
        <v>6867</v>
      </c>
      <c r="G1345" s="1" t="s">
        <v>7293</v>
      </c>
      <c r="H1345">
        <v>0</v>
      </c>
      <c r="I1345" s="1" t="s">
        <v>78</v>
      </c>
      <c r="J1345" s="1" t="s">
        <v>7294</v>
      </c>
      <c r="K1345" s="1" t="s">
        <v>7295</v>
      </c>
      <c r="L1345" t="s">
        <v>91</v>
      </c>
      <c r="M1345" t="s">
        <v>91</v>
      </c>
      <c r="N1345" s="1" t="s">
        <v>7296</v>
      </c>
      <c r="O1345" t="s">
        <v>91</v>
      </c>
      <c r="P1345" s="1" t="s">
        <v>6890</v>
      </c>
      <c r="Q1345" s="1" t="s">
        <v>1171</v>
      </c>
      <c r="R1345" s="1" t="s">
        <v>236</v>
      </c>
      <c r="S1345">
        <v>1261</v>
      </c>
      <c r="T1345">
        <v>88301360</v>
      </c>
      <c r="U1345" s="1" t="s">
        <v>108</v>
      </c>
      <c r="V1345" s="1" t="s">
        <v>6881</v>
      </c>
      <c r="W1345" s="1" t="s">
        <v>87</v>
      </c>
      <c r="X1345">
        <v>47</v>
      </c>
      <c r="Y1345">
        <v>988446741</v>
      </c>
      <c r="Z1345" t="s">
        <v>91</v>
      </c>
      <c r="AA1345" t="s">
        <v>91</v>
      </c>
      <c r="AB1345" t="s">
        <v>91</v>
      </c>
      <c r="AC1345" t="s">
        <v>91</v>
      </c>
      <c r="AD1345" t="s">
        <v>91</v>
      </c>
      <c r="AE1345" t="s">
        <v>91</v>
      </c>
      <c r="AF1345" t="s">
        <v>91</v>
      </c>
      <c r="AG1345" s="1" t="s">
        <v>91</v>
      </c>
      <c r="AH1345" s="1" t="s">
        <v>91</v>
      </c>
      <c r="AI1345" t="s">
        <v>91</v>
      </c>
      <c r="AM1345" t="s">
        <v>91</v>
      </c>
      <c r="AN1345" t="s">
        <v>91</v>
      </c>
      <c r="AO1345" t="s">
        <v>91</v>
      </c>
      <c r="AP1345" t="s">
        <v>91</v>
      </c>
      <c r="AQ1345" s="1" t="s">
        <v>91</v>
      </c>
      <c r="AR1345" s="1" t="s">
        <v>91</v>
      </c>
      <c r="AS1345" s="1" t="s">
        <v>91</v>
      </c>
      <c r="AT1345" s="1" t="s">
        <v>91</v>
      </c>
      <c r="AU1345" s="1" t="s">
        <v>91</v>
      </c>
      <c r="AV1345" t="s">
        <v>91</v>
      </c>
      <c r="AW1345" t="s">
        <v>91</v>
      </c>
      <c r="AX1345" t="s">
        <v>91</v>
      </c>
      <c r="AY1345" t="s">
        <v>91</v>
      </c>
      <c r="AZ1345" t="s">
        <v>91</v>
      </c>
      <c r="BA1345" t="s">
        <v>91</v>
      </c>
      <c r="BB1345" s="2">
        <v>45113.505416666667</v>
      </c>
      <c r="BC1345" s="2"/>
      <c r="BD1345" t="s">
        <v>91</v>
      </c>
      <c r="BF1345" s="1" t="s">
        <v>75</v>
      </c>
      <c r="BI1345" s="1" t="s">
        <v>88</v>
      </c>
      <c r="BJ1345">
        <v>1</v>
      </c>
      <c r="BK1345" s="1" t="s">
        <v>89</v>
      </c>
      <c r="BL1345" t="s">
        <v>91</v>
      </c>
      <c r="BM1345" s="1" t="s">
        <v>91</v>
      </c>
      <c r="BN1345" s="1" t="s">
        <v>91</v>
      </c>
      <c r="BO1345" s="1" t="s">
        <v>91</v>
      </c>
      <c r="BP1345" s="1" t="s">
        <v>91</v>
      </c>
      <c r="BQ1345" t="s">
        <v>91</v>
      </c>
      <c r="BR1345" s="3">
        <v>45113</v>
      </c>
      <c r="BS1345" s="3"/>
      <c r="BT1345" t="s">
        <v>91</v>
      </c>
      <c r="BU1345" t="s">
        <v>91</v>
      </c>
      <c r="BW1345" s="1" t="s">
        <v>90</v>
      </c>
    </row>
    <row r="1346" spans="1:75" hidden="1" x14ac:dyDescent="0.35">
      <c r="A1346">
        <v>1233</v>
      </c>
      <c r="B1346" s="1" t="s">
        <v>75</v>
      </c>
      <c r="C1346">
        <v>80</v>
      </c>
      <c r="D1346">
        <v>11121004</v>
      </c>
      <c r="E1346">
        <v>121004</v>
      </c>
      <c r="F1346" s="1" t="s">
        <v>6867</v>
      </c>
      <c r="G1346" s="1" t="s">
        <v>7297</v>
      </c>
      <c r="I1346" s="1" t="s">
        <v>78</v>
      </c>
      <c r="J1346" s="1" t="s">
        <v>7298</v>
      </c>
      <c r="K1346" s="1" t="s">
        <v>7299</v>
      </c>
      <c r="L1346" t="s">
        <v>91</v>
      </c>
      <c r="M1346" t="s">
        <v>91</v>
      </c>
      <c r="N1346" s="1" t="s">
        <v>7300</v>
      </c>
      <c r="O1346" t="s">
        <v>91</v>
      </c>
      <c r="P1346" s="1" t="s">
        <v>946</v>
      </c>
      <c r="Q1346" s="1" t="s">
        <v>7301</v>
      </c>
      <c r="R1346" s="1" t="s">
        <v>91</v>
      </c>
      <c r="S1346">
        <v>1275</v>
      </c>
      <c r="T1346">
        <v>89136000</v>
      </c>
      <c r="U1346" s="1" t="s">
        <v>108</v>
      </c>
      <c r="V1346" s="1" t="s">
        <v>7302</v>
      </c>
      <c r="W1346" s="1" t="s">
        <v>87</v>
      </c>
      <c r="X1346">
        <v>47</v>
      </c>
      <c r="Y1346">
        <v>33840852</v>
      </c>
      <c r="Z1346" t="s">
        <v>91</v>
      </c>
      <c r="AA1346" t="s">
        <v>91</v>
      </c>
      <c r="AB1346" t="s">
        <v>91</v>
      </c>
      <c r="AC1346" t="s">
        <v>91</v>
      </c>
      <c r="AD1346" t="s">
        <v>91</v>
      </c>
      <c r="AE1346" t="s">
        <v>91</v>
      </c>
      <c r="AF1346" t="s">
        <v>91</v>
      </c>
      <c r="AG1346" s="1" t="s">
        <v>91</v>
      </c>
      <c r="AH1346" s="1" t="s">
        <v>91</v>
      </c>
      <c r="AI1346" t="s">
        <v>91</v>
      </c>
      <c r="AJ1346">
        <v>0</v>
      </c>
      <c r="AK1346">
        <v>0</v>
      </c>
      <c r="AL1346">
        <v>0</v>
      </c>
      <c r="AM1346" t="s">
        <v>91</v>
      </c>
      <c r="AN1346" t="s">
        <v>91</v>
      </c>
      <c r="AO1346" t="s">
        <v>91</v>
      </c>
      <c r="AP1346" t="s">
        <v>91</v>
      </c>
      <c r="AQ1346" s="1" t="s">
        <v>91</v>
      </c>
      <c r="AR1346" s="1" t="s">
        <v>91</v>
      </c>
      <c r="AS1346" s="1" t="s">
        <v>91</v>
      </c>
      <c r="AT1346" s="1" t="s">
        <v>91</v>
      </c>
      <c r="AU1346" s="1" t="s">
        <v>91</v>
      </c>
      <c r="AV1346" t="s">
        <v>91</v>
      </c>
      <c r="AW1346" t="s">
        <v>91</v>
      </c>
      <c r="AX1346" t="s">
        <v>91</v>
      </c>
      <c r="AY1346" t="s">
        <v>91</v>
      </c>
      <c r="AZ1346" t="s">
        <v>91</v>
      </c>
      <c r="BA1346" t="s">
        <v>91</v>
      </c>
      <c r="BB1346" s="2">
        <v>43308.393182870372</v>
      </c>
      <c r="BC1346" s="2"/>
      <c r="BD1346" t="s">
        <v>91</v>
      </c>
      <c r="BE1346">
        <v>1233</v>
      </c>
      <c r="BF1346" s="1" t="s">
        <v>75</v>
      </c>
      <c r="BG1346">
        <v>0</v>
      </c>
      <c r="BH1346">
        <v>0</v>
      </c>
      <c r="BI1346" s="1" t="s">
        <v>88</v>
      </c>
      <c r="BJ1346">
        <v>1</v>
      </c>
      <c r="BK1346" s="1" t="s">
        <v>89</v>
      </c>
      <c r="BL1346" t="s">
        <v>91</v>
      </c>
      <c r="BM1346" s="1" t="s">
        <v>109</v>
      </c>
      <c r="BN1346" s="1" t="s">
        <v>110</v>
      </c>
      <c r="BO1346" s="1" t="s">
        <v>165</v>
      </c>
      <c r="BP1346" s="1" t="s">
        <v>91</v>
      </c>
      <c r="BQ1346" t="s">
        <v>91</v>
      </c>
      <c r="BR1346" s="3">
        <v>43308</v>
      </c>
      <c r="BS1346" s="3"/>
      <c r="BT1346" t="s">
        <v>91</v>
      </c>
      <c r="BU1346" t="s">
        <v>91</v>
      </c>
      <c r="BV1346">
        <v>5</v>
      </c>
      <c r="BW1346" s="1" t="s">
        <v>295</v>
      </c>
    </row>
    <row r="1347" spans="1:75" hidden="1" x14ac:dyDescent="0.35">
      <c r="A1347">
        <v>137587</v>
      </c>
      <c r="B1347" s="1" t="s">
        <v>75</v>
      </c>
      <c r="C1347">
        <v>80</v>
      </c>
      <c r="D1347">
        <v>11121004</v>
      </c>
      <c r="E1347">
        <v>121004</v>
      </c>
      <c r="F1347" s="1" t="s">
        <v>6867</v>
      </c>
      <c r="G1347" s="1" t="s">
        <v>7303</v>
      </c>
      <c r="H1347">
        <v>0</v>
      </c>
      <c r="I1347" s="1" t="s">
        <v>78</v>
      </c>
      <c r="J1347" s="1" t="s">
        <v>7304</v>
      </c>
      <c r="K1347" s="1" t="s">
        <v>7305</v>
      </c>
      <c r="L1347" t="s">
        <v>91</v>
      </c>
      <c r="M1347" t="s">
        <v>91</v>
      </c>
      <c r="N1347" s="1" t="s">
        <v>7306</v>
      </c>
      <c r="O1347" t="s">
        <v>91</v>
      </c>
      <c r="P1347" s="1" t="s">
        <v>593</v>
      </c>
      <c r="Q1347" s="1" t="s">
        <v>390</v>
      </c>
      <c r="R1347" s="1" t="s">
        <v>7307</v>
      </c>
      <c r="S1347">
        <v>1262</v>
      </c>
      <c r="T1347">
        <v>88339005</v>
      </c>
      <c r="U1347" s="1" t="s">
        <v>7030</v>
      </c>
      <c r="V1347" s="1" t="s">
        <v>5871</v>
      </c>
      <c r="W1347" s="1" t="s">
        <v>87</v>
      </c>
      <c r="X1347">
        <v>47</v>
      </c>
      <c r="Y1347">
        <v>30627955</v>
      </c>
      <c r="Z1347" t="s">
        <v>91</v>
      </c>
      <c r="AA1347" t="s">
        <v>91</v>
      </c>
      <c r="AB1347" t="s">
        <v>91</v>
      </c>
      <c r="AC1347" t="s">
        <v>91</v>
      </c>
      <c r="AD1347" t="s">
        <v>91</v>
      </c>
      <c r="AE1347" t="s">
        <v>91</v>
      </c>
      <c r="AF1347" t="s">
        <v>91</v>
      </c>
      <c r="AG1347" s="1" t="s">
        <v>91</v>
      </c>
      <c r="AH1347" s="1" t="s">
        <v>91</v>
      </c>
      <c r="AI1347" t="s">
        <v>91</v>
      </c>
      <c r="AM1347" t="s">
        <v>91</v>
      </c>
      <c r="AN1347" t="s">
        <v>91</v>
      </c>
      <c r="AO1347" t="s">
        <v>91</v>
      </c>
      <c r="AP1347" t="s">
        <v>91</v>
      </c>
      <c r="AQ1347" s="1" t="s">
        <v>91</v>
      </c>
      <c r="AR1347" s="1" t="s">
        <v>91</v>
      </c>
      <c r="AS1347" s="1" t="s">
        <v>91</v>
      </c>
      <c r="AT1347" s="1" t="s">
        <v>91</v>
      </c>
      <c r="AU1347" s="1" t="s">
        <v>91</v>
      </c>
      <c r="AV1347" t="s">
        <v>91</v>
      </c>
      <c r="AW1347" t="s">
        <v>91</v>
      </c>
      <c r="AX1347" t="s">
        <v>91</v>
      </c>
      <c r="AY1347" t="s">
        <v>91</v>
      </c>
      <c r="AZ1347" t="s">
        <v>91</v>
      </c>
      <c r="BA1347" t="s">
        <v>91</v>
      </c>
      <c r="BB1347" s="2">
        <v>44378.578518518516</v>
      </c>
      <c r="BC1347" s="2"/>
      <c r="BD1347" t="s">
        <v>91</v>
      </c>
      <c r="BF1347" s="1" t="s">
        <v>75</v>
      </c>
      <c r="BI1347" s="1" t="s">
        <v>88</v>
      </c>
      <c r="BJ1347">
        <v>1</v>
      </c>
      <c r="BK1347" s="1" t="s">
        <v>89</v>
      </c>
      <c r="BL1347" t="s">
        <v>91</v>
      </c>
      <c r="BM1347" s="1" t="s">
        <v>329</v>
      </c>
      <c r="BN1347" s="1" t="s">
        <v>110</v>
      </c>
      <c r="BO1347" s="1" t="s">
        <v>165</v>
      </c>
      <c r="BP1347" s="1" t="s">
        <v>91</v>
      </c>
      <c r="BQ1347" t="s">
        <v>91</v>
      </c>
      <c r="BR1347" s="3">
        <v>44378</v>
      </c>
      <c r="BS1347" s="3"/>
      <c r="BT1347" t="s">
        <v>91</v>
      </c>
      <c r="BU1347" t="s">
        <v>91</v>
      </c>
      <c r="BW1347" s="1" t="s">
        <v>419</v>
      </c>
    </row>
    <row r="1348" spans="1:75" hidden="1" x14ac:dyDescent="0.35">
      <c r="A1348">
        <v>143799</v>
      </c>
      <c r="B1348" s="1" t="s">
        <v>75</v>
      </c>
      <c r="C1348">
        <v>80</v>
      </c>
      <c r="D1348">
        <v>11121004</v>
      </c>
      <c r="E1348">
        <v>121004</v>
      </c>
      <c r="F1348" s="1" t="s">
        <v>6867</v>
      </c>
      <c r="G1348" s="1" t="s">
        <v>7308</v>
      </c>
      <c r="I1348" s="1" t="s">
        <v>78</v>
      </c>
      <c r="J1348" s="1" t="s">
        <v>7309</v>
      </c>
      <c r="K1348" s="1" t="s">
        <v>7310</v>
      </c>
      <c r="L1348" t="s">
        <v>91</v>
      </c>
      <c r="M1348" t="s">
        <v>91</v>
      </c>
      <c r="N1348" s="1" t="s">
        <v>7311</v>
      </c>
      <c r="O1348" t="s">
        <v>91</v>
      </c>
      <c r="P1348" s="1" t="s">
        <v>6984</v>
      </c>
      <c r="Q1348" s="1" t="s">
        <v>6985</v>
      </c>
      <c r="R1348" s="1" t="s">
        <v>98</v>
      </c>
      <c r="S1348">
        <v>1260</v>
      </c>
      <c r="T1348">
        <v>88210000</v>
      </c>
      <c r="U1348" s="1" t="s">
        <v>6986</v>
      </c>
      <c r="V1348" s="1" t="s">
        <v>6987</v>
      </c>
      <c r="W1348" s="1" t="s">
        <v>87</v>
      </c>
      <c r="X1348">
        <v>47</v>
      </c>
      <c r="Y1348">
        <v>33695203</v>
      </c>
      <c r="Z1348" t="s">
        <v>91</v>
      </c>
      <c r="AA1348" t="s">
        <v>91</v>
      </c>
      <c r="AB1348" t="s">
        <v>91</v>
      </c>
      <c r="AC1348" t="s">
        <v>91</v>
      </c>
      <c r="AD1348" t="s">
        <v>91</v>
      </c>
      <c r="AE1348" t="s">
        <v>91</v>
      </c>
      <c r="AF1348" t="s">
        <v>91</v>
      </c>
      <c r="AG1348" s="1" t="s">
        <v>146</v>
      </c>
      <c r="AH1348" s="1" t="s">
        <v>91</v>
      </c>
      <c r="AI1348" t="s">
        <v>91</v>
      </c>
      <c r="AJ1348">
        <v>0</v>
      </c>
      <c r="AK1348">
        <v>0</v>
      </c>
      <c r="AL1348">
        <v>0</v>
      </c>
      <c r="AM1348" t="s">
        <v>91</v>
      </c>
      <c r="AN1348" t="s">
        <v>91</v>
      </c>
      <c r="AO1348" t="s">
        <v>91</v>
      </c>
      <c r="AP1348" t="s">
        <v>91</v>
      </c>
      <c r="AQ1348" s="1" t="s">
        <v>147</v>
      </c>
      <c r="AR1348" s="1" t="s">
        <v>147</v>
      </c>
      <c r="AS1348" s="1" t="s">
        <v>147</v>
      </c>
      <c r="AT1348" s="1" t="s">
        <v>147</v>
      </c>
      <c r="AU1348" s="1" t="s">
        <v>147</v>
      </c>
      <c r="AV1348" t="s">
        <v>91</v>
      </c>
      <c r="AW1348" t="s">
        <v>91</v>
      </c>
      <c r="AX1348" t="s">
        <v>91</v>
      </c>
      <c r="AY1348" t="s">
        <v>91</v>
      </c>
      <c r="AZ1348" t="s">
        <v>91</v>
      </c>
      <c r="BA1348" t="s">
        <v>91</v>
      </c>
      <c r="BB1348" s="2"/>
      <c r="BC1348" s="2">
        <v>44593.687361111108</v>
      </c>
      <c r="BD1348" t="s">
        <v>91</v>
      </c>
      <c r="BF1348" s="1" t="s">
        <v>75</v>
      </c>
      <c r="BG1348">
        <v>0</v>
      </c>
      <c r="BH1348">
        <v>0</v>
      </c>
      <c r="BI1348" s="1" t="s">
        <v>88</v>
      </c>
      <c r="BJ1348">
        <v>1</v>
      </c>
      <c r="BK1348" s="1" t="s">
        <v>89</v>
      </c>
      <c r="BL1348" t="s">
        <v>91</v>
      </c>
      <c r="BM1348" s="1" t="s">
        <v>109</v>
      </c>
      <c r="BN1348" s="1" t="s">
        <v>110</v>
      </c>
      <c r="BO1348" s="1" t="s">
        <v>128</v>
      </c>
      <c r="BP1348" s="1" t="s">
        <v>91</v>
      </c>
      <c r="BQ1348" t="s">
        <v>91</v>
      </c>
      <c r="BR1348" s="3"/>
      <c r="BS1348" s="3">
        <v>44593</v>
      </c>
      <c r="BT1348" t="s">
        <v>91</v>
      </c>
      <c r="BU1348" t="s">
        <v>91</v>
      </c>
      <c r="BV1348">
        <v>9</v>
      </c>
      <c r="BW1348" s="1" t="s">
        <v>478</v>
      </c>
    </row>
    <row r="1349" spans="1:75" hidden="1" x14ac:dyDescent="0.35">
      <c r="A1349">
        <v>1301</v>
      </c>
      <c r="B1349" s="1" t="s">
        <v>75</v>
      </c>
      <c r="C1349">
        <v>80</v>
      </c>
      <c r="D1349">
        <v>11121004</v>
      </c>
      <c r="E1349">
        <v>121004</v>
      </c>
      <c r="F1349" s="1" t="s">
        <v>6867</v>
      </c>
      <c r="G1349" s="1" t="s">
        <v>7312</v>
      </c>
      <c r="I1349" s="1" t="s">
        <v>78</v>
      </c>
      <c r="J1349" s="1" t="s">
        <v>7313</v>
      </c>
      <c r="K1349" s="1" t="s">
        <v>7314</v>
      </c>
      <c r="L1349" t="s">
        <v>91</v>
      </c>
      <c r="M1349" t="s">
        <v>91</v>
      </c>
      <c r="N1349" s="1" t="s">
        <v>7315</v>
      </c>
      <c r="O1349" t="s">
        <v>91</v>
      </c>
      <c r="P1349" s="1" t="s">
        <v>7316</v>
      </c>
      <c r="Q1349" s="1" t="s">
        <v>7317</v>
      </c>
      <c r="R1349" s="1" t="s">
        <v>370</v>
      </c>
      <c r="S1349">
        <v>1264</v>
      </c>
      <c r="T1349">
        <v>88443000</v>
      </c>
      <c r="U1349" s="1" t="s">
        <v>108</v>
      </c>
      <c r="V1349" s="1" t="s">
        <v>7318</v>
      </c>
      <c r="W1349" s="1" t="s">
        <v>87</v>
      </c>
      <c r="X1349">
        <v>47</v>
      </c>
      <c r="Y1349">
        <v>33561009</v>
      </c>
      <c r="Z1349" t="s">
        <v>91</v>
      </c>
      <c r="AA1349" t="s">
        <v>91</v>
      </c>
      <c r="AB1349" t="s">
        <v>91</v>
      </c>
      <c r="AC1349" t="s">
        <v>91</v>
      </c>
      <c r="AD1349" t="s">
        <v>91</v>
      </c>
      <c r="AE1349" t="s">
        <v>91</v>
      </c>
      <c r="AF1349" t="s">
        <v>91</v>
      </c>
      <c r="AG1349" s="1" t="s">
        <v>91</v>
      </c>
      <c r="AH1349" s="1" t="s">
        <v>91</v>
      </c>
      <c r="AI1349" t="s">
        <v>91</v>
      </c>
      <c r="AJ1349">
        <v>0</v>
      </c>
      <c r="AK1349">
        <v>0</v>
      </c>
      <c r="AL1349">
        <v>0</v>
      </c>
      <c r="AM1349" t="s">
        <v>91</v>
      </c>
      <c r="AN1349" t="s">
        <v>91</v>
      </c>
      <c r="AO1349" t="s">
        <v>91</v>
      </c>
      <c r="AP1349" t="s">
        <v>91</v>
      </c>
      <c r="AQ1349" s="1" t="s">
        <v>91</v>
      </c>
      <c r="AR1349" s="1" t="s">
        <v>91</v>
      </c>
      <c r="AS1349" s="1" t="s">
        <v>91</v>
      </c>
      <c r="AT1349" s="1" t="s">
        <v>91</v>
      </c>
      <c r="AU1349" s="1" t="s">
        <v>91</v>
      </c>
      <c r="AV1349" t="s">
        <v>91</v>
      </c>
      <c r="AW1349" t="s">
        <v>91</v>
      </c>
      <c r="AX1349" t="s">
        <v>91</v>
      </c>
      <c r="AY1349" t="s">
        <v>91</v>
      </c>
      <c r="AZ1349" t="s">
        <v>91</v>
      </c>
      <c r="BA1349" t="s">
        <v>91</v>
      </c>
      <c r="BB1349" s="2">
        <v>43308.393206018518</v>
      </c>
      <c r="BC1349" s="2"/>
      <c r="BD1349" t="s">
        <v>91</v>
      </c>
      <c r="BE1349">
        <v>1301</v>
      </c>
      <c r="BF1349" s="1" t="s">
        <v>75</v>
      </c>
      <c r="BG1349">
        <v>0</v>
      </c>
      <c r="BH1349">
        <v>0</v>
      </c>
      <c r="BI1349" s="1" t="s">
        <v>88</v>
      </c>
      <c r="BJ1349">
        <v>1</v>
      </c>
      <c r="BK1349" s="1" t="s">
        <v>89</v>
      </c>
      <c r="BL1349" t="s">
        <v>91</v>
      </c>
      <c r="BM1349" s="1" t="s">
        <v>109</v>
      </c>
      <c r="BN1349" s="1" t="s">
        <v>110</v>
      </c>
      <c r="BO1349" s="1" t="s">
        <v>165</v>
      </c>
      <c r="BP1349" s="1" t="s">
        <v>91</v>
      </c>
      <c r="BQ1349" t="s">
        <v>91</v>
      </c>
      <c r="BR1349" s="3">
        <v>43308</v>
      </c>
      <c r="BS1349" s="3"/>
      <c r="BT1349" t="s">
        <v>91</v>
      </c>
      <c r="BU1349" t="s">
        <v>91</v>
      </c>
      <c r="BV1349">
        <v>9</v>
      </c>
      <c r="BW1349" s="1" t="s">
        <v>601</v>
      </c>
    </row>
    <row r="1350" spans="1:75" hidden="1" x14ac:dyDescent="0.35">
      <c r="A1350">
        <v>117462</v>
      </c>
      <c r="B1350" s="1" t="s">
        <v>75</v>
      </c>
      <c r="C1350">
        <v>80</v>
      </c>
      <c r="D1350">
        <v>11121004</v>
      </c>
      <c r="E1350">
        <v>121004</v>
      </c>
      <c r="F1350" s="1" t="s">
        <v>6867</v>
      </c>
      <c r="G1350" s="1" t="s">
        <v>7319</v>
      </c>
      <c r="H1350">
        <v>0</v>
      </c>
      <c r="I1350" s="1" t="s">
        <v>78</v>
      </c>
      <c r="J1350" s="1" t="s">
        <v>7320</v>
      </c>
      <c r="K1350" s="1" t="s">
        <v>7321</v>
      </c>
      <c r="L1350" t="s">
        <v>91</v>
      </c>
      <c r="M1350" t="s">
        <v>91</v>
      </c>
      <c r="N1350" s="1" t="s">
        <v>7322</v>
      </c>
      <c r="O1350" t="s">
        <v>91</v>
      </c>
      <c r="P1350" s="1" t="s">
        <v>6911</v>
      </c>
      <c r="Q1350" s="1" t="s">
        <v>7028</v>
      </c>
      <c r="R1350" s="1" t="s">
        <v>7323</v>
      </c>
      <c r="S1350">
        <v>1262</v>
      </c>
      <c r="T1350">
        <v>88339005</v>
      </c>
      <c r="U1350" s="1" t="s">
        <v>7030</v>
      </c>
      <c r="V1350" s="1" t="s">
        <v>6898</v>
      </c>
      <c r="W1350" s="1" t="s">
        <v>87</v>
      </c>
      <c r="X1350">
        <v>47</v>
      </c>
      <c r="Y1350">
        <v>32638551</v>
      </c>
      <c r="Z1350" t="s">
        <v>91</v>
      </c>
      <c r="AA1350" t="s">
        <v>91</v>
      </c>
      <c r="AB1350" t="s">
        <v>91</v>
      </c>
      <c r="AC1350" t="s">
        <v>91</v>
      </c>
      <c r="AD1350" t="s">
        <v>91</v>
      </c>
      <c r="AE1350" t="s">
        <v>91</v>
      </c>
      <c r="AF1350" t="s">
        <v>91</v>
      </c>
      <c r="AG1350" s="1" t="s">
        <v>146</v>
      </c>
      <c r="AH1350" s="1" t="s">
        <v>91</v>
      </c>
      <c r="AI1350" t="s">
        <v>91</v>
      </c>
      <c r="AJ1350">
        <v>0</v>
      </c>
      <c r="AK1350">
        <v>0</v>
      </c>
      <c r="AL1350">
        <v>0</v>
      </c>
      <c r="AM1350" t="s">
        <v>91</v>
      </c>
      <c r="AN1350" t="s">
        <v>91</v>
      </c>
      <c r="AO1350" t="s">
        <v>91</v>
      </c>
      <c r="AP1350" t="s">
        <v>91</v>
      </c>
      <c r="AQ1350" s="1" t="s">
        <v>147</v>
      </c>
      <c r="AR1350" s="1" t="s">
        <v>147</v>
      </c>
      <c r="AS1350" s="1" t="s">
        <v>147</v>
      </c>
      <c r="AT1350" s="1" t="s">
        <v>147</v>
      </c>
      <c r="AU1350" s="1" t="s">
        <v>147</v>
      </c>
      <c r="AV1350" t="s">
        <v>91</v>
      </c>
      <c r="AW1350" t="s">
        <v>91</v>
      </c>
      <c r="AX1350" t="s">
        <v>91</v>
      </c>
      <c r="AY1350" t="s">
        <v>91</v>
      </c>
      <c r="AZ1350" t="s">
        <v>91</v>
      </c>
      <c r="BA1350" t="s">
        <v>91</v>
      </c>
      <c r="BB1350" s="2">
        <v>44034.350266203706</v>
      </c>
      <c r="BC1350" s="2">
        <v>45119.62431712963</v>
      </c>
      <c r="BD1350" t="s">
        <v>91</v>
      </c>
      <c r="BF1350" s="1" t="s">
        <v>75</v>
      </c>
      <c r="BG1350">
        <v>0</v>
      </c>
      <c r="BH1350">
        <v>0</v>
      </c>
      <c r="BI1350" s="1" t="s">
        <v>721</v>
      </c>
      <c r="BJ1350">
        <v>1</v>
      </c>
      <c r="BK1350" s="1" t="s">
        <v>89</v>
      </c>
      <c r="BL1350" t="s">
        <v>91</v>
      </c>
      <c r="BM1350" s="1" t="s">
        <v>109</v>
      </c>
      <c r="BN1350" s="1" t="s">
        <v>110</v>
      </c>
      <c r="BO1350" s="1" t="s">
        <v>165</v>
      </c>
      <c r="BP1350" s="1" t="s">
        <v>91</v>
      </c>
      <c r="BQ1350" t="s">
        <v>91</v>
      </c>
      <c r="BR1350" s="3">
        <v>44034</v>
      </c>
      <c r="BS1350" s="3">
        <v>45119</v>
      </c>
      <c r="BT1350" t="s">
        <v>91</v>
      </c>
      <c r="BU1350" t="s">
        <v>91</v>
      </c>
      <c r="BV1350">
        <v>1</v>
      </c>
      <c r="BW1350" s="1" t="s">
        <v>665</v>
      </c>
    </row>
    <row r="1351" spans="1:75" hidden="1" x14ac:dyDescent="0.35">
      <c r="A1351">
        <v>157084</v>
      </c>
      <c r="B1351" s="1" t="s">
        <v>75</v>
      </c>
      <c r="C1351">
        <v>80</v>
      </c>
      <c r="D1351">
        <v>11121004</v>
      </c>
      <c r="E1351">
        <v>121004</v>
      </c>
      <c r="F1351" s="1" t="s">
        <v>6867</v>
      </c>
      <c r="G1351" s="1" t="s">
        <v>7324</v>
      </c>
      <c r="H1351">
        <v>0</v>
      </c>
      <c r="I1351" s="1" t="s">
        <v>78</v>
      </c>
      <c r="J1351" s="1" t="s">
        <v>7325</v>
      </c>
      <c r="K1351" s="1" t="s">
        <v>7326</v>
      </c>
      <c r="L1351" t="s">
        <v>91</v>
      </c>
      <c r="M1351" t="s">
        <v>91</v>
      </c>
      <c r="N1351" s="1" t="s">
        <v>7327</v>
      </c>
      <c r="O1351" t="s">
        <v>91</v>
      </c>
      <c r="P1351" s="1" t="s">
        <v>7328</v>
      </c>
      <c r="Q1351" s="1" t="s">
        <v>665</v>
      </c>
      <c r="R1351" s="1" t="s">
        <v>91</v>
      </c>
      <c r="S1351">
        <v>1276</v>
      </c>
      <c r="T1351">
        <v>89170000</v>
      </c>
      <c r="U1351" s="1" t="s">
        <v>108</v>
      </c>
      <c r="V1351" s="1" t="s">
        <v>7329</v>
      </c>
      <c r="W1351" s="1" t="s">
        <v>87</v>
      </c>
      <c r="X1351">
        <v>47</v>
      </c>
      <c r="Y1351">
        <v>35461079</v>
      </c>
      <c r="Z1351" t="s">
        <v>91</v>
      </c>
      <c r="AA1351" t="s">
        <v>91</v>
      </c>
      <c r="AB1351" t="s">
        <v>91</v>
      </c>
      <c r="AC1351" t="s">
        <v>91</v>
      </c>
      <c r="AD1351" t="s">
        <v>91</v>
      </c>
      <c r="AE1351" t="s">
        <v>91</v>
      </c>
      <c r="AF1351" t="s">
        <v>91</v>
      </c>
      <c r="AG1351" s="1" t="s">
        <v>91</v>
      </c>
      <c r="AH1351" s="1" t="s">
        <v>91</v>
      </c>
      <c r="AI1351" t="s">
        <v>91</v>
      </c>
      <c r="AM1351" t="s">
        <v>91</v>
      </c>
      <c r="AN1351" t="s">
        <v>91</v>
      </c>
      <c r="AO1351" t="s">
        <v>91</v>
      </c>
      <c r="AP1351" t="s">
        <v>91</v>
      </c>
      <c r="AQ1351" s="1" t="s">
        <v>91</v>
      </c>
      <c r="AR1351" s="1" t="s">
        <v>91</v>
      </c>
      <c r="AS1351" s="1" t="s">
        <v>91</v>
      </c>
      <c r="AT1351" s="1" t="s">
        <v>91</v>
      </c>
      <c r="AU1351" s="1" t="s">
        <v>91</v>
      </c>
      <c r="AV1351" t="s">
        <v>91</v>
      </c>
      <c r="AW1351" t="s">
        <v>91</v>
      </c>
      <c r="AX1351" t="s">
        <v>91</v>
      </c>
      <c r="AY1351" t="s">
        <v>91</v>
      </c>
      <c r="AZ1351" t="s">
        <v>91</v>
      </c>
      <c r="BA1351" t="s">
        <v>91</v>
      </c>
      <c r="BB1351" s="2">
        <v>45113.505416666667</v>
      </c>
      <c r="BC1351" s="2"/>
      <c r="BD1351" t="s">
        <v>91</v>
      </c>
      <c r="BF1351" s="1" t="s">
        <v>75</v>
      </c>
      <c r="BI1351" s="1" t="s">
        <v>88</v>
      </c>
      <c r="BJ1351">
        <v>1</v>
      </c>
      <c r="BK1351" s="1" t="s">
        <v>89</v>
      </c>
      <c r="BL1351" t="s">
        <v>91</v>
      </c>
      <c r="BM1351" s="1" t="s">
        <v>91</v>
      </c>
      <c r="BN1351" s="1" t="s">
        <v>91</v>
      </c>
      <c r="BO1351" s="1" t="s">
        <v>91</v>
      </c>
      <c r="BP1351" s="1" t="s">
        <v>91</v>
      </c>
      <c r="BQ1351" t="s">
        <v>91</v>
      </c>
      <c r="BR1351" s="3">
        <v>45113</v>
      </c>
      <c r="BS1351" s="3"/>
      <c r="BT1351" t="s">
        <v>91</v>
      </c>
      <c r="BU1351" t="s">
        <v>91</v>
      </c>
      <c r="BW1351" s="1" t="s">
        <v>90</v>
      </c>
    </row>
    <row r="1352" spans="1:75" hidden="1" x14ac:dyDescent="0.35">
      <c r="A1352">
        <v>157741</v>
      </c>
      <c r="B1352" s="1" t="s">
        <v>75</v>
      </c>
      <c r="C1352">
        <v>80</v>
      </c>
      <c r="D1352">
        <v>11121004</v>
      </c>
      <c r="E1352">
        <v>121004</v>
      </c>
      <c r="F1352" s="1" t="s">
        <v>6867</v>
      </c>
      <c r="G1352" s="1" t="s">
        <v>7330</v>
      </c>
      <c r="H1352">
        <v>0</v>
      </c>
      <c r="I1352" s="1" t="s">
        <v>78</v>
      </c>
      <c r="J1352" s="1" t="s">
        <v>7331</v>
      </c>
      <c r="K1352" s="1" t="s">
        <v>7332</v>
      </c>
      <c r="L1352" t="s">
        <v>91</v>
      </c>
      <c r="M1352" t="s">
        <v>91</v>
      </c>
      <c r="N1352" s="1" t="s">
        <v>7333</v>
      </c>
      <c r="O1352" t="s">
        <v>91</v>
      </c>
      <c r="P1352" s="1" t="s">
        <v>7334</v>
      </c>
      <c r="Q1352" s="1" t="s">
        <v>470</v>
      </c>
      <c r="R1352" s="1" t="s">
        <v>173</v>
      </c>
      <c r="S1352">
        <v>1263</v>
      </c>
      <c r="T1352">
        <v>88350010</v>
      </c>
      <c r="U1352" s="1" t="s">
        <v>108</v>
      </c>
      <c r="V1352" s="1" t="s">
        <v>6936</v>
      </c>
      <c r="W1352" s="1" t="s">
        <v>87</v>
      </c>
      <c r="X1352">
        <v>47</v>
      </c>
      <c r="Y1352">
        <v>33966532</v>
      </c>
      <c r="Z1352" t="s">
        <v>91</v>
      </c>
      <c r="AA1352" t="s">
        <v>91</v>
      </c>
      <c r="AB1352" t="s">
        <v>91</v>
      </c>
      <c r="AC1352" t="s">
        <v>91</v>
      </c>
      <c r="AD1352" t="s">
        <v>91</v>
      </c>
      <c r="AE1352" t="s">
        <v>91</v>
      </c>
      <c r="AF1352" t="s">
        <v>91</v>
      </c>
      <c r="AG1352" s="1" t="s">
        <v>91</v>
      </c>
      <c r="AH1352" s="1" t="s">
        <v>91</v>
      </c>
      <c r="AI1352" t="s">
        <v>91</v>
      </c>
      <c r="AM1352" t="s">
        <v>91</v>
      </c>
      <c r="AN1352" t="s">
        <v>91</v>
      </c>
      <c r="AO1352" t="s">
        <v>91</v>
      </c>
      <c r="AP1352" t="s">
        <v>91</v>
      </c>
      <c r="AQ1352" s="1" t="s">
        <v>91</v>
      </c>
      <c r="AR1352" s="1" t="s">
        <v>91</v>
      </c>
      <c r="AS1352" s="1" t="s">
        <v>91</v>
      </c>
      <c r="AT1352" s="1" t="s">
        <v>91</v>
      </c>
      <c r="AU1352" s="1" t="s">
        <v>91</v>
      </c>
      <c r="AV1352" t="s">
        <v>91</v>
      </c>
      <c r="AW1352" t="s">
        <v>91</v>
      </c>
      <c r="AX1352" t="s">
        <v>91</v>
      </c>
      <c r="AY1352" t="s">
        <v>91</v>
      </c>
      <c r="AZ1352" t="s">
        <v>91</v>
      </c>
      <c r="BA1352" t="s">
        <v>91</v>
      </c>
      <c r="BB1352" s="2">
        <v>45118.101759259262</v>
      </c>
      <c r="BC1352" s="2"/>
      <c r="BD1352" t="s">
        <v>91</v>
      </c>
      <c r="BF1352" s="1" t="s">
        <v>75</v>
      </c>
      <c r="BI1352" s="1" t="s">
        <v>88</v>
      </c>
      <c r="BJ1352">
        <v>1</v>
      </c>
      <c r="BK1352" s="1" t="s">
        <v>89</v>
      </c>
      <c r="BL1352" t="s">
        <v>91</v>
      </c>
      <c r="BM1352" s="1" t="s">
        <v>91</v>
      </c>
      <c r="BN1352" s="1" t="s">
        <v>91</v>
      </c>
      <c r="BO1352" s="1" t="s">
        <v>91</v>
      </c>
      <c r="BP1352" s="1" t="s">
        <v>91</v>
      </c>
      <c r="BQ1352" t="s">
        <v>91</v>
      </c>
      <c r="BR1352" s="3">
        <v>45118</v>
      </c>
      <c r="BS1352" s="3"/>
      <c r="BT1352" t="s">
        <v>91</v>
      </c>
      <c r="BU1352" t="s">
        <v>91</v>
      </c>
      <c r="BW1352" s="1" t="s">
        <v>3707</v>
      </c>
    </row>
    <row r="1353" spans="1:75" hidden="1" x14ac:dyDescent="0.35">
      <c r="A1353">
        <v>157791</v>
      </c>
      <c r="B1353" s="1" t="s">
        <v>75</v>
      </c>
      <c r="C1353">
        <v>80</v>
      </c>
      <c r="D1353">
        <v>11121004</v>
      </c>
      <c r="E1353">
        <v>121004</v>
      </c>
      <c r="F1353" s="1" t="s">
        <v>6867</v>
      </c>
      <c r="G1353" s="1" t="s">
        <v>7335</v>
      </c>
      <c r="H1353">
        <v>0</v>
      </c>
      <c r="I1353" s="1" t="s">
        <v>78</v>
      </c>
      <c r="J1353" s="1" t="s">
        <v>7336</v>
      </c>
      <c r="K1353" s="1" t="s">
        <v>7337</v>
      </c>
      <c r="L1353" t="s">
        <v>91</v>
      </c>
      <c r="M1353" t="s">
        <v>91</v>
      </c>
      <c r="N1353" s="1" t="s">
        <v>7338</v>
      </c>
      <c r="O1353" t="s">
        <v>91</v>
      </c>
      <c r="P1353" s="1" t="s">
        <v>7339</v>
      </c>
      <c r="Q1353" s="1" t="s">
        <v>5790</v>
      </c>
      <c r="R1353" s="1" t="s">
        <v>820</v>
      </c>
      <c r="S1353">
        <v>1260</v>
      </c>
      <c r="T1353">
        <v>88220000</v>
      </c>
      <c r="U1353" s="1" t="s">
        <v>7195</v>
      </c>
      <c r="V1353" s="1" t="s">
        <v>7015</v>
      </c>
      <c r="W1353" s="1" t="s">
        <v>87</v>
      </c>
      <c r="X1353">
        <v>47</v>
      </c>
      <c r="Y1353">
        <v>33980149</v>
      </c>
      <c r="Z1353" t="s">
        <v>91</v>
      </c>
      <c r="AA1353" t="s">
        <v>91</v>
      </c>
      <c r="AB1353" t="s">
        <v>91</v>
      </c>
      <c r="AC1353" t="s">
        <v>91</v>
      </c>
      <c r="AD1353" t="s">
        <v>91</v>
      </c>
      <c r="AE1353" t="s">
        <v>91</v>
      </c>
      <c r="AF1353" t="s">
        <v>91</v>
      </c>
      <c r="AG1353" s="1" t="s">
        <v>91</v>
      </c>
      <c r="AH1353" s="1" t="s">
        <v>91</v>
      </c>
      <c r="AI1353" t="s">
        <v>91</v>
      </c>
      <c r="AM1353" t="s">
        <v>91</v>
      </c>
      <c r="AN1353" t="s">
        <v>91</v>
      </c>
      <c r="AO1353" t="s">
        <v>91</v>
      </c>
      <c r="AP1353" t="s">
        <v>91</v>
      </c>
      <c r="AQ1353" s="1" t="s">
        <v>91</v>
      </c>
      <c r="AR1353" s="1" t="s">
        <v>91</v>
      </c>
      <c r="AS1353" s="1" t="s">
        <v>91</v>
      </c>
      <c r="AT1353" s="1" t="s">
        <v>91</v>
      </c>
      <c r="AU1353" s="1" t="s">
        <v>91</v>
      </c>
      <c r="AV1353" t="s">
        <v>91</v>
      </c>
      <c r="AW1353" t="s">
        <v>91</v>
      </c>
      <c r="AX1353" t="s">
        <v>91</v>
      </c>
      <c r="AY1353" t="s">
        <v>91</v>
      </c>
      <c r="AZ1353" t="s">
        <v>91</v>
      </c>
      <c r="BA1353" t="s">
        <v>91</v>
      </c>
      <c r="BB1353" s="2">
        <v>45118.101759259262</v>
      </c>
      <c r="BC1353" s="2"/>
      <c r="BD1353" t="s">
        <v>91</v>
      </c>
      <c r="BF1353" s="1" t="s">
        <v>75</v>
      </c>
      <c r="BI1353" s="1" t="s">
        <v>88</v>
      </c>
      <c r="BJ1353">
        <v>1</v>
      </c>
      <c r="BK1353" s="1" t="s">
        <v>89</v>
      </c>
      <c r="BL1353" t="s">
        <v>91</v>
      </c>
      <c r="BM1353" s="1" t="s">
        <v>91</v>
      </c>
      <c r="BN1353" s="1" t="s">
        <v>91</v>
      </c>
      <c r="BO1353" s="1" t="s">
        <v>91</v>
      </c>
      <c r="BP1353" s="1" t="s">
        <v>91</v>
      </c>
      <c r="BQ1353" t="s">
        <v>91</v>
      </c>
      <c r="BR1353" s="3">
        <v>45118</v>
      </c>
      <c r="BS1353" s="3"/>
      <c r="BT1353" t="s">
        <v>91</v>
      </c>
      <c r="BU1353" t="s">
        <v>91</v>
      </c>
      <c r="BW1353" s="1" t="s">
        <v>90</v>
      </c>
    </row>
    <row r="1354" spans="1:75" hidden="1" x14ac:dyDescent="0.35">
      <c r="A1354">
        <v>157047</v>
      </c>
      <c r="B1354" s="1" t="s">
        <v>75</v>
      </c>
      <c r="C1354">
        <v>80</v>
      </c>
      <c r="D1354">
        <v>11121004</v>
      </c>
      <c r="E1354">
        <v>121004</v>
      </c>
      <c r="F1354" s="1" t="s">
        <v>6867</v>
      </c>
      <c r="G1354" s="1" t="s">
        <v>7340</v>
      </c>
      <c r="H1354">
        <v>0</v>
      </c>
      <c r="I1354" s="1" t="s">
        <v>78</v>
      </c>
      <c r="J1354" s="1" t="s">
        <v>7341</v>
      </c>
      <c r="K1354" s="1" t="s">
        <v>7342</v>
      </c>
      <c r="L1354" t="s">
        <v>91</v>
      </c>
      <c r="M1354" t="s">
        <v>91</v>
      </c>
      <c r="N1354" s="1" t="s">
        <v>7343</v>
      </c>
      <c r="O1354" t="s">
        <v>91</v>
      </c>
      <c r="P1354" s="1" t="s">
        <v>611</v>
      </c>
      <c r="Q1354" s="1" t="s">
        <v>7344</v>
      </c>
      <c r="R1354" s="1" t="s">
        <v>91</v>
      </c>
      <c r="S1354">
        <v>1271</v>
      </c>
      <c r="T1354">
        <v>89010002</v>
      </c>
      <c r="U1354" s="1" t="s">
        <v>108</v>
      </c>
      <c r="V1354" s="1" t="s">
        <v>3571</v>
      </c>
      <c r="W1354" s="1" t="s">
        <v>87</v>
      </c>
      <c r="X1354">
        <v>47</v>
      </c>
      <c r="Y1354">
        <v>996034038</v>
      </c>
      <c r="Z1354" t="s">
        <v>91</v>
      </c>
      <c r="AA1354" t="s">
        <v>91</v>
      </c>
      <c r="AB1354" t="s">
        <v>91</v>
      </c>
      <c r="AC1354" t="s">
        <v>91</v>
      </c>
      <c r="AD1354" t="s">
        <v>91</v>
      </c>
      <c r="AE1354" t="s">
        <v>91</v>
      </c>
      <c r="AF1354" t="s">
        <v>91</v>
      </c>
      <c r="AG1354" s="1" t="s">
        <v>91</v>
      </c>
      <c r="AH1354" s="1" t="s">
        <v>91</v>
      </c>
      <c r="AI1354" t="s">
        <v>91</v>
      </c>
      <c r="AM1354" t="s">
        <v>91</v>
      </c>
      <c r="AN1354" t="s">
        <v>91</v>
      </c>
      <c r="AO1354" t="s">
        <v>91</v>
      </c>
      <c r="AP1354" t="s">
        <v>91</v>
      </c>
      <c r="AQ1354" s="1" t="s">
        <v>91</v>
      </c>
      <c r="AR1354" s="1" t="s">
        <v>91</v>
      </c>
      <c r="AS1354" s="1" t="s">
        <v>91</v>
      </c>
      <c r="AT1354" s="1" t="s">
        <v>91</v>
      </c>
      <c r="AU1354" s="1" t="s">
        <v>91</v>
      </c>
      <c r="AV1354" t="s">
        <v>91</v>
      </c>
      <c r="AW1354" t="s">
        <v>91</v>
      </c>
      <c r="AX1354" t="s">
        <v>91</v>
      </c>
      <c r="AY1354" t="s">
        <v>91</v>
      </c>
      <c r="AZ1354" t="s">
        <v>91</v>
      </c>
      <c r="BA1354" t="s">
        <v>91</v>
      </c>
      <c r="BB1354" s="2">
        <v>45113.505416666667</v>
      </c>
      <c r="BC1354" s="2"/>
      <c r="BD1354" t="s">
        <v>91</v>
      </c>
      <c r="BF1354" s="1" t="s">
        <v>75</v>
      </c>
      <c r="BI1354" s="1" t="s">
        <v>88</v>
      </c>
      <c r="BJ1354">
        <v>1</v>
      </c>
      <c r="BK1354" s="1" t="s">
        <v>89</v>
      </c>
      <c r="BL1354" t="s">
        <v>91</v>
      </c>
      <c r="BM1354" s="1" t="s">
        <v>91</v>
      </c>
      <c r="BN1354" s="1" t="s">
        <v>91</v>
      </c>
      <c r="BO1354" s="1" t="s">
        <v>91</v>
      </c>
      <c r="BP1354" s="1" t="s">
        <v>91</v>
      </c>
      <c r="BQ1354" t="s">
        <v>91</v>
      </c>
      <c r="BR1354" s="3">
        <v>45113</v>
      </c>
      <c r="BS1354" s="3"/>
      <c r="BT1354" t="s">
        <v>91</v>
      </c>
      <c r="BU1354" t="s">
        <v>91</v>
      </c>
      <c r="BW1354" s="1" t="s">
        <v>90</v>
      </c>
    </row>
    <row r="1355" spans="1:75" hidden="1" x14ac:dyDescent="0.35">
      <c r="A1355">
        <v>137594</v>
      </c>
      <c r="B1355" s="1" t="s">
        <v>75</v>
      </c>
      <c r="C1355">
        <v>80</v>
      </c>
      <c r="D1355">
        <v>11121004</v>
      </c>
      <c r="E1355">
        <v>121004</v>
      </c>
      <c r="F1355" s="1" t="s">
        <v>6867</v>
      </c>
      <c r="G1355" s="1" t="s">
        <v>7345</v>
      </c>
      <c r="H1355">
        <v>0</v>
      </c>
      <c r="I1355" s="1" t="s">
        <v>78</v>
      </c>
      <c r="J1355" s="1" t="s">
        <v>7346</v>
      </c>
      <c r="K1355" s="1" t="s">
        <v>7347</v>
      </c>
      <c r="L1355" t="s">
        <v>91</v>
      </c>
      <c r="M1355" t="s">
        <v>91</v>
      </c>
      <c r="N1355" s="1" t="s">
        <v>7348</v>
      </c>
      <c r="O1355" t="s">
        <v>91</v>
      </c>
      <c r="P1355" s="1" t="s">
        <v>7349</v>
      </c>
      <c r="Q1355" s="1" t="s">
        <v>7350</v>
      </c>
      <c r="R1355" s="1" t="s">
        <v>236</v>
      </c>
      <c r="S1355">
        <v>1262</v>
      </c>
      <c r="T1355">
        <v>88330091</v>
      </c>
      <c r="U1355" s="1" t="s">
        <v>108</v>
      </c>
      <c r="V1355" s="1" t="s">
        <v>6898</v>
      </c>
      <c r="W1355" s="1" t="s">
        <v>87</v>
      </c>
      <c r="X1355">
        <v>47</v>
      </c>
      <c r="Y1355">
        <v>33632607</v>
      </c>
      <c r="Z1355" t="s">
        <v>91</v>
      </c>
      <c r="AA1355" t="s">
        <v>91</v>
      </c>
      <c r="AB1355" t="s">
        <v>91</v>
      </c>
      <c r="AC1355" t="s">
        <v>91</v>
      </c>
      <c r="AD1355" t="s">
        <v>91</v>
      </c>
      <c r="AE1355" t="s">
        <v>91</v>
      </c>
      <c r="AF1355" t="s">
        <v>91</v>
      </c>
      <c r="AG1355" s="1" t="s">
        <v>146</v>
      </c>
      <c r="AH1355" s="1" t="s">
        <v>91</v>
      </c>
      <c r="AI1355" t="s">
        <v>91</v>
      </c>
      <c r="AM1355" t="s">
        <v>91</v>
      </c>
      <c r="AN1355" t="s">
        <v>91</v>
      </c>
      <c r="AO1355" t="s">
        <v>91</v>
      </c>
      <c r="AP1355" t="s">
        <v>91</v>
      </c>
      <c r="AQ1355" s="1" t="s">
        <v>147</v>
      </c>
      <c r="AR1355" s="1" t="s">
        <v>147</v>
      </c>
      <c r="AS1355" s="1" t="s">
        <v>147</v>
      </c>
      <c r="AT1355" s="1" t="s">
        <v>147</v>
      </c>
      <c r="AU1355" s="1" t="s">
        <v>147</v>
      </c>
      <c r="AV1355" t="s">
        <v>91</v>
      </c>
      <c r="AW1355" t="s">
        <v>91</v>
      </c>
      <c r="AX1355" t="s">
        <v>91</v>
      </c>
      <c r="AY1355" t="s">
        <v>91</v>
      </c>
      <c r="AZ1355" t="s">
        <v>91</v>
      </c>
      <c r="BA1355" t="s">
        <v>91</v>
      </c>
      <c r="BB1355" s="2">
        <v>44378.578518518516</v>
      </c>
      <c r="BC1355" s="2">
        <v>44572.602546296293</v>
      </c>
      <c r="BD1355" t="s">
        <v>91</v>
      </c>
      <c r="BF1355" s="1" t="s">
        <v>75</v>
      </c>
      <c r="BH1355">
        <v>0</v>
      </c>
      <c r="BI1355" s="1" t="s">
        <v>88</v>
      </c>
      <c r="BJ1355">
        <v>1</v>
      </c>
      <c r="BK1355" s="1" t="s">
        <v>89</v>
      </c>
      <c r="BL1355" t="s">
        <v>91</v>
      </c>
      <c r="BM1355" s="1" t="s">
        <v>109</v>
      </c>
      <c r="BN1355" s="1" t="s">
        <v>110</v>
      </c>
      <c r="BO1355" s="1" t="s">
        <v>165</v>
      </c>
      <c r="BP1355" s="1" t="s">
        <v>91</v>
      </c>
      <c r="BQ1355" t="s">
        <v>91</v>
      </c>
      <c r="BR1355" s="3">
        <v>44378</v>
      </c>
      <c r="BS1355" s="3">
        <v>44572</v>
      </c>
      <c r="BT1355" t="s">
        <v>91</v>
      </c>
      <c r="BU1355" t="s">
        <v>91</v>
      </c>
      <c r="BW1355" s="1" t="s">
        <v>1319</v>
      </c>
    </row>
    <row r="1356" spans="1:75" hidden="1" x14ac:dyDescent="0.35">
      <c r="A1356">
        <v>137597</v>
      </c>
      <c r="B1356" s="1" t="s">
        <v>75</v>
      </c>
      <c r="C1356">
        <v>80</v>
      </c>
      <c r="D1356">
        <v>11121004</v>
      </c>
      <c r="E1356">
        <v>121004</v>
      </c>
      <c r="F1356" s="1" t="s">
        <v>6867</v>
      </c>
      <c r="G1356" s="1" t="s">
        <v>7351</v>
      </c>
      <c r="H1356">
        <v>0</v>
      </c>
      <c r="I1356" s="1" t="s">
        <v>78</v>
      </c>
      <c r="J1356" s="1" t="s">
        <v>7352</v>
      </c>
      <c r="K1356" s="1" t="s">
        <v>7353</v>
      </c>
      <c r="L1356" t="s">
        <v>91</v>
      </c>
      <c r="M1356" t="s">
        <v>91</v>
      </c>
      <c r="N1356" s="1" t="s">
        <v>7354</v>
      </c>
      <c r="O1356" t="s">
        <v>91</v>
      </c>
      <c r="P1356" s="1" t="s">
        <v>6903</v>
      </c>
      <c r="Q1356" s="1" t="s">
        <v>7355</v>
      </c>
      <c r="R1356" s="1" t="s">
        <v>173</v>
      </c>
      <c r="S1356">
        <v>1260</v>
      </c>
      <c r="T1356">
        <v>88200000</v>
      </c>
      <c r="U1356" s="1" t="s">
        <v>108</v>
      </c>
      <c r="V1356" s="1" t="s">
        <v>6906</v>
      </c>
      <c r="W1356" s="1" t="s">
        <v>87</v>
      </c>
      <c r="X1356">
        <v>48</v>
      </c>
      <c r="Y1356">
        <v>999208900</v>
      </c>
      <c r="Z1356" t="s">
        <v>91</v>
      </c>
      <c r="AA1356" t="s">
        <v>91</v>
      </c>
      <c r="AB1356" t="s">
        <v>91</v>
      </c>
      <c r="AC1356" t="s">
        <v>91</v>
      </c>
      <c r="AD1356" t="s">
        <v>91</v>
      </c>
      <c r="AE1356" t="s">
        <v>91</v>
      </c>
      <c r="AF1356" t="s">
        <v>91</v>
      </c>
      <c r="AG1356" s="1" t="s">
        <v>146</v>
      </c>
      <c r="AH1356" s="1" t="s">
        <v>91</v>
      </c>
      <c r="AI1356" t="s">
        <v>91</v>
      </c>
      <c r="AM1356" t="s">
        <v>91</v>
      </c>
      <c r="AN1356" t="s">
        <v>91</v>
      </c>
      <c r="AO1356" t="s">
        <v>91</v>
      </c>
      <c r="AP1356" t="s">
        <v>91</v>
      </c>
      <c r="AQ1356" s="1" t="s">
        <v>147</v>
      </c>
      <c r="AR1356" s="1" t="s">
        <v>147</v>
      </c>
      <c r="AS1356" s="1" t="s">
        <v>147</v>
      </c>
      <c r="AT1356" s="1" t="s">
        <v>147</v>
      </c>
      <c r="AU1356" s="1" t="s">
        <v>147</v>
      </c>
      <c r="AV1356" t="s">
        <v>91</v>
      </c>
      <c r="AW1356" t="s">
        <v>91</v>
      </c>
      <c r="AX1356" t="s">
        <v>91</v>
      </c>
      <c r="AY1356" t="s">
        <v>91</v>
      </c>
      <c r="AZ1356" t="s">
        <v>91</v>
      </c>
      <c r="BA1356" t="s">
        <v>91</v>
      </c>
      <c r="BB1356" s="2">
        <v>44378.578518518516</v>
      </c>
      <c r="BC1356" s="2">
        <v>45106.456377314818</v>
      </c>
      <c r="BD1356" t="s">
        <v>91</v>
      </c>
      <c r="BF1356" s="1" t="s">
        <v>75</v>
      </c>
      <c r="BH1356">
        <v>0</v>
      </c>
      <c r="BI1356" s="1" t="s">
        <v>88</v>
      </c>
      <c r="BJ1356">
        <v>1</v>
      </c>
      <c r="BK1356" s="1" t="s">
        <v>89</v>
      </c>
      <c r="BL1356" t="s">
        <v>91</v>
      </c>
      <c r="BM1356" s="1" t="s">
        <v>109</v>
      </c>
      <c r="BN1356" s="1" t="s">
        <v>110</v>
      </c>
      <c r="BO1356" s="1" t="s">
        <v>165</v>
      </c>
      <c r="BP1356" s="1" t="s">
        <v>91</v>
      </c>
      <c r="BQ1356" t="s">
        <v>91</v>
      </c>
      <c r="BR1356" s="3">
        <v>44378</v>
      </c>
      <c r="BS1356" s="3">
        <v>45106</v>
      </c>
      <c r="BT1356" t="s">
        <v>91</v>
      </c>
      <c r="BU1356" t="s">
        <v>91</v>
      </c>
      <c r="BW1356" s="1" t="s">
        <v>2285</v>
      </c>
    </row>
    <row r="1357" spans="1:75" hidden="1" x14ac:dyDescent="0.35">
      <c r="A1357">
        <v>4787</v>
      </c>
      <c r="B1357" s="1" t="s">
        <v>75</v>
      </c>
      <c r="C1357">
        <v>80</v>
      </c>
      <c r="D1357">
        <v>11121004</v>
      </c>
      <c r="E1357">
        <v>121004</v>
      </c>
      <c r="F1357" s="1" t="s">
        <v>6867</v>
      </c>
      <c r="G1357" s="1" t="s">
        <v>7356</v>
      </c>
      <c r="I1357" s="1" t="s">
        <v>78</v>
      </c>
      <c r="J1357" s="1" t="s">
        <v>7357</v>
      </c>
      <c r="K1357" s="1" t="s">
        <v>7358</v>
      </c>
      <c r="L1357" t="s">
        <v>91</v>
      </c>
      <c r="M1357" t="s">
        <v>91</v>
      </c>
      <c r="N1357" s="1" t="s">
        <v>7359</v>
      </c>
      <c r="O1357" t="s">
        <v>91</v>
      </c>
      <c r="P1357" s="1" t="s">
        <v>1856</v>
      </c>
      <c r="Q1357" s="1" t="s">
        <v>7292</v>
      </c>
      <c r="R1357" s="1" t="s">
        <v>3938</v>
      </c>
      <c r="S1357">
        <v>1273</v>
      </c>
      <c r="T1357">
        <v>89010902</v>
      </c>
      <c r="U1357" s="1" t="s">
        <v>343</v>
      </c>
      <c r="V1357" s="1" t="s">
        <v>3571</v>
      </c>
      <c r="W1357" s="1" t="s">
        <v>87</v>
      </c>
      <c r="X1357">
        <v>47</v>
      </c>
      <c r="Y1357">
        <v>30410338</v>
      </c>
      <c r="Z1357" t="s">
        <v>91</v>
      </c>
      <c r="AA1357" t="s">
        <v>91</v>
      </c>
      <c r="AB1357" t="s">
        <v>91</v>
      </c>
      <c r="AC1357" t="s">
        <v>91</v>
      </c>
      <c r="AD1357" t="s">
        <v>91</v>
      </c>
      <c r="AE1357" t="s">
        <v>91</v>
      </c>
      <c r="AF1357" t="s">
        <v>91</v>
      </c>
      <c r="AG1357" s="1" t="s">
        <v>91</v>
      </c>
      <c r="AH1357" s="1" t="s">
        <v>91</v>
      </c>
      <c r="AI1357" t="s">
        <v>91</v>
      </c>
      <c r="AJ1357">
        <v>0</v>
      </c>
      <c r="AK1357">
        <v>0</v>
      </c>
      <c r="AL1357">
        <v>0</v>
      </c>
      <c r="AM1357" t="s">
        <v>91</v>
      </c>
      <c r="AN1357" t="s">
        <v>91</v>
      </c>
      <c r="AO1357" t="s">
        <v>91</v>
      </c>
      <c r="AP1357" t="s">
        <v>91</v>
      </c>
      <c r="AQ1357" s="1" t="s">
        <v>91</v>
      </c>
      <c r="AR1357" s="1" t="s">
        <v>91</v>
      </c>
      <c r="AS1357" s="1" t="s">
        <v>91</v>
      </c>
      <c r="AT1357" s="1" t="s">
        <v>91</v>
      </c>
      <c r="AU1357" s="1" t="s">
        <v>91</v>
      </c>
      <c r="AV1357" t="s">
        <v>91</v>
      </c>
      <c r="AW1357" t="s">
        <v>91</v>
      </c>
      <c r="AX1357" t="s">
        <v>91</v>
      </c>
      <c r="AY1357" t="s">
        <v>91</v>
      </c>
      <c r="AZ1357" t="s">
        <v>91</v>
      </c>
      <c r="BA1357" t="s">
        <v>91</v>
      </c>
      <c r="BB1357" s="2">
        <v>43342.723379629628</v>
      </c>
      <c r="BC1357" s="2"/>
      <c r="BD1357" t="s">
        <v>91</v>
      </c>
      <c r="BF1357" s="1" t="s">
        <v>75</v>
      </c>
      <c r="BG1357">
        <v>0</v>
      </c>
      <c r="BH1357">
        <v>0</v>
      </c>
      <c r="BI1357" s="1" t="s">
        <v>88</v>
      </c>
      <c r="BJ1357">
        <v>1</v>
      </c>
      <c r="BK1357" s="1" t="s">
        <v>89</v>
      </c>
      <c r="BL1357" t="s">
        <v>91</v>
      </c>
      <c r="BM1357" s="1" t="s">
        <v>109</v>
      </c>
      <c r="BN1357" s="1" t="s">
        <v>110</v>
      </c>
      <c r="BO1357" s="1" t="s">
        <v>180</v>
      </c>
      <c r="BP1357" s="1" t="s">
        <v>91</v>
      </c>
      <c r="BQ1357" t="s">
        <v>91</v>
      </c>
      <c r="BR1357" s="3">
        <v>43342</v>
      </c>
      <c r="BS1357" s="3"/>
      <c r="BT1357" t="s">
        <v>91</v>
      </c>
      <c r="BU1357" t="s">
        <v>91</v>
      </c>
      <c r="BV1357">
        <v>9</v>
      </c>
      <c r="BW1357" s="1" t="s">
        <v>90</v>
      </c>
    </row>
    <row r="1358" spans="1:75" hidden="1" x14ac:dyDescent="0.35">
      <c r="A1358">
        <v>1225</v>
      </c>
      <c r="B1358" s="1" t="s">
        <v>75</v>
      </c>
      <c r="C1358">
        <v>80</v>
      </c>
      <c r="D1358">
        <v>11121004</v>
      </c>
      <c r="E1358">
        <v>121004</v>
      </c>
      <c r="F1358" s="1" t="s">
        <v>6867</v>
      </c>
      <c r="G1358" s="1" t="s">
        <v>7360</v>
      </c>
      <c r="I1358" s="1" t="s">
        <v>78</v>
      </c>
      <c r="J1358" s="1" t="s">
        <v>7361</v>
      </c>
      <c r="K1358" s="1" t="s">
        <v>7362</v>
      </c>
      <c r="L1358" t="s">
        <v>91</v>
      </c>
      <c r="M1358" t="s">
        <v>91</v>
      </c>
      <c r="N1358" s="1" t="s">
        <v>7363</v>
      </c>
      <c r="O1358" t="s">
        <v>91</v>
      </c>
      <c r="P1358" s="1" t="s">
        <v>1210</v>
      </c>
      <c r="Q1358" s="1" t="s">
        <v>1048</v>
      </c>
      <c r="R1358" s="1" t="s">
        <v>91</v>
      </c>
      <c r="S1358">
        <v>1275</v>
      </c>
      <c r="T1358">
        <v>89120000</v>
      </c>
      <c r="U1358" s="1" t="s">
        <v>108</v>
      </c>
      <c r="V1358" s="1" t="s">
        <v>7364</v>
      </c>
      <c r="W1358" s="1" t="s">
        <v>87</v>
      </c>
      <c r="X1358">
        <v>47</v>
      </c>
      <c r="Y1358">
        <v>33821109</v>
      </c>
      <c r="Z1358" t="s">
        <v>91</v>
      </c>
      <c r="AA1358" t="s">
        <v>91</v>
      </c>
      <c r="AB1358" t="s">
        <v>91</v>
      </c>
      <c r="AC1358" t="s">
        <v>91</v>
      </c>
      <c r="AD1358" t="s">
        <v>91</v>
      </c>
      <c r="AE1358" t="s">
        <v>91</v>
      </c>
      <c r="AF1358" t="s">
        <v>91</v>
      </c>
      <c r="AG1358" s="1" t="s">
        <v>91</v>
      </c>
      <c r="AH1358" s="1" t="s">
        <v>91</v>
      </c>
      <c r="AI1358" t="s">
        <v>91</v>
      </c>
      <c r="AJ1358">
        <v>0</v>
      </c>
      <c r="AK1358">
        <v>0</v>
      </c>
      <c r="AL1358">
        <v>0</v>
      </c>
      <c r="AM1358" t="s">
        <v>91</v>
      </c>
      <c r="AN1358" t="s">
        <v>91</v>
      </c>
      <c r="AO1358" t="s">
        <v>91</v>
      </c>
      <c r="AP1358" t="s">
        <v>91</v>
      </c>
      <c r="AQ1358" s="1" t="s">
        <v>91</v>
      </c>
      <c r="AR1358" s="1" t="s">
        <v>91</v>
      </c>
      <c r="AS1358" s="1" t="s">
        <v>91</v>
      </c>
      <c r="AT1358" s="1" t="s">
        <v>91</v>
      </c>
      <c r="AU1358" s="1" t="s">
        <v>91</v>
      </c>
      <c r="AV1358" t="s">
        <v>91</v>
      </c>
      <c r="AW1358" t="s">
        <v>91</v>
      </c>
      <c r="AX1358" t="s">
        <v>91</v>
      </c>
      <c r="AY1358" t="s">
        <v>91</v>
      </c>
      <c r="AZ1358" t="s">
        <v>91</v>
      </c>
      <c r="BA1358" t="s">
        <v>91</v>
      </c>
      <c r="BB1358" s="2">
        <v>43308.393171296295</v>
      </c>
      <c r="BC1358" s="2"/>
      <c r="BD1358" t="s">
        <v>91</v>
      </c>
      <c r="BE1358">
        <v>1225</v>
      </c>
      <c r="BF1358" s="1" t="s">
        <v>75</v>
      </c>
      <c r="BG1358">
        <v>0</v>
      </c>
      <c r="BH1358">
        <v>0</v>
      </c>
      <c r="BI1358" s="1" t="s">
        <v>88</v>
      </c>
      <c r="BJ1358">
        <v>1</v>
      </c>
      <c r="BK1358" s="1" t="s">
        <v>89</v>
      </c>
      <c r="BL1358" t="s">
        <v>91</v>
      </c>
      <c r="BM1358" s="1" t="s">
        <v>109</v>
      </c>
      <c r="BN1358" s="1" t="s">
        <v>110</v>
      </c>
      <c r="BO1358" s="1" t="s">
        <v>165</v>
      </c>
      <c r="BP1358" s="1" t="s">
        <v>91</v>
      </c>
      <c r="BQ1358" t="s">
        <v>91</v>
      </c>
      <c r="BR1358" s="3">
        <v>43308</v>
      </c>
      <c r="BS1358" s="3"/>
      <c r="BT1358" t="s">
        <v>91</v>
      </c>
      <c r="BU1358" t="s">
        <v>91</v>
      </c>
      <c r="BV1358">
        <v>5</v>
      </c>
      <c r="BW1358" s="1" t="s">
        <v>419</v>
      </c>
    </row>
    <row r="1359" spans="1:75" hidden="1" x14ac:dyDescent="0.35">
      <c r="A1359">
        <v>137600</v>
      </c>
      <c r="B1359" s="1" t="s">
        <v>75</v>
      </c>
      <c r="C1359">
        <v>80</v>
      </c>
      <c r="D1359">
        <v>11121004</v>
      </c>
      <c r="E1359">
        <v>121004</v>
      </c>
      <c r="F1359" s="1" t="s">
        <v>6867</v>
      </c>
      <c r="G1359" s="1" t="s">
        <v>7365</v>
      </c>
      <c r="H1359">
        <v>0</v>
      </c>
      <c r="I1359" s="1" t="s">
        <v>78</v>
      </c>
      <c r="J1359" s="1" t="s">
        <v>7366</v>
      </c>
      <c r="K1359" s="1" t="s">
        <v>7367</v>
      </c>
      <c r="L1359" t="s">
        <v>91</v>
      </c>
      <c r="M1359" t="s">
        <v>91</v>
      </c>
      <c r="N1359" s="1" t="s">
        <v>7368</v>
      </c>
      <c r="O1359" t="s">
        <v>91</v>
      </c>
      <c r="P1359" s="1" t="s">
        <v>7369</v>
      </c>
      <c r="Q1359" s="1" t="s">
        <v>2494</v>
      </c>
      <c r="R1359" s="1" t="s">
        <v>1127</v>
      </c>
      <c r="S1359">
        <v>1263</v>
      </c>
      <c r="T1359">
        <v>88350001</v>
      </c>
      <c r="U1359" s="1" t="s">
        <v>108</v>
      </c>
      <c r="V1359" s="1" t="s">
        <v>6936</v>
      </c>
      <c r="W1359" s="1" t="s">
        <v>87</v>
      </c>
      <c r="X1359">
        <v>47</v>
      </c>
      <c r="Y1359">
        <v>996632989</v>
      </c>
      <c r="Z1359" t="s">
        <v>91</v>
      </c>
      <c r="AA1359" t="s">
        <v>91</v>
      </c>
      <c r="AB1359" t="s">
        <v>91</v>
      </c>
      <c r="AC1359" t="s">
        <v>91</v>
      </c>
      <c r="AD1359" t="s">
        <v>91</v>
      </c>
      <c r="AE1359" t="s">
        <v>91</v>
      </c>
      <c r="AF1359" t="s">
        <v>91</v>
      </c>
      <c r="AG1359" s="1" t="s">
        <v>146</v>
      </c>
      <c r="AH1359" s="1" t="s">
        <v>91</v>
      </c>
      <c r="AI1359" t="s">
        <v>91</v>
      </c>
      <c r="AM1359" t="s">
        <v>91</v>
      </c>
      <c r="AN1359" t="s">
        <v>91</v>
      </c>
      <c r="AO1359" t="s">
        <v>91</v>
      </c>
      <c r="AP1359" t="s">
        <v>91</v>
      </c>
      <c r="AQ1359" s="1" t="s">
        <v>147</v>
      </c>
      <c r="AR1359" s="1" t="s">
        <v>147</v>
      </c>
      <c r="AS1359" s="1" t="s">
        <v>147</v>
      </c>
      <c r="AT1359" s="1" t="s">
        <v>147</v>
      </c>
      <c r="AU1359" s="1" t="s">
        <v>147</v>
      </c>
      <c r="AV1359" t="s">
        <v>91</v>
      </c>
      <c r="AW1359" t="s">
        <v>91</v>
      </c>
      <c r="AX1359" t="s">
        <v>91</v>
      </c>
      <c r="AY1359" t="s">
        <v>91</v>
      </c>
      <c r="AZ1359" t="s">
        <v>91</v>
      </c>
      <c r="BA1359" t="s">
        <v>91</v>
      </c>
      <c r="BB1359" s="2">
        <v>44378.578518518516</v>
      </c>
      <c r="BC1359" s="2">
        <v>44816.492615740739</v>
      </c>
      <c r="BD1359" t="s">
        <v>91</v>
      </c>
      <c r="BF1359" s="1" t="s">
        <v>75</v>
      </c>
      <c r="BH1359">
        <v>0</v>
      </c>
      <c r="BI1359" s="1" t="s">
        <v>88</v>
      </c>
      <c r="BJ1359">
        <v>1</v>
      </c>
      <c r="BK1359" s="1" t="s">
        <v>89</v>
      </c>
      <c r="BL1359" t="s">
        <v>91</v>
      </c>
      <c r="BM1359" s="1" t="s">
        <v>109</v>
      </c>
      <c r="BN1359" s="1" t="s">
        <v>110</v>
      </c>
      <c r="BO1359" s="1" t="s">
        <v>128</v>
      </c>
      <c r="BP1359" s="1" t="s">
        <v>91</v>
      </c>
      <c r="BQ1359" t="s">
        <v>91</v>
      </c>
      <c r="BR1359" s="3">
        <v>44378</v>
      </c>
      <c r="BS1359" s="3">
        <v>44816</v>
      </c>
      <c r="BT1359" t="s">
        <v>91</v>
      </c>
      <c r="BU1359" t="s">
        <v>91</v>
      </c>
      <c r="BW1359" s="1" t="s">
        <v>3334</v>
      </c>
    </row>
    <row r="1360" spans="1:75" hidden="1" x14ac:dyDescent="0.35">
      <c r="A1360">
        <v>137601</v>
      </c>
      <c r="B1360" s="1" t="s">
        <v>75</v>
      </c>
      <c r="C1360">
        <v>80</v>
      </c>
      <c r="D1360">
        <v>11121004</v>
      </c>
      <c r="E1360">
        <v>121004</v>
      </c>
      <c r="F1360" s="1" t="s">
        <v>6867</v>
      </c>
      <c r="G1360" s="1" t="s">
        <v>7370</v>
      </c>
      <c r="H1360">
        <v>0</v>
      </c>
      <c r="I1360" s="1" t="s">
        <v>78</v>
      </c>
      <c r="J1360" s="1" t="s">
        <v>4001</v>
      </c>
      <c r="K1360" s="1" t="s">
        <v>7371</v>
      </c>
      <c r="L1360" t="s">
        <v>91</v>
      </c>
      <c r="M1360" t="s">
        <v>91</v>
      </c>
      <c r="N1360" s="1" t="s">
        <v>6597</v>
      </c>
      <c r="O1360" t="s">
        <v>91</v>
      </c>
      <c r="P1360" s="1" t="s">
        <v>7372</v>
      </c>
      <c r="Q1360" s="1" t="s">
        <v>228</v>
      </c>
      <c r="R1360" s="1" t="s">
        <v>91</v>
      </c>
      <c r="S1360">
        <v>1263</v>
      </c>
      <c r="T1360">
        <v>88350001</v>
      </c>
      <c r="U1360" s="1" t="s">
        <v>108</v>
      </c>
      <c r="V1360" s="1" t="s">
        <v>6936</v>
      </c>
      <c r="W1360" s="1" t="s">
        <v>87</v>
      </c>
      <c r="X1360">
        <v>48</v>
      </c>
      <c r="Y1360">
        <v>32256592</v>
      </c>
      <c r="Z1360" t="s">
        <v>91</v>
      </c>
      <c r="AA1360" t="s">
        <v>91</v>
      </c>
      <c r="AB1360" t="s">
        <v>91</v>
      </c>
      <c r="AC1360" t="s">
        <v>91</v>
      </c>
      <c r="AD1360" t="s">
        <v>91</v>
      </c>
      <c r="AE1360" t="s">
        <v>91</v>
      </c>
      <c r="AF1360" t="s">
        <v>91</v>
      </c>
      <c r="AG1360" s="1" t="s">
        <v>91</v>
      </c>
      <c r="AH1360" s="1" t="s">
        <v>91</v>
      </c>
      <c r="AI1360" t="s">
        <v>91</v>
      </c>
      <c r="AM1360" t="s">
        <v>91</v>
      </c>
      <c r="AN1360" t="s">
        <v>91</v>
      </c>
      <c r="AO1360" t="s">
        <v>91</v>
      </c>
      <c r="AP1360" t="s">
        <v>91</v>
      </c>
      <c r="AQ1360" s="1" t="s">
        <v>91</v>
      </c>
      <c r="AR1360" s="1" t="s">
        <v>91</v>
      </c>
      <c r="AS1360" s="1" t="s">
        <v>91</v>
      </c>
      <c r="AT1360" s="1" t="s">
        <v>91</v>
      </c>
      <c r="AU1360" s="1" t="s">
        <v>91</v>
      </c>
      <c r="AV1360" t="s">
        <v>91</v>
      </c>
      <c r="AW1360" t="s">
        <v>91</v>
      </c>
      <c r="AX1360" t="s">
        <v>91</v>
      </c>
      <c r="AY1360" t="s">
        <v>91</v>
      </c>
      <c r="AZ1360" t="s">
        <v>91</v>
      </c>
      <c r="BA1360" t="s">
        <v>91</v>
      </c>
      <c r="BB1360" s="2">
        <v>44378.578518518516</v>
      </c>
      <c r="BC1360" s="2"/>
      <c r="BD1360" t="s">
        <v>91</v>
      </c>
      <c r="BF1360" s="1" t="s">
        <v>75</v>
      </c>
      <c r="BI1360" s="1" t="s">
        <v>88</v>
      </c>
      <c r="BJ1360">
        <v>1</v>
      </c>
      <c r="BK1360" s="1" t="s">
        <v>89</v>
      </c>
      <c r="BL1360" t="s">
        <v>91</v>
      </c>
      <c r="BM1360" s="1" t="s">
        <v>197</v>
      </c>
      <c r="BN1360" s="1" t="s">
        <v>110</v>
      </c>
      <c r="BO1360" s="1" t="s">
        <v>165</v>
      </c>
      <c r="BP1360" s="1" t="s">
        <v>91</v>
      </c>
      <c r="BQ1360" t="s">
        <v>91</v>
      </c>
      <c r="BR1360" s="3">
        <v>44378</v>
      </c>
      <c r="BS1360" s="3"/>
      <c r="BT1360" t="s">
        <v>91</v>
      </c>
      <c r="BU1360" t="s">
        <v>91</v>
      </c>
      <c r="BW1360" s="1" t="s">
        <v>90</v>
      </c>
    </row>
    <row r="1361" spans="1:75" hidden="1" x14ac:dyDescent="0.35">
      <c r="A1361">
        <v>157784</v>
      </c>
      <c r="B1361" s="1" t="s">
        <v>75</v>
      </c>
      <c r="C1361">
        <v>80</v>
      </c>
      <c r="D1361">
        <v>11121004</v>
      </c>
      <c r="E1361">
        <v>121004</v>
      </c>
      <c r="F1361" s="1" t="s">
        <v>6867</v>
      </c>
      <c r="G1361" s="1" t="s">
        <v>7373</v>
      </c>
      <c r="H1361">
        <v>0</v>
      </c>
      <c r="I1361" s="1" t="s">
        <v>78</v>
      </c>
      <c r="J1361" s="1" t="s">
        <v>7374</v>
      </c>
      <c r="K1361" s="1" t="s">
        <v>7375</v>
      </c>
      <c r="L1361" t="s">
        <v>91</v>
      </c>
      <c r="M1361" t="s">
        <v>91</v>
      </c>
      <c r="N1361" s="1" t="s">
        <v>7376</v>
      </c>
      <c r="O1361" t="s">
        <v>91</v>
      </c>
      <c r="P1361" s="1" t="s">
        <v>7377</v>
      </c>
      <c r="Q1361" s="1" t="s">
        <v>7378</v>
      </c>
      <c r="R1361" s="1" t="s">
        <v>91</v>
      </c>
      <c r="T1361">
        <v>88330484</v>
      </c>
      <c r="U1361" s="1" t="s">
        <v>108</v>
      </c>
      <c r="V1361" s="1" t="s">
        <v>5871</v>
      </c>
      <c r="W1361" s="1" t="s">
        <v>87</v>
      </c>
      <c r="X1361">
        <v>47</v>
      </c>
      <c r="Y1361">
        <v>988056255</v>
      </c>
      <c r="Z1361" t="s">
        <v>91</v>
      </c>
      <c r="AA1361" t="s">
        <v>91</v>
      </c>
      <c r="AB1361" t="s">
        <v>91</v>
      </c>
      <c r="AC1361" t="s">
        <v>91</v>
      </c>
      <c r="AD1361" t="s">
        <v>91</v>
      </c>
      <c r="AE1361" t="s">
        <v>91</v>
      </c>
      <c r="AF1361" t="s">
        <v>91</v>
      </c>
      <c r="AG1361" s="1" t="s">
        <v>91</v>
      </c>
      <c r="AH1361" s="1" t="s">
        <v>91</v>
      </c>
      <c r="AI1361" t="s">
        <v>91</v>
      </c>
      <c r="AM1361" t="s">
        <v>91</v>
      </c>
      <c r="AN1361" t="s">
        <v>91</v>
      </c>
      <c r="AO1361" t="s">
        <v>91</v>
      </c>
      <c r="AP1361" t="s">
        <v>91</v>
      </c>
      <c r="AQ1361" s="1" t="s">
        <v>91</v>
      </c>
      <c r="AR1361" s="1" t="s">
        <v>91</v>
      </c>
      <c r="AS1361" s="1" t="s">
        <v>91</v>
      </c>
      <c r="AT1361" s="1" t="s">
        <v>91</v>
      </c>
      <c r="AU1361" s="1" t="s">
        <v>91</v>
      </c>
      <c r="AV1361" t="s">
        <v>91</v>
      </c>
      <c r="AW1361" t="s">
        <v>91</v>
      </c>
      <c r="AX1361" t="s">
        <v>91</v>
      </c>
      <c r="AY1361" t="s">
        <v>91</v>
      </c>
      <c r="AZ1361" t="s">
        <v>91</v>
      </c>
      <c r="BA1361" t="s">
        <v>91</v>
      </c>
      <c r="BB1361" s="2">
        <v>45118.101759259262</v>
      </c>
      <c r="BC1361" s="2"/>
      <c r="BD1361" t="s">
        <v>91</v>
      </c>
      <c r="BF1361" s="1" t="s">
        <v>75</v>
      </c>
      <c r="BI1361" s="1" t="s">
        <v>88</v>
      </c>
      <c r="BJ1361">
        <v>1</v>
      </c>
      <c r="BK1361" s="1" t="s">
        <v>89</v>
      </c>
      <c r="BL1361" t="s">
        <v>91</v>
      </c>
      <c r="BM1361" s="1" t="s">
        <v>91</v>
      </c>
      <c r="BN1361" s="1" t="s">
        <v>91</v>
      </c>
      <c r="BO1361" s="1" t="s">
        <v>91</v>
      </c>
      <c r="BP1361" s="1" t="s">
        <v>91</v>
      </c>
      <c r="BQ1361" t="s">
        <v>91</v>
      </c>
      <c r="BR1361" s="3">
        <v>45118</v>
      </c>
      <c r="BS1361" s="3"/>
      <c r="BT1361" t="s">
        <v>91</v>
      </c>
      <c r="BU1361" t="s">
        <v>91</v>
      </c>
      <c r="BW1361" s="1" t="s">
        <v>90</v>
      </c>
    </row>
    <row r="1362" spans="1:75" hidden="1" x14ac:dyDescent="0.35">
      <c r="A1362">
        <v>137603</v>
      </c>
      <c r="B1362" s="1" t="s">
        <v>75</v>
      </c>
      <c r="C1362">
        <v>80</v>
      </c>
      <c r="D1362">
        <v>11121004</v>
      </c>
      <c r="E1362">
        <v>121004</v>
      </c>
      <c r="F1362" s="1" t="s">
        <v>6867</v>
      </c>
      <c r="G1362" s="1" t="s">
        <v>7379</v>
      </c>
      <c r="H1362">
        <v>0</v>
      </c>
      <c r="I1362" s="1" t="s">
        <v>78</v>
      </c>
      <c r="J1362" s="1" t="s">
        <v>7380</v>
      </c>
      <c r="K1362" s="1" t="s">
        <v>7381</v>
      </c>
      <c r="L1362" t="s">
        <v>91</v>
      </c>
      <c r="M1362" t="s">
        <v>91</v>
      </c>
      <c r="N1362" s="1" t="s">
        <v>7382</v>
      </c>
      <c r="O1362" t="s">
        <v>91</v>
      </c>
      <c r="P1362" s="1" t="s">
        <v>946</v>
      </c>
      <c r="Q1362" s="1" t="s">
        <v>4238</v>
      </c>
      <c r="R1362" s="1" t="s">
        <v>820</v>
      </c>
      <c r="T1362">
        <v>88350200</v>
      </c>
      <c r="U1362" s="1" t="s">
        <v>7383</v>
      </c>
      <c r="V1362" s="1" t="s">
        <v>6936</v>
      </c>
      <c r="W1362" s="1" t="s">
        <v>87</v>
      </c>
      <c r="X1362">
        <v>47</v>
      </c>
      <c r="Y1362">
        <v>30490520</v>
      </c>
      <c r="Z1362" t="s">
        <v>91</v>
      </c>
      <c r="AA1362" t="s">
        <v>91</v>
      </c>
      <c r="AB1362" t="s">
        <v>91</v>
      </c>
      <c r="AC1362" t="s">
        <v>91</v>
      </c>
      <c r="AD1362" t="s">
        <v>91</v>
      </c>
      <c r="AE1362" t="s">
        <v>91</v>
      </c>
      <c r="AF1362" t="s">
        <v>91</v>
      </c>
      <c r="AG1362" s="1" t="s">
        <v>146</v>
      </c>
      <c r="AH1362" s="1" t="s">
        <v>91</v>
      </c>
      <c r="AI1362" t="s">
        <v>91</v>
      </c>
      <c r="AM1362" t="s">
        <v>91</v>
      </c>
      <c r="AN1362" t="s">
        <v>91</v>
      </c>
      <c r="AO1362" t="s">
        <v>91</v>
      </c>
      <c r="AP1362" t="s">
        <v>91</v>
      </c>
      <c r="AQ1362" s="1" t="s">
        <v>147</v>
      </c>
      <c r="AR1362" s="1" t="s">
        <v>147</v>
      </c>
      <c r="AS1362" s="1" t="s">
        <v>147</v>
      </c>
      <c r="AT1362" s="1" t="s">
        <v>147</v>
      </c>
      <c r="AU1362" s="1" t="s">
        <v>147</v>
      </c>
      <c r="AV1362" t="s">
        <v>91</v>
      </c>
      <c r="AW1362" t="s">
        <v>91</v>
      </c>
      <c r="AX1362" t="s">
        <v>91</v>
      </c>
      <c r="AY1362" t="s">
        <v>91</v>
      </c>
      <c r="AZ1362" t="s">
        <v>91</v>
      </c>
      <c r="BA1362" t="s">
        <v>91</v>
      </c>
      <c r="BB1362" s="2">
        <v>44378.578518518516</v>
      </c>
      <c r="BC1362" s="2">
        <v>44642.47252314815</v>
      </c>
      <c r="BD1362" t="s">
        <v>91</v>
      </c>
      <c r="BF1362" s="1" t="s">
        <v>75</v>
      </c>
      <c r="BH1362">
        <v>0</v>
      </c>
      <c r="BI1362" s="1" t="s">
        <v>88</v>
      </c>
      <c r="BJ1362">
        <v>1</v>
      </c>
      <c r="BK1362" s="1" t="s">
        <v>89</v>
      </c>
      <c r="BL1362" t="s">
        <v>91</v>
      </c>
      <c r="BM1362" s="1" t="s">
        <v>109</v>
      </c>
      <c r="BN1362" s="1" t="s">
        <v>110</v>
      </c>
      <c r="BO1362" s="1" t="s">
        <v>180</v>
      </c>
      <c r="BP1362" s="1" t="s">
        <v>91</v>
      </c>
      <c r="BQ1362" t="s">
        <v>91</v>
      </c>
      <c r="BR1362" s="3">
        <v>44378</v>
      </c>
      <c r="BS1362" s="3">
        <v>44642</v>
      </c>
      <c r="BT1362" t="s">
        <v>91</v>
      </c>
      <c r="BU1362" t="s">
        <v>91</v>
      </c>
      <c r="BW1362" s="1" t="s">
        <v>882</v>
      </c>
    </row>
    <row r="1363" spans="1:75" hidden="1" x14ac:dyDescent="0.35">
      <c r="A1363">
        <v>127565</v>
      </c>
      <c r="B1363" s="1" t="s">
        <v>75</v>
      </c>
      <c r="C1363">
        <v>80</v>
      </c>
      <c r="D1363">
        <v>11121004</v>
      </c>
      <c r="E1363">
        <v>121004</v>
      </c>
      <c r="F1363" s="1" t="s">
        <v>6867</v>
      </c>
      <c r="G1363" s="1" t="s">
        <v>7384</v>
      </c>
      <c r="H1363">
        <v>0</v>
      </c>
      <c r="I1363" s="1" t="s">
        <v>78</v>
      </c>
      <c r="J1363" s="1" t="s">
        <v>7385</v>
      </c>
      <c r="K1363" s="1" t="s">
        <v>7386</v>
      </c>
      <c r="L1363" t="s">
        <v>91</v>
      </c>
      <c r="M1363" t="s">
        <v>91</v>
      </c>
      <c r="N1363" s="1" t="s">
        <v>7387</v>
      </c>
      <c r="O1363" t="s">
        <v>91</v>
      </c>
      <c r="P1363" s="1" t="s">
        <v>3970</v>
      </c>
      <c r="Q1363" s="1" t="s">
        <v>7388</v>
      </c>
      <c r="R1363" s="1" t="s">
        <v>370</v>
      </c>
      <c r="S1363">
        <v>1260</v>
      </c>
      <c r="T1363">
        <v>88220000</v>
      </c>
      <c r="U1363" s="1" t="s">
        <v>7195</v>
      </c>
      <c r="V1363" s="1" t="s">
        <v>7015</v>
      </c>
      <c r="W1363" s="1" t="s">
        <v>87</v>
      </c>
      <c r="X1363">
        <v>47</v>
      </c>
      <c r="Y1363">
        <v>32645266</v>
      </c>
      <c r="Z1363" t="s">
        <v>91</v>
      </c>
      <c r="AA1363" t="s">
        <v>91</v>
      </c>
      <c r="AB1363" t="s">
        <v>91</v>
      </c>
      <c r="AC1363" t="s">
        <v>91</v>
      </c>
      <c r="AD1363" t="s">
        <v>91</v>
      </c>
      <c r="AE1363" t="s">
        <v>91</v>
      </c>
      <c r="AF1363" t="s">
        <v>91</v>
      </c>
      <c r="AG1363" s="1" t="s">
        <v>91</v>
      </c>
      <c r="AH1363" s="1" t="s">
        <v>91</v>
      </c>
      <c r="AI1363" t="s">
        <v>91</v>
      </c>
      <c r="AJ1363">
        <v>0</v>
      </c>
      <c r="AK1363">
        <v>0</v>
      </c>
      <c r="AL1363">
        <v>0</v>
      </c>
      <c r="AM1363" t="s">
        <v>91</v>
      </c>
      <c r="AN1363" t="s">
        <v>91</v>
      </c>
      <c r="AO1363" t="s">
        <v>91</v>
      </c>
      <c r="AP1363" t="s">
        <v>91</v>
      </c>
      <c r="AQ1363" s="1" t="s">
        <v>91</v>
      </c>
      <c r="AR1363" s="1" t="s">
        <v>91</v>
      </c>
      <c r="AS1363" s="1" t="s">
        <v>91</v>
      </c>
      <c r="AT1363" s="1" t="s">
        <v>91</v>
      </c>
      <c r="AU1363" s="1" t="s">
        <v>91</v>
      </c>
      <c r="AV1363" t="s">
        <v>91</v>
      </c>
      <c r="AW1363" t="s">
        <v>91</v>
      </c>
      <c r="AX1363" t="s">
        <v>91</v>
      </c>
      <c r="AY1363" t="s">
        <v>91</v>
      </c>
      <c r="AZ1363" t="s">
        <v>91</v>
      </c>
      <c r="BA1363" t="s">
        <v>91</v>
      </c>
      <c r="BB1363" s="2">
        <v>44111.380995370368</v>
      </c>
      <c r="BC1363" s="2"/>
      <c r="BD1363" t="s">
        <v>91</v>
      </c>
      <c r="BF1363" s="1" t="s">
        <v>75</v>
      </c>
      <c r="BG1363">
        <v>0</v>
      </c>
      <c r="BH1363">
        <v>0</v>
      </c>
      <c r="BI1363" s="1" t="s">
        <v>88</v>
      </c>
      <c r="BJ1363">
        <v>1</v>
      </c>
      <c r="BK1363" s="1" t="s">
        <v>89</v>
      </c>
      <c r="BL1363" t="s">
        <v>91</v>
      </c>
      <c r="BM1363" s="1" t="s">
        <v>109</v>
      </c>
      <c r="BN1363" s="1" t="s">
        <v>148</v>
      </c>
      <c r="BO1363" s="1" t="s">
        <v>165</v>
      </c>
      <c r="BP1363" s="1" t="s">
        <v>91</v>
      </c>
      <c r="BQ1363" t="s">
        <v>91</v>
      </c>
      <c r="BR1363" s="3">
        <v>44111</v>
      </c>
      <c r="BS1363" s="3"/>
      <c r="BT1363" t="s">
        <v>91</v>
      </c>
      <c r="BU1363" t="s">
        <v>91</v>
      </c>
      <c r="BV1363">
        <v>5</v>
      </c>
      <c r="BW1363" s="1" t="s">
        <v>5452</v>
      </c>
    </row>
    <row r="1364" spans="1:75" hidden="1" x14ac:dyDescent="0.35">
      <c r="A1364">
        <v>157740</v>
      </c>
      <c r="B1364" s="1" t="s">
        <v>75</v>
      </c>
      <c r="C1364">
        <v>80</v>
      </c>
      <c r="D1364">
        <v>11121004</v>
      </c>
      <c r="E1364">
        <v>121004</v>
      </c>
      <c r="F1364" s="1" t="s">
        <v>6867</v>
      </c>
      <c r="G1364" s="1" t="s">
        <v>7389</v>
      </c>
      <c r="H1364">
        <v>0</v>
      </c>
      <c r="I1364" s="1" t="s">
        <v>78</v>
      </c>
      <c r="J1364" s="1" t="s">
        <v>7385</v>
      </c>
      <c r="K1364" s="1" t="s">
        <v>7390</v>
      </c>
      <c r="L1364" t="s">
        <v>91</v>
      </c>
      <c r="M1364" t="s">
        <v>91</v>
      </c>
      <c r="N1364" s="1" t="s">
        <v>6902</v>
      </c>
      <c r="O1364" t="s">
        <v>91</v>
      </c>
      <c r="P1364" s="1" t="s">
        <v>7391</v>
      </c>
      <c r="Q1364" s="1" t="s">
        <v>3115</v>
      </c>
      <c r="R1364" s="1" t="s">
        <v>91</v>
      </c>
      <c r="S1364">
        <v>1263</v>
      </c>
      <c r="T1364">
        <v>88350040</v>
      </c>
      <c r="U1364" s="1" t="s">
        <v>108</v>
      </c>
      <c r="V1364" s="1" t="s">
        <v>6936</v>
      </c>
      <c r="W1364" s="1" t="s">
        <v>87</v>
      </c>
      <c r="X1364">
        <v>47</v>
      </c>
      <c r="Y1364">
        <v>33556142</v>
      </c>
      <c r="Z1364" t="s">
        <v>91</v>
      </c>
      <c r="AA1364" t="s">
        <v>91</v>
      </c>
      <c r="AB1364" t="s">
        <v>91</v>
      </c>
      <c r="AC1364" t="s">
        <v>91</v>
      </c>
      <c r="AD1364" t="s">
        <v>91</v>
      </c>
      <c r="AE1364" t="s">
        <v>91</v>
      </c>
      <c r="AF1364" t="s">
        <v>91</v>
      </c>
      <c r="AG1364" s="1" t="s">
        <v>91</v>
      </c>
      <c r="AH1364" s="1" t="s">
        <v>91</v>
      </c>
      <c r="AI1364" t="s">
        <v>91</v>
      </c>
      <c r="AM1364" t="s">
        <v>91</v>
      </c>
      <c r="AN1364" t="s">
        <v>91</v>
      </c>
      <c r="AO1364" t="s">
        <v>91</v>
      </c>
      <c r="AP1364" t="s">
        <v>91</v>
      </c>
      <c r="AQ1364" s="1" t="s">
        <v>91</v>
      </c>
      <c r="AR1364" s="1" t="s">
        <v>91</v>
      </c>
      <c r="AS1364" s="1" t="s">
        <v>91</v>
      </c>
      <c r="AT1364" s="1" t="s">
        <v>91</v>
      </c>
      <c r="AU1364" s="1" t="s">
        <v>91</v>
      </c>
      <c r="AV1364" t="s">
        <v>91</v>
      </c>
      <c r="AW1364" t="s">
        <v>91</v>
      </c>
      <c r="AX1364" t="s">
        <v>91</v>
      </c>
      <c r="AY1364" t="s">
        <v>91</v>
      </c>
      <c r="AZ1364" t="s">
        <v>91</v>
      </c>
      <c r="BA1364" t="s">
        <v>91</v>
      </c>
      <c r="BB1364" s="2">
        <v>45118.101759259262</v>
      </c>
      <c r="BC1364" s="2"/>
      <c r="BD1364" t="s">
        <v>91</v>
      </c>
      <c r="BF1364" s="1" t="s">
        <v>75</v>
      </c>
      <c r="BI1364" s="1" t="s">
        <v>88</v>
      </c>
      <c r="BJ1364">
        <v>1</v>
      </c>
      <c r="BK1364" s="1" t="s">
        <v>89</v>
      </c>
      <c r="BL1364" t="s">
        <v>91</v>
      </c>
      <c r="BM1364" s="1" t="s">
        <v>91</v>
      </c>
      <c r="BN1364" s="1" t="s">
        <v>91</v>
      </c>
      <c r="BO1364" s="1" t="s">
        <v>91</v>
      </c>
      <c r="BP1364" s="1" t="s">
        <v>91</v>
      </c>
      <c r="BQ1364" t="s">
        <v>91</v>
      </c>
      <c r="BR1364" s="3">
        <v>45118</v>
      </c>
      <c r="BS1364" s="3"/>
      <c r="BT1364" t="s">
        <v>91</v>
      </c>
      <c r="BU1364" t="s">
        <v>91</v>
      </c>
      <c r="BW1364" s="1" t="s">
        <v>2596</v>
      </c>
    </row>
    <row r="1365" spans="1:75" hidden="1" x14ac:dyDescent="0.35">
      <c r="A1365">
        <v>157749</v>
      </c>
      <c r="B1365" s="1" t="s">
        <v>75</v>
      </c>
      <c r="C1365">
        <v>80</v>
      </c>
      <c r="D1365">
        <v>11121004</v>
      </c>
      <c r="E1365">
        <v>121004</v>
      </c>
      <c r="F1365" s="1" t="s">
        <v>6867</v>
      </c>
      <c r="G1365" s="1" t="s">
        <v>7392</v>
      </c>
      <c r="H1365">
        <v>0</v>
      </c>
      <c r="I1365" s="1" t="s">
        <v>78</v>
      </c>
      <c r="J1365" s="1" t="s">
        <v>7393</v>
      </c>
      <c r="K1365" s="1" t="s">
        <v>7394</v>
      </c>
      <c r="L1365" t="s">
        <v>91</v>
      </c>
      <c r="M1365" t="s">
        <v>91</v>
      </c>
      <c r="N1365" s="1" t="s">
        <v>91</v>
      </c>
      <c r="O1365" t="s">
        <v>91</v>
      </c>
      <c r="P1365" s="1" t="s">
        <v>7000</v>
      </c>
      <c r="Q1365" s="1" t="s">
        <v>1899</v>
      </c>
      <c r="R1365" s="1" t="s">
        <v>236</v>
      </c>
      <c r="S1365">
        <v>1260</v>
      </c>
      <c r="T1365">
        <v>88200000</v>
      </c>
      <c r="U1365" s="1" t="s">
        <v>108</v>
      </c>
      <c r="V1365" s="1" t="s">
        <v>6906</v>
      </c>
      <c r="W1365" s="1" t="s">
        <v>87</v>
      </c>
      <c r="X1365">
        <v>48</v>
      </c>
      <c r="Y1365">
        <v>32637355</v>
      </c>
      <c r="Z1365" t="s">
        <v>91</v>
      </c>
      <c r="AA1365" t="s">
        <v>91</v>
      </c>
      <c r="AB1365" t="s">
        <v>91</v>
      </c>
      <c r="AC1365" t="s">
        <v>91</v>
      </c>
      <c r="AD1365" t="s">
        <v>91</v>
      </c>
      <c r="AE1365" t="s">
        <v>91</v>
      </c>
      <c r="AF1365" t="s">
        <v>91</v>
      </c>
      <c r="AG1365" s="1" t="s">
        <v>146</v>
      </c>
      <c r="AH1365" s="1" t="s">
        <v>91</v>
      </c>
      <c r="AI1365" t="s">
        <v>91</v>
      </c>
      <c r="AM1365" t="s">
        <v>91</v>
      </c>
      <c r="AN1365" t="s">
        <v>91</v>
      </c>
      <c r="AO1365" t="s">
        <v>91</v>
      </c>
      <c r="AP1365" t="s">
        <v>91</v>
      </c>
      <c r="AQ1365" s="1" t="s">
        <v>147</v>
      </c>
      <c r="AR1365" s="1" t="s">
        <v>147</v>
      </c>
      <c r="AS1365" s="1" t="s">
        <v>147</v>
      </c>
      <c r="AT1365" s="1" t="s">
        <v>147</v>
      </c>
      <c r="AU1365" s="1" t="s">
        <v>147</v>
      </c>
      <c r="AV1365" t="s">
        <v>91</v>
      </c>
      <c r="AW1365" t="s">
        <v>91</v>
      </c>
      <c r="AX1365" t="s">
        <v>91</v>
      </c>
      <c r="AY1365" t="s">
        <v>91</v>
      </c>
      <c r="AZ1365" t="s">
        <v>91</v>
      </c>
      <c r="BA1365" t="s">
        <v>91</v>
      </c>
      <c r="BB1365" s="2">
        <v>45118.101759259262</v>
      </c>
      <c r="BC1365" s="2">
        <v>45131.690185185187</v>
      </c>
      <c r="BD1365" t="s">
        <v>91</v>
      </c>
      <c r="BF1365" s="1" t="s">
        <v>75</v>
      </c>
      <c r="BH1365">
        <v>0</v>
      </c>
      <c r="BI1365" s="1" t="s">
        <v>721</v>
      </c>
      <c r="BJ1365">
        <v>1</v>
      </c>
      <c r="BK1365" s="1" t="s">
        <v>89</v>
      </c>
      <c r="BL1365" t="s">
        <v>91</v>
      </c>
      <c r="BM1365" s="1" t="s">
        <v>91</v>
      </c>
      <c r="BN1365" s="1" t="s">
        <v>91</v>
      </c>
      <c r="BO1365" s="1" t="s">
        <v>91</v>
      </c>
      <c r="BP1365" s="1" t="s">
        <v>91</v>
      </c>
      <c r="BQ1365" t="s">
        <v>91</v>
      </c>
      <c r="BR1365" s="3">
        <v>45118</v>
      </c>
      <c r="BS1365" s="3">
        <v>45131</v>
      </c>
      <c r="BT1365" t="s">
        <v>91</v>
      </c>
      <c r="BU1365" t="s">
        <v>91</v>
      </c>
      <c r="BW1365" s="1" t="s">
        <v>1260</v>
      </c>
    </row>
    <row r="1366" spans="1:75" hidden="1" x14ac:dyDescent="0.35">
      <c r="A1366">
        <v>157806</v>
      </c>
      <c r="B1366" s="1" t="s">
        <v>75</v>
      </c>
      <c r="C1366">
        <v>80</v>
      </c>
      <c r="D1366">
        <v>11121004</v>
      </c>
      <c r="E1366">
        <v>121004</v>
      </c>
      <c r="F1366" s="1" t="s">
        <v>6867</v>
      </c>
      <c r="G1366" s="1" t="s">
        <v>7395</v>
      </c>
      <c r="H1366">
        <v>0</v>
      </c>
      <c r="I1366" s="1" t="s">
        <v>78</v>
      </c>
      <c r="J1366" s="1" t="s">
        <v>7393</v>
      </c>
      <c r="K1366" s="1" t="s">
        <v>7396</v>
      </c>
      <c r="L1366" t="s">
        <v>91</v>
      </c>
      <c r="M1366" t="s">
        <v>91</v>
      </c>
      <c r="N1366" s="1" t="s">
        <v>7397</v>
      </c>
      <c r="O1366" t="s">
        <v>91</v>
      </c>
      <c r="P1366" s="1" t="s">
        <v>6975</v>
      </c>
      <c r="Q1366" s="1" t="s">
        <v>6904</v>
      </c>
      <c r="R1366" s="1" t="s">
        <v>7398</v>
      </c>
      <c r="S1366">
        <v>1260</v>
      </c>
      <c r="T1366">
        <v>88200000</v>
      </c>
      <c r="U1366" s="1" t="s">
        <v>108</v>
      </c>
      <c r="V1366" s="1" t="s">
        <v>6906</v>
      </c>
      <c r="W1366" s="1" t="s">
        <v>87</v>
      </c>
      <c r="X1366">
        <v>48</v>
      </c>
      <c r="Y1366">
        <v>32634091</v>
      </c>
      <c r="Z1366" t="s">
        <v>91</v>
      </c>
      <c r="AA1366" t="s">
        <v>91</v>
      </c>
      <c r="AB1366" t="s">
        <v>91</v>
      </c>
      <c r="AC1366" t="s">
        <v>91</v>
      </c>
      <c r="AD1366" t="s">
        <v>91</v>
      </c>
      <c r="AE1366" t="s">
        <v>91</v>
      </c>
      <c r="AF1366" t="s">
        <v>91</v>
      </c>
      <c r="AG1366" s="1" t="s">
        <v>91</v>
      </c>
      <c r="AH1366" s="1" t="s">
        <v>91</v>
      </c>
      <c r="AI1366" t="s">
        <v>91</v>
      </c>
      <c r="AM1366" t="s">
        <v>91</v>
      </c>
      <c r="AN1366" t="s">
        <v>91</v>
      </c>
      <c r="AO1366" t="s">
        <v>91</v>
      </c>
      <c r="AP1366" t="s">
        <v>91</v>
      </c>
      <c r="AQ1366" s="1" t="s">
        <v>91</v>
      </c>
      <c r="AR1366" s="1" t="s">
        <v>91</v>
      </c>
      <c r="AS1366" s="1" t="s">
        <v>91</v>
      </c>
      <c r="AT1366" s="1" t="s">
        <v>91</v>
      </c>
      <c r="AU1366" s="1" t="s">
        <v>91</v>
      </c>
      <c r="AV1366" t="s">
        <v>91</v>
      </c>
      <c r="AW1366" t="s">
        <v>91</v>
      </c>
      <c r="AX1366" t="s">
        <v>91</v>
      </c>
      <c r="AY1366" t="s">
        <v>91</v>
      </c>
      <c r="AZ1366" t="s">
        <v>91</v>
      </c>
      <c r="BA1366" t="s">
        <v>91</v>
      </c>
      <c r="BB1366" s="2">
        <v>45118.101759259262</v>
      </c>
      <c r="BC1366" s="2"/>
      <c r="BD1366" t="s">
        <v>91</v>
      </c>
      <c r="BF1366" s="1" t="s">
        <v>75</v>
      </c>
      <c r="BI1366" s="1" t="s">
        <v>88</v>
      </c>
      <c r="BJ1366">
        <v>1</v>
      </c>
      <c r="BK1366" s="1" t="s">
        <v>89</v>
      </c>
      <c r="BL1366" t="s">
        <v>91</v>
      </c>
      <c r="BM1366" s="1" t="s">
        <v>91</v>
      </c>
      <c r="BN1366" s="1" t="s">
        <v>91</v>
      </c>
      <c r="BO1366" s="1" t="s">
        <v>91</v>
      </c>
      <c r="BP1366" s="1" t="s">
        <v>91</v>
      </c>
      <c r="BQ1366" t="s">
        <v>91</v>
      </c>
      <c r="BR1366" s="3">
        <v>45118</v>
      </c>
      <c r="BS1366" s="3"/>
      <c r="BT1366" t="s">
        <v>91</v>
      </c>
      <c r="BU1366" t="s">
        <v>91</v>
      </c>
      <c r="BW1366" s="1" t="s">
        <v>90</v>
      </c>
    </row>
    <row r="1367" spans="1:75" hidden="1" x14ac:dyDescent="0.35">
      <c r="A1367">
        <v>157776</v>
      </c>
      <c r="B1367" s="1" t="s">
        <v>75</v>
      </c>
      <c r="C1367">
        <v>80</v>
      </c>
      <c r="D1367">
        <v>11121004</v>
      </c>
      <c r="E1367">
        <v>121004</v>
      </c>
      <c r="F1367" s="1" t="s">
        <v>6867</v>
      </c>
      <c r="G1367" s="1" t="s">
        <v>7399</v>
      </c>
      <c r="H1367">
        <v>0</v>
      </c>
      <c r="I1367" s="1" t="s">
        <v>78</v>
      </c>
      <c r="J1367" s="1" t="s">
        <v>7400</v>
      </c>
      <c r="K1367" s="1" t="s">
        <v>7401</v>
      </c>
      <c r="L1367" t="s">
        <v>91</v>
      </c>
      <c r="M1367" t="s">
        <v>91</v>
      </c>
      <c r="N1367" s="1" t="s">
        <v>7402</v>
      </c>
      <c r="O1367" t="s">
        <v>91</v>
      </c>
      <c r="P1367" s="1" t="s">
        <v>7403</v>
      </c>
      <c r="Q1367" s="1" t="s">
        <v>6825</v>
      </c>
      <c r="R1367" s="1" t="s">
        <v>91</v>
      </c>
      <c r="T1367">
        <v>88343235</v>
      </c>
      <c r="U1367" s="1" t="s">
        <v>7404</v>
      </c>
      <c r="V1367" s="1" t="s">
        <v>7121</v>
      </c>
      <c r="W1367" s="1" t="s">
        <v>87</v>
      </c>
      <c r="X1367">
        <v>11</v>
      </c>
      <c r="Y1367">
        <v>995124001</v>
      </c>
      <c r="Z1367" t="s">
        <v>91</v>
      </c>
      <c r="AA1367" t="s">
        <v>91</v>
      </c>
      <c r="AB1367" t="s">
        <v>91</v>
      </c>
      <c r="AC1367" t="s">
        <v>91</v>
      </c>
      <c r="AD1367" t="s">
        <v>91</v>
      </c>
      <c r="AE1367" t="s">
        <v>91</v>
      </c>
      <c r="AF1367" t="s">
        <v>91</v>
      </c>
      <c r="AG1367" s="1" t="s">
        <v>91</v>
      </c>
      <c r="AH1367" s="1" t="s">
        <v>91</v>
      </c>
      <c r="AI1367" t="s">
        <v>91</v>
      </c>
      <c r="AM1367" t="s">
        <v>91</v>
      </c>
      <c r="AN1367" t="s">
        <v>91</v>
      </c>
      <c r="AO1367" t="s">
        <v>91</v>
      </c>
      <c r="AP1367" t="s">
        <v>91</v>
      </c>
      <c r="AQ1367" s="1" t="s">
        <v>91</v>
      </c>
      <c r="AR1367" s="1" t="s">
        <v>91</v>
      </c>
      <c r="AS1367" s="1" t="s">
        <v>91</v>
      </c>
      <c r="AT1367" s="1" t="s">
        <v>91</v>
      </c>
      <c r="AU1367" s="1" t="s">
        <v>91</v>
      </c>
      <c r="AV1367" t="s">
        <v>91</v>
      </c>
      <c r="AW1367" t="s">
        <v>91</v>
      </c>
      <c r="AX1367" t="s">
        <v>91</v>
      </c>
      <c r="AY1367" t="s">
        <v>91</v>
      </c>
      <c r="AZ1367" t="s">
        <v>91</v>
      </c>
      <c r="BA1367" t="s">
        <v>91</v>
      </c>
      <c r="BB1367" s="2">
        <v>45118.101759259262</v>
      </c>
      <c r="BC1367" s="2"/>
      <c r="BD1367" t="s">
        <v>91</v>
      </c>
      <c r="BF1367" s="1" t="s">
        <v>75</v>
      </c>
      <c r="BI1367" s="1" t="s">
        <v>88</v>
      </c>
      <c r="BJ1367">
        <v>1</v>
      </c>
      <c r="BK1367" s="1" t="s">
        <v>89</v>
      </c>
      <c r="BL1367" t="s">
        <v>91</v>
      </c>
      <c r="BM1367" s="1" t="s">
        <v>91</v>
      </c>
      <c r="BN1367" s="1" t="s">
        <v>91</v>
      </c>
      <c r="BO1367" s="1" t="s">
        <v>91</v>
      </c>
      <c r="BP1367" s="1" t="s">
        <v>91</v>
      </c>
      <c r="BQ1367" t="s">
        <v>91</v>
      </c>
      <c r="BR1367" s="3">
        <v>45118</v>
      </c>
      <c r="BS1367" s="3"/>
      <c r="BT1367" t="s">
        <v>91</v>
      </c>
      <c r="BU1367" t="s">
        <v>91</v>
      </c>
      <c r="BW1367" s="1" t="s">
        <v>90</v>
      </c>
    </row>
    <row r="1368" spans="1:75" hidden="1" x14ac:dyDescent="0.35">
      <c r="A1368">
        <v>137611</v>
      </c>
      <c r="B1368" s="1" t="s">
        <v>75</v>
      </c>
      <c r="C1368">
        <v>80</v>
      </c>
      <c r="D1368">
        <v>11121004</v>
      </c>
      <c r="E1368">
        <v>121004</v>
      </c>
      <c r="F1368" s="1" t="s">
        <v>6867</v>
      </c>
      <c r="G1368" s="1" t="s">
        <v>7405</v>
      </c>
      <c r="H1368">
        <v>0</v>
      </c>
      <c r="I1368" s="1" t="s">
        <v>78</v>
      </c>
      <c r="J1368" s="1" t="s">
        <v>7406</v>
      </c>
      <c r="K1368" s="1" t="s">
        <v>7407</v>
      </c>
      <c r="L1368" t="s">
        <v>91</v>
      </c>
      <c r="M1368" t="s">
        <v>91</v>
      </c>
      <c r="N1368" s="1" t="s">
        <v>7408</v>
      </c>
      <c r="O1368" t="s">
        <v>91</v>
      </c>
      <c r="P1368" s="1" t="s">
        <v>7409</v>
      </c>
      <c r="Q1368" s="1" t="s">
        <v>7065</v>
      </c>
      <c r="R1368" s="1" t="s">
        <v>173</v>
      </c>
      <c r="S1368">
        <v>1273</v>
      </c>
      <c r="T1368">
        <v>89065800</v>
      </c>
      <c r="U1368" s="1" t="s">
        <v>7067</v>
      </c>
      <c r="V1368" s="1" t="s">
        <v>3571</v>
      </c>
      <c r="W1368" s="1" t="s">
        <v>87</v>
      </c>
      <c r="X1368">
        <v>47</v>
      </c>
      <c r="Y1368">
        <v>30572474</v>
      </c>
      <c r="Z1368" t="s">
        <v>91</v>
      </c>
      <c r="AA1368" t="s">
        <v>91</v>
      </c>
      <c r="AB1368" t="s">
        <v>91</v>
      </c>
      <c r="AC1368" t="s">
        <v>91</v>
      </c>
      <c r="AD1368" t="s">
        <v>91</v>
      </c>
      <c r="AE1368" t="s">
        <v>91</v>
      </c>
      <c r="AF1368" t="s">
        <v>91</v>
      </c>
      <c r="AG1368" s="1" t="s">
        <v>146</v>
      </c>
      <c r="AH1368" s="1" t="s">
        <v>91</v>
      </c>
      <c r="AI1368" t="s">
        <v>91</v>
      </c>
      <c r="AM1368" t="s">
        <v>91</v>
      </c>
      <c r="AN1368" t="s">
        <v>91</v>
      </c>
      <c r="AO1368" t="s">
        <v>91</v>
      </c>
      <c r="AP1368" t="s">
        <v>91</v>
      </c>
      <c r="AQ1368" s="1" t="s">
        <v>147</v>
      </c>
      <c r="AR1368" s="1" t="s">
        <v>147</v>
      </c>
      <c r="AS1368" s="1" t="s">
        <v>147</v>
      </c>
      <c r="AT1368" s="1" t="s">
        <v>147</v>
      </c>
      <c r="AU1368" s="1" t="s">
        <v>147</v>
      </c>
      <c r="AV1368" t="s">
        <v>91</v>
      </c>
      <c r="AW1368" t="s">
        <v>91</v>
      </c>
      <c r="AX1368" t="s">
        <v>91</v>
      </c>
      <c r="AY1368" t="s">
        <v>91</v>
      </c>
      <c r="AZ1368" t="s">
        <v>91</v>
      </c>
      <c r="BA1368" t="s">
        <v>91</v>
      </c>
      <c r="BB1368" s="2">
        <v>44378.578518518516</v>
      </c>
      <c r="BC1368" s="2">
        <v>44559.614004629628</v>
      </c>
      <c r="BD1368" t="s">
        <v>91</v>
      </c>
      <c r="BF1368" s="1" t="s">
        <v>75</v>
      </c>
      <c r="BH1368">
        <v>0</v>
      </c>
      <c r="BI1368" s="1" t="s">
        <v>88</v>
      </c>
      <c r="BJ1368">
        <v>1</v>
      </c>
      <c r="BK1368" s="1" t="s">
        <v>89</v>
      </c>
      <c r="BL1368" t="s">
        <v>91</v>
      </c>
      <c r="BM1368" s="1" t="s">
        <v>109</v>
      </c>
      <c r="BN1368" s="1" t="s">
        <v>110</v>
      </c>
      <c r="BO1368" s="1" t="s">
        <v>91</v>
      </c>
      <c r="BP1368" s="1" t="s">
        <v>91</v>
      </c>
      <c r="BQ1368" t="s">
        <v>91</v>
      </c>
      <c r="BR1368" s="3">
        <v>44378</v>
      </c>
      <c r="BS1368" s="3">
        <v>44559</v>
      </c>
      <c r="BT1368" t="s">
        <v>91</v>
      </c>
      <c r="BU1368" t="s">
        <v>91</v>
      </c>
      <c r="BW1368" s="1" t="s">
        <v>1469</v>
      </c>
    </row>
    <row r="1369" spans="1:75" hidden="1" x14ac:dyDescent="0.35">
      <c r="A1369">
        <v>137612</v>
      </c>
      <c r="B1369" s="1" t="s">
        <v>75</v>
      </c>
      <c r="C1369">
        <v>80</v>
      </c>
      <c r="D1369">
        <v>11121004</v>
      </c>
      <c r="E1369">
        <v>121004</v>
      </c>
      <c r="F1369" s="1" t="s">
        <v>6867</v>
      </c>
      <c r="G1369" s="1" t="s">
        <v>7410</v>
      </c>
      <c r="H1369">
        <v>0</v>
      </c>
      <c r="I1369" s="1" t="s">
        <v>78</v>
      </c>
      <c r="J1369" s="1" t="s">
        <v>7411</v>
      </c>
      <c r="K1369" s="1" t="s">
        <v>7412</v>
      </c>
      <c r="L1369" t="s">
        <v>91</v>
      </c>
      <c r="M1369" t="s">
        <v>91</v>
      </c>
      <c r="N1369" s="1" t="s">
        <v>7413</v>
      </c>
      <c r="O1369" t="s">
        <v>91</v>
      </c>
      <c r="P1369" s="1" t="s">
        <v>7414</v>
      </c>
      <c r="Q1369" s="1" t="s">
        <v>4505</v>
      </c>
      <c r="R1369" s="1" t="s">
        <v>91</v>
      </c>
      <c r="S1369">
        <v>1263</v>
      </c>
      <c r="T1369">
        <v>88350345</v>
      </c>
      <c r="U1369" s="1" t="s">
        <v>108</v>
      </c>
      <c r="V1369" s="1" t="s">
        <v>6936</v>
      </c>
      <c r="W1369" s="1" t="s">
        <v>87</v>
      </c>
      <c r="X1369">
        <v>47</v>
      </c>
      <c r="Y1369">
        <v>84494348</v>
      </c>
      <c r="Z1369" t="s">
        <v>91</v>
      </c>
      <c r="AA1369" t="s">
        <v>91</v>
      </c>
      <c r="AB1369" t="s">
        <v>91</v>
      </c>
      <c r="AC1369" t="s">
        <v>91</v>
      </c>
      <c r="AD1369" t="s">
        <v>91</v>
      </c>
      <c r="AE1369" t="s">
        <v>91</v>
      </c>
      <c r="AF1369" t="s">
        <v>91</v>
      </c>
      <c r="AG1369" s="1" t="s">
        <v>91</v>
      </c>
      <c r="AH1369" s="1" t="s">
        <v>91</v>
      </c>
      <c r="AI1369" t="s">
        <v>91</v>
      </c>
      <c r="AM1369" t="s">
        <v>91</v>
      </c>
      <c r="AN1369" t="s">
        <v>91</v>
      </c>
      <c r="AO1369" t="s">
        <v>91</v>
      </c>
      <c r="AP1369" t="s">
        <v>91</v>
      </c>
      <c r="AQ1369" s="1" t="s">
        <v>91</v>
      </c>
      <c r="AR1369" s="1" t="s">
        <v>91</v>
      </c>
      <c r="AS1369" s="1" t="s">
        <v>91</v>
      </c>
      <c r="AT1369" s="1" t="s">
        <v>91</v>
      </c>
      <c r="AU1369" s="1" t="s">
        <v>91</v>
      </c>
      <c r="AV1369" t="s">
        <v>91</v>
      </c>
      <c r="AW1369" t="s">
        <v>91</v>
      </c>
      <c r="AX1369" t="s">
        <v>91</v>
      </c>
      <c r="AY1369" t="s">
        <v>91</v>
      </c>
      <c r="AZ1369" t="s">
        <v>91</v>
      </c>
      <c r="BA1369" t="s">
        <v>91</v>
      </c>
      <c r="BB1369" s="2">
        <v>44378.578518518516</v>
      </c>
      <c r="BC1369" s="2"/>
      <c r="BD1369" t="s">
        <v>91</v>
      </c>
      <c r="BF1369" s="1" t="s">
        <v>75</v>
      </c>
      <c r="BI1369" s="1" t="s">
        <v>88</v>
      </c>
      <c r="BJ1369">
        <v>1</v>
      </c>
      <c r="BK1369" s="1" t="s">
        <v>89</v>
      </c>
      <c r="BL1369" t="s">
        <v>91</v>
      </c>
      <c r="BM1369" s="1" t="s">
        <v>109</v>
      </c>
      <c r="BN1369" s="1" t="s">
        <v>110</v>
      </c>
      <c r="BO1369" s="1" t="s">
        <v>128</v>
      </c>
      <c r="BP1369" s="1" t="s">
        <v>91</v>
      </c>
      <c r="BQ1369" t="s">
        <v>91</v>
      </c>
      <c r="BR1369" s="3">
        <v>44378</v>
      </c>
      <c r="BS1369" s="3"/>
      <c r="BT1369" t="s">
        <v>91</v>
      </c>
      <c r="BU1369" t="s">
        <v>91</v>
      </c>
      <c r="BW1369" s="1" t="s">
        <v>90</v>
      </c>
    </row>
    <row r="1370" spans="1:75" hidden="1" x14ac:dyDescent="0.35">
      <c r="A1370">
        <v>137613</v>
      </c>
      <c r="B1370" s="1" t="s">
        <v>75</v>
      </c>
      <c r="C1370">
        <v>80</v>
      </c>
      <c r="D1370">
        <v>11121004</v>
      </c>
      <c r="E1370">
        <v>121004</v>
      </c>
      <c r="F1370" s="1" t="s">
        <v>6867</v>
      </c>
      <c r="G1370" s="1" t="s">
        <v>7415</v>
      </c>
      <c r="H1370">
        <v>0</v>
      </c>
      <c r="I1370" s="1" t="s">
        <v>78</v>
      </c>
      <c r="J1370" s="1" t="s">
        <v>7416</v>
      </c>
      <c r="K1370" s="1" t="s">
        <v>7417</v>
      </c>
      <c r="L1370" t="s">
        <v>91</v>
      </c>
      <c r="M1370" t="s">
        <v>91</v>
      </c>
      <c r="N1370" s="1" t="s">
        <v>91</v>
      </c>
      <c r="O1370" t="s">
        <v>91</v>
      </c>
      <c r="P1370" s="1" t="s">
        <v>682</v>
      </c>
      <c r="Q1370" s="1" t="s">
        <v>7178</v>
      </c>
      <c r="R1370" s="1" t="s">
        <v>7418</v>
      </c>
      <c r="S1370">
        <v>1273</v>
      </c>
      <c r="T1370">
        <v>89010911</v>
      </c>
      <c r="U1370" s="1" t="s">
        <v>108</v>
      </c>
      <c r="V1370" s="1" t="s">
        <v>3571</v>
      </c>
      <c r="W1370" s="1" t="s">
        <v>87</v>
      </c>
      <c r="X1370">
        <v>47</v>
      </c>
      <c r="Y1370">
        <v>30420897</v>
      </c>
      <c r="Z1370" t="s">
        <v>91</v>
      </c>
      <c r="AA1370" t="s">
        <v>91</v>
      </c>
      <c r="AB1370" t="s">
        <v>91</v>
      </c>
      <c r="AC1370" t="s">
        <v>91</v>
      </c>
      <c r="AD1370" t="s">
        <v>91</v>
      </c>
      <c r="AE1370" t="s">
        <v>91</v>
      </c>
      <c r="AF1370" t="s">
        <v>91</v>
      </c>
      <c r="AG1370" s="1" t="s">
        <v>91</v>
      </c>
      <c r="AH1370" s="1" t="s">
        <v>91</v>
      </c>
      <c r="AI1370" t="s">
        <v>91</v>
      </c>
      <c r="AM1370" t="s">
        <v>91</v>
      </c>
      <c r="AN1370" t="s">
        <v>91</v>
      </c>
      <c r="AO1370" t="s">
        <v>91</v>
      </c>
      <c r="AP1370" t="s">
        <v>91</v>
      </c>
      <c r="AQ1370" s="1" t="s">
        <v>91</v>
      </c>
      <c r="AR1370" s="1" t="s">
        <v>91</v>
      </c>
      <c r="AS1370" s="1" t="s">
        <v>91</v>
      </c>
      <c r="AT1370" s="1" t="s">
        <v>91</v>
      </c>
      <c r="AU1370" s="1" t="s">
        <v>91</v>
      </c>
      <c r="AV1370" t="s">
        <v>91</v>
      </c>
      <c r="AW1370" t="s">
        <v>91</v>
      </c>
      <c r="AX1370" t="s">
        <v>91</v>
      </c>
      <c r="AY1370" t="s">
        <v>91</v>
      </c>
      <c r="AZ1370" t="s">
        <v>91</v>
      </c>
      <c r="BA1370" t="s">
        <v>91</v>
      </c>
      <c r="BB1370" s="2">
        <v>44378.578518518516</v>
      </c>
      <c r="BC1370" s="2"/>
      <c r="BD1370" t="s">
        <v>91</v>
      </c>
      <c r="BF1370" s="1" t="s">
        <v>75</v>
      </c>
      <c r="BI1370" s="1" t="s">
        <v>88</v>
      </c>
      <c r="BJ1370">
        <v>1</v>
      </c>
      <c r="BK1370" s="1" t="s">
        <v>89</v>
      </c>
      <c r="BL1370" t="s">
        <v>91</v>
      </c>
      <c r="BM1370" s="1" t="s">
        <v>109</v>
      </c>
      <c r="BN1370" s="1" t="s">
        <v>110</v>
      </c>
      <c r="BO1370" s="1" t="s">
        <v>165</v>
      </c>
      <c r="BP1370" s="1" t="s">
        <v>91</v>
      </c>
      <c r="BQ1370" t="s">
        <v>91</v>
      </c>
      <c r="BR1370" s="3">
        <v>44378</v>
      </c>
      <c r="BS1370" s="3"/>
      <c r="BT1370" t="s">
        <v>91</v>
      </c>
      <c r="BU1370" t="s">
        <v>91</v>
      </c>
      <c r="BW1370" s="1" t="s">
        <v>149</v>
      </c>
    </row>
    <row r="1371" spans="1:75" hidden="1" x14ac:dyDescent="0.35">
      <c r="A1371">
        <v>118739</v>
      </c>
      <c r="B1371" s="1" t="s">
        <v>75</v>
      </c>
      <c r="C1371">
        <v>80</v>
      </c>
      <c r="D1371">
        <v>11121004</v>
      </c>
      <c r="E1371">
        <v>121004</v>
      </c>
      <c r="F1371" s="1" t="s">
        <v>6867</v>
      </c>
      <c r="G1371" s="1" t="s">
        <v>7419</v>
      </c>
      <c r="I1371" s="1" t="s">
        <v>78</v>
      </c>
      <c r="J1371" s="1" t="s">
        <v>7420</v>
      </c>
      <c r="K1371" s="1" t="s">
        <v>7421</v>
      </c>
      <c r="L1371" t="s">
        <v>91</v>
      </c>
      <c r="M1371" t="s">
        <v>91</v>
      </c>
      <c r="N1371" s="1" t="s">
        <v>7422</v>
      </c>
      <c r="O1371" t="s">
        <v>91</v>
      </c>
      <c r="P1371" s="1" t="s">
        <v>7423</v>
      </c>
      <c r="Q1371" s="1" t="s">
        <v>2369</v>
      </c>
      <c r="R1371" s="1" t="s">
        <v>91</v>
      </c>
      <c r="S1371">
        <v>1276</v>
      </c>
      <c r="T1371">
        <v>89198000</v>
      </c>
      <c r="U1371" s="1" t="s">
        <v>108</v>
      </c>
      <c r="V1371" s="1" t="s">
        <v>7424</v>
      </c>
      <c r="W1371" s="1" t="s">
        <v>87</v>
      </c>
      <c r="X1371">
        <v>47</v>
      </c>
      <c r="Y1371">
        <v>35641285</v>
      </c>
      <c r="Z1371" t="s">
        <v>91</v>
      </c>
      <c r="AA1371" t="s">
        <v>91</v>
      </c>
      <c r="AB1371" t="s">
        <v>91</v>
      </c>
      <c r="AC1371" t="s">
        <v>91</v>
      </c>
      <c r="AD1371" t="s">
        <v>91</v>
      </c>
      <c r="AE1371" t="s">
        <v>91</v>
      </c>
      <c r="AF1371" t="s">
        <v>91</v>
      </c>
      <c r="AG1371" s="1" t="s">
        <v>91</v>
      </c>
      <c r="AH1371" s="1" t="s">
        <v>91</v>
      </c>
      <c r="AI1371" t="s">
        <v>91</v>
      </c>
      <c r="AJ1371">
        <v>0</v>
      </c>
      <c r="AK1371">
        <v>0</v>
      </c>
      <c r="AL1371">
        <v>0</v>
      </c>
      <c r="AM1371" t="s">
        <v>91</v>
      </c>
      <c r="AN1371" t="s">
        <v>91</v>
      </c>
      <c r="AO1371" t="s">
        <v>91</v>
      </c>
      <c r="AP1371" t="s">
        <v>91</v>
      </c>
      <c r="AQ1371" s="1" t="s">
        <v>91</v>
      </c>
      <c r="AR1371" s="1" t="s">
        <v>91</v>
      </c>
      <c r="AS1371" s="1" t="s">
        <v>91</v>
      </c>
      <c r="AT1371" s="1" t="s">
        <v>91</v>
      </c>
      <c r="AU1371" s="1" t="s">
        <v>91</v>
      </c>
      <c r="AV1371" t="s">
        <v>91</v>
      </c>
      <c r="AW1371" t="s">
        <v>91</v>
      </c>
      <c r="AX1371" t="s">
        <v>91</v>
      </c>
      <c r="AY1371" t="s">
        <v>91</v>
      </c>
      <c r="AZ1371" t="s">
        <v>91</v>
      </c>
      <c r="BA1371" t="s">
        <v>91</v>
      </c>
      <c r="BB1371" s="2"/>
      <c r="BC1371" s="2"/>
      <c r="BD1371" t="s">
        <v>91</v>
      </c>
      <c r="BF1371" s="1" t="s">
        <v>75</v>
      </c>
      <c r="BG1371">
        <v>0</v>
      </c>
      <c r="BH1371">
        <v>0</v>
      </c>
      <c r="BI1371" s="1" t="s">
        <v>88</v>
      </c>
      <c r="BJ1371">
        <v>1</v>
      </c>
      <c r="BK1371" s="1" t="s">
        <v>89</v>
      </c>
      <c r="BL1371" t="s">
        <v>91</v>
      </c>
      <c r="BM1371" s="1" t="s">
        <v>109</v>
      </c>
      <c r="BN1371" s="1" t="s">
        <v>110</v>
      </c>
      <c r="BO1371" s="1" t="s">
        <v>180</v>
      </c>
      <c r="BP1371" s="1" t="s">
        <v>91</v>
      </c>
      <c r="BQ1371" t="s">
        <v>91</v>
      </c>
      <c r="BR1371" s="3"/>
      <c r="BS1371" s="3"/>
      <c r="BT1371" t="s">
        <v>91</v>
      </c>
      <c r="BU1371" t="s">
        <v>91</v>
      </c>
      <c r="BV1371">
        <v>9</v>
      </c>
      <c r="BW1371" s="1" t="s">
        <v>1171</v>
      </c>
    </row>
    <row r="1372" spans="1:75" hidden="1" x14ac:dyDescent="0.35">
      <c r="A1372">
        <v>157051</v>
      </c>
      <c r="B1372" s="1" t="s">
        <v>75</v>
      </c>
      <c r="C1372">
        <v>80</v>
      </c>
      <c r="D1372">
        <v>11121004</v>
      </c>
      <c r="E1372">
        <v>121004</v>
      </c>
      <c r="F1372" s="1" t="s">
        <v>6867</v>
      </c>
      <c r="G1372" s="1" t="s">
        <v>7425</v>
      </c>
      <c r="H1372">
        <v>0</v>
      </c>
      <c r="I1372" s="1" t="s">
        <v>78</v>
      </c>
      <c r="J1372" s="1" t="s">
        <v>7426</v>
      </c>
      <c r="K1372" s="1" t="s">
        <v>7427</v>
      </c>
      <c r="L1372" t="s">
        <v>91</v>
      </c>
      <c r="M1372" t="s">
        <v>91</v>
      </c>
      <c r="N1372" s="1" t="s">
        <v>7428</v>
      </c>
      <c r="O1372" t="s">
        <v>91</v>
      </c>
      <c r="P1372" s="1" t="s">
        <v>7429</v>
      </c>
      <c r="Q1372" s="1" t="s">
        <v>3187</v>
      </c>
      <c r="R1372" s="1" t="s">
        <v>173</v>
      </c>
      <c r="T1372">
        <v>89160188</v>
      </c>
      <c r="U1372" s="1" t="s">
        <v>7430</v>
      </c>
      <c r="V1372" s="1" t="s">
        <v>6927</v>
      </c>
      <c r="W1372" s="1" t="s">
        <v>87</v>
      </c>
      <c r="X1372">
        <v>47</v>
      </c>
      <c r="Y1372">
        <v>999479457</v>
      </c>
      <c r="Z1372" t="s">
        <v>91</v>
      </c>
      <c r="AA1372" t="s">
        <v>91</v>
      </c>
      <c r="AB1372" t="s">
        <v>91</v>
      </c>
      <c r="AC1372" t="s">
        <v>91</v>
      </c>
      <c r="AD1372" t="s">
        <v>91</v>
      </c>
      <c r="AE1372" t="s">
        <v>91</v>
      </c>
      <c r="AF1372" t="s">
        <v>91</v>
      </c>
      <c r="AG1372" s="1" t="s">
        <v>91</v>
      </c>
      <c r="AH1372" s="1" t="s">
        <v>91</v>
      </c>
      <c r="AI1372" t="s">
        <v>91</v>
      </c>
      <c r="AM1372" t="s">
        <v>91</v>
      </c>
      <c r="AN1372" t="s">
        <v>91</v>
      </c>
      <c r="AO1372" t="s">
        <v>91</v>
      </c>
      <c r="AP1372" t="s">
        <v>91</v>
      </c>
      <c r="AQ1372" s="1" t="s">
        <v>91</v>
      </c>
      <c r="AR1372" s="1" t="s">
        <v>91</v>
      </c>
      <c r="AS1372" s="1" t="s">
        <v>91</v>
      </c>
      <c r="AT1372" s="1" t="s">
        <v>91</v>
      </c>
      <c r="AU1372" s="1" t="s">
        <v>91</v>
      </c>
      <c r="AV1372" t="s">
        <v>91</v>
      </c>
      <c r="AW1372" t="s">
        <v>91</v>
      </c>
      <c r="AX1372" t="s">
        <v>91</v>
      </c>
      <c r="AY1372" t="s">
        <v>91</v>
      </c>
      <c r="AZ1372" t="s">
        <v>91</v>
      </c>
      <c r="BA1372" t="s">
        <v>91</v>
      </c>
      <c r="BB1372" s="2">
        <v>45113.505416666667</v>
      </c>
      <c r="BC1372" s="2"/>
      <c r="BD1372" t="s">
        <v>91</v>
      </c>
      <c r="BF1372" s="1" t="s">
        <v>75</v>
      </c>
      <c r="BI1372" s="1" t="s">
        <v>88</v>
      </c>
      <c r="BJ1372">
        <v>1</v>
      </c>
      <c r="BK1372" s="1" t="s">
        <v>89</v>
      </c>
      <c r="BL1372" t="s">
        <v>91</v>
      </c>
      <c r="BM1372" s="1" t="s">
        <v>91</v>
      </c>
      <c r="BN1372" s="1" t="s">
        <v>91</v>
      </c>
      <c r="BO1372" s="1" t="s">
        <v>91</v>
      </c>
      <c r="BP1372" s="1" t="s">
        <v>91</v>
      </c>
      <c r="BQ1372" t="s">
        <v>91</v>
      </c>
      <c r="BR1372" s="3">
        <v>45113</v>
      </c>
      <c r="BS1372" s="3"/>
      <c r="BT1372" t="s">
        <v>91</v>
      </c>
      <c r="BU1372" t="s">
        <v>91</v>
      </c>
      <c r="BW1372" s="1" t="s">
        <v>2526</v>
      </c>
    </row>
    <row r="1373" spans="1:75" hidden="1" x14ac:dyDescent="0.35">
      <c r="A1373">
        <v>137616</v>
      </c>
      <c r="B1373" s="1" t="s">
        <v>75</v>
      </c>
      <c r="C1373">
        <v>80</v>
      </c>
      <c r="D1373">
        <v>11121004</v>
      </c>
      <c r="E1373">
        <v>121004</v>
      </c>
      <c r="F1373" s="1" t="s">
        <v>6867</v>
      </c>
      <c r="G1373" s="1" t="s">
        <v>7431</v>
      </c>
      <c r="H1373">
        <v>0</v>
      </c>
      <c r="I1373" s="1" t="s">
        <v>78</v>
      </c>
      <c r="J1373" s="1" t="s">
        <v>7432</v>
      </c>
      <c r="K1373" s="1" t="s">
        <v>7433</v>
      </c>
      <c r="L1373" t="s">
        <v>91</v>
      </c>
      <c r="M1373" t="s">
        <v>91</v>
      </c>
      <c r="N1373" s="1" t="s">
        <v>7434</v>
      </c>
      <c r="O1373" t="s">
        <v>91</v>
      </c>
      <c r="P1373" s="1" t="s">
        <v>3970</v>
      </c>
      <c r="Q1373" s="1" t="s">
        <v>7435</v>
      </c>
      <c r="R1373" s="1" t="s">
        <v>7436</v>
      </c>
      <c r="S1373">
        <v>1260</v>
      </c>
      <c r="T1373">
        <v>88220000</v>
      </c>
      <c r="U1373" s="1" t="s">
        <v>7195</v>
      </c>
      <c r="V1373" s="1" t="s">
        <v>7015</v>
      </c>
      <c r="W1373" s="1" t="s">
        <v>87</v>
      </c>
      <c r="X1373">
        <v>48</v>
      </c>
      <c r="Y1373">
        <v>991432953</v>
      </c>
      <c r="Z1373" t="s">
        <v>91</v>
      </c>
      <c r="AA1373" t="s">
        <v>91</v>
      </c>
      <c r="AB1373" t="s">
        <v>91</v>
      </c>
      <c r="AC1373" t="s">
        <v>91</v>
      </c>
      <c r="AD1373" t="s">
        <v>91</v>
      </c>
      <c r="AE1373" t="s">
        <v>91</v>
      </c>
      <c r="AF1373" t="s">
        <v>91</v>
      </c>
      <c r="AG1373" s="1" t="s">
        <v>146</v>
      </c>
      <c r="AH1373" s="1" t="s">
        <v>91</v>
      </c>
      <c r="AI1373" t="s">
        <v>91</v>
      </c>
      <c r="AM1373" t="s">
        <v>91</v>
      </c>
      <c r="AN1373" t="s">
        <v>91</v>
      </c>
      <c r="AO1373" t="s">
        <v>91</v>
      </c>
      <c r="AP1373" t="s">
        <v>91</v>
      </c>
      <c r="AQ1373" s="1" t="s">
        <v>147</v>
      </c>
      <c r="AR1373" s="1" t="s">
        <v>147</v>
      </c>
      <c r="AS1373" s="1" t="s">
        <v>147</v>
      </c>
      <c r="AT1373" s="1" t="s">
        <v>147</v>
      </c>
      <c r="AU1373" s="1" t="s">
        <v>147</v>
      </c>
      <c r="AV1373" t="s">
        <v>91</v>
      </c>
      <c r="AW1373" t="s">
        <v>91</v>
      </c>
      <c r="AX1373" t="s">
        <v>91</v>
      </c>
      <c r="AY1373" t="s">
        <v>91</v>
      </c>
      <c r="AZ1373" t="s">
        <v>91</v>
      </c>
      <c r="BA1373" t="s">
        <v>91</v>
      </c>
      <c r="BB1373" s="2">
        <v>44378.578518518516</v>
      </c>
      <c r="BC1373" s="2">
        <v>45114.506990740738</v>
      </c>
      <c r="BD1373" t="s">
        <v>91</v>
      </c>
      <c r="BF1373" s="1" t="s">
        <v>75</v>
      </c>
      <c r="BH1373">
        <v>0</v>
      </c>
      <c r="BI1373" s="1" t="s">
        <v>88</v>
      </c>
      <c r="BJ1373">
        <v>1</v>
      </c>
      <c r="BK1373" s="1" t="s">
        <v>89</v>
      </c>
      <c r="BL1373" t="s">
        <v>91</v>
      </c>
      <c r="BM1373" s="1" t="s">
        <v>109</v>
      </c>
      <c r="BN1373" s="1" t="s">
        <v>110</v>
      </c>
      <c r="BO1373" s="1" t="s">
        <v>180</v>
      </c>
      <c r="BP1373" s="1" t="s">
        <v>91</v>
      </c>
      <c r="BQ1373" t="s">
        <v>91</v>
      </c>
      <c r="BR1373" s="3">
        <v>44378</v>
      </c>
      <c r="BS1373" s="3">
        <v>45114</v>
      </c>
      <c r="BT1373" t="s">
        <v>91</v>
      </c>
      <c r="BU1373" t="s">
        <v>91</v>
      </c>
      <c r="BW1373" s="1" t="s">
        <v>1563</v>
      </c>
    </row>
    <row r="1374" spans="1:75" hidden="1" x14ac:dyDescent="0.35">
      <c r="A1374">
        <v>118736</v>
      </c>
      <c r="B1374" s="1" t="s">
        <v>75</v>
      </c>
      <c r="C1374">
        <v>80</v>
      </c>
      <c r="D1374">
        <v>11121004</v>
      </c>
      <c r="E1374">
        <v>121004</v>
      </c>
      <c r="F1374" s="1" t="s">
        <v>6867</v>
      </c>
      <c r="G1374" s="1" t="s">
        <v>7437</v>
      </c>
      <c r="I1374" s="1" t="s">
        <v>78</v>
      </c>
      <c r="J1374" s="1" t="s">
        <v>7438</v>
      </c>
      <c r="K1374" s="1" t="s">
        <v>7439</v>
      </c>
      <c r="L1374" t="s">
        <v>91</v>
      </c>
      <c r="M1374" t="s">
        <v>91</v>
      </c>
      <c r="N1374" s="1" t="s">
        <v>7440</v>
      </c>
      <c r="O1374" t="s">
        <v>91</v>
      </c>
      <c r="P1374" s="1" t="s">
        <v>7441</v>
      </c>
      <c r="Q1374" s="1" t="s">
        <v>7442</v>
      </c>
      <c r="R1374" s="1" t="s">
        <v>370</v>
      </c>
      <c r="S1374">
        <v>1273</v>
      </c>
      <c r="T1374">
        <v>89057000</v>
      </c>
      <c r="U1374" s="1" t="s">
        <v>7443</v>
      </c>
      <c r="V1374" s="1" t="s">
        <v>3571</v>
      </c>
      <c r="W1374" s="1" t="s">
        <v>87</v>
      </c>
      <c r="X1374">
        <v>47</v>
      </c>
      <c r="Y1374">
        <v>33391758</v>
      </c>
      <c r="Z1374" t="s">
        <v>91</v>
      </c>
      <c r="AA1374" t="s">
        <v>91</v>
      </c>
      <c r="AB1374" t="s">
        <v>91</v>
      </c>
      <c r="AC1374" t="s">
        <v>91</v>
      </c>
      <c r="AD1374" t="s">
        <v>91</v>
      </c>
      <c r="AE1374" t="s">
        <v>91</v>
      </c>
      <c r="AF1374" t="s">
        <v>91</v>
      </c>
      <c r="AG1374" s="1" t="s">
        <v>146</v>
      </c>
      <c r="AH1374" s="1" t="s">
        <v>91</v>
      </c>
      <c r="AI1374" t="s">
        <v>91</v>
      </c>
      <c r="AJ1374">
        <v>0</v>
      </c>
      <c r="AK1374">
        <v>0</v>
      </c>
      <c r="AL1374">
        <v>0</v>
      </c>
      <c r="AM1374" t="s">
        <v>91</v>
      </c>
      <c r="AN1374" t="s">
        <v>91</v>
      </c>
      <c r="AO1374" t="s">
        <v>91</v>
      </c>
      <c r="AP1374" t="s">
        <v>91</v>
      </c>
      <c r="AQ1374" s="1" t="s">
        <v>147</v>
      </c>
      <c r="AR1374" s="1" t="s">
        <v>147</v>
      </c>
      <c r="AS1374" s="1" t="s">
        <v>147</v>
      </c>
      <c r="AT1374" s="1" t="s">
        <v>147</v>
      </c>
      <c r="AU1374" s="1" t="s">
        <v>147</v>
      </c>
      <c r="AV1374" t="s">
        <v>91</v>
      </c>
      <c r="AW1374" t="s">
        <v>91</v>
      </c>
      <c r="AX1374" t="s">
        <v>91</v>
      </c>
      <c r="AY1374" t="s">
        <v>91</v>
      </c>
      <c r="AZ1374" t="s">
        <v>91</v>
      </c>
      <c r="BA1374" t="s">
        <v>91</v>
      </c>
      <c r="BB1374" s="2"/>
      <c r="BC1374" s="2">
        <v>45121.637731481482</v>
      </c>
      <c r="BD1374" t="s">
        <v>91</v>
      </c>
      <c r="BF1374" s="1" t="s">
        <v>75</v>
      </c>
      <c r="BG1374">
        <v>0</v>
      </c>
      <c r="BH1374">
        <v>0</v>
      </c>
      <c r="BI1374" s="1" t="s">
        <v>721</v>
      </c>
      <c r="BJ1374">
        <v>1</v>
      </c>
      <c r="BK1374" s="1" t="s">
        <v>89</v>
      </c>
      <c r="BL1374" t="s">
        <v>91</v>
      </c>
      <c r="BM1374" s="1" t="s">
        <v>109</v>
      </c>
      <c r="BN1374" s="1" t="s">
        <v>110</v>
      </c>
      <c r="BO1374" s="1" t="s">
        <v>180</v>
      </c>
      <c r="BP1374" s="1" t="s">
        <v>91</v>
      </c>
      <c r="BQ1374" t="s">
        <v>91</v>
      </c>
      <c r="BR1374" s="3"/>
      <c r="BS1374" s="3">
        <v>45121</v>
      </c>
      <c r="BT1374" t="s">
        <v>91</v>
      </c>
      <c r="BU1374" t="s">
        <v>91</v>
      </c>
      <c r="BV1374">
        <v>8</v>
      </c>
      <c r="BW1374" s="1" t="s">
        <v>601</v>
      </c>
    </row>
    <row r="1375" spans="1:75" hidden="1" x14ac:dyDescent="0.35">
      <c r="A1375">
        <v>137618</v>
      </c>
      <c r="B1375" s="1" t="s">
        <v>75</v>
      </c>
      <c r="C1375">
        <v>80</v>
      </c>
      <c r="D1375">
        <v>11121004</v>
      </c>
      <c r="E1375">
        <v>121004</v>
      </c>
      <c r="F1375" s="1" t="s">
        <v>6867</v>
      </c>
      <c r="G1375" s="1" t="s">
        <v>7444</v>
      </c>
      <c r="H1375">
        <v>0</v>
      </c>
      <c r="I1375" s="1" t="s">
        <v>78</v>
      </c>
      <c r="J1375" s="1" t="s">
        <v>7445</v>
      </c>
      <c r="K1375" s="1" t="s">
        <v>7446</v>
      </c>
      <c r="L1375" t="s">
        <v>91</v>
      </c>
      <c r="M1375" t="s">
        <v>91</v>
      </c>
      <c r="N1375" s="1" t="s">
        <v>7447</v>
      </c>
      <c r="O1375" t="s">
        <v>91</v>
      </c>
      <c r="P1375" s="1" t="s">
        <v>3070</v>
      </c>
      <c r="Q1375" s="1" t="s">
        <v>826</v>
      </c>
      <c r="R1375" s="1" t="s">
        <v>91</v>
      </c>
      <c r="S1375">
        <v>1275</v>
      </c>
      <c r="T1375">
        <v>89120000</v>
      </c>
      <c r="U1375" s="1" t="s">
        <v>108</v>
      </c>
      <c r="V1375" s="1" t="s">
        <v>7364</v>
      </c>
      <c r="W1375" s="1" t="s">
        <v>87</v>
      </c>
      <c r="X1375">
        <v>47</v>
      </c>
      <c r="Y1375">
        <v>33821924</v>
      </c>
      <c r="Z1375" t="s">
        <v>91</v>
      </c>
      <c r="AA1375" t="s">
        <v>91</v>
      </c>
      <c r="AB1375" t="s">
        <v>91</v>
      </c>
      <c r="AC1375" t="s">
        <v>91</v>
      </c>
      <c r="AD1375" t="s">
        <v>91</v>
      </c>
      <c r="AE1375" t="s">
        <v>91</v>
      </c>
      <c r="AF1375" t="s">
        <v>91</v>
      </c>
      <c r="AG1375" s="1" t="s">
        <v>146</v>
      </c>
      <c r="AH1375" s="1" t="s">
        <v>91</v>
      </c>
      <c r="AI1375" t="s">
        <v>91</v>
      </c>
      <c r="AM1375" t="s">
        <v>91</v>
      </c>
      <c r="AN1375" t="s">
        <v>91</v>
      </c>
      <c r="AO1375" t="s">
        <v>91</v>
      </c>
      <c r="AP1375" t="s">
        <v>91</v>
      </c>
      <c r="AQ1375" s="1" t="s">
        <v>147</v>
      </c>
      <c r="AR1375" s="1" t="s">
        <v>147</v>
      </c>
      <c r="AS1375" s="1" t="s">
        <v>147</v>
      </c>
      <c r="AT1375" s="1" t="s">
        <v>147</v>
      </c>
      <c r="AU1375" s="1" t="s">
        <v>147</v>
      </c>
      <c r="AV1375" t="s">
        <v>91</v>
      </c>
      <c r="AW1375" t="s">
        <v>91</v>
      </c>
      <c r="AX1375" t="s">
        <v>91</v>
      </c>
      <c r="AY1375" t="s">
        <v>91</v>
      </c>
      <c r="AZ1375" t="s">
        <v>91</v>
      </c>
      <c r="BA1375" t="s">
        <v>91</v>
      </c>
      <c r="BB1375" s="2">
        <v>44378.578518518516</v>
      </c>
      <c r="BC1375" s="2">
        <v>44656.707407407404</v>
      </c>
      <c r="BD1375" t="s">
        <v>91</v>
      </c>
      <c r="BF1375" s="1" t="s">
        <v>75</v>
      </c>
      <c r="BH1375">
        <v>0</v>
      </c>
      <c r="BI1375" s="1" t="s">
        <v>88</v>
      </c>
      <c r="BJ1375">
        <v>1</v>
      </c>
      <c r="BK1375" s="1" t="s">
        <v>89</v>
      </c>
      <c r="BL1375" t="s">
        <v>91</v>
      </c>
      <c r="BM1375" s="1" t="s">
        <v>109</v>
      </c>
      <c r="BN1375" s="1" t="s">
        <v>148</v>
      </c>
      <c r="BO1375" s="1" t="s">
        <v>111</v>
      </c>
      <c r="BP1375" s="1" t="s">
        <v>91</v>
      </c>
      <c r="BQ1375" t="s">
        <v>91</v>
      </c>
      <c r="BR1375" s="3">
        <v>44378</v>
      </c>
      <c r="BS1375" s="3">
        <v>44656</v>
      </c>
      <c r="BT1375" t="s">
        <v>91</v>
      </c>
      <c r="BU1375" t="s">
        <v>91</v>
      </c>
      <c r="BW1375" s="1" t="s">
        <v>728</v>
      </c>
    </row>
    <row r="1376" spans="1:75" hidden="1" x14ac:dyDescent="0.35">
      <c r="A1376">
        <v>137619</v>
      </c>
      <c r="B1376" s="1" t="s">
        <v>75</v>
      </c>
      <c r="C1376">
        <v>80</v>
      </c>
      <c r="D1376">
        <v>11121004</v>
      </c>
      <c r="E1376">
        <v>121004</v>
      </c>
      <c r="F1376" s="1" t="s">
        <v>6867</v>
      </c>
      <c r="G1376" s="1" t="s">
        <v>7448</v>
      </c>
      <c r="H1376">
        <v>0</v>
      </c>
      <c r="I1376" s="1" t="s">
        <v>78</v>
      </c>
      <c r="J1376" s="1" t="s">
        <v>7449</v>
      </c>
      <c r="K1376" s="1" t="s">
        <v>7450</v>
      </c>
      <c r="L1376" t="s">
        <v>91</v>
      </c>
      <c r="M1376" t="s">
        <v>91</v>
      </c>
      <c r="N1376" s="1" t="s">
        <v>7451</v>
      </c>
      <c r="O1376" t="s">
        <v>91</v>
      </c>
      <c r="P1376" s="1" t="s">
        <v>7452</v>
      </c>
      <c r="Q1376" s="1" t="s">
        <v>6825</v>
      </c>
      <c r="R1376" s="1" t="s">
        <v>91</v>
      </c>
      <c r="S1376">
        <v>1263</v>
      </c>
      <c r="T1376">
        <v>88350330</v>
      </c>
      <c r="U1376" s="1" t="s">
        <v>108</v>
      </c>
      <c r="V1376" s="1" t="s">
        <v>6936</v>
      </c>
      <c r="W1376" s="1" t="s">
        <v>87</v>
      </c>
      <c r="X1376">
        <v>47</v>
      </c>
      <c r="Y1376">
        <v>33514144</v>
      </c>
      <c r="Z1376" t="s">
        <v>91</v>
      </c>
      <c r="AA1376" t="s">
        <v>91</v>
      </c>
      <c r="AB1376" t="s">
        <v>91</v>
      </c>
      <c r="AC1376" t="s">
        <v>91</v>
      </c>
      <c r="AD1376" t="s">
        <v>91</v>
      </c>
      <c r="AE1376" t="s">
        <v>91</v>
      </c>
      <c r="AF1376" t="s">
        <v>91</v>
      </c>
      <c r="AG1376" s="1" t="s">
        <v>146</v>
      </c>
      <c r="AH1376" s="1" t="s">
        <v>91</v>
      </c>
      <c r="AI1376" t="s">
        <v>91</v>
      </c>
      <c r="AM1376" t="s">
        <v>91</v>
      </c>
      <c r="AN1376" t="s">
        <v>91</v>
      </c>
      <c r="AO1376" t="s">
        <v>91</v>
      </c>
      <c r="AP1376" t="s">
        <v>91</v>
      </c>
      <c r="AQ1376" s="1" t="s">
        <v>147</v>
      </c>
      <c r="AR1376" s="1" t="s">
        <v>147</v>
      </c>
      <c r="AS1376" s="1" t="s">
        <v>147</v>
      </c>
      <c r="AT1376" s="1" t="s">
        <v>147</v>
      </c>
      <c r="AU1376" s="1" t="s">
        <v>147</v>
      </c>
      <c r="AV1376" t="s">
        <v>91</v>
      </c>
      <c r="AW1376" t="s">
        <v>91</v>
      </c>
      <c r="AX1376" t="s">
        <v>91</v>
      </c>
      <c r="AY1376" t="s">
        <v>91</v>
      </c>
      <c r="AZ1376" t="s">
        <v>91</v>
      </c>
      <c r="BA1376" t="s">
        <v>91</v>
      </c>
      <c r="BB1376" s="2">
        <v>44378.578518518516</v>
      </c>
      <c r="BC1376" s="2">
        <v>45114.743946759256</v>
      </c>
      <c r="BD1376" t="s">
        <v>91</v>
      </c>
      <c r="BF1376" s="1" t="s">
        <v>75</v>
      </c>
      <c r="BH1376">
        <v>0</v>
      </c>
      <c r="BI1376" s="1" t="s">
        <v>88</v>
      </c>
      <c r="BJ1376">
        <v>1</v>
      </c>
      <c r="BK1376" s="1" t="s">
        <v>89</v>
      </c>
      <c r="BL1376" t="s">
        <v>91</v>
      </c>
      <c r="BM1376" s="1" t="s">
        <v>329</v>
      </c>
      <c r="BN1376" s="1" t="s">
        <v>110</v>
      </c>
      <c r="BO1376" s="1" t="s">
        <v>165</v>
      </c>
      <c r="BP1376" s="1" t="s">
        <v>91</v>
      </c>
      <c r="BQ1376" t="s">
        <v>91</v>
      </c>
      <c r="BR1376" s="3">
        <v>44378</v>
      </c>
      <c r="BS1376" s="3">
        <v>45114</v>
      </c>
      <c r="BT1376" t="s">
        <v>91</v>
      </c>
      <c r="BU1376" t="s">
        <v>91</v>
      </c>
      <c r="BW1376" s="1" t="s">
        <v>1899</v>
      </c>
    </row>
    <row r="1377" spans="1:75" hidden="1" x14ac:dyDescent="0.35">
      <c r="A1377">
        <v>137620</v>
      </c>
      <c r="B1377" s="1" t="s">
        <v>75</v>
      </c>
      <c r="C1377">
        <v>80</v>
      </c>
      <c r="D1377">
        <v>11121004</v>
      </c>
      <c r="E1377">
        <v>121004</v>
      </c>
      <c r="F1377" s="1" t="s">
        <v>6867</v>
      </c>
      <c r="G1377" s="1" t="s">
        <v>7453</v>
      </c>
      <c r="H1377">
        <v>0</v>
      </c>
      <c r="I1377" s="1" t="s">
        <v>78</v>
      </c>
      <c r="J1377" s="1" t="s">
        <v>7454</v>
      </c>
      <c r="K1377" s="1" t="s">
        <v>7455</v>
      </c>
      <c r="L1377" t="s">
        <v>91</v>
      </c>
      <c r="M1377" t="s">
        <v>91</v>
      </c>
      <c r="N1377" s="1" t="s">
        <v>7456</v>
      </c>
      <c r="O1377" t="s">
        <v>91</v>
      </c>
      <c r="P1377" s="1" t="s">
        <v>7457</v>
      </c>
      <c r="Q1377" s="1" t="s">
        <v>1783</v>
      </c>
      <c r="R1377" s="1" t="s">
        <v>245</v>
      </c>
      <c r="S1377">
        <v>1260</v>
      </c>
      <c r="T1377">
        <v>88215000</v>
      </c>
      <c r="U1377" s="1" t="s">
        <v>108</v>
      </c>
      <c r="V1377" s="1" t="s">
        <v>7458</v>
      </c>
      <c r="W1377" s="1" t="s">
        <v>87</v>
      </c>
      <c r="X1377">
        <v>47</v>
      </c>
      <c r="Y1377">
        <v>33692618</v>
      </c>
      <c r="Z1377" t="s">
        <v>91</v>
      </c>
      <c r="AA1377" t="s">
        <v>91</v>
      </c>
      <c r="AB1377" t="s">
        <v>91</v>
      </c>
      <c r="AC1377" t="s">
        <v>91</v>
      </c>
      <c r="AD1377" t="s">
        <v>91</v>
      </c>
      <c r="AE1377" t="s">
        <v>91</v>
      </c>
      <c r="AF1377" t="s">
        <v>91</v>
      </c>
      <c r="AG1377" s="1" t="s">
        <v>146</v>
      </c>
      <c r="AH1377" s="1" t="s">
        <v>91</v>
      </c>
      <c r="AI1377" t="s">
        <v>91</v>
      </c>
      <c r="AM1377" t="s">
        <v>91</v>
      </c>
      <c r="AN1377" t="s">
        <v>91</v>
      </c>
      <c r="AO1377" t="s">
        <v>91</v>
      </c>
      <c r="AP1377" t="s">
        <v>91</v>
      </c>
      <c r="AQ1377" s="1" t="s">
        <v>147</v>
      </c>
      <c r="AR1377" s="1" t="s">
        <v>147</v>
      </c>
      <c r="AS1377" s="1" t="s">
        <v>147</v>
      </c>
      <c r="AT1377" s="1" t="s">
        <v>147</v>
      </c>
      <c r="AU1377" s="1" t="s">
        <v>147</v>
      </c>
      <c r="AV1377" t="s">
        <v>91</v>
      </c>
      <c r="AW1377" t="s">
        <v>91</v>
      </c>
      <c r="AX1377" t="s">
        <v>91</v>
      </c>
      <c r="AY1377" t="s">
        <v>91</v>
      </c>
      <c r="AZ1377" t="s">
        <v>91</v>
      </c>
      <c r="BA1377" t="s">
        <v>91</v>
      </c>
      <c r="BB1377" s="2">
        <v>44378.578518518516</v>
      </c>
      <c r="BC1377" s="2">
        <v>45119.451377314814</v>
      </c>
      <c r="BD1377" t="s">
        <v>91</v>
      </c>
      <c r="BF1377" s="1" t="s">
        <v>75</v>
      </c>
      <c r="BH1377">
        <v>0</v>
      </c>
      <c r="BI1377" s="1" t="s">
        <v>721</v>
      </c>
      <c r="BJ1377">
        <v>1</v>
      </c>
      <c r="BK1377" s="1" t="s">
        <v>89</v>
      </c>
      <c r="BL1377" t="s">
        <v>91</v>
      </c>
      <c r="BM1377" s="1" t="s">
        <v>329</v>
      </c>
      <c r="BN1377" s="1" t="s">
        <v>110</v>
      </c>
      <c r="BO1377" s="1" t="s">
        <v>165</v>
      </c>
      <c r="BP1377" s="1" t="s">
        <v>91</v>
      </c>
      <c r="BQ1377" t="s">
        <v>91</v>
      </c>
      <c r="BR1377" s="3">
        <v>44378</v>
      </c>
      <c r="BS1377" s="3">
        <v>45119</v>
      </c>
      <c r="BT1377" t="s">
        <v>91</v>
      </c>
      <c r="BU1377" t="s">
        <v>91</v>
      </c>
      <c r="BW1377" s="1" t="s">
        <v>589</v>
      </c>
    </row>
    <row r="1378" spans="1:75" hidden="1" x14ac:dyDescent="0.35">
      <c r="A1378">
        <v>157788</v>
      </c>
      <c r="B1378" s="1" t="s">
        <v>75</v>
      </c>
      <c r="C1378">
        <v>80</v>
      </c>
      <c r="D1378">
        <v>11121004</v>
      </c>
      <c r="E1378">
        <v>121004</v>
      </c>
      <c r="F1378" s="1" t="s">
        <v>6867</v>
      </c>
      <c r="G1378" s="1" t="s">
        <v>7459</v>
      </c>
      <c r="H1378">
        <v>0</v>
      </c>
      <c r="I1378" s="1" t="s">
        <v>78</v>
      </c>
      <c r="J1378" s="1" t="s">
        <v>7460</v>
      </c>
      <c r="K1378" s="1" t="s">
        <v>7461</v>
      </c>
      <c r="L1378" t="s">
        <v>91</v>
      </c>
      <c r="M1378" t="s">
        <v>91</v>
      </c>
      <c r="N1378" s="1" t="s">
        <v>7462</v>
      </c>
      <c r="O1378" t="s">
        <v>91</v>
      </c>
      <c r="P1378" s="1" t="s">
        <v>7463</v>
      </c>
      <c r="Q1378" s="1" t="s">
        <v>7464</v>
      </c>
      <c r="R1378" s="1" t="s">
        <v>7465</v>
      </c>
      <c r="S1378">
        <v>1260</v>
      </c>
      <c r="T1378">
        <v>88215000</v>
      </c>
      <c r="U1378" s="1" t="s">
        <v>108</v>
      </c>
      <c r="V1378" s="1" t="s">
        <v>7458</v>
      </c>
      <c r="W1378" s="1" t="s">
        <v>87</v>
      </c>
      <c r="X1378">
        <v>47</v>
      </c>
      <c r="Y1378">
        <v>32646341</v>
      </c>
      <c r="Z1378" t="s">
        <v>91</v>
      </c>
      <c r="AA1378" t="s">
        <v>91</v>
      </c>
      <c r="AB1378" t="s">
        <v>91</v>
      </c>
      <c r="AC1378" t="s">
        <v>91</v>
      </c>
      <c r="AD1378" t="s">
        <v>91</v>
      </c>
      <c r="AE1378" t="s">
        <v>91</v>
      </c>
      <c r="AF1378" t="s">
        <v>91</v>
      </c>
      <c r="AG1378" s="1" t="s">
        <v>91</v>
      </c>
      <c r="AH1378" s="1" t="s">
        <v>91</v>
      </c>
      <c r="AI1378" t="s">
        <v>91</v>
      </c>
      <c r="AM1378" t="s">
        <v>91</v>
      </c>
      <c r="AN1378" t="s">
        <v>91</v>
      </c>
      <c r="AO1378" t="s">
        <v>91</v>
      </c>
      <c r="AP1378" t="s">
        <v>91</v>
      </c>
      <c r="AQ1378" s="1" t="s">
        <v>91</v>
      </c>
      <c r="AR1378" s="1" t="s">
        <v>91</v>
      </c>
      <c r="AS1378" s="1" t="s">
        <v>91</v>
      </c>
      <c r="AT1378" s="1" t="s">
        <v>91</v>
      </c>
      <c r="AU1378" s="1" t="s">
        <v>91</v>
      </c>
      <c r="AV1378" t="s">
        <v>91</v>
      </c>
      <c r="AW1378" t="s">
        <v>91</v>
      </c>
      <c r="AX1378" t="s">
        <v>91</v>
      </c>
      <c r="AY1378" t="s">
        <v>91</v>
      </c>
      <c r="AZ1378" t="s">
        <v>91</v>
      </c>
      <c r="BA1378" t="s">
        <v>91</v>
      </c>
      <c r="BB1378" s="2">
        <v>45118.101759259262</v>
      </c>
      <c r="BC1378" s="2"/>
      <c r="BD1378" t="s">
        <v>91</v>
      </c>
      <c r="BF1378" s="1" t="s">
        <v>75</v>
      </c>
      <c r="BI1378" s="1" t="s">
        <v>88</v>
      </c>
      <c r="BJ1378">
        <v>1</v>
      </c>
      <c r="BK1378" s="1" t="s">
        <v>89</v>
      </c>
      <c r="BL1378" t="s">
        <v>91</v>
      </c>
      <c r="BM1378" s="1" t="s">
        <v>91</v>
      </c>
      <c r="BN1378" s="1" t="s">
        <v>91</v>
      </c>
      <c r="BO1378" s="1" t="s">
        <v>91</v>
      </c>
      <c r="BP1378" s="1" t="s">
        <v>91</v>
      </c>
      <c r="BQ1378" t="s">
        <v>91</v>
      </c>
      <c r="BR1378" s="3">
        <v>45118</v>
      </c>
      <c r="BS1378" s="3"/>
      <c r="BT1378" t="s">
        <v>91</v>
      </c>
      <c r="BU1378" t="s">
        <v>91</v>
      </c>
      <c r="BW1378" s="1" t="s">
        <v>144</v>
      </c>
    </row>
    <row r="1379" spans="1:75" hidden="1" x14ac:dyDescent="0.35">
      <c r="A1379">
        <v>137622</v>
      </c>
      <c r="B1379" s="1" t="s">
        <v>75</v>
      </c>
      <c r="C1379">
        <v>80</v>
      </c>
      <c r="D1379">
        <v>11121004</v>
      </c>
      <c r="E1379">
        <v>121004</v>
      </c>
      <c r="F1379" s="1" t="s">
        <v>6867</v>
      </c>
      <c r="G1379" s="1" t="s">
        <v>7466</v>
      </c>
      <c r="H1379">
        <v>0</v>
      </c>
      <c r="I1379" s="1" t="s">
        <v>78</v>
      </c>
      <c r="J1379" s="1" t="s">
        <v>7467</v>
      </c>
      <c r="K1379" s="1" t="s">
        <v>7468</v>
      </c>
      <c r="L1379" t="s">
        <v>91</v>
      </c>
      <c r="M1379" t="s">
        <v>91</v>
      </c>
      <c r="N1379" s="1" t="s">
        <v>6358</v>
      </c>
      <c r="O1379" t="s">
        <v>91</v>
      </c>
      <c r="P1379" s="1" t="s">
        <v>7469</v>
      </c>
      <c r="Q1379" s="1" t="s">
        <v>3421</v>
      </c>
      <c r="R1379" s="1" t="s">
        <v>91</v>
      </c>
      <c r="S1379">
        <v>1264</v>
      </c>
      <c r="T1379">
        <v>88400000</v>
      </c>
      <c r="U1379" s="1" t="s">
        <v>108</v>
      </c>
      <c r="V1379" s="1" t="s">
        <v>7470</v>
      </c>
      <c r="W1379" s="1" t="s">
        <v>87</v>
      </c>
      <c r="X1379">
        <v>47</v>
      </c>
      <c r="Y1379">
        <v>35335292</v>
      </c>
      <c r="Z1379" t="s">
        <v>91</v>
      </c>
      <c r="AA1379" t="s">
        <v>91</v>
      </c>
      <c r="AB1379" t="s">
        <v>91</v>
      </c>
      <c r="AC1379" t="s">
        <v>91</v>
      </c>
      <c r="AD1379" t="s">
        <v>91</v>
      </c>
      <c r="AE1379" t="s">
        <v>91</v>
      </c>
      <c r="AF1379" t="s">
        <v>91</v>
      </c>
      <c r="AG1379" s="1" t="s">
        <v>146</v>
      </c>
      <c r="AH1379" s="1" t="s">
        <v>91</v>
      </c>
      <c r="AI1379" t="s">
        <v>91</v>
      </c>
      <c r="AM1379" t="s">
        <v>91</v>
      </c>
      <c r="AN1379" t="s">
        <v>91</v>
      </c>
      <c r="AO1379" t="s">
        <v>91</v>
      </c>
      <c r="AP1379" t="s">
        <v>91</v>
      </c>
      <c r="AQ1379" s="1" t="s">
        <v>147</v>
      </c>
      <c r="AR1379" s="1" t="s">
        <v>147</v>
      </c>
      <c r="AS1379" s="1" t="s">
        <v>147</v>
      </c>
      <c r="AT1379" s="1" t="s">
        <v>147</v>
      </c>
      <c r="AU1379" s="1" t="s">
        <v>147</v>
      </c>
      <c r="AV1379" t="s">
        <v>91</v>
      </c>
      <c r="AW1379" t="s">
        <v>91</v>
      </c>
      <c r="AX1379" t="s">
        <v>91</v>
      </c>
      <c r="AY1379" t="s">
        <v>91</v>
      </c>
      <c r="AZ1379" t="s">
        <v>91</v>
      </c>
      <c r="BA1379" t="s">
        <v>91</v>
      </c>
      <c r="BB1379" s="2">
        <v>44378.578518518516</v>
      </c>
      <c r="BC1379" s="2">
        <v>44599.681527777779</v>
      </c>
      <c r="BD1379" t="s">
        <v>91</v>
      </c>
      <c r="BF1379" s="1" t="s">
        <v>75</v>
      </c>
      <c r="BH1379">
        <v>0</v>
      </c>
      <c r="BI1379" s="1" t="s">
        <v>88</v>
      </c>
      <c r="BJ1379">
        <v>1</v>
      </c>
      <c r="BK1379" s="1" t="s">
        <v>89</v>
      </c>
      <c r="BL1379" t="s">
        <v>91</v>
      </c>
      <c r="BM1379" s="1" t="s">
        <v>109</v>
      </c>
      <c r="BN1379" s="1" t="s">
        <v>110</v>
      </c>
      <c r="BO1379" s="1" t="s">
        <v>128</v>
      </c>
      <c r="BP1379" s="1" t="s">
        <v>91</v>
      </c>
      <c r="BQ1379" t="s">
        <v>91</v>
      </c>
      <c r="BR1379" s="3">
        <v>44378</v>
      </c>
      <c r="BS1379" s="3">
        <v>44599</v>
      </c>
      <c r="BT1379" t="s">
        <v>91</v>
      </c>
      <c r="BU1379" t="s">
        <v>91</v>
      </c>
      <c r="BW1379" s="1" t="s">
        <v>470</v>
      </c>
    </row>
    <row r="1380" spans="1:75" hidden="1" x14ac:dyDescent="0.35">
      <c r="A1380">
        <v>117518</v>
      </c>
      <c r="B1380" s="1" t="s">
        <v>75</v>
      </c>
      <c r="C1380">
        <v>80</v>
      </c>
      <c r="D1380">
        <v>11121004</v>
      </c>
      <c r="E1380">
        <v>121004</v>
      </c>
      <c r="F1380" s="1" t="s">
        <v>6867</v>
      </c>
      <c r="G1380" s="1" t="s">
        <v>7471</v>
      </c>
      <c r="H1380">
        <v>0</v>
      </c>
      <c r="I1380" s="1" t="s">
        <v>78</v>
      </c>
      <c r="J1380" s="1" t="s">
        <v>7472</v>
      </c>
      <c r="K1380" s="1" t="s">
        <v>7473</v>
      </c>
      <c r="L1380" t="s">
        <v>91</v>
      </c>
      <c r="M1380" t="s">
        <v>91</v>
      </c>
      <c r="N1380" s="1" t="s">
        <v>7474</v>
      </c>
      <c r="O1380" t="s">
        <v>91</v>
      </c>
      <c r="P1380" s="1" t="s">
        <v>7475</v>
      </c>
      <c r="Q1380" s="1" t="s">
        <v>7476</v>
      </c>
      <c r="R1380" s="1" t="s">
        <v>1695</v>
      </c>
      <c r="S1380">
        <v>1260</v>
      </c>
      <c r="T1380">
        <v>88230000</v>
      </c>
      <c r="U1380" s="1" t="s">
        <v>108</v>
      </c>
      <c r="V1380" s="1" t="s">
        <v>7477</v>
      </c>
      <c r="W1380" s="1" t="s">
        <v>87</v>
      </c>
      <c r="X1380">
        <v>48</v>
      </c>
      <c r="Y1380">
        <v>32640893</v>
      </c>
      <c r="Z1380" t="s">
        <v>91</v>
      </c>
      <c r="AA1380" t="s">
        <v>91</v>
      </c>
      <c r="AB1380" t="s">
        <v>91</v>
      </c>
      <c r="AC1380" t="s">
        <v>91</v>
      </c>
      <c r="AD1380" t="s">
        <v>91</v>
      </c>
      <c r="AE1380" t="s">
        <v>91</v>
      </c>
      <c r="AF1380" t="s">
        <v>91</v>
      </c>
      <c r="AG1380" s="1" t="s">
        <v>146</v>
      </c>
      <c r="AH1380" s="1" t="s">
        <v>91</v>
      </c>
      <c r="AI1380" t="s">
        <v>91</v>
      </c>
      <c r="AJ1380">
        <v>0</v>
      </c>
      <c r="AK1380">
        <v>0</v>
      </c>
      <c r="AL1380">
        <v>0</v>
      </c>
      <c r="AM1380" t="s">
        <v>91</v>
      </c>
      <c r="AN1380" t="s">
        <v>91</v>
      </c>
      <c r="AO1380" t="s">
        <v>91</v>
      </c>
      <c r="AP1380" t="s">
        <v>91</v>
      </c>
      <c r="AQ1380" s="1" t="s">
        <v>147</v>
      </c>
      <c r="AR1380" s="1" t="s">
        <v>147</v>
      </c>
      <c r="AS1380" s="1" t="s">
        <v>147</v>
      </c>
      <c r="AT1380" s="1" t="s">
        <v>147</v>
      </c>
      <c r="AU1380" s="1" t="s">
        <v>147</v>
      </c>
      <c r="AV1380" t="s">
        <v>91</v>
      </c>
      <c r="AW1380" t="s">
        <v>91</v>
      </c>
      <c r="AX1380" t="s">
        <v>91</v>
      </c>
      <c r="AY1380" t="s">
        <v>91</v>
      </c>
      <c r="AZ1380" t="s">
        <v>91</v>
      </c>
      <c r="BA1380" t="s">
        <v>91</v>
      </c>
      <c r="BB1380" s="2">
        <v>44034.350266203706</v>
      </c>
      <c r="BC1380" s="2">
        <v>45125.610590277778</v>
      </c>
      <c r="BD1380" t="s">
        <v>91</v>
      </c>
      <c r="BF1380" s="1" t="s">
        <v>75</v>
      </c>
      <c r="BG1380">
        <v>0</v>
      </c>
      <c r="BH1380">
        <v>0</v>
      </c>
      <c r="BI1380" s="1" t="s">
        <v>721</v>
      </c>
      <c r="BJ1380">
        <v>1</v>
      </c>
      <c r="BK1380" s="1" t="s">
        <v>89</v>
      </c>
      <c r="BL1380" t="s">
        <v>91</v>
      </c>
      <c r="BM1380" s="1" t="s">
        <v>109</v>
      </c>
      <c r="BN1380" s="1" t="s">
        <v>110</v>
      </c>
      <c r="BO1380" s="1" t="s">
        <v>165</v>
      </c>
      <c r="BP1380" s="1" t="s">
        <v>91</v>
      </c>
      <c r="BQ1380" t="s">
        <v>91</v>
      </c>
      <c r="BR1380" s="3">
        <v>44034</v>
      </c>
      <c r="BS1380" s="3">
        <v>45125</v>
      </c>
      <c r="BT1380" t="s">
        <v>91</v>
      </c>
      <c r="BU1380" t="s">
        <v>91</v>
      </c>
      <c r="BV1380">
        <v>9</v>
      </c>
      <c r="BW1380" s="1" t="s">
        <v>120</v>
      </c>
    </row>
    <row r="1381" spans="1:75" hidden="1" x14ac:dyDescent="0.35">
      <c r="A1381">
        <v>137624</v>
      </c>
      <c r="B1381" s="1" t="s">
        <v>75</v>
      </c>
      <c r="C1381">
        <v>80</v>
      </c>
      <c r="D1381">
        <v>11121004</v>
      </c>
      <c r="E1381">
        <v>121004</v>
      </c>
      <c r="F1381" s="1" t="s">
        <v>6867</v>
      </c>
      <c r="G1381" s="1" t="s">
        <v>7478</v>
      </c>
      <c r="H1381">
        <v>0</v>
      </c>
      <c r="I1381" s="1" t="s">
        <v>78</v>
      </c>
      <c r="J1381" s="1" t="s">
        <v>7479</v>
      </c>
      <c r="K1381" s="1" t="s">
        <v>7480</v>
      </c>
      <c r="L1381" t="s">
        <v>91</v>
      </c>
      <c r="M1381" t="s">
        <v>91</v>
      </c>
      <c r="N1381" s="1" t="s">
        <v>7481</v>
      </c>
      <c r="O1381" t="s">
        <v>91</v>
      </c>
      <c r="P1381" s="1" t="s">
        <v>1856</v>
      </c>
      <c r="Q1381" s="1" t="s">
        <v>5922</v>
      </c>
      <c r="R1381" s="1" t="s">
        <v>7482</v>
      </c>
      <c r="S1381">
        <v>1273</v>
      </c>
      <c r="T1381">
        <v>89107000</v>
      </c>
      <c r="U1381" s="1" t="s">
        <v>108</v>
      </c>
      <c r="V1381" s="1" t="s">
        <v>7483</v>
      </c>
      <c r="W1381" s="1" t="s">
        <v>87</v>
      </c>
      <c r="X1381">
        <v>47</v>
      </c>
      <c r="Y1381">
        <v>33942932</v>
      </c>
      <c r="Z1381" t="s">
        <v>91</v>
      </c>
      <c r="AA1381" t="s">
        <v>91</v>
      </c>
      <c r="AB1381" t="s">
        <v>91</v>
      </c>
      <c r="AC1381" t="s">
        <v>91</v>
      </c>
      <c r="AD1381" t="s">
        <v>91</v>
      </c>
      <c r="AE1381" t="s">
        <v>91</v>
      </c>
      <c r="AF1381" t="s">
        <v>91</v>
      </c>
      <c r="AG1381" s="1" t="s">
        <v>146</v>
      </c>
      <c r="AH1381" s="1" t="s">
        <v>91</v>
      </c>
      <c r="AI1381" t="s">
        <v>91</v>
      </c>
      <c r="AM1381" t="s">
        <v>91</v>
      </c>
      <c r="AN1381" t="s">
        <v>91</v>
      </c>
      <c r="AO1381" t="s">
        <v>91</v>
      </c>
      <c r="AP1381" t="s">
        <v>91</v>
      </c>
      <c r="AQ1381" s="1" t="s">
        <v>147</v>
      </c>
      <c r="AR1381" s="1" t="s">
        <v>147</v>
      </c>
      <c r="AS1381" s="1" t="s">
        <v>147</v>
      </c>
      <c r="AT1381" s="1" t="s">
        <v>147</v>
      </c>
      <c r="AU1381" s="1" t="s">
        <v>147</v>
      </c>
      <c r="AV1381" t="s">
        <v>91</v>
      </c>
      <c r="AW1381" t="s">
        <v>91</v>
      </c>
      <c r="AX1381" t="s">
        <v>91</v>
      </c>
      <c r="AY1381" t="s">
        <v>91</v>
      </c>
      <c r="AZ1381" t="s">
        <v>91</v>
      </c>
      <c r="BA1381" t="s">
        <v>91</v>
      </c>
      <c r="BB1381" s="2">
        <v>44378.578518518516</v>
      </c>
      <c r="BC1381" s="2">
        <v>45119.690081018518</v>
      </c>
      <c r="BD1381" t="s">
        <v>91</v>
      </c>
      <c r="BF1381" s="1" t="s">
        <v>75</v>
      </c>
      <c r="BH1381">
        <v>0</v>
      </c>
      <c r="BI1381" s="1" t="s">
        <v>721</v>
      </c>
      <c r="BJ1381">
        <v>1</v>
      </c>
      <c r="BK1381" s="1" t="s">
        <v>89</v>
      </c>
      <c r="BL1381" t="s">
        <v>91</v>
      </c>
      <c r="BM1381" s="1" t="s">
        <v>109</v>
      </c>
      <c r="BN1381" s="1" t="s">
        <v>110</v>
      </c>
      <c r="BO1381" s="1" t="s">
        <v>128</v>
      </c>
      <c r="BP1381" s="1" t="s">
        <v>91</v>
      </c>
      <c r="BQ1381" t="s">
        <v>91</v>
      </c>
      <c r="BR1381" s="3">
        <v>44378</v>
      </c>
      <c r="BS1381" s="3">
        <v>45119</v>
      </c>
      <c r="BT1381" t="s">
        <v>91</v>
      </c>
      <c r="BU1381" t="s">
        <v>91</v>
      </c>
      <c r="BW1381" s="1" t="s">
        <v>665</v>
      </c>
    </row>
    <row r="1382" spans="1:75" hidden="1" x14ac:dyDescent="0.35">
      <c r="A1382">
        <v>137625</v>
      </c>
      <c r="B1382" s="1" t="s">
        <v>75</v>
      </c>
      <c r="C1382">
        <v>80</v>
      </c>
      <c r="D1382">
        <v>11121004</v>
      </c>
      <c r="E1382">
        <v>121004</v>
      </c>
      <c r="F1382" s="1" t="s">
        <v>6867</v>
      </c>
      <c r="G1382" s="1" t="s">
        <v>7484</v>
      </c>
      <c r="H1382">
        <v>0</v>
      </c>
      <c r="I1382" s="1" t="s">
        <v>78</v>
      </c>
      <c r="J1382" s="1" t="s">
        <v>7485</v>
      </c>
      <c r="K1382" s="1" t="s">
        <v>7486</v>
      </c>
      <c r="L1382" t="s">
        <v>91</v>
      </c>
      <c r="M1382" t="s">
        <v>91</v>
      </c>
      <c r="N1382" s="1" t="s">
        <v>7487</v>
      </c>
      <c r="O1382" t="s">
        <v>91</v>
      </c>
      <c r="P1382" s="1" t="s">
        <v>475</v>
      </c>
      <c r="Q1382" s="1" t="s">
        <v>7488</v>
      </c>
      <c r="R1382" s="1" t="s">
        <v>91</v>
      </c>
      <c r="S1382">
        <v>1262</v>
      </c>
      <c r="T1382">
        <v>88330657</v>
      </c>
      <c r="U1382" s="1" t="s">
        <v>108</v>
      </c>
      <c r="V1382" s="1" t="s">
        <v>6898</v>
      </c>
      <c r="W1382" s="1" t="s">
        <v>87</v>
      </c>
      <c r="X1382">
        <v>47</v>
      </c>
      <c r="Y1382">
        <v>33670285</v>
      </c>
      <c r="Z1382" t="s">
        <v>91</v>
      </c>
      <c r="AA1382" t="s">
        <v>91</v>
      </c>
      <c r="AB1382" t="s">
        <v>91</v>
      </c>
      <c r="AC1382" t="s">
        <v>91</v>
      </c>
      <c r="AD1382" t="s">
        <v>91</v>
      </c>
      <c r="AE1382" t="s">
        <v>91</v>
      </c>
      <c r="AF1382" t="s">
        <v>91</v>
      </c>
      <c r="AG1382" s="1" t="s">
        <v>146</v>
      </c>
      <c r="AH1382" s="1" t="s">
        <v>91</v>
      </c>
      <c r="AI1382" t="s">
        <v>91</v>
      </c>
      <c r="AM1382" t="s">
        <v>91</v>
      </c>
      <c r="AN1382" t="s">
        <v>91</v>
      </c>
      <c r="AO1382" t="s">
        <v>91</v>
      </c>
      <c r="AP1382" t="s">
        <v>91</v>
      </c>
      <c r="AQ1382" s="1" t="s">
        <v>147</v>
      </c>
      <c r="AR1382" s="1" t="s">
        <v>147</v>
      </c>
      <c r="AS1382" s="1" t="s">
        <v>147</v>
      </c>
      <c r="AT1382" s="1" t="s">
        <v>147</v>
      </c>
      <c r="AU1382" s="1" t="s">
        <v>147</v>
      </c>
      <c r="AV1382" t="s">
        <v>91</v>
      </c>
      <c r="AW1382" t="s">
        <v>91</v>
      </c>
      <c r="AX1382" t="s">
        <v>91</v>
      </c>
      <c r="AY1382" t="s">
        <v>91</v>
      </c>
      <c r="AZ1382" t="s">
        <v>91</v>
      </c>
      <c r="BA1382" t="s">
        <v>91</v>
      </c>
      <c r="BB1382" s="2">
        <v>44378.578518518516</v>
      </c>
      <c r="BC1382" s="2">
        <v>44582.675069444442</v>
      </c>
      <c r="BD1382" t="s">
        <v>91</v>
      </c>
      <c r="BF1382" s="1" t="s">
        <v>75</v>
      </c>
      <c r="BH1382">
        <v>0</v>
      </c>
      <c r="BI1382" s="1" t="s">
        <v>88</v>
      </c>
      <c r="BJ1382">
        <v>1</v>
      </c>
      <c r="BK1382" s="1" t="s">
        <v>89</v>
      </c>
      <c r="BL1382" t="s">
        <v>91</v>
      </c>
      <c r="BM1382" s="1" t="s">
        <v>164</v>
      </c>
      <c r="BN1382" s="1" t="s">
        <v>110</v>
      </c>
      <c r="BO1382" s="1" t="s">
        <v>165</v>
      </c>
      <c r="BP1382" s="1" t="s">
        <v>91</v>
      </c>
      <c r="BQ1382" t="s">
        <v>91</v>
      </c>
      <c r="BR1382" s="3">
        <v>44378</v>
      </c>
      <c r="BS1382" s="3">
        <v>44582</v>
      </c>
      <c r="BT1382" t="s">
        <v>91</v>
      </c>
      <c r="BU1382" t="s">
        <v>91</v>
      </c>
      <c r="BW1382" s="1" t="s">
        <v>390</v>
      </c>
    </row>
    <row r="1383" spans="1:75" hidden="1" x14ac:dyDescent="0.35">
      <c r="A1383">
        <v>137627</v>
      </c>
      <c r="B1383" s="1" t="s">
        <v>75</v>
      </c>
      <c r="C1383">
        <v>80</v>
      </c>
      <c r="D1383">
        <v>11121004</v>
      </c>
      <c r="E1383">
        <v>121004</v>
      </c>
      <c r="F1383" s="1" t="s">
        <v>6867</v>
      </c>
      <c r="G1383" s="1" t="s">
        <v>7489</v>
      </c>
      <c r="H1383">
        <v>0</v>
      </c>
      <c r="I1383" s="1" t="s">
        <v>78</v>
      </c>
      <c r="J1383" s="1" t="s">
        <v>7490</v>
      </c>
      <c r="K1383" s="1" t="s">
        <v>7491</v>
      </c>
      <c r="L1383" t="s">
        <v>91</v>
      </c>
      <c r="M1383" t="s">
        <v>91</v>
      </c>
      <c r="N1383" s="1" t="s">
        <v>7492</v>
      </c>
      <c r="O1383" t="s">
        <v>91</v>
      </c>
      <c r="P1383" s="1" t="s">
        <v>1094</v>
      </c>
      <c r="Q1383" s="1" t="s">
        <v>7014</v>
      </c>
      <c r="R1383" s="1" t="s">
        <v>173</v>
      </c>
      <c r="S1383">
        <v>1260</v>
      </c>
      <c r="T1383">
        <v>88240000</v>
      </c>
      <c r="U1383" s="1" t="s">
        <v>108</v>
      </c>
      <c r="V1383" s="1" t="s">
        <v>7280</v>
      </c>
      <c r="W1383" s="1" t="s">
        <v>87</v>
      </c>
      <c r="X1383">
        <v>48</v>
      </c>
      <c r="Y1383">
        <v>32650068</v>
      </c>
      <c r="Z1383" t="s">
        <v>91</v>
      </c>
      <c r="AA1383" t="s">
        <v>91</v>
      </c>
      <c r="AB1383" t="s">
        <v>91</v>
      </c>
      <c r="AC1383" t="s">
        <v>91</v>
      </c>
      <c r="AD1383" t="s">
        <v>91</v>
      </c>
      <c r="AE1383" t="s">
        <v>91</v>
      </c>
      <c r="AF1383" t="s">
        <v>91</v>
      </c>
      <c r="AG1383" s="1" t="s">
        <v>146</v>
      </c>
      <c r="AH1383" s="1" t="s">
        <v>91</v>
      </c>
      <c r="AI1383" t="s">
        <v>91</v>
      </c>
      <c r="AM1383" t="s">
        <v>91</v>
      </c>
      <c r="AN1383" t="s">
        <v>91</v>
      </c>
      <c r="AO1383" t="s">
        <v>91</v>
      </c>
      <c r="AP1383" t="s">
        <v>91</v>
      </c>
      <c r="AQ1383" s="1" t="s">
        <v>147</v>
      </c>
      <c r="AR1383" s="1" t="s">
        <v>147</v>
      </c>
      <c r="AS1383" s="1" t="s">
        <v>147</v>
      </c>
      <c r="AT1383" s="1" t="s">
        <v>147</v>
      </c>
      <c r="AU1383" s="1" t="s">
        <v>147</v>
      </c>
      <c r="AV1383" t="s">
        <v>91</v>
      </c>
      <c r="AW1383" t="s">
        <v>91</v>
      </c>
      <c r="AX1383" t="s">
        <v>91</v>
      </c>
      <c r="AY1383" t="s">
        <v>91</v>
      </c>
      <c r="AZ1383" t="s">
        <v>91</v>
      </c>
      <c r="BA1383" t="s">
        <v>91</v>
      </c>
      <c r="BB1383" s="2">
        <v>44378.578518518516</v>
      </c>
      <c r="BC1383" s="2">
        <v>45125.61273148148</v>
      </c>
      <c r="BD1383" t="s">
        <v>91</v>
      </c>
      <c r="BF1383" s="1" t="s">
        <v>75</v>
      </c>
      <c r="BH1383">
        <v>0</v>
      </c>
      <c r="BI1383" s="1" t="s">
        <v>721</v>
      </c>
      <c r="BJ1383">
        <v>1</v>
      </c>
      <c r="BK1383" s="1" t="s">
        <v>89</v>
      </c>
      <c r="BL1383" t="s">
        <v>91</v>
      </c>
      <c r="BM1383" s="1" t="s">
        <v>109</v>
      </c>
      <c r="BN1383" s="1" t="s">
        <v>148</v>
      </c>
      <c r="BO1383" s="1" t="s">
        <v>165</v>
      </c>
      <c r="BP1383" s="1" t="s">
        <v>91</v>
      </c>
      <c r="BQ1383" t="s">
        <v>91</v>
      </c>
      <c r="BR1383" s="3">
        <v>44378</v>
      </c>
      <c r="BS1383" s="3">
        <v>45125</v>
      </c>
      <c r="BT1383" t="s">
        <v>91</v>
      </c>
      <c r="BU1383" t="s">
        <v>91</v>
      </c>
      <c r="BW1383" s="1" t="s">
        <v>120</v>
      </c>
    </row>
    <row r="1384" spans="1:75" hidden="1" x14ac:dyDescent="0.35">
      <c r="A1384">
        <v>120523</v>
      </c>
      <c r="B1384" s="1" t="s">
        <v>75</v>
      </c>
      <c r="C1384">
        <v>80</v>
      </c>
      <c r="D1384">
        <v>11121004</v>
      </c>
      <c r="E1384">
        <v>121004</v>
      </c>
      <c r="F1384" s="1" t="s">
        <v>6867</v>
      </c>
      <c r="G1384" s="1" t="s">
        <v>7493</v>
      </c>
      <c r="H1384">
        <v>0</v>
      </c>
      <c r="I1384" s="1" t="s">
        <v>78</v>
      </c>
      <c r="J1384" s="1" t="s">
        <v>7494</v>
      </c>
      <c r="K1384" s="1" t="s">
        <v>7495</v>
      </c>
      <c r="L1384" t="s">
        <v>91</v>
      </c>
      <c r="M1384" t="s">
        <v>91</v>
      </c>
      <c r="N1384" s="1" t="s">
        <v>91</v>
      </c>
      <c r="O1384" t="s">
        <v>91</v>
      </c>
      <c r="P1384" s="1" t="s">
        <v>7496</v>
      </c>
      <c r="Q1384" s="1" t="s">
        <v>7497</v>
      </c>
      <c r="R1384" s="1" t="s">
        <v>173</v>
      </c>
      <c r="S1384">
        <v>1271</v>
      </c>
      <c r="T1384">
        <v>89010200</v>
      </c>
      <c r="U1384" s="1" t="s">
        <v>108</v>
      </c>
      <c r="V1384" s="1" t="s">
        <v>3571</v>
      </c>
      <c r="W1384" s="1" t="s">
        <v>87</v>
      </c>
      <c r="X1384">
        <v>47</v>
      </c>
      <c r="Y1384">
        <v>30353261</v>
      </c>
      <c r="Z1384" t="s">
        <v>91</v>
      </c>
      <c r="AA1384" t="s">
        <v>91</v>
      </c>
      <c r="AB1384" t="s">
        <v>91</v>
      </c>
      <c r="AC1384" t="s">
        <v>91</v>
      </c>
      <c r="AD1384" t="s">
        <v>91</v>
      </c>
      <c r="AE1384" t="s">
        <v>91</v>
      </c>
      <c r="AF1384" t="s">
        <v>91</v>
      </c>
      <c r="AG1384" s="1" t="s">
        <v>91</v>
      </c>
      <c r="AH1384" s="1" t="s">
        <v>91</v>
      </c>
      <c r="AI1384" t="s">
        <v>91</v>
      </c>
      <c r="AM1384" t="s">
        <v>91</v>
      </c>
      <c r="AN1384" t="s">
        <v>91</v>
      </c>
      <c r="AO1384" t="s">
        <v>91</v>
      </c>
      <c r="AP1384" t="s">
        <v>91</v>
      </c>
      <c r="AQ1384" s="1" t="s">
        <v>91</v>
      </c>
      <c r="AR1384" s="1" t="s">
        <v>91</v>
      </c>
      <c r="AS1384" s="1" t="s">
        <v>91</v>
      </c>
      <c r="AT1384" s="1" t="s">
        <v>91</v>
      </c>
      <c r="AU1384" s="1" t="s">
        <v>91</v>
      </c>
      <c r="AV1384" t="s">
        <v>91</v>
      </c>
      <c r="AW1384" t="s">
        <v>91</v>
      </c>
      <c r="AX1384" t="s">
        <v>91</v>
      </c>
      <c r="AY1384" t="s">
        <v>91</v>
      </c>
      <c r="AZ1384" t="s">
        <v>91</v>
      </c>
      <c r="BA1384" t="s">
        <v>91</v>
      </c>
      <c r="BB1384" s="2">
        <v>44096.645520833335</v>
      </c>
      <c r="BC1384" s="2"/>
      <c r="BD1384" t="s">
        <v>91</v>
      </c>
      <c r="BF1384" s="1" t="s">
        <v>75</v>
      </c>
      <c r="BI1384" s="1" t="s">
        <v>88</v>
      </c>
      <c r="BJ1384">
        <v>1</v>
      </c>
      <c r="BK1384" s="1" t="s">
        <v>89</v>
      </c>
      <c r="BL1384" t="s">
        <v>91</v>
      </c>
      <c r="BM1384" s="1" t="s">
        <v>109</v>
      </c>
      <c r="BN1384" s="1" t="s">
        <v>110</v>
      </c>
      <c r="BO1384" s="1" t="s">
        <v>180</v>
      </c>
      <c r="BP1384" s="1" t="s">
        <v>91</v>
      </c>
      <c r="BQ1384" t="s">
        <v>91</v>
      </c>
      <c r="BR1384" s="3">
        <v>44096</v>
      </c>
      <c r="BS1384" s="3"/>
      <c r="BT1384" t="s">
        <v>91</v>
      </c>
      <c r="BU1384" t="s">
        <v>91</v>
      </c>
      <c r="BV1384">
        <v>9</v>
      </c>
      <c r="BW1384" s="1" t="s">
        <v>90</v>
      </c>
    </row>
    <row r="1385" spans="1:75" hidden="1" x14ac:dyDescent="0.35">
      <c r="A1385">
        <v>137629</v>
      </c>
      <c r="B1385" s="1" t="s">
        <v>75</v>
      </c>
      <c r="C1385">
        <v>80</v>
      </c>
      <c r="D1385">
        <v>11121004</v>
      </c>
      <c r="E1385">
        <v>121004</v>
      </c>
      <c r="F1385" s="1" t="s">
        <v>6867</v>
      </c>
      <c r="G1385" s="1" t="s">
        <v>7498</v>
      </c>
      <c r="H1385">
        <v>0</v>
      </c>
      <c r="I1385" s="1" t="s">
        <v>78</v>
      </c>
      <c r="J1385" s="1" t="s">
        <v>7499</v>
      </c>
      <c r="K1385" s="1" t="s">
        <v>7500</v>
      </c>
      <c r="L1385" t="s">
        <v>91</v>
      </c>
      <c r="M1385" t="s">
        <v>91</v>
      </c>
      <c r="N1385" s="1" t="s">
        <v>7501</v>
      </c>
      <c r="O1385" t="s">
        <v>91</v>
      </c>
      <c r="P1385" s="1" t="s">
        <v>7502</v>
      </c>
      <c r="Q1385" s="1" t="s">
        <v>7503</v>
      </c>
      <c r="R1385" s="1" t="s">
        <v>1522</v>
      </c>
      <c r="S1385">
        <v>1262</v>
      </c>
      <c r="T1385">
        <v>88345006</v>
      </c>
      <c r="U1385" s="1" t="s">
        <v>3001</v>
      </c>
      <c r="V1385" s="1" t="s">
        <v>7223</v>
      </c>
      <c r="W1385" s="1" t="s">
        <v>87</v>
      </c>
      <c r="X1385">
        <v>47</v>
      </c>
      <c r="Y1385">
        <v>999337484</v>
      </c>
      <c r="Z1385" t="s">
        <v>91</v>
      </c>
      <c r="AA1385" t="s">
        <v>91</v>
      </c>
      <c r="AB1385" t="s">
        <v>91</v>
      </c>
      <c r="AC1385" t="s">
        <v>91</v>
      </c>
      <c r="AD1385" t="s">
        <v>91</v>
      </c>
      <c r="AE1385" t="s">
        <v>91</v>
      </c>
      <c r="AF1385" t="s">
        <v>91</v>
      </c>
      <c r="AG1385" s="1" t="s">
        <v>146</v>
      </c>
      <c r="AH1385" s="1" t="s">
        <v>91</v>
      </c>
      <c r="AI1385" t="s">
        <v>91</v>
      </c>
      <c r="AM1385" t="s">
        <v>91</v>
      </c>
      <c r="AN1385" t="s">
        <v>91</v>
      </c>
      <c r="AO1385" t="s">
        <v>91</v>
      </c>
      <c r="AP1385" t="s">
        <v>91</v>
      </c>
      <c r="AQ1385" s="1" t="s">
        <v>147</v>
      </c>
      <c r="AR1385" s="1" t="s">
        <v>147</v>
      </c>
      <c r="AS1385" s="1" t="s">
        <v>147</v>
      </c>
      <c r="AT1385" s="1" t="s">
        <v>147</v>
      </c>
      <c r="AU1385" s="1" t="s">
        <v>147</v>
      </c>
      <c r="AV1385" t="s">
        <v>91</v>
      </c>
      <c r="AW1385" t="s">
        <v>91</v>
      </c>
      <c r="AX1385" t="s">
        <v>91</v>
      </c>
      <c r="AY1385" t="s">
        <v>91</v>
      </c>
      <c r="AZ1385" t="s">
        <v>91</v>
      </c>
      <c r="BA1385" t="s">
        <v>91</v>
      </c>
      <c r="BB1385" s="2">
        <v>44378.578518518516</v>
      </c>
      <c r="BC1385" s="2">
        <v>44771.502118055556</v>
      </c>
      <c r="BD1385" t="s">
        <v>91</v>
      </c>
      <c r="BF1385" s="1" t="s">
        <v>75</v>
      </c>
      <c r="BH1385">
        <v>0</v>
      </c>
      <c r="BI1385" s="1" t="s">
        <v>88</v>
      </c>
      <c r="BJ1385">
        <v>1</v>
      </c>
      <c r="BK1385" s="1" t="s">
        <v>89</v>
      </c>
      <c r="BL1385" t="s">
        <v>91</v>
      </c>
      <c r="BM1385" s="1" t="s">
        <v>109</v>
      </c>
      <c r="BN1385" s="1" t="s">
        <v>110</v>
      </c>
      <c r="BO1385" s="1" t="s">
        <v>91</v>
      </c>
      <c r="BP1385" s="1" t="s">
        <v>91</v>
      </c>
      <c r="BQ1385" t="s">
        <v>91</v>
      </c>
      <c r="BR1385" s="3">
        <v>44378</v>
      </c>
      <c r="BS1385" s="3">
        <v>44771</v>
      </c>
      <c r="BT1385" t="s">
        <v>91</v>
      </c>
      <c r="BU1385" t="s">
        <v>91</v>
      </c>
      <c r="BW1385" s="1" t="s">
        <v>2281</v>
      </c>
    </row>
    <row r="1386" spans="1:75" hidden="1" x14ac:dyDescent="0.35">
      <c r="A1386">
        <v>117447</v>
      </c>
      <c r="B1386" s="1" t="s">
        <v>75</v>
      </c>
      <c r="C1386">
        <v>80</v>
      </c>
      <c r="D1386">
        <v>11121004</v>
      </c>
      <c r="E1386">
        <v>121004</v>
      </c>
      <c r="F1386" s="1" t="s">
        <v>6867</v>
      </c>
      <c r="G1386" s="1" t="s">
        <v>7504</v>
      </c>
      <c r="H1386">
        <v>0</v>
      </c>
      <c r="I1386" s="1" t="s">
        <v>78</v>
      </c>
      <c r="J1386" s="1" t="s">
        <v>7505</v>
      </c>
      <c r="K1386" s="1" t="s">
        <v>7506</v>
      </c>
      <c r="L1386" t="s">
        <v>91</v>
      </c>
      <c r="M1386" t="s">
        <v>91</v>
      </c>
      <c r="N1386" s="1" t="s">
        <v>7507</v>
      </c>
      <c r="O1386" t="s">
        <v>91</v>
      </c>
      <c r="P1386" s="1" t="s">
        <v>7508</v>
      </c>
      <c r="Q1386" s="1" t="s">
        <v>7509</v>
      </c>
      <c r="R1386" s="1" t="s">
        <v>5881</v>
      </c>
      <c r="S1386">
        <v>1262</v>
      </c>
      <c r="T1386">
        <v>88331150</v>
      </c>
      <c r="U1386" s="1" t="s">
        <v>7510</v>
      </c>
      <c r="V1386" s="1" t="s">
        <v>6898</v>
      </c>
      <c r="W1386" s="1" t="s">
        <v>87</v>
      </c>
      <c r="X1386">
        <v>47</v>
      </c>
      <c r="Y1386">
        <v>33607966</v>
      </c>
      <c r="Z1386" t="s">
        <v>91</v>
      </c>
      <c r="AA1386" t="s">
        <v>91</v>
      </c>
      <c r="AB1386" t="s">
        <v>91</v>
      </c>
      <c r="AC1386" t="s">
        <v>91</v>
      </c>
      <c r="AD1386" t="s">
        <v>91</v>
      </c>
      <c r="AE1386" t="s">
        <v>91</v>
      </c>
      <c r="AF1386" t="s">
        <v>91</v>
      </c>
      <c r="AG1386" s="1" t="s">
        <v>146</v>
      </c>
      <c r="AH1386" s="1" t="s">
        <v>91</v>
      </c>
      <c r="AI1386" t="s">
        <v>91</v>
      </c>
      <c r="AJ1386">
        <v>0</v>
      </c>
      <c r="AK1386">
        <v>0</v>
      </c>
      <c r="AL1386">
        <v>0</v>
      </c>
      <c r="AM1386" t="s">
        <v>91</v>
      </c>
      <c r="AN1386" t="s">
        <v>91</v>
      </c>
      <c r="AO1386" t="s">
        <v>91</v>
      </c>
      <c r="AP1386" t="s">
        <v>91</v>
      </c>
      <c r="AQ1386" s="1" t="s">
        <v>147</v>
      </c>
      <c r="AR1386" s="1" t="s">
        <v>147</v>
      </c>
      <c r="AS1386" s="1" t="s">
        <v>147</v>
      </c>
      <c r="AT1386" s="1" t="s">
        <v>147</v>
      </c>
      <c r="AU1386" s="1" t="s">
        <v>147</v>
      </c>
      <c r="AV1386" t="s">
        <v>91</v>
      </c>
      <c r="AW1386" t="s">
        <v>91</v>
      </c>
      <c r="AX1386" t="s">
        <v>91</v>
      </c>
      <c r="AY1386" t="s">
        <v>91</v>
      </c>
      <c r="AZ1386" t="s">
        <v>91</v>
      </c>
      <c r="BA1386" t="s">
        <v>91</v>
      </c>
      <c r="BB1386" s="2">
        <v>44034.350266203706</v>
      </c>
      <c r="BC1386" s="2">
        <v>45124.738622685189</v>
      </c>
      <c r="BD1386" t="s">
        <v>91</v>
      </c>
      <c r="BF1386" s="1" t="s">
        <v>75</v>
      </c>
      <c r="BG1386">
        <v>0</v>
      </c>
      <c r="BH1386">
        <v>0</v>
      </c>
      <c r="BI1386" s="1" t="s">
        <v>721</v>
      </c>
      <c r="BJ1386">
        <v>1</v>
      </c>
      <c r="BK1386" s="1" t="s">
        <v>89</v>
      </c>
      <c r="BL1386" t="s">
        <v>91</v>
      </c>
      <c r="BM1386" s="1" t="s">
        <v>109</v>
      </c>
      <c r="BN1386" s="1" t="s">
        <v>110</v>
      </c>
      <c r="BO1386" s="1" t="s">
        <v>111</v>
      </c>
      <c r="BP1386" s="1" t="s">
        <v>91</v>
      </c>
      <c r="BQ1386" t="s">
        <v>91</v>
      </c>
      <c r="BR1386" s="3">
        <v>44034</v>
      </c>
      <c r="BS1386" s="3">
        <v>45124</v>
      </c>
      <c r="BT1386" t="s">
        <v>91</v>
      </c>
      <c r="BU1386" t="s">
        <v>91</v>
      </c>
      <c r="BV1386">
        <v>6</v>
      </c>
      <c r="BW1386" s="1" t="s">
        <v>255</v>
      </c>
    </row>
    <row r="1387" spans="1:75" hidden="1" x14ac:dyDescent="0.35">
      <c r="A1387">
        <v>157085</v>
      </c>
      <c r="B1387" s="1" t="s">
        <v>75</v>
      </c>
      <c r="C1387">
        <v>80</v>
      </c>
      <c r="D1387">
        <v>11121004</v>
      </c>
      <c r="E1387">
        <v>121004</v>
      </c>
      <c r="F1387" s="1" t="s">
        <v>6867</v>
      </c>
      <c r="G1387" s="1" t="s">
        <v>7511</v>
      </c>
      <c r="H1387">
        <v>0</v>
      </c>
      <c r="I1387" s="1" t="s">
        <v>78</v>
      </c>
      <c r="J1387" s="1" t="s">
        <v>7512</v>
      </c>
      <c r="K1387" s="1" t="s">
        <v>7513</v>
      </c>
      <c r="L1387" t="s">
        <v>91</v>
      </c>
      <c r="M1387" t="s">
        <v>91</v>
      </c>
      <c r="N1387" s="1" t="s">
        <v>7514</v>
      </c>
      <c r="O1387" t="s">
        <v>91</v>
      </c>
      <c r="P1387" s="1" t="s">
        <v>7515</v>
      </c>
      <c r="Q1387" s="1" t="s">
        <v>4559</v>
      </c>
      <c r="R1387" s="1" t="s">
        <v>833</v>
      </c>
      <c r="S1387">
        <v>1276</v>
      </c>
      <c r="T1387">
        <v>89196000</v>
      </c>
      <c r="U1387" s="1" t="s">
        <v>108</v>
      </c>
      <c r="V1387" s="1" t="s">
        <v>7516</v>
      </c>
      <c r="W1387" s="1" t="s">
        <v>87</v>
      </c>
      <c r="X1387">
        <v>47</v>
      </c>
      <c r="Y1387">
        <v>35630293</v>
      </c>
      <c r="Z1387" t="s">
        <v>91</v>
      </c>
      <c r="AA1387" t="s">
        <v>91</v>
      </c>
      <c r="AB1387" t="s">
        <v>91</v>
      </c>
      <c r="AC1387" t="s">
        <v>91</v>
      </c>
      <c r="AD1387" t="s">
        <v>91</v>
      </c>
      <c r="AE1387" t="s">
        <v>91</v>
      </c>
      <c r="AF1387" t="s">
        <v>91</v>
      </c>
      <c r="AG1387" s="1" t="s">
        <v>91</v>
      </c>
      <c r="AH1387" s="1" t="s">
        <v>91</v>
      </c>
      <c r="AI1387" t="s">
        <v>91</v>
      </c>
      <c r="AM1387" t="s">
        <v>91</v>
      </c>
      <c r="AN1387" t="s">
        <v>91</v>
      </c>
      <c r="AO1387" t="s">
        <v>91</v>
      </c>
      <c r="AP1387" t="s">
        <v>91</v>
      </c>
      <c r="AQ1387" s="1" t="s">
        <v>91</v>
      </c>
      <c r="AR1387" s="1" t="s">
        <v>91</v>
      </c>
      <c r="AS1387" s="1" t="s">
        <v>91</v>
      </c>
      <c r="AT1387" s="1" t="s">
        <v>91</v>
      </c>
      <c r="AU1387" s="1" t="s">
        <v>91</v>
      </c>
      <c r="AV1387" t="s">
        <v>91</v>
      </c>
      <c r="AW1387" t="s">
        <v>91</v>
      </c>
      <c r="AX1387" t="s">
        <v>91</v>
      </c>
      <c r="AY1387" t="s">
        <v>91</v>
      </c>
      <c r="AZ1387" t="s">
        <v>91</v>
      </c>
      <c r="BA1387" t="s">
        <v>91</v>
      </c>
      <c r="BB1387" s="2">
        <v>45113.505416666667</v>
      </c>
      <c r="BC1387" s="2"/>
      <c r="BD1387" t="s">
        <v>91</v>
      </c>
      <c r="BF1387" s="1" t="s">
        <v>75</v>
      </c>
      <c r="BI1387" s="1" t="s">
        <v>88</v>
      </c>
      <c r="BJ1387">
        <v>1</v>
      </c>
      <c r="BK1387" s="1" t="s">
        <v>89</v>
      </c>
      <c r="BL1387" t="s">
        <v>91</v>
      </c>
      <c r="BM1387" s="1" t="s">
        <v>91</v>
      </c>
      <c r="BN1387" s="1" t="s">
        <v>91</v>
      </c>
      <c r="BO1387" s="1" t="s">
        <v>91</v>
      </c>
      <c r="BP1387" s="1" t="s">
        <v>91</v>
      </c>
      <c r="BQ1387" t="s">
        <v>91</v>
      </c>
      <c r="BR1387" s="3">
        <v>45113</v>
      </c>
      <c r="BS1387" s="3"/>
      <c r="BT1387" t="s">
        <v>91</v>
      </c>
      <c r="BU1387" t="s">
        <v>91</v>
      </c>
      <c r="BW1387" s="1" t="s">
        <v>90</v>
      </c>
    </row>
    <row r="1388" spans="1:75" hidden="1" x14ac:dyDescent="0.35">
      <c r="A1388">
        <v>137632</v>
      </c>
      <c r="B1388" s="1" t="s">
        <v>75</v>
      </c>
      <c r="C1388">
        <v>80</v>
      </c>
      <c r="D1388">
        <v>11121004</v>
      </c>
      <c r="E1388">
        <v>121004</v>
      </c>
      <c r="F1388" s="1" t="s">
        <v>6867</v>
      </c>
      <c r="G1388" s="1" t="s">
        <v>7517</v>
      </c>
      <c r="H1388">
        <v>0</v>
      </c>
      <c r="I1388" s="1" t="s">
        <v>78</v>
      </c>
      <c r="J1388" s="1" t="s">
        <v>7518</v>
      </c>
      <c r="K1388" s="1" t="s">
        <v>7519</v>
      </c>
      <c r="L1388" t="s">
        <v>91</v>
      </c>
      <c r="M1388" t="s">
        <v>91</v>
      </c>
      <c r="N1388" s="1" t="s">
        <v>7520</v>
      </c>
      <c r="O1388" t="s">
        <v>91</v>
      </c>
      <c r="P1388" s="1" t="s">
        <v>7521</v>
      </c>
      <c r="Q1388" s="1" t="s">
        <v>7522</v>
      </c>
      <c r="R1388" s="1" t="s">
        <v>236</v>
      </c>
      <c r="S1388">
        <v>1263</v>
      </c>
      <c r="T1388">
        <v>88380000</v>
      </c>
      <c r="U1388" s="1" t="s">
        <v>108</v>
      </c>
      <c r="V1388" s="1" t="s">
        <v>7523</v>
      </c>
      <c r="W1388" s="1" t="s">
        <v>87</v>
      </c>
      <c r="X1388">
        <v>47</v>
      </c>
      <c r="Y1388">
        <v>33618148</v>
      </c>
      <c r="Z1388" t="s">
        <v>91</v>
      </c>
      <c r="AA1388" t="s">
        <v>91</v>
      </c>
      <c r="AB1388" t="s">
        <v>91</v>
      </c>
      <c r="AC1388" t="s">
        <v>91</v>
      </c>
      <c r="AD1388" t="s">
        <v>91</v>
      </c>
      <c r="AE1388" t="s">
        <v>91</v>
      </c>
      <c r="AF1388" t="s">
        <v>91</v>
      </c>
      <c r="AG1388" s="1" t="s">
        <v>146</v>
      </c>
      <c r="AH1388" s="1" t="s">
        <v>91</v>
      </c>
      <c r="AI1388" t="s">
        <v>91</v>
      </c>
      <c r="AM1388" t="s">
        <v>91</v>
      </c>
      <c r="AN1388" t="s">
        <v>91</v>
      </c>
      <c r="AO1388" t="s">
        <v>91</v>
      </c>
      <c r="AP1388" t="s">
        <v>91</v>
      </c>
      <c r="AQ1388" s="1" t="s">
        <v>147</v>
      </c>
      <c r="AR1388" s="1" t="s">
        <v>147</v>
      </c>
      <c r="AS1388" s="1" t="s">
        <v>147</v>
      </c>
      <c r="AT1388" s="1" t="s">
        <v>147</v>
      </c>
      <c r="AU1388" s="1" t="s">
        <v>147</v>
      </c>
      <c r="AV1388" t="s">
        <v>91</v>
      </c>
      <c r="AW1388" t="s">
        <v>91</v>
      </c>
      <c r="AX1388" t="s">
        <v>91</v>
      </c>
      <c r="AY1388" t="s">
        <v>91</v>
      </c>
      <c r="AZ1388" t="s">
        <v>91</v>
      </c>
      <c r="BA1388" t="s">
        <v>91</v>
      </c>
      <c r="BB1388" s="2">
        <v>44378.578518518516</v>
      </c>
      <c r="BC1388" s="2">
        <v>44736.486932870372</v>
      </c>
      <c r="BD1388" t="s">
        <v>91</v>
      </c>
      <c r="BF1388" s="1" t="s">
        <v>75</v>
      </c>
      <c r="BH1388">
        <v>0</v>
      </c>
      <c r="BI1388" s="1" t="s">
        <v>88</v>
      </c>
      <c r="BJ1388">
        <v>1</v>
      </c>
      <c r="BK1388" s="1" t="s">
        <v>89</v>
      </c>
      <c r="BL1388" t="s">
        <v>91</v>
      </c>
      <c r="BM1388" s="1" t="s">
        <v>109</v>
      </c>
      <c r="BN1388" s="1" t="s">
        <v>148</v>
      </c>
      <c r="BO1388" s="1" t="s">
        <v>165</v>
      </c>
      <c r="BP1388" s="1" t="s">
        <v>91</v>
      </c>
      <c r="BQ1388" t="s">
        <v>91</v>
      </c>
      <c r="BR1388" s="3">
        <v>44378</v>
      </c>
      <c r="BS1388" s="3">
        <v>44736</v>
      </c>
      <c r="BT1388" t="s">
        <v>91</v>
      </c>
      <c r="BU1388" t="s">
        <v>91</v>
      </c>
      <c r="BW1388" s="1" t="s">
        <v>4272</v>
      </c>
    </row>
    <row r="1389" spans="1:75" hidden="1" x14ac:dyDescent="0.35">
      <c r="A1389">
        <v>157091</v>
      </c>
      <c r="B1389" s="1" t="s">
        <v>75</v>
      </c>
      <c r="C1389">
        <v>80</v>
      </c>
      <c r="D1389">
        <v>11121004</v>
      </c>
      <c r="E1389">
        <v>121004</v>
      </c>
      <c r="F1389" s="1" t="s">
        <v>6867</v>
      </c>
      <c r="G1389" s="1" t="s">
        <v>7524</v>
      </c>
      <c r="H1389">
        <v>0</v>
      </c>
      <c r="I1389" s="1" t="s">
        <v>78</v>
      </c>
      <c r="J1389" s="1" t="s">
        <v>7525</v>
      </c>
      <c r="K1389" s="1" t="s">
        <v>7526</v>
      </c>
      <c r="L1389" t="s">
        <v>91</v>
      </c>
      <c r="M1389" t="s">
        <v>91</v>
      </c>
      <c r="N1389" s="1" t="s">
        <v>7527</v>
      </c>
      <c r="O1389" t="s">
        <v>91</v>
      </c>
      <c r="P1389" s="1" t="s">
        <v>7528</v>
      </c>
      <c r="Q1389" s="1" t="s">
        <v>1077</v>
      </c>
      <c r="R1389" s="1" t="s">
        <v>7529</v>
      </c>
      <c r="T1389">
        <v>88338150</v>
      </c>
      <c r="U1389" s="1" t="s">
        <v>7530</v>
      </c>
      <c r="V1389" s="1" t="s">
        <v>5871</v>
      </c>
      <c r="W1389" s="1" t="s">
        <v>87</v>
      </c>
      <c r="X1389">
        <v>47</v>
      </c>
      <c r="Y1389">
        <v>999443168</v>
      </c>
      <c r="Z1389" t="s">
        <v>91</v>
      </c>
      <c r="AA1389" t="s">
        <v>91</v>
      </c>
      <c r="AB1389" t="s">
        <v>91</v>
      </c>
      <c r="AC1389" t="s">
        <v>91</v>
      </c>
      <c r="AD1389" t="s">
        <v>91</v>
      </c>
      <c r="AE1389" t="s">
        <v>91</v>
      </c>
      <c r="AF1389" t="s">
        <v>91</v>
      </c>
      <c r="AG1389" s="1" t="s">
        <v>91</v>
      </c>
      <c r="AH1389" s="1" t="s">
        <v>91</v>
      </c>
      <c r="AI1389" t="s">
        <v>91</v>
      </c>
      <c r="AM1389" t="s">
        <v>91</v>
      </c>
      <c r="AN1389" t="s">
        <v>91</v>
      </c>
      <c r="AO1389" t="s">
        <v>91</v>
      </c>
      <c r="AP1389" t="s">
        <v>91</v>
      </c>
      <c r="AQ1389" s="1" t="s">
        <v>91</v>
      </c>
      <c r="AR1389" s="1" t="s">
        <v>91</v>
      </c>
      <c r="AS1389" s="1" t="s">
        <v>91</v>
      </c>
      <c r="AT1389" s="1" t="s">
        <v>91</v>
      </c>
      <c r="AU1389" s="1" t="s">
        <v>91</v>
      </c>
      <c r="AV1389" t="s">
        <v>91</v>
      </c>
      <c r="AW1389" t="s">
        <v>91</v>
      </c>
      <c r="AX1389" t="s">
        <v>91</v>
      </c>
      <c r="AY1389" t="s">
        <v>91</v>
      </c>
      <c r="AZ1389" t="s">
        <v>91</v>
      </c>
      <c r="BA1389" t="s">
        <v>91</v>
      </c>
      <c r="BB1389" s="2">
        <v>45113.505416666667</v>
      </c>
      <c r="BC1389" s="2"/>
      <c r="BD1389" t="s">
        <v>91</v>
      </c>
      <c r="BF1389" s="1" t="s">
        <v>75</v>
      </c>
      <c r="BI1389" s="1" t="s">
        <v>88</v>
      </c>
      <c r="BJ1389">
        <v>1</v>
      </c>
      <c r="BK1389" s="1" t="s">
        <v>89</v>
      </c>
      <c r="BL1389" t="s">
        <v>91</v>
      </c>
      <c r="BM1389" s="1" t="s">
        <v>91</v>
      </c>
      <c r="BN1389" s="1" t="s">
        <v>91</v>
      </c>
      <c r="BO1389" s="1" t="s">
        <v>91</v>
      </c>
      <c r="BP1389" s="1" t="s">
        <v>91</v>
      </c>
      <c r="BQ1389" t="s">
        <v>91</v>
      </c>
      <c r="BR1389" s="3">
        <v>45113</v>
      </c>
      <c r="BS1389" s="3"/>
      <c r="BT1389" t="s">
        <v>91</v>
      </c>
      <c r="BU1389" t="s">
        <v>91</v>
      </c>
      <c r="BW1389" s="1" t="s">
        <v>2526</v>
      </c>
    </row>
    <row r="1390" spans="1:75" hidden="1" x14ac:dyDescent="0.35">
      <c r="A1390">
        <v>144252</v>
      </c>
      <c r="B1390" s="1" t="s">
        <v>75</v>
      </c>
      <c r="C1390">
        <v>80</v>
      </c>
      <c r="D1390">
        <v>11121004</v>
      </c>
      <c r="E1390">
        <v>121004</v>
      </c>
      <c r="F1390" s="1" t="s">
        <v>6867</v>
      </c>
      <c r="G1390" s="1" t="s">
        <v>7531</v>
      </c>
      <c r="H1390">
        <v>0</v>
      </c>
      <c r="I1390" s="1" t="s">
        <v>78</v>
      </c>
      <c r="J1390" s="1" t="s">
        <v>7532</v>
      </c>
      <c r="K1390" s="1" t="s">
        <v>7533</v>
      </c>
      <c r="L1390" t="s">
        <v>91</v>
      </c>
      <c r="M1390" t="s">
        <v>91</v>
      </c>
      <c r="N1390" s="1" t="s">
        <v>7534</v>
      </c>
      <c r="O1390" t="s">
        <v>91</v>
      </c>
      <c r="P1390" s="1" t="s">
        <v>7535</v>
      </c>
      <c r="Q1390" s="1" t="s">
        <v>7536</v>
      </c>
      <c r="R1390" s="1" t="s">
        <v>91</v>
      </c>
      <c r="S1390">
        <v>1262</v>
      </c>
      <c r="T1390">
        <v>88337010</v>
      </c>
      <c r="U1390" s="1" t="s">
        <v>6961</v>
      </c>
      <c r="V1390" s="1" t="s">
        <v>6898</v>
      </c>
      <c r="W1390" s="1" t="s">
        <v>87</v>
      </c>
      <c r="X1390">
        <v>47</v>
      </c>
      <c r="Y1390">
        <v>999377849</v>
      </c>
      <c r="Z1390" t="s">
        <v>91</v>
      </c>
      <c r="AA1390" t="s">
        <v>91</v>
      </c>
      <c r="AB1390" t="s">
        <v>91</v>
      </c>
      <c r="AC1390" t="s">
        <v>91</v>
      </c>
      <c r="AD1390" t="s">
        <v>91</v>
      </c>
      <c r="AE1390" t="s">
        <v>91</v>
      </c>
      <c r="AF1390" t="s">
        <v>91</v>
      </c>
      <c r="AG1390" s="1" t="s">
        <v>146</v>
      </c>
      <c r="AH1390" s="1" t="s">
        <v>91</v>
      </c>
      <c r="AI1390" t="s">
        <v>91</v>
      </c>
      <c r="AM1390" t="s">
        <v>91</v>
      </c>
      <c r="AN1390" t="s">
        <v>91</v>
      </c>
      <c r="AO1390" t="s">
        <v>91</v>
      </c>
      <c r="AP1390" t="s">
        <v>91</v>
      </c>
      <c r="AQ1390" s="1" t="s">
        <v>147</v>
      </c>
      <c r="AR1390" s="1" t="s">
        <v>147</v>
      </c>
      <c r="AS1390" s="1" t="s">
        <v>147</v>
      </c>
      <c r="AT1390" s="1" t="s">
        <v>147</v>
      </c>
      <c r="AU1390" s="1" t="s">
        <v>147</v>
      </c>
      <c r="AV1390" t="s">
        <v>91</v>
      </c>
      <c r="AW1390" t="s">
        <v>91</v>
      </c>
      <c r="AX1390" t="s">
        <v>91</v>
      </c>
      <c r="AY1390" t="s">
        <v>91</v>
      </c>
      <c r="AZ1390" t="s">
        <v>91</v>
      </c>
      <c r="BA1390" t="s">
        <v>91</v>
      </c>
      <c r="BB1390" s="2">
        <v>44543.632280092592</v>
      </c>
      <c r="BC1390" s="2">
        <v>44603.361307870371</v>
      </c>
      <c r="BD1390" t="s">
        <v>91</v>
      </c>
      <c r="BF1390" s="1" t="s">
        <v>75</v>
      </c>
      <c r="BH1390">
        <v>0</v>
      </c>
      <c r="BI1390" s="1" t="s">
        <v>88</v>
      </c>
      <c r="BJ1390">
        <v>1</v>
      </c>
      <c r="BK1390" s="1" t="s">
        <v>89</v>
      </c>
      <c r="BL1390" t="s">
        <v>91</v>
      </c>
      <c r="BM1390" s="1" t="s">
        <v>91</v>
      </c>
      <c r="BN1390" s="1" t="s">
        <v>91</v>
      </c>
      <c r="BO1390" s="1" t="s">
        <v>180</v>
      </c>
      <c r="BP1390" s="1" t="s">
        <v>91</v>
      </c>
      <c r="BQ1390" t="s">
        <v>91</v>
      </c>
      <c r="BR1390" s="3">
        <v>44543</v>
      </c>
      <c r="BS1390" s="3">
        <v>44603</v>
      </c>
      <c r="BT1390" t="s">
        <v>91</v>
      </c>
      <c r="BU1390" t="s">
        <v>91</v>
      </c>
      <c r="BW1390" s="1" t="s">
        <v>1324</v>
      </c>
    </row>
    <row r="1391" spans="1:75" hidden="1" x14ac:dyDescent="0.35">
      <c r="A1391">
        <v>157125</v>
      </c>
      <c r="B1391" s="1" t="s">
        <v>75</v>
      </c>
      <c r="C1391">
        <v>80</v>
      </c>
      <c r="D1391">
        <v>11121004</v>
      </c>
      <c r="E1391">
        <v>121004</v>
      </c>
      <c r="F1391" s="1" t="s">
        <v>6867</v>
      </c>
      <c r="G1391" s="1" t="s">
        <v>7537</v>
      </c>
      <c r="H1391">
        <v>0</v>
      </c>
      <c r="I1391" s="1" t="s">
        <v>78</v>
      </c>
      <c r="J1391" s="1" t="s">
        <v>7538</v>
      </c>
      <c r="K1391" s="1" t="s">
        <v>7539</v>
      </c>
      <c r="L1391" t="s">
        <v>91</v>
      </c>
      <c r="M1391" t="s">
        <v>91</v>
      </c>
      <c r="N1391" s="1" t="s">
        <v>7540</v>
      </c>
      <c r="O1391" t="s">
        <v>91</v>
      </c>
      <c r="P1391" s="1" t="s">
        <v>311</v>
      </c>
      <c r="Q1391" s="1" t="s">
        <v>7541</v>
      </c>
      <c r="R1391" s="1" t="s">
        <v>370</v>
      </c>
      <c r="S1391">
        <v>1261</v>
      </c>
      <c r="T1391">
        <v>88301041</v>
      </c>
      <c r="U1391" s="1" t="s">
        <v>108</v>
      </c>
      <c r="V1391" s="1" t="s">
        <v>6881</v>
      </c>
      <c r="W1391" s="1" t="s">
        <v>87</v>
      </c>
      <c r="X1391">
        <v>47</v>
      </c>
      <c r="Y1391">
        <v>33498383</v>
      </c>
      <c r="Z1391" t="s">
        <v>91</v>
      </c>
      <c r="AA1391" t="s">
        <v>91</v>
      </c>
      <c r="AB1391" t="s">
        <v>91</v>
      </c>
      <c r="AC1391" t="s">
        <v>91</v>
      </c>
      <c r="AD1391" t="s">
        <v>91</v>
      </c>
      <c r="AE1391" t="s">
        <v>91</v>
      </c>
      <c r="AF1391" t="s">
        <v>91</v>
      </c>
      <c r="AG1391" s="1" t="s">
        <v>91</v>
      </c>
      <c r="AH1391" s="1" t="s">
        <v>91</v>
      </c>
      <c r="AI1391" t="s">
        <v>91</v>
      </c>
      <c r="AM1391" t="s">
        <v>91</v>
      </c>
      <c r="AN1391" t="s">
        <v>91</v>
      </c>
      <c r="AO1391" t="s">
        <v>91</v>
      </c>
      <c r="AP1391" t="s">
        <v>91</v>
      </c>
      <c r="AQ1391" s="1" t="s">
        <v>91</v>
      </c>
      <c r="AR1391" s="1" t="s">
        <v>91</v>
      </c>
      <c r="AS1391" s="1" t="s">
        <v>91</v>
      </c>
      <c r="AT1391" s="1" t="s">
        <v>91</v>
      </c>
      <c r="AU1391" s="1" t="s">
        <v>91</v>
      </c>
      <c r="AV1391" t="s">
        <v>91</v>
      </c>
      <c r="AW1391" t="s">
        <v>91</v>
      </c>
      <c r="AX1391" t="s">
        <v>91</v>
      </c>
      <c r="AY1391" t="s">
        <v>91</v>
      </c>
      <c r="AZ1391" t="s">
        <v>91</v>
      </c>
      <c r="BA1391" t="s">
        <v>91</v>
      </c>
      <c r="BB1391" s="2">
        <v>45113.505416666667</v>
      </c>
      <c r="BC1391" s="2"/>
      <c r="BD1391" t="s">
        <v>91</v>
      </c>
      <c r="BF1391" s="1" t="s">
        <v>75</v>
      </c>
      <c r="BI1391" s="1" t="s">
        <v>88</v>
      </c>
      <c r="BJ1391">
        <v>1</v>
      </c>
      <c r="BK1391" s="1" t="s">
        <v>89</v>
      </c>
      <c r="BL1391" t="s">
        <v>91</v>
      </c>
      <c r="BM1391" s="1" t="s">
        <v>91</v>
      </c>
      <c r="BN1391" s="1" t="s">
        <v>91</v>
      </c>
      <c r="BO1391" s="1" t="s">
        <v>91</v>
      </c>
      <c r="BP1391" s="1" t="s">
        <v>91</v>
      </c>
      <c r="BQ1391" t="s">
        <v>91</v>
      </c>
      <c r="BR1391" s="3">
        <v>45113</v>
      </c>
      <c r="BS1391" s="3"/>
      <c r="BT1391" t="s">
        <v>91</v>
      </c>
      <c r="BU1391" t="s">
        <v>91</v>
      </c>
      <c r="BW1391" s="1" t="s">
        <v>90</v>
      </c>
    </row>
    <row r="1392" spans="1:75" hidden="1" x14ac:dyDescent="0.35">
      <c r="A1392">
        <v>139964</v>
      </c>
      <c r="B1392" s="1" t="s">
        <v>75</v>
      </c>
      <c r="C1392">
        <v>80</v>
      </c>
      <c r="D1392">
        <v>11121004</v>
      </c>
      <c r="E1392">
        <v>121004</v>
      </c>
      <c r="F1392" s="1" t="s">
        <v>6867</v>
      </c>
      <c r="G1392" s="1" t="s">
        <v>7542</v>
      </c>
      <c r="H1392">
        <v>0</v>
      </c>
      <c r="I1392" s="1" t="s">
        <v>78</v>
      </c>
      <c r="J1392" s="1" t="s">
        <v>7543</v>
      </c>
      <c r="K1392" s="1" t="s">
        <v>7544</v>
      </c>
      <c r="L1392" t="s">
        <v>91</v>
      </c>
      <c r="M1392" t="s">
        <v>91</v>
      </c>
      <c r="N1392" s="1" t="s">
        <v>1232</v>
      </c>
      <c r="O1392" t="s">
        <v>91</v>
      </c>
      <c r="P1392" s="1" t="s">
        <v>3970</v>
      </c>
      <c r="Q1392" s="1" t="s">
        <v>7545</v>
      </c>
      <c r="R1392" s="1" t="s">
        <v>320</v>
      </c>
      <c r="S1392">
        <v>1260</v>
      </c>
      <c r="T1392">
        <v>88220000</v>
      </c>
      <c r="U1392" s="1" t="s">
        <v>7195</v>
      </c>
      <c r="V1392" s="1" t="s">
        <v>7015</v>
      </c>
      <c r="W1392" s="1" t="s">
        <v>87</v>
      </c>
      <c r="X1392">
        <v>48</v>
      </c>
      <c r="Y1392">
        <v>32256592</v>
      </c>
      <c r="Z1392" t="s">
        <v>91</v>
      </c>
      <c r="AA1392" t="s">
        <v>91</v>
      </c>
      <c r="AB1392" t="s">
        <v>91</v>
      </c>
      <c r="AC1392" t="s">
        <v>91</v>
      </c>
      <c r="AD1392" t="s">
        <v>91</v>
      </c>
      <c r="AE1392" t="s">
        <v>91</v>
      </c>
      <c r="AF1392" t="s">
        <v>91</v>
      </c>
      <c r="AG1392" s="1" t="s">
        <v>146</v>
      </c>
      <c r="AH1392" s="1" t="s">
        <v>91</v>
      </c>
      <c r="AI1392" t="s">
        <v>91</v>
      </c>
      <c r="AM1392" t="s">
        <v>91</v>
      </c>
      <c r="AN1392" t="s">
        <v>91</v>
      </c>
      <c r="AO1392" t="s">
        <v>91</v>
      </c>
      <c r="AP1392" t="s">
        <v>91</v>
      </c>
      <c r="AQ1392" s="1" t="s">
        <v>147</v>
      </c>
      <c r="AR1392" s="1" t="s">
        <v>147</v>
      </c>
      <c r="AS1392" s="1" t="s">
        <v>147</v>
      </c>
      <c r="AT1392" s="1" t="s">
        <v>147</v>
      </c>
      <c r="AU1392" s="1" t="s">
        <v>147</v>
      </c>
      <c r="AV1392" t="s">
        <v>91</v>
      </c>
      <c r="AW1392" t="s">
        <v>91</v>
      </c>
      <c r="AX1392" t="s">
        <v>91</v>
      </c>
      <c r="AY1392" t="s">
        <v>91</v>
      </c>
      <c r="AZ1392" t="s">
        <v>91</v>
      </c>
      <c r="BA1392" t="s">
        <v>91</v>
      </c>
      <c r="BB1392" s="2">
        <v>44426.365486111114</v>
      </c>
      <c r="BC1392" s="2">
        <v>44651.720243055555</v>
      </c>
      <c r="BD1392" t="s">
        <v>91</v>
      </c>
      <c r="BF1392" s="1" t="s">
        <v>75</v>
      </c>
      <c r="BH1392">
        <v>0</v>
      </c>
      <c r="BI1392" s="1" t="s">
        <v>88</v>
      </c>
      <c r="BJ1392">
        <v>1</v>
      </c>
      <c r="BK1392" s="1" t="s">
        <v>89</v>
      </c>
      <c r="BL1392" t="s">
        <v>91</v>
      </c>
      <c r="BM1392" s="1" t="s">
        <v>109</v>
      </c>
      <c r="BN1392" s="1" t="s">
        <v>110</v>
      </c>
      <c r="BO1392" s="1" t="s">
        <v>165</v>
      </c>
      <c r="BP1392" s="1" t="s">
        <v>91</v>
      </c>
      <c r="BQ1392" t="s">
        <v>91</v>
      </c>
      <c r="BR1392" s="3">
        <v>44426</v>
      </c>
      <c r="BS1392" s="3">
        <v>44651</v>
      </c>
      <c r="BT1392" t="s">
        <v>91</v>
      </c>
      <c r="BU1392" t="s">
        <v>91</v>
      </c>
      <c r="BW1392" s="1" t="s">
        <v>961</v>
      </c>
    </row>
    <row r="1393" spans="1:75" hidden="1" x14ac:dyDescent="0.35">
      <c r="A1393">
        <v>139592</v>
      </c>
      <c r="B1393" s="1" t="s">
        <v>75</v>
      </c>
      <c r="C1393">
        <v>80</v>
      </c>
      <c r="D1393">
        <v>11121004</v>
      </c>
      <c r="E1393">
        <v>121004</v>
      </c>
      <c r="F1393" s="1" t="s">
        <v>6867</v>
      </c>
      <c r="G1393" s="1" t="s">
        <v>7546</v>
      </c>
      <c r="H1393">
        <v>0</v>
      </c>
      <c r="I1393" s="1" t="s">
        <v>78</v>
      </c>
      <c r="J1393" s="1" t="s">
        <v>7543</v>
      </c>
      <c r="K1393" s="1" t="s">
        <v>7547</v>
      </c>
      <c r="L1393" t="s">
        <v>91</v>
      </c>
      <c r="M1393" t="s">
        <v>91</v>
      </c>
      <c r="N1393" s="1" t="s">
        <v>91</v>
      </c>
      <c r="O1393" t="s">
        <v>91</v>
      </c>
      <c r="P1393" s="1" t="s">
        <v>7548</v>
      </c>
      <c r="Q1393" s="1" t="s">
        <v>1852</v>
      </c>
      <c r="R1393" s="1" t="s">
        <v>370</v>
      </c>
      <c r="S1393">
        <v>1260</v>
      </c>
      <c r="T1393">
        <v>88200000</v>
      </c>
      <c r="U1393" s="1" t="s">
        <v>108</v>
      </c>
      <c r="V1393" s="1" t="s">
        <v>6906</v>
      </c>
      <c r="W1393" s="1" t="s">
        <v>87</v>
      </c>
      <c r="X1393">
        <v>48</v>
      </c>
      <c r="Y1393">
        <v>988289617</v>
      </c>
      <c r="Z1393" t="s">
        <v>91</v>
      </c>
      <c r="AA1393" t="s">
        <v>91</v>
      </c>
      <c r="AB1393" t="s">
        <v>91</v>
      </c>
      <c r="AC1393" t="s">
        <v>91</v>
      </c>
      <c r="AD1393" t="s">
        <v>91</v>
      </c>
      <c r="AE1393" t="s">
        <v>91</v>
      </c>
      <c r="AF1393" t="s">
        <v>91</v>
      </c>
      <c r="AG1393" s="1" t="s">
        <v>91</v>
      </c>
      <c r="AH1393" s="1" t="s">
        <v>91</v>
      </c>
      <c r="AI1393" t="s">
        <v>91</v>
      </c>
      <c r="AM1393" t="s">
        <v>91</v>
      </c>
      <c r="AN1393" t="s">
        <v>91</v>
      </c>
      <c r="AO1393" t="s">
        <v>91</v>
      </c>
      <c r="AP1393" t="s">
        <v>91</v>
      </c>
      <c r="AQ1393" s="1" t="s">
        <v>91</v>
      </c>
      <c r="AR1393" s="1" t="s">
        <v>91</v>
      </c>
      <c r="AS1393" s="1" t="s">
        <v>91</v>
      </c>
      <c r="AT1393" s="1" t="s">
        <v>91</v>
      </c>
      <c r="AU1393" s="1" t="s">
        <v>91</v>
      </c>
      <c r="AV1393" t="s">
        <v>91</v>
      </c>
      <c r="AW1393" t="s">
        <v>91</v>
      </c>
      <c r="AX1393" t="s">
        <v>91</v>
      </c>
      <c r="AY1393" t="s">
        <v>91</v>
      </c>
      <c r="AZ1393" t="s">
        <v>91</v>
      </c>
      <c r="BA1393" t="s">
        <v>91</v>
      </c>
      <c r="BB1393" s="2">
        <v>44417.501979166664</v>
      </c>
      <c r="BC1393" s="2"/>
      <c r="BD1393" t="s">
        <v>91</v>
      </c>
      <c r="BF1393" s="1" t="s">
        <v>75</v>
      </c>
      <c r="BI1393" s="1" t="s">
        <v>88</v>
      </c>
      <c r="BJ1393">
        <v>1</v>
      </c>
      <c r="BK1393" s="1" t="s">
        <v>89</v>
      </c>
      <c r="BL1393" t="s">
        <v>91</v>
      </c>
      <c r="BM1393" s="1" t="s">
        <v>109</v>
      </c>
      <c r="BN1393" s="1" t="s">
        <v>110</v>
      </c>
      <c r="BO1393" s="1" t="s">
        <v>128</v>
      </c>
      <c r="BP1393" s="1" t="s">
        <v>91</v>
      </c>
      <c r="BQ1393" t="s">
        <v>91</v>
      </c>
      <c r="BR1393" s="3">
        <v>44417</v>
      </c>
      <c r="BS1393" s="3"/>
      <c r="BT1393" t="s">
        <v>91</v>
      </c>
      <c r="BU1393" t="s">
        <v>91</v>
      </c>
      <c r="BW1393" s="1" t="s">
        <v>5263</v>
      </c>
    </row>
    <row r="1394" spans="1:75" hidden="1" x14ac:dyDescent="0.35">
      <c r="A1394">
        <v>157107</v>
      </c>
      <c r="B1394" s="1" t="s">
        <v>75</v>
      </c>
      <c r="C1394">
        <v>80</v>
      </c>
      <c r="D1394">
        <v>11121004</v>
      </c>
      <c r="E1394">
        <v>121004</v>
      </c>
      <c r="F1394" s="1" t="s">
        <v>6867</v>
      </c>
      <c r="G1394" s="1" t="s">
        <v>7549</v>
      </c>
      <c r="H1394">
        <v>0</v>
      </c>
      <c r="I1394" s="1" t="s">
        <v>78</v>
      </c>
      <c r="J1394" s="1" t="s">
        <v>7550</v>
      </c>
      <c r="K1394" s="1" t="s">
        <v>7551</v>
      </c>
      <c r="L1394" t="s">
        <v>91</v>
      </c>
      <c r="M1394" t="s">
        <v>91</v>
      </c>
      <c r="N1394" s="1" t="s">
        <v>7552</v>
      </c>
      <c r="O1394" t="s">
        <v>91</v>
      </c>
      <c r="P1394" s="1" t="s">
        <v>7553</v>
      </c>
      <c r="Q1394" s="1" t="s">
        <v>7554</v>
      </c>
      <c r="R1394" s="1" t="s">
        <v>236</v>
      </c>
      <c r="T1394">
        <v>88330112</v>
      </c>
      <c r="U1394" s="1" t="s">
        <v>108</v>
      </c>
      <c r="V1394" s="1" t="s">
        <v>6898</v>
      </c>
      <c r="W1394" s="1" t="s">
        <v>87</v>
      </c>
      <c r="X1394">
        <v>47</v>
      </c>
      <c r="Y1394">
        <v>32691867</v>
      </c>
      <c r="Z1394" t="s">
        <v>91</v>
      </c>
      <c r="AA1394" t="s">
        <v>91</v>
      </c>
      <c r="AB1394" t="s">
        <v>91</v>
      </c>
      <c r="AC1394" t="s">
        <v>91</v>
      </c>
      <c r="AD1394" t="s">
        <v>91</v>
      </c>
      <c r="AE1394" t="s">
        <v>91</v>
      </c>
      <c r="AF1394" t="s">
        <v>91</v>
      </c>
      <c r="AG1394" s="1" t="s">
        <v>146</v>
      </c>
      <c r="AH1394" s="1" t="s">
        <v>91</v>
      </c>
      <c r="AI1394" t="s">
        <v>91</v>
      </c>
      <c r="AM1394" t="s">
        <v>91</v>
      </c>
      <c r="AN1394" t="s">
        <v>91</v>
      </c>
      <c r="AO1394" t="s">
        <v>91</v>
      </c>
      <c r="AP1394" t="s">
        <v>91</v>
      </c>
      <c r="AQ1394" s="1" t="s">
        <v>147</v>
      </c>
      <c r="AR1394" s="1" t="s">
        <v>147</v>
      </c>
      <c r="AS1394" s="1" t="s">
        <v>147</v>
      </c>
      <c r="AT1394" s="1" t="s">
        <v>147</v>
      </c>
      <c r="AU1394" s="1" t="s">
        <v>147</v>
      </c>
      <c r="AV1394" t="s">
        <v>91</v>
      </c>
      <c r="AW1394" t="s">
        <v>91</v>
      </c>
      <c r="AX1394" t="s">
        <v>91</v>
      </c>
      <c r="AY1394" t="s">
        <v>91</v>
      </c>
      <c r="AZ1394" t="s">
        <v>91</v>
      </c>
      <c r="BA1394" t="s">
        <v>91</v>
      </c>
      <c r="BB1394" s="2">
        <v>45113.505416666667</v>
      </c>
      <c r="BC1394" s="2">
        <v>45114.70212962963</v>
      </c>
      <c r="BD1394" t="s">
        <v>91</v>
      </c>
      <c r="BF1394" s="1" t="s">
        <v>75</v>
      </c>
      <c r="BH1394">
        <v>0</v>
      </c>
      <c r="BI1394" s="1" t="s">
        <v>88</v>
      </c>
      <c r="BJ1394">
        <v>1</v>
      </c>
      <c r="BK1394" s="1" t="s">
        <v>89</v>
      </c>
      <c r="BL1394" t="s">
        <v>91</v>
      </c>
      <c r="BM1394" s="1" t="s">
        <v>91</v>
      </c>
      <c r="BN1394" s="1" t="s">
        <v>91</v>
      </c>
      <c r="BO1394" s="1" t="s">
        <v>91</v>
      </c>
      <c r="BP1394" s="1" t="s">
        <v>91</v>
      </c>
      <c r="BQ1394" t="s">
        <v>91</v>
      </c>
      <c r="BR1394" s="3">
        <v>45113</v>
      </c>
      <c r="BS1394" s="3">
        <v>45114</v>
      </c>
      <c r="BT1394" t="s">
        <v>91</v>
      </c>
      <c r="BU1394" t="s">
        <v>91</v>
      </c>
      <c r="BW1394" s="1" t="s">
        <v>247</v>
      </c>
    </row>
    <row r="1395" spans="1:75" hidden="1" x14ac:dyDescent="0.35">
      <c r="A1395">
        <v>157783</v>
      </c>
      <c r="B1395" s="1" t="s">
        <v>75</v>
      </c>
      <c r="C1395">
        <v>80</v>
      </c>
      <c r="D1395">
        <v>11121004</v>
      </c>
      <c r="E1395">
        <v>121004</v>
      </c>
      <c r="F1395" s="1" t="s">
        <v>6867</v>
      </c>
      <c r="G1395" s="1" t="s">
        <v>7555</v>
      </c>
      <c r="H1395">
        <v>0</v>
      </c>
      <c r="I1395" s="1" t="s">
        <v>78</v>
      </c>
      <c r="J1395" s="1" t="s">
        <v>7556</v>
      </c>
      <c r="K1395" s="1" t="s">
        <v>7557</v>
      </c>
      <c r="L1395" t="s">
        <v>91</v>
      </c>
      <c r="M1395" t="s">
        <v>91</v>
      </c>
      <c r="N1395" s="1" t="s">
        <v>7558</v>
      </c>
      <c r="O1395" t="s">
        <v>91</v>
      </c>
      <c r="P1395" s="1" t="s">
        <v>438</v>
      </c>
      <c r="Q1395" s="1" t="s">
        <v>7559</v>
      </c>
      <c r="R1395" s="1" t="s">
        <v>91</v>
      </c>
      <c r="S1395">
        <v>1260</v>
      </c>
      <c r="T1395">
        <v>88200000</v>
      </c>
      <c r="U1395" s="1" t="s">
        <v>108</v>
      </c>
      <c r="V1395" s="1" t="s">
        <v>6906</v>
      </c>
      <c r="W1395" s="1" t="s">
        <v>87</v>
      </c>
      <c r="X1395">
        <v>48</v>
      </c>
      <c r="Y1395">
        <v>32634441</v>
      </c>
      <c r="Z1395" t="s">
        <v>91</v>
      </c>
      <c r="AA1395" t="s">
        <v>91</v>
      </c>
      <c r="AB1395" t="s">
        <v>91</v>
      </c>
      <c r="AC1395" t="s">
        <v>91</v>
      </c>
      <c r="AD1395" t="s">
        <v>91</v>
      </c>
      <c r="AE1395" t="s">
        <v>91</v>
      </c>
      <c r="AF1395" t="s">
        <v>91</v>
      </c>
      <c r="AG1395" s="1" t="s">
        <v>91</v>
      </c>
      <c r="AH1395" s="1" t="s">
        <v>91</v>
      </c>
      <c r="AI1395" t="s">
        <v>91</v>
      </c>
      <c r="AM1395" t="s">
        <v>91</v>
      </c>
      <c r="AN1395" t="s">
        <v>91</v>
      </c>
      <c r="AO1395" t="s">
        <v>91</v>
      </c>
      <c r="AP1395" t="s">
        <v>91</v>
      </c>
      <c r="AQ1395" s="1" t="s">
        <v>91</v>
      </c>
      <c r="AR1395" s="1" t="s">
        <v>91</v>
      </c>
      <c r="AS1395" s="1" t="s">
        <v>91</v>
      </c>
      <c r="AT1395" s="1" t="s">
        <v>91</v>
      </c>
      <c r="AU1395" s="1" t="s">
        <v>91</v>
      </c>
      <c r="AV1395" t="s">
        <v>91</v>
      </c>
      <c r="AW1395" t="s">
        <v>91</v>
      </c>
      <c r="AX1395" t="s">
        <v>91</v>
      </c>
      <c r="AY1395" t="s">
        <v>91</v>
      </c>
      <c r="AZ1395" t="s">
        <v>91</v>
      </c>
      <c r="BA1395" t="s">
        <v>91</v>
      </c>
      <c r="BB1395" s="2">
        <v>45118.101759259262</v>
      </c>
      <c r="BC1395" s="2"/>
      <c r="BD1395" t="s">
        <v>91</v>
      </c>
      <c r="BF1395" s="1" t="s">
        <v>75</v>
      </c>
      <c r="BI1395" s="1" t="s">
        <v>88</v>
      </c>
      <c r="BJ1395">
        <v>1</v>
      </c>
      <c r="BK1395" s="1" t="s">
        <v>89</v>
      </c>
      <c r="BL1395" t="s">
        <v>91</v>
      </c>
      <c r="BM1395" s="1" t="s">
        <v>91</v>
      </c>
      <c r="BN1395" s="1" t="s">
        <v>91</v>
      </c>
      <c r="BO1395" s="1" t="s">
        <v>91</v>
      </c>
      <c r="BP1395" s="1" t="s">
        <v>91</v>
      </c>
      <c r="BQ1395" t="s">
        <v>91</v>
      </c>
      <c r="BR1395" s="3">
        <v>45118</v>
      </c>
      <c r="BS1395" s="3"/>
      <c r="BT1395" t="s">
        <v>91</v>
      </c>
      <c r="BU1395" t="s">
        <v>91</v>
      </c>
      <c r="BW1395" s="1" t="s">
        <v>90</v>
      </c>
    </row>
    <row r="1396" spans="1:75" hidden="1" x14ac:dyDescent="0.35">
      <c r="A1396">
        <v>127547</v>
      </c>
      <c r="B1396" s="1" t="s">
        <v>75</v>
      </c>
      <c r="C1396">
        <v>80</v>
      </c>
      <c r="D1396">
        <v>11121004</v>
      </c>
      <c r="E1396">
        <v>121004</v>
      </c>
      <c r="F1396" s="1" t="s">
        <v>6867</v>
      </c>
      <c r="G1396" s="1" t="s">
        <v>7560</v>
      </c>
      <c r="H1396">
        <v>0</v>
      </c>
      <c r="I1396" s="1" t="s">
        <v>78</v>
      </c>
      <c r="J1396" s="1" t="s">
        <v>7561</v>
      </c>
      <c r="K1396" s="1" t="s">
        <v>7562</v>
      </c>
      <c r="L1396" t="s">
        <v>91</v>
      </c>
      <c r="M1396" t="s">
        <v>91</v>
      </c>
      <c r="N1396" s="1" t="s">
        <v>6950</v>
      </c>
      <c r="O1396" t="s">
        <v>91</v>
      </c>
      <c r="P1396" s="1" t="s">
        <v>7563</v>
      </c>
      <c r="Q1396" s="1" t="s">
        <v>6873</v>
      </c>
      <c r="R1396" s="1" t="s">
        <v>7564</v>
      </c>
      <c r="S1396">
        <v>1261</v>
      </c>
      <c r="T1396">
        <v>88301122</v>
      </c>
      <c r="U1396" s="1" t="s">
        <v>343</v>
      </c>
      <c r="V1396" s="1" t="s">
        <v>6881</v>
      </c>
      <c r="W1396" s="1" t="s">
        <v>87</v>
      </c>
      <c r="X1396">
        <v>47</v>
      </c>
      <c r="Y1396">
        <v>33482153</v>
      </c>
      <c r="Z1396" t="s">
        <v>91</v>
      </c>
      <c r="AA1396" t="s">
        <v>91</v>
      </c>
      <c r="AB1396" t="s">
        <v>91</v>
      </c>
      <c r="AC1396" t="s">
        <v>91</v>
      </c>
      <c r="AD1396" t="s">
        <v>91</v>
      </c>
      <c r="AE1396" t="s">
        <v>91</v>
      </c>
      <c r="AF1396" t="s">
        <v>91</v>
      </c>
      <c r="AG1396" s="1" t="s">
        <v>91</v>
      </c>
      <c r="AH1396" s="1" t="s">
        <v>91</v>
      </c>
      <c r="AI1396" t="s">
        <v>91</v>
      </c>
      <c r="AM1396" t="s">
        <v>91</v>
      </c>
      <c r="AN1396" t="s">
        <v>91</v>
      </c>
      <c r="AO1396" t="s">
        <v>91</v>
      </c>
      <c r="AP1396" t="s">
        <v>91</v>
      </c>
      <c r="AQ1396" s="1" t="s">
        <v>91</v>
      </c>
      <c r="AR1396" s="1" t="s">
        <v>91</v>
      </c>
      <c r="AS1396" s="1" t="s">
        <v>91</v>
      </c>
      <c r="AT1396" s="1" t="s">
        <v>91</v>
      </c>
      <c r="AU1396" s="1" t="s">
        <v>91</v>
      </c>
      <c r="AV1396" t="s">
        <v>91</v>
      </c>
      <c r="AW1396" t="s">
        <v>91</v>
      </c>
      <c r="AX1396" t="s">
        <v>91</v>
      </c>
      <c r="AY1396" t="s">
        <v>91</v>
      </c>
      <c r="AZ1396" t="s">
        <v>91</v>
      </c>
      <c r="BA1396" t="s">
        <v>91</v>
      </c>
      <c r="BB1396" s="2">
        <v>44111.380995370368</v>
      </c>
      <c r="BC1396" s="2"/>
      <c r="BD1396" t="s">
        <v>91</v>
      </c>
      <c r="BF1396" s="1" t="s">
        <v>75</v>
      </c>
      <c r="BI1396" s="1" t="s">
        <v>88</v>
      </c>
      <c r="BJ1396">
        <v>1</v>
      </c>
      <c r="BK1396" s="1" t="s">
        <v>89</v>
      </c>
      <c r="BL1396" t="s">
        <v>91</v>
      </c>
      <c r="BM1396" s="1" t="s">
        <v>109</v>
      </c>
      <c r="BN1396" s="1" t="s">
        <v>110</v>
      </c>
      <c r="BO1396" s="1" t="s">
        <v>180</v>
      </c>
      <c r="BP1396" s="1" t="s">
        <v>91</v>
      </c>
      <c r="BQ1396" t="s">
        <v>91</v>
      </c>
      <c r="BR1396" s="3">
        <v>44111</v>
      </c>
      <c r="BS1396" s="3"/>
      <c r="BT1396" t="s">
        <v>91</v>
      </c>
      <c r="BU1396" t="s">
        <v>91</v>
      </c>
      <c r="BV1396">
        <v>9</v>
      </c>
      <c r="BW1396" s="1" t="s">
        <v>419</v>
      </c>
    </row>
    <row r="1397" spans="1:75" hidden="1" x14ac:dyDescent="0.35">
      <c r="A1397">
        <v>157087</v>
      </c>
      <c r="B1397" s="1" t="s">
        <v>75</v>
      </c>
      <c r="C1397">
        <v>80</v>
      </c>
      <c r="D1397">
        <v>11121004</v>
      </c>
      <c r="E1397">
        <v>121004</v>
      </c>
      <c r="F1397" s="1" t="s">
        <v>6867</v>
      </c>
      <c r="G1397" s="1" t="s">
        <v>7565</v>
      </c>
      <c r="H1397">
        <v>0</v>
      </c>
      <c r="I1397" s="1" t="s">
        <v>78</v>
      </c>
      <c r="J1397" s="1" t="s">
        <v>7566</v>
      </c>
      <c r="K1397" s="1" t="s">
        <v>7567</v>
      </c>
      <c r="L1397" t="s">
        <v>91</v>
      </c>
      <c r="M1397" t="s">
        <v>91</v>
      </c>
      <c r="N1397" s="1" t="s">
        <v>7568</v>
      </c>
      <c r="O1397" t="s">
        <v>91</v>
      </c>
      <c r="P1397" s="1" t="s">
        <v>7569</v>
      </c>
      <c r="Q1397" s="1" t="s">
        <v>3654</v>
      </c>
      <c r="R1397" s="1" t="s">
        <v>135</v>
      </c>
      <c r="S1397">
        <v>1276</v>
      </c>
      <c r="T1397">
        <v>89190000</v>
      </c>
      <c r="U1397" s="1" t="s">
        <v>108</v>
      </c>
      <c r="V1397" s="1" t="s">
        <v>7570</v>
      </c>
      <c r="W1397" s="1" t="s">
        <v>87</v>
      </c>
      <c r="X1397">
        <v>47</v>
      </c>
      <c r="Y1397">
        <v>35620549</v>
      </c>
      <c r="Z1397" t="s">
        <v>91</v>
      </c>
      <c r="AA1397" t="s">
        <v>91</v>
      </c>
      <c r="AB1397" t="s">
        <v>91</v>
      </c>
      <c r="AC1397" t="s">
        <v>91</v>
      </c>
      <c r="AD1397" t="s">
        <v>91</v>
      </c>
      <c r="AE1397" t="s">
        <v>91</v>
      </c>
      <c r="AF1397" t="s">
        <v>91</v>
      </c>
      <c r="AG1397" s="1" t="s">
        <v>146</v>
      </c>
      <c r="AH1397" s="1" t="s">
        <v>91</v>
      </c>
      <c r="AI1397" t="s">
        <v>91</v>
      </c>
      <c r="AM1397" t="s">
        <v>91</v>
      </c>
      <c r="AN1397" t="s">
        <v>91</v>
      </c>
      <c r="AO1397" t="s">
        <v>91</v>
      </c>
      <c r="AP1397" t="s">
        <v>91</v>
      </c>
      <c r="AQ1397" s="1" t="s">
        <v>147</v>
      </c>
      <c r="AR1397" s="1" t="s">
        <v>147</v>
      </c>
      <c r="AS1397" s="1" t="s">
        <v>147</v>
      </c>
      <c r="AT1397" s="1" t="s">
        <v>147</v>
      </c>
      <c r="AU1397" s="1" t="s">
        <v>147</v>
      </c>
      <c r="AV1397" t="s">
        <v>91</v>
      </c>
      <c r="AW1397" t="s">
        <v>91</v>
      </c>
      <c r="AX1397" t="s">
        <v>91</v>
      </c>
      <c r="AY1397" t="s">
        <v>91</v>
      </c>
      <c r="AZ1397" t="s">
        <v>91</v>
      </c>
      <c r="BA1397" t="s">
        <v>91</v>
      </c>
      <c r="BB1397" s="2">
        <v>45113.505416666667</v>
      </c>
      <c r="BC1397" s="2">
        <v>45117.745023148149</v>
      </c>
      <c r="BD1397" t="s">
        <v>91</v>
      </c>
      <c r="BF1397" s="1" t="s">
        <v>75</v>
      </c>
      <c r="BH1397">
        <v>0</v>
      </c>
      <c r="BI1397" s="1" t="s">
        <v>88</v>
      </c>
      <c r="BJ1397">
        <v>1</v>
      </c>
      <c r="BK1397" s="1" t="s">
        <v>89</v>
      </c>
      <c r="BL1397" t="s">
        <v>91</v>
      </c>
      <c r="BM1397" s="1" t="s">
        <v>91</v>
      </c>
      <c r="BN1397" s="1" t="s">
        <v>91</v>
      </c>
      <c r="BO1397" s="1" t="s">
        <v>91</v>
      </c>
      <c r="BP1397" s="1" t="s">
        <v>91</v>
      </c>
      <c r="BQ1397" t="s">
        <v>91</v>
      </c>
      <c r="BR1397" s="3">
        <v>45113</v>
      </c>
      <c r="BS1397" s="3">
        <v>45117</v>
      </c>
      <c r="BT1397" t="s">
        <v>91</v>
      </c>
      <c r="BU1397" t="s">
        <v>91</v>
      </c>
      <c r="BW1397" s="1" t="s">
        <v>2494</v>
      </c>
    </row>
    <row r="1398" spans="1:75" hidden="1" x14ac:dyDescent="0.35">
      <c r="A1398">
        <v>157095</v>
      </c>
      <c r="B1398" s="1" t="s">
        <v>75</v>
      </c>
      <c r="C1398">
        <v>80</v>
      </c>
      <c r="D1398">
        <v>11121004</v>
      </c>
      <c r="E1398">
        <v>121004</v>
      </c>
      <c r="F1398" s="1" t="s">
        <v>6867</v>
      </c>
      <c r="G1398" s="1" t="s">
        <v>7571</v>
      </c>
      <c r="H1398">
        <v>0</v>
      </c>
      <c r="I1398" s="1" t="s">
        <v>78</v>
      </c>
      <c r="J1398" s="1" t="s">
        <v>7572</v>
      </c>
      <c r="K1398" s="1" t="s">
        <v>7573</v>
      </c>
      <c r="L1398" t="s">
        <v>91</v>
      </c>
      <c r="M1398" t="s">
        <v>91</v>
      </c>
      <c r="N1398" s="1" t="s">
        <v>7574</v>
      </c>
      <c r="O1398" t="s">
        <v>91</v>
      </c>
      <c r="P1398" s="1" t="s">
        <v>7575</v>
      </c>
      <c r="Q1398" s="1" t="s">
        <v>7576</v>
      </c>
      <c r="R1398" s="1" t="s">
        <v>236</v>
      </c>
      <c r="S1398">
        <v>1260</v>
      </c>
      <c r="T1398">
        <v>88220000</v>
      </c>
      <c r="U1398" s="1" t="s">
        <v>7189</v>
      </c>
      <c r="V1398" s="1" t="s">
        <v>7015</v>
      </c>
      <c r="W1398" s="1" t="s">
        <v>87</v>
      </c>
      <c r="X1398">
        <v>49</v>
      </c>
      <c r="Y1398">
        <v>33637924</v>
      </c>
      <c r="Z1398" t="s">
        <v>91</v>
      </c>
      <c r="AA1398" t="s">
        <v>91</v>
      </c>
      <c r="AB1398" t="s">
        <v>91</v>
      </c>
      <c r="AC1398" t="s">
        <v>91</v>
      </c>
      <c r="AD1398" t="s">
        <v>91</v>
      </c>
      <c r="AE1398" t="s">
        <v>91</v>
      </c>
      <c r="AF1398" t="s">
        <v>91</v>
      </c>
      <c r="AG1398" s="1" t="s">
        <v>91</v>
      </c>
      <c r="AH1398" s="1" t="s">
        <v>91</v>
      </c>
      <c r="AI1398" t="s">
        <v>91</v>
      </c>
      <c r="AM1398" t="s">
        <v>91</v>
      </c>
      <c r="AN1398" t="s">
        <v>91</v>
      </c>
      <c r="AO1398" t="s">
        <v>91</v>
      </c>
      <c r="AP1398" t="s">
        <v>91</v>
      </c>
      <c r="AQ1398" s="1" t="s">
        <v>91</v>
      </c>
      <c r="AR1398" s="1" t="s">
        <v>91</v>
      </c>
      <c r="AS1398" s="1" t="s">
        <v>91</v>
      </c>
      <c r="AT1398" s="1" t="s">
        <v>91</v>
      </c>
      <c r="AU1398" s="1" t="s">
        <v>91</v>
      </c>
      <c r="AV1398" t="s">
        <v>91</v>
      </c>
      <c r="AW1398" t="s">
        <v>91</v>
      </c>
      <c r="AX1398" t="s">
        <v>91</v>
      </c>
      <c r="AY1398" t="s">
        <v>91</v>
      </c>
      <c r="AZ1398" t="s">
        <v>91</v>
      </c>
      <c r="BA1398" t="s">
        <v>91</v>
      </c>
      <c r="BB1398" s="2">
        <v>45113.505416666667</v>
      </c>
      <c r="BC1398" s="2"/>
      <c r="BD1398" t="s">
        <v>91</v>
      </c>
      <c r="BF1398" s="1" t="s">
        <v>75</v>
      </c>
      <c r="BI1398" s="1" t="s">
        <v>88</v>
      </c>
      <c r="BJ1398">
        <v>1</v>
      </c>
      <c r="BK1398" s="1" t="s">
        <v>89</v>
      </c>
      <c r="BL1398" t="s">
        <v>91</v>
      </c>
      <c r="BM1398" s="1" t="s">
        <v>91</v>
      </c>
      <c r="BN1398" s="1" t="s">
        <v>91</v>
      </c>
      <c r="BO1398" s="1" t="s">
        <v>91</v>
      </c>
      <c r="BP1398" s="1" t="s">
        <v>91</v>
      </c>
      <c r="BQ1398" t="s">
        <v>91</v>
      </c>
      <c r="BR1398" s="3">
        <v>45113</v>
      </c>
      <c r="BS1398" s="3"/>
      <c r="BT1398" t="s">
        <v>91</v>
      </c>
      <c r="BU1398" t="s">
        <v>91</v>
      </c>
      <c r="BW1398" s="1" t="s">
        <v>504</v>
      </c>
    </row>
    <row r="1399" spans="1:75" hidden="1" x14ac:dyDescent="0.35">
      <c r="A1399">
        <v>157804</v>
      </c>
      <c r="B1399" s="1" t="s">
        <v>75</v>
      </c>
      <c r="C1399">
        <v>80</v>
      </c>
      <c r="D1399">
        <v>11121004</v>
      </c>
      <c r="E1399">
        <v>121004</v>
      </c>
      <c r="F1399" s="1" t="s">
        <v>6867</v>
      </c>
      <c r="G1399" s="1" t="s">
        <v>7577</v>
      </c>
      <c r="H1399">
        <v>0</v>
      </c>
      <c r="I1399" s="1" t="s">
        <v>78</v>
      </c>
      <c r="J1399" s="1" t="s">
        <v>7578</v>
      </c>
      <c r="K1399" s="1" t="s">
        <v>7579</v>
      </c>
      <c r="L1399" t="s">
        <v>91</v>
      </c>
      <c r="M1399" t="s">
        <v>91</v>
      </c>
      <c r="N1399" s="1" t="s">
        <v>7580</v>
      </c>
      <c r="O1399" t="s">
        <v>91</v>
      </c>
      <c r="P1399" s="1" t="s">
        <v>7318</v>
      </c>
      <c r="Q1399" s="1" t="s">
        <v>1912</v>
      </c>
      <c r="R1399" s="1" t="s">
        <v>236</v>
      </c>
      <c r="S1399">
        <v>1261</v>
      </c>
      <c r="T1399">
        <v>88301010</v>
      </c>
      <c r="U1399" s="1" t="s">
        <v>108</v>
      </c>
      <c r="V1399" s="1" t="s">
        <v>6881</v>
      </c>
      <c r="W1399" s="1" t="s">
        <v>87</v>
      </c>
      <c r="X1399">
        <v>47</v>
      </c>
      <c r="Y1399">
        <v>30486260</v>
      </c>
      <c r="Z1399" t="s">
        <v>91</v>
      </c>
      <c r="AA1399" t="s">
        <v>91</v>
      </c>
      <c r="AB1399" t="s">
        <v>91</v>
      </c>
      <c r="AC1399" t="s">
        <v>91</v>
      </c>
      <c r="AD1399" t="s">
        <v>91</v>
      </c>
      <c r="AE1399" t="s">
        <v>91</v>
      </c>
      <c r="AF1399" t="s">
        <v>91</v>
      </c>
      <c r="AG1399" s="1" t="s">
        <v>91</v>
      </c>
      <c r="AH1399" s="1" t="s">
        <v>91</v>
      </c>
      <c r="AI1399" t="s">
        <v>91</v>
      </c>
      <c r="AM1399" t="s">
        <v>91</v>
      </c>
      <c r="AN1399" t="s">
        <v>91</v>
      </c>
      <c r="AO1399" t="s">
        <v>91</v>
      </c>
      <c r="AP1399" t="s">
        <v>91</v>
      </c>
      <c r="AQ1399" s="1" t="s">
        <v>91</v>
      </c>
      <c r="AR1399" s="1" t="s">
        <v>91</v>
      </c>
      <c r="AS1399" s="1" t="s">
        <v>91</v>
      </c>
      <c r="AT1399" s="1" t="s">
        <v>91</v>
      </c>
      <c r="AU1399" s="1" t="s">
        <v>91</v>
      </c>
      <c r="AV1399" t="s">
        <v>91</v>
      </c>
      <c r="AW1399" t="s">
        <v>91</v>
      </c>
      <c r="AX1399" t="s">
        <v>91</v>
      </c>
      <c r="AY1399" t="s">
        <v>91</v>
      </c>
      <c r="AZ1399" t="s">
        <v>91</v>
      </c>
      <c r="BA1399" t="s">
        <v>91</v>
      </c>
      <c r="BB1399" s="2">
        <v>45118.101759259262</v>
      </c>
      <c r="BC1399" s="2"/>
      <c r="BD1399" t="s">
        <v>91</v>
      </c>
      <c r="BF1399" s="1" t="s">
        <v>75</v>
      </c>
      <c r="BI1399" s="1" t="s">
        <v>88</v>
      </c>
      <c r="BJ1399">
        <v>1</v>
      </c>
      <c r="BK1399" s="1" t="s">
        <v>89</v>
      </c>
      <c r="BL1399" t="s">
        <v>91</v>
      </c>
      <c r="BM1399" s="1" t="s">
        <v>91</v>
      </c>
      <c r="BN1399" s="1" t="s">
        <v>91</v>
      </c>
      <c r="BO1399" s="1" t="s">
        <v>91</v>
      </c>
      <c r="BP1399" s="1" t="s">
        <v>91</v>
      </c>
      <c r="BQ1399" t="s">
        <v>91</v>
      </c>
      <c r="BR1399" s="3">
        <v>45118</v>
      </c>
      <c r="BS1399" s="3"/>
      <c r="BT1399" t="s">
        <v>91</v>
      </c>
      <c r="BU1399" t="s">
        <v>91</v>
      </c>
      <c r="BW1399" s="1" t="s">
        <v>90</v>
      </c>
    </row>
    <row r="1400" spans="1:75" hidden="1" x14ac:dyDescent="0.35">
      <c r="A1400">
        <v>157131</v>
      </c>
      <c r="B1400" s="1" t="s">
        <v>75</v>
      </c>
      <c r="C1400">
        <v>80</v>
      </c>
      <c r="D1400">
        <v>11121004</v>
      </c>
      <c r="E1400">
        <v>121004</v>
      </c>
      <c r="F1400" s="1" t="s">
        <v>6867</v>
      </c>
      <c r="G1400" s="1" t="s">
        <v>7581</v>
      </c>
      <c r="H1400">
        <v>0</v>
      </c>
      <c r="I1400" s="1" t="s">
        <v>78</v>
      </c>
      <c r="J1400" s="1" t="s">
        <v>7582</v>
      </c>
      <c r="K1400" s="1" t="s">
        <v>7583</v>
      </c>
      <c r="L1400" t="s">
        <v>91</v>
      </c>
      <c r="M1400" t="s">
        <v>91</v>
      </c>
      <c r="N1400" s="1" t="s">
        <v>7584</v>
      </c>
      <c r="O1400" t="s">
        <v>91</v>
      </c>
      <c r="P1400" s="1" t="s">
        <v>7585</v>
      </c>
      <c r="Q1400" s="1" t="s">
        <v>2216</v>
      </c>
      <c r="R1400" s="1" t="s">
        <v>820</v>
      </c>
      <c r="S1400">
        <v>1260</v>
      </c>
      <c r="T1400">
        <v>88210000</v>
      </c>
      <c r="U1400" s="1" t="s">
        <v>7586</v>
      </c>
      <c r="V1400" s="1" t="s">
        <v>6987</v>
      </c>
      <c r="W1400" s="1" t="s">
        <v>87</v>
      </c>
      <c r="X1400">
        <v>47</v>
      </c>
      <c r="Y1400">
        <v>34300217</v>
      </c>
      <c r="Z1400" t="s">
        <v>91</v>
      </c>
      <c r="AA1400" t="s">
        <v>91</v>
      </c>
      <c r="AB1400" t="s">
        <v>91</v>
      </c>
      <c r="AC1400" t="s">
        <v>91</v>
      </c>
      <c r="AD1400" t="s">
        <v>91</v>
      </c>
      <c r="AE1400" t="s">
        <v>91</v>
      </c>
      <c r="AF1400" t="s">
        <v>91</v>
      </c>
      <c r="AG1400" s="1" t="s">
        <v>91</v>
      </c>
      <c r="AH1400" s="1" t="s">
        <v>91</v>
      </c>
      <c r="AI1400" t="s">
        <v>91</v>
      </c>
      <c r="AM1400" t="s">
        <v>91</v>
      </c>
      <c r="AN1400" t="s">
        <v>91</v>
      </c>
      <c r="AO1400" t="s">
        <v>91</v>
      </c>
      <c r="AP1400" t="s">
        <v>91</v>
      </c>
      <c r="AQ1400" s="1" t="s">
        <v>91</v>
      </c>
      <c r="AR1400" s="1" t="s">
        <v>91</v>
      </c>
      <c r="AS1400" s="1" t="s">
        <v>91</v>
      </c>
      <c r="AT1400" s="1" t="s">
        <v>91</v>
      </c>
      <c r="AU1400" s="1" t="s">
        <v>91</v>
      </c>
      <c r="AV1400" t="s">
        <v>91</v>
      </c>
      <c r="AW1400" t="s">
        <v>91</v>
      </c>
      <c r="AX1400" t="s">
        <v>91</v>
      </c>
      <c r="AY1400" t="s">
        <v>91</v>
      </c>
      <c r="AZ1400" t="s">
        <v>91</v>
      </c>
      <c r="BA1400" t="s">
        <v>91</v>
      </c>
      <c r="BB1400" s="2">
        <v>45113.505416666667</v>
      </c>
      <c r="BC1400" s="2"/>
      <c r="BD1400" t="s">
        <v>91</v>
      </c>
      <c r="BF1400" s="1" t="s">
        <v>75</v>
      </c>
      <c r="BI1400" s="1" t="s">
        <v>88</v>
      </c>
      <c r="BJ1400">
        <v>1</v>
      </c>
      <c r="BK1400" s="1" t="s">
        <v>89</v>
      </c>
      <c r="BL1400" t="s">
        <v>91</v>
      </c>
      <c r="BM1400" s="1" t="s">
        <v>91</v>
      </c>
      <c r="BN1400" s="1" t="s">
        <v>91</v>
      </c>
      <c r="BO1400" s="1" t="s">
        <v>91</v>
      </c>
      <c r="BP1400" s="1" t="s">
        <v>91</v>
      </c>
      <c r="BQ1400" t="s">
        <v>91</v>
      </c>
      <c r="BR1400" s="3">
        <v>45113</v>
      </c>
      <c r="BS1400" s="3"/>
      <c r="BT1400" t="s">
        <v>91</v>
      </c>
      <c r="BU1400" t="s">
        <v>91</v>
      </c>
      <c r="BW1400" s="1" t="s">
        <v>90</v>
      </c>
    </row>
    <row r="1401" spans="1:75" hidden="1" x14ac:dyDescent="0.35">
      <c r="A1401">
        <v>137639</v>
      </c>
      <c r="B1401" s="1" t="s">
        <v>75</v>
      </c>
      <c r="C1401">
        <v>80</v>
      </c>
      <c r="D1401">
        <v>11121004</v>
      </c>
      <c r="E1401">
        <v>121004</v>
      </c>
      <c r="F1401" s="1" t="s">
        <v>6867</v>
      </c>
      <c r="G1401" s="1" t="s">
        <v>7587</v>
      </c>
      <c r="H1401">
        <v>0</v>
      </c>
      <c r="I1401" s="1" t="s">
        <v>78</v>
      </c>
      <c r="J1401" s="1" t="s">
        <v>7588</v>
      </c>
      <c r="K1401" s="1" t="s">
        <v>7589</v>
      </c>
      <c r="L1401" t="s">
        <v>91</v>
      </c>
      <c r="M1401" t="s">
        <v>91</v>
      </c>
      <c r="N1401" s="1" t="s">
        <v>7590</v>
      </c>
      <c r="O1401" t="s">
        <v>91</v>
      </c>
      <c r="P1401" s="1" t="s">
        <v>860</v>
      </c>
      <c r="Q1401" s="1" t="s">
        <v>2138</v>
      </c>
      <c r="R1401" s="1" t="s">
        <v>370</v>
      </c>
      <c r="S1401">
        <v>1262</v>
      </c>
      <c r="T1401">
        <v>88330040</v>
      </c>
      <c r="U1401" s="1" t="s">
        <v>108</v>
      </c>
      <c r="V1401" s="1" t="s">
        <v>5871</v>
      </c>
      <c r="W1401" s="1" t="s">
        <v>87</v>
      </c>
      <c r="X1401">
        <v>47</v>
      </c>
      <c r="Y1401">
        <v>33609853</v>
      </c>
      <c r="Z1401" t="s">
        <v>91</v>
      </c>
      <c r="AA1401" t="s">
        <v>91</v>
      </c>
      <c r="AB1401" t="s">
        <v>91</v>
      </c>
      <c r="AC1401" t="s">
        <v>91</v>
      </c>
      <c r="AD1401" t="s">
        <v>91</v>
      </c>
      <c r="AE1401" t="s">
        <v>91</v>
      </c>
      <c r="AF1401" t="s">
        <v>91</v>
      </c>
      <c r="AG1401" s="1" t="s">
        <v>91</v>
      </c>
      <c r="AH1401" s="1" t="s">
        <v>91</v>
      </c>
      <c r="AI1401" t="s">
        <v>91</v>
      </c>
      <c r="AM1401" t="s">
        <v>91</v>
      </c>
      <c r="AN1401" t="s">
        <v>91</v>
      </c>
      <c r="AO1401" t="s">
        <v>91</v>
      </c>
      <c r="AP1401" t="s">
        <v>91</v>
      </c>
      <c r="AQ1401" s="1" t="s">
        <v>91</v>
      </c>
      <c r="AR1401" s="1" t="s">
        <v>91</v>
      </c>
      <c r="AS1401" s="1" t="s">
        <v>91</v>
      </c>
      <c r="AT1401" s="1" t="s">
        <v>91</v>
      </c>
      <c r="AU1401" s="1" t="s">
        <v>91</v>
      </c>
      <c r="AV1401" t="s">
        <v>91</v>
      </c>
      <c r="AW1401" t="s">
        <v>91</v>
      </c>
      <c r="AX1401" t="s">
        <v>91</v>
      </c>
      <c r="AY1401" t="s">
        <v>91</v>
      </c>
      <c r="AZ1401" t="s">
        <v>91</v>
      </c>
      <c r="BA1401" t="s">
        <v>91</v>
      </c>
      <c r="BB1401" s="2">
        <v>44378.578518518516</v>
      </c>
      <c r="BC1401" s="2"/>
      <c r="BD1401" t="s">
        <v>91</v>
      </c>
      <c r="BF1401" s="1" t="s">
        <v>75</v>
      </c>
      <c r="BI1401" s="1" t="s">
        <v>88</v>
      </c>
      <c r="BJ1401">
        <v>1</v>
      </c>
      <c r="BK1401" s="1" t="s">
        <v>89</v>
      </c>
      <c r="BL1401" t="s">
        <v>91</v>
      </c>
      <c r="BM1401" s="1" t="s">
        <v>109</v>
      </c>
      <c r="BN1401" s="1" t="s">
        <v>110</v>
      </c>
      <c r="BO1401" s="1" t="s">
        <v>180</v>
      </c>
      <c r="BP1401" s="1" t="s">
        <v>91</v>
      </c>
      <c r="BQ1401" t="s">
        <v>91</v>
      </c>
      <c r="BR1401" s="3">
        <v>44378</v>
      </c>
      <c r="BS1401" s="3"/>
      <c r="BT1401" t="s">
        <v>91</v>
      </c>
      <c r="BU1401" t="s">
        <v>91</v>
      </c>
      <c r="BW1401" s="1" t="s">
        <v>90</v>
      </c>
    </row>
    <row r="1402" spans="1:75" hidden="1" x14ac:dyDescent="0.35">
      <c r="A1402">
        <v>137640</v>
      </c>
      <c r="B1402" s="1" t="s">
        <v>75</v>
      </c>
      <c r="C1402">
        <v>80</v>
      </c>
      <c r="D1402">
        <v>11121004</v>
      </c>
      <c r="E1402">
        <v>121004</v>
      </c>
      <c r="F1402" s="1" t="s">
        <v>6867</v>
      </c>
      <c r="G1402" s="1" t="s">
        <v>7591</v>
      </c>
      <c r="H1402">
        <v>0</v>
      </c>
      <c r="I1402" s="1" t="s">
        <v>78</v>
      </c>
      <c r="J1402" s="1" t="s">
        <v>7592</v>
      </c>
      <c r="K1402" s="1" t="s">
        <v>7593</v>
      </c>
      <c r="L1402" t="s">
        <v>91</v>
      </c>
      <c r="M1402" t="s">
        <v>91</v>
      </c>
      <c r="N1402" s="1" t="s">
        <v>7594</v>
      </c>
      <c r="O1402" t="s">
        <v>91</v>
      </c>
      <c r="P1402" s="1" t="s">
        <v>7595</v>
      </c>
      <c r="Q1402" s="1" t="s">
        <v>7596</v>
      </c>
      <c r="R1402" s="1" t="s">
        <v>236</v>
      </c>
      <c r="S1402">
        <v>1276</v>
      </c>
      <c r="T1402">
        <v>89172000</v>
      </c>
      <c r="U1402" s="1" t="s">
        <v>108</v>
      </c>
      <c r="V1402" s="1" t="s">
        <v>7597</v>
      </c>
      <c r="W1402" s="1" t="s">
        <v>87</v>
      </c>
      <c r="X1402">
        <v>47</v>
      </c>
      <c r="Y1402">
        <v>35451782</v>
      </c>
      <c r="Z1402" t="s">
        <v>91</v>
      </c>
      <c r="AA1402" t="s">
        <v>91</v>
      </c>
      <c r="AB1402" t="s">
        <v>91</v>
      </c>
      <c r="AC1402" t="s">
        <v>91</v>
      </c>
      <c r="AD1402" t="s">
        <v>91</v>
      </c>
      <c r="AE1402" t="s">
        <v>91</v>
      </c>
      <c r="AF1402" t="s">
        <v>91</v>
      </c>
      <c r="AG1402" s="1" t="s">
        <v>146</v>
      </c>
      <c r="AH1402" s="1" t="s">
        <v>91</v>
      </c>
      <c r="AI1402" t="s">
        <v>91</v>
      </c>
      <c r="AM1402" t="s">
        <v>91</v>
      </c>
      <c r="AN1402" t="s">
        <v>91</v>
      </c>
      <c r="AO1402" t="s">
        <v>91</v>
      </c>
      <c r="AP1402" t="s">
        <v>91</v>
      </c>
      <c r="AQ1402" s="1" t="s">
        <v>147</v>
      </c>
      <c r="AR1402" s="1" t="s">
        <v>147</v>
      </c>
      <c r="AS1402" s="1" t="s">
        <v>147</v>
      </c>
      <c r="AT1402" s="1" t="s">
        <v>147</v>
      </c>
      <c r="AU1402" s="1" t="s">
        <v>147</v>
      </c>
      <c r="AV1402" t="s">
        <v>91</v>
      </c>
      <c r="AW1402" t="s">
        <v>91</v>
      </c>
      <c r="AX1402" t="s">
        <v>91</v>
      </c>
      <c r="AY1402" t="s">
        <v>91</v>
      </c>
      <c r="AZ1402" t="s">
        <v>91</v>
      </c>
      <c r="BA1402" t="s">
        <v>91</v>
      </c>
      <c r="BB1402" s="2">
        <v>44378.578518518516</v>
      </c>
      <c r="BC1402" s="2">
        <v>44623.632951388892</v>
      </c>
      <c r="BD1402" t="s">
        <v>91</v>
      </c>
      <c r="BF1402" s="1" t="s">
        <v>75</v>
      </c>
      <c r="BH1402">
        <v>0</v>
      </c>
      <c r="BI1402" s="1" t="s">
        <v>88</v>
      </c>
      <c r="BJ1402">
        <v>1</v>
      </c>
      <c r="BK1402" s="1" t="s">
        <v>89</v>
      </c>
      <c r="BL1402" t="s">
        <v>91</v>
      </c>
      <c r="BM1402" s="1" t="s">
        <v>109</v>
      </c>
      <c r="BN1402" s="1" t="s">
        <v>110</v>
      </c>
      <c r="BO1402" s="1" t="s">
        <v>128</v>
      </c>
      <c r="BP1402" s="1" t="s">
        <v>91</v>
      </c>
      <c r="BQ1402" t="s">
        <v>91</v>
      </c>
      <c r="BR1402" s="3">
        <v>44378</v>
      </c>
      <c r="BS1402" s="3">
        <v>44623</v>
      </c>
      <c r="BT1402" t="s">
        <v>91</v>
      </c>
      <c r="BU1402" t="s">
        <v>91</v>
      </c>
      <c r="BW1402" s="1" t="s">
        <v>4511</v>
      </c>
    </row>
    <row r="1403" spans="1:75" hidden="1" x14ac:dyDescent="0.35">
      <c r="A1403">
        <v>117521</v>
      </c>
      <c r="B1403" s="1" t="s">
        <v>75</v>
      </c>
      <c r="C1403">
        <v>80</v>
      </c>
      <c r="D1403">
        <v>11121004</v>
      </c>
      <c r="E1403">
        <v>121004</v>
      </c>
      <c r="F1403" s="1" t="s">
        <v>6867</v>
      </c>
      <c r="G1403" s="1" t="s">
        <v>7598</v>
      </c>
      <c r="H1403">
        <v>0</v>
      </c>
      <c r="I1403" s="1" t="s">
        <v>78</v>
      </c>
      <c r="J1403" s="1" t="s">
        <v>7599</v>
      </c>
      <c r="K1403" s="1" t="s">
        <v>7600</v>
      </c>
      <c r="L1403" t="s">
        <v>91</v>
      </c>
      <c r="M1403" t="s">
        <v>91</v>
      </c>
      <c r="N1403" s="1" t="s">
        <v>7601</v>
      </c>
      <c r="O1403" t="s">
        <v>91</v>
      </c>
      <c r="P1403" s="1" t="s">
        <v>3970</v>
      </c>
      <c r="Q1403" s="1" t="s">
        <v>625</v>
      </c>
      <c r="R1403" s="1" t="s">
        <v>173</v>
      </c>
      <c r="S1403">
        <v>1260</v>
      </c>
      <c r="T1403">
        <v>88220000</v>
      </c>
      <c r="U1403" s="1" t="s">
        <v>7195</v>
      </c>
      <c r="V1403" s="1" t="s">
        <v>7015</v>
      </c>
      <c r="W1403" s="1" t="s">
        <v>87</v>
      </c>
      <c r="X1403">
        <v>47</v>
      </c>
      <c r="Y1403">
        <v>33681150</v>
      </c>
      <c r="Z1403" t="s">
        <v>91</v>
      </c>
      <c r="AA1403" t="s">
        <v>91</v>
      </c>
      <c r="AB1403" t="s">
        <v>91</v>
      </c>
      <c r="AC1403" t="s">
        <v>91</v>
      </c>
      <c r="AD1403" t="s">
        <v>91</v>
      </c>
      <c r="AE1403" t="s">
        <v>91</v>
      </c>
      <c r="AF1403" t="s">
        <v>91</v>
      </c>
      <c r="AG1403" s="1" t="s">
        <v>91</v>
      </c>
      <c r="AH1403" s="1" t="s">
        <v>91</v>
      </c>
      <c r="AI1403" t="s">
        <v>91</v>
      </c>
      <c r="AJ1403">
        <v>0</v>
      </c>
      <c r="AK1403">
        <v>0</v>
      </c>
      <c r="AL1403">
        <v>0</v>
      </c>
      <c r="AM1403" t="s">
        <v>91</v>
      </c>
      <c r="AN1403" t="s">
        <v>91</v>
      </c>
      <c r="AO1403" t="s">
        <v>91</v>
      </c>
      <c r="AP1403" t="s">
        <v>91</v>
      </c>
      <c r="AQ1403" s="1" t="s">
        <v>91</v>
      </c>
      <c r="AR1403" s="1" t="s">
        <v>91</v>
      </c>
      <c r="AS1403" s="1" t="s">
        <v>91</v>
      </c>
      <c r="AT1403" s="1" t="s">
        <v>91</v>
      </c>
      <c r="AU1403" s="1" t="s">
        <v>91</v>
      </c>
      <c r="AV1403" t="s">
        <v>91</v>
      </c>
      <c r="AW1403" t="s">
        <v>91</v>
      </c>
      <c r="AX1403" t="s">
        <v>91</v>
      </c>
      <c r="AY1403" t="s">
        <v>91</v>
      </c>
      <c r="AZ1403" t="s">
        <v>91</v>
      </c>
      <c r="BA1403" t="s">
        <v>91</v>
      </c>
      <c r="BB1403" s="2">
        <v>44034.350266203706</v>
      </c>
      <c r="BC1403" s="2"/>
      <c r="BD1403" t="s">
        <v>91</v>
      </c>
      <c r="BF1403" s="1" t="s">
        <v>75</v>
      </c>
      <c r="BG1403">
        <v>0</v>
      </c>
      <c r="BH1403">
        <v>0</v>
      </c>
      <c r="BI1403" s="1" t="s">
        <v>88</v>
      </c>
      <c r="BJ1403">
        <v>1</v>
      </c>
      <c r="BK1403" s="1" t="s">
        <v>89</v>
      </c>
      <c r="BL1403" t="s">
        <v>91</v>
      </c>
      <c r="BM1403" s="1" t="s">
        <v>109</v>
      </c>
      <c r="BN1403" s="1" t="s">
        <v>110</v>
      </c>
      <c r="BO1403" s="1" t="s">
        <v>165</v>
      </c>
      <c r="BP1403" s="1" t="s">
        <v>91</v>
      </c>
      <c r="BQ1403" t="s">
        <v>91</v>
      </c>
      <c r="BR1403" s="3">
        <v>44034</v>
      </c>
      <c r="BS1403" s="3"/>
      <c r="BT1403" t="s">
        <v>91</v>
      </c>
      <c r="BU1403" t="s">
        <v>91</v>
      </c>
      <c r="BV1403">
        <v>7</v>
      </c>
      <c r="BW1403" s="1" t="s">
        <v>90</v>
      </c>
    </row>
    <row r="1404" spans="1:75" hidden="1" x14ac:dyDescent="0.35">
      <c r="A1404">
        <v>157045</v>
      </c>
      <c r="B1404" s="1" t="s">
        <v>75</v>
      </c>
      <c r="C1404">
        <v>80</v>
      </c>
      <c r="D1404">
        <v>11121004</v>
      </c>
      <c r="E1404">
        <v>121004</v>
      </c>
      <c r="F1404" s="1" t="s">
        <v>6867</v>
      </c>
      <c r="G1404" s="1" t="s">
        <v>7602</v>
      </c>
      <c r="H1404">
        <v>0</v>
      </c>
      <c r="I1404" s="1" t="s">
        <v>78</v>
      </c>
      <c r="J1404" s="1" t="s">
        <v>7603</v>
      </c>
      <c r="K1404" s="1" t="s">
        <v>7604</v>
      </c>
      <c r="L1404" t="s">
        <v>91</v>
      </c>
      <c r="M1404" t="s">
        <v>91</v>
      </c>
      <c r="N1404" s="1" t="s">
        <v>7605</v>
      </c>
      <c r="O1404" t="s">
        <v>91</v>
      </c>
      <c r="P1404" s="1" t="s">
        <v>7606</v>
      </c>
      <c r="Q1404" s="1" t="s">
        <v>3578</v>
      </c>
      <c r="R1404" s="1" t="s">
        <v>7607</v>
      </c>
      <c r="S1404">
        <v>1275</v>
      </c>
      <c r="T1404">
        <v>89120000</v>
      </c>
      <c r="U1404" s="1" t="s">
        <v>108</v>
      </c>
      <c r="V1404" s="1" t="s">
        <v>7608</v>
      </c>
      <c r="W1404" s="1" t="s">
        <v>87</v>
      </c>
      <c r="X1404">
        <v>47</v>
      </c>
      <c r="Y1404">
        <v>991499522</v>
      </c>
      <c r="Z1404" t="s">
        <v>91</v>
      </c>
      <c r="AA1404" t="s">
        <v>91</v>
      </c>
      <c r="AB1404" t="s">
        <v>91</v>
      </c>
      <c r="AC1404" t="s">
        <v>91</v>
      </c>
      <c r="AD1404" t="s">
        <v>91</v>
      </c>
      <c r="AE1404" t="s">
        <v>91</v>
      </c>
      <c r="AF1404" t="s">
        <v>91</v>
      </c>
      <c r="AG1404" s="1" t="s">
        <v>91</v>
      </c>
      <c r="AH1404" s="1" t="s">
        <v>91</v>
      </c>
      <c r="AI1404" t="s">
        <v>91</v>
      </c>
      <c r="AM1404" t="s">
        <v>91</v>
      </c>
      <c r="AN1404" t="s">
        <v>91</v>
      </c>
      <c r="AO1404" t="s">
        <v>91</v>
      </c>
      <c r="AP1404" t="s">
        <v>91</v>
      </c>
      <c r="AQ1404" s="1" t="s">
        <v>91</v>
      </c>
      <c r="AR1404" s="1" t="s">
        <v>91</v>
      </c>
      <c r="AS1404" s="1" t="s">
        <v>91</v>
      </c>
      <c r="AT1404" s="1" t="s">
        <v>91</v>
      </c>
      <c r="AU1404" s="1" t="s">
        <v>91</v>
      </c>
      <c r="AV1404" t="s">
        <v>91</v>
      </c>
      <c r="AW1404" t="s">
        <v>91</v>
      </c>
      <c r="AX1404" t="s">
        <v>91</v>
      </c>
      <c r="AY1404" t="s">
        <v>91</v>
      </c>
      <c r="AZ1404" t="s">
        <v>91</v>
      </c>
      <c r="BA1404" t="s">
        <v>91</v>
      </c>
      <c r="BB1404" s="2">
        <v>45113.505416666667</v>
      </c>
      <c r="BC1404" s="2"/>
      <c r="BD1404" t="s">
        <v>91</v>
      </c>
      <c r="BF1404" s="1" t="s">
        <v>75</v>
      </c>
      <c r="BI1404" s="1" t="s">
        <v>88</v>
      </c>
      <c r="BJ1404">
        <v>1</v>
      </c>
      <c r="BK1404" s="1" t="s">
        <v>89</v>
      </c>
      <c r="BL1404" t="s">
        <v>91</v>
      </c>
      <c r="BM1404" s="1" t="s">
        <v>91</v>
      </c>
      <c r="BN1404" s="1" t="s">
        <v>91</v>
      </c>
      <c r="BO1404" s="1" t="s">
        <v>91</v>
      </c>
      <c r="BP1404" s="1" t="s">
        <v>91</v>
      </c>
      <c r="BQ1404" t="s">
        <v>91</v>
      </c>
      <c r="BR1404" s="3">
        <v>45113</v>
      </c>
      <c r="BS1404" s="3"/>
      <c r="BT1404" t="s">
        <v>91</v>
      </c>
      <c r="BU1404" t="s">
        <v>91</v>
      </c>
      <c r="BW1404" s="1" t="s">
        <v>1048</v>
      </c>
    </row>
    <row r="1405" spans="1:75" hidden="1" x14ac:dyDescent="0.35">
      <c r="A1405">
        <v>137643</v>
      </c>
      <c r="B1405" s="1" t="s">
        <v>75</v>
      </c>
      <c r="C1405">
        <v>80</v>
      </c>
      <c r="D1405">
        <v>11121004</v>
      </c>
      <c r="E1405">
        <v>121004</v>
      </c>
      <c r="F1405" s="1" t="s">
        <v>6867</v>
      </c>
      <c r="G1405" s="1" t="s">
        <v>7609</v>
      </c>
      <c r="H1405">
        <v>0</v>
      </c>
      <c r="I1405" s="1" t="s">
        <v>78</v>
      </c>
      <c r="J1405" s="1" t="s">
        <v>7610</v>
      </c>
      <c r="K1405" s="1" t="s">
        <v>7611</v>
      </c>
      <c r="L1405" t="s">
        <v>91</v>
      </c>
      <c r="M1405" t="s">
        <v>91</v>
      </c>
      <c r="N1405" s="1" t="s">
        <v>7612</v>
      </c>
      <c r="O1405" t="s">
        <v>91</v>
      </c>
      <c r="P1405" s="1" t="s">
        <v>7613</v>
      </c>
      <c r="Q1405" s="1" t="s">
        <v>7614</v>
      </c>
      <c r="R1405" s="1" t="s">
        <v>173</v>
      </c>
      <c r="S1405">
        <v>1260</v>
      </c>
      <c r="T1405">
        <v>88215000</v>
      </c>
      <c r="U1405" s="1" t="s">
        <v>7615</v>
      </c>
      <c r="V1405" s="1" t="s">
        <v>7458</v>
      </c>
      <c r="W1405" s="1" t="s">
        <v>87</v>
      </c>
      <c r="X1405">
        <v>47</v>
      </c>
      <c r="Y1405">
        <v>33692870</v>
      </c>
      <c r="Z1405" t="s">
        <v>91</v>
      </c>
      <c r="AA1405" t="s">
        <v>91</v>
      </c>
      <c r="AB1405" t="s">
        <v>91</v>
      </c>
      <c r="AC1405" t="s">
        <v>91</v>
      </c>
      <c r="AD1405" t="s">
        <v>91</v>
      </c>
      <c r="AE1405" t="s">
        <v>91</v>
      </c>
      <c r="AF1405" t="s">
        <v>91</v>
      </c>
      <c r="AG1405" s="1" t="s">
        <v>146</v>
      </c>
      <c r="AH1405" s="1" t="s">
        <v>91</v>
      </c>
      <c r="AI1405" t="s">
        <v>91</v>
      </c>
      <c r="AM1405" t="s">
        <v>91</v>
      </c>
      <c r="AN1405" t="s">
        <v>91</v>
      </c>
      <c r="AO1405" t="s">
        <v>91</v>
      </c>
      <c r="AP1405" t="s">
        <v>91</v>
      </c>
      <c r="AQ1405" s="1" t="s">
        <v>147</v>
      </c>
      <c r="AR1405" s="1" t="s">
        <v>147</v>
      </c>
      <c r="AS1405" s="1" t="s">
        <v>147</v>
      </c>
      <c r="AT1405" s="1" t="s">
        <v>147</v>
      </c>
      <c r="AU1405" s="1" t="s">
        <v>147</v>
      </c>
      <c r="AV1405" t="s">
        <v>91</v>
      </c>
      <c r="AW1405" t="s">
        <v>91</v>
      </c>
      <c r="AX1405" t="s">
        <v>91</v>
      </c>
      <c r="AY1405" t="s">
        <v>91</v>
      </c>
      <c r="AZ1405" t="s">
        <v>91</v>
      </c>
      <c r="BA1405" t="s">
        <v>91</v>
      </c>
      <c r="BB1405" s="2">
        <v>44378.578518518516</v>
      </c>
      <c r="BC1405" s="2">
        <v>44820.650393518517</v>
      </c>
      <c r="BD1405" t="s">
        <v>91</v>
      </c>
      <c r="BF1405" s="1" t="s">
        <v>75</v>
      </c>
      <c r="BH1405">
        <v>0</v>
      </c>
      <c r="BI1405" s="1" t="s">
        <v>88</v>
      </c>
      <c r="BJ1405">
        <v>1</v>
      </c>
      <c r="BK1405" s="1" t="s">
        <v>89</v>
      </c>
      <c r="BL1405" t="s">
        <v>91</v>
      </c>
      <c r="BM1405" s="1" t="s">
        <v>109</v>
      </c>
      <c r="BN1405" s="1" t="s">
        <v>110</v>
      </c>
      <c r="BO1405" s="1" t="s">
        <v>128</v>
      </c>
      <c r="BP1405" s="1" t="s">
        <v>91</v>
      </c>
      <c r="BQ1405" t="s">
        <v>91</v>
      </c>
      <c r="BR1405" s="3">
        <v>44378</v>
      </c>
      <c r="BS1405" s="3">
        <v>44820</v>
      </c>
      <c r="BT1405" t="s">
        <v>91</v>
      </c>
      <c r="BU1405" t="s">
        <v>91</v>
      </c>
      <c r="BW1405" s="1" t="s">
        <v>263</v>
      </c>
    </row>
    <row r="1406" spans="1:75" hidden="1" x14ac:dyDescent="0.35">
      <c r="A1406">
        <v>137644</v>
      </c>
      <c r="B1406" s="1" t="s">
        <v>75</v>
      </c>
      <c r="C1406">
        <v>80</v>
      </c>
      <c r="D1406">
        <v>11121004</v>
      </c>
      <c r="E1406">
        <v>121004</v>
      </c>
      <c r="F1406" s="1" t="s">
        <v>6867</v>
      </c>
      <c r="G1406" s="1" t="s">
        <v>7616</v>
      </c>
      <c r="H1406">
        <v>0</v>
      </c>
      <c r="I1406" s="1" t="s">
        <v>78</v>
      </c>
      <c r="J1406" s="1" t="s">
        <v>7617</v>
      </c>
      <c r="K1406" s="1" t="s">
        <v>7618</v>
      </c>
      <c r="L1406" t="s">
        <v>91</v>
      </c>
      <c r="M1406" t="s">
        <v>91</v>
      </c>
      <c r="N1406" s="1" t="s">
        <v>7619</v>
      </c>
      <c r="O1406" t="s">
        <v>91</v>
      </c>
      <c r="P1406" s="1" t="s">
        <v>475</v>
      </c>
      <c r="Q1406" s="1" t="s">
        <v>2834</v>
      </c>
      <c r="R1406" s="1" t="s">
        <v>91</v>
      </c>
      <c r="T1406">
        <v>88330043</v>
      </c>
      <c r="U1406" s="1" t="s">
        <v>108</v>
      </c>
      <c r="V1406" s="1" t="s">
        <v>6898</v>
      </c>
      <c r="W1406" s="1" t="s">
        <v>87</v>
      </c>
      <c r="X1406">
        <v>47</v>
      </c>
      <c r="Y1406">
        <v>41080189</v>
      </c>
      <c r="Z1406" t="s">
        <v>91</v>
      </c>
      <c r="AA1406" t="s">
        <v>91</v>
      </c>
      <c r="AB1406" t="s">
        <v>91</v>
      </c>
      <c r="AC1406" t="s">
        <v>91</v>
      </c>
      <c r="AD1406" t="s">
        <v>91</v>
      </c>
      <c r="AE1406" t="s">
        <v>91</v>
      </c>
      <c r="AF1406" t="s">
        <v>91</v>
      </c>
      <c r="AG1406" s="1" t="s">
        <v>146</v>
      </c>
      <c r="AH1406" s="1" t="s">
        <v>91</v>
      </c>
      <c r="AI1406" t="s">
        <v>91</v>
      </c>
      <c r="AM1406" t="s">
        <v>91</v>
      </c>
      <c r="AN1406" t="s">
        <v>91</v>
      </c>
      <c r="AO1406" t="s">
        <v>91</v>
      </c>
      <c r="AP1406" t="s">
        <v>91</v>
      </c>
      <c r="AQ1406" s="1" t="s">
        <v>147</v>
      </c>
      <c r="AR1406" s="1" t="s">
        <v>147</v>
      </c>
      <c r="AS1406" s="1" t="s">
        <v>147</v>
      </c>
      <c r="AT1406" s="1" t="s">
        <v>147</v>
      </c>
      <c r="AU1406" s="1" t="s">
        <v>147</v>
      </c>
      <c r="AV1406" t="s">
        <v>91</v>
      </c>
      <c r="AW1406" t="s">
        <v>91</v>
      </c>
      <c r="AX1406" t="s">
        <v>91</v>
      </c>
      <c r="AY1406" t="s">
        <v>91</v>
      </c>
      <c r="AZ1406" t="s">
        <v>91</v>
      </c>
      <c r="BA1406" t="s">
        <v>91</v>
      </c>
      <c r="BB1406" s="2">
        <v>44378.578518518516</v>
      </c>
      <c r="BC1406" s="2">
        <v>44587.699965277781</v>
      </c>
      <c r="BD1406" t="s">
        <v>91</v>
      </c>
      <c r="BF1406" s="1" t="s">
        <v>75</v>
      </c>
      <c r="BH1406">
        <v>0</v>
      </c>
      <c r="BI1406" s="1" t="s">
        <v>88</v>
      </c>
      <c r="BJ1406">
        <v>1</v>
      </c>
      <c r="BK1406" s="1" t="s">
        <v>89</v>
      </c>
      <c r="BL1406" t="s">
        <v>91</v>
      </c>
      <c r="BM1406" s="1" t="s">
        <v>329</v>
      </c>
      <c r="BN1406" s="1" t="s">
        <v>110</v>
      </c>
      <c r="BO1406" s="1" t="s">
        <v>165</v>
      </c>
      <c r="BP1406" s="1" t="s">
        <v>91</v>
      </c>
      <c r="BQ1406" t="s">
        <v>91</v>
      </c>
      <c r="BR1406" s="3">
        <v>44378</v>
      </c>
      <c r="BS1406" s="3">
        <v>44587</v>
      </c>
      <c r="BT1406" t="s">
        <v>91</v>
      </c>
      <c r="BU1406" t="s">
        <v>91</v>
      </c>
      <c r="BW1406" s="1" t="s">
        <v>601</v>
      </c>
    </row>
    <row r="1407" spans="1:75" hidden="1" x14ac:dyDescent="0.35">
      <c r="A1407">
        <v>157064</v>
      </c>
      <c r="B1407" s="1" t="s">
        <v>75</v>
      </c>
      <c r="C1407">
        <v>80</v>
      </c>
      <c r="D1407">
        <v>11121004</v>
      </c>
      <c r="E1407">
        <v>121004</v>
      </c>
      <c r="F1407" s="1" t="s">
        <v>6867</v>
      </c>
      <c r="G1407" s="1" t="s">
        <v>7620</v>
      </c>
      <c r="H1407">
        <v>0</v>
      </c>
      <c r="I1407" s="1" t="s">
        <v>78</v>
      </c>
      <c r="J1407" s="1" t="s">
        <v>7621</v>
      </c>
      <c r="K1407" s="1" t="s">
        <v>7622</v>
      </c>
      <c r="L1407" t="s">
        <v>91</v>
      </c>
      <c r="M1407" t="s">
        <v>91</v>
      </c>
      <c r="N1407" s="1" t="s">
        <v>7623</v>
      </c>
      <c r="O1407" t="s">
        <v>91</v>
      </c>
      <c r="P1407" s="1" t="s">
        <v>7624</v>
      </c>
      <c r="Q1407" s="1" t="s">
        <v>1247</v>
      </c>
      <c r="R1407" s="1" t="s">
        <v>7625</v>
      </c>
      <c r="S1407">
        <v>1275</v>
      </c>
      <c r="T1407">
        <v>89120000</v>
      </c>
      <c r="U1407" s="1" t="s">
        <v>7626</v>
      </c>
      <c r="V1407" s="1" t="s">
        <v>7608</v>
      </c>
      <c r="W1407" s="1" t="s">
        <v>87</v>
      </c>
      <c r="X1407">
        <v>47</v>
      </c>
      <c r="Y1407">
        <v>988685772</v>
      </c>
      <c r="Z1407" t="s">
        <v>91</v>
      </c>
      <c r="AA1407" t="s">
        <v>91</v>
      </c>
      <c r="AB1407" t="s">
        <v>91</v>
      </c>
      <c r="AC1407" t="s">
        <v>91</v>
      </c>
      <c r="AD1407" t="s">
        <v>91</v>
      </c>
      <c r="AE1407" t="s">
        <v>91</v>
      </c>
      <c r="AF1407" t="s">
        <v>91</v>
      </c>
      <c r="AG1407" s="1" t="s">
        <v>91</v>
      </c>
      <c r="AH1407" s="1" t="s">
        <v>91</v>
      </c>
      <c r="AI1407" t="s">
        <v>91</v>
      </c>
      <c r="AM1407" t="s">
        <v>91</v>
      </c>
      <c r="AN1407" t="s">
        <v>91</v>
      </c>
      <c r="AO1407" t="s">
        <v>91</v>
      </c>
      <c r="AP1407" t="s">
        <v>91</v>
      </c>
      <c r="AQ1407" s="1" t="s">
        <v>91</v>
      </c>
      <c r="AR1407" s="1" t="s">
        <v>91</v>
      </c>
      <c r="AS1407" s="1" t="s">
        <v>91</v>
      </c>
      <c r="AT1407" s="1" t="s">
        <v>91</v>
      </c>
      <c r="AU1407" s="1" t="s">
        <v>91</v>
      </c>
      <c r="AV1407" t="s">
        <v>91</v>
      </c>
      <c r="AW1407" t="s">
        <v>91</v>
      </c>
      <c r="AX1407" t="s">
        <v>91</v>
      </c>
      <c r="AY1407" t="s">
        <v>91</v>
      </c>
      <c r="AZ1407" t="s">
        <v>91</v>
      </c>
      <c r="BA1407" t="s">
        <v>91</v>
      </c>
      <c r="BB1407" s="2">
        <v>45113.505416666667</v>
      </c>
      <c r="BC1407" s="2"/>
      <c r="BD1407" t="s">
        <v>91</v>
      </c>
      <c r="BF1407" s="1" t="s">
        <v>75</v>
      </c>
      <c r="BI1407" s="1" t="s">
        <v>88</v>
      </c>
      <c r="BJ1407">
        <v>1</v>
      </c>
      <c r="BK1407" s="1" t="s">
        <v>89</v>
      </c>
      <c r="BL1407" t="s">
        <v>91</v>
      </c>
      <c r="BM1407" s="1" t="s">
        <v>91</v>
      </c>
      <c r="BN1407" s="1" t="s">
        <v>91</v>
      </c>
      <c r="BO1407" s="1" t="s">
        <v>91</v>
      </c>
      <c r="BP1407" s="1" t="s">
        <v>91</v>
      </c>
      <c r="BQ1407" t="s">
        <v>91</v>
      </c>
      <c r="BR1407" s="3">
        <v>45113</v>
      </c>
      <c r="BS1407" s="3"/>
      <c r="BT1407" t="s">
        <v>91</v>
      </c>
      <c r="BU1407" t="s">
        <v>91</v>
      </c>
      <c r="BW1407" s="1" t="s">
        <v>2526</v>
      </c>
    </row>
    <row r="1408" spans="1:75" hidden="1" x14ac:dyDescent="0.35">
      <c r="A1408">
        <v>157753</v>
      </c>
      <c r="B1408" s="1" t="s">
        <v>75</v>
      </c>
      <c r="C1408">
        <v>80</v>
      </c>
      <c r="D1408">
        <v>11121004</v>
      </c>
      <c r="E1408">
        <v>121004</v>
      </c>
      <c r="F1408" s="1" t="s">
        <v>6867</v>
      </c>
      <c r="G1408" s="1" t="s">
        <v>7627</v>
      </c>
      <c r="H1408">
        <v>0</v>
      </c>
      <c r="I1408" s="1" t="s">
        <v>78</v>
      </c>
      <c r="J1408" s="1" t="s">
        <v>7628</v>
      </c>
      <c r="K1408" s="1" t="s">
        <v>7629</v>
      </c>
      <c r="L1408" t="s">
        <v>91</v>
      </c>
      <c r="M1408" t="s">
        <v>91</v>
      </c>
      <c r="N1408" s="1" t="s">
        <v>7630</v>
      </c>
      <c r="O1408" t="s">
        <v>91</v>
      </c>
      <c r="P1408" s="1" t="s">
        <v>7631</v>
      </c>
      <c r="Q1408" s="1" t="s">
        <v>7001</v>
      </c>
      <c r="R1408" s="1" t="s">
        <v>91</v>
      </c>
      <c r="S1408">
        <v>1273</v>
      </c>
      <c r="T1408">
        <v>89107000</v>
      </c>
      <c r="U1408" s="1" t="s">
        <v>7632</v>
      </c>
      <c r="V1408" s="1" t="s">
        <v>7483</v>
      </c>
      <c r="W1408" s="1" t="s">
        <v>87</v>
      </c>
      <c r="X1408">
        <v>47</v>
      </c>
      <c r="Y1408">
        <v>30273398</v>
      </c>
      <c r="Z1408" t="s">
        <v>91</v>
      </c>
      <c r="AA1408" t="s">
        <v>91</v>
      </c>
      <c r="AB1408" t="s">
        <v>91</v>
      </c>
      <c r="AC1408" t="s">
        <v>91</v>
      </c>
      <c r="AD1408" t="s">
        <v>91</v>
      </c>
      <c r="AE1408" t="s">
        <v>91</v>
      </c>
      <c r="AF1408" t="s">
        <v>91</v>
      </c>
      <c r="AG1408" s="1" t="s">
        <v>91</v>
      </c>
      <c r="AH1408" s="1" t="s">
        <v>91</v>
      </c>
      <c r="AI1408" t="s">
        <v>91</v>
      </c>
      <c r="AM1408" t="s">
        <v>91</v>
      </c>
      <c r="AN1408" t="s">
        <v>91</v>
      </c>
      <c r="AO1408" t="s">
        <v>91</v>
      </c>
      <c r="AP1408" t="s">
        <v>91</v>
      </c>
      <c r="AQ1408" s="1" t="s">
        <v>91</v>
      </c>
      <c r="AR1408" s="1" t="s">
        <v>91</v>
      </c>
      <c r="AS1408" s="1" t="s">
        <v>91</v>
      </c>
      <c r="AT1408" s="1" t="s">
        <v>91</v>
      </c>
      <c r="AU1408" s="1" t="s">
        <v>91</v>
      </c>
      <c r="AV1408" t="s">
        <v>91</v>
      </c>
      <c r="AW1408" t="s">
        <v>91</v>
      </c>
      <c r="AX1408" t="s">
        <v>91</v>
      </c>
      <c r="AY1408" t="s">
        <v>91</v>
      </c>
      <c r="AZ1408" t="s">
        <v>91</v>
      </c>
      <c r="BA1408" t="s">
        <v>91</v>
      </c>
      <c r="BB1408" s="2">
        <v>45118.101759259262</v>
      </c>
      <c r="BC1408" s="2"/>
      <c r="BD1408" t="s">
        <v>91</v>
      </c>
      <c r="BF1408" s="1" t="s">
        <v>75</v>
      </c>
      <c r="BI1408" s="1" t="s">
        <v>88</v>
      </c>
      <c r="BJ1408">
        <v>1</v>
      </c>
      <c r="BK1408" s="1" t="s">
        <v>89</v>
      </c>
      <c r="BL1408" t="s">
        <v>91</v>
      </c>
      <c r="BM1408" s="1" t="s">
        <v>91</v>
      </c>
      <c r="BN1408" s="1" t="s">
        <v>91</v>
      </c>
      <c r="BO1408" s="1" t="s">
        <v>91</v>
      </c>
      <c r="BP1408" s="1" t="s">
        <v>91</v>
      </c>
      <c r="BQ1408" t="s">
        <v>91</v>
      </c>
      <c r="BR1408" s="3">
        <v>45118</v>
      </c>
      <c r="BS1408" s="3"/>
      <c r="BT1408" t="s">
        <v>91</v>
      </c>
      <c r="BU1408" t="s">
        <v>91</v>
      </c>
      <c r="BW1408" s="1" t="s">
        <v>90</v>
      </c>
    </row>
    <row r="1409" spans="1:75" hidden="1" x14ac:dyDescent="0.35">
      <c r="A1409">
        <v>157098</v>
      </c>
      <c r="B1409" s="1" t="s">
        <v>75</v>
      </c>
      <c r="C1409">
        <v>80</v>
      </c>
      <c r="D1409">
        <v>11121004</v>
      </c>
      <c r="E1409">
        <v>121004</v>
      </c>
      <c r="F1409" s="1" t="s">
        <v>6867</v>
      </c>
      <c r="G1409" s="1" t="s">
        <v>7633</v>
      </c>
      <c r="H1409">
        <v>0</v>
      </c>
      <c r="I1409" s="1" t="s">
        <v>78</v>
      </c>
      <c r="J1409" s="1" t="s">
        <v>7634</v>
      </c>
      <c r="K1409" s="1" t="s">
        <v>7635</v>
      </c>
      <c r="L1409" t="s">
        <v>91</v>
      </c>
      <c r="M1409" t="s">
        <v>91</v>
      </c>
      <c r="N1409" s="1" t="s">
        <v>7636</v>
      </c>
      <c r="O1409" t="s">
        <v>91</v>
      </c>
      <c r="P1409" s="1" t="s">
        <v>7637</v>
      </c>
      <c r="Q1409" s="1" t="s">
        <v>7638</v>
      </c>
      <c r="R1409" s="1" t="s">
        <v>91</v>
      </c>
      <c r="T1409">
        <v>88370438</v>
      </c>
      <c r="U1409" s="1" t="s">
        <v>108</v>
      </c>
      <c r="V1409" s="1" t="s">
        <v>7127</v>
      </c>
      <c r="W1409" s="1" t="s">
        <v>87</v>
      </c>
      <c r="X1409">
        <v>46</v>
      </c>
      <c r="Y1409">
        <v>999158208</v>
      </c>
      <c r="Z1409" t="s">
        <v>91</v>
      </c>
      <c r="AA1409" t="s">
        <v>91</v>
      </c>
      <c r="AB1409" t="s">
        <v>91</v>
      </c>
      <c r="AC1409" t="s">
        <v>91</v>
      </c>
      <c r="AD1409" t="s">
        <v>91</v>
      </c>
      <c r="AE1409" t="s">
        <v>91</v>
      </c>
      <c r="AF1409" t="s">
        <v>91</v>
      </c>
      <c r="AG1409" s="1" t="s">
        <v>146</v>
      </c>
      <c r="AH1409" s="1" t="s">
        <v>91</v>
      </c>
      <c r="AI1409" t="s">
        <v>91</v>
      </c>
      <c r="AM1409" t="s">
        <v>91</v>
      </c>
      <c r="AN1409" t="s">
        <v>91</v>
      </c>
      <c r="AO1409" t="s">
        <v>91</v>
      </c>
      <c r="AP1409" t="s">
        <v>91</v>
      </c>
      <c r="AQ1409" s="1" t="s">
        <v>147</v>
      </c>
      <c r="AR1409" s="1" t="s">
        <v>147</v>
      </c>
      <c r="AS1409" s="1" t="s">
        <v>147</v>
      </c>
      <c r="AT1409" s="1" t="s">
        <v>147</v>
      </c>
      <c r="AU1409" s="1" t="s">
        <v>147</v>
      </c>
      <c r="AV1409" t="s">
        <v>91</v>
      </c>
      <c r="AW1409" t="s">
        <v>91</v>
      </c>
      <c r="AX1409" t="s">
        <v>91</v>
      </c>
      <c r="AY1409" t="s">
        <v>91</v>
      </c>
      <c r="AZ1409" t="s">
        <v>91</v>
      </c>
      <c r="BA1409" t="s">
        <v>91</v>
      </c>
      <c r="BB1409" s="2">
        <v>45113.505416666667</v>
      </c>
      <c r="BC1409" s="2">
        <v>45121.448159722226</v>
      </c>
      <c r="BD1409" t="s">
        <v>91</v>
      </c>
      <c r="BF1409" s="1" t="s">
        <v>75</v>
      </c>
      <c r="BH1409">
        <v>0</v>
      </c>
      <c r="BI1409" s="1" t="s">
        <v>721</v>
      </c>
      <c r="BJ1409">
        <v>1</v>
      </c>
      <c r="BK1409" s="1" t="s">
        <v>89</v>
      </c>
      <c r="BL1409" t="s">
        <v>91</v>
      </c>
      <c r="BM1409" s="1" t="s">
        <v>91</v>
      </c>
      <c r="BN1409" s="1" t="s">
        <v>91</v>
      </c>
      <c r="BO1409" s="1" t="s">
        <v>91</v>
      </c>
      <c r="BP1409" s="1" t="s">
        <v>91</v>
      </c>
      <c r="BQ1409" t="s">
        <v>91</v>
      </c>
      <c r="BR1409" s="3">
        <v>45113</v>
      </c>
      <c r="BS1409" s="3">
        <v>45121</v>
      </c>
      <c r="BT1409" t="s">
        <v>91</v>
      </c>
      <c r="BU1409" t="s">
        <v>91</v>
      </c>
      <c r="BW1409" s="1" t="s">
        <v>601</v>
      </c>
    </row>
    <row r="1410" spans="1:75" hidden="1" x14ac:dyDescent="0.35">
      <c r="A1410">
        <v>137646</v>
      </c>
      <c r="B1410" s="1" t="s">
        <v>75</v>
      </c>
      <c r="C1410">
        <v>80</v>
      </c>
      <c r="D1410">
        <v>11121004</v>
      </c>
      <c r="E1410">
        <v>121004</v>
      </c>
      <c r="F1410" s="1" t="s">
        <v>6867</v>
      </c>
      <c r="G1410" s="1" t="s">
        <v>7639</v>
      </c>
      <c r="H1410">
        <v>0</v>
      </c>
      <c r="I1410" s="1" t="s">
        <v>78</v>
      </c>
      <c r="J1410" s="1" t="s">
        <v>7640</v>
      </c>
      <c r="K1410" s="1" t="s">
        <v>7641</v>
      </c>
      <c r="L1410" t="s">
        <v>91</v>
      </c>
      <c r="M1410" t="s">
        <v>91</v>
      </c>
      <c r="N1410" s="1" t="s">
        <v>7642</v>
      </c>
      <c r="O1410" t="s">
        <v>91</v>
      </c>
      <c r="P1410" s="1" t="s">
        <v>682</v>
      </c>
      <c r="Q1410" s="1" t="s">
        <v>7643</v>
      </c>
      <c r="R1410" s="1" t="s">
        <v>236</v>
      </c>
      <c r="S1410">
        <v>1275</v>
      </c>
      <c r="T1410">
        <v>89157000</v>
      </c>
      <c r="U1410" s="1" t="s">
        <v>108</v>
      </c>
      <c r="V1410" s="1" t="s">
        <v>7644</v>
      </c>
      <c r="W1410" s="1" t="s">
        <v>87</v>
      </c>
      <c r="X1410">
        <v>47</v>
      </c>
      <c r="Y1410">
        <v>33522114</v>
      </c>
      <c r="Z1410" t="s">
        <v>91</v>
      </c>
      <c r="AA1410" t="s">
        <v>91</v>
      </c>
      <c r="AB1410" t="s">
        <v>91</v>
      </c>
      <c r="AC1410" t="s">
        <v>91</v>
      </c>
      <c r="AD1410" t="s">
        <v>91</v>
      </c>
      <c r="AE1410" t="s">
        <v>91</v>
      </c>
      <c r="AF1410" t="s">
        <v>91</v>
      </c>
      <c r="AG1410" s="1" t="s">
        <v>146</v>
      </c>
      <c r="AH1410" s="1" t="s">
        <v>91</v>
      </c>
      <c r="AI1410" t="s">
        <v>91</v>
      </c>
      <c r="AM1410" t="s">
        <v>91</v>
      </c>
      <c r="AN1410" t="s">
        <v>91</v>
      </c>
      <c r="AO1410" t="s">
        <v>91</v>
      </c>
      <c r="AP1410" t="s">
        <v>91</v>
      </c>
      <c r="AQ1410" s="1" t="s">
        <v>147</v>
      </c>
      <c r="AR1410" s="1" t="s">
        <v>147</v>
      </c>
      <c r="AS1410" s="1" t="s">
        <v>147</v>
      </c>
      <c r="AT1410" s="1" t="s">
        <v>147</v>
      </c>
      <c r="AU1410" s="1" t="s">
        <v>147</v>
      </c>
      <c r="AV1410" t="s">
        <v>91</v>
      </c>
      <c r="AW1410" t="s">
        <v>91</v>
      </c>
      <c r="AX1410" t="s">
        <v>91</v>
      </c>
      <c r="AY1410" t="s">
        <v>91</v>
      </c>
      <c r="AZ1410" t="s">
        <v>91</v>
      </c>
      <c r="BA1410" t="s">
        <v>91</v>
      </c>
      <c r="BB1410" s="2">
        <v>44378.578518518516</v>
      </c>
      <c r="BC1410" s="2">
        <v>44616.746064814812</v>
      </c>
      <c r="BD1410" t="s">
        <v>91</v>
      </c>
      <c r="BF1410" s="1" t="s">
        <v>75</v>
      </c>
      <c r="BH1410">
        <v>0</v>
      </c>
      <c r="BI1410" s="1" t="s">
        <v>88</v>
      </c>
      <c r="BJ1410">
        <v>1</v>
      </c>
      <c r="BK1410" s="1" t="s">
        <v>89</v>
      </c>
      <c r="BL1410" t="s">
        <v>91</v>
      </c>
      <c r="BM1410" s="1" t="s">
        <v>109</v>
      </c>
      <c r="BN1410" s="1" t="s">
        <v>110</v>
      </c>
      <c r="BO1410" s="1" t="s">
        <v>180</v>
      </c>
      <c r="BP1410" s="1" t="s">
        <v>91</v>
      </c>
      <c r="BQ1410" t="s">
        <v>91</v>
      </c>
      <c r="BR1410" s="3">
        <v>44378</v>
      </c>
      <c r="BS1410" s="3">
        <v>44616</v>
      </c>
      <c r="BT1410" t="s">
        <v>91</v>
      </c>
      <c r="BU1410" t="s">
        <v>91</v>
      </c>
      <c r="BW1410" s="1" t="s">
        <v>5880</v>
      </c>
    </row>
    <row r="1411" spans="1:75" hidden="1" x14ac:dyDescent="0.35">
      <c r="A1411">
        <v>137647</v>
      </c>
      <c r="B1411" s="1" t="s">
        <v>75</v>
      </c>
      <c r="C1411">
        <v>80</v>
      </c>
      <c r="D1411">
        <v>11121004</v>
      </c>
      <c r="E1411">
        <v>121004</v>
      </c>
      <c r="F1411" s="1" t="s">
        <v>6867</v>
      </c>
      <c r="G1411" s="1" t="s">
        <v>7645</v>
      </c>
      <c r="H1411">
        <v>0</v>
      </c>
      <c r="I1411" s="1" t="s">
        <v>78</v>
      </c>
      <c r="J1411" s="1" t="s">
        <v>7646</v>
      </c>
      <c r="K1411" s="1" t="s">
        <v>7647</v>
      </c>
      <c r="L1411" t="s">
        <v>91</v>
      </c>
      <c r="M1411" t="s">
        <v>91</v>
      </c>
      <c r="N1411" s="1" t="s">
        <v>7648</v>
      </c>
      <c r="O1411" t="s">
        <v>91</v>
      </c>
      <c r="P1411" s="1" t="s">
        <v>1210</v>
      </c>
      <c r="Q1411" s="1" t="s">
        <v>5631</v>
      </c>
      <c r="R1411" s="1" t="s">
        <v>91</v>
      </c>
      <c r="S1411">
        <v>1272</v>
      </c>
      <c r="T1411">
        <v>89010500</v>
      </c>
      <c r="U1411" s="1" t="s">
        <v>108</v>
      </c>
      <c r="V1411" s="1" t="s">
        <v>3571</v>
      </c>
      <c r="W1411" s="1" t="s">
        <v>87</v>
      </c>
      <c r="X1411">
        <v>47</v>
      </c>
      <c r="Y1411">
        <v>32222780</v>
      </c>
      <c r="Z1411" t="s">
        <v>91</v>
      </c>
      <c r="AA1411" t="s">
        <v>91</v>
      </c>
      <c r="AB1411" t="s">
        <v>91</v>
      </c>
      <c r="AC1411" t="s">
        <v>91</v>
      </c>
      <c r="AD1411" t="s">
        <v>91</v>
      </c>
      <c r="AE1411" t="s">
        <v>91</v>
      </c>
      <c r="AF1411" t="s">
        <v>91</v>
      </c>
      <c r="AG1411" s="1" t="s">
        <v>146</v>
      </c>
      <c r="AH1411" s="1" t="s">
        <v>91</v>
      </c>
      <c r="AI1411" t="s">
        <v>91</v>
      </c>
      <c r="AM1411" t="s">
        <v>91</v>
      </c>
      <c r="AN1411" t="s">
        <v>91</v>
      </c>
      <c r="AO1411" t="s">
        <v>91</v>
      </c>
      <c r="AP1411" t="s">
        <v>91</v>
      </c>
      <c r="AQ1411" s="1" t="s">
        <v>147</v>
      </c>
      <c r="AR1411" s="1" t="s">
        <v>147</v>
      </c>
      <c r="AS1411" s="1" t="s">
        <v>147</v>
      </c>
      <c r="AT1411" s="1" t="s">
        <v>147</v>
      </c>
      <c r="AU1411" s="1" t="s">
        <v>147</v>
      </c>
      <c r="AV1411" t="s">
        <v>91</v>
      </c>
      <c r="AW1411" t="s">
        <v>91</v>
      </c>
      <c r="AX1411" t="s">
        <v>91</v>
      </c>
      <c r="AY1411" t="s">
        <v>91</v>
      </c>
      <c r="AZ1411" t="s">
        <v>91</v>
      </c>
      <c r="BA1411" t="s">
        <v>91</v>
      </c>
      <c r="BB1411" s="2">
        <v>44378.578518518516</v>
      </c>
      <c r="BC1411" s="2">
        <v>44574.390173611115</v>
      </c>
      <c r="BD1411" t="s">
        <v>91</v>
      </c>
      <c r="BF1411" s="1" t="s">
        <v>75</v>
      </c>
      <c r="BH1411">
        <v>0</v>
      </c>
      <c r="BI1411" s="1" t="s">
        <v>88</v>
      </c>
      <c r="BJ1411">
        <v>1</v>
      </c>
      <c r="BK1411" s="1" t="s">
        <v>89</v>
      </c>
      <c r="BL1411" t="s">
        <v>91</v>
      </c>
      <c r="BM1411" s="1" t="s">
        <v>329</v>
      </c>
      <c r="BN1411" s="1" t="s">
        <v>110</v>
      </c>
      <c r="BO1411" s="1" t="s">
        <v>165</v>
      </c>
      <c r="BP1411" s="1" t="s">
        <v>91</v>
      </c>
      <c r="BQ1411" t="s">
        <v>91</v>
      </c>
      <c r="BR1411" s="3">
        <v>44378</v>
      </c>
      <c r="BS1411" s="3">
        <v>44574</v>
      </c>
      <c r="BT1411" t="s">
        <v>91</v>
      </c>
      <c r="BU1411" t="s">
        <v>91</v>
      </c>
      <c r="BW1411" s="1" t="s">
        <v>840</v>
      </c>
    </row>
    <row r="1412" spans="1:75" hidden="1" x14ac:dyDescent="0.35">
      <c r="A1412">
        <v>1255</v>
      </c>
      <c r="B1412" s="1" t="s">
        <v>75</v>
      </c>
      <c r="C1412">
        <v>80</v>
      </c>
      <c r="D1412">
        <v>11121004</v>
      </c>
      <c r="E1412">
        <v>121004</v>
      </c>
      <c r="F1412" s="1" t="s">
        <v>6867</v>
      </c>
      <c r="G1412" s="1" t="s">
        <v>7649</v>
      </c>
      <c r="I1412" s="1" t="s">
        <v>78</v>
      </c>
      <c r="J1412" s="1" t="s">
        <v>7650</v>
      </c>
      <c r="K1412" s="1" t="s">
        <v>7651</v>
      </c>
      <c r="L1412" t="s">
        <v>91</v>
      </c>
      <c r="M1412" t="s">
        <v>91</v>
      </c>
      <c r="N1412" s="1" t="s">
        <v>7652</v>
      </c>
      <c r="O1412" t="s">
        <v>91</v>
      </c>
      <c r="P1412" s="1" t="s">
        <v>7606</v>
      </c>
      <c r="Q1412" s="1" t="s">
        <v>7653</v>
      </c>
      <c r="R1412" s="1" t="s">
        <v>320</v>
      </c>
      <c r="S1412">
        <v>1273</v>
      </c>
      <c r="T1412">
        <v>89041003</v>
      </c>
      <c r="U1412" s="1" t="s">
        <v>7654</v>
      </c>
      <c r="V1412" s="1" t="s">
        <v>3571</v>
      </c>
      <c r="W1412" s="1" t="s">
        <v>87</v>
      </c>
      <c r="X1412">
        <v>47</v>
      </c>
      <c r="Y1412">
        <v>33280836</v>
      </c>
      <c r="Z1412" t="s">
        <v>91</v>
      </c>
      <c r="AA1412" t="s">
        <v>91</v>
      </c>
      <c r="AB1412" t="s">
        <v>91</v>
      </c>
      <c r="AC1412" t="s">
        <v>91</v>
      </c>
      <c r="AD1412" t="s">
        <v>91</v>
      </c>
      <c r="AE1412" t="s">
        <v>91</v>
      </c>
      <c r="AF1412" t="s">
        <v>91</v>
      </c>
      <c r="AG1412" s="1" t="s">
        <v>91</v>
      </c>
      <c r="AH1412" s="1" t="s">
        <v>91</v>
      </c>
      <c r="AI1412" t="s">
        <v>91</v>
      </c>
      <c r="AJ1412">
        <v>0</v>
      </c>
      <c r="AK1412">
        <v>0</v>
      </c>
      <c r="AL1412">
        <v>0</v>
      </c>
      <c r="AM1412" t="s">
        <v>91</v>
      </c>
      <c r="AN1412" t="s">
        <v>91</v>
      </c>
      <c r="AO1412" t="s">
        <v>91</v>
      </c>
      <c r="AP1412" t="s">
        <v>91</v>
      </c>
      <c r="AQ1412" s="1" t="s">
        <v>91</v>
      </c>
      <c r="AR1412" s="1" t="s">
        <v>91</v>
      </c>
      <c r="AS1412" s="1" t="s">
        <v>91</v>
      </c>
      <c r="AT1412" s="1" t="s">
        <v>91</v>
      </c>
      <c r="AU1412" s="1" t="s">
        <v>91</v>
      </c>
      <c r="AV1412" t="s">
        <v>91</v>
      </c>
      <c r="AW1412" t="s">
        <v>91</v>
      </c>
      <c r="AX1412" t="s">
        <v>91</v>
      </c>
      <c r="AY1412" t="s">
        <v>91</v>
      </c>
      <c r="AZ1412" t="s">
        <v>91</v>
      </c>
      <c r="BA1412" t="s">
        <v>91</v>
      </c>
      <c r="BB1412" s="2">
        <v>43308.393182870372</v>
      </c>
      <c r="BC1412" s="2"/>
      <c r="BD1412" t="s">
        <v>91</v>
      </c>
      <c r="BE1412">
        <v>1255</v>
      </c>
      <c r="BF1412" s="1" t="s">
        <v>75</v>
      </c>
      <c r="BG1412">
        <v>0</v>
      </c>
      <c r="BH1412">
        <v>0</v>
      </c>
      <c r="BI1412" s="1" t="s">
        <v>88</v>
      </c>
      <c r="BJ1412">
        <v>1</v>
      </c>
      <c r="BK1412" s="1" t="s">
        <v>89</v>
      </c>
      <c r="BL1412" t="s">
        <v>91</v>
      </c>
      <c r="BM1412" s="1" t="s">
        <v>109</v>
      </c>
      <c r="BN1412" s="1" t="s">
        <v>110</v>
      </c>
      <c r="BO1412" s="1" t="s">
        <v>165</v>
      </c>
      <c r="BP1412" s="1" t="s">
        <v>91</v>
      </c>
      <c r="BQ1412" t="s">
        <v>91</v>
      </c>
      <c r="BR1412" s="3">
        <v>43308</v>
      </c>
      <c r="BS1412" s="3"/>
      <c r="BT1412" t="s">
        <v>91</v>
      </c>
      <c r="BU1412" t="s">
        <v>91</v>
      </c>
      <c r="BV1412">
        <v>3</v>
      </c>
      <c r="BW1412" s="1" t="s">
        <v>1171</v>
      </c>
    </row>
    <row r="1413" spans="1:75" hidden="1" x14ac:dyDescent="0.35">
      <c r="A1413">
        <v>157760</v>
      </c>
      <c r="B1413" s="1" t="s">
        <v>75</v>
      </c>
      <c r="C1413">
        <v>80</v>
      </c>
      <c r="D1413">
        <v>11121004</v>
      </c>
      <c r="E1413">
        <v>121004</v>
      </c>
      <c r="F1413" s="1" t="s">
        <v>6867</v>
      </c>
      <c r="G1413" s="1" t="s">
        <v>7655</v>
      </c>
      <c r="H1413">
        <v>0</v>
      </c>
      <c r="I1413" s="1" t="s">
        <v>78</v>
      </c>
      <c r="J1413" s="1" t="s">
        <v>7656</v>
      </c>
      <c r="K1413" s="1" t="s">
        <v>7657</v>
      </c>
      <c r="L1413" t="s">
        <v>91</v>
      </c>
      <c r="M1413" t="s">
        <v>91</v>
      </c>
      <c r="N1413" s="1" t="s">
        <v>7658</v>
      </c>
      <c r="O1413" t="s">
        <v>91</v>
      </c>
      <c r="P1413" s="1" t="s">
        <v>335</v>
      </c>
      <c r="Q1413" s="1" t="s">
        <v>1610</v>
      </c>
      <c r="R1413" s="1" t="s">
        <v>108</v>
      </c>
      <c r="S1413">
        <v>1275</v>
      </c>
      <c r="T1413">
        <v>89130000</v>
      </c>
      <c r="U1413" s="1" t="s">
        <v>108</v>
      </c>
      <c r="V1413" s="1" t="s">
        <v>7659</v>
      </c>
      <c r="W1413" s="1" t="s">
        <v>87</v>
      </c>
      <c r="X1413">
        <v>47</v>
      </c>
      <c r="Y1413">
        <v>33335180</v>
      </c>
      <c r="Z1413" t="s">
        <v>91</v>
      </c>
      <c r="AA1413" t="s">
        <v>91</v>
      </c>
      <c r="AB1413" t="s">
        <v>91</v>
      </c>
      <c r="AC1413" t="s">
        <v>91</v>
      </c>
      <c r="AD1413" t="s">
        <v>91</v>
      </c>
      <c r="AE1413" t="s">
        <v>91</v>
      </c>
      <c r="AF1413" t="s">
        <v>91</v>
      </c>
      <c r="AG1413" s="1" t="s">
        <v>91</v>
      </c>
      <c r="AH1413" s="1" t="s">
        <v>91</v>
      </c>
      <c r="AI1413" t="s">
        <v>91</v>
      </c>
      <c r="AM1413" t="s">
        <v>91</v>
      </c>
      <c r="AN1413" t="s">
        <v>91</v>
      </c>
      <c r="AO1413" t="s">
        <v>91</v>
      </c>
      <c r="AP1413" t="s">
        <v>91</v>
      </c>
      <c r="AQ1413" s="1" t="s">
        <v>91</v>
      </c>
      <c r="AR1413" s="1" t="s">
        <v>91</v>
      </c>
      <c r="AS1413" s="1" t="s">
        <v>91</v>
      </c>
      <c r="AT1413" s="1" t="s">
        <v>91</v>
      </c>
      <c r="AU1413" s="1" t="s">
        <v>91</v>
      </c>
      <c r="AV1413" t="s">
        <v>91</v>
      </c>
      <c r="AW1413" t="s">
        <v>91</v>
      </c>
      <c r="AX1413" t="s">
        <v>91</v>
      </c>
      <c r="AY1413" t="s">
        <v>91</v>
      </c>
      <c r="AZ1413" t="s">
        <v>91</v>
      </c>
      <c r="BA1413" t="s">
        <v>91</v>
      </c>
      <c r="BB1413" s="2">
        <v>45118.101759259262</v>
      </c>
      <c r="BC1413" s="2"/>
      <c r="BD1413" t="s">
        <v>91</v>
      </c>
      <c r="BF1413" s="1" t="s">
        <v>75</v>
      </c>
      <c r="BI1413" s="1" t="s">
        <v>88</v>
      </c>
      <c r="BJ1413">
        <v>1</v>
      </c>
      <c r="BK1413" s="1" t="s">
        <v>89</v>
      </c>
      <c r="BL1413" t="s">
        <v>91</v>
      </c>
      <c r="BM1413" s="1" t="s">
        <v>91</v>
      </c>
      <c r="BN1413" s="1" t="s">
        <v>91</v>
      </c>
      <c r="BO1413" s="1" t="s">
        <v>91</v>
      </c>
      <c r="BP1413" s="1" t="s">
        <v>91</v>
      </c>
      <c r="BQ1413" t="s">
        <v>91</v>
      </c>
      <c r="BR1413" s="3">
        <v>45118</v>
      </c>
      <c r="BS1413" s="3"/>
      <c r="BT1413" t="s">
        <v>91</v>
      </c>
      <c r="BU1413" t="s">
        <v>91</v>
      </c>
      <c r="BW1413" s="1" t="s">
        <v>90</v>
      </c>
    </row>
    <row r="1414" spans="1:75" hidden="1" x14ac:dyDescent="0.35">
      <c r="A1414">
        <v>157083</v>
      </c>
      <c r="B1414" s="1" t="s">
        <v>75</v>
      </c>
      <c r="C1414">
        <v>80</v>
      </c>
      <c r="D1414">
        <v>11121004</v>
      </c>
      <c r="E1414">
        <v>121004</v>
      </c>
      <c r="F1414" s="1" t="s">
        <v>6867</v>
      </c>
      <c r="G1414" s="1" t="s">
        <v>7660</v>
      </c>
      <c r="H1414">
        <v>0</v>
      </c>
      <c r="I1414" s="1" t="s">
        <v>78</v>
      </c>
      <c r="J1414" s="1" t="s">
        <v>7661</v>
      </c>
      <c r="K1414" s="1" t="s">
        <v>7662</v>
      </c>
      <c r="L1414" t="s">
        <v>91</v>
      </c>
      <c r="M1414" t="s">
        <v>91</v>
      </c>
      <c r="N1414" s="1" t="s">
        <v>7663</v>
      </c>
      <c r="O1414" t="s">
        <v>91</v>
      </c>
      <c r="P1414" s="1" t="s">
        <v>7328</v>
      </c>
      <c r="Q1414" s="1" t="s">
        <v>2048</v>
      </c>
      <c r="R1414" s="1" t="s">
        <v>370</v>
      </c>
      <c r="S1414">
        <v>1276</v>
      </c>
      <c r="T1414">
        <v>89180000</v>
      </c>
      <c r="U1414" s="1" t="s">
        <v>343</v>
      </c>
      <c r="V1414" s="1" t="s">
        <v>7664</v>
      </c>
      <c r="W1414" s="1" t="s">
        <v>87</v>
      </c>
      <c r="X1414">
        <v>47</v>
      </c>
      <c r="Y1414">
        <v>35430010</v>
      </c>
      <c r="Z1414" t="s">
        <v>91</v>
      </c>
      <c r="AA1414" t="s">
        <v>91</v>
      </c>
      <c r="AB1414" t="s">
        <v>91</v>
      </c>
      <c r="AC1414" t="s">
        <v>91</v>
      </c>
      <c r="AD1414" t="s">
        <v>91</v>
      </c>
      <c r="AE1414" t="s">
        <v>91</v>
      </c>
      <c r="AF1414" t="s">
        <v>91</v>
      </c>
      <c r="AG1414" s="1" t="s">
        <v>91</v>
      </c>
      <c r="AH1414" s="1" t="s">
        <v>91</v>
      </c>
      <c r="AI1414" t="s">
        <v>91</v>
      </c>
      <c r="AM1414" t="s">
        <v>91</v>
      </c>
      <c r="AN1414" t="s">
        <v>91</v>
      </c>
      <c r="AO1414" t="s">
        <v>91</v>
      </c>
      <c r="AP1414" t="s">
        <v>91</v>
      </c>
      <c r="AQ1414" s="1" t="s">
        <v>91</v>
      </c>
      <c r="AR1414" s="1" t="s">
        <v>91</v>
      </c>
      <c r="AS1414" s="1" t="s">
        <v>91</v>
      </c>
      <c r="AT1414" s="1" t="s">
        <v>91</v>
      </c>
      <c r="AU1414" s="1" t="s">
        <v>91</v>
      </c>
      <c r="AV1414" t="s">
        <v>91</v>
      </c>
      <c r="AW1414" t="s">
        <v>91</v>
      </c>
      <c r="AX1414" t="s">
        <v>91</v>
      </c>
      <c r="AY1414" t="s">
        <v>91</v>
      </c>
      <c r="AZ1414" t="s">
        <v>91</v>
      </c>
      <c r="BA1414" t="s">
        <v>91</v>
      </c>
      <c r="BB1414" s="2">
        <v>45113.505416666667</v>
      </c>
      <c r="BC1414" s="2"/>
      <c r="BD1414" t="s">
        <v>91</v>
      </c>
      <c r="BF1414" s="1" t="s">
        <v>75</v>
      </c>
      <c r="BI1414" s="1" t="s">
        <v>88</v>
      </c>
      <c r="BJ1414">
        <v>1</v>
      </c>
      <c r="BK1414" s="1" t="s">
        <v>89</v>
      </c>
      <c r="BL1414" t="s">
        <v>91</v>
      </c>
      <c r="BM1414" s="1" t="s">
        <v>91</v>
      </c>
      <c r="BN1414" s="1" t="s">
        <v>91</v>
      </c>
      <c r="BO1414" s="1" t="s">
        <v>91</v>
      </c>
      <c r="BP1414" s="1" t="s">
        <v>91</v>
      </c>
      <c r="BQ1414" t="s">
        <v>91</v>
      </c>
      <c r="BR1414" s="3">
        <v>45113</v>
      </c>
      <c r="BS1414" s="3"/>
      <c r="BT1414" t="s">
        <v>91</v>
      </c>
      <c r="BU1414" t="s">
        <v>91</v>
      </c>
      <c r="BW1414" s="1" t="s">
        <v>90</v>
      </c>
    </row>
    <row r="1415" spans="1:75" hidden="1" x14ac:dyDescent="0.35">
      <c r="A1415">
        <v>137652</v>
      </c>
      <c r="B1415" s="1" t="s">
        <v>75</v>
      </c>
      <c r="C1415">
        <v>80</v>
      </c>
      <c r="D1415">
        <v>11121004</v>
      </c>
      <c r="E1415">
        <v>121004</v>
      </c>
      <c r="F1415" s="1" t="s">
        <v>6867</v>
      </c>
      <c r="G1415" s="1" t="s">
        <v>7665</v>
      </c>
      <c r="H1415">
        <v>0</v>
      </c>
      <c r="I1415" s="1" t="s">
        <v>78</v>
      </c>
      <c r="J1415" s="1" t="s">
        <v>7666</v>
      </c>
      <c r="K1415" s="1" t="s">
        <v>7667</v>
      </c>
      <c r="L1415" t="s">
        <v>91</v>
      </c>
      <c r="M1415" t="s">
        <v>91</v>
      </c>
      <c r="N1415" s="1" t="s">
        <v>7668</v>
      </c>
      <c r="O1415" t="s">
        <v>91</v>
      </c>
      <c r="P1415" s="1" t="s">
        <v>7669</v>
      </c>
      <c r="Q1415" s="1" t="s">
        <v>2970</v>
      </c>
      <c r="R1415" s="1" t="s">
        <v>7670</v>
      </c>
      <c r="S1415">
        <v>1261</v>
      </c>
      <c r="T1415">
        <v>88303000</v>
      </c>
      <c r="U1415" s="1" t="s">
        <v>108</v>
      </c>
      <c r="V1415" s="1" t="s">
        <v>6874</v>
      </c>
      <c r="W1415" s="1" t="s">
        <v>87</v>
      </c>
      <c r="X1415">
        <v>47</v>
      </c>
      <c r="Y1415">
        <v>991083353</v>
      </c>
      <c r="Z1415" t="s">
        <v>91</v>
      </c>
      <c r="AA1415" t="s">
        <v>91</v>
      </c>
      <c r="AB1415" t="s">
        <v>91</v>
      </c>
      <c r="AC1415" t="s">
        <v>91</v>
      </c>
      <c r="AD1415" t="s">
        <v>91</v>
      </c>
      <c r="AE1415" t="s">
        <v>91</v>
      </c>
      <c r="AF1415" t="s">
        <v>91</v>
      </c>
      <c r="AG1415" s="1" t="s">
        <v>146</v>
      </c>
      <c r="AH1415" s="1" t="s">
        <v>91</v>
      </c>
      <c r="AI1415" t="s">
        <v>91</v>
      </c>
      <c r="AM1415" t="s">
        <v>91</v>
      </c>
      <c r="AN1415" t="s">
        <v>91</v>
      </c>
      <c r="AO1415" t="s">
        <v>91</v>
      </c>
      <c r="AP1415" t="s">
        <v>91</v>
      </c>
      <c r="AQ1415" s="1" t="s">
        <v>147</v>
      </c>
      <c r="AR1415" s="1" t="s">
        <v>147</v>
      </c>
      <c r="AS1415" s="1" t="s">
        <v>147</v>
      </c>
      <c r="AT1415" s="1" t="s">
        <v>147</v>
      </c>
      <c r="AU1415" s="1" t="s">
        <v>147</v>
      </c>
      <c r="AV1415" t="s">
        <v>91</v>
      </c>
      <c r="AW1415" t="s">
        <v>91</v>
      </c>
      <c r="AX1415" t="s">
        <v>91</v>
      </c>
      <c r="AY1415" t="s">
        <v>91</v>
      </c>
      <c r="AZ1415" t="s">
        <v>91</v>
      </c>
      <c r="BA1415" t="s">
        <v>91</v>
      </c>
      <c r="BB1415" s="2">
        <v>44378.578518518516</v>
      </c>
      <c r="BC1415" s="2">
        <v>44581.730173611111</v>
      </c>
      <c r="BD1415" t="s">
        <v>91</v>
      </c>
      <c r="BF1415" s="1" t="s">
        <v>75</v>
      </c>
      <c r="BH1415">
        <v>0</v>
      </c>
      <c r="BI1415" s="1" t="s">
        <v>88</v>
      </c>
      <c r="BJ1415">
        <v>1</v>
      </c>
      <c r="BK1415" s="1" t="s">
        <v>89</v>
      </c>
      <c r="BL1415" t="s">
        <v>91</v>
      </c>
      <c r="BM1415" s="1" t="s">
        <v>109</v>
      </c>
      <c r="BN1415" s="1" t="s">
        <v>148</v>
      </c>
      <c r="BO1415" s="1" t="s">
        <v>128</v>
      </c>
      <c r="BP1415" s="1" t="s">
        <v>91</v>
      </c>
      <c r="BQ1415" t="s">
        <v>91</v>
      </c>
      <c r="BR1415" s="3">
        <v>44378</v>
      </c>
      <c r="BS1415" s="3">
        <v>44581</v>
      </c>
      <c r="BT1415" t="s">
        <v>91</v>
      </c>
      <c r="BU1415" t="s">
        <v>91</v>
      </c>
      <c r="BW1415" s="1" t="s">
        <v>2574</v>
      </c>
    </row>
    <row r="1416" spans="1:75" hidden="1" x14ac:dyDescent="0.35">
      <c r="A1416">
        <v>137653</v>
      </c>
      <c r="B1416" s="1" t="s">
        <v>75</v>
      </c>
      <c r="C1416">
        <v>80</v>
      </c>
      <c r="D1416">
        <v>11121004</v>
      </c>
      <c r="E1416">
        <v>121004</v>
      </c>
      <c r="F1416" s="1" t="s">
        <v>6867</v>
      </c>
      <c r="G1416" s="1" t="s">
        <v>7671</v>
      </c>
      <c r="H1416">
        <v>0</v>
      </c>
      <c r="I1416" s="1" t="s">
        <v>78</v>
      </c>
      <c r="J1416" s="1" t="s">
        <v>7672</v>
      </c>
      <c r="K1416" s="1" t="s">
        <v>7673</v>
      </c>
      <c r="L1416" t="s">
        <v>91</v>
      </c>
      <c r="M1416" t="s">
        <v>91</v>
      </c>
      <c r="N1416" s="1" t="s">
        <v>7674</v>
      </c>
      <c r="O1416" t="s">
        <v>91</v>
      </c>
      <c r="P1416" s="1" t="s">
        <v>860</v>
      </c>
      <c r="Q1416" s="1" t="s">
        <v>7675</v>
      </c>
      <c r="R1416" s="1" t="s">
        <v>5916</v>
      </c>
      <c r="S1416">
        <v>1262</v>
      </c>
      <c r="T1416">
        <v>88330050</v>
      </c>
      <c r="U1416" s="1" t="s">
        <v>108</v>
      </c>
      <c r="V1416" s="1" t="s">
        <v>6898</v>
      </c>
      <c r="W1416" s="1" t="s">
        <v>87</v>
      </c>
      <c r="X1416">
        <v>47</v>
      </c>
      <c r="Y1416">
        <v>33670357</v>
      </c>
      <c r="Z1416" t="s">
        <v>91</v>
      </c>
      <c r="AA1416" t="s">
        <v>91</v>
      </c>
      <c r="AB1416" t="s">
        <v>91</v>
      </c>
      <c r="AC1416" t="s">
        <v>91</v>
      </c>
      <c r="AD1416" t="s">
        <v>91</v>
      </c>
      <c r="AE1416" t="s">
        <v>91</v>
      </c>
      <c r="AF1416" t="s">
        <v>91</v>
      </c>
      <c r="AG1416" s="1" t="s">
        <v>146</v>
      </c>
      <c r="AH1416" s="1" t="s">
        <v>91</v>
      </c>
      <c r="AI1416" t="s">
        <v>91</v>
      </c>
      <c r="AM1416" t="s">
        <v>91</v>
      </c>
      <c r="AN1416" t="s">
        <v>91</v>
      </c>
      <c r="AO1416" t="s">
        <v>91</v>
      </c>
      <c r="AP1416" t="s">
        <v>91</v>
      </c>
      <c r="AQ1416" s="1" t="s">
        <v>147</v>
      </c>
      <c r="AR1416" s="1" t="s">
        <v>147</v>
      </c>
      <c r="AS1416" s="1" t="s">
        <v>147</v>
      </c>
      <c r="AT1416" s="1" t="s">
        <v>147</v>
      </c>
      <c r="AU1416" s="1" t="s">
        <v>147</v>
      </c>
      <c r="AV1416" t="s">
        <v>91</v>
      </c>
      <c r="AW1416" t="s">
        <v>91</v>
      </c>
      <c r="AX1416" t="s">
        <v>91</v>
      </c>
      <c r="AY1416" t="s">
        <v>91</v>
      </c>
      <c r="AZ1416" t="s">
        <v>91</v>
      </c>
      <c r="BA1416" t="s">
        <v>91</v>
      </c>
      <c r="BB1416" s="2">
        <v>44378.578518518516</v>
      </c>
      <c r="BC1416" s="2">
        <v>44613.422349537039</v>
      </c>
      <c r="BD1416" t="s">
        <v>91</v>
      </c>
      <c r="BF1416" s="1" t="s">
        <v>75</v>
      </c>
      <c r="BH1416">
        <v>0</v>
      </c>
      <c r="BI1416" s="1" t="s">
        <v>88</v>
      </c>
      <c r="BJ1416">
        <v>1</v>
      </c>
      <c r="BK1416" s="1" t="s">
        <v>89</v>
      </c>
      <c r="BL1416" t="s">
        <v>91</v>
      </c>
      <c r="BM1416" s="1" t="s">
        <v>329</v>
      </c>
      <c r="BN1416" s="1" t="s">
        <v>110</v>
      </c>
      <c r="BO1416" s="1" t="s">
        <v>165</v>
      </c>
      <c r="BP1416" s="1" t="s">
        <v>91</v>
      </c>
      <c r="BQ1416" t="s">
        <v>91</v>
      </c>
      <c r="BR1416" s="3">
        <v>44378</v>
      </c>
      <c r="BS1416" s="3">
        <v>44613</v>
      </c>
      <c r="BT1416" t="s">
        <v>91</v>
      </c>
      <c r="BU1416" t="s">
        <v>91</v>
      </c>
      <c r="BW1416" s="1" t="s">
        <v>601</v>
      </c>
    </row>
    <row r="1417" spans="1:75" hidden="1" x14ac:dyDescent="0.35">
      <c r="A1417">
        <v>117454</v>
      </c>
      <c r="B1417" s="1" t="s">
        <v>75</v>
      </c>
      <c r="C1417">
        <v>80</v>
      </c>
      <c r="D1417">
        <v>11121004</v>
      </c>
      <c r="E1417">
        <v>121004</v>
      </c>
      <c r="F1417" s="1" t="s">
        <v>6867</v>
      </c>
      <c r="G1417" s="1" t="s">
        <v>7676</v>
      </c>
      <c r="H1417">
        <v>0</v>
      </c>
      <c r="I1417" s="1" t="s">
        <v>78</v>
      </c>
      <c r="J1417" s="1" t="s">
        <v>7677</v>
      </c>
      <c r="K1417" s="1" t="s">
        <v>7678</v>
      </c>
      <c r="L1417" t="s">
        <v>91</v>
      </c>
      <c r="M1417" t="s">
        <v>91</v>
      </c>
      <c r="N1417" s="1" t="s">
        <v>7679</v>
      </c>
      <c r="O1417" t="s">
        <v>91</v>
      </c>
      <c r="P1417" s="1" t="s">
        <v>475</v>
      </c>
      <c r="Q1417" s="1" t="s">
        <v>7680</v>
      </c>
      <c r="R1417" s="1" t="s">
        <v>855</v>
      </c>
      <c r="S1417">
        <v>1262</v>
      </c>
      <c r="T1417">
        <v>88330000</v>
      </c>
      <c r="U1417" s="1" t="s">
        <v>108</v>
      </c>
      <c r="V1417" s="1" t="s">
        <v>5871</v>
      </c>
      <c r="W1417" s="1" t="s">
        <v>87</v>
      </c>
      <c r="X1417">
        <v>47</v>
      </c>
      <c r="Y1417">
        <v>33618444</v>
      </c>
      <c r="Z1417" t="s">
        <v>91</v>
      </c>
      <c r="AA1417" t="s">
        <v>91</v>
      </c>
      <c r="AB1417" t="s">
        <v>91</v>
      </c>
      <c r="AC1417" t="s">
        <v>91</v>
      </c>
      <c r="AD1417" t="s">
        <v>91</v>
      </c>
      <c r="AE1417" t="s">
        <v>91</v>
      </c>
      <c r="AF1417" t="s">
        <v>91</v>
      </c>
      <c r="AG1417" s="1" t="s">
        <v>146</v>
      </c>
      <c r="AH1417" s="1" t="s">
        <v>91</v>
      </c>
      <c r="AI1417" t="s">
        <v>91</v>
      </c>
      <c r="AJ1417">
        <v>0</v>
      </c>
      <c r="AK1417">
        <v>0</v>
      </c>
      <c r="AL1417">
        <v>0</v>
      </c>
      <c r="AM1417" t="s">
        <v>91</v>
      </c>
      <c r="AN1417" t="s">
        <v>91</v>
      </c>
      <c r="AO1417" t="s">
        <v>91</v>
      </c>
      <c r="AP1417" t="s">
        <v>91</v>
      </c>
      <c r="AQ1417" s="1" t="s">
        <v>147</v>
      </c>
      <c r="AR1417" s="1" t="s">
        <v>147</v>
      </c>
      <c r="AS1417" s="1" t="s">
        <v>147</v>
      </c>
      <c r="AT1417" s="1" t="s">
        <v>147</v>
      </c>
      <c r="AU1417" s="1" t="s">
        <v>147</v>
      </c>
      <c r="AV1417" t="s">
        <v>91</v>
      </c>
      <c r="AW1417" t="s">
        <v>91</v>
      </c>
      <c r="AX1417" t="s">
        <v>91</v>
      </c>
      <c r="AY1417" t="s">
        <v>91</v>
      </c>
      <c r="AZ1417" t="s">
        <v>91</v>
      </c>
      <c r="BA1417" t="s">
        <v>91</v>
      </c>
      <c r="BB1417" s="2">
        <v>44034.350266203706</v>
      </c>
      <c r="BC1417" s="2">
        <v>45126.7262962963</v>
      </c>
      <c r="BD1417" t="s">
        <v>91</v>
      </c>
      <c r="BF1417" s="1" t="s">
        <v>75</v>
      </c>
      <c r="BG1417">
        <v>0</v>
      </c>
      <c r="BH1417">
        <v>0</v>
      </c>
      <c r="BI1417" s="1" t="s">
        <v>721</v>
      </c>
      <c r="BJ1417">
        <v>1</v>
      </c>
      <c r="BK1417" s="1" t="s">
        <v>89</v>
      </c>
      <c r="BL1417" t="s">
        <v>91</v>
      </c>
      <c r="BM1417" s="1" t="s">
        <v>109</v>
      </c>
      <c r="BN1417" s="1" t="s">
        <v>110</v>
      </c>
      <c r="BO1417" s="1" t="s">
        <v>165</v>
      </c>
      <c r="BP1417" s="1" t="s">
        <v>91</v>
      </c>
      <c r="BQ1417" t="s">
        <v>91</v>
      </c>
      <c r="BR1417" s="3">
        <v>44034</v>
      </c>
      <c r="BS1417" s="3">
        <v>45126</v>
      </c>
      <c r="BT1417" t="s">
        <v>91</v>
      </c>
      <c r="BU1417" t="s">
        <v>91</v>
      </c>
      <c r="BV1417">
        <v>5</v>
      </c>
      <c r="BW1417" s="1" t="s">
        <v>166</v>
      </c>
    </row>
    <row r="1418" spans="1:75" hidden="1" x14ac:dyDescent="0.35">
      <c r="A1418">
        <v>137655</v>
      </c>
      <c r="B1418" s="1" t="s">
        <v>75</v>
      </c>
      <c r="C1418">
        <v>80</v>
      </c>
      <c r="D1418">
        <v>11121004</v>
      </c>
      <c r="E1418">
        <v>121004</v>
      </c>
      <c r="F1418" s="1" t="s">
        <v>6867</v>
      </c>
      <c r="G1418" s="1" t="s">
        <v>7681</v>
      </c>
      <c r="H1418">
        <v>0</v>
      </c>
      <c r="I1418" s="1" t="s">
        <v>78</v>
      </c>
      <c r="J1418" s="1" t="s">
        <v>7682</v>
      </c>
      <c r="K1418" s="1" t="s">
        <v>7683</v>
      </c>
      <c r="L1418" t="s">
        <v>91</v>
      </c>
      <c r="M1418" t="s">
        <v>91</v>
      </c>
      <c r="N1418" s="1" t="s">
        <v>7684</v>
      </c>
      <c r="O1418" t="s">
        <v>91</v>
      </c>
      <c r="P1418" s="1" t="s">
        <v>7685</v>
      </c>
      <c r="Q1418" s="1" t="s">
        <v>4505</v>
      </c>
      <c r="R1418" s="1" t="s">
        <v>91</v>
      </c>
      <c r="S1418">
        <v>1273</v>
      </c>
      <c r="T1418">
        <v>89107000</v>
      </c>
      <c r="U1418" s="1" t="s">
        <v>108</v>
      </c>
      <c r="V1418" s="1" t="s">
        <v>7483</v>
      </c>
      <c r="W1418" s="1" t="s">
        <v>87</v>
      </c>
      <c r="X1418">
        <v>47</v>
      </c>
      <c r="Y1418">
        <v>33870907</v>
      </c>
      <c r="Z1418" t="s">
        <v>91</v>
      </c>
      <c r="AA1418" t="s">
        <v>91</v>
      </c>
      <c r="AB1418" t="s">
        <v>91</v>
      </c>
      <c r="AC1418" t="s">
        <v>91</v>
      </c>
      <c r="AD1418" t="s">
        <v>91</v>
      </c>
      <c r="AE1418" t="s">
        <v>91</v>
      </c>
      <c r="AF1418" t="s">
        <v>91</v>
      </c>
      <c r="AG1418" s="1" t="s">
        <v>146</v>
      </c>
      <c r="AH1418" s="1" t="s">
        <v>91</v>
      </c>
      <c r="AI1418" t="s">
        <v>91</v>
      </c>
      <c r="AM1418" t="s">
        <v>91</v>
      </c>
      <c r="AN1418" t="s">
        <v>91</v>
      </c>
      <c r="AO1418" t="s">
        <v>91</v>
      </c>
      <c r="AP1418" t="s">
        <v>91</v>
      </c>
      <c r="AQ1418" s="1" t="s">
        <v>147</v>
      </c>
      <c r="AR1418" s="1" t="s">
        <v>147</v>
      </c>
      <c r="AS1418" s="1" t="s">
        <v>147</v>
      </c>
      <c r="AT1418" s="1" t="s">
        <v>147</v>
      </c>
      <c r="AU1418" s="1" t="s">
        <v>147</v>
      </c>
      <c r="AV1418" t="s">
        <v>91</v>
      </c>
      <c r="AW1418" t="s">
        <v>91</v>
      </c>
      <c r="AX1418" t="s">
        <v>91</v>
      </c>
      <c r="AY1418" t="s">
        <v>91</v>
      </c>
      <c r="AZ1418" t="s">
        <v>91</v>
      </c>
      <c r="BA1418" t="s">
        <v>91</v>
      </c>
      <c r="BB1418" s="2">
        <v>44378.578518518516</v>
      </c>
      <c r="BC1418" s="2">
        <v>44603.738009259258</v>
      </c>
      <c r="BD1418" t="s">
        <v>91</v>
      </c>
      <c r="BF1418" s="1" t="s">
        <v>75</v>
      </c>
      <c r="BH1418">
        <v>0</v>
      </c>
      <c r="BI1418" s="1" t="s">
        <v>88</v>
      </c>
      <c r="BJ1418">
        <v>1</v>
      </c>
      <c r="BK1418" s="1" t="s">
        <v>89</v>
      </c>
      <c r="BL1418" t="s">
        <v>91</v>
      </c>
      <c r="BM1418" s="1" t="s">
        <v>329</v>
      </c>
      <c r="BN1418" s="1" t="s">
        <v>110</v>
      </c>
      <c r="BO1418" s="1" t="s">
        <v>165</v>
      </c>
      <c r="BP1418" s="1" t="s">
        <v>91</v>
      </c>
      <c r="BQ1418" t="s">
        <v>91</v>
      </c>
      <c r="BR1418" s="3">
        <v>44378</v>
      </c>
      <c r="BS1418" s="3">
        <v>44603</v>
      </c>
      <c r="BT1418" t="s">
        <v>91</v>
      </c>
      <c r="BU1418" t="s">
        <v>91</v>
      </c>
      <c r="BW1418" s="1" t="s">
        <v>512</v>
      </c>
    </row>
    <row r="1419" spans="1:75" hidden="1" x14ac:dyDescent="0.35">
      <c r="A1419">
        <v>1320</v>
      </c>
      <c r="B1419" s="1" t="s">
        <v>75</v>
      </c>
      <c r="C1419">
        <v>80</v>
      </c>
      <c r="D1419">
        <v>11121004</v>
      </c>
      <c r="E1419">
        <v>121004</v>
      </c>
      <c r="F1419" s="1" t="s">
        <v>6867</v>
      </c>
      <c r="G1419" s="1" t="s">
        <v>7686</v>
      </c>
      <c r="I1419" s="1" t="s">
        <v>78</v>
      </c>
      <c r="J1419" s="1" t="s">
        <v>7687</v>
      </c>
      <c r="K1419" s="1" t="s">
        <v>7688</v>
      </c>
      <c r="L1419" t="s">
        <v>91</v>
      </c>
      <c r="M1419" t="s">
        <v>91</v>
      </c>
      <c r="N1419" s="1" t="s">
        <v>7689</v>
      </c>
      <c r="O1419" t="s">
        <v>91</v>
      </c>
      <c r="P1419" s="1" t="s">
        <v>7690</v>
      </c>
      <c r="Q1419" s="1" t="s">
        <v>3382</v>
      </c>
      <c r="R1419" s="1" t="s">
        <v>91</v>
      </c>
      <c r="S1419">
        <v>1273</v>
      </c>
      <c r="T1419">
        <v>89107000</v>
      </c>
      <c r="U1419" s="1" t="s">
        <v>7632</v>
      </c>
      <c r="V1419" s="1" t="s">
        <v>7483</v>
      </c>
      <c r="W1419" s="1" t="s">
        <v>87</v>
      </c>
      <c r="X1419">
        <v>47</v>
      </c>
      <c r="Y1419">
        <v>33876237</v>
      </c>
      <c r="Z1419" t="s">
        <v>91</v>
      </c>
      <c r="AA1419" t="s">
        <v>91</v>
      </c>
      <c r="AB1419" t="s">
        <v>91</v>
      </c>
      <c r="AC1419" t="s">
        <v>91</v>
      </c>
      <c r="AD1419" t="s">
        <v>91</v>
      </c>
      <c r="AE1419" t="s">
        <v>91</v>
      </c>
      <c r="AF1419" t="s">
        <v>91</v>
      </c>
      <c r="AG1419" s="1" t="s">
        <v>91</v>
      </c>
      <c r="AH1419" s="1" t="s">
        <v>91</v>
      </c>
      <c r="AI1419" t="s">
        <v>91</v>
      </c>
      <c r="AJ1419">
        <v>0</v>
      </c>
      <c r="AK1419">
        <v>0</v>
      </c>
      <c r="AL1419">
        <v>0</v>
      </c>
      <c r="AM1419" t="s">
        <v>91</v>
      </c>
      <c r="AN1419" t="s">
        <v>91</v>
      </c>
      <c r="AO1419" t="s">
        <v>91</v>
      </c>
      <c r="AP1419" t="s">
        <v>91</v>
      </c>
      <c r="AQ1419" s="1" t="s">
        <v>91</v>
      </c>
      <c r="AR1419" s="1" t="s">
        <v>91</v>
      </c>
      <c r="AS1419" s="1" t="s">
        <v>91</v>
      </c>
      <c r="AT1419" s="1" t="s">
        <v>91</v>
      </c>
      <c r="AU1419" s="1" t="s">
        <v>91</v>
      </c>
      <c r="AV1419" t="s">
        <v>91</v>
      </c>
      <c r="AW1419" t="s">
        <v>91</v>
      </c>
      <c r="AX1419" t="s">
        <v>91</v>
      </c>
      <c r="AY1419" t="s">
        <v>91</v>
      </c>
      <c r="AZ1419" t="s">
        <v>91</v>
      </c>
      <c r="BA1419" t="s">
        <v>91</v>
      </c>
      <c r="BB1419" s="2">
        <v>43308.393217592595</v>
      </c>
      <c r="BC1419" s="2"/>
      <c r="BD1419" t="s">
        <v>91</v>
      </c>
      <c r="BE1419">
        <v>1320</v>
      </c>
      <c r="BF1419" s="1" t="s">
        <v>75</v>
      </c>
      <c r="BG1419">
        <v>0</v>
      </c>
      <c r="BH1419">
        <v>0</v>
      </c>
      <c r="BI1419" s="1" t="s">
        <v>88</v>
      </c>
      <c r="BJ1419">
        <v>1</v>
      </c>
      <c r="BK1419" s="1" t="s">
        <v>89</v>
      </c>
      <c r="BL1419" t="s">
        <v>91</v>
      </c>
      <c r="BM1419" s="1" t="s">
        <v>109</v>
      </c>
      <c r="BN1419" s="1" t="s">
        <v>110</v>
      </c>
      <c r="BO1419" s="1" t="s">
        <v>128</v>
      </c>
      <c r="BP1419" s="1" t="s">
        <v>91</v>
      </c>
      <c r="BQ1419" t="s">
        <v>91</v>
      </c>
      <c r="BR1419" s="3">
        <v>43308</v>
      </c>
      <c r="BS1419" s="3"/>
      <c r="BT1419" t="s">
        <v>91</v>
      </c>
      <c r="BU1419" t="s">
        <v>91</v>
      </c>
      <c r="BV1419">
        <v>5</v>
      </c>
      <c r="BW1419" s="1" t="s">
        <v>601</v>
      </c>
    </row>
    <row r="1420" spans="1:75" hidden="1" x14ac:dyDescent="0.35">
      <c r="A1420">
        <v>137657</v>
      </c>
      <c r="B1420" s="1" t="s">
        <v>75</v>
      </c>
      <c r="C1420">
        <v>80</v>
      </c>
      <c r="D1420">
        <v>11121004</v>
      </c>
      <c r="E1420">
        <v>121004</v>
      </c>
      <c r="F1420" s="1" t="s">
        <v>6867</v>
      </c>
      <c r="G1420" s="1" t="s">
        <v>7691</v>
      </c>
      <c r="H1420">
        <v>0</v>
      </c>
      <c r="I1420" s="1" t="s">
        <v>78</v>
      </c>
      <c r="J1420" s="1" t="s">
        <v>7692</v>
      </c>
      <c r="K1420" s="1" t="s">
        <v>7693</v>
      </c>
      <c r="L1420" t="s">
        <v>91</v>
      </c>
      <c r="M1420" t="s">
        <v>91</v>
      </c>
      <c r="N1420" s="1" t="s">
        <v>7694</v>
      </c>
      <c r="O1420" t="s">
        <v>91</v>
      </c>
      <c r="P1420" s="1" t="s">
        <v>7695</v>
      </c>
      <c r="Q1420" s="1" t="s">
        <v>179</v>
      </c>
      <c r="R1420" s="1" t="s">
        <v>91</v>
      </c>
      <c r="S1420">
        <v>1273</v>
      </c>
      <c r="T1420">
        <v>89107000</v>
      </c>
      <c r="U1420" s="1" t="s">
        <v>108</v>
      </c>
      <c r="V1420" s="1" t="s">
        <v>7483</v>
      </c>
      <c r="W1420" s="1" t="s">
        <v>87</v>
      </c>
      <c r="X1420">
        <v>47</v>
      </c>
      <c r="Y1420">
        <v>33872744</v>
      </c>
      <c r="Z1420" t="s">
        <v>91</v>
      </c>
      <c r="AA1420" t="s">
        <v>91</v>
      </c>
      <c r="AB1420" t="s">
        <v>91</v>
      </c>
      <c r="AC1420" t="s">
        <v>91</v>
      </c>
      <c r="AD1420" t="s">
        <v>91</v>
      </c>
      <c r="AE1420" t="s">
        <v>91</v>
      </c>
      <c r="AF1420" t="s">
        <v>91</v>
      </c>
      <c r="AG1420" s="1" t="s">
        <v>146</v>
      </c>
      <c r="AH1420" s="1" t="s">
        <v>91</v>
      </c>
      <c r="AI1420" t="s">
        <v>91</v>
      </c>
      <c r="AM1420" t="s">
        <v>91</v>
      </c>
      <c r="AN1420" t="s">
        <v>91</v>
      </c>
      <c r="AO1420" t="s">
        <v>91</v>
      </c>
      <c r="AP1420" t="s">
        <v>91</v>
      </c>
      <c r="AQ1420" s="1" t="s">
        <v>147</v>
      </c>
      <c r="AR1420" s="1" t="s">
        <v>147</v>
      </c>
      <c r="AS1420" s="1" t="s">
        <v>147</v>
      </c>
      <c r="AT1420" s="1" t="s">
        <v>147</v>
      </c>
      <c r="AU1420" s="1" t="s">
        <v>147</v>
      </c>
      <c r="AV1420" t="s">
        <v>91</v>
      </c>
      <c r="AW1420" t="s">
        <v>91</v>
      </c>
      <c r="AX1420" t="s">
        <v>91</v>
      </c>
      <c r="AY1420" t="s">
        <v>91</v>
      </c>
      <c r="AZ1420" t="s">
        <v>91</v>
      </c>
      <c r="BA1420" t="s">
        <v>91</v>
      </c>
      <c r="BB1420" s="2">
        <v>44378.578518518516</v>
      </c>
      <c r="BC1420" s="2">
        <v>44593.656261574077</v>
      </c>
      <c r="BD1420" t="s">
        <v>91</v>
      </c>
      <c r="BF1420" s="1" t="s">
        <v>75</v>
      </c>
      <c r="BH1420">
        <v>0</v>
      </c>
      <c r="BI1420" s="1" t="s">
        <v>88</v>
      </c>
      <c r="BJ1420">
        <v>1</v>
      </c>
      <c r="BK1420" s="1" t="s">
        <v>89</v>
      </c>
      <c r="BL1420" t="s">
        <v>91</v>
      </c>
      <c r="BM1420" s="1" t="s">
        <v>329</v>
      </c>
      <c r="BN1420" s="1" t="s">
        <v>110</v>
      </c>
      <c r="BO1420" s="1" t="s">
        <v>165</v>
      </c>
      <c r="BP1420" s="1" t="s">
        <v>91</v>
      </c>
      <c r="BQ1420" t="s">
        <v>91</v>
      </c>
      <c r="BR1420" s="3">
        <v>44378</v>
      </c>
      <c r="BS1420" s="3">
        <v>44593</v>
      </c>
      <c r="BT1420" t="s">
        <v>91</v>
      </c>
      <c r="BU1420" t="s">
        <v>91</v>
      </c>
      <c r="BW1420" s="1" t="s">
        <v>1171</v>
      </c>
    </row>
    <row r="1421" spans="1:75" hidden="1" x14ac:dyDescent="0.35">
      <c r="A1421">
        <v>137658</v>
      </c>
      <c r="B1421" s="1" t="s">
        <v>75</v>
      </c>
      <c r="C1421">
        <v>80</v>
      </c>
      <c r="D1421">
        <v>11121004</v>
      </c>
      <c r="E1421">
        <v>121004</v>
      </c>
      <c r="F1421" s="1" t="s">
        <v>6867</v>
      </c>
      <c r="G1421" s="1" t="s">
        <v>7696</v>
      </c>
      <c r="H1421">
        <v>0</v>
      </c>
      <c r="I1421" s="1" t="s">
        <v>78</v>
      </c>
      <c r="J1421" s="1" t="s">
        <v>7697</v>
      </c>
      <c r="K1421" s="1" t="s">
        <v>7698</v>
      </c>
      <c r="L1421" t="s">
        <v>91</v>
      </c>
      <c r="M1421" t="s">
        <v>91</v>
      </c>
      <c r="N1421" s="1" t="s">
        <v>7699</v>
      </c>
      <c r="O1421" t="s">
        <v>91</v>
      </c>
      <c r="P1421" s="1" t="s">
        <v>3357</v>
      </c>
      <c r="Q1421" s="1" t="s">
        <v>5887</v>
      </c>
      <c r="R1421" s="1" t="s">
        <v>91</v>
      </c>
      <c r="S1421">
        <v>1262</v>
      </c>
      <c r="T1421">
        <v>88340281</v>
      </c>
      <c r="U1421" s="1" t="s">
        <v>108</v>
      </c>
      <c r="V1421" s="1" t="s">
        <v>7223</v>
      </c>
      <c r="W1421" s="1" t="s">
        <v>87</v>
      </c>
      <c r="X1421">
        <v>47</v>
      </c>
      <c r="Y1421">
        <v>33651638</v>
      </c>
      <c r="Z1421" t="s">
        <v>91</v>
      </c>
      <c r="AA1421" t="s">
        <v>91</v>
      </c>
      <c r="AB1421" t="s">
        <v>91</v>
      </c>
      <c r="AC1421" t="s">
        <v>91</v>
      </c>
      <c r="AD1421" t="s">
        <v>91</v>
      </c>
      <c r="AE1421" t="s">
        <v>91</v>
      </c>
      <c r="AF1421" t="s">
        <v>91</v>
      </c>
      <c r="AG1421" s="1" t="s">
        <v>146</v>
      </c>
      <c r="AH1421" s="1" t="s">
        <v>91</v>
      </c>
      <c r="AI1421" t="s">
        <v>91</v>
      </c>
      <c r="AM1421" t="s">
        <v>91</v>
      </c>
      <c r="AN1421" t="s">
        <v>91</v>
      </c>
      <c r="AO1421" t="s">
        <v>91</v>
      </c>
      <c r="AP1421" t="s">
        <v>91</v>
      </c>
      <c r="AQ1421" s="1" t="s">
        <v>147</v>
      </c>
      <c r="AR1421" s="1" t="s">
        <v>147</v>
      </c>
      <c r="AS1421" s="1" t="s">
        <v>147</v>
      </c>
      <c r="AT1421" s="1" t="s">
        <v>147</v>
      </c>
      <c r="AU1421" s="1" t="s">
        <v>147</v>
      </c>
      <c r="AV1421" t="s">
        <v>91</v>
      </c>
      <c r="AW1421" t="s">
        <v>91</v>
      </c>
      <c r="AX1421" t="s">
        <v>91</v>
      </c>
      <c r="AY1421" t="s">
        <v>91</v>
      </c>
      <c r="AZ1421" t="s">
        <v>91</v>
      </c>
      <c r="BA1421" t="s">
        <v>91</v>
      </c>
      <c r="BB1421" s="2">
        <v>44378.578518518516</v>
      </c>
      <c r="BC1421" s="2">
        <v>44651.724189814813</v>
      </c>
      <c r="BD1421" t="s">
        <v>91</v>
      </c>
      <c r="BF1421" s="1" t="s">
        <v>75</v>
      </c>
      <c r="BH1421">
        <v>0</v>
      </c>
      <c r="BI1421" s="1" t="s">
        <v>88</v>
      </c>
      <c r="BJ1421">
        <v>1</v>
      </c>
      <c r="BK1421" s="1" t="s">
        <v>89</v>
      </c>
      <c r="BL1421" t="s">
        <v>91</v>
      </c>
      <c r="BM1421" s="1" t="s">
        <v>109</v>
      </c>
      <c r="BN1421" s="1" t="s">
        <v>110</v>
      </c>
      <c r="BO1421" s="1" t="s">
        <v>180</v>
      </c>
      <c r="BP1421" s="1" t="s">
        <v>91</v>
      </c>
      <c r="BQ1421" t="s">
        <v>91</v>
      </c>
      <c r="BR1421" s="3">
        <v>44378</v>
      </c>
      <c r="BS1421" s="3">
        <v>44651</v>
      </c>
      <c r="BT1421" t="s">
        <v>91</v>
      </c>
      <c r="BU1421" t="s">
        <v>91</v>
      </c>
      <c r="BW1421" s="1" t="s">
        <v>7700</v>
      </c>
    </row>
    <row r="1422" spans="1:75" hidden="1" x14ac:dyDescent="0.35">
      <c r="A1422">
        <v>137659</v>
      </c>
      <c r="B1422" s="1" t="s">
        <v>75</v>
      </c>
      <c r="C1422">
        <v>80</v>
      </c>
      <c r="D1422">
        <v>11121004</v>
      </c>
      <c r="E1422">
        <v>121004</v>
      </c>
      <c r="F1422" s="1" t="s">
        <v>6867</v>
      </c>
      <c r="G1422" s="1" t="s">
        <v>7701</v>
      </c>
      <c r="H1422">
        <v>0</v>
      </c>
      <c r="I1422" s="1" t="s">
        <v>78</v>
      </c>
      <c r="J1422" s="1" t="s">
        <v>7702</v>
      </c>
      <c r="K1422" s="1" t="s">
        <v>7703</v>
      </c>
      <c r="L1422" t="s">
        <v>91</v>
      </c>
      <c r="M1422" t="s">
        <v>91</v>
      </c>
      <c r="N1422" s="1" t="s">
        <v>7674</v>
      </c>
      <c r="O1422" t="s">
        <v>91</v>
      </c>
      <c r="P1422" s="1" t="s">
        <v>475</v>
      </c>
      <c r="Q1422" s="1" t="s">
        <v>7704</v>
      </c>
      <c r="R1422" s="1" t="s">
        <v>91</v>
      </c>
      <c r="S1422">
        <v>1262</v>
      </c>
      <c r="T1422">
        <v>88330657</v>
      </c>
      <c r="U1422" s="1" t="s">
        <v>108</v>
      </c>
      <c r="V1422" s="1" t="s">
        <v>6898</v>
      </c>
      <c r="W1422" s="1" t="s">
        <v>87</v>
      </c>
      <c r="X1422">
        <v>47</v>
      </c>
      <c r="Y1422">
        <v>33670357</v>
      </c>
      <c r="Z1422" t="s">
        <v>91</v>
      </c>
      <c r="AA1422" t="s">
        <v>91</v>
      </c>
      <c r="AB1422" t="s">
        <v>91</v>
      </c>
      <c r="AC1422" t="s">
        <v>91</v>
      </c>
      <c r="AD1422" t="s">
        <v>91</v>
      </c>
      <c r="AE1422" t="s">
        <v>91</v>
      </c>
      <c r="AF1422" t="s">
        <v>91</v>
      </c>
      <c r="AG1422" s="1" t="s">
        <v>146</v>
      </c>
      <c r="AH1422" s="1" t="s">
        <v>91</v>
      </c>
      <c r="AI1422" t="s">
        <v>91</v>
      </c>
      <c r="AM1422" t="s">
        <v>91</v>
      </c>
      <c r="AN1422" t="s">
        <v>91</v>
      </c>
      <c r="AO1422" t="s">
        <v>91</v>
      </c>
      <c r="AP1422" t="s">
        <v>91</v>
      </c>
      <c r="AQ1422" s="1" t="s">
        <v>147</v>
      </c>
      <c r="AR1422" s="1" t="s">
        <v>147</v>
      </c>
      <c r="AS1422" s="1" t="s">
        <v>147</v>
      </c>
      <c r="AT1422" s="1" t="s">
        <v>147</v>
      </c>
      <c r="AU1422" s="1" t="s">
        <v>147</v>
      </c>
      <c r="AV1422" t="s">
        <v>91</v>
      </c>
      <c r="AW1422" t="s">
        <v>91</v>
      </c>
      <c r="AX1422" t="s">
        <v>91</v>
      </c>
      <c r="AY1422" t="s">
        <v>91</v>
      </c>
      <c r="AZ1422" t="s">
        <v>91</v>
      </c>
      <c r="BA1422" t="s">
        <v>91</v>
      </c>
      <c r="BB1422" s="2">
        <v>44378.578518518516</v>
      </c>
      <c r="BC1422" s="2">
        <v>44623.751666666663</v>
      </c>
      <c r="BD1422" t="s">
        <v>91</v>
      </c>
      <c r="BF1422" s="1" t="s">
        <v>75</v>
      </c>
      <c r="BH1422">
        <v>0</v>
      </c>
      <c r="BI1422" s="1" t="s">
        <v>88</v>
      </c>
      <c r="BJ1422">
        <v>1</v>
      </c>
      <c r="BK1422" s="1" t="s">
        <v>89</v>
      </c>
      <c r="BL1422" t="s">
        <v>91</v>
      </c>
      <c r="BM1422" s="1" t="s">
        <v>109</v>
      </c>
      <c r="BN1422" s="1" t="s">
        <v>110</v>
      </c>
      <c r="BO1422" s="1" t="s">
        <v>165</v>
      </c>
      <c r="BP1422" s="1" t="s">
        <v>91</v>
      </c>
      <c r="BQ1422" t="s">
        <v>91</v>
      </c>
      <c r="BR1422" s="3">
        <v>44378</v>
      </c>
      <c r="BS1422" s="3">
        <v>44623</v>
      </c>
      <c r="BT1422" t="s">
        <v>91</v>
      </c>
      <c r="BU1422" t="s">
        <v>91</v>
      </c>
      <c r="BW1422" s="1" t="s">
        <v>540</v>
      </c>
    </row>
    <row r="1423" spans="1:75" hidden="1" x14ac:dyDescent="0.35">
      <c r="A1423">
        <v>137660</v>
      </c>
      <c r="B1423" s="1" t="s">
        <v>75</v>
      </c>
      <c r="C1423">
        <v>80</v>
      </c>
      <c r="D1423">
        <v>11121004</v>
      </c>
      <c r="E1423">
        <v>121004</v>
      </c>
      <c r="F1423" s="1" t="s">
        <v>6867</v>
      </c>
      <c r="G1423" s="1" t="s">
        <v>7705</v>
      </c>
      <c r="H1423">
        <v>0</v>
      </c>
      <c r="I1423" s="1" t="s">
        <v>78</v>
      </c>
      <c r="J1423" s="1" t="s">
        <v>7706</v>
      </c>
      <c r="K1423" s="1" t="s">
        <v>7707</v>
      </c>
      <c r="L1423" t="s">
        <v>91</v>
      </c>
      <c r="M1423" t="s">
        <v>91</v>
      </c>
      <c r="N1423" s="1" t="s">
        <v>7708</v>
      </c>
      <c r="O1423" t="s">
        <v>91</v>
      </c>
      <c r="P1423" s="1" t="s">
        <v>7709</v>
      </c>
      <c r="Q1423" s="1" t="s">
        <v>912</v>
      </c>
      <c r="R1423" s="1" t="s">
        <v>91</v>
      </c>
      <c r="T1423">
        <v>89080024</v>
      </c>
      <c r="U1423" s="1" t="s">
        <v>108</v>
      </c>
      <c r="V1423" s="1" t="s">
        <v>7659</v>
      </c>
      <c r="W1423" s="1" t="s">
        <v>87</v>
      </c>
      <c r="X1423">
        <v>47</v>
      </c>
      <c r="Y1423">
        <v>33330657</v>
      </c>
      <c r="Z1423" t="s">
        <v>91</v>
      </c>
      <c r="AA1423" t="s">
        <v>91</v>
      </c>
      <c r="AB1423" t="s">
        <v>91</v>
      </c>
      <c r="AC1423" t="s">
        <v>91</v>
      </c>
      <c r="AD1423" t="s">
        <v>91</v>
      </c>
      <c r="AE1423" t="s">
        <v>91</v>
      </c>
      <c r="AF1423" t="s">
        <v>91</v>
      </c>
      <c r="AG1423" s="1" t="s">
        <v>146</v>
      </c>
      <c r="AH1423" s="1" t="s">
        <v>91</v>
      </c>
      <c r="AI1423" t="s">
        <v>91</v>
      </c>
      <c r="AM1423" t="s">
        <v>91</v>
      </c>
      <c r="AN1423" t="s">
        <v>91</v>
      </c>
      <c r="AO1423" t="s">
        <v>91</v>
      </c>
      <c r="AP1423" t="s">
        <v>91</v>
      </c>
      <c r="AQ1423" s="1" t="s">
        <v>147</v>
      </c>
      <c r="AR1423" s="1" t="s">
        <v>147</v>
      </c>
      <c r="AS1423" s="1" t="s">
        <v>147</v>
      </c>
      <c r="AT1423" s="1" t="s">
        <v>147</v>
      </c>
      <c r="AU1423" s="1" t="s">
        <v>147</v>
      </c>
      <c r="AV1423" t="s">
        <v>91</v>
      </c>
      <c r="AW1423" t="s">
        <v>91</v>
      </c>
      <c r="AX1423" t="s">
        <v>91</v>
      </c>
      <c r="AY1423" t="s">
        <v>91</v>
      </c>
      <c r="AZ1423" t="s">
        <v>91</v>
      </c>
      <c r="BA1423" t="s">
        <v>91</v>
      </c>
      <c r="BB1423" s="2">
        <v>44378.578518518516</v>
      </c>
      <c r="BC1423" s="2">
        <v>45119.417060185187</v>
      </c>
      <c r="BD1423" t="s">
        <v>91</v>
      </c>
      <c r="BF1423" s="1" t="s">
        <v>75</v>
      </c>
      <c r="BH1423">
        <v>0</v>
      </c>
      <c r="BI1423" s="1" t="s">
        <v>721</v>
      </c>
      <c r="BJ1423">
        <v>1</v>
      </c>
      <c r="BK1423" s="1" t="s">
        <v>89</v>
      </c>
      <c r="BL1423" t="s">
        <v>91</v>
      </c>
      <c r="BM1423" s="1" t="s">
        <v>329</v>
      </c>
      <c r="BN1423" s="1" t="s">
        <v>110</v>
      </c>
      <c r="BO1423" s="1" t="s">
        <v>165</v>
      </c>
      <c r="BP1423" s="1" t="s">
        <v>91</v>
      </c>
      <c r="BQ1423" t="s">
        <v>91</v>
      </c>
      <c r="BR1423" s="3">
        <v>44378</v>
      </c>
      <c r="BS1423" s="3">
        <v>45119</v>
      </c>
      <c r="BT1423" t="s">
        <v>91</v>
      </c>
      <c r="BU1423" t="s">
        <v>91</v>
      </c>
      <c r="BW1423" s="1" t="s">
        <v>540</v>
      </c>
    </row>
    <row r="1424" spans="1:75" hidden="1" x14ac:dyDescent="0.35">
      <c r="A1424">
        <v>137661</v>
      </c>
      <c r="B1424" s="1" t="s">
        <v>75</v>
      </c>
      <c r="C1424">
        <v>80</v>
      </c>
      <c r="D1424">
        <v>11121004</v>
      </c>
      <c r="E1424">
        <v>121004</v>
      </c>
      <c r="F1424" s="1" t="s">
        <v>6867</v>
      </c>
      <c r="G1424" s="1" t="s">
        <v>7710</v>
      </c>
      <c r="H1424">
        <v>0</v>
      </c>
      <c r="I1424" s="1" t="s">
        <v>78</v>
      </c>
      <c r="J1424" s="1" t="s">
        <v>7711</v>
      </c>
      <c r="K1424" s="1" t="s">
        <v>7712</v>
      </c>
      <c r="L1424" t="s">
        <v>91</v>
      </c>
      <c r="M1424" t="s">
        <v>91</v>
      </c>
      <c r="N1424" s="1" t="s">
        <v>7713</v>
      </c>
      <c r="O1424" t="s">
        <v>91</v>
      </c>
      <c r="P1424" s="1" t="s">
        <v>611</v>
      </c>
      <c r="Q1424" s="1" t="s">
        <v>7714</v>
      </c>
      <c r="R1424" s="1" t="s">
        <v>91</v>
      </c>
      <c r="S1424">
        <v>1271</v>
      </c>
      <c r="T1424">
        <v>89010000</v>
      </c>
      <c r="U1424" s="1" t="s">
        <v>108</v>
      </c>
      <c r="V1424" s="1" t="s">
        <v>3571</v>
      </c>
      <c r="W1424" s="1" t="s">
        <v>87</v>
      </c>
      <c r="X1424">
        <v>47</v>
      </c>
      <c r="Y1424">
        <v>33228822</v>
      </c>
      <c r="Z1424" t="s">
        <v>91</v>
      </c>
      <c r="AA1424" t="s">
        <v>91</v>
      </c>
      <c r="AB1424" t="s">
        <v>91</v>
      </c>
      <c r="AC1424" t="s">
        <v>91</v>
      </c>
      <c r="AD1424" t="s">
        <v>91</v>
      </c>
      <c r="AE1424" t="s">
        <v>91</v>
      </c>
      <c r="AF1424" t="s">
        <v>91</v>
      </c>
      <c r="AG1424" s="1" t="s">
        <v>146</v>
      </c>
      <c r="AH1424" s="1" t="s">
        <v>91</v>
      </c>
      <c r="AI1424" t="s">
        <v>91</v>
      </c>
      <c r="AM1424" t="s">
        <v>91</v>
      </c>
      <c r="AN1424" t="s">
        <v>91</v>
      </c>
      <c r="AO1424" t="s">
        <v>91</v>
      </c>
      <c r="AP1424" t="s">
        <v>91</v>
      </c>
      <c r="AQ1424" s="1" t="s">
        <v>147</v>
      </c>
      <c r="AR1424" s="1" t="s">
        <v>147</v>
      </c>
      <c r="AS1424" s="1" t="s">
        <v>147</v>
      </c>
      <c r="AT1424" s="1" t="s">
        <v>147</v>
      </c>
      <c r="AU1424" s="1" t="s">
        <v>147</v>
      </c>
      <c r="AV1424" t="s">
        <v>91</v>
      </c>
      <c r="AW1424" t="s">
        <v>91</v>
      </c>
      <c r="AX1424" t="s">
        <v>91</v>
      </c>
      <c r="AY1424" t="s">
        <v>91</v>
      </c>
      <c r="AZ1424" t="s">
        <v>91</v>
      </c>
      <c r="BA1424" t="s">
        <v>91</v>
      </c>
      <c r="BB1424" s="2">
        <v>44378.578518518516</v>
      </c>
      <c r="BC1424" s="2">
        <v>45128.733680555553</v>
      </c>
      <c r="BD1424" t="s">
        <v>91</v>
      </c>
      <c r="BF1424" s="1" t="s">
        <v>75</v>
      </c>
      <c r="BH1424">
        <v>0</v>
      </c>
      <c r="BI1424" s="1" t="s">
        <v>721</v>
      </c>
      <c r="BJ1424">
        <v>1</v>
      </c>
      <c r="BK1424" s="1" t="s">
        <v>89</v>
      </c>
      <c r="BL1424" t="s">
        <v>91</v>
      </c>
      <c r="BM1424" s="1" t="s">
        <v>109</v>
      </c>
      <c r="BN1424" s="1" t="s">
        <v>148</v>
      </c>
      <c r="BO1424" s="1" t="s">
        <v>165</v>
      </c>
      <c r="BP1424" s="1" t="s">
        <v>91</v>
      </c>
      <c r="BQ1424" t="s">
        <v>91</v>
      </c>
      <c r="BR1424" s="3">
        <v>44378</v>
      </c>
      <c r="BS1424" s="3">
        <v>45128</v>
      </c>
      <c r="BT1424" t="s">
        <v>91</v>
      </c>
      <c r="BU1424" t="s">
        <v>91</v>
      </c>
      <c r="BW1424" s="1" t="s">
        <v>419</v>
      </c>
    </row>
    <row r="1425" spans="1:75" hidden="1" x14ac:dyDescent="0.35">
      <c r="A1425">
        <v>137662</v>
      </c>
      <c r="B1425" s="1" t="s">
        <v>75</v>
      </c>
      <c r="C1425">
        <v>80</v>
      </c>
      <c r="D1425">
        <v>11121004</v>
      </c>
      <c r="E1425">
        <v>121004</v>
      </c>
      <c r="F1425" s="1" t="s">
        <v>6867</v>
      </c>
      <c r="G1425" s="1" t="s">
        <v>7715</v>
      </c>
      <c r="H1425">
        <v>0</v>
      </c>
      <c r="I1425" s="1" t="s">
        <v>78</v>
      </c>
      <c r="J1425" s="1" t="s">
        <v>7716</v>
      </c>
      <c r="K1425" s="1" t="s">
        <v>7717</v>
      </c>
      <c r="L1425" t="s">
        <v>91</v>
      </c>
      <c r="M1425" t="s">
        <v>91</v>
      </c>
      <c r="N1425" s="1" t="s">
        <v>7718</v>
      </c>
      <c r="O1425" t="s">
        <v>91</v>
      </c>
      <c r="P1425" s="1" t="s">
        <v>7119</v>
      </c>
      <c r="Q1425" s="1" t="s">
        <v>295</v>
      </c>
      <c r="R1425" s="1" t="s">
        <v>7719</v>
      </c>
      <c r="S1425">
        <v>1262</v>
      </c>
      <c r="T1425">
        <v>88340356</v>
      </c>
      <c r="U1425" s="1" t="s">
        <v>108</v>
      </c>
      <c r="V1425" s="1" t="s">
        <v>7223</v>
      </c>
      <c r="W1425" s="1" t="s">
        <v>87</v>
      </c>
      <c r="X1425">
        <v>47</v>
      </c>
      <c r="Y1425">
        <v>33655556</v>
      </c>
      <c r="Z1425" t="s">
        <v>91</v>
      </c>
      <c r="AA1425" t="s">
        <v>91</v>
      </c>
      <c r="AB1425" t="s">
        <v>91</v>
      </c>
      <c r="AC1425" t="s">
        <v>91</v>
      </c>
      <c r="AD1425" t="s">
        <v>91</v>
      </c>
      <c r="AE1425" t="s">
        <v>91</v>
      </c>
      <c r="AF1425" t="s">
        <v>91</v>
      </c>
      <c r="AG1425" s="1" t="s">
        <v>146</v>
      </c>
      <c r="AH1425" s="1" t="s">
        <v>91</v>
      </c>
      <c r="AI1425" t="s">
        <v>91</v>
      </c>
      <c r="AM1425" t="s">
        <v>91</v>
      </c>
      <c r="AN1425" t="s">
        <v>91</v>
      </c>
      <c r="AO1425" t="s">
        <v>91</v>
      </c>
      <c r="AP1425" t="s">
        <v>91</v>
      </c>
      <c r="AQ1425" s="1" t="s">
        <v>147</v>
      </c>
      <c r="AR1425" s="1" t="s">
        <v>147</v>
      </c>
      <c r="AS1425" s="1" t="s">
        <v>147</v>
      </c>
      <c r="AT1425" s="1" t="s">
        <v>147</v>
      </c>
      <c r="AU1425" s="1" t="s">
        <v>147</v>
      </c>
      <c r="AV1425" t="s">
        <v>91</v>
      </c>
      <c r="AW1425" t="s">
        <v>91</v>
      </c>
      <c r="AX1425" t="s">
        <v>91</v>
      </c>
      <c r="AY1425" t="s">
        <v>91</v>
      </c>
      <c r="AZ1425" t="s">
        <v>91</v>
      </c>
      <c r="BA1425" t="s">
        <v>91</v>
      </c>
      <c r="BB1425" s="2">
        <v>44378.578518518516</v>
      </c>
      <c r="BC1425" s="2">
        <v>45124.627696759257</v>
      </c>
      <c r="BD1425" t="s">
        <v>91</v>
      </c>
      <c r="BF1425" s="1" t="s">
        <v>75</v>
      </c>
      <c r="BH1425">
        <v>0</v>
      </c>
      <c r="BI1425" s="1" t="s">
        <v>721</v>
      </c>
      <c r="BJ1425">
        <v>1</v>
      </c>
      <c r="BK1425" s="1" t="s">
        <v>89</v>
      </c>
      <c r="BL1425" t="s">
        <v>91</v>
      </c>
      <c r="BM1425" s="1" t="s">
        <v>109</v>
      </c>
      <c r="BN1425" s="1" t="s">
        <v>110</v>
      </c>
      <c r="BO1425" s="1" t="s">
        <v>165</v>
      </c>
      <c r="BP1425" s="1" t="s">
        <v>91</v>
      </c>
      <c r="BQ1425" t="s">
        <v>91</v>
      </c>
      <c r="BR1425" s="3">
        <v>44378</v>
      </c>
      <c r="BS1425" s="3">
        <v>45124</v>
      </c>
      <c r="BT1425" t="s">
        <v>91</v>
      </c>
      <c r="BU1425" t="s">
        <v>91</v>
      </c>
      <c r="BW1425" s="1" t="s">
        <v>263</v>
      </c>
    </row>
    <row r="1426" spans="1:75" hidden="1" x14ac:dyDescent="0.35">
      <c r="A1426">
        <v>157100</v>
      </c>
      <c r="B1426" s="1" t="s">
        <v>75</v>
      </c>
      <c r="C1426">
        <v>80</v>
      </c>
      <c r="D1426">
        <v>11121004</v>
      </c>
      <c r="E1426">
        <v>121004</v>
      </c>
      <c r="F1426" s="1" t="s">
        <v>6867</v>
      </c>
      <c r="G1426" s="1" t="s">
        <v>7720</v>
      </c>
      <c r="H1426">
        <v>0</v>
      </c>
      <c r="I1426" s="1" t="s">
        <v>78</v>
      </c>
      <c r="J1426" s="1" t="s">
        <v>7716</v>
      </c>
      <c r="K1426" s="1" t="s">
        <v>7721</v>
      </c>
      <c r="L1426" t="s">
        <v>91</v>
      </c>
      <c r="M1426" t="s">
        <v>91</v>
      </c>
      <c r="N1426" s="1" t="s">
        <v>7722</v>
      </c>
      <c r="O1426" t="s">
        <v>91</v>
      </c>
      <c r="P1426" s="1" t="s">
        <v>7723</v>
      </c>
      <c r="Q1426" s="1" t="s">
        <v>3588</v>
      </c>
      <c r="R1426" s="1" t="s">
        <v>370</v>
      </c>
      <c r="S1426">
        <v>1262</v>
      </c>
      <c r="T1426">
        <v>88330110</v>
      </c>
      <c r="U1426" s="1" t="s">
        <v>108</v>
      </c>
      <c r="V1426" s="1" t="s">
        <v>6898</v>
      </c>
      <c r="W1426" s="1" t="s">
        <v>87</v>
      </c>
      <c r="X1426">
        <v>47</v>
      </c>
      <c r="Y1426">
        <v>30470880</v>
      </c>
      <c r="Z1426" t="s">
        <v>91</v>
      </c>
      <c r="AA1426" t="s">
        <v>91</v>
      </c>
      <c r="AB1426" t="s">
        <v>91</v>
      </c>
      <c r="AC1426" t="s">
        <v>91</v>
      </c>
      <c r="AD1426" t="s">
        <v>91</v>
      </c>
      <c r="AE1426" t="s">
        <v>91</v>
      </c>
      <c r="AF1426" t="s">
        <v>91</v>
      </c>
      <c r="AG1426" s="1" t="s">
        <v>146</v>
      </c>
      <c r="AH1426" s="1" t="s">
        <v>91</v>
      </c>
      <c r="AI1426" t="s">
        <v>91</v>
      </c>
      <c r="AM1426" t="s">
        <v>91</v>
      </c>
      <c r="AN1426" t="s">
        <v>91</v>
      </c>
      <c r="AO1426" t="s">
        <v>91</v>
      </c>
      <c r="AP1426" t="s">
        <v>91</v>
      </c>
      <c r="AQ1426" s="1" t="s">
        <v>147</v>
      </c>
      <c r="AR1426" s="1" t="s">
        <v>147</v>
      </c>
      <c r="AS1426" s="1" t="s">
        <v>147</v>
      </c>
      <c r="AT1426" s="1" t="s">
        <v>147</v>
      </c>
      <c r="AU1426" s="1" t="s">
        <v>147</v>
      </c>
      <c r="AV1426" t="s">
        <v>91</v>
      </c>
      <c r="AW1426" t="s">
        <v>91</v>
      </c>
      <c r="AX1426" t="s">
        <v>91</v>
      </c>
      <c r="AY1426" t="s">
        <v>91</v>
      </c>
      <c r="AZ1426" t="s">
        <v>91</v>
      </c>
      <c r="BA1426" t="s">
        <v>91</v>
      </c>
      <c r="BB1426" s="2">
        <v>45113.505416666667</v>
      </c>
      <c r="BC1426" s="2">
        <v>45124.626851851855</v>
      </c>
      <c r="BD1426" t="s">
        <v>91</v>
      </c>
      <c r="BF1426" s="1" t="s">
        <v>75</v>
      </c>
      <c r="BH1426">
        <v>0</v>
      </c>
      <c r="BI1426" s="1" t="s">
        <v>721</v>
      </c>
      <c r="BJ1426">
        <v>1</v>
      </c>
      <c r="BK1426" s="1" t="s">
        <v>89</v>
      </c>
      <c r="BL1426" t="s">
        <v>91</v>
      </c>
      <c r="BM1426" s="1" t="s">
        <v>91</v>
      </c>
      <c r="BN1426" s="1" t="s">
        <v>91</v>
      </c>
      <c r="BO1426" s="1" t="s">
        <v>91</v>
      </c>
      <c r="BP1426" s="1" t="s">
        <v>91</v>
      </c>
      <c r="BQ1426" t="s">
        <v>91</v>
      </c>
      <c r="BR1426" s="3">
        <v>45113</v>
      </c>
      <c r="BS1426" s="3">
        <v>45124</v>
      </c>
      <c r="BT1426" t="s">
        <v>91</v>
      </c>
      <c r="BU1426" t="s">
        <v>91</v>
      </c>
      <c r="BW1426" s="1" t="s">
        <v>263</v>
      </c>
    </row>
    <row r="1427" spans="1:75" hidden="1" x14ac:dyDescent="0.35">
      <c r="A1427">
        <v>137664</v>
      </c>
      <c r="B1427" s="1" t="s">
        <v>75</v>
      </c>
      <c r="C1427">
        <v>80</v>
      </c>
      <c r="D1427">
        <v>11121004</v>
      </c>
      <c r="E1427">
        <v>121004</v>
      </c>
      <c r="F1427" s="1" t="s">
        <v>6867</v>
      </c>
      <c r="G1427" s="1" t="s">
        <v>7724</v>
      </c>
      <c r="H1427">
        <v>0</v>
      </c>
      <c r="I1427" s="1" t="s">
        <v>78</v>
      </c>
      <c r="J1427" s="1" t="s">
        <v>7725</v>
      </c>
      <c r="K1427" s="1" t="s">
        <v>7726</v>
      </c>
      <c r="L1427" t="s">
        <v>91</v>
      </c>
      <c r="M1427" t="s">
        <v>91</v>
      </c>
      <c r="N1427" s="1" t="s">
        <v>91</v>
      </c>
      <c r="O1427" t="s">
        <v>91</v>
      </c>
      <c r="P1427" s="1" t="s">
        <v>3083</v>
      </c>
      <c r="Q1427" s="1" t="s">
        <v>1467</v>
      </c>
      <c r="R1427" s="1" t="s">
        <v>91</v>
      </c>
      <c r="S1427">
        <v>1261</v>
      </c>
      <c r="T1427">
        <v>88301001</v>
      </c>
      <c r="U1427" s="1" t="s">
        <v>108</v>
      </c>
      <c r="V1427" s="1" t="s">
        <v>6874</v>
      </c>
      <c r="W1427" s="1" t="s">
        <v>87</v>
      </c>
      <c r="X1427">
        <v>47</v>
      </c>
      <c r="Y1427">
        <v>33486891</v>
      </c>
      <c r="Z1427" t="s">
        <v>91</v>
      </c>
      <c r="AA1427" t="s">
        <v>91</v>
      </c>
      <c r="AB1427" t="s">
        <v>91</v>
      </c>
      <c r="AC1427" t="s">
        <v>91</v>
      </c>
      <c r="AD1427" t="s">
        <v>91</v>
      </c>
      <c r="AE1427" t="s">
        <v>91</v>
      </c>
      <c r="AF1427" t="s">
        <v>91</v>
      </c>
      <c r="AG1427" s="1" t="s">
        <v>146</v>
      </c>
      <c r="AH1427" s="1" t="s">
        <v>91</v>
      </c>
      <c r="AI1427" t="s">
        <v>91</v>
      </c>
      <c r="AM1427" t="s">
        <v>91</v>
      </c>
      <c r="AN1427" t="s">
        <v>91</v>
      </c>
      <c r="AO1427" t="s">
        <v>91</v>
      </c>
      <c r="AP1427" t="s">
        <v>91</v>
      </c>
      <c r="AQ1427" s="1" t="s">
        <v>147</v>
      </c>
      <c r="AR1427" s="1" t="s">
        <v>147</v>
      </c>
      <c r="AS1427" s="1" t="s">
        <v>147</v>
      </c>
      <c r="AT1427" s="1" t="s">
        <v>147</v>
      </c>
      <c r="AU1427" s="1" t="s">
        <v>147</v>
      </c>
      <c r="AV1427" t="s">
        <v>91</v>
      </c>
      <c r="AW1427" t="s">
        <v>91</v>
      </c>
      <c r="AX1427" t="s">
        <v>91</v>
      </c>
      <c r="AY1427" t="s">
        <v>91</v>
      </c>
      <c r="AZ1427" t="s">
        <v>91</v>
      </c>
      <c r="BA1427" t="s">
        <v>91</v>
      </c>
      <c r="BB1427" s="2">
        <v>44378.578518518516</v>
      </c>
      <c r="BC1427" s="2">
        <v>45120.6252662037</v>
      </c>
      <c r="BD1427" t="s">
        <v>91</v>
      </c>
      <c r="BF1427" s="1" t="s">
        <v>75</v>
      </c>
      <c r="BH1427">
        <v>0</v>
      </c>
      <c r="BI1427" s="1" t="s">
        <v>721</v>
      </c>
      <c r="BJ1427">
        <v>1</v>
      </c>
      <c r="BK1427" s="1" t="s">
        <v>89</v>
      </c>
      <c r="BL1427" t="s">
        <v>91</v>
      </c>
      <c r="BM1427" s="1" t="s">
        <v>329</v>
      </c>
      <c r="BN1427" s="1" t="s">
        <v>110</v>
      </c>
      <c r="BO1427" s="1" t="s">
        <v>165</v>
      </c>
      <c r="BP1427" s="1" t="s">
        <v>91</v>
      </c>
      <c r="BQ1427" t="s">
        <v>91</v>
      </c>
      <c r="BR1427" s="3">
        <v>44378</v>
      </c>
      <c r="BS1427" s="3">
        <v>45120</v>
      </c>
      <c r="BT1427" t="s">
        <v>91</v>
      </c>
      <c r="BU1427" t="s">
        <v>91</v>
      </c>
      <c r="BW1427" s="1" t="s">
        <v>540</v>
      </c>
    </row>
    <row r="1428" spans="1:75" hidden="1" x14ac:dyDescent="0.35">
      <c r="A1428">
        <v>157119</v>
      </c>
      <c r="B1428" s="1" t="s">
        <v>75</v>
      </c>
      <c r="C1428">
        <v>80</v>
      </c>
      <c r="D1428">
        <v>11121004</v>
      </c>
      <c r="E1428">
        <v>121004</v>
      </c>
      <c r="F1428" s="1" t="s">
        <v>6867</v>
      </c>
      <c r="G1428" s="1" t="s">
        <v>7727</v>
      </c>
      <c r="H1428">
        <v>0</v>
      </c>
      <c r="I1428" s="1" t="s">
        <v>78</v>
      </c>
      <c r="J1428" s="1" t="s">
        <v>7728</v>
      </c>
      <c r="K1428" s="1" t="s">
        <v>7729</v>
      </c>
      <c r="L1428" t="s">
        <v>91</v>
      </c>
      <c r="M1428" t="s">
        <v>91</v>
      </c>
      <c r="N1428" s="1" t="s">
        <v>7730</v>
      </c>
      <c r="O1428" t="s">
        <v>91</v>
      </c>
      <c r="P1428" s="1" t="s">
        <v>6281</v>
      </c>
      <c r="Q1428" s="1" t="s">
        <v>7731</v>
      </c>
      <c r="R1428" s="1" t="s">
        <v>91</v>
      </c>
      <c r="S1428">
        <v>1260</v>
      </c>
      <c r="T1428">
        <v>88210000</v>
      </c>
      <c r="U1428" s="1" t="s">
        <v>108</v>
      </c>
      <c r="V1428" s="1" t="s">
        <v>6987</v>
      </c>
      <c r="W1428" s="1" t="s">
        <v>87</v>
      </c>
      <c r="X1428">
        <v>47</v>
      </c>
      <c r="Y1428">
        <v>33696265</v>
      </c>
      <c r="Z1428" t="s">
        <v>91</v>
      </c>
      <c r="AA1428" t="s">
        <v>91</v>
      </c>
      <c r="AB1428" t="s">
        <v>91</v>
      </c>
      <c r="AC1428" t="s">
        <v>91</v>
      </c>
      <c r="AD1428" t="s">
        <v>91</v>
      </c>
      <c r="AE1428" t="s">
        <v>91</v>
      </c>
      <c r="AF1428" t="s">
        <v>91</v>
      </c>
      <c r="AG1428" s="1" t="s">
        <v>91</v>
      </c>
      <c r="AH1428" s="1" t="s">
        <v>91</v>
      </c>
      <c r="AI1428" t="s">
        <v>91</v>
      </c>
      <c r="AM1428" t="s">
        <v>91</v>
      </c>
      <c r="AN1428" t="s">
        <v>91</v>
      </c>
      <c r="AO1428" t="s">
        <v>91</v>
      </c>
      <c r="AP1428" t="s">
        <v>91</v>
      </c>
      <c r="AQ1428" s="1" t="s">
        <v>91</v>
      </c>
      <c r="AR1428" s="1" t="s">
        <v>91</v>
      </c>
      <c r="AS1428" s="1" t="s">
        <v>91</v>
      </c>
      <c r="AT1428" s="1" t="s">
        <v>91</v>
      </c>
      <c r="AU1428" s="1" t="s">
        <v>91</v>
      </c>
      <c r="AV1428" t="s">
        <v>91</v>
      </c>
      <c r="AW1428" t="s">
        <v>91</v>
      </c>
      <c r="AX1428" t="s">
        <v>91</v>
      </c>
      <c r="AY1428" t="s">
        <v>91</v>
      </c>
      <c r="AZ1428" t="s">
        <v>91</v>
      </c>
      <c r="BA1428" t="s">
        <v>91</v>
      </c>
      <c r="BB1428" s="2">
        <v>45113.505416666667</v>
      </c>
      <c r="BC1428" s="2"/>
      <c r="BD1428" t="s">
        <v>91</v>
      </c>
      <c r="BF1428" s="1" t="s">
        <v>75</v>
      </c>
      <c r="BI1428" s="1" t="s">
        <v>88</v>
      </c>
      <c r="BJ1428">
        <v>1</v>
      </c>
      <c r="BK1428" s="1" t="s">
        <v>89</v>
      </c>
      <c r="BL1428" t="s">
        <v>91</v>
      </c>
      <c r="BM1428" s="1" t="s">
        <v>91</v>
      </c>
      <c r="BN1428" s="1" t="s">
        <v>91</v>
      </c>
      <c r="BO1428" s="1" t="s">
        <v>91</v>
      </c>
      <c r="BP1428" s="1" t="s">
        <v>91</v>
      </c>
      <c r="BQ1428" t="s">
        <v>91</v>
      </c>
      <c r="BR1428" s="3">
        <v>45113</v>
      </c>
      <c r="BS1428" s="3"/>
      <c r="BT1428" t="s">
        <v>91</v>
      </c>
      <c r="BU1428" t="s">
        <v>91</v>
      </c>
      <c r="BW1428" s="1" t="s">
        <v>589</v>
      </c>
    </row>
    <row r="1429" spans="1:75" hidden="1" x14ac:dyDescent="0.35">
      <c r="A1429">
        <v>138465</v>
      </c>
      <c r="B1429" s="1" t="s">
        <v>75</v>
      </c>
      <c r="C1429">
        <v>80</v>
      </c>
      <c r="D1429">
        <v>11121004</v>
      </c>
      <c r="E1429">
        <v>121004</v>
      </c>
      <c r="F1429" s="1" t="s">
        <v>6867</v>
      </c>
      <c r="G1429" s="1" t="s">
        <v>7732</v>
      </c>
      <c r="H1429">
        <v>0</v>
      </c>
      <c r="I1429" s="1" t="s">
        <v>78</v>
      </c>
      <c r="J1429" s="1" t="s">
        <v>7733</v>
      </c>
      <c r="K1429" s="1" t="s">
        <v>7734</v>
      </c>
      <c r="L1429" t="s">
        <v>91</v>
      </c>
      <c r="M1429" t="s">
        <v>91</v>
      </c>
      <c r="N1429" s="1" t="s">
        <v>7735</v>
      </c>
      <c r="O1429" t="s">
        <v>91</v>
      </c>
      <c r="P1429" s="1" t="s">
        <v>7736</v>
      </c>
      <c r="Q1429" s="1" t="s">
        <v>4505</v>
      </c>
      <c r="R1429" s="1" t="s">
        <v>3390</v>
      </c>
      <c r="S1429">
        <v>1273</v>
      </c>
      <c r="T1429">
        <v>89107000</v>
      </c>
      <c r="U1429" s="1" t="s">
        <v>108</v>
      </c>
      <c r="V1429" s="1" t="s">
        <v>7483</v>
      </c>
      <c r="W1429" s="1" t="s">
        <v>87</v>
      </c>
      <c r="X1429">
        <v>47</v>
      </c>
      <c r="Y1429">
        <v>33042772</v>
      </c>
      <c r="Z1429" t="s">
        <v>91</v>
      </c>
      <c r="AA1429" t="s">
        <v>91</v>
      </c>
      <c r="AB1429" t="s">
        <v>91</v>
      </c>
      <c r="AC1429" t="s">
        <v>91</v>
      </c>
      <c r="AD1429" t="s">
        <v>91</v>
      </c>
      <c r="AE1429" t="s">
        <v>91</v>
      </c>
      <c r="AF1429" t="s">
        <v>91</v>
      </c>
      <c r="AG1429" s="1" t="s">
        <v>146</v>
      </c>
      <c r="AH1429" s="1" t="s">
        <v>91</v>
      </c>
      <c r="AI1429" t="s">
        <v>91</v>
      </c>
      <c r="AM1429" t="s">
        <v>91</v>
      </c>
      <c r="AN1429" t="s">
        <v>91</v>
      </c>
      <c r="AO1429" t="s">
        <v>91</v>
      </c>
      <c r="AP1429" t="s">
        <v>91</v>
      </c>
      <c r="AQ1429" s="1" t="s">
        <v>147</v>
      </c>
      <c r="AR1429" s="1" t="s">
        <v>147</v>
      </c>
      <c r="AS1429" s="1" t="s">
        <v>147</v>
      </c>
      <c r="AT1429" s="1" t="s">
        <v>147</v>
      </c>
      <c r="AU1429" s="1" t="s">
        <v>147</v>
      </c>
      <c r="AV1429" t="s">
        <v>91</v>
      </c>
      <c r="AW1429" t="s">
        <v>91</v>
      </c>
      <c r="AX1429" t="s">
        <v>91</v>
      </c>
      <c r="AY1429" t="s">
        <v>91</v>
      </c>
      <c r="AZ1429" t="s">
        <v>91</v>
      </c>
      <c r="BA1429" t="s">
        <v>91</v>
      </c>
      <c r="BB1429" s="2">
        <v>44386.871064814812</v>
      </c>
      <c r="BC1429" s="2">
        <v>45121.617592592593</v>
      </c>
      <c r="BD1429" t="s">
        <v>91</v>
      </c>
      <c r="BF1429" s="1" t="s">
        <v>75</v>
      </c>
      <c r="BH1429">
        <v>0</v>
      </c>
      <c r="BI1429" s="1" t="s">
        <v>721</v>
      </c>
      <c r="BJ1429">
        <v>1</v>
      </c>
      <c r="BK1429" s="1" t="s">
        <v>89</v>
      </c>
      <c r="BL1429" t="s">
        <v>91</v>
      </c>
      <c r="BM1429" s="1" t="s">
        <v>109</v>
      </c>
      <c r="BN1429" s="1" t="s">
        <v>110</v>
      </c>
      <c r="BO1429" s="1" t="s">
        <v>165</v>
      </c>
      <c r="BP1429" s="1" t="s">
        <v>91</v>
      </c>
      <c r="BQ1429" t="s">
        <v>91</v>
      </c>
      <c r="BR1429" s="3">
        <v>44386</v>
      </c>
      <c r="BS1429" s="3">
        <v>45121</v>
      </c>
      <c r="BT1429" t="s">
        <v>91</v>
      </c>
      <c r="BU1429" t="s">
        <v>91</v>
      </c>
      <c r="BW1429" s="1" t="s">
        <v>83</v>
      </c>
    </row>
    <row r="1430" spans="1:75" hidden="1" x14ac:dyDescent="0.35">
      <c r="A1430">
        <v>137666</v>
      </c>
      <c r="B1430" s="1" t="s">
        <v>75</v>
      </c>
      <c r="C1430">
        <v>80</v>
      </c>
      <c r="D1430">
        <v>11121004</v>
      </c>
      <c r="E1430">
        <v>121004</v>
      </c>
      <c r="F1430" s="1" t="s">
        <v>6867</v>
      </c>
      <c r="G1430" s="1" t="s">
        <v>7737</v>
      </c>
      <c r="H1430">
        <v>0</v>
      </c>
      <c r="I1430" s="1" t="s">
        <v>78</v>
      </c>
      <c r="J1430" s="1" t="s">
        <v>7738</v>
      </c>
      <c r="K1430" s="1" t="s">
        <v>7739</v>
      </c>
      <c r="L1430" t="s">
        <v>91</v>
      </c>
      <c r="M1430" t="s">
        <v>91</v>
      </c>
      <c r="N1430" s="1" t="s">
        <v>7740</v>
      </c>
      <c r="O1430" t="s">
        <v>91</v>
      </c>
      <c r="P1430" s="1" t="s">
        <v>2204</v>
      </c>
      <c r="Q1430" s="1" t="s">
        <v>1452</v>
      </c>
      <c r="R1430" s="1" t="s">
        <v>820</v>
      </c>
      <c r="S1430">
        <v>1273</v>
      </c>
      <c r="T1430">
        <v>89080039</v>
      </c>
      <c r="U1430" s="1" t="s">
        <v>108</v>
      </c>
      <c r="V1430" s="1" t="s">
        <v>7659</v>
      </c>
      <c r="W1430" s="1" t="s">
        <v>87</v>
      </c>
      <c r="X1430">
        <v>47</v>
      </c>
      <c r="Y1430">
        <v>30198199</v>
      </c>
      <c r="Z1430" t="s">
        <v>91</v>
      </c>
      <c r="AA1430" t="s">
        <v>91</v>
      </c>
      <c r="AB1430" t="s">
        <v>91</v>
      </c>
      <c r="AC1430" t="s">
        <v>91</v>
      </c>
      <c r="AD1430" t="s">
        <v>91</v>
      </c>
      <c r="AE1430" t="s">
        <v>91</v>
      </c>
      <c r="AF1430" t="s">
        <v>91</v>
      </c>
      <c r="AG1430" s="1" t="s">
        <v>146</v>
      </c>
      <c r="AH1430" s="1" t="s">
        <v>91</v>
      </c>
      <c r="AI1430" t="s">
        <v>91</v>
      </c>
      <c r="AM1430" t="s">
        <v>91</v>
      </c>
      <c r="AN1430" t="s">
        <v>91</v>
      </c>
      <c r="AO1430" t="s">
        <v>91</v>
      </c>
      <c r="AP1430" t="s">
        <v>91</v>
      </c>
      <c r="AQ1430" s="1" t="s">
        <v>147</v>
      </c>
      <c r="AR1430" s="1" t="s">
        <v>147</v>
      </c>
      <c r="AS1430" s="1" t="s">
        <v>147</v>
      </c>
      <c r="AT1430" s="1" t="s">
        <v>147</v>
      </c>
      <c r="AU1430" s="1" t="s">
        <v>147</v>
      </c>
      <c r="AV1430" t="s">
        <v>91</v>
      </c>
      <c r="AW1430" t="s">
        <v>91</v>
      </c>
      <c r="AX1430" t="s">
        <v>91</v>
      </c>
      <c r="AY1430" t="s">
        <v>91</v>
      </c>
      <c r="AZ1430" t="s">
        <v>91</v>
      </c>
      <c r="BA1430" t="s">
        <v>91</v>
      </c>
      <c r="BB1430" s="2">
        <v>44378.578518518516</v>
      </c>
      <c r="BC1430" s="2">
        <v>45121.687708333331</v>
      </c>
      <c r="BD1430" t="s">
        <v>91</v>
      </c>
      <c r="BF1430" s="1" t="s">
        <v>75</v>
      </c>
      <c r="BH1430">
        <v>0</v>
      </c>
      <c r="BI1430" s="1" t="s">
        <v>721</v>
      </c>
      <c r="BJ1430">
        <v>1</v>
      </c>
      <c r="BK1430" s="1" t="s">
        <v>89</v>
      </c>
      <c r="BL1430" t="s">
        <v>91</v>
      </c>
      <c r="BM1430" s="1" t="s">
        <v>109</v>
      </c>
      <c r="BN1430" s="1" t="s">
        <v>110</v>
      </c>
      <c r="BO1430" s="1" t="s">
        <v>111</v>
      </c>
      <c r="BP1430" s="1" t="s">
        <v>91</v>
      </c>
      <c r="BQ1430" t="s">
        <v>91</v>
      </c>
      <c r="BR1430" s="3">
        <v>44378</v>
      </c>
      <c r="BS1430" s="3">
        <v>45121</v>
      </c>
      <c r="BT1430" t="s">
        <v>91</v>
      </c>
      <c r="BU1430" t="s">
        <v>91</v>
      </c>
      <c r="BW1430" s="1" t="s">
        <v>589</v>
      </c>
    </row>
    <row r="1431" spans="1:75" hidden="1" x14ac:dyDescent="0.35">
      <c r="A1431">
        <v>137667</v>
      </c>
      <c r="B1431" s="1" t="s">
        <v>75</v>
      </c>
      <c r="C1431">
        <v>80</v>
      </c>
      <c r="D1431">
        <v>11121004</v>
      </c>
      <c r="E1431">
        <v>121004</v>
      </c>
      <c r="F1431" s="1" t="s">
        <v>6867</v>
      </c>
      <c r="G1431" s="1" t="s">
        <v>7741</v>
      </c>
      <c r="H1431">
        <v>0</v>
      </c>
      <c r="I1431" s="1" t="s">
        <v>78</v>
      </c>
      <c r="J1431" s="1" t="s">
        <v>7742</v>
      </c>
      <c r="K1431" s="1" t="s">
        <v>7743</v>
      </c>
      <c r="L1431" t="s">
        <v>91</v>
      </c>
      <c r="M1431" t="s">
        <v>91</v>
      </c>
      <c r="N1431" s="1" t="s">
        <v>7744</v>
      </c>
      <c r="O1431" t="s">
        <v>91</v>
      </c>
      <c r="P1431" s="1" t="s">
        <v>260</v>
      </c>
      <c r="Q1431" s="1" t="s">
        <v>1394</v>
      </c>
      <c r="R1431" s="1" t="s">
        <v>370</v>
      </c>
      <c r="S1431">
        <v>1275</v>
      </c>
      <c r="T1431">
        <v>89120000</v>
      </c>
      <c r="U1431" s="1" t="s">
        <v>108</v>
      </c>
      <c r="V1431" s="1" t="s">
        <v>7364</v>
      </c>
      <c r="W1431" s="1" t="s">
        <v>87</v>
      </c>
      <c r="X1431">
        <v>47</v>
      </c>
      <c r="Y1431">
        <v>33808774</v>
      </c>
      <c r="Z1431" t="s">
        <v>91</v>
      </c>
      <c r="AA1431" t="s">
        <v>91</v>
      </c>
      <c r="AB1431" t="s">
        <v>91</v>
      </c>
      <c r="AC1431" t="s">
        <v>91</v>
      </c>
      <c r="AD1431" t="s">
        <v>91</v>
      </c>
      <c r="AE1431" t="s">
        <v>91</v>
      </c>
      <c r="AF1431" t="s">
        <v>91</v>
      </c>
      <c r="AG1431" s="1" t="s">
        <v>146</v>
      </c>
      <c r="AH1431" s="1" t="s">
        <v>91</v>
      </c>
      <c r="AI1431" t="s">
        <v>91</v>
      </c>
      <c r="AM1431" t="s">
        <v>91</v>
      </c>
      <c r="AN1431" t="s">
        <v>91</v>
      </c>
      <c r="AO1431" t="s">
        <v>91</v>
      </c>
      <c r="AP1431" t="s">
        <v>91</v>
      </c>
      <c r="AQ1431" s="1" t="s">
        <v>147</v>
      </c>
      <c r="AR1431" s="1" t="s">
        <v>147</v>
      </c>
      <c r="AS1431" s="1" t="s">
        <v>147</v>
      </c>
      <c r="AT1431" s="1" t="s">
        <v>147</v>
      </c>
      <c r="AU1431" s="1" t="s">
        <v>147</v>
      </c>
      <c r="AV1431" t="s">
        <v>91</v>
      </c>
      <c r="AW1431" t="s">
        <v>91</v>
      </c>
      <c r="AX1431" t="s">
        <v>91</v>
      </c>
      <c r="AY1431" t="s">
        <v>91</v>
      </c>
      <c r="AZ1431" t="s">
        <v>91</v>
      </c>
      <c r="BA1431" t="s">
        <v>91</v>
      </c>
      <c r="BB1431" s="2">
        <v>44378.578518518516</v>
      </c>
      <c r="BC1431" s="2">
        <v>45117.601041666669</v>
      </c>
      <c r="BD1431" t="s">
        <v>91</v>
      </c>
      <c r="BF1431" s="1" t="s">
        <v>75</v>
      </c>
      <c r="BH1431">
        <v>0</v>
      </c>
      <c r="BI1431" s="1" t="s">
        <v>88</v>
      </c>
      <c r="BJ1431">
        <v>1</v>
      </c>
      <c r="BK1431" s="1" t="s">
        <v>89</v>
      </c>
      <c r="BL1431" t="s">
        <v>91</v>
      </c>
      <c r="BM1431" s="1" t="s">
        <v>109</v>
      </c>
      <c r="BN1431" s="1" t="s">
        <v>110</v>
      </c>
      <c r="BO1431" s="1" t="s">
        <v>91</v>
      </c>
      <c r="BP1431" s="1" t="s">
        <v>91</v>
      </c>
      <c r="BQ1431" t="s">
        <v>91</v>
      </c>
      <c r="BR1431" s="3">
        <v>44378</v>
      </c>
      <c r="BS1431" s="3">
        <v>45117</v>
      </c>
      <c r="BT1431" t="s">
        <v>91</v>
      </c>
      <c r="BU1431" t="s">
        <v>91</v>
      </c>
      <c r="BW1431" s="1" t="s">
        <v>83</v>
      </c>
    </row>
    <row r="1432" spans="1:75" hidden="1" x14ac:dyDescent="0.35">
      <c r="A1432">
        <v>137668</v>
      </c>
      <c r="B1432" s="1" t="s">
        <v>75</v>
      </c>
      <c r="C1432">
        <v>80</v>
      </c>
      <c r="D1432">
        <v>11121004</v>
      </c>
      <c r="E1432">
        <v>121004</v>
      </c>
      <c r="F1432" s="1" t="s">
        <v>6867</v>
      </c>
      <c r="G1432" s="1" t="s">
        <v>7745</v>
      </c>
      <c r="H1432">
        <v>0</v>
      </c>
      <c r="I1432" s="1" t="s">
        <v>78</v>
      </c>
      <c r="J1432" s="1" t="s">
        <v>7746</v>
      </c>
      <c r="K1432" s="1" t="s">
        <v>7747</v>
      </c>
      <c r="L1432" t="s">
        <v>91</v>
      </c>
      <c r="M1432" t="s">
        <v>91</v>
      </c>
      <c r="N1432" s="1" t="s">
        <v>7748</v>
      </c>
      <c r="O1432" t="s">
        <v>91</v>
      </c>
      <c r="P1432" s="1" t="s">
        <v>7749</v>
      </c>
      <c r="Q1432" s="1" t="s">
        <v>7750</v>
      </c>
      <c r="R1432" s="1" t="s">
        <v>664</v>
      </c>
      <c r="T1432">
        <v>88303302</v>
      </c>
      <c r="U1432" s="1" t="s">
        <v>7751</v>
      </c>
      <c r="V1432" s="1" t="s">
        <v>6874</v>
      </c>
      <c r="W1432" s="1" t="s">
        <v>87</v>
      </c>
      <c r="X1432">
        <v>47</v>
      </c>
      <c r="Y1432">
        <v>20337770</v>
      </c>
      <c r="Z1432" t="s">
        <v>91</v>
      </c>
      <c r="AA1432" t="s">
        <v>91</v>
      </c>
      <c r="AB1432" t="s">
        <v>91</v>
      </c>
      <c r="AC1432" t="s">
        <v>91</v>
      </c>
      <c r="AD1432" t="s">
        <v>91</v>
      </c>
      <c r="AE1432" t="s">
        <v>91</v>
      </c>
      <c r="AF1432" t="s">
        <v>91</v>
      </c>
      <c r="AG1432" s="1" t="s">
        <v>146</v>
      </c>
      <c r="AH1432" s="1" t="s">
        <v>91</v>
      </c>
      <c r="AI1432" t="s">
        <v>91</v>
      </c>
      <c r="AM1432" t="s">
        <v>91</v>
      </c>
      <c r="AN1432" t="s">
        <v>91</v>
      </c>
      <c r="AO1432" t="s">
        <v>91</v>
      </c>
      <c r="AP1432" t="s">
        <v>91</v>
      </c>
      <c r="AQ1432" s="1" t="s">
        <v>147</v>
      </c>
      <c r="AR1432" s="1" t="s">
        <v>147</v>
      </c>
      <c r="AS1432" s="1" t="s">
        <v>147</v>
      </c>
      <c r="AT1432" s="1" t="s">
        <v>147</v>
      </c>
      <c r="AU1432" s="1" t="s">
        <v>147</v>
      </c>
      <c r="AV1432" t="s">
        <v>91</v>
      </c>
      <c r="AW1432" t="s">
        <v>91</v>
      </c>
      <c r="AX1432" t="s">
        <v>91</v>
      </c>
      <c r="AY1432" t="s">
        <v>91</v>
      </c>
      <c r="AZ1432" t="s">
        <v>91</v>
      </c>
      <c r="BA1432" t="s">
        <v>91</v>
      </c>
      <c r="BB1432" s="2">
        <v>44378.578518518516</v>
      </c>
      <c r="BC1432" s="2">
        <v>44452.633553240739</v>
      </c>
      <c r="BD1432" t="s">
        <v>91</v>
      </c>
      <c r="BF1432" s="1" t="s">
        <v>75</v>
      </c>
      <c r="BH1432">
        <v>0</v>
      </c>
      <c r="BI1432" s="1" t="s">
        <v>88</v>
      </c>
      <c r="BJ1432">
        <v>1</v>
      </c>
      <c r="BK1432" s="1" t="s">
        <v>89</v>
      </c>
      <c r="BL1432" t="s">
        <v>91</v>
      </c>
      <c r="BM1432" s="1" t="s">
        <v>109</v>
      </c>
      <c r="BN1432" s="1" t="s">
        <v>110</v>
      </c>
      <c r="BO1432" s="1" t="s">
        <v>128</v>
      </c>
      <c r="BP1432" s="1" t="s">
        <v>91</v>
      </c>
      <c r="BQ1432" t="s">
        <v>91</v>
      </c>
      <c r="BR1432" s="3">
        <v>44378</v>
      </c>
      <c r="BS1432" s="3">
        <v>44452</v>
      </c>
      <c r="BT1432" t="s">
        <v>91</v>
      </c>
      <c r="BU1432" t="s">
        <v>91</v>
      </c>
      <c r="BW1432" s="1" t="s">
        <v>478</v>
      </c>
    </row>
    <row r="1433" spans="1:75" hidden="1" x14ac:dyDescent="0.35">
      <c r="A1433">
        <v>157787</v>
      </c>
      <c r="B1433" s="1" t="s">
        <v>75</v>
      </c>
      <c r="C1433">
        <v>80</v>
      </c>
      <c r="D1433">
        <v>11121004</v>
      </c>
      <c r="E1433">
        <v>121004</v>
      </c>
      <c r="F1433" s="1" t="s">
        <v>6867</v>
      </c>
      <c r="G1433" s="1" t="s">
        <v>7752</v>
      </c>
      <c r="H1433">
        <v>0</v>
      </c>
      <c r="I1433" s="1" t="s">
        <v>78</v>
      </c>
      <c r="J1433" s="1" t="s">
        <v>7753</v>
      </c>
      <c r="K1433" s="1" t="s">
        <v>7754</v>
      </c>
      <c r="L1433" t="s">
        <v>91</v>
      </c>
      <c r="M1433" t="s">
        <v>91</v>
      </c>
      <c r="N1433" s="1" t="s">
        <v>7755</v>
      </c>
      <c r="O1433" t="s">
        <v>91</v>
      </c>
      <c r="P1433" s="1" t="s">
        <v>7756</v>
      </c>
      <c r="Q1433" s="1" t="s">
        <v>388</v>
      </c>
      <c r="R1433" s="1" t="s">
        <v>236</v>
      </c>
      <c r="S1433">
        <v>1260</v>
      </c>
      <c r="T1433">
        <v>88200000</v>
      </c>
      <c r="U1433" s="1" t="s">
        <v>108</v>
      </c>
      <c r="V1433" s="1" t="s">
        <v>6906</v>
      </c>
      <c r="W1433" s="1" t="s">
        <v>87</v>
      </c>
      <c r="X1433">
        <v>48</v>
      </c>
      <c r="Y1433">
        <v>32634526</v>
      </c>
      <c r="Z1433" t="s">
        <v>91</v>
      </c>
      <c r="AA1433" t="s">
        <v>91</v>
      </c>
      <c r="AB1433" t="s">
        <v>91</v>
      </c>
      <c r="AC1433" t="s">
        <v>91</v>
      </c>
      <c r="AD1433" t="s">
        <v>91</v>
      </c>
      <c r="AE1433" t="s">
        <v>91</v>
      </c>
      <c r="AF1433" t="s">
        <v>91</v>
      </c>
      <c r="AG1433" s="1" t="s">
        <v>91</v>
      </c>
      <c r="AH1433" s="1" t="s">
        <v>91</v>
      </c>
      <c r="AI1433" t="s">
        <v>91</v>
      </c>
      <c r="AM1433" t="s">
        <v>91</v>
      </c>
      <c r="AN1433" t="s">
        <v>91</v>
      </c>
      <c r="AO1433" t="s">
        <v>91</v>
      </c>
      <c r="AP1433" t="s">
        <v>91</v>
      </c>
      <c r="AQ1433" s="1" t="s">
        <v>91</v>
      </c>
      <c r="AR1433" s="1" t="s">
        <v>91</v>
      </c>
      <c r="AS1433" s="1" t="s">
        <v>91</v>
      </c>
      <c r="AT1433" s="1" t="s">
        <v>91</v>
      </c>
      <c r="AU1433" s="1" t="s">
        <v>91</v>
      </c>
      <c r="AV1433" t="s">
        <v>91</v>
      </c>
      <c r="AW1433" t="s">
        <v>91</v>
      </c>
      <c r="AX1433" t="s">
        <v>91</v>
      </c>
      <c r="AY1433" t="s">
        <v>91</v>
      </c>
      <c r="AZ1433" t="s">
        <v>91</v>
      </c>
      <c r="BA1433" t="s">
        <v>91</v>
      </c>
      <c r="BB1433" s="2">
        <v>45118.101759259262</v>
      </c>
      <c r="BC1433" s="2"/>
      <c r="BD1433" t="s">
        <v>91</v>
      </c>
      <c r="BF1433" s="1" t="s">
        <v>75</v>
      </c>
      <c r="BI1433" s="1" t="s">
        <v>88</v>
      </c>
      <c r="BJ1433">
        <v>1</v>
      </c>
      <c r="BK1433" s="1" t="s">
        <v>89</v>
      </c>
      <c r="BL1433" t="s">
        <v>91</v>
      </c>
      <c r="BM1433" s="1" t="s">
        <v>91</v>
      </c>
      <c r="BN1433" s="1" t="s">
        <v>91</v>
      </c>
      <c r="BO1433" s="1" t="s">
        <v>91</v>
      </c>
      <c r="BP1433" s="1" t="s">
        <v>91</v>
      </c>
      <c r="BQ1433" t="s">
        <v>91</v>
      </c>
      <c r="BR1433" s="3">
        <v>45118</v>
      </c>
      <c r="BS1433" s="3"/>
      <c r="BT1433" t="s">
        <v>91</v>
      </c>
      <c r="BU1433" t="s">
        <v>91</v>
      </c>
      <c r="BW1433" s="1" t="s">
        <v>90</v>
      </c>
    </row>
    <row r="1434" spans="1:75" hidden="1" x14ac:dyDescent="0.35">
      <c r="A1434">
        <v>157801</v>
      </c>
      <c r="B1434" s="1" t="s">
        <v>75</v>
      </c>
      <c r="C1434">
        <v>80</v>
      </c>
      <c r="D1434">
        <v>11121004</v>
      </c>
      <c r="E1434">
        <v>121004</v>
      </c>
      <c r="F1434" s="1" t="s">
        <v>6867</v>
      </c>
      <c r="G1434" s="1" t="s">
        <v>7757</v>
      </c>
      <c r="H1434">
        <v>0</v>
      </c>
      <c r="I1434" s="1" t="s">
        <v>78</v>
      </c>
      <c r="J1434" s="1" t="s">
        <v>7758</v>
      </c>
      <c r="K1434" s="1" t="s">
        <v>7759</v>
      </c>
      <c r="L1434" t="s">
        <v>91</v>
      </c>
      <c r="M1434" t="s">
        <v>91</v>
      </c>
      <c r="N1434" s="1" t="s">
        <v>7760</v>
      </c>
      <c r="O1434" t="s">
        <v>91</v>
      </c>
      <c r="P1434" s="1" t="s">
        <v>243</v>
      </c>
      <c r="Q1434" s="1" t="s">
        <v>7761</v>
      </c>
      <c r="R1434" s="1" t="s">
        <v>7762</v>
      </c>
      <c r="S1434">
        <v>1262</v>
      </c>
      <c r="T1434">
        <v>88330900</v>
      </c>
      <c r="U1434" s="1" t="s">
        <v>108</v>
      </c>
      <c r="V1434" s="1" t="s">
        <v>5871</v>
      </c>
      <c r="W1434" s="1" t="s">
        <v>87</v>
      </c>
      <c r="X1434">
        <v>47</v>
      </c>
      <c r="Y1434">
        <v>33633844</v>
      </c>
      <c r="Z1434" t="s">
        <v>91</v>
      </c>
      <c r="AA1434" t="s">
        <v>91</v>
      </c>
      <c r="AB1434" t="s">
        <v>91</v>
      </c>
      <c r="AC1434" t="s">
        <v>91</v>
      </c>
      <c r="AD1434" t="s">
        <v>91</v>
      </c>
      <c r="AE1434" t="s">
        <v>91</v>
      </c>
      <c r="AF1434" t="s">
        <v>91</v>
      </c>
      <c r="AG1434" s="1" t="s">
        <v>91</v>
      </c>
      <c r="AH1434" s="1" t="s">
        <v>91</v>
      </c>
      <c r="AI1434" t="s">
        <v>91</v>
      </c>
      <c r="AM1434" t="s">
        <v>91</v>
      </c>
      <c r="AN1434" t="s">
        <v>91</v>
      </c>
      <c r="AO1434" t="s">
        <v>91</v>
      </c>
      <c r="AP1434" t="s">
        <v>91</v>
      </c>
      <c r="AQ1434" s="1" t="s">
        <v>91</v>
      </c>
      <c r="AR1434" s="1" t="s">
        <v>91</v>
      </c>
      <c r="AS1434" s="1" t="s">
        <v>91</v>
      </c>
      <c r="AT1434" s="1" t="s">
        <v>91</v>
      </c>
      <c r="AU1434" s="1" t="s">
        <v>91</v>
      </c>
      <c r="AV1434" t="s">
        <v>91</v>
      </c>
      <c r="AW1434" t="s">
        <v>91</v>
      </c>
      <c r="AX1434" t="s">
        <v>91</v>
      </c>
      <c r="AY1434" t="s">
        <v>91</v>
      </c>
      <c r="AZ1434" t="s">
        <v>91</v>
      </c>
      <c r="BA1434" t="s">
        <v>91</v>
      </c>
      <c r="BB1434" s="2">
        <v>45118.101759259262</v>
      </c>
      <c r="BC1434" s="2"/>
      <c r="BD1434" t="s">
        <v>91</v>
      </c>
      <c r="BF1434" s="1" t="s">
        <v>75</v>
      </c>
      <c r="BI1434" s="1" t="s">
        <v>88</v>
      </c>
      <c r="BJ1434">
        <v>1</v>
      </c>
      <c r="BK1434" s="1" t="s">
        <v>89</v>
      </c>
      <c r="BL1434" t="s">
        <v>91</v>
      </c>
      <c r="BM1434" s="1" t="s">
        <v>91</v>
      </c>
      <c r="BN1434" s="1" t="s">
        <v>91</v>
      </c>
      <c r="BO1434" s="1" t="s">
        <v>91</v>
      </c>
      <c r="BP1434" s="1" t="s">
        <v>91</v>
      </c>
      <c r="BQ1434" t="s">
        <v>91</v>
      </c>
      <c r="BR1434" s="3">
        <v>45118</v>
      </c>
      <c r="BS1434" s="3"/>
      <c r="BT1434" t="s">
        <v>91</v>
      </c>
      <c r="BU1434" t="s">
        <v>91</v>
      </c>
      <c r="BW1434" s="1" t="s">
        <v>90</v>
      </c>
    </row>
    <row r="1435" spans="1:75" hidden="1" x14ac:dyDescent="0.35">
      <c r="A1435">
        <v>137670</v>
      </c>
      <c r="B1435" s="1" t="s">
        <v>75</v>
      </c>
      <c r="C1435">
        <v>80</v>
      </c>
      <c r="D1435">
        <v>11121004</v>
      </c>
      <c r="E1435">
        <v>121004</v>
      </c>
      <c r="F1435" s="1" t="s">
        <v>6867</v>
      </c>
      <c r="G1435" s="1" t="s">
        <v>7763</v>
      </c>
      <c r="H1435">
        <v>0</v>
      </c>
      <c r="I1435" s="1" t="s">
        <v>78</v>
      </c>
      <c r="J1435" s="1" t="s">
        <v>7764</v>
      </c>
      <c r="K1435" s="1" t="s">
        <v>7765</v>
      </c>
      <c r="L1435" t="s">
        <v>91</v>
      </c>
      <c r="M1435" t="s">
        <v>91</v>
      </c>
      <c r="N1435" s="1" t="s">
        <v>7766</v>
      </c>
      <c r="O1435" t="s">
        <v>91</v>
      </c>
      <c r="P1435" s="1" t="s">
        <v>7767</v>
      </c>
      <c r="Q1435" s="1" t="s">
        <v>2941</v>
      </c>
      <c r="R1435" s="1" t="s">
        <v>370</v>
      </c>
      <c r="T1435">
        <v>88348062</v>
      </c>
      <c r="U1435" s="1" t="s">
        <v>7768</v>
      </c>
      <c r="V1435" s="1" t="s">
        <v>7223</v>
      </c>
      <c r="W1435" s="1" t="s">
        <v>87</v>
      </c>
      <c r="X1435">
        <v>47</v>
      </c>
      <c r="Y1435">
        <v>996907989</v>
      </c>
      <c r="Z1435" t="s">
        <v>91</v>
      </c>
      <c r="AA1435" t="s">
        <v>91</v>
      </c>
      <c r="AB1435" t="s">
        <v>91</v>
      </c>
      <c r="AC1435" t="s">
        <v>91</v>
      </c>
      <c r="AD1435" t="s">
        <v>91</v>
      </c>
      <c r="AE1435" t="s">
        <v>91</v>
      </c>
      <c r="AF1435" t="s">
        <v>91</v>
      </c>
      <c r="AG1435" s="1" t="s">
        <v>146</v>
      </c>
      <c r="AH1435" s="1" t="s">
        <v>91</v>
      </c>
      <c r="AI1435" t="s">
        <v>91</v>
      </c>
      <c r="AM1435" t="s">
        <v>91</v>
      </c>
      <c r="AN1435" t="s">
        <v>91</v>
      </c>
      <c r="AO1435" t="s">
        <v>91</v>
      </c>
      <c r="AP1435" t="s">
        <v>91</v>
      </c>
      <c r="AQ1435" s="1" t="s">
        <v>147</v>
      </c>
      <c r="AR1435" s="1" t="s">
        <v>147</v>
      </c>
      <c r="AS1435" s="1" t="s">
        <v>147</v>
      </c>
      <c r="AT1435" s="1" t="s">
        <v>147</v>
      </c>
      <c r="AU1435" s="1" t="s">
        <v>147</v>
      </c>
      <c r="AV1435" t="s">
        <v>91</v>
      </c>
      <c r="AW1435" t="s">
        <v>91</v>
      </c>
      <c r="AX1435" t="s">
        <v>91</v>
      </c>
      <c r="AY1435" t="s">
        <v>91</v>
      </c>
      <c r="AZ1435" t="s">
        <v>91</v>
      </c>
      <c r="BA1435" t="s">
        <v>91</v>
      </c>
      <c r="BB1435" s="2">
        <v>44378.578518518516</v>
      </c>
      <c r="BC1435" s="2">
        <v>44614.6562962963</v>
      </c>
      <c r="BD1435" t="s">
        <v>91</v>
      </c>
      <c r="BF1435" s="1" t="s">
        <v>75</v>
      </c>
      <c r="BH1435">
        <v>0</v>
      </c>
      <c r="BI1435" s="1" t="s">
        <v>88</v>
      </c>
      <c r="BJ1435">
        <v>1</v>
      </c>
      <c r="BK1435" s="1" t="s">
        <v>89</v>
      </c>
      <c r="BL1435" t="s">
        <v>91</v>
      </c>
      <c r="BM1435" s="1" t="s">
        <v>109</v>
      </c>
      <c r="BN1435" s="1" t="s">
        <v>110</v>
      </c>
      <c r="BO1435" s="1" t="s">
        <v>91</v>
      </c>
      <c r="BP1435" s="1" t="s">
        <v>91</v>
      </c>
      <c r="BQ1435" t="s">
        <v>91</v>
      </c>
      <c r="BR1435" s="3">
        <v>44378</v>
      </c>
      <c r="BS1435" s="3">
        <v>44614</v>
      </c>
      <c r="BT1435" t="s">
        <v>91</v>
      </c>
      <c r="BU1435" t="s">
        <v>91</v>
      </c>
      <c r="BW1435" s="1" t="s">
        <v>3506</v>
      </c>
    </row>
    <row r="1436" spans="1:75" hidden="1" x14ac:dyDescent="0.35">
      <c r="A1436">
        <v>137671</v>
      </c>
      <c r="B1436" s="1" t="s">
        <v>75</v>
      </c>
      <c r="C1436">
        <v>80</v>
      </c>
      <c r="D1436">
        <v>11121004</v>
      </c>
      <c r="E1436">
        <v>121004</v>
      </c>
      <c r="F1436" s="1" t="s">
        <v>6867</v>
      </c>
      <c r="G1436" s="1" t="s">
        <v>7769</v>
      </c>
      <c r="H1436">
        <v>0</v>
      </c>
      <c r="I1436" s="1" t="s">
        <v>78</v>
      </c>
      <c r="J1436" s="1" t="s">
        <v>7770</v>
      </c>
      <c r="K1436" s="1" t="s">
        <v>7771</v>
      </c>
      <c r="L1436" t="s">
        <v>91</v>
      </c>
      <c r="M1436" t="s">
        <v>91</v>
      </c>
      <c r="N1436" s="1" t="s">
        <v>91</v>
      </c>
      <c r="O1436" t="s">
        <v>91</v>
      </c>
      <c r="P1436" s="1" t="s">
        <v>7772</v>
      </c>
      <c r="Q1436" s="1" t="s">
        <v>7773</v>
      </c>
      <c r="R1436" s="1" t="s">
        <v>236</v>
      </c>
      <c r="S1436">
        <v>1262</v>
      </c>
      <c r="T1436">
        <v>88330091</v>
      </c>
      <c r="U1436" s="1" t="s">
        <v>108</v>
      </c>
      <c r="V1436" s="1" t="s">
        <v>6898</v>
      </c>
      <c r="W1436" s="1" t="s">
        <v>87</v>
      </c>
      <c r="X1436">
        <v>47</v>
      </c>
      <c r="Y1436">
        <v>30564861</v>
      </c>
      <c r="Z1436" t="s">
        <v>91</v>
      </c>
      <c r="AA1436" t="s">
        <v>91</v>
      </c>
      <c r="AB1436" t="s">
        <v>91</v>
      </c>
      <c r="AC1436" t="s">
        <v>91</v>
      </c>
      <c r="AD1436" t="s">
        <v>91</v>
      </c>
      <c r="AE1436" t="s">
        <v>91</v>
      </c>
      <c r="AF1436" t="s">
        <v>91</v>
      </c>
      <c r="AG1436" s="1" t="s">
        <v>146</v>
      </c>
      <c r="AH1436" s="1" t="s">
        <v>91</v>
      </c>
      <c r="AI1436" t="s">
        <v>91</v>
      </c>
      <c r="AM1436" t="s">
        <v>91</v>
      </c>
      <c r="AN1436" t="s">
        <v>91</v>
      </c>
      <c r="AO1436" t="s">
        <v>91</v>
      </c>
      <c r="AP1436" t="s">
        <v>91</v>
      </c>
      <c r="AQ1436" s="1" t="s">
        <v>147</v>
      </c>
      <c r="AR1436" s="1" t="s">
        <v>147</v>
      </c>
      <c r="AS1436" s="1" t="s">
        <v>147</v>
      </c>
      <c r="AT1436" s="1" t="s">
        <v>147</v>
      </c>
      <c r="AU1436" s="1" t="s">
        <v>147</v>
      </c>
      <c r="AV1436" t="s">
        <v>91</v>
      </c>
      <c r="AW1436" t="s">
        <v>91</v>
      </c>
      <c r="AX1436" t="s">
        <v>91</v>
      </c>
      <c r="AY1436" t="s">
        <v>91</v>
      </c>
      <c r="AZ1436" t="s">
        <v>91</v>
      </c>
      <c r="BA1436" t="s">
        <v>91</v>
      </c>
      <c r="BB1436" s="2">
        <v>44378.578518518516</v>
      </c>
      <c r="BC1436" s="2">
        <v>44649.363518518519</v>
      </c>
      <c r="BD1436" t="s">
        <v>91</v>
      </c>
      <c r="BF1436" s="1" t="s">
        <v>75</v>
      </c>
      <c r="BH1436">
        <v>0</v>
      </c>
      <c r="BI1436" s="1" t="s">
        <v>88</v>
      </c>
      <c r="BJ1436">
        <v>1</v>
      </c>
      <c r="BK1436" s="1" t="s">
        <v>89</v>
      </c>
      <c r="BL1436" t="s">
        <v>91</v>
      </c>
      <c r="BM1436" s="1" t="s">
        <v>109</v>
      </c>
      <c r="BN1436" s="1" t="s">
        <v>110</v>
      </c>
      <c r="BO1436" s="1" t="s">
        <v>111</v>
      </c>
      <c r="BP1436" s="1" t="s">
        <v>91</v>
      </c>
      <c r="BQ1436" t="s">
        <v>91</v>
      </c>
      <c r="BR1436" s="3">
        <v>44378</v>
      </c>
      <c r="BS1436" s="3">
        <v>44649</v>
      </c>
      <c r="BT1436" t="s">
        <v>91</v>
      </c>
      <c r="BU1436" t="s">
        <v>91</v>
      </c>
      <c r="BW1436" s="1" t="s">
        <v>1383</v>
      </c>
    </row>
    <row r="1437" spans="1:75" hidden="1" x14ac:dyDescent="0.35">
      <c r="A1437">
        <v>137672</v>
      </c>
      <c r="B1437" s="1" t="s">
        <v>75</v>
      </c>
      <c r="C1437">
        <v>80</v>
      </c>
      <c r="D1437">
        <v>11121004</v>
      </c>
      <c r="E1437">
        <v>121004</v>
      </c>
      <c r="F1437" s="1" t="s">
        <v>6867</v>
      </c>
      <c r="G1437" s="1" t="s">
        <v>7774</v>
      </c>
      <c r="H1437">
        <v>0</v>
      </c>
      <c r="I1437" s="1" t="s">
        <v>78</v>
      </c>
      <c r="J1437" s="1" t="s">
        <v>7775</v>
      </c>
      <c r="K1437" s="1" t="s">
        <v>7776</v>
      </c>
      <c r="L1437" t="s">
        <v>91</v>
      </c>
      <c r="M1437" t="s">
        <v>91</v>
      </c>
      <c r="N1437" s="1" t="s">
        <v>7777</v>
      </c>
      <c r="O1437" t="s">
        <v>91</v>
      </c>
      <c r="P1437" s="1" t="s">
        <v>3970</v>
      </c>
      <c r="Q1437" s="1" t="s">
        <v>7545</v>
      </c>
      <c r="R1437" s="1" t="s">
        <v>7778</v>
      </c>
      <c r="S1437">
        <v>1260</v>
      </c>
      <c r="T1437">
        <v>88220000</v>
      </c>
      <c r="U1437" s="1" t="s">
        <v>7195</v>
      </c>
      <c r="V1437" s="1" t="s">
        <v>7015</v>
      </c>
      <c r="W1437" s="1" t="s">
        <v>87</v>
      </c>
      <c r="X1437">
        <v>47</v>
      </c>
      <c r="Y1437">
        <v>999981908</v>
      </c>
      <c r="Z1437" t="s">
        <v>91</v>
      </c>
      <c r="AA1437" t="s">
        <v>91</v>
      </c>
      <c r="AB1437" t="s">
        <v>91</v>
      </c>
      <c r="AC1437" t="s">
        <v>91</v>
      </c>
      <c r="AD1437" t="s">
        <v>91</v>
      </c>
      <c r="AE1437" t="s">
        <v>91</v>
      </c>
      <c r="AF1437" t="s">
        <v>91</v>
      </c>
      <c r="AG1437" s="1" t="s">
        <v>146</v>
      </c>
      <c r="AH1437" s="1" t="s">
        <v>91</v>
      </c>
      <c r="AI1437" t="s">
        <v>91</v>
      </c>
      <c r="AM1437" t="s">
        <v>91</v>
      </c>
      <c r="AN1437" t="s">
        <v>91</v>
      </c>
      <c r="AO1437" t="s">
        <v>91</v>
      </c>
      <c r="AP1437" t="s">
        <v>91</v>
      </c>
      <c r="AQ1437" s="1" t="s">
        <v>147</v>
      </c>
      <c r="AR1437" s="1" t="s">
        <v>147</v>
      </c>
      <c r="AS1437" s="1" t="s">
        <v>147</v>
      </c>
      <c r="AT1437" s="1" t="s">
        <v>147</v>
      </c>
      <c r="AU1437" s="1" t="s">
        <v>147</v>
      </c>
      <c r="AV1437" t="s">
        <v>91</v>
      </c>
      <c r="AW1437" t="s">
        <v>91</v>
      </c>
      <c r="AX1437" t="s">
        <v>91</v>
      </c>
      <c r="AY1437" t="s">
        <v>91</v>
      </c>
      <c r="AZ1437" t="s">
        <v>91</v>
      </c>
      <c r="BA1437" t="s">
        <v>91</v>
      </c>
      <c r="BB1437" s="2">
        <v>44378.578518518516</v>
      </c>
      <c r="BC1437" s="2">
        <v>44649.366527777776</v>
      </c>
      <c r="BD1437" t="s">
        <v>91</v>
      </c>
      <c r="BF1437" s="1" t="s">
        <v>75</v>
      </c>
      <c r="BH1437">
        <v>0</v>
      </c>
      <c r="BI1437" s="1" t="s">
        <v>88</v>
      </c>
      <c r="BJ1437">
        <v>1</v>
      </c>
      <c r="BK1437" s="1" t="s">
        <v>89</v>
      </c>
      <c r="BL1437" t="s">
        <v>91</v>
      </c>
      <c r="BM1437" s="1" t="s">
        <v>109</v>
      </c>
      <c r="BN1437" s="1" t="s">
        <v>110</v>
      </c>
      <c r="BO1437" s="1" t="s">
        <v>180</v>
      </c>
      <c r="BP1437" s="1" t="s">
        <v>91</v>
      </c>
      <c r="BQ1437" t="s">
        <v>91</v>
      </c>
      <c r="BR1437" s="3">
        <v>44378</v>
      </c>
      <c r="BS1437" s="3">
        <v>44649</v>
      </c>
      <c r="BT1437" t="s">
        <v>91</v>
      </c>
      <c r="BU1437" t="s">
        <v>91</v>
      </c>
      <c r="BW1437" s="1" t="s">
        <v>1383</v>
      </c>
    </row>
    <row r="1438" spans="1:75" hidden="1" x14ac:dyDescent="0.35">
      <c r="A1438">
        <v>137673</v>
      </c>
      <c r="B1438" s="1" t="s">
        <v>75</v>
      </c>
      <c r="C1438">
        <v>80</v>
      </c>
      <c r="D1438">
        <v>11121004</v>
      </c>
      <c r="E1438">
        <v>121004</v>
      </c>
      <c r="F1438" s="1" t="s">
        <v>6867</v>
      </c>
      <c r="G1438" s="1" t="s">
        <v>7779</v>
      </c>
      <c r="H1438">
        <v>0</v>
      </c>
      <c r="I1438" s="1" t="s">
        <v>78</v>
      </c>
      <c r="J1438" s="1" t="s">
        <v>7780</v>
      </c>
      <c r="K1438" s="1" t="s">
        <v>7781</v>
      </c>
      <c r="L1438" t="s">
        <v>91</v>
      </c>
      <c r="M1438" t="s">
        <v>91</v>
      </c>
      <c r="N1438" s="1" t="s">
        <v>7782</v>
      </c>
      <c r="O1438" t="s">
        <v>91</v>
      </c>
      <c r="P1438" s="1" t="s">
        <v>7783</v>
      </c>
      <c r="Q1438" s="1" t="s">
        <v>826</v>
      </c>
      <c r="R1438" s="1" t="s">
        <v>7784</v>
      </c>
      <c r="S1438">
        <v>1263</v>
      </c>
      <c r="T1438">
        <v>88354015</v>
      </c>
      <c r="U1438" s="1" t="s">
        <v>108</v>
      </c>
      <c r="V1438" s="1" t="s">
        <v>6936</v>
      </c>
      <c r="W1438" s="1" t="s">
        <v>87</v>
      </c>
      <c r="X1438">
        <v>47</v>
      </c>
      <c r="Y1438">
        <v>32555555</v>
      </c>
      <c r="Z1438" t="s">
        <v>91</v>
      </c>
      <c r="AA1438" t="s">
        <v>91</v>
      </c>
      <c r="AB1438" t="s">
        <v>91</v>
      </c>
      <c r="AC1438" t="s">
        <v>91</v>
      </c>
      <c r="AD1438" t="s">
        <v>91</v>
      </c>
      <c r="AE1438" t="s">
        <v>91</v>
      </c>
      <c r="AF1438" t="s">
        <v>91</v>
      </c>
      <c r="AG1438" s="1" t="s">
        <v>146</v>
      </c>
      <c r="AH1438" s="1" t="s">
        <v>91</v>
      </c>
      <c r="AI1438" t="s">
        <v>91</v>
      </c>
      <c r="AM1438" t="s">
        <v>91</v>
      </c>
      <c r="AN1438" t="s">
        <v>91</v>
      </c>
      <c r="AO1438" t="s">
        <v>91</v>
      </c>
      <c r="AP1438" t="s">
        <v>91</v>
      </c>
      <c r="AQ1438" s="1" t="s">
        <v>147</v>
      </c>
      <c r="AR1438" s="1" t="s">
        <v>147</v>
      </c>
      <c r="AS1438" s="1" t="s">
        <v>147</v>
      </c>
      <c r="AT1438" s="1" t="s">
        <v>147</v>
      </c>
      <c r="AU1438" s="1" t="s">
        <v>147</v>
      </c>
      <c r="AV1438" t="s">
        <v>91</v>
      </c>
      <c r="AW1438" t="s">
        <v>91</v>
      </c>
      <c r="AX1438" t="s">
        <v>91</v>
      </c>
      <c r="AY1438" t="s">
        <v>91</v>
      </c>
      <c r="AZ1438" t="s">
        <v>91</v>
      </c>
      <c r="BA1438" t="s">
        <v>91</v>
      </c>
      <c r="BB1438" s="2">
        <v>44378.578518518516</v>
      </c>
      <c r="BC1438" s="2">
        <v>44631.722870370373</v>
      </c>
      <c r="BD1438" t="s">
        <v>91</v>
      </c>
      <c r="BF1438" s="1" t="s">
        <v>75</v>
      </c>
      <c r="BH1438">
        <v>0</v>
      </c>
      <c r="BI1438" s="1" t="s">
        <v>88</v>
      </c>
      <c r="BJ1438">
        <v>1</v>
      </c>
      <c r="BK1438" s="1" t="s">
        <v>89</v>
      </c>
      <c r="BL1438" t="s">
        <v>91</v>
      </c>
      <c r="BM1438" s="1" t="s">
        <v>164</v>
      </c>
      <c r="BN1438" s="1" t="s">
        <v>110</v>
      </c>
      <c r="BO1438" s="1" t="s">
        <v>165</v>
      </c>
      <c r="BP1438" s="1" t="s">
        <v>91</v>
      </c>
      <c r="BQ1438" t="s">
        <v>91</v>
      </c>
      <c r="BR1438" s="3">
        <v>44378</v>
      </c>
      <c r="BS1438" s="3">
        <v>44631</v>
      </c>
      <c r="BT1438" t="s">
        <v>91</v>
      </c>
      <c r="BU1438" t="s">
        <v>91</v>
      </c>
      <c r="BW1438" s="1" t="s">
        <v>1254</v>
      </c>
    </row>
    <row r="1439" spans="1:75" hidden="1" x14ac:dyDescent="0.35">
      <c r="A1439">
        <v>137674</v>
      </c>
      <c r="B1439" s="1" t="s">
        <v>75</v>
      </c>
      <c r="C1439">
        <v>80</v>
      </c>
      <c r="D1439">
        <v>11121004</v>
      </c>
      <c r="E1439">
        <v>121004</v>
      </c>
      <c r="F1439" s="1" t="s">
        <v>6867</v>
      </c>
      <c r="G1439" s="1" t="s">
        <v>7785</v>
      </c>
      <c r="H1439">
        <v>0</v>
      </c>
      <c r="I1439" s="1" t="s">
        <v>78</v>
      </c>
      <c r="J1439" s="1" t="s">
        <v>7786</v>
      </c>
      <c r="K1439" s="1" t="s">
        <v>7787</v>
      </c>
      <c r="L1439" t="s">
        <v>91</v>
      </c>
      <c r="M1439" t="s">
        <v>91</v>
      </c>
      <c r="N1439" s="1" t="s">
        <v>7788</v>
      </c>
      <c r="O1439" t="s">
        <v>91</v>
      </c>
      <c r="P1439" s="1" t="s">
        <v>7053</v>
      </c>
      <c r="Q1439" s="1" t="s">
        <v>7789</v>
      </c>
      <c r="R1439" s="1" t="s">
        <v>91</v>
      </c>
      <c r="S1439">
        <v>1273</v>
      </c>
      <c r="T1439">
        <v>89022003</v>
      </c>
      <c r="U1439" s="1" t="s">
        <v>7055</v>
      </c>
      <c r="V1439" s="1" t="s">
        <v>3571</v>
      </c>
      <c r="W1439" s="1" t="s">
        <v>87</v>
      </c>
      <c r="X1439">
        <v>47</v>
      </c>
      <c r="Y1439">
        <v>32882410</v>
      </c>
      <c r="Z1439" t="s">
        <v>91</v>
      </c>
      <c r="AA1439" t="s">
        <v>91</v>
      </c>
      <c r="AB1439" t="s">
        <v>91</v>
      </c>
      <c r="AC1439" t="s">
        <v>91</v>
      </c>
      <c r="AD1439" t="s">
        <v>91</v>
      </c>
      <c r="AE1439" t="s">
        <v>91</v>
      </c>
      <c r="AF1439" t="s">
        <v>91</v>
      </c>
      <c r="AG1439" s="1" t="s">
        <v>91</v>
      </c>
      <c r="AH1439" s="1" t="s">
        <v>91</v>
      </c>
      <c r="AI1439" t="s">
        <v>91</v>
      </c>
      <c r="AM1439" t="s">
        <v>91</v>
      </c>
      <c r="AN1439" t="s">
        <v>91</v>
      </c>
      <c r="AO1439" t="s">
        <v>91</v>
      </c>
      <c r="AP1439" t="s">
        <v>91</v>
      </c>
      <c r="AQ1439" s="1" t="s">
        <v>91</v>
      </c>
      <c r="AR1439" s="1" t="s">
        <v>91</v>
      </c>
      <c r="AS1439" s="1" t="s">
        <v>91</v>
      </c>
      <c r="AT1439" s="1" t="s">
        <v>91</v>
      </c>
      <c r="AU1439" s="1" t="s">
        <v>91</v>
      </c>
      <c r="AV1439" t="s">
        <v>91</v>
      </c>
      <c r="AW1439" t="s">
        <v>91</v>
      </c>
      <c r="AX1439" t="s">
        <v>91</v>
      </c>
      <c r="AY1439" t="s">
        <v>91</v>
      </c>
      <c r="AZ1439" t="s">
        <v>91</v>
      </c>
      <c r="BA1439" t="s">
        <v>91</v>
      </c>
      <c r="BB1439" s="2">
        <v>44378.578518518516</v>
      </c>
      <c r="BC1439" s="2"/>
      <c r="BD1439" t="s">
        <v>91</v>
      </c>
      <c r="BF1439" s="1" t="s">
        <v>75</v>
      </c>
      <c r="BI1439" s="1" t="s">
        <v>88</v>
      </c>
      <c r="BJ1439">
        <v>1</v>
      </c>
      <c r="BK1439" s="1" t="s">
        <v>89</v>
      </c>
      <c r="BL1439" t="s">
        <v>91</v>
      </c>
      <c r="BM1439" s="1" t="s">
        <v>109</v>
      </c>
      <c r="BN1439" s="1" t="s">
        <v>110</v>
      </c>
      <c r="BO1439" s="1" t="s">
        <v>128</v>
      </c>
      <c r="BP1439" s="1" t="s">
        <v>91</v>
      </c>
      <c r="BQ1439" t="s">
        <v>91</v>
      </c>
      <c r="BR1439" s="3">
        <v>44378</v>
      </c>
      <c r="BS1439" s="3"/>
      <c r="BT1439" t="s">
        <v>91</v>
      </c>
      <c r="BU1439" t="s">
        <v>91</v>
      </c>
      <c r="BW1439" s="1" t="s">
        <v>295</v>
      </c>
    </row>
    <row r="1440" spans="1:75" hidden="1" x14ac:dyDescent="0.35">
      <c r="A1440">
        <v>138865</v>
      </c>
      <c r="B1440" s="1" t="s">
        <v>75</v>
      </c>
      <c r="C1440">
        <v>80</v>
      </c>
      <c r="D1440">
        <v>11121004</v>
      </c>
      <c r="E1440">
        <v>121004</v>
      </c>
      <c r="F1440" s="1" t="s">
        <v>6867</v>
      </c>
      <c r="G1440" s="1" t="s">
        <v>7790</v>
      </c>
      <c r="H1440">
        <v>0</v>
      </c>
      <c r="I1440" s="1" t="s">
        <v>78</v>
      </c>
      <c r="J1440" s="1" t="s">
        <v>7791</v>
      </c>
      <c r="K1440" s="1" t="s">
        <v>7792</v>
      </c>
      <c r="L1440" t="s">
        <v>91</v>
      </c>
      <c r="M1440" t="s">
        <v>91</v>
      </c>
      <c r="N1440" s="1" t="s">
        <v>7793</v>
      </c>
      <c r="O1440" t="s">
        <v>91</v>
      </c>
      <c r="P1440" s="1" t="s">
        <v>7126</v>
      </c>
      <c r="Q1440" s="1" t="s">
        <v>6781</v>
      </c>
      <c r="R1440" s="1" t="s">
        <v>370</v>
      </c>
      <c r="S1440">
        <v>1263</v>
      </c>
      <c r="T1440">
        <v>88370232</v>
      </c>
      <c r="U1440" s="1" t="s">
        <v>108</v>
      </c>
      <c r="V1440" s="1" t="s">
        <v>7127</v>
      </c>
      <c r="W1440" s="1" t="s">
        <v>87</v>
      </c>
      <c r="X1440">
        <v>47</v>
      </c>
      <c r="Y1440">
        <v>30116872</v>
      </c>
      <c r="Z1440" t="s">
        <v>91</v>
      </c>
      <c r="AA1440" t="s">
        <v>91</v>
      </c>
      <c r="AB1440" t="s">
        <v>91</v>
      </c>
      <c r="AC1440" t="s">
        <v>91</v>
      </c>
      <c r="AD1440" t="s">
        <v>91</v>
      </c>
      <c r="AE1440" t="s">
        <v>91</v>
      </c>
      <c r="AF1440" t="s">
        <v>91</v>
      </c>
      <c r="AG1440" s="1" t="s">
        <v>146</v>
      </c>
      <c r="AH1440" s="1" t="s">
        <v>91</v>
      </c>
      <c r="AI1440" t="s">
        <v>91</v>
      </c>
      <c r="AM1440" t="s">
        <v>91</v>
      </c>
      <c r="AN1440" t="s">
        <v>91</v>
      </c>
      <c r="AO1440" t="s">
        <v>91</v>
      </c>
      <c r="AP1440" t="s">
        <v>91</v>
      </c>
      <c r="AQ1440" s="1" t="s">
        <v>147</v>
      </c>
      <c r="AR1440" s="1" t="s">
        <v>147</v>
      </c>
      <c r="AS1440" s="1" t="s">
        <v>147</v>
      </c>
      <c r="AT1440" s="1" t="s">
        <v>147</v>
      </c>
      <c r="AU1440" s="1" t="s">
        <v>147</v>
      </c>
      <c r="AV1440" t="s">
        <v>91</v>
      </c>
      <c r="AW1440" t="s">
        <v>91</v>
      </c>
      <c r="AX1440" t="s">
        <v>91</v>
      </c>
      <c r="AY1440" t="s">
        <v>91</v>
      </c>
      <c r="AZ1440" t="s">
        <v>91</v>
      </c>
      <c r="BA1440" t="s">
        <v>91</v>
      </c>
      <c r="BB1440" s="2">
        <v>44392.456759259258</v>
      </c>
      <c r="BC1440" s="2">
        <v>44671.530081018522</v>
      </c>
      <c r="BD1440" t="s">
        <v>91</v>
      </c>
      <c r="BF1440" s="1" t="s">
        <v>75</v>
      </c>
      <c r="BH1440">
        <v>0</v>
      </c>
      <c r="BI1440" s="1" t="s">
        <v>88</v>
      </c>
      <c r="BJ1440">
        <v>1</v>
      </c>
      <c r="BK1440" s="1" t="s">
        <v>89</v>
      </c>
      <c r="BL1440" t="s">
        <v>91</v>
      </c>
      <c r="BM1440" s="1" t="s">
        <v>109</v>
      </c>
      <c r="BN1440" s="1" t="s">
        <v>110</v>
      </c>
      <c r="BO1440" s="1" t="s">
        <v>111</v>
      </c>
      <c r="BP1440" s="1" t="s">
        <v>91</v>
      </c>
      <c r="BQ1440" t="s">
        <v>91</v>
      </c>
      <c r="BR1440" s="3">
        <v>44392</v>
      </c>
      <c r="BS1440" s="3">
        <v>44671</v>
      </c>
      <c r="BT1440" t="s">
        <v>91</v>
      </c>
      <c r="BU1440" t="s">
        <v>91</v>
      </c>
      <c r="BW1440" s="1" t="s">
        <v>1367</v>
      </c>
    </row>
    <row r="1441" spans="1:75" hidden="1" x14ac:dyDescent="0.35">
      <c r="A1441">
        <v>137675</v>
      </c>
      <c r="B1441" s="1" t="s">
        <v>75</v>
      </c>
      <c r="C1441">
        <v>80</v>
      </c>
      <c r="D1441">
        <v>11121004</v>
      </c>
      <c r="E1441">
        <v>121004</v>
      </c>
      <c r="F1441" s="1" t="s">
        <v>6867</v>
      </c>
      <c r="G1441" s="1" t="s">
        <v>7794</v>
      </c>
      <c r="H1441">
        <v>0</v>
      </c>
      <c r="I1441" s="1" t="s">
        <v>78</v>
      </c>
      <c r="J1441" s="1" t="s">
        <v>7795</v>
      </c>
      <c r="K1441" s="1" t="s">
        <v>7796</v>
      </c>
      <c r="L1441" t="s">
        <v>91</v>
      </c>
      <c r="M1441" t="s">
        <v>91</v>
      </c>
      <c r="N1441" s="1" t="s">
        <v>7797</v>
      </c>
      <c r="O1441" t="s">
        <v>91</v>
      </c>
      <c r="P1441" s="1" t="s">
        <v>6903</v>
      </c>
      <c r="Q1441" s="1" t="s">
        <v>1687</v>
      </c>
      <c r="R1441" s="1" t="s">
        <v>91</v>
      </c>
      <c r="S1441">
        <v>1260</v>
      </c>
      <c r="T1441">
        <v>88200000</v>
      </c>
      <c r="U1441" s="1" t="s">
        <v>108</v>
      </c>
      <c r="V1441" s="1" t="s">
        <v>6906</v>
      </c>
      <c r="W1441" s="1" t="s">
        <v>87</v>
      </c>
      <c r="X1441">
        <v>48</v>
      </c>
      <c r="Y1441">
        <v>32631448</v>
      </c>
      <c r="Z1441" t="s">
        <v>91</v>
      </c>
      <c r="AA1441" t="s">
        <v>91</v>
      </c>
      <c r="AB1441" t="s">
        <v>91</v>
      </c>
      <c r="AC1441" t="s">
        <v>91</v>
      </c>
      <c r="AD1441" t="s">
        <v>91</v>
      </c>
      <c r="AE1441" t="s">
        <v>91</v>
      </c>
      <c r="AF1441" t="s">
        <v>91</v>
      </c>
      <c r="AG1441" s="1" t="s">
        <v>146</v>
      </c>
      <c r="AH1441" s="1" t="s">
        <v>91</v>
      </c>
      <c r="AI1441" t="s">
        <v>91</v>
      </c>
      <c r="AM1441" t="s">
        <v>91</v>
      </c>
      <c r="AN1441" t="s">
        <v>91</v>
      </c>
      <c r="AO1441" t="s">
        <v>91</v>
      </c>
      <c r="AP1441" t="s">
        <v>91</v>
      </c>
      <c r="AQ1441" s="1" t="s">
        <v>147</v>
      </c>
      <c r="AR1441" s="1" t="s">
        <v>147</v>
      </c>
      <c r="AS1441" s="1" t="s">
        <v>147</v>
      </c>
      <c r="AT1441" s="1" t="s">
        <v>147</v>
      </c>
      <c r="AU1441" s="1" t="s">
        <v>147</v>
      </c>
      <c r="AV1441" t="s">
        <v>91</v>
      </c>
      <c r="AW1441" t="s">
        <v>91</v>
      </c>
      <c r="AX1441" t="s">
        <v>91</v>
      </c>
      <c r="AY1441" t="s">
        <v>91</v>
      </c>
      <c r="AZ1441" t="s">
        <v>91</v>
      </c>
      <c r="BA1441" t="s">
        <v>91</v>
      </c>
      <c r="BB1441" s="2">
        <v>44378.578518518516</v>
      </c>
      <c r="BC1441" s="2">
        <v>44803.729456018518</v>
      </c>
      <c r="BD1441" t="s">
        <v>91</v>
      </c>
      <c r="BF1441" s="1" t="s">
        <v>75</v>
      </c>
      <c r="BH1441">
        <v>0</v>
      </c>
      <c r="BI1441" s="1" t="s">
        <v>88</v>
      </c>
      <c r="BJ1441">
        <v>1</v>
      </c>
      <c r="BK1441" s="1" t="s">
        <v>89</v>
      </c>
      <c r="BL1441" t="s">
        <v>91</v>
      </c>
      <c r="BM1441" s="1" t="s">
        <v>109</v>
      </c>
      <c r="BN1441" s="1" t="s">
        <v>110</v>
      </c>
      <c r="BO1441" s="1" t="s">
        <v>180</v>
      </c>
      <c r="BP1441" s="1" t="s">
        <v>91</v>
      </c>
      <c r="BQ1441" t="s">
        <v>91</v>
      </c>
      <c r="BR1441" s="3">
        <v>44378</v>
      </c>
      <c r="BS1441" s="3">
        <v>44803</v>
      </c>
      <c r="BT1441" t="s">
        <v>91</v>
      </c>
      <c r="BU1441" t="s">
        <v>91</v>
      </c>
      <c r="BW1441" s="1" t="s">
        <v>562</v>
      </c>
    </row>
    <row r="1442" spans="1:75" hidden="1" x14ac:dyDescent="0.35">
      <c r="A1442">
        <v>157090</v>
      </c>
      <c r="B1442" s="1" t="s">
        <v>75</v>
      </c>
      <c r="C1442">
        <v>80</v>
      </c>
      <c r="D1442">
        <v>11121004</v>
      </c>
      <c r="E1442">
        <v>121004</v>
      </c>
      <c r="F1442" s="1" t="s">
        <v>6867</v>
      </c>
      <c r="G1442" s="1" t="s">
        <v>7798</v>
      </c>
      <c r="H1442">
        <v>0</v>
      </c>
      <c r="I1442" s="1" t="s">
        <v>78</v>
      </c>
      <c r="J1442" s="1" t="s">
        <v>7799</v>
      </c>
      <c r="K1442" s="1" t="s">
        <v>7800</v>
      </c>
      <c r="L1442" t="s">
        <v>91</v>
      </c>
      <c r="M1442" t="s">
        <v>91</v>
      </c>
      <c r="N1442" s="1" t="s">
        <v>7801</v>
      </c>
      <c r="O1442" t="s">
        <v>91</v>
      </c>
      <c r="P1442" s="1" t="s">
        <v>7802</v>
      </c>
      <c r="Q1442" s="1" t="s">
        <v>862</v>
      </c>
      <c r="R1442" s="1" t="s">
        <v>7803</v>
      </c>
      <c r="T1442">
        <v>83306833</v>
      </c>
      <c r="U1442" s="1" t="s">
        <v>108</v>
      </c>
      <c r="V1442" s="1" t="s">
        <v>5871</v>
      </c>
      <c r="W1442" s="1" t="s">
        <v>87</v>
      </c>
      <c r="X1442">
        <v>47</v>
      </c>
      <c r="Y1442">
        <v>999951165</v>
      </c>
      <c r="Z1442" t="s">
        <v>91</v>
      </c>
      <c r="AA1442" t="s">
        <v>91</v>
      </c>
      <c r="AB1442" t="s">
        <v>91</v>
      </c>
      <c r="AC1442" t="s">
        <v>91</v>
      </c>
      <c r="AD1442" t="s">
        <v>91</v>
      </c>
      <c r="AE1442" t="s">
        <v>91</v>
      </c>
      <c r="AF1442" t="s">
        <v>91</v>
      </c>
      <c r="AG1442" s="1" t="s">
        <v>91</v>
      </c>
      <c r="AH1442" s="1" t="s">
        <v>91</v>
      </c>
      <c r="AI1442" t="s">
        <v>91</v>
      </c>
      <c r="AM1442" t="s">
        <v>91</v>
      </c>
      <c r="AN1442" t="s">
        <v>91</v>
      </c>
      <c r="AO1442" t="s">
        <v>91</v>
      </c>
      <c r="AP1442" t="s">
        <v>91</v>
      </c>
      <c r="AQ1442" s="1" t="s">
        <v>91</v>
      </c>
      <c r="AR1442" s="1" t="s">
        <v>91</v>
      </c>
      <c r="AS1442" s="1" t="s">
        <v>91</v>
      </c>
      <c r="AT1442" s="1" t="s">
        <v>91</v>
      </c>
      <c r="AU1442" s="1" t="s">
        <v>91</v>
      </c>
      <c r="AV1442" t="s">
        <v>91</v>
      </c>
      <c r="AW1442" t="s">
        <v>91</v>
      </c>
      <c r="AX1442" t="s">
        <v>91</v>
      </c>
      <c r="AY1442" t="s">
        <v>91</v>
      </c>
      <c r="AZ1442" t="s">
        <v>91</v>
      </c>
      <c r="BA1442" t="s">
        <v>91</v>
      </c>
      <c r="BB1442" s="2">
        <v>45113.505416666667</v>
      </c>
      <c r="BC1442" s="2"/>
      <c r="BD1442" t="s">
        <v>91</v>
      </c>
      <c r="BF1442" s="1" t="s">
        <v>75</v>
      </c>
      <c r="BI1442" s="1" t="s">
        <v>88</v>
      </c>
      <c r="BJ1442">
        <v>1</v>
      </c>
      <c r="BK1442" s="1" t="s">
        <v>89</v>
      </c>
      <c r="BL1442" t="s">
        <v>91</v>
      </c>
      <c r="BM1442" s="1" t="s">
        <v>91</v>
      </c>
      <c r="BN1442" s="1" t="s">
        <v>91</v>
      </c>
      <c r="BO1442" s="1" t="s">
        <v>91</v>
      </c>
      <c r="BP1442" s="1" t="s">
        <v>91</v>
      </c>
      <c r="BQ1442" t="s">
        <v>91</v>
      </c>
      <c r="BR1442" s="3">
        <v>45113</v>
      </c>
      <c r="BS1442" s="3"/>
      <c r="BT1442" t="s">
        <v>91</v>
      </c>
      <c r="BU1442" t="s">
        <v>91</v>
      </c>
      <c r="BW1442" s="1" t="s">
        <v>1469</v>
      </c>
    </row>
    <row r="1443" spans="1:75" hidden="1" x14ac:dyDescent="0.35">
      <c r="A1443">
        <v>137677</v>
      </c>
      <c r="B1443" s="1" t="s">
        <v>75</v>
      </c>
      <c r="C1443">
        <v>80</v>
      </c>
      <c r="D1443">
        <v>11121004</v>
      </c>
      <c r="E1443">
        <v>121004</v>
      </c>
      <c r="F1443" s="1" t="s">
        <v>6867</v>
      </c>
      <c r="G1443" s="1" t="s">
        <v>7804</v>
      </c>
      <c r="H1443">
        <v>0</v>
      </c>
      <c r="I1443" s="1" t="s">
        <v>78</v>
      </c>
      <c r="J1443" s="1" t="s">
        <v>7805</v>
      </c>
      <c r="K1443" s="1" t="s">
        <v>7806</v>
      </c>
      <c r="L1443" t="s">
        <v>91</v>
      </c>
      <c r="M1443" t="s">
        <v>91</v>
      </c>
      <c r="N1443" s="1" t="s">
        <v>7807</v>
      </c>
      <c r="O1443" t="s">
        <v>91</v>
      </c>
      <c r="P1443" s="1" t="s">
        <v>7808</v>
      </c>
      <c r="Q1443" s="1" t="s">
        <v>4709</v>
      </c>
      <c r="R1443" s="1" t="s">
        <v>91</v>
      </c>
      <c r="S1443">
        <v>1274</v>
      </c>
      <c r="T1443">
        <v>89110067</v>
      </c>
      <c r="U1443" s="1" t="s">
        <v>108</v>
      </c>
      <c r="V1443" s="1" t="s">
        <v>7008</v>
      </c>
      <c r="W1443" s="1" t="s">
        <v>87</v>
      </c>
      <c r="X1443">
        <v>47</v>
      </c>
      <c r="Y1443">
        <v>33322233</v>
      </c>
      <c r="Z1443" t="s">
        <v>91</v>
      </c>
      <c r="AA1443" t="s">
        <v>91</v>
      </c>
      <c r="AB1443" t="s">
        <v>91</v>
      </c>
      <c r="AC1443" t="s">
        <v>91</v>
      </c>
      <c r="AD1443" t="s">
        <v>91</v>
      </c>
      <c r="AE1443" t="s">
        <v>91</v>
      </c>
      <c r="AF1443" t="s">
        <v>91</v>
      </c>
      <c r="AG1443" s="1" t="s">
        <v>146</v>
      </c>
      <c r="AH1443" s="1" t="s">
        <v>91</v>
      </c>
      <c r="AI1443" t="s">
        <v>91</v>
      </c>
      <c r="AM1443" t="s">
        <v>91</v>
      </c>
      <c r="AN1443" t="s">
        <v>91</v>
      </c>
      <c r="AO1443" t="s">
        <v>91</v>
      </c>
      <c r="AP1443" t="s">
        <v>91</v>
      </c>
      <c r="AQ1443" s="1" t="s">
        <v>147</v>
      </c>
      <c r="AR1443" s="1" t="s">
        <v>147</v>
      </c>
      <c r="AS1443" s="1" t="s">
        <v>147</v>
      </c>
      <c r="AT1443" s="1" t="s">
        <v>147</v>
      </c>
      <c r="AU1443" s="1" t="s">
        <v>147</v>
      </c>
      <c r="AV1443" t="s">
        <v>91</v>
      </c>
      <c r="AW1443" t="s">
        <v>91</v>
      </c>
      <c r="AX1443" t="s">
        <v>91</v>
      </c>
      <c r="AY1443" t="s">
        <v>91</v>
      </c>
      <c r="AZ1443" t="s">
        <v>91</v>
      </c>
      <c r="BA1443" t="s">
        <v>91</v>
      </c>
      <c r="BB1443" s="2">
        <v>44378.578518518516</v>
      </c>
      <c r="BC1443" s="2">
        <v>44679.623749999999</v>
      </c>
      <c r="BD1443" t="s">
        <v>91</v>
      </c>
      <c r="BF1443" s="1" t="s">
        <v>75</v>
      </c>
      <c r="BH1443">
        <v>0</v>
      </c>
      <c r="BI1443" s="1" t="s">
        <v>88</v>
      </c>
      <c r="BJ1443">
        <v>1</v>
      </c>
      <c r="BK1443" s="1" t="s">
        <v>89</v>
      </c>
      <c r="BL1443" t="s">
        <v>91</v>
      </c>
      <c r="BM1443" s="1" t="s">
        <v>109</v>
      </c>
      <c r="BN1443" s="1" t="s">
        <v>110</v>
      </c>
      <c r="BO1443" s="1" t="s">
        <v>111</v>
      </c>
      <c r="BP1443" s="1" t="s">
        <v>91</v>
      </c>
      <c r="BQ1443" t="s">
        <v>91</v>
      </c>
      <c r="BR1443" s="3">
        <v>44378</v>
      </c>
      <c r="BS1443" s="3">
        <v>44679</v>
      </c>
      <c r="BT1443" t="s">
        <v>91</v>
      </c>
      <c r="BU1443" t="s">
        <v>91</v>
      </c>
      <c r="BW1443" s="1" t="s">
        <v>7809</v>
      </c>
    </row>
    <row r="1444" spans="1:75" hidden="1" x14ac:dyDescent="0.35">
      <c r="A1444">
        <v>157114</v>
      </c>
      <c r="B1444" s="1" t="s">
        <v>75</v>
      </c>
      <c r="C1444">
        <v>80</v>
      </c>
      <c r="D1444">
        <v>11121004</v>
      </c>
      <c r="E1444">
        <v>121004</v>
      </c>
      <c r="F1444" s="1" t="s">
        <v>6867</v>
      </c>
      <c r="G1444" s="1" t="s">
        <v>7810</v>
      </c>
      <c r="H1444">
        <v>0</v>
      </c>
      <c r="I1444" s="1" t="s">
        <v>78</v>
      </c>
      <c r="J1444" s="1" t="s">
        <v>7811</v>
      </c>
      <c r="K1444" s="1" t="s">
        <v>7812</v>
      </c>
      <c r="L1444" t="s">
        <v>91</v>
      </c>
      <c r="M1444" t="s">
        <v>91</v>
      </c>
      <c r="N1444" s="1" t="s">
        <v>7813</v>
      </c>
      <c r="O1444" t="s">
        <v>91</v>
      </c>
      <c r="P1444" s="1" t="s">
        <v>7814</v>
      </c>
      <c r="Q1444" s="1" t="s">
        <v>3096</v>
      </c>
      <c r="R1444" s="1" t="s">
        <v>370</v>
      </c>
      <c r="S1444">
        <v>1263</v>
      </c>
      <c r="T1444">
        <v>88390000</v>
      </c>
      <c r="U1444" s="1" t="s">
        <v>108</v>
      </c>
      <c r="V1444" s="1" t="s">
        <v>6913</v>
      </c>
      <c r="W1444" s="1" t="s">
        <v>87</v>
      </c>
      <c r="X1444">
        <v>47</v>
      </c>
      <c r="Y1444">
        <v>996620533</v>
      </c>
      <c r="Z1444" t="s">
        <v>91</v>
      </c>
      <c r="AA1444" t="s">
        <v>91</v>
      </c>
      <c r="AB1444" t="s">
        <v>91</v>
      </c>
      <c r="AC1444" t="s">
        <v>91</v>
      </c>
      <c r="AD1444" t="s">
        <v>91</v>
      </c>
      <c r="AE1444" t="s">
        <v>91</v>
      </c>
      <c r="AF1444" t="s">
        <v>91</v>
      </c>
      <c r="AG1444" s="1" t="s">
        <v>91</v>
      </c>
      <c r="AH1444" s="1" t="s">
        <v>91</v>
      </c>
      <c r="AI1444" t="s">
        <v>91</v>
      </c>
      <c r="AM1444" t="s">
        <v>91</v>
      </c>
      <c r="AN1444" t="s">
        <v>91</v>
      </c>
      <c r="AO1444" t="s">
        <v>91</v>
      </c>
      <c r="AP1444" t="s">
        <v>91</v>
      </c>
      <c r="AQ1444" s="1" t="s">
        <v>91</v>
      </c>
      <c r="AR1444" s="1" t="s">
        <v>91</v>
      </c>
      <c r="AS1444" s="1" t="s">
        <v>91</v>
      </c>
      <c r="AT1444" s="1" t="s">
        <v>91</v>
      </c>
      <c r="AU1444" s="1" t="s">
        <v>91</v>
      </c>
      <c r="AV1444" t="s">
        <v>91</v>
      </c>
      <c r="AW1444" t="s">
        <v>91</v>
      </c>
      <c r="AX1444" t="s">
        <v>91</v>
      </c>
      <c r="AY1444" t="s">
        <v>91</v>
      </c>
      <c r="AZ1444" t="s">
        <v>91</v>
      </c>
      <c r="BA1444" t="s">
        <v>91</v>
      </c>
      <c r="BB1444" s="2">
        <v>45113.505416666667</v>
      </c>
      <c r="BC1444" s="2"/>
      <c r="BD1444" t="s">
        <v>91</v>
      </c>
      <c r="BF1444" s="1" t="s">
        <v>75</v>
      </c>
      <c r="BI1444" s="1" t="s">
        <v>88</v>
      </c>
      <c r="BJ1444">
        <v>1</v>
      </c>
      <c r="BK1444" s="1" t="s">
        <v>89</v>
      </c>
      <c r="BL1444" t="s">
        <v>91</v>
      </c>
      <c r="BM1444" s="1" t="s">
        <v>91</v>
      </c>
      <c r="BN1444" s="1" t="s">
        <v>91</v>
      </c>
      <c r="BO1444" s="1" t="s">
        <v>91</v>
      </c>
      <c r="BP1444" s="1" t="s">
        <v>91</v>
      </c>
      <c r="BQ1444" t="s">
        <v>91</v>
      </c>
      <c r="BR1444" s="3">
        <v>45113</v>
      </c>
      <c r="BS1444" s="3"/>
      <c r="BT1444" t="s">
        <v>91</v>
      </c>
      <c r="BU1444" t="s">
        <v>91</v>
      </c>
      <c r="BW1444" s="1" t="s">
        <v>90</v>
      </c>
    </row>
    <row r="1445" spans="1:75" hidden="1" x14ac:dyDescent="0.35">
      <c r="A1445">
        <v>117458</v>
      </c>
      <c r="B1445" s="1" t="s">
        <v>75</v>
      </c>
      <c r="C1445">
        <v>80</v>
      </c>
      <c r="D1445">
        <v>11121004</v>
      </c>
      <c r="E1445">
        <v>121004</v>
      </c>
      <c r="F1445" s="1" t="s">
        <v>6867</v>
      </c>
      <c r="G1445" s="1" t="s">
        <v>7815</v>
      </c>
      <c r="H1445">
        <v>0</v>
      </c>
      <c r="I1445" s="1" t="s">
        <v>78</v>
      </c>
      <c r="J1445" s="1" t="s">
        <v>7816</v>
      </c>
      <c r="K1445" s="1" t="s">
        <v>7817</v>
      </c>
      <c r="L1445" t="s">
        <v>91</v>
      </c>
      <c r="M1445" t="s">
        <v>91</v>
      </c>
      <c r="N1445" s="1" t="s">
        <v>7818</v>
      </c>
      <c r="O1445" t="s">
        <v>91</v>
      </c>
      <c r="P1445" s="1" t="s">
        <v>7819</v>
      </c>
      <c r="Q1445" s="1" t="s">
        <v>6873</v>
      </c>
      <c r="R1445" s="1" t="s">
        <v>7820</v>
      </c>
      <c r="S1445">
        <v>1261</v>
      </c>
      <c r="T1445">
        <v>88301906</v>
      </c>
      <c r="U1445" s="1" t="s">
        <v>7002</v>
      </c>
      <c r="V1445" s="1" t="s">
        <v>6881</v>
      </c>
      <c r="W1445" s="1" t="s">
        <v>87</v>
      </c>
      <c r="X1445">
        <v>47</v>
      </c>
      <c r="Y1445">
        <v>33482382</v>
      </c>
      <c r="Z1445" t="s">
        <v>91</v>
      </c>
      <c r="AA1445" t="s">
        <v>91</v>
      </c>
      <c r="AB1445" t="s">
        <v>91</v>
      </c>
      <c r="AC1445" t="s">
        <v>91</v>
      </c>
      <c r="AD1445" t="s">
        <v>91</v>
      </c>
      <c r="AE1445" t="s">
        <v>91</v>
      </c>
      <c r="AF1445" t="s">
        <v>91</v>
      </c>
      <c r="AG1445" s="1" t="s">
        <v>146</v>
      </c>
      <c r="AH1445" s="1" t="s">
        <v>91</v>
      </c>
      <c r="AI1445" t="s">
        <v>91</v>
      </c>
      <c r="AJ1445">
        <v>0</v>
      </c>
      <c r="AK1445">
        <v>0</v>
      </c>
      <c r="AL1445">
        <v>0</v>
      </c>
      <c r="AM1445" t="s">
        <v>91</v>
      </c>
      <c r="AN1445" t="s">
        <v>91</v>
      </c>
      <c r="AO1445" t="s">
        <v>91</v>
      </c>
      <c r="AP1445" t="s">
        <v>91</v>
      </c>
      <c r="AQ1445" s="1" t="s">
        <v>147</v>
      </c>
      <c r="AR1445" s="1" t="s">
        <v>147</v>
      </c>
      <c r="AS1445" s="1" t="s">
        <v>147</v>
      </c>
      <c r="AT1445" s="1" t="s">
        <v>147</v>
      </c>
      <c r="AU1445" s="1" t="s">
        <v>147</v>
      </c>
      <c r="AV1445" t="s">
        <v>91</v>
      </c>
      <c r="AW1445" t="s">
        <v>91</v>
      </c>
      <c r="AX1445" t="s">
        <v>91</v>
      </c>
      <c r="AY1445" t="s">
        <v>91</v>
      </c>
      <c r="AZ1445" t="s">
        <v>91</v>
      </c>
      <c r="BA1445" t="s">
        <v>91</v>
      </c>
      <c r="BB1445" s="2">
        <v>44034.350266203706</v>
      </c>
      <c r="BC1445" s="2">
        <v>45124.69017361111</v>
      </c>
      <c r="BD1445" t="s">
        <v>91</v>
      </c>
      <c r="BF1445" s="1" t="s">
        <v>75</v>
      </c>
      <c r="BG1445">
        <v>0</v>
      </c>
      <c r="BH1445">
        <v>0</v>
      </c>
      <c r="BI1445" s="1" t="s">
        <v>721</v>
      </c>
      <c r="BJ1445">
        <v>1</v>
      </c>
      <c r="BK1445" s="1" t="s">
        <v>89</v>
      </c>
      <c r="BL1445" t="s">
        <v>91</v>
      </c>
      <c r="BM1445" s="1" t="s">
        <v>329</v>
      </c>
      <c r="BN1445" s="1" t="s">
        <v>91</v>
      </c>
      <c r="BO1445" s="1" t="s">
        <v>165</v>
      </c>
      <c r="BP1445" s="1" t="s">
        <v>91</v>
      </c>
      <c r="BQ1445" t="s">
        <v>91</v>
      </c>
      <c r="BR1445" s="3">
        <v>44034</v>
      </c>
      <c r="BS1445" s="3">
        <v>45124</v>
      </c>
      <c r="BT1445" t="s">
        <v>91</v>
      </c>
      <c r="BU1445" t="s">
        <v>91</v>
      </c>
      <c r="BV1445">
        <v>1</v>
      </c>
      <c r="BW1445" s="1" t="s">
        <v>263</v>
      </c>
    </row>
    <row r="1446" spans="1:75" hidden="1" x14ac:dyDescent="0.35">
      <c r="A1446">
        <v>137679</v>
      </c>
      <c r="B1446" s="1" t="s">
        <v>75</v>
      </c>
      <c r="C1446">
        <v>80</v>
      </c>
      <c r="D1446">
        <v>11121004</v>
      </c>
      <c r="E1446">
        <v>121004</v>
      </c>
      <c r="F1446" s="1" t="s">
        <v>6867</v>
      </c>
      <c r="G1446" s="1" t="s">
        <v>7821</v>
      </c>
      <c r="H1446">
        <v>0</v>
      </c>
      <c r="I1446" s="1" t="s">
        <v>78</v>
      </c>
      <c r="J1446" s="1" t="s">
        <v>7822</v>
      </c>
      <c r="K1446" s="1" t="s">
        <v>7823</v>
      </c>
      <c r="L1446" t="s">
        <v>91</v>
      </c>
      <c r="M1446" t="s">
        <v>91</v>
      </c>
      <c r="N1446" s="1" t="s">
        <v>7824</v>
      </c>
      <c r="O1446" t="s">
        <v>91</v>
      </c>
      <c r="P1446" s="1" t="s">
        <v>946</v>
      </c>
      <c r="Q1446" s="1" t="s">
        <v>7825</v>
      </c>
      <c r="R1446" s="1" t="s">
        <v>173</v>
      </c>
      <c r="S1446">
        <v>1275</v>
      </c>
      <c r="T1446">
        <v>89136000</v>
      </c>
      <c r="U1446" s="1" t="s">
        <v>7826</v>
      </c>
      <c r="V1446" s="1" t="s">
        <v>7302</v>
      </c>
      <c r="W1446" s="1" t="s">
        <v>87</v>
      </c>
      <c r="X1446">
        <v>47</v>
      </c>
      <c r="Y1446">
        <v>33334933</v>
      </c>
      <c r="Z1446" t="s">
        <v>91</v>
      </c>
      <c r="AA1446" t="s">
        <v>91</v>
      </c>
      <c r="AB1446" t="s">
        <v>91</v>
      </c>
      <c r="AC1446" t="s">
        <v>91</v>
      </c>
      <c r="AD1446" t="s">
        <v>91</v>
      </c>
      <c r="AE1446" t="s">
        <v>91</v>
      </c>
      <c r="AF1446" t="s">
        <v>91</v>
      </c>
      <c r="AG1446" s="1" t="s">
        <v>146</v>
      </c>
      <c r="AH1446" s="1" t="s">
        <v>91</v>
      </c>
      <c r="AI1446" t="s">
        <v>91</v>
      </c>
      <c r="AM1446" t="s">
        <v>91</v>
      </c>
      <c r="AN1446" t="s">
        <v>91</v>
      </c>
      <c r="AO1446" t="s">
        <v>91</v>
      </c>
      <c r="AP1446" t="s">
        <v>91</v>
      </c>
      <c r="AQ1446" s="1" t="s">
        <v>147</v>
      </c>
      <c r="AR1446" s="1" t="s">
        <v>147</v>
      </c>
      <c r="AS1446" s="1" t="s">
        <v>147</v>
      </c>
      <c r="AT1446" s="1" t="s">
        <v>147</v>
      </c>
      <c r="AU1446" s="1" t="s">
        <v>147</v>
      </c>
      <c r="AV1446" t="s">
        <v>91</v>
      </c>
      <c r="AW1446" t="s">
        <v>91</v>
      </c>
      <c r="AX1446" t="s">
        <v>91</v>
      </c>
      <c r="AY1446" t="s">
        <v>91</v>
      </c>
      <c r="AZ1446" t="s">
        <v>91</v>
      </c>
      <c r="BA1446" t="s">
        <v>91</v>
      </c>
      <c r="BB1446" s="2">
        <v>44378.578518518516</v>
      </c>
      <c r="BC1446" s="2">
        <v>44860.478078703702</v>
      </c>
      <c r="BD1446" t="s">
        <v>91</v>
      </c>
      <c r="BF1446" s="1" t="s">
        <v>75</v>
      </c>
      <c r="BH1446">
        <v>0</v>
      </c>
      <c r="BI1446" s="1" t="s">
        <v>88</v>
      </c>
      <c r="BJ1446">
        <v>1</v>
      </c>
      <c r="BK1446" s="1" t="s">
        <v>89</v>
      </c>
      <c r="BL1446" t="s">
        <v>91</v>
      </c>
      <c r="BM1446" s="1" t="s">
        <v>109</v>
      </c>
      <c r="BN1446" s="1" t="s">
        <v>110</v>
      </c>
      <c r="BO1446" s="1" t="s">
        <v>180</v>
      </c>
      <c r="BP1446" s="1" t="s">
        <v>91</v>
      </c>
      <c r="BQ1446" t="s">
        <v>91</v>
      </c>
      <c r="BR1446" s="3">
        <v>44378</v>
      </c>
      <c r="BS1446" s="3">
        <v>44860</v>
      </c>
      <c r="BT1446" t="s">
        <v>91</v>
      </c>
      <c r="BU1446" t="s">
        <v>91</v>
      </c>
      <c r="BW1446" s="1" t="s">
        <v>7827</v>
      </c>
    </row>
    <row r="1447" spans="1:75" hidden="1" x14ac:dyDescent="0.35">
      <c r="A1447">
        <v>137680</v>
      </c>
      <c r="B1447" s="1" t="s">
        <v>75</v>
      </c>
      <c r="C1447">
        <v>80</v>
      </c>
      <c r="D1447">
        <v>11121004</v>
      </c>
      <c r="E1447">
        <v>121004</v>
      </c>
      <c r="F1447" s="1" t="s">
        <v>6867</v>
      </c>
      <c r="G1447" s="1" t="s">
        <v>7828</v>
      </c>
      <c r="H1447">
        <v>0</v>
      </c>
      <c r="I1447" s="1" t="s">
        <v>78</v>
      </c>
      <c r="J1447" s="1" t="s">
        <v>7829</v>
      </c>
      <c r="K1447" s="1" t="s">
        <v>7830</v>
      </c>
      <c r="L1447" t="s">
        <v>91</v>
      </c>
      <c r="M1447" t="s">
        <v>91</v>
      </c>
      <c r="N1447" s="1" t="s">
        <v>7831</v>
      </c>
      <c r="O1447" t="s">
        <v>91</v>
      </c>
      <c r="P1447" s="1" t="s">
        <v>3970</v>
      </c>
      <c r="Q1447" s="1" t="s">
        <v>7832</v>
      </c>
      <c r="R1447" s="1" t="s">
        <v>7109</v>
      </c>
      <c r="S1447">
        <v>1260</v>
      </c>
      <c r="T1447">
        <v>88220000</v>
      </c>
      <c r="U1447" s="1" t="s">
        <v>7195</v>
      </c>
      <c r="V1447" s="1" t="s">
        <v>7015</v>
      </c>
      <c r="W1447" s="1" t="s">
        <v>87</v>
      </c>
      <c r="X1447">
        <v>47</v>
      </c>
      <c r="Y1447">
        <v>33682844</v>
      </c>
      <c r="Z1447" t="s">
        <v>91</v>
      </c>
      <c r="AA1447" t="s">
        <v>91</v>
      </c>
      <c r="AB1447" t="s">
        <v>91</v>
      </c>
      <c r="AC1447" t="s">
        <v>91</v>
      </c>
      <c r="AD1447" t="s">
        <v>91</v>
      </c>
      <c r="AE1447" t="s">
        <v>91</v>
      </c>
      <c r="AF1447" t="s">
        <v>91</v>
      </c>
      <c r="AG1447" s="1" t="s">
        <v>146</v>
      </c>
      <c r="AH1447" s="1" t="s">
        <v>91</v>
      </c>
      <c r="AI1447" t="s">
        <v>91</v>
      </c>
      <c r="AM1447" t="s">
        <v>91</v>
      </c>
      <c r="AN1447" t="s">
        <v>91</v>
      </c>
      <c r="AO1447" t="s">
        <v>91</v>
      </c>
      <c r="AP1447" t="s">
        <v>91</v>
      </c>
      <c r="AQ1447" s="1" t="s">
        <v>147</v>
      </c>
      <c r="AR1447" s="1" t="s">
        <v>147</v>
      </c>
      <c r="AS1447" s="1" t="s">
        <v>147</v>
      </c>
      <c r="AT1447" s="1" t="s">
        <v>147</v>
      </c>
      <c r="AU1447" s="1" t="s">
        <v>147</v>
      </c>
      <c r="AV1447" t="s">
        <v>91</v>
      </c>
      <c r="AW1447" t="s">
        <v>91</v>
      </c>
      <c r="AX1447" t="s">
        <v>91</v>
      </c>
      <c r="AY1447" t="s">
        <v>91</v>
      </c>
      <c r="AZ1447" t="s">
        <v>91</v>
      </c>
      <c r="BA1447" t="s">
        <v>91</v>
      </c>
      <c r="BB1447" s="2">
        <v>44378.578518518516</v>
      </c>
      <c r="BC1447" s="2">
        <v>45121.676469907405</v>
      </c>
      <c r="BD1447" t="s">
        <v>91</v>
      </c>
      <c r="BF1447" s="1" t="s">
        <v>75</v>
      </c>
      <c r="BH1447">
        <v>0</v>
      </c>
      <c r="BI1447" s="1" t="s">
        <v>721</v>
      </c>
      <c r="BJ1447">
        <v>1</v>
      </c>
      <c r="BK1447" s="1" t="s">
        <v>89</v>
      </c>
      <c r="BL1447" t="s">
        <v>91</v>
      </c>
      <c r="BM1447" s="1" t="s">
        <v>329</v>
      </c>
      <c r="BN1447" s="1" t="s">
        <v>110</v>
      </c>
      <c r="BO1447" s="1" t="s">
        <v>165</v>
      </c>
      <c r="BP1447" s="1" t="s">
        <v>91</v>
      </c>
      <c r="BQ1447" t="s">
        <v>91</v>
      </c>
      <c r="BR1447" s="3">
        <v>44378</v>
      </c>
      <c r="BS1447" s="3">
        <v>45121</v>
      </c>
      <c r="BT1447" t="s">
        <v>91</v>
      </c>
      <c r="BU1447" t="s">
        <v>91</v>
      </c>
      <c r="BW1447" s="1" t="s">
        <v>238</v>
      </c>
    </row>
    <row r="1448" spans="1:75" hidden="1" x14ac:dyDescent="0.35">
      <c r="A1448">
        <v>1283</v>
      </c>
      <c r="B1448" s="1" t="s">
        <v>75</v>
      </c>
      <c r="C1448">
        <v>80</v>
      </c>
      <c r="D1448">
        <v>11121004</v>
      </c>
      <c r="E1448">
        <v>121004</v>
      </c>
      <c r="F1448" s="1" t="s">
        <v>6867</v>
      </c>
      <c r="G1448" s="1" t="s">
        <v>7833</v>
      </c>
      <c r="I1448" s="1" t="s">
        <v>78</v>
      </c>
      <c r="J1448" s="1" t="s">
        <v>7834</v>
      </c>
      <c r="K1448" s="1" t="s">
        <v>7835</v>
      </c>
      <c r="L1448" t="s">
        <v>91</v>
      </c>
      <c r="M1448" t="s">
        <v>91</v>
      </c>
      <c r="N1448" s="1" t="s">
        <v>7836</v>
      </c>
      <c r="O1448" t="s">
        <v>91</v>
      </c>
      <c r="P1448" s="1" t="s">
        <v>611</v>
      </c>
      <c r="Q1448" s="1" t="s">
        <v>7837</v>
      </c>
      <c r="R1448" s="1" t="s">
        <v>91</v>
      </c>
      <c r="S1448">
        <v>1271</v>
      </c>
      <c r="T1448">
        <v>89010003</v>
      </c>
      <c r="U1448" s="1" t="s">
        <v>108</v>
      </c>
      <c r="V1448" s="1" t="s">
        <v>3571</v>
      </c>
      <c r="W1448" s="1" t="s">
        <v>87</v>
      </c>
      <c r="X1448">
        <v>47</v>
      </c>
      <c r="Y1448">
        <v>30419713</v>
      </c>
      <c r="Z1448" t="s">
        <v>91</v>
      </c>
      <c r="AA1448" t="s">
        <v>91</v>
      </c>
      <c r="AB1448" t="s">
        <v>91</v>
      </c>
      <c r="AC1448" t="s">
        <v>91</v>
      </c>
      <c r="AD1448" t="s">
        <v>91</v>
      </c>
      <c r="AE1448" t="s">
        <v>91</v>
      </c>
      <c r="AF1448" t="s">
        <v>91</v>
      </c>
      <c r="AG1448" s="1" t="s">
        <v>91</v>
      </c>
      <c r="AH1448" s="1" t="s">
        <v>91</v>
      </c>
      <c r="AI1448" t="s">
        <v>91</v>
      </c>
      <c r="AJ1448">
        <v>0</v>
      </c>
      <c r="AK1448">
        <v>0</v>
      </c>
      <c r="AL1448">
        <v>0</v>
      </c>
      <c r="AM1448" t="s">
        <v>91</v>
      </c>
      <c r="AN1448" t="s">
        <v>91</v>
      </c>
      <c r="AO1448" t="s">
        <v>91</v>
      </c>
      <c r="AP1448" t="s">
        <v>91</v>
      </c>
      <c r="AQ1448" s="1" t="s">
        <v>91</v>
      </c>
      <c r="AR1448" s="1" t="s">
        <v>91</v>
      </c>
      <c r="AS1448" s="1" t="s">
        <v>91</v>
      </c>
      <c r="AT1448" s="1" t="s">
        <v>91</v>
      </c>
      <c r="AU1448" s="1" t="s">
        <v>91</v>
      </c>
      <c r="AV1448" t="s">
        <v>91</v>
      </c>
      <c r="AW1448" t="s">
        <v>91</v>
      </c>
      <c r="AX1448" t="s">
        <v>91</v>
      </c>
      <c r="AY1448" t="s">
        <v>91</v>
      </c>
      <c r="AZ1448" t="s">
        <v>91</v>
      </c>
      <c r="BA1448" t="s">
        <v>91</v>
      </c>
      <c r="BB1448" s="2">
        <v>43308.393206018518</v>
      </c>
      <c r="BC1448" s="2"/>
      <c r="BD1448" t="s">
        <v>91</v>
      </c>
      <c r="BE1448">
        <v>1283</v>
      </c>
      <c r="BF1448" s="1" t="s">
        <v>75</v>
      </c>
      <c r="BG1448">
        <v>0</v>
      </c>
      <c r="BH1448">
        <v>0</v>
      </c>
      <c r="BI1448" s="1" t="s">
        <v>88</v>
      </c>
      <c r="BJ1448">
        <v>1</v>
      </c>
      <c r="BK1448" s="1" t="s">
        <v>89</v>
      </c>
      <c r="BL1448" t="s">
        <v>91</v>
      </c>
      <c r="BM1448" s="1" t="s">
        <v>164</v>
      </c>
      <c r="BN1448" s="1" t="s">
        <v>110</v>
      </c>
      <c r="BO1448" s="1" t="s">
        <v>165</v>
      </c>
      <c r="BP1448" s="1" t="s">
        <v>91</v>
      </c>
      <c r="BQ1448" t="s">
        <v>91</v>
      </c>
      <c r="BR1448" s="3">
        <v>43308</v>
      </c>
      <c r="BS1448" s="3"/>
      <c r="BT1448" t="s">
        <v>91</v>
      </c>
      <c r="BU1448" t="s">
        <v>91</v>
      </c>
      <c r="BV1448">
        <v>1</v>
      </c>
      <c r="BW1448" s="1" t="s">
        <v>390</v>
      </c>
    </row>
    <row r="1449" spans="1:75" hidden="1" x14ac:dyDescent="0.35">
      <c r="A1449">
        <v>1248</v>
      </c>
      <c r="B1449" s="1" t="s">
        <v>75</v>
      </c>
      <c r="C1449">
        <v>80</v>
      </c>
      <c r="D1449">
        <v>11121004</v>
      </c>
      <c r="E1449">
        <v>121004</v>
      </c>
      <c r="F1449" s="1" t="s">
        <v>6867</v>
      </c>
      <c r="G1449" s="1" t="s">
        <v>7838</v>
      </c>
      <c r="I1449" s="1" t="s">
        <v>78</v>
      </c>
      <c r="J1449" s="1" t="s">
        <v>7839</v>
      </c>
      <c r="K1449" s="1" t="s">
        <v>7840</v>
      </c>
      <c r="L1449" t="s">
        <v>91</v>
      </c>
      <c r="M1449" t="s">
        <v>91</v>
      </c>
      <c r="N1449" s="1" t="s">
        <v>7841</v>
      </c>
      <c r="O1449" t="s">
        <v>91</v>
      </c>
      <c r="P1449" s="1" t="s">
        <v>7569</v>
      </c>
      <c r="Q1449" s="1" t="s">
        <v>7842</v>
      </c>
      <c r="R1449" s="1" t="s">
        <v>91</v>
      </c>
      <c r="S1449">
        <v>1276</v>
      </c>
      <c r="T1449">
        <v>89190000</v>
      </c>
      <c r="U1449" s="1" t="s">
        <v>108</v>
      </c>
      <c r="V1449" s="1" t="s">
        <v>7570</v>
      </c>
      <c r="W1449" s="1" t="s">
        <v>87</v>
      </c>
      <c r="X1449">
        <v>47</v>
      </c>
      <c r="Y1449">
        <v>35621131</v>
      </c>
      <c r="Z1449" t="s">
        <v>91</v>
      </c>
      <c r="AA1449" t="s">
        <v>91</v>
      </c>
      <c r="AB1449" t="s">
        <v>91</v>
      </c>
      <c r="AC1449" t="s">
        <v>91</v>
      </c>
      <c r="AD1449" t="s">
        <v>91</v>
      </c>
      <c r="AE1449" t="s">
        <v>91</v>
      </c>
      <c r="AF1449" t="s">
        <v>91</v>
      </c>
      <c r="AG1449" s="1" t="s">
        <v>91</v>
      </c>
      <c r="AH1449" s="1" t="s">
        <v>91</v>
      </c>
      <c r="AI1449" t="s">
        <v>91</v>
      </c>
      <c r="AJ1449">
        <v>0</v>
      </c>
      <c r="AK1449">
        <v>0</v>
      </c>
      <c r="AL1449">
        <v>0</v>
      </c>
      <c r="AM1449" t="s">
        <v>91</v>
      </c>
      <c r="AN1449" t="s">
        <v>91</v>
      </c>
      <c r="AO1449" t="s">
        <v>91</v>
      </c>
      <c r="AP1449" t="s">
        <v>91</v>
      </c>
      <c r="AQ1449" s="1" t="s">
        <v>91</v>
      </c>
      <c r="AR1449" s="1" t="s">
        <v>91</v>
      </c>
      <c r="AS1449" s="1" t="s">
        <v>91</v>
      </c>
      <c r="AT1449" s="1" t="s">
        <v>91</v>
      </c>
      <c r="AU1449" s="1" t="s">
        <v>91</v>
      </c>
      <c r="AV1449" t="s">
        <v>91</v>
      </c>
      <c r="AW1449" t="s">
        <v>91</v>
      </c>
      <c r="AX1449" t="s">
        <v>91</v>
      </c>
      <c r="AY1449" t="s">
        <v>91</v>
      </c>
      <c r="AZ1449" t="s">
        <v>91</v>
      </c>
      <c r="BA1449" t="s">
        <v>91</v>
      </c>
      <c r="BB1449" s="2">
        <v>43308.393182870372</v>
      </c>
      <c r="BC1449" s="2"/>
      <c r="BD1449" t="s">
        <v>91</v>
      </c>
      <c r="BE1449">
        <v>1248</v>
      </c>
      <c r="BF1449" s="1" t="s">
        <v>75</v>
      </c>
      <c r="BG1449">
        <v>0</v>
      </c>
      <c r="BH1449">
        <v>0</v>
      </c>
      <c r="BI1449" s="1" t="s">
        <v>88</v>
      </c>
      <c r="BJ1449">
        <v>1</v>
      </c>
      <c r="BK1449" s="1" t="s">
        <v>89</v>
      </c>
      <c r="BL1449" t="s">
        <v>91</v>
      </c>
      <c r="BM1449" s="1" t="s">
        <v>109</v>
      </c>
      <c r="BN1449" s="1" t="s">
        <v>110</v>
      </c>
      <c r="BO1449" s="1" t="s">
        <v>180</v>
      </c>
      <c r="BP1449" s="1" t="s">
        <v>91</v>
      </c>
      <c r="BQ1449" t="s">
        <v>91</v>
      </c>
      <c r="BR1449" s="3">
        <v>43308</v>
      </c>
      <c r="BS1449" s="3"/>
      <c r="BT1449" t="s">
        <v>91</v>
      </c>
      <c r="BU1449" t="s">
        <v>91</v>
      </c>
      <c r="BV1449">
        <v>9</v>
      </c>
      <c r="BW1449" s="1" t="s">
        <v>90</v>
      </c>
    </row>
    <row r="1450" spans="1:75" hidden="1" x14ac:dyDescent="0.35">
      <c r="A1450">
        <v>137684</v>
      </c>
      <c r="B1450" s="1" t="s">
        <v>75</v>
      </c>
      <c r="C1450">
        <v>80</v>
      </c>
      <c r="D1450">
        <v>11121004</v>
      </c>
      <c r="E1450">
        <v>121004</v>
      </c>
      <c r="F1450" s="1" t="s">
        <v>6867</v>
      </c>
      <c r="G1450" s="1" t="s">
        <v>7843</v>
      </c>
      <c r="H1450">
        <v>0</v>
      </c>
      <c r="I1450" s="1" t="s">
        <v>78</v>
      </c>
      <c r="J1450" s="1" t="s">
        <v>7844</v>
      </c>
      <c r="K1450" s="1" t="s">
        <v>7845</v>
      </c>
      <c r="L1450" t="s">
        <v>91</v>
      </c>
      <c r="M1450" t="s">
        <v>91</v>
      </c>
      <c r="N1450" s="1" t="s">
        <v>7846</v>
      </c>
      <c r="O1450" t="s">
        <v>91</v>
      </c>
      <c r="P1450" s="1" t="s">
        <v>7847</v>
      </c>
      <c r="Q1450" s="1" t="s">
        <v>1047</v>
      </c>
      <c r="R1450" s="1" t="s">
        <v>173</v>
      </c>
      <c r="T1450">
        <v>88308140</v>
      </c>
      <c r="U1450" s="1" t="s">
        <v>7848</v>
      </c>
      <c r="V1450" s="1" t="s">
        <v>6874</v>
      </c>
      <c r="W1450" s="1" t="s">
        <v>87</v>
      </c>
      <c r="X1450">
        <v>47</v>
      </c>
      <c r="Y1450">
        <v>33441837</v>
      </c>
      <c r="Z1450" t="s">
        <v>91</v>
      </c>
      <c r="AA1450" t="s">
        <v>91</v>
      </c>
      <c r="AB1450" t="s">
        <v>91</v>
      </c>
      <c r="AC1450" t="s">
        <v>91</v>
      </c>
      <c r="AD1450" t="s">
        <v>91</v>
      </c>
      <c r="AE1450" t="s">
        <v>91</v>
      </c>
      <c r="AF1450" t="s">
        <v>91</v>
      </c>
      <c r="AG1450" s="1" t="s">
        <v>146</v>
      </c>
      <c r="AH1450" s="1" t="s">
        <v>91</v>
      </c>
      <c r="AI1450" t="s">
        <v>91</v>
      </c>
      <c r="AM1450" t="s">
        <v>91</v>
      </c>
      <c r="AN1450" t="s">
        <v>91</v>
      </c>
      <c r="AO1450" t="s">
        <v>91</v>
      </c>
      <c r="AP1450" t="s">
        <v>91</v>
      </c>
      <c r="AQ1450" s="1" t="s">
        <v>147</v>
      </c>
      <c r="AR1450" s="1" t="s">
        <v>147</v>
      </c>
      <c r="AS1450" s="1" t="s">
        <v>147</v>
      </c>
      <c r="AT1450" s="1" t="s">
        <v>147</v>
      </c>
      <c r="AU1450" s="1" t="s">
        <v>147</v>
      </c>
      <c r="AV1450" t="s">
        <v>91</v>
      </c>
      <c r="AW1450" t="s">
        <v>91</v>
      </c>
      <c r="AX1450" t="s">
        <v>91</v>
      </c>
      <c r="AY1450" t="s">
        <v>91</v>
      </c>
      <c r="AZ1450" t="s">
        <v>91</v>
      </c>
      <c r="BA1450" t="s">
        <v>91</v>
      </c>
      <c r="BB1450" s="2">
        <v>44378.578518518516</v>
      </c>
      <c r="BC1450" s="2">
        <v>44581.638819444444</v>
      </c>
      <c r="BD1450" t="s">
        <v>91</v>
      </c>
      <c r="BF1450" s="1" t="s">
        <v>75</v>
      </c>
      <c r="BH1450">
        <v>0</v>
      </c>
      <c r="BI1450" s="1" t="s">
        <v>88</v>
      </c>
      <c r="BJ1450">
        <v>1</v>
      </c>
      <c r="BK1450" s="1" t="s">
        <v>89</v>
      </c>
      <c r="BL1450" t="s">
        <v>91</v>
      </c>
      <c r="BM1450" s="1" t="s">
        <v>109</v>
      </c>
      <c r="BN1450" s="1" t="s">
        <v>110</v>
      </c>
      <c r="BO1450" s="1" t="s">
        <v>180</v>
      </c>
      <c r="BP1450" s="1" t="s">
        <v>91</v>
      </c>
      <c r="BQ1450" t="s">
        <v>91</v>
      </c>
      <c r="BR1450" s="3">
        <v>44378</v>
      </c>
      <c r="BS1450" s="3">
        <v>44581</v>
      </c>
      <c r="BT1450" t="s">
        <v>91</v>
      </c>
      <c r="BU1450" t="s">
        <v>91</v>
      </c>
      <c r="BW1450" s="1" t="s">
        <v>419</v>
      </c>
    </row>
    <row r="1451" spans="1:75" hidden="1" x14ac:dyDescent="0.35">
      <c r="A1451">
        <v>137686</v>
      </c>
      <c r="B1451" s="1" t="s">
        <v>75</v>
      </c>
      <c r="C1451">
        <v>80</v>
      </c>
      <c r="D1451">
        <v>11121004</v>
      </c>
      <c r="E1451">
        <v>121004</v>
      </c>
      <c r="F1451" s="1" t="s">
        <v>6867</v>
      </c>
      <c r="G1451" s="1" t="s">
        <v>7849</v>
      </c>
      <c r="H1451">
        <v>0</v>
      </c>
      <c r="I1451" s="1" t="s">
        <v>78</v>
      </c>
      <c r="J1451" s="1" t="s">
        <v>7850</v>
      </c>
      <c r="K1451" s="1" t="s">
        <v>7851</v>
      </c>
      <c r="L1451" t="s">
        <v>91</v>
      </c>
      <c r="M1451" t="s">
        <v>91</v>
      </c>
      <c r="N1451" s="1" t="s">
        <v>7852</v>
      </c>
      <c r="O1451" t="s">
        <v>91</v>
      </c>
      <c r="P1451" s="1" t="s">
        <v>475</v>
      </c>
      <c r="Q1451" s="1" t="s">
        <v>7853</v>
      </c>
      <c r="R1451" s="1" t="s">
        <v>7854</v>
      </c>
      <c r="S1451">
        <v>1262</v>
      </c>
      <c r="T1451">
        <v>88330048</v>
      </c>
      <c r="U1451" s="1" t="s">
        <v>108</v>
      </c>
      <c r="V1451" s="1" t="s">
        <v>6898</v>
      </c>
      <c r="W1451" s="1" t="s">
        <v>87</v>
      </c>
      <c r="X1451">
        <v>47</v>
      </c>
      <c r="Y1451">
        <v>984694865</v>
      </c>
      <c r="Z1451" t="s">
        <v>91</v>
      </c>
      <c r="AA1451" t="s">
        <v>91</v>
      </c>
      <c r="AB1451" t="s">
        <v>91</v>
      </c>
      <c r="AC1451" t="s">
        <v>91</v>
      </c>
      <c r="AD1451" t="s">
        <v>91</v>
      </c>
      <c r="AE1451" t="s">
        <v>91</v>
      </c>
      <c r="AF1451" t="s">
        <v>91</v>
      </c>
      <c r="AG1451" s="1" t="s">
        <v>146</v>
      </c>
      <c r="AH1451" s="1" t="s">
        <v>91</v>
      </c>
      <c r="AI1451" t="s">
        <v>91</v>
      </c>
      <c r="AM1451" t="s">
        <v>91</v>
      </c>
      <c r="AN1451" t="s">
        <v>91</v>
      </c>
      <c r="AO1451" t="s">
        <v>91</v>
      </c>
      <c r="AP1451" t="s">
        <v>91</v>
      </c>
      <c r="AQ1451" s="1" t="s">
        <v>147</v>
      </c>
      <c r="AR1451" s="1" t="s">
        <v>147</v>
      </c>
      <c r="AS1451" s="1" t="s">
        <v>147</v>
      </c>
      <c r="AT1451" s="1" t="s">
        <v>147</v>
      </c>
      <c r="AU1451" s="1" t="s">
        <v>147</v>
      </c>
      <c r="AV1451" t="s">
        <v>91</v>
      </c>
      <c r="AW1451" t="s">
        <v>91</v>
      </c>
      <c r="AX1451" t="s">
        <v>91</v>
      </c>
      <c r="AY1451" t="s">
        <v>91</v>
      </c>
      <c r="AZ1451" t="s">
        <v>91</v>
      </c>
      <c r="BA1451" t="s">
        <v>91</v>
      </c>
      <c r="BB1451" s="2">
        <v>44378.578518518516</v>
      </c>
      <c r="BC1451" s="2">
        <v>44623.714837962965</v>
      </c>
      <c r="BD1451" t="s">
        <v>91</v>
      </c>
      <c r="BF1451" s="1" t="s">
        <v>75</v>
      </c>
      <c r="BH1451">
        <v>0</v>
      </c>
      <c r="BI1451" s="1" t="s">
        <v>88</v>
      </c>
      <c r="BJ1451">
        <v>1</v>
      </c>
      <c r="BK1451" s="1" t="s">
        <v>89</v>
      </c>
      <c r="BL1451" t="s">
        <v>91</v>
      </c>
      <c r="BM1451" s="1" t="s">
        <v>197</v>
      </c>
      <c r="BN1451" s="1" t="s">
        <v>110</v>
      </c>
      <c r="BO1451" s="1" t="s">
        <v>165</v>
      </c>
      <c r="BP1451" s="1" t="s">
        <v>91</v>
      </c>
      <c r="BQ1451" t="s">
        <v>91</v>
      </c>
      <c r="BR1451" s="3">
        <v>44378</v>
      </c>
      <c r="BS1451" s="3">
        <v>44623</v>
      </c>
      <c r="BT1451" t="s">
        <v>91</v>
      </c>
      <c r="BU1451" t="s">
        <v>91</v>
      </c>
      <c r="BW1451" s="1" t="s">
        <v>3738</v>
      </c>
    </row>
    <row r="1452" spans="1:75" hidden="1" x14ac:dyDescent="0.35">
      <c r="A1452">
        <v>157110</v>
      </c>
      <c r="B1452" s="1" t="s">
        <v>75</v>
      </c>
      <c r="C1452">
        <v>80</v>
      </c>
      <c r="D1452">
        <v>11121004</v>
      </c>
      <c r="E1452">
        <v>121004</v>
      </c>
      <c r="F1452" s="1" t="s">
        <v>6867</v>
      </c>
      <c r="G1452" s="1" t="s">
        <v>7855</v>
      </c>
      <c r="H1452">
        <v>0</v>
      </c>
      <c r="I1452" s="1" t="s">
        <v>78</v>
      </c>
      <c r="J1452" s="1" t="s">
        <v>7856</v>
      </c>
      <c r="K1452" s="1" t="s">
        <v>7857</v>
      </c>
      <c r="L1452" t="s">
        <v>91</v>
      </c>
      <c r="M1452" t="s">
        <v>91</v>
      </c>
      <c r="N1452" s="1" t="s">
        <v>4747</v>
      </c>
      <c r="O1452" t="s">
        <v>91</v>
      </c>
      <c r="P1452" s="1" t="s">
        <v>525</v>
      </c>
      <c r="Q1452" s="1" t="s">
        <v>7028</v>
      </c>
      <c r="R1452" s="1" t="s">
        <v>7858</v>
      </c>
      <c r="S1452">
        <v>1262</v>
      </c>
      <c r="T1452">
        <v>88339005</v>
      </c>
      <c r="U1452" s="1" t="s">
        <v>7626</v>
      </c>
      <c r="V1452" s="1" t="s">
        <v>5871</v>
      </c>
      <c r="W1452" s="1" t="s">
        <v>87</v>
      </c>
      <c r="X1452">
        <v>48</v>
      </c>
      <c r="Y1452">
        <v>999490521</v>
      </c>
      <c r="Z1452" t="s">
        <v>91</v>
      </c>
      <c r="AA1452" t="s">
        <v>91</v>
      </c>
      <c r="AB1452" t="s">
        <v>91</v>
      </c>
      <c r="AC1452" t="s">
        <v>91</v>
      </c>
      <c r="AD1452" t="s">
        <v>91</v>
      </c>
      <c r="AE1452" t="s">
        <v>91</v>
      </c>
      <c r="AF1452" t="s">
        <v>91</v>
      </c>
      <c r="AG1452" s="1" t="s">
        <v>91</v>
      </c>
      <c r="AH1452" s="1" t="s">
        <v>91</v>
      </c>
      <c r="AI1452" t="s">
        <v>91</v>
      </c>
      <c r="AM1452" t="s">
        <v>91</v>
      </c>
      <c r="AN1452" t="s">
        <v>91</v>
      </c>
      <c r="AO1452" t="s">
        <v>91</v>
      </c>
      <c r="AP1452" t="s">
        <v>91</v>
      </c>
      <c r="AQ1452" s="1" t="s">
        <v>91</v>
      </c>
      <c r="AR1452" s="1" t="s">
        <v>91</v>
      </c>
      <c r="AS1452" s="1" t="s">
        <v>91</v>
      </c>
      <c r="AT1452" s="1" t="s">
        <v>91</v>
      </c>
      <c r="AU1452" s="1" t="s">
        <v>91</v>
      </c>
      <c r="AV1452" t="s">
        <v>91</v>
      </c>
      <c r="AW1452" t="s">
        <v>91</v>
      </c>
      <c r="AX1452" t="s">
        <v>91</v>
      </c>
      <c r="AY1452" t="s">
        <v>91</v>
      </c>
      <c r="AZ1452" t="s">
        <v>91</v>
      </c>
      <c r="BA1452" t="s">
        <v>91</v>
      </c>
      <c r="BB1452" s="2">
        <v>45113.505416666667</v>
      </c>
      <c r="BC1452" s="2"/>
      <c r="BD1452" t="s">
        <v>91</v>
      </c>
      <c r="BF1452" s="1" t="s">
        <v>75</v>
      </c>
      <c r="BI1452" s="1" t="s">
        <v>88</v>
      </c>
      <c r="BJ1452">
        <v>1</v>
      </c>
      <c r="BK1452" s="1" t="s">
        <v>89</v>
      </c>
      <c r="BL1452" t="s">
        <v>91</v>
      </c>
      <c r="BM1452" s="1" t="s">
        <v>91</v>
      </c>
      <c r="BN1452" s="1" t="s">
        <v>91</v>
      </c>
      <c r="BO1452" s="1" t="s">
        <v>91</v>
      </c>
      <c r="BP1452" s="1" t="s">
        <v>91</v>
      </c>
      <c r="BQ1452" t="s">
        <v>91</v>
      </c>
      <c r="BR1452" s="3">
        <v>45113</v>
      </c>
      <c r="BS1452" s="3"/>
      <c r="BT1452" t="s">
        <v>91</v>
      </c>
      <c r="BU1452" t="s">
        <v>91</v>
      </c>
      <c r="BW1452" s="1" t="s">
        <v>90</v>
      </c>
    </row>
    <row r="1453" spans="1:75" hidden="1" x14ac:dyDescent="0.35">
      <c r="A1453">
        <v>144879</v>
      </c>
      <c r="B1453" s="1" t="s">
        <v>75</v>
      </c>
      <c r="C1453">
        <v>80</v>
      </c>
      <c r="D1453">
        <v>11121004</v>
      </c>
      <c r="E1453">
        <v>121004</v>
      </c>
      <c r="F1453" s="1" t="s">
        <v>6867</v>
      </c>
      <c r="G1453" s="1" t="s">
        <v>7859</v>
      </c>
      <c r="H1453">
        <v>0</v>
      </c>
      <c r="I1453" s="1" t="s">
        <v>78</v>
      </c>
      <c r="J1453" s="1" t="s">
        <v>7860</v>
      </c>
      <c r="K1453" s="1" t="s">
        <v>7861</v>
      </c>
      <c r="L1453" t="s">
        <v>91</v>
      </c>
      <c r="M1453" t="s">
        <v>91</v>
      </c>
      <c r="N1453" s="1" t="s">
        <v>7862</v>
      </c>
      <c r="O1453" t="s">
        <v>91</v>
      </c>
      <c r="P1453" s="1" t="s">
        <v>6872</v>
      </c>
      <c r="Q1453" s="1" t="s">
        <v>7863</v>
      </c>
      <c r="R1453" s="1" t="s">
        <v>236</v>
      </c>
      <c r="S1453">
        <v>1261</v>
      </c>
      <c r="T1453">
        <v>88301303</v>
      </c>
      <c r="U1453" s="1" t="s">
        <v>108</v>
      </c>
      <c r="V1453" s="1" t="s">
        <v>6881</v>
      </c>
      <c r="W1453" s="1" t="s">
        <v>87</v>
      </c>
      <c r="X1453">
        <v>47</v>
      </c>
      <c r="Y1453">
        <v>997081997</v>
      </c>
      <c r="Z1453" t="s">
        <v>91</v>
      </c>
      <c r="AA1453" t="s">
        <v>91</v>
      </c>
      <c r="AB1453" t="s">
        <v>91</v>
      </c>
      <c r="AC1453" t="s">
        <v>91</v>
      </c>
      <c r="AD1453" t="s">
        <v>91</v>
      </c>
      <c r="AE1453" t="s">
        <v>91</v>
      </c>
      <c r="AF1453" t="s">
        <v>91</v>
      </c>
      <c r="AG1453" s="1" t="s">
        <v>91</v>
      </c>
      <c r="AH1453" s="1" t="s">
        <v>91</v>
      </c>
      <c r="AI1453" t="s">
        <v>91</v>
      </c>
      <c r="AM1453" t="s">
        <v>91</v>
      </c>
      <c r="AN1453" t="s">
        <v>91</v>
      </c>
      <c r="AO1453" t="s">
        <v>91</v>
      </c>
      <c r="AP1453" t="s">
        <v>91</v>
      </c>
      <c r="AQ1453" s="1" t="s">
        <v>91</v>
      </c>
      <c r="AR1453" s="1" t="s">
        <v>91</v>
      </c>
      <c r="AS1453" s="1" t="s">
        <v>91</v>
      </c>
      <c r="AT1453" s="1" t="s">
        <v>91</v>
      </c>
      <c r="AU1453" s="1" t="s">
        <v>91</v>
      </c>
      <c r="AV1453" t="s">
        <v>91</v>
      </c>
      <c r="AW1453" t="s">
        <v>91</v>
      </c>
      <c r="AX1453" t="s">
        <v>91</v>
      </c>
      <c r="AY1453" t="s">
        <v>91</v>
      </c>
      <c r="AZ1453" t="s">
        <v>91</v>
      </c>
      <c r="BA1453" t="s">
        <v>91</v>
      </c>
      <c r="BB1453" s="2">
        <v>44558.718495370369</v>
      </c>
      <c r="BC1453" s="2"/>
      <c r="BD1453" t="s">
        <v>91</v>
      </c>
      <c r="BF1453" s="1" t="s">
        <v>75</v>
      </c>
      <c r="BI1453" s="1" t="s">
        <v>88</v>
      </c>
      <c r="BJ1453">
        <v>1</v>
      </c>
      <c r="BK1453" s="1" t="s">
        <v>89</v>
      </c>
      <c r="BL1453" t="s">
        <v>91</v>
      </c>
      <c r="BM1453" s="1" t="s">
        <v>91</v>
      </c>
      <c r="BN1453" s="1" t="s">
        <v>91</v>
      </c>
      <c r="BO1453" s="1" t="s">
        <v>165</v>
      </c>
      <c r="BP1453" s="1" t="s">
        <v>91</v>
      </c>
      <c r="BQ1453" t="s">
        <v>91</v>
      </c>
      <c r="BR1453" s="3">
        <v>44558</v>
      </c>
      <c r="BS1453" s="3"/>
      <c r="BT1453" t="s">
        <v>91</v>
      </c>
      <c r="BU1453" t="s">
        <v>91</v>
      </c>
      <c r="BW1453" s="1" t="s">
        <v>90</v>
      </c>
    </row>
    <row r="1454" spans="1:75" hidden="1" x14ac:dyDescent="0.35">
      <c r="A1454">
        <v>137687</v>
      </c>
      <c r="B1454" s="1" t="s">
        <v>75</v>
      </c>
      <c r="C1454">
        <v>80</v>
      </c>
      <c r="D1454">
        <v>11121004</v>
      </c>
      <c r="E1454">
        <v>121004</v>
      </c>
      <c r="F1454" s="1" t="s">
        <v>6867</v>
      </c>
      <c r="G1454" s="1" t="s">
        <v>7864</v>
      </c>
      <c r="H1454">
        <v>0</v>
      </c>
      <c r="I1454" s="1" t="s">
        <v>78</v>
      </c>
      <c r="J1454" s="1" t="s">
        <v>7860</v>
      </c>
      <c r="K1454" s="1" t="s">
        <v>7865</v>
      </c>
      <c r="L1454" t="s">
        <v>91</v>
      </c>
      <c r="M1454" t="s">
        <v>91</v>
      </c>
      <c r="N1454" s="1" t="s">
        <v>7866</v>
      </c>
      <c r="O1454" t="s">
        <v>91</v>
      </c>
      <c r="P1454" s="1" t="s">
        <v>7867</v>
      </c>
      <c r="Q1454" s="1" t="s">
        <v>189</v>
      </c>
      <c r="R1454" s="1" t="s">
        <v>1458</v>
      </c>
      <c r="T1454">
        <v>88301030</v>
      </c>
      <c r="U1454" s="1" t="s">
        <v>108</v>
      </c>
      <c r="V1454" s="1" t="s">
        <v>6874</v>
      </c>
      <c r="W1454" s="1" t="s">
        <v>87</v>
      </c>
      <c r="X1454">
        <v>47</v>
      </c>
      <c r="Y1454">
        <v>997081997</v>
      </c>
      <c r="Z1454" t="s">
        <v>91</v>
      </c>
      <c r="AA1454" t="s">
        <v>91</v>
      </c>
      <c r="AB1454" t="s">
        <v>91</v>
      </c>
      <c r="AC1454" t="s">
        <v>91</v>
      </c>
      <c r="AD1454" t="s">
        <v>91</v>
      </c>
      <c r="AE1454" t="s">
        <v>91</v>
      </c>
      <c r="AF1454" t="s">
        <v>91</v>
      </c>
      <c r="AG1454" s="1" t="s">
        <v>146</v>
      </c>
      <c r="AH1454" s="1" t="s">
        <v>91</v>
      </c>
      <c r="AI1454" t="s">
        <v>91</v>
      </c>
      <c r="AM1454" t="s">
        <v>91</v>
      </c>
      <c r="AN1454" t="s">
        <v>91</v>
      </c>
      <c r="AO1454" t="s">
        <v>91</v>
      </c>
      <c r="AP1454" t="s">
        <v>91</v>
      </c>
      <c r="AQ1454" s="1" t="s">
        <v>147</v>
      </c>
      <c r="AR1454" s="1" t="s">
        <v>147</v>
      </c>
      <c r="AS1454" s="1" t="s">
        <v>147</v>
      </c>
      <c r="AT1454" s="1" t="s">
        <v>147</v>
      </c>
      <c r="AU1454" s="1" t="s">
        <v>147</v>
      </c>
      <c r="AV1454" t="s">
        <v>91</v>
      </c>
      <c r="AW1454" t="s">
        <v>91</v>
      </c>
      <c r="AX1454" t="s">
        <v>91</v>
      </c>
      <c r="AY1454" t="s">
        <v>91</v>
      </c>
      <c r="AZ1454" t="s">
        <v>91</v>
      </c>
      <c r="BA1454" t="s">
        <v>91</v>
      </c>
      <c r="BB1454" s="2">
        <v>44378.578518518516</v>
      </c>
      <c r="BC1454" s="2">
        <v>44643.727476851855</v>
      </c>
      <c r="BD1454" t="s">
        <v>91</v>
      </c>
      <c r="BF1454" s="1" t="s">
        <v>75</v>
      </c>
      <c r="BH1454">
        <v>0</v>
      </c>
      <c r="BI1454" s="1" t="s">
        <v>88</v>
      </c>
      <c r="BJ1454">
        <v>1</v>
      </c>
      <c r="BK1454" s="1" t="s">
        <v>89</v>
      </c>
      <c r="BL1454" t="s">
        <v>91</v>
      </c>
      <c r="BM1454" s="1" t="s">
        <v>109</v>
      </c>
      <c r="BN1454" s="1" t="s">
        <v>110</v>
      </c>
      <c r="BO1454" s="1" t="s">
        <v>111</v>
      </c>
      <c r="BP1454" s="1" t="s">
        <v>91</v>
      </c>
      <c r="BQ1454" t="s">
        <v>91</v>
      </c>
      <c r="BR1454" s="3">
        <v>44378</v>
      </c>
      <c r="BS1454" s="3">
        <v>44643</v>
      </c>
      <c r="BT1454" t="s">
        <v>91</v>
      </c>
      <c r="BU1454" t="s">
        <v>91</v>
      </c>
      <c r="BW1454" s="1" t="s">
        <v>1332</v>
      </c>
    </row>
    <row r="1455" spans="1:75" hidden="1" x14ac:dyDescent="0.35">
      <c r="A1455">
        <v>157774</v>
      </c>
      <c r="B1455" s="1" t="s">
        <v>75</v>
      </c>
      <c r="C1455">
        <v>80</v>
      </c>
      <c r="D1455">
        <v>11121004</v>
      </c>
      <c r="E1455">
        <v>121004</v>
      </c>
      <c r="F1455" s="1" t="s">
        <v>6867</v>
      </c>
      <c r="G1455" s="1" t="s">
        <v>7868</v>
      </c>
      <c r="H1455">
        <v>0</v>
      </c>
      <c r="I1455" s="1" t="s">
        <v>78</v>
      </c>
      <c r="J1455" s="1" t="s">
        <v>7869</v>
      </c>
      <c r="K1455" s="1" t="s">
        <v>7870</v>
      </c>
      <c r="L1455" t="s">
        <v>91</v>
      </c>
      <c r="M1455" t="s">
        <v>91</v>
      </c>
      <c r="N1455" s="1" t="s">
        <v>7871</v>
      </c>
      <c r="O1455" t="s">
        <v>91</v>
      </c>
      <c r="P1455" s="1" t="s">
        <v>6945</v>
      </c>
      <c r="Q1455" s="1" t="s">
        <v>985</v>
      </c>
      <c r="R1455" s="1" t="s">
        <v>254</v>
      </c>
      <c r="S1455">
        <v>1263</v>
      </c>
      <c r="T1455">
        <v>88385000</v>
      </c>
      <c r="U1455" s="1" t="s">
        <v>108</v>
      </c>
      <c r="V1455" s="1" t="s">
        <v>7872</v>
      </c>
      <c r="W1455" s="1" t="s">
        <v>87</v>
      </c>
      <c r="X1455">
        <v>48</v>
      </c>
      <c r="Y1455">
        <v>991552422</v>
      </c>
      <c r="Z1455" t="s">
        <v>91</v>
      </c>
      <c r="AA1455" t="s">
        <v>91</v>
      </c>
      <c r="AB1455" t="s">
        <v>91</v>
      </c>
      <c r="AC1455" t="s">
        <v>91</v>
      </c>
      <c r="AD1455" t="s">
        <v>91</v>
      </c>
      <c r="AE1455" t="s">
        <v>91</v>
      </c>
      <c r="AF1455" t="s">
        <v>91</v>
      </c>
      <c r="AG1455" s="1" t="s">
        <v>91</v>
      </c>
      <c r="AH1455" s="1" t="s">
        <v>91</v>
      </c>
      <c r="AI1455" t="s">
        <v>91</v>
      </c>
      <c r="AM1455" t="s">
        <v>91</v>
      </c>
      <c r="AN1455" t="s">
        <v>91</v>
      </c>
      <c r="AO1455" t="s">
        <v>91</v>
      </c>
      <c r="AP1455" t="s">
        <v>91</v>
      </c>
      <c r="AQ1455" s="1" t="s">
        <v>91</v>
      </c>
      <c r="AR1455" s="1" t="s">
        <v>91</v>
      </c>
      <c r="AS1455" s="1" t="s">
        <v>91</v>
      </c>
      <c r="AT1455" s="1" t="s">
        <v>91</v>
      </c>
      <c r="AU1455" s="1" t="s">
        <v>91</v>
      </c>
      <c r="AV1455" t="s">
        <v>91</v>
      </c>
      <c r="AW1455" t="s">
        <v>91</v>
      </c>
      <c r="AX1455" t="s">
        <v>91</v>
      </c>
      <c r="AY1455" t="s">
        <v>91</v>
      </c>
      <c r="AZ1455" t="s">
        <v>91</v>
      </c>
      <c r="BA1455" t="s">
        <v>91</v>
      </c>
      <c r="BB1455" s="2">
        <v>45118.101759259262</v>
      </c>
      <c r="BC1455" s="2"/>
      <c r="BD1455" t="s">
        <v>91</v>
      </c>
      <c r="BF1455" s="1" t="s">
        <v>75</v>
      </c>
      <c r="BI1455" s="1" t="s">
        <v>88</v>
      </c>
      <c r="BJ1455">
        <v>1</v>
      </c>
      <c r="BK1455" s="1" t="s">
        <v>89</v>
      </c>
      <c r="BL1455" t="s">
        <v>91</v>
      </c>
      <c r="BM1455" s="1" t="s">
        <v>91</v>
      </c>
      <c r="BN1455" s="1" t="s">
        <v>91</v>
      </c>
      <c r="BO1455" s="1" t="s">
        <v>91</v>
      </c>
      <c r="BP1455" s="1" t="s">
        <v>91</v>
      </c>
      <c r="BQ1455" t="s">
        <v>91</v>
      </c>
      <c r="BR1455" s="3">
        <v>45118</v>
      </c>
      <c r="BS1455" s="3"/>
      <c r="BT1455" t="s">
        <v>91</v>
      </c>
      <c r="BU1455" t="s">
        <v>91</v>
      </c>
      <c r="BW1455" s="1" t="s">
        <v>2774</v>
      </c>
    </row>
    <row r="1456" spans="1:75" hidden="1" x14ac:dyDescent="0.35">
      <c r="A1456">
        <v>137689</v>
      </c>
      <c r="B1456" s="1" t="s">
        <v>75</v>
      </c>
      <c r="C1456">
        <v>80</v>
      </c>
      <c r="D1456">
        <v>11121004</v>
      </c>
      <c r="E1456">
        <v>121004</v>
      </c>
      <c r="F1456" s="1" t="s">
        <v>6867</v>
      </c>
      <c r="G1456" s="1" t="s">
        <v>7873</v>
      </c>
      <c r="H1456">
        <v>0</v>
      </c>
      <c r="I1456" s="1" t="s">
        <v>78</v>
      </c>
      <c r="J1456" s="1" t="s">
        <v>7874</v>
      </c>
      <c r="K1456" s="1" t="s">
        <v>7875</v>
      </c>
      <c r="L1456" t="s">
        <v>91</v>
      </c>
      <c r="M1456" t="s">
        <v>91</v>
      </c>
      <c r="N1456" s="1" t="s">
        <v>7876</v>
      </c>
      <c r="O1456" t="s">
        <v>91</v>
      </c>
      <c r="P1456" s="1" t="s">
        <v>3875</v>
      </c>
      <c r="Q1456" s="1" t="s">
        <v>433</v>
      </c>
      <c r="R1456" s="1" t="s">
        <v>245</v>
      </c>
      <c r="S1456">
        <v>1273</v>
      </c>
      <c r="T1456">
        <v>89052600</v>
      </c>
      <c r="U1456" s="1" t="s">
        <v>7877</v>
      </c>
      <c r="V1456" s="1" t="s">
        <v>3571</v>
      </c>
      <c r="W1456" s="1" t="s">
        <v>87</v>
      </c>
      <c r="X1456">
        <v>47</v>
      </c>
      <c r="Y1456">
        <v>30373730</v>
      </c>
      <c r="Z1456" t="s">
        <v>91</v>
      </c>
      <c r="AA1456" t="s">
        <v>91</v>
      </c>
      <c r="AB1456" t="s">
        <v>91</v>
      </c>
      <c r="AC1456" t="s">
        <v>91</v>
      </c>
      <c r="AD1456" t="s">
        <v>91</v>
      </c>
      <c r="AE1456" t="s">
        <v>91</v>
      </c>
      <c r="AF1456" t="s">
        <v>91</v>
      </c>
      <c r="AG1456" s="1" t="s">
        <v>146</v>
      </c>
      <c r="AH1456" s="1" t="s">
        <v>91</v>
      </c>
      <c r="AI1456" t="s">
        <v>91</v>
      </c>
      <c r="AM1456" t="s">
        <v>91</v>
      </c>
      <c r="AN1456" t="s">
        <v>91</v>
      </c>
      <c r="AO1456" t="s">
        <v>91</v>
      </c>
      <c r="AP1456" t="s">
        <v>91</v>
      </c>
      <c r="AQ1456" s="1" t="s">
        <v>147</v>
      </c>
      <c r="AR1456" s="1" t="s">
        <v>147</v>
      </c>
      <c r="AS1456" s="1" t="s">
        <v>147</v>
      </c>
      <c r="AT1456" s="1" t="s">
        <v>147</v>
      </c>
      <c r="AU1456" s="1" t="s">
        <v>147</v>
      </c>
      <c r="AV1456" t="s">
        <v>91</v>
      </c>
      <c r="AW1456" t="s">
        <v>91</v>
      </c>
      <c r="AX1456" t="s">
        <v>91</v>
      </c>
      <c r="AY1456" t="s">
        <v>91</v>
      </c>
      <c r="AZ1456" t="s">
        <v>91</v>
      </c>
      <c r="BA1456" t="s">
        <v>91</v>
      </c>
      <c r="BB1456" s="2">
        <v>44378.578518518516</v>
      </c>
      <c r="BC1456" s="2">
        <v>44582.608217592591</v>
      </c>
      <c r="BD1456" t="s">
        <v>91</v>
      </c>
      <c r="BF1456" s="1" t="s">
        <v>75</v>
      </c>
      <c r="BH1456">
        <v>0</v>
      </c>
      <c r="BI1456" s="1" t="s">
        <v>88</v>
      </c>
      <c r="BJ1456">
        <v>1</v>
      </c>
      <c r="BK1456" s="1" t="s">
        <v>89</v>
      </c>
      <c r="BL1456" t="s">
        <v>91</v>
      </c>
      <c r="BM1456" s="1" t="s">
        <v>109</v>
      </c>
      <c r="BN1456" s="1" t="s">
        <v>110</v>
      </c>
      <c r="BO1456" s="1" t="s">
        <v>128</v>
      </c>
      <c r="BP1456" s="1" t="s">
        <v>91</v>
      </c>
      <c r="BQ1456" t="s">
        <v>91</v>
      </c>
      <c r="BR1456" s="3">
        <v>44378</v>
      </c>
      <c r="BS1456" s="3">
        <v>44582</v>
      </c>
      <c r="BT1456" t="s">
        <v>91</v>
      </c>
      <c r="BU1456" t="s">
        <v>91</v>
      </c>
      <c r="BW1456" s="1" t="s">
        <v>3578</v>
      </c>
    </row>
    <row r="1457" spans="1:75" hidden="1" x14ac:dyDescent="0.35">
      <c r="A1457">
        <v>137690</v>
      </c>
      <c r="B1457" s="1" t="s">
        <v>75</v>
      </c>
      <c r="C1457">
        <v>80</v>
      </c>
      <c r="D1457">
        <v>11121004</v>
      </c>
      <c r="E1457">
        <v>121004</v>
      </c>
      <c r="F1457" s="1" t="s">
        <v>6867</v>
      </c>
      <c r="G1457" s="1" t="s">
        <v>7878</v>
      </c>
      <c r="H1457">
        <v>0</v>
      </c>
      <c r="I1457" s="1" t="s">
        <v>78</v>
      </c>
      <c r="J1457" s="1" t="s">
        <v>7879</v>
      </c>
      <c r="K1457" s="1" t="s">
        <v>7880</v>
      </c>
      <c r="L1457" t="s">
        <v>91</v>
      </c>
      <c r="M1457" t="s">
        <v>91</v>
      </c>
      <c r="N1457" s="1" t="s">
        <v>7881</v>
      </c>
      <c r="O1457" t="s">
        <v>91</v>
      </c>
      <c r="P1457" s="1" t="s">
        <v>7882</v>
      </c>
      <c r="Q1457" s="1" t="s">
        <v>7883</v>
      </c>
      <c r="R1457" s="1" t="s">
        <v>236</v>
      </c>
      <c r="S1457">
        <v>1261</v>
      </c>
      <c r="T1457">
        <v>88309421</v>
      </c>
      <c r="U1457" s="1" t="s">
        <v>7235</v>
      </c>
      <c r="V1457" s="1" t="s">
        <v>6874</v>
      </c>
      <c r="W1457" s="1" t="s">
        <v>87</v>
      </c>
      <c r="X1457">
        <v>47</v>
      </c>
      <c r="Y1457">
        <v>32413118</v>
      </c>
      <c r="Z1457" t="s">
        <v>91</v>
      </c>
      <c r="AA1457" t="s">
        <v>91</v>
      </c>
      <c r="AB1457" t="s">
        <v>91</v>
      </c>
      <c r="AC1457" t="s">
        <v>91</v>
      </c>
      <c r="AD1457" t="s">
        <v>91</v>
      </c>
      <c r="AE1457" t="s">
        <v>91</v>
      </c>
      <c r="AF1457" t="s">
        <v>91</v>
      </c>
      <c r="AG1457" s="1" t="s">
        <v>146</v>
      </c>
      <c r="AH1457" s="1" t="s">
        <v>91</v>
      </c>
      <c r="AI1457" t="s">
        <v>91</v>
      </c>
      <c r="AM1457" t="s">
        <v>91</v>
      </c>
      <c r="AN1457" t="s">
        <v>91</v>
      </c>
      <c r="AO1457" t="s">
        <v>91</v>
      </c>
      <c r="AP1457" t="s">
        <v>91</v>
      </c>
      <c r="AQ1457" s="1" t="s">
        <v>147</v>
      </c>
      <c r="AR1457" s="1" t="s">
        <v>147</v>
      </c>
      <c r="AS1457" s="1" t="s">
        <v>147</v>
      </c>
      <c r="AT1457" s="1" t="s">
        <v>147</v>
      </c>
      <c r="AU1457" s="1" t="s">
        <v>147</v>
      </c>
      <c r="AV1457" t="s">
        <v>91</v>
      </c>
      <c r="AW1457" t="s">
        <v>91</v>
      </c>
      <c r="AX1457" t="s">
        <v>91</v>
      </c>
      <c r="AY1457" t="s">
        <v>91</v>
      </c>
      <c r="AZ1457" t="s">
        <v>91</v>
      </c>
      <c r="BA1457" t="s">
        <v>91</v>
      </c>
      <c r="BB1457" s="2">
        <v>44378.578518518516</v>
      </c>
      <c r="BC1457" s="2">
        <v>45118.430543981478</v>
      </c>
      <c r="BD1457" t="s">
        <v>91</v>
      </c>
      <c r="BF1457" s="1" t="s">
        <v>75</v>
      </c>
      <c r="BH1457">
        <v>0</v>
      </c>
      <c r="BI1457" s="1" t="s">
        <v>88</v>
      </c>
      <c r="BJ1457">
        <v>1</v>
      </c>
      <c r="BK1457" s="1" t="s">
        <v>89</v>
      </c>
      <c r="BL1457" t="s">
        <v>91</v>
      </c>
      <c r="BM1457" s="1" t="s">
        <v>109</v>
      </c>
      <c r="BN1457" s="1" t="s">
        <v>110</v>
      </c>
      <c r="BO1457" s="1" t="s">
        <v>128</v>
      </c>
      <c r="BP1457" s="1" t="s">
        <v>91</v>
      </c>
      <c r="BQ1457" t="s">
        <v>91</v>
      </c>
      <c r="BR1457" s="3">
        <v>44378</v>
      </c>
      <c r="BS1457" s="3">
        <v>45118</v>
      </c>
      <c r="BT1457" t="s">
        <v>91</v>
      </c>
      <c r="BU1457" t="s">
        <v>91</v>
      </c>
      <c r="BW1457" s="1" t="s">
        <v>540</v>
      </c>
    </row>
    <row r="1458" spans="1:75" hidden="1" x14ac:dyDescent="0.35">
      <c r="A1458">
        <v>157063</v>
      </c>
      <c r="B1458" s="1" t="s">
        <v>75</v>
      </c>
      <c r="C1458">
        <v>80</v>
      </c>
      <c r="D1458">
        <v>11121004</v>
      </c>
      <c r="E1458">
        <v>121004</v>
      </c>
      <c r="F1458" s="1" t="s">
        <v>6867</v>
      </c>
      <c r="G1458" s="1" t="s">
        <v>7884</v>
      </c>
      <c r="H1458">
        <v>0</v>
      </c>
      <c r="I1458" s="1" t="s">
        <v>78</v>
      </c>
      <c r="J1458" s="1" t="s">
        <v>7885</v>
      </c>
      <c r="K1458" s="1" t="s">
        <v>7886</v>
      </c>
      <c r="L1458" t="s">
        <v>91</v>
      </c>
      <c r="M1458" t="s">
        <v>91</v>
      </c>
      <c r="N1458" s="1" t="s">
        <v>7887</v>
      </c>
      <c r="O1458" t="s">
        <v>91</v>
      </c>
      <c r="P1458" s="1" t="s">
        <v>2705</v>
      </c>
      <c r="Q1458" s="1" t="s">
        <v>7888</v>
      </c>
      <c r="R1458" s="1" t="s">
        <v>1127</v>
      </c>
      <c r="S1458">
        <v>1271</v>
      </c>
      <c r="T1458">
        <v>89010003</v>
      </c>
      <c r="U1458" s="1" t="s">
        <v>108</v>
      </c>
      <c r="V1458" s="1" t="s">
        <v>3571</v>
      </c>
      <c r="W1458" s="1" t="s">
        <v>87</v>
      </c>
      <c r="X1458">
        <v>47</v>
      </c>
      <c r="Y1458">
        <v>32371610</v>
      </c>
      <c r="Z1458" t="s">
        <v>91</v>
      </c>
      <c r="AA1458" t="s">
        <v>91</v>
      </c>
      <c r="AB1458" t="s">
        <v>91</v>
      </c>
      <c r="AC1458" t="s">
        <v>91</v>
      </c>
      <c r="AD1458" t="s">
        <v>91</v>
      </c>
      <c r="AE1458" t="s">
        <v>91</v>
      </c>
      <c r="AF1458" t="s">
        <v>91</v>
      </c>
      <c r="AG1458" s="1" t="s">
        <v>91</v>
      </c>
      <c r="AH1458" s="1" t="s">
        <v>91</v>
      </c>
      <c r="AI1458" t="s">
        <v>91</v>
      </c>
      <c r="AM1458" t="s">
        <v>91</v>
      </c>
      <c r="AN1458" t="s">
        <v>91</v>
      </c>
      <c r="AO1458" t="s">
        <v>91</v>
      </c>
      <c r="AP1458" t="s">
        <v>91</v>
      </c>
      <c r="AQ1458" s="1" t="s">
        <v>91</v>
      </c>
      <c r="AR1458" s="1" t="s">
        <v>91</v>
      </c>
      <c r="AS1458" s="1" t="s">
        <v>91</v>
      </c>
      <c r="AT1458" s="1" t="s">
        <v>91</v>
      </c>
      <c r="AU1458" s="1" t="s">
        <v>91</v>
      </c>
      <c r="AV1458" t="s">
        <v>91</v>
      </c>
      <c r="AW1458" t="s">
        <v>91</v>
      </c>
      <c r="AX1458" t="s">
        <v>91</v>
      </c>
      <c r="AY1458" t="s">
        <v>91</v>
      </c>
      <c r="AZ1458" t="s">
        <v>91</v>
      </c>
      <c r="BA1458" t="s">
        <v>91</v>
      </c>
      <c r="BB1458" s="2">
        <v>45113.505416666667</v>
      </c>
      <c r="BC1458" s="2"/>
      <c r="BD1458" t="s">
        <v>91</v>
      </c>
      <c r="BF1458" s="1" t="s">
        <v>75</v>
      </c>
      <c r="BI1458" s="1" t="s">
        <v>88</v>
      </c>
      <c r="BJ1458">
        <v>1</v>
      </c>
      <c r="BK1458" s="1" t="s">
        <v>89</v>
      </c>
      <c r="BL1458" t="s">
        <v>91</v>
      </c>
      <c r="BM1458" s="1" t="s">
        <v>91</v>
      </c>
      <c r="BN1458" s="1" t="s">
        <v>91</v>
      </c>
      <c r="BO1458" s="1" t="s">
        <v>91</v>
      </c>
      <c r="BP1458" s="1" t="s">
        <v>91</v>
      </c>
      <c r="BQ1458" t="s">
        <v>91</v>
      </c>
      <c r="BR1458" s="3">
        <v>45113</v>
      </c>
      <c r="BS1458" s="3"/>
      <c r="BT1458" t="s">
        <v>91</v>
      </c>
      <c r="BU1458" t="s">
        <v>91</v>
      </c>
      <c r="BW1458" s="1" t="s">
        <v>90</v>
      </c>
    </row>
    <row r="1459" spans="1:75" hidden="1" x14ac:dyDescent="0.35">
      <c r="A1459">
        <v>137691</v>
      </c>
      <c r="B1459" s="1" t="s">
        <v>75</v>
      </c>
      <c r="C1459">
        <v>80</v>
      </c>
      <c r="D1459">
        <v>11121004</v>
      </c>
      <c r="E1459">
        <v>121004</v>
      </c>
      <c r="F1459" s="1" t="s">
        <v>6867</v>
      </c>
      <c r="G1459" s="1" t="s">
        <v>7889</v>
      </c>
      <c r="H1459">
        <v>0</v>
      </c>
      <c r="I1459" s="1" t="s">
        <v>78</v>
      </c>
      <c r="J1459" s="1" t="s">
        <v>7890</v>
      </c>
      <c r="K1459" s="1" t="s">
        <v>7891</v>
      </c>
      <c r="L1459" t="s">
        <v>91</v>
      </c>
      <c r="M1459" t="s">
        <v>91</v>
      </c>
      <c r="N1459" s="1" t="s">
        <v>7892</v>
      </c>
      <c r="O1459" t="s">
        <v>91</v>
      </c>
      <c r="P1459" s="1" t="s">
        <v>7893</v>
      </c>
      <c r="Q1459" s="1" t="s">
        <v>5398</v>
      </c>
      <c r="R1459" s="1" t="s">
        <v>833</v>
      </c>
      <c r="T1459">
        <v>88350030</v>
      </c>
      <c r="U1459" s="1" t="s">
        <v>7894</v>
      </c>
      <c r="V1459" s="1" t="s">
        <v>6936</v>
      </c>
      <c r="W1459" s="1" t="s">
        <v>87</v>
      </c>
      <c r="X1459">
        <v>47</v>
      </c>
      <c r="Y1459">
        <v>996148225</v>
      </c>
      <c r="Z1459" t="s">
        <v>91</v>
      </c>
      <c r="AA1459" t="s">
        <v>91</v>
      </c>
      <c r="AB1459" t="s">
        <v>91</v>
      </c>
      <c r="AC1459" t="s">
        <v>91</v>
      </c>
      <c r="AD1459" t="s">
        <v>91</v>
      </c>
      <c r="AE1459" t="s">
        <v>91</v>
      </c>
      <c r="AF1459" t="s">
        <v>91</v>
      </c>
      <c r="AG1459" s="1" t="s">
        <v>146</v>
      </c>
      <c r="AH1459" s="1" t="s">
        <v>91</v>
      </c>
      <c r="AI1459" t="s">
        <v>91</v>
      </c>
      <c r="AM1459" t="s">
        <v>91</v>
      </c>
      <c r="AN1459" t="s">
        <v>91</v>
      </c>
      <c r="AO1459" t="s">
        <v>91</v>
      </c>
      <c r="AP1459" t="s">
        <v>91</v>
      </c>
      <c r="AQ1459" s="1" t="s">
        <v>147</v>
      </c>
      <c r="AR1459" s="1" t="s">
        <v>147</v>
      </c>
      <c r="AS1459" s="1" t="s">
        <v>147</v>
      </c>
      <c r="AT1459" s="1" t="s">
        <v>147</v>
      </c>
      <c r="AU1459" s="1" t="s">
        <v>147</v>
      </c>
      <c r="AV1459" t="s">
        <v>91</v>
      </c>
      <c r="AW1459" t="s">
        <v>91</v>
      </c>
      <c r="AX1459" t="s">
        <v>91</v>
      </c>
      <c r="AY1459" t="s">
        <v>91</v>
      </c>
      <c r="AZ1459" t="s">
        <v>91</v>
      </c>
      <c r="BA1459" t="s">
        <v>91</v>
      </c>
      <c r="BB1459" s="2">
        <v>44378.578518518516</v>
      </c>
      <c r="BC1459" s="2">
        <v>44735.44027777778</v>
      </c>
      <c r="BD1459" t="s">
        <v>91</v>
      </c>
      <c r="BF1459" s="1" t="s">
        <v>75</v>
      </c>
      <c r="BH1459">
        <v>0</v>
      </c>
      <c r="BI1459" s="1" t="s">
        <v>88</v>
      </c>
      <c r="BJ1459">
        <v>1</v>
      </c>
      <c r="BK1459" s="1" t="s">
        <v>89</v>
      </c>
      <c r="BL1459" t="s">
        <v>91</v>
      </c>
      <c r="BM1459" s="1" t="s">
        <v>109</v>
      </c>
      <c r="BN1459" s="1" t="s">
        <v>110</v>
      </c>
      <c r="BO1459" s="1" t="s">
        <v>128</v>
      </c>
      <c r="BP1459" s="1" t="s">
        <v>91</v>
      </c>
      <c r="BQ1459" t="s">
        <v>91</v>
      </c>
      <c r="BR1459" s="3">
        <v>44378</v>
      </c>
      <c r="BS1459" s="3">
        <v>44735</v>
      </c>
      <c r="BT1459" t="s">
        <v>91</v>
      </c>
      <c r="BU1459" t="s">
        <v>91</v>
      </c>
      <c r="BW1459" s="1" t="s">
        <v>2144</v>
      </c>
    </row>
    <row r="1460" spans="1:75" hidden="1" x14ac:dyDescent="0.35">
      <c r="A1460">
        <v>117452</v>
      </c>
      <c r="B1460" s="1" t="s">
        <v>75</v>
      </c>
      <c r="C1460">
        <v>80</v>
      </c>
      <c r="D1460">
        <v>11121004</v>
      </c>
      <c r="E1460">
        <v>121004</v>
      </c>
      <c r="F1460" s="1" t="s">
        <v>6867</v>
      </c>
      <c r="G1460" s="1" t="s">
        <v>7895</v>
      </c>
      <c r="H1460">
        <v>0</v>
      </c>
      <c r="I1460" s="1" t="s">
        <v>78</v>
      </c>
      <c r="J1460" s="1" t="s">
        <v>7896</v>
      </c>
      <c r="K1460" s="1" t="s">
        <v>7897</v>
      </c>
      <c r="L1460" t="s">
        <v>91</v>
      </c>
      <c r="M1460" t="s">
        <v>91</v>
      </c>
      <c r="N1460" s="1" t="s">
        <v>7898</v>
      </c>
      <c r="O1460" t="s">
        <v>91</v>
      </c>
      <c r="P1460" s="1" t="s">
        <v>7899</v>
      </c>
      <c r="Q1460" s="1" t="s">
        <v>7900</v>
      </c>
      <c r="R1460" s="1" t="s">
        <v>173</v>
      </c>
      <c r="S1460">
        <v>1262</v>
      </c>
      <c r="T1460">
        <v>88330902</v>
      </c>
      <c r="U1460" s="1" t="s">
        <v>108</v>
      </c>
      <c r="V1460" s="1" t="s">
        <v>6898</v>
      </c>
      <c r="W1460" s="1" t="s">
        <v>87</v>
      </c>
      <c r="X1460">
        <v>47</v>
      </c>
      <c r="Y1460">
        <v>30561221</v>
      </c>
      <c r="Z1460" t="s">
        <v>91</v>
      </c>
      <c r="AA1460" t="s">
        <v>91</v>
      </c>
      <c r="AB1460" t="s">
        <v>91</v>
      </c>
      <c r="AC1460" t="s">
        <v>91</v>
      </c>
      <c r="AD1460" t="s">
        <v>91</v>
      </c>
      <c r="AE1460" t="s">
        <v>91</v>
      </c>
      <c r="AF1460" t="s">
        <v>91</v>
      </c>
      <c r="AG1460" s="1" t="s">
        <v>91</v>
      </c>
      <c r="AH1460" s="1" t="s">
        <v>91</v>
      </c>
      <c r="AI1460" t="s">
        <v>91</v>
      </c>
      <c r="AJ1460">
        <v>0</v>
      </c>
      <c r="AK1460">
        <v>0</v>
      </c>
      <c r="AL1460">
        <v>0</v>
      </c>
      <c r="AM1460" t="s">
        <v>91</v>
      </c>
      <c r="AN1460" t="s">
        <v>91</v>
      </c>
      <c r="AO1460" t="s">
        <v>91</v>
      </c>
      <c r="AP1460" t="s">
        <v>91</v>
      </c>
      <c r="AQ1460" s="1" t="s">
        <v>91</v>
      </c>
      <c r="AR1460" s="1" t="s">
        <v>91</v>
      </c>
      <c r="AS1460" s="1" t="s">
        <v>91</v>
      </c>
      <c r="AT1460" s="1" t="s">
        <v>91</v>
      </c>
      <c r="AU1460" s="1" t="s">
        <v>91</v>
      </c>
      <c r="AV1460" t="s">
        <v>91</v>
      </c>
      <c r="AW1460" t="s">
        <v>91</v>
      </c>
      <c r="AX1460" t="s">
        <v>91</v>
      </c>
      <c r="AY1460" t="s">
        <v>91</v>
      </c>
      <c r="AZ1460" t="s">
        <v>91</v>
      </c>
      <c r="BA1460" t="s">
        <v>91</v>
      </c>
      <c r="BB1460" s="2">
        <v>44034.350266203706</v>
      </c>
      <c r="BC1460" s="2"/>
      <c r="BD1460" t="s">
        <v>91</v>
      </c>
      <c r="BF1460" s="1" t="s">
        <v>75</v>
      </c>
      <c r="BG1460">
        <v>0</v>
      </c>
      <c r="BH1460">
        <v>0</v>
      </c>
      <c r="BI1460" s="1" t="s">
        <v>88</v>
      </c>
      <c r="BJ1460">
        <v>1</v>
      </c>
      <c r="BK1460" s="1" t="s">
        <v>89</v>
      </c>
      <c r="BL1460" t="s">
        <v>91</v>
      </c>
      <c r="BM1460" s="1" t="s">
        <v>109</v>
      </c>
      <c r="BN1460" s="1" t="s">
        <v>110</v>
      </c>
      <c r="BO1460" s="1" t="s">
        <v>165</v>
      </c>
      <c r="BP1460" s="1" t="s">
        <v>91</v>
      </c>
      <c r="BQ1460" t="s">
        <v>91</v>
      </c>
      <c r="BR1460" s="3">
        <v>44034</v>
      </c>
      <c r="BS1460" s="3"/>
      <c r="BT1460" t="s">
        <v>91</v>
      </c>
      <c r="BU1460" t="s">
        <v>91</v>
      </c>
      <c r="BV1460">
        <v>7</v>
      </c>
      <c r="BW1460" s="1" t="s">
        <v>735</v>
      </c>
    </row>
    <row r="1461" spans="1:75" hidden="1" x14ac:dyDescent="0.35">
      <c r="A1461">
        <v>117516</v>
      </c>
      <c r="B1461" s="1" t="s">
        <v>75</v>
      </c>
      <c r="C1461">
        <v>80</v>
      </c>
      <c r="D1461">
        <v>11121004</v>
      </c>
      <c r="E1461">
        <v>121004</v>
      </c>
      <c r="F1461" s="1" t="s">
        <v>6867</v>
      </c>
      <c r="G1461" s="1" t="s">
        <v>7901</v>
      </c>
      <c r="H1461">
        <v>0</v>
      </c>
      <c r="I1461" s="1" t="s">
        <v>78</v>
      </c>
      <c r="J1461" s="1" t="s">
        <v>7902</v>
      </c>
      <c r="K1461" s="1" t="s">
        <v>7903</v>
      </c>
      <c r="L1461" t="s">
        <v>91</v>
      </c>
      <c r="M1461" t="s">
        <v>91</v>
      </c>
      <c r="N1461" s="1" t="s">
        <v>7904</v>
      </c>
      <c r="O1461" t="s">
        <v>91</v>
      </c>
      <c r="P1461" s="1" t="s">
        <v>7905</v>
      </c>
      <c r="Q1461" s="1" t="s">
        <v>826</v>
      </c>
      <c r="R1461" s="1" t="s">
        <v>173</v>
      </c>
      <c r="S1461">
        <v>1260</v>
      </c>
      <c r="T1461">
        <v>88200000</v>
      </c>
      <c r="U1461" s="1" t="s">
        <v>108</v>
      </c>
      <c r="V1461" s="1" t="s">
        <v>6906</v>
      </c>
      <c r="W1461" s="1" t="s">
        <v>87</v>
      </c>
      <c r="X1461">
        <v>48</v>
      </c>
      <c r="Y1461">
        <v>996058794</v>
      </c>
      <c r="Z1461" t="s">
        <v>91</v>
      </c>
      <c r="AA1461" t="s">
        <v>91</v>
      </c>
      <c r="AB1461" t="s">
        <v>91</v>
      </c>
      <c r="AC1461" t="s">
        <v>91</v>
      </c>
      <c r="AD1461" t="s">
        <v>91</v>
      </c>
      <c r="AE1461" t="s">
        <v>91</v>
      </c>
      <c r="AF1461" t="s">
        <v>91</v>
      </c>
      <c r="AG1461" s="1" t="s">
        <v>146</v>
      </c>
      <c r="AH1461" s="1" t="s">
        <v>91</v>
      </c>
      <c r="AI1461" t="s">
        <v>91</v>
      </c>
      <c r="AJ1461">
        <v>0</v>
      </c>
      <c r="AK1461">
        <v>0</v>
      </c>
      <c r="AL1461">
        <v>0</v>
      </c>
      <c r="AM1461" t="s">
        <v>91</v>
      </c>
      <c r="AN1461" t="s">
        <v>91</v>
      </c>
      <c r="AO1461" t="s">
        <v>91</v>
      </c>
      <c r="AP1461" t="s">
        <v>91</v>
      </c>
      <c r="AQ1461" s="1" t="s">
        <v>147</v>
      </c>
      <c r="AR1461" s="1" t="s">
        <v>147</v>
      </c>
      <c r="AS1461" s="1" t="s">
        <v>147</v>
      </c>
      <c r="AT1461" s="1" t="s">
        <v>147</v>
      </c>
      <c r="AU1461" s="1" t="s">
        <v>147</v>
      </c>
      <c r="AV1461" t="s">
        <v>91</v>
      </c>
      <c r="AW1461" t="s">
        <v>91</v>
      </c>
      <c r="AX1461" t="s">
        <v>91</v>
      </c>
      <c r="AY1461" t="s">
        <v>91</v>
      </c>
      <c r="AZ1461" t="s">
        <v>91</v>
      </c>
      <c r="BA1461" t="s">
        <v>91</v>
      </c>
      <c r="BB1461" s="2">
        <v>44034.350266203706</v>
      </c>
      <c r="BC1461" s="2">
        <v>45124.705879629626</v>
      </c>
      <c r="BD1461" t="s">
        <v>91</v>
      </c>
      <c r="BF1461" s="1" t="s">
        <v>75</v>
      </c>
      <c r="BG1461">
        <v>0</v>
      </c>
      <c r="BH1461">
        <v>0</v>
      </c>
      <c r="BI1461" s="1" t="s">
        <v>721</v>
      </c>
      <c r="BJ1461">
        <v>1</v>
      </c>
      <c r="BK1461" s="1" t="s">
        <v>89</v>
      </c>
      <c r="BL1461" t="s">
        <v>91</v>
      </c>
      <c r="BM1461" s="1" t="s">
        <v>109</v>
      </c>
      <c r="BN1461" s="1" t="s">
        <v>110</v>
      </c>
      <c r="BO1461" s="1" t="s">
        <v>165</v>
      </c>
      <c r="BP1461" s="1" t="s">
        <v>91</v>
      </c>
      <c r="BQ1461" t="s">
        <v>91</v>
      </c>
      <c r="BR1461" s="3">
        <v>44034</v>
      </c>
      <c r="BS1461" s="3">
        <v>45124</v>
      </c>
      <c r="BT1461" t="s">
        <v>91</v>
      </c>
      <c r="BU1461" t="s">
        <v>91</v>
      </c>
      <c r="BV1461">
        <v>9</v>
      </c>
      <c r="BW1461" s="1" t="s">
        <v>3600</v>
      </c>
    </row>
    <row r="1462" spans="1:75" hidden="1" x14ac:dyDescent="0.35">
      <c r="A1462">
        <v>157799</v>
      </c>
      <c r="B1462" s="1" t="s">
        <v>75</v>
      </c>
      <c r="C1462">
        <v>80</v>
      </c>
      <c r="D1462">
        <v>11121004</v>
      </c>
      <c r="E1462">
        <v>121004</v>
      </c>
      <c r="F1462" s="1" t="s">
        <v>6867</v>
      </c>
      <c r="G1462" s="1" t="s">
        <v>7906</v>
      </c>
      <c r="H1462">
        <v>0</v>
      </c>
      <c r="I1462" s="1" t="s">
        <v>78</v>
      </c>
      <c r="J1462" s="1" t="s">
        <v>7907</v>
      </c>
      <c r="K1462" s="1" t="s">
        <v>7908</v>
      </c>
      <c r="L1462" t="s">
        <v>91</v>
      </c>
      <c r="M1462" t="s">
        <v>91</v>
      </c>
      <c r="N1462" s="1" t="s">
        <v>7909</v>
      </c>
      <c r="O1462" t="s">
        <v>91</v>
      </c>
      <c r="P1462" s="1" t="s">
        <v>7194</v>
      </c>
      <c r="Q1462" s="1" t="s">
        <v>228</v>
      </c>
      <c r="R1462" s="1" t="s">
        <v>5074</v>
      </c>
      <c r="S1462">
        <v>1260</v>
      </c>
      <c r="T1462">
        <v>88220000</v>
      </c>
      <c r="U1462" s="1" t="s">
        <v>7195</v>
      </c>
      <c r="V1462" s="1" t="s">
        <v>7015</v>
      </c>
      <c r="W1462" s="1" t="s">
        <v>87</v>
      </c>
      <c r="X1462">
        <v>47</v>
      </c>
      <c r="Y1462">
        <v>33445230</v>
      </c>
      <c r="Z1462" t="s">
        <v>91</v>
      </c>
      <c r="AA1462" t="s">
        <v>91</v>
      </c>
      <c r="AB1462" t="s">
        <v>91</v>
      </c>
      <c r="AC1462" t="s">
        <v>91</v>
      </c>
      <c r="AD1462" t="s">
        <v>91</v>
      </c>
      <c r="AE1462" t="s">
        <v>91</v>
      </c>
      <c r="AF1462" t="s">
        <v>91</v>
      </c>
      <c r="AG1462" s="1" t="s">
        <v>91</v>
      </c>
      <c r="AH1462" s="1" t="s">
        <v>91</v>
      </c>
      <c r="AI1462" t="s">
        <v>91</v>
      </c>
      <c r="AM1462" t="s">
        <v>91</v>
      </c>
      <c r="AN1462" t="s">
        <v>91</v>
      </c>
      <c r="AO1462" t="s">
        <v>91</v>
      </c>
      <c r="AP1462" t="s">
        <v>91</v>
      </c>
      <c r="AQ1462" s="1" t="s">
        <v>91</v>
      </c>
      <c r="AR1462" s="1" t="s">
        <v>91</v>
      </c>
      <c r="AS1462" s="1" t="s">
        <v>91</v>
      </c>
      <c r="AT1462" s="1" t="s">
        <v>91</v>
      </c>
      <c r="AU1462" s="1" t="s">
        <v>91</v>
      </c>
      <c r="AV1462" t="s">
        <v>91</v>
      </c>
      <c r="AW1462" t="s">
        <v>91</v>
      </c>
      <c r="AX1462" t="s">
        <v>91</v>
      </c>
      <c r="AY1462" t="s">
        <v>91</v>
      </c>
      <c r="AZ1462" t="s">
        <v>91</v>
      </c>
      <c r="BA1462" t="s">
        <v>91</v>
      </c>
      <c r="BB1462" s="2">
        <v>45118.101759259262</v>
      </c>
      <c r="BC1462" s="2"/>
      <c r="BD1462" t="s">
        <v>91</v>
      </c>
      <c r="BF1462" s="1" t="s">
        <v>75</v>
      </c>
      <c r="BI1462" s="1" t="s">
        <v>88</v>
      </c>
      <c r="BJ1462">
        <v>1</v>
      </c>
      <c r="BK1462" s="1" t="s">
        <v>89</v>
      </c>
      <c r="BL1462" t="s">
        <v>91</v>
      </c>
      <c r="BM1462" s="1" t="s">
        <v>91</v>
      </c>
      <c r="BN1462" s="1" t="s">
        <v>91</v>
      </c>
      <c r="BO1462" s="1" t="s">
        <v>91</v>
      </c>
      <c r="BP1462" s="1" t="s">
        <v>91</v>
      </c>
      <c r="BQ1462" t="s">
        <v>91</v>
      </c>
      <c r="BR1462" s="3">
        <v>45118</v>
      </c>
      <c r="BS1462" s="3"/>
      <c r="BT1462" t="s">
        <v>91</v>
      </c>
      <c r="BU1462" t="s">
        <v>91</v>
      </c>
      <c r="BW1462" s="1" t="s">
        <v>90</v>
      </c>
    </row>
    <row r="1463" spans="1:75" hidden="1" x14ac:dyDescent="0.35">
      <c r="A1463">
        <v>137695</v>
      </c>
      <c r="B1463" s="1" t="s">
        <v>75</v>
      </c>
      <c r="C1463">
        <v>80</v>
      </c>
      <c r="D1463">
        <v>11121004</v>
      </c>
      <c r="E1463">
        <v>121004</v>
      </c>
      <c r="F1463" s="1" t="s">
        <v>6867</v>
      </c>
      <c r="G1463" s="1" t="s">
        <v>7910</v>
      </c>
      <c r="H1463">
        <v>0</v>
      </c>
      <c r="I1463" s="1" t="s">
        <v>78</v>
      </c>
      <c r="J1463" s="1" t="s">
        <v>7911</v>
      </c>
      <c r="K1463" s="1" t="s">
        <v>7912</v>
      </c>
      <c r="L1463" t="s">
        <v>91</v>
      </c>
      <c r="M1463" t="s">
        <v>91</v>
      </c>
      <c r="N1463" s="1" t="s">
        <v>7913</v>
      </c>
      <c r="O1463" t="s">
        <v>91</v>
      </c>
      <c r="P1463" s="1" t="s">
        <v>7914</v>
      </c>
      <c r="Q1463" s="1" t="s">
        <v>840</v>
      </c>
      <c r="R1463" s="1" t="s">
        <v>91</v>
      </c>
      <c r="S1463">
        <v>1261</v>
      </c>
      <c r="T1463">
        <v>88320000</v>
      </c>
      <c r="U1463" s="1" t="s">
        <v>108</v>
      </c>
      <c r="V1463" s="1" t="s">
        <v>7915</v>
      </c>
      <c r="W1463" s="1" t="s">
        <v>87</v>
      </c>
      <c r="X1463">
        <v>47</v>
      </c>
      <c r="Y1463">
        <v>33431003</v>
      </c>
      <c r="Z1463" t="s">
        <v>91</v>
      </c>
      <c r="AA1463" t="s">
        <v>91</v>
      </c>
      <c r="AB1463" t="s">
        <v>91</v>
      </c>
      <c r="AC1463" t="s">
        <v>91</v>
      </c>
      <c r="AD1463" t="s">
        <v>91</v>
      </c>
      <c r="AE1463" t="s">
        <v>91</v>
      </c>
      <c r="AF1463" t="s">
        <v>91</v>
      </c>
      <c r="AG1463" s="1" t="s">
        <v>146</v>
      </c>
      <c r="AH1463" s="1" t="s">
        <v>91</v>
      </c>
      <c r="AI1463" t="s">
        <v>91</v>
      </c>
      <c r="AM1463" t="s">
        <v>91</v>
      </c>
      <c r="AN1463" t="s">
        <v>91</v>
      </c>
      <c r="AO1463" t="s">
        <v>91</v>
      </c>
      <c r="AP1463" t="s">
        <v>91</v>
      </c>
      <c r="AQ1463" s="1" t="s">
        <v>147</v>
      </c>
      <c r="AR1463" s="1" t="s">
        <v>147</v>
      </c>
      <c r="AS1463" s="1" t="s">
        <v>147</v>
      </c>
      <c r="AT1463" s="1" t="s">
        <v>147</v>
      </c>
      <c r="AU1463" s="1" t="s">
        <v>147</v>
      </c>
      <c r="AV1463" t="s">
        <v>91</v>
      </c>
      <c r="AW1463" t="s">
        <v>91</v>
      </c>
      <c r="AX1463" t="s">
        <v>91</v>
      </c>
      <c r="AY1463" t="s">
        <v>91</v>
      </c>
      <c r="AZ1463" t="s">
        <v>91</v>
      </c>
      <c r="BA1463" t="s">
        <v>91</v>
      </c>
      <c r="BB1463" s="2">
        <v>44378.578518518516</v>
      </c>
      <c r="BC1463" s="2">
        <v>44631.731180555558</v>
      </c>
      <c r="BD1463" t="s">
        <v>91</v>
      </c>
      <c r="BF1463" s="1" t="s">
        <v>75</v>
      </c>
      <c r="BH1463">
        <v>0</v>
      </c>
      <c r="BI1463" s="1" t="s">
        <v>88</v>
      </c>
      <c r="BJ1463">
        <v>1</v>
      </c>
      <c r="BK1463" s="1" t="s">
        <v>89</v>
      </c>
      <c r="BL1463" t="s">
        <v>91</v>
      </c>
      <c r="BM1463" s="1" t="s">
        <v>329</v>
      </c>
      <c r="BN1463" s="1" t="s">
        <v>110</v>
      </c>
      <c r="BO1463" s="1" t="s">
        <v>165</v>
      </c>
      <c r="BP1463" s="1" t="s">
        <v>91</v>
      </c>
      <c r="BQ1463" t="s">
        <v>91</v>
      </c>
      <c r="BR1463" s="3">
        <v>44378</v>
      </c>
      <c r="BS1463" s="3">
        <v>44631</v>
      </c>
      <c r="BT1463" t="s">
        <v>91</v>
      </c>
      <c r="BU1463" t="s">
        <v>91</v>
      </c>
      <c r="BW1463" s="1" t="s">
        <v>1211</v>
      </c>
    </row>
    <row r="1464" spans="1:75" hidden="1" x14ac:dyDescent="0.35">
      <c r="A1464">
        <v>137696</v>
      </c>
      <c r="B1464" s="1" t="s">
        <v>75</v>
      </c>
      <c r="C1464">
        <v>80</v>
      </c>
      <c r="D1464">
        <v>11121004</v>
      </c>
      <c r="E1464">
        <v>121004</v>
      </c>
      <c r="F1464" s="1" t="s">
        <v>6867</v>
      </c>
      <c r="G1464" s="1" t="s">
        <v>7916</v>
      </c>
      <c r="H1464">
        <v>0</v>
      </c>
      <c r="I1464" s="1" t="s">
        <v>78</v>
      </c>
      <c r="J1464" s="1" t="s">
        <v>7917</v>
      </c>
      <c r="K1464" s="1" t="s">
        <v>7918</v>
      </c>
      <c r="L1464" t="s">
        <v>91</v>
      </c>
      <c r="M1464" t="s">
        <v>91</v>
      </c>
      <c r="N1464" s="1" t="s">
        <v>7919</v>
      </c>
      <c r="O1464" t="s">
        <v>91</v>
      </c>
      <c r="P1464" s="1" t="s">
        <v>7920</v>
      </c>
      <c r="Q1464" s="1" t="s">
        <v>1234</v>
      </c>
      <c r="R1464" s="1" t="s">
        <v>1411</v>
      </c>
      <c r="S1464">
        <v>1275</v>
      </c>
      <c r="T1464">
        <v>89121000</v>
      </c>
      <c r="U1464" s="1" t="s">
        <v>108</v>
      </c>
      <c r="V1464" s="1" t="s">
        <v>7921</v>
      </c>
      <c r="W1464" s="1" t="s">
        <v>87</v>
      </c>
      <c r="X1464">
        <v>47</v>
      </c>
      <c r="Y1464">
        <v>33861441</v>
      </c>
      <c r="Z1464" t="s">
        <v>91</v>
      </c>
      <c r="AA1464" t="s">
        <v>91</v>
      </c>
      <c r="AB1464" t="s">
        <v>91</v>
      </c>
      <c r="AC1464" t="s">
        <v>91</v>
      </c>
      <c r="AD1464" t="s">
        <v>91</v>
      </c>
      <c r="AE1464" t="s">
        <v>91</v>
      </c>
      <c r="AF1464" t="s">
        <v>91</v>
      </c>
      <c r="AG1464" s="1" t="s">
        <v>146</v>
      </c>
      <c r="AH1464" s="1" t="s">
        <v>91</v>
      </c>
      <c r="AI1464" t="s">
        <v>91</v>
      </c>
      <c r="AM1464" t="s">
        <v>91</v>
      </c>
      <c r="AN1464" t="s">
        <v>91</v>
      </c>
      <c r="AO1464" t="s">
        <v>91</v>
      </c>
      <c r="AP1464" t="s">
        <v>91</v>
      </c>
      <c r="AQ1464" s="1" t="s">
        <v>147</v>
      </c>
      <c r="AR1464" s="1" t="s">
        <v>147</v>
      </c>
      <c r="AS1464" s="1" t="s">
        <v>147</v>
      </c>
      <c r="AT1464" s="1" t="s">
        <v>147</v>
      </c>
      <c r="AU1464" s="1" t="s">
        <v>147</v>
      </c>
      <c r="AV1464" t="s">
        <v>91</v>
      </c>
      <c r="AW1464" t="s">
        <v>91</v>
      </c>
      <c r="AX1464" t="s">
        <v>91</v>
      </c>
      <c r="AY1464" t="s">
        <v>91</v>
      </c>
      <c r="AZ1464" t="s">
        <v>91</v>
      </c>
      <c r="BA1464" t="s">
        <v>91</v>
      </c>
      <c r="BB1464" s="2">
        <v>44378.578518518516</v>
      </c>
      <c r="BC1464" s="2">
        <v>44508.463182870371</v>
      </c>
      <c r="BD1464" t="s">
        <v>91</v>
      </c>
      <c r="BF1464" s="1" t="s">
        <v>75</v>
      </c>
      <c r="BH1464">
        <v>0</v>
      </c>
      <c r="BI1464" s="1" t="s">
        <v>88</v>
      </c>
      <c r="BJ1464">
        <v>1</v>
      </c>
      <c r="BK1464" s="1" t="s">
        <v>89</v>
      </c>
      <c r="BL1464" t="s">
        <v>91</v>
      </c>
      <c r="BM1464" s="1" t="s">
        <v>109</v>
      </c>
      <c r="BN1464" s="1" t="s">
        <v>110</v>
      </c>
      <c r="BO1464" s="1" t="s">
        <v>180</v>
      </c>
      <c r="BP1464" s="1" t="s">
        <v>91</v>
      </c>
      <c r="BQ1464" t="s">
        <v>91</v>
      </c>
      <c r="BR1464" s="3">
        <v>44378</v>
      </c>
      <c r="BS1464" s="3">
        <v>44508</v>
      </c>
      <c r="BT1464" t="s">
        <v>91</v>
      </c>
      <c r="BU1464" t="s">
        <v>91</v>
      </c>
      <c r="BW1464" s="1" t="s">
        <v>1038</v>
      </c>
    </row>
    <row r="1465" spans="1:75" hidden="1" x14ac:dyDescent="0.35">
      <c r="A1465">
        <v>137697</v>
      </c>
      <c r="B1465" s="1" t="s">
        <v>75</v>
      </c>
      <c r="C1465">
        <v>80</v>
      </c>
      <c r="D1465">
        <v>11121004</v>
      </c>
      <c r="E1465">
        <v>121004</v>
      </c>
      <c r="F1465" s="1" t="s">
        <v>6867</v>
      </c>
      <c r="G1465" s="1" t="s">
        <v>7922</v>
      </c>
      <c r="H1465">
        <v>0</v>
      </c>
      <c r="I1465" s="1" t="s">
        <v>78</v>
      </c>
      <c r="J1465" s="1" t="s">
        <v>7923</v>
      </c>
      <c r="K1465" s="1" t="s">
        <v>7924</v>
      </c>
      <c r="L1465" t="s">
        <v>91</v>
      </c>
      <c r="M1465" t="s">
        <v>91</v>
      </c>
      <c r="N1465" s="1" t="s">
        <v>7925</v>
      </c>
      <c r="O1465" t="s">
        <v>91</v>
      </c>
      <c r="P1465" s="1" t="s">
        <v>7926</v>
      </c>
      <c r="Q1465" s="1" t="s">
        <v>7761</v>
      </c>
      <c r="R1465" s="1" t="s">
        <v>7927</v>
      </c>
      <c r="S1465">
        <v>1262</v>
      </c>
      <c r="T1465">
        <v>88330900</v>
      </c>
      <c r="U1465" s="1" t="s">
        <v>108</v>
      </c>
      <c r="V1465" s="1" t="s">
        <v>6898</v>
      </c>
      <c r="W1465" s="1" t="s">
        <v>87</v>
      </c>
      <c r="X1465">
        <v>49</v>
      </c>
      <c r="Y1465">
        <v>999364172</v>
      </c>
      <c r="Z1465" t="s">
        <v>91</v>
      </c>
      <c r="AA1465" t="s">
        <v>91</v>
      </c>
      <c r="AB1465" t="s">
        <v>91</v>
      </c>
      <c r="AC1465" t="s">
        <v>91</v>
      </c>
      <c r="AD1465" t="s">
        <v>91</v>
      </c>
      <c r="AE1465" t="s">
        <v>91</v>
      </c>
      <c r="AF1465" t="s">
        <v>91</v>
      </c>
      <c r="AG1465" s="1" t="s">
        <v>146</v>
      </c>
      <c r="AH1465" s="1" t="s">
        <v>91</v>
      </c>
      <c r="AI1465" t="s">
        <v>91</v>
      </c>
      <c r="AM1465" t="s">
        <v>91</v>
      </c>
      <c r="AN1465" t="s">
        <v>91</v>
      </c>
      <c r="AO1465" t="s">
        <v>91</v>
      </c>
      <c r="AP1465" t="s">
        <v>91</v>
      </c>
      <c r="AQ1465" s="1" t="s">
        <v>147</v>
      </c>
      <c r="AR1465" s="1" t="s">
        <v>147</v>
      </c>
      <c r="AS1465" s="1" t="s">
        <v>147</v>
      </c>
      <c r="AT1465" s="1" t="s">
        <v>147</v>
      </c>
      <c r="AU1465" s="1" t="s">
        <v>147</v>
      </c>
      <c r="AV1465" t="s">
        <v>91</v>
      </c>
      <c r="AW1465" t="s">
        <v>91</v>
      </c>
      <c r="AX1465" t="s">
        <v>91</v>
      </c>
      <c r="AY1465" t="s">
        <v>91</v>
      </c>
      <c r="AZ1465" t="s">
        <v>91</v>
      </c>
      <c r="BA1465" t="s">
        <v>91</v>
      </c>
      <c r="BB1465" s="2">
        <v>44378.578518518516</v>
      </c>
      <c r="BC1465" s="2">
        <v>44670.489791666667</v>
      </c>
      <c r="BD1465" t="s">
        <v>91</v>
      </c>
      <c r="BF1465" s="1" t="s">
        <v>75</v>
      </c>
      <c r="BH1465">
        <v>0</v>
      </c>
      <c r="BI1465" s="1" t="s">
        <v>88</v>
      </c>
      <c r="BJ1465">
        <v>1</v>
      </c>
      <c r="BK1465" s="1" t="s">
        <v>89</v>
      </c>
      <c r="BL1465" t="s">
        <v>91</v>
      </c>
      <c r="BM1465" s="1" t="s">
        <v>109</v>
      </c>
      <c r="BN1465" s="1" t="s">
        <v>110</v>
      </c>
      <c r="BO1465" s="1" t="s">
        <v>165</v>
      </c>
      <c r="BP1465" s="1" t="s">
        <v>91</v>
      </c>
      <c r="BQ1465" t="s">
        <v>91</v>
      </c>
      <c r="BR1465" s="3">
        <v>44378</v>
      </c>
      <c r="BS1465" s="3">
        <v>44670</v>
      </c>
      <c r="BT1465" t="s">
        <v>91</v>
      </c>
      <c r="BU1465" t="s">
        <v>91</v>
      </c>
      <c r="BW1465" s="1" t="s">
        <v>255</v>
      </c>
    </row>
    <row r="1466" spans="1:75" hidden="1" x14ac:dyDescent="0.35">
      <c r="A1466">
        <v>117456</v>
      </c>
      <c r="B1466" s="1" t="s">
        <v>75</v>
      </c>
      <c r="C1466">
        <v>80</v>
      </c>
      <c r="D1466">
        <v>11121004</v>
      </c>
      <c r="E1466">
        <v>121004</v>
      </c>
      <c r="F1466" s="1" t="s">
        <v>6867</v>
      </c>
      <c r="G1466" s="1" t="s">
        <v>7928</v>
      </c>
      <c r="H1466">
        <v>0</v>
      </c>
      <c r="I1466" s="1" t="s">
        <v>78</v>
      </c>
      <c r="J1466" s="1" t="s">
        <v>7929</v>
      </c>
      <c r="K1466" s="1" t="s">
        <v>7930</v>
      </c>
      <c r="L1466" t="s">
        <v>91</v>
      </c>
      <c r="M1466" t="s">
        <v>91</v>
      </c>
      <c r="N1466" s="1" t="s">
        <v>7931</v>
      </c>
      <c r="O1466" t="s">
        <v>91</v>
      </c>
      <c r="P1466" s="1" t="s">
        <v>311</v>
      </c>
      <c r="Q1466" s="1" t="s">
        <v>5360</v>
      </c>
      <c r="R1466" s="1" t="s">
        <v>91</v>
      </c>
      <c r="S1466">
        <v>1261</v>
      </c>
      <c r="T1466">
        <v>88301041</v>
      </c>
      <c r="U1466" s="1" t="s">
        <v>108</v>
      </c>
      <c r="V1466" s="1" t="s">
        <v>6874</v>
      </c>
      <c r="W1466" s="1" t="s">
        <v>87</v>
      </c>
      <c r="X1466">
        <v>47</v>
      </c>
      <c r="Y1466">
        <v>33493206</v>
      </c>
      <c r="Z1466" t="s">
        <v>91</v>
      </c>
      <c r="AA1466" t="s">
        <v>91</v>
      </c>
      <c r="AB1466" t="s">
        <v>91</v>
      </c>
      <c r="AC1466" t="s">
        <v>91</v>
      </c>
      <c r="AD1466" t="s">
        <v>91</v>
      </c>
      <c r="AE1466" t="s">
        <v>91</v>
      </c>
      <c r="AF1466" t="s">
        <v>91</v>
      </c>
      <c r="AG1466" s="1" t="s">
        <v>146</v>
      </c>
      <c r="AH1466" s="1" t="s">
        <v>91</v>
      </c>
      <c r="AI1466" t="s">
        <v>91</v>
      </c>
      <c r="AJ1466">
        <v>0</v>
      </c>
      <c r="AK1466">
        <v>0</v>
      </c>
      <c r="AL1466">
        <v>0</v>
      </c>
      <c r="AM1466" t="s">
        <v>91</v>
      </c>
      <c r="AN1466" t="s">
        <v>91</v>
      </c>
      <c r="AO1466" t="s">
        <v>91</v>
      </c>
      <c r="AP1466" t="s">
        <v>91</v>
      </c>
      <c r="AQ1466" s="1" t="s">
        <v>147</v>
      </c>
      <c r="AR1466" s="1" t="s">
        <v>147</v>
      </c>
      <c r="AS1466" s="1" t="s">
        <v>147</v>
      </c>
      <c r="AT1466" s="1" t="s">
        <v>147</v>
      </c>
      <c r="AU1466" s="1" t="s">
        <v>147</v>
      </c>
      <c r="AV1466" t="s">
        <v>91</v>
      </c>
      <c r="AW1466" t="s">
        <v>91</v>
      </c>
      <c r="AX1466" t="s">
        <v>91</v>
      </c>
      <c r="AY1466" t="s">
        <v>91</v>
      </c>
      <c r="AZ1466" t="s">
        <v>91</v>
      </c>
      <c r="BA1466" t="s">
        <v>91</v>
      </c>
      <c r="BB1466" s="2">
        <v>44034.350266203706</v>
      </c>
      <c r="BC1466" s="2">
        <v>45121.436886574076</v>
      </c>
      <c r="BD1466" t="s">
        <v>91</v>
      </c>
      <c r="BF1466" s="1" t="s">
        <v>75</v>
      </c>
      <c r="BG1466">
        <v>0</v>
      </c>
      <c r="BH1466">
        <v>0</v>
      </c>
      <c r="BI1466" s="1" t="s">
        <v>721</v>
      </c>
      <c r="BJ1466">
        <v>1</v>
      </c>
      <c r="BK1466" s="1" t="s">
        <v>89</v>
      </c>
      <c r="BL1466" t="s">
        <v>91</v>
      </c>
      <c r="BM1466" s="1" t="s">
        <v>109</v>
      </c>
      <c r="BN1466" s="1" t="s">
        <v>110</v>
      </c>
      <c r="BO1466" s="1" t="s">
        <v>111</v>
      </c>
      <c r="BP1466" s="1" t="s">
        <v>91</v>
      </c>
      <c r="BQ1466" t="s">
        <v>91</v>
      </c>
      <c r="BR1466" s="3">
        <v>44034</v>
      </c>
      <c r="BS1466" s="3">
        <v>45121</v>
      </c>
      <c r="BT1466" t="s">
        <v>91</v>
      </c>
      <c r="BU1466" t="s">
        <v>91</v>
      </c>
      <c r="BV1466">
        <v>6</v>
      </c>
      <c r="BW1466" s="1" t="s">
        <v>540</v>
      </c>
    </row>
    <row r="1467" spans="1:75" hidden="1" x14ac:dyDescent="0.35">
      <c r="A1467">
        <v>137699</v>
      </c>
      <c r="B1467" s="1" t="s">
        <v>75</v>
      </c>
      <c r="C1467">
        <v>80</v>
      </c>
      <c r="D1467">
        <v>11121004</v>
      </c>
      <c r="E1467">
        <v>121004</v>
      </c>
      <c r="F1467" s="1" t="s">
        <v>6867</v>
      </c>
      <c r="G1467" s="1" t="s">
        <v>7932</v>
      </c>
      <c r="H1467">
        <v>0</v>
      </c>
      <c r="I1467" s="1" t="s">
        <v>78</v>
      </c>
      <c r="J1467" s="1" t="s">
        <v>7933</v>
      </c>
      <c r="K1467" s="1" t="s">
        <v>7934</v>
      </c>
      <c r="L1467" t="s">
        <v>91</v>
      </c>
      <c r="M1467" t="s">
        <v>91</v>
      </c>
      <c r="N1467" s="1" t="s">
        <v>7935</v>
      </c>
      <c r="O1467" t="s">
        <v>91</v>
      </c>
      <c r="P1467" s="1" t="s">
        <v>7502</v>
      </c>
      <c r="Q1467" s="1" t="s">
        <v>2619</v>
      </c>
      <c r="R1467" s="1" t="s">
        <v>1458</v>
      </c>
      <c r="S1467">
        <v>1262</v>
      </c>
      <c r="T1467">
        <v>88345006</v>
      </c>
      <c r="U1467" s="1" t="s">
        <v>3001</v>
      </c>
      <c r="V1467" s="1" t="s">
        <v>7223</v>
      </c>
      <c r="W1467" s="1" t="s">
        <v>87</v>
      </c>
      <c r="X1467">
        <v>47</v>
      </c>
      <c r="Y1467">
        <v>33656474</v>
      </c>
      <c r="Z1467" t="s">
        <v>91</v>
      </c>
      <c r="AA1467" t="s">
        <v>91</v>
      </c>
      <c r="AB1467" t="s">
        <v>91</v>
      </c>
      <c r="AC1467" t="s">
        <v>91</v>
      </c>
      <c r="AD1467" t="s">
        <v>91</v>
      </c>
      <c r="AE1467" t="s">
        <v>91</v>
      </c>
      <c r="AF1467" t="s">
        <v>91</v>
      </c>
      <c r="AG1467" s="1" t="s">
        <v>146</v>
      </c>
      <c r="AH1467" s="1" t="s">
        <v>91</v>
      </c>
      <c r="AI1467" t="s">
        <v>91</v>
      </c>
      <c r="AM1467" t="s">
        <v>91</v>
      </c>
      <c r="AN1467" t="s">
        <v>91</v>
      </c>
      <c r="AO1467" t="s">
        <v>91</v>
      </c>
      <c r="AP1467" t="s">
        <v>91</v>
      </c>
      <c r="AQ1467" s="1" t="s">
        <v>147</v>
      </c>
      <c r="AR1467" s="1" t="s">
        <v>147</v>
      </c>
      <c r="AS1467" s="1" t="s">
        <v>147</v>
      </c>
      <c r="AT1467" s="1" t="s">
        <v>147</v>
      </c>
      <c r="AU1467" s="1" t="s">
        <v>147</v>
      </c>
      <c r="AV1467" t="s">
        <v>91</v>
      </c>
      <c r="AW1467" t="s">
        <v>91</v>
      </c>
      <c r="AX1467" t="s">
        <v>91</v>
      </c>
      <c r="AY1467" t="s">
        <v>91</v>
      </c>
      <c r="AZ1467" t="s">
        <v>91</v>
      </c>
      <c r="BA1467" t="s">
        <v>91</v>
      </c>
      <c r="BB1467" s="2">
        <v>44378.578518518516</v>
      </c>
      <c r="BC1467" s="2">
        <v>44582.400243055556</v>
      </c>
      <c r="BD1467" t="s">
        <v>91</v>
      </c>
      <c r="BF1467" s="1" t="s">
        <v>75</v>
      </c>
      <c r="BH1467">
        <v>0</v>
      </c>
      <c r="BI1467" s="1" t="s">
        <v>88</v>
      </c>
      <c r="BJ1467">
        <v>1</v>
      </c>
      <c r="BK1467" s="1" t="s">
        <v>89</v>
      </c>
      <c r="BL1467" t="s">
        <v>91</v>
      </c>
      <c r="BM1467" s="1" t="s">
        <v>109</v>
      </c>
      <c r="BN1467" s="1" t="s">
        <v>110</v>
      </c>
      <c r="BO1467" s="1" t="s">
        <v>128</v>
      </c>
      <c r="BP1467" s="1" t="s">
        <v>91</v>
      </c>
      <c r="BQ1467" t="s">
        <v>91</v>
      </c>
      <c r="BR1467" s="3">
        <v>44378</v>
      </c>
      <c r="BS1467" s="3">
        <v>44582</v>
      </c>
      <c r="BT1467" t="s">
        <v>91</v>
      </c>
      <c r="BU1467" t="s">
        <v>91</v>
      </c>
      <c r="BW1467" s="1" t="s">
        <v>295</v>
      </c>
    </row>
    <row r="1468" spans="1:75" hidden="1" x14ac:dyDescent="0.35">
      <c r="A1468">
        <v>157055</v>
      </c>
      <c r="B1468" s="1" t="s">
        <v>75</v>
      </c>
      <c r="C1468">
        <v>80</v>
      </c>
      <c r="D1468">
        <v>11121004</v>
      </c>
      <c r="E1468">
        <v>121004</v>
      </c>
      <c r="F1468" s="1" t="s">
        <v>6867</v>
      </c>
      <c r="G1468" s="1" t="s">
        <v>7936</v>
      </c>
      <c r="H1468">
        <v>0</v>
      </c>
      <c r="I1468" s="1" t="s">
        <v>78</v>
      </c>
      <c r="J1468" s="1" t="s">
        <v>7937</v>
      </c>
      <c r="K1468" s="1" t="s">
        <v>7938</v>
      </c>
      <c r="L1468" t="s">
        <v>91</v>
      </c>
      <c r="M1468" t="s">
        <v>91</v>
      </c>
      <c r="N1468" s="1" t="s">
        <v>7939</v>
      </c>
      <c r="O1468" t="s">
        <v>91</v>
      </c>
      <c r="P1468" s="1" t="s">
        <v>1501</v>
      </c>
      <c r="Q1468" s="1" t="s">
        <v>235</v>
      </c>
      <c r="R1468" s="1" t="s">
        <v>91</v>
      </c>
      <c r="S1468">
        <v>1275</v>
      </c>
      <c r="T1468">
        <v>89138000</v>
      </c>
      <c r="U1468" s="1" t="s">
        <v>108</v>
      </c>
      <c r="V1468" s="1" t="s">
        <v>7263</v>
      </c>
      <c r="W1468" s="1" t="s">
        <v>87</v>
      </c>
      <c r="X1468">
        <v>47</v>
      </c>
      <c r="Y1468">
        <v>996982454</v>
      </c>
      <c r="Z1468" t="s">
        <v>91</v>
      </c>
      <c r="AA1468" t="s">
        <v>91</v>
      </c>
      <c r="AB1468" t="s">
        <v>91</v>
      </c>
      <c r="AC1468" t="s">
        <v>91</v>
      </c>
      <c r="AD1468" t="s">
        <v>91</v>
      </c>
      <c r="AE1468" t="s">
        <v>91</v>
      </c>
      <c r="AF1468" t="s">
        <v>91</v>
      </c>
      <c r="AG1468" s="1" t="s">
        <v>91</v>
      </c>
      <c r="AH1468" s="1" t="s">
        <v>91</v>
      </c>
      <c r="AI1468" t="s">
        <v>91</v>
      </c>
      <c r="AM1468" t="s">
        <v>91</v>
      </c>
      <c r="AN1468" t="s">
        <v>91</v>
      </c>
      <c r="AO1468" t="s">
        <v>91</v>
      </c>
      <c r="AP1468" t="s">
        <v>91</v>
      </c>
      <c r="AQ1468" s="1" t="s">
        <v>91</v>
      </c>
      <c r="AR1468" s="1" t="s">
        <v>91</v>
      </c>
      <c r="AS1468" s="1" t="s">
        <v>91</v>
      </c>
      <c r="AT1468" s="1" t="s">
        <v>91</v>
      </c>
      <c r="AU1468" s="1" t="s">
        <v>91</v>
      </c>
      <c r="AV1468" t="s">
        <v>91</v>
      </c>
      <c r="AW1468" t="s">
        <v>91</v>
      </c>
      <c r="AX1468" t="s">
        <v>91</v>
      </c>
      <c r="AY1468" t="s">
        <v>91</v>
      </c>
      <c r="AZ1468" t="s">
        <v>91</v>
      </c>
      <c r="BA1468" t="s">
        <v>91</v>
      </c>
      <c r="BB1468" s="2">
        <v>45113.505416666667</v>
      </c>
      <c r="BC1468" s="2"/>
      <c r="BD1468" t="s">
        <v>91</v>
      </c>
      <c r="BF1468" s="1" t="s">
        <v>75</v>
      </c>
      <c r="BI1468" s="1" t="s">
        <v>88</v>
      </c>
      <c r="BJ1468">
        <v>1</v>
      </c>
      <c r="BK1468" s="1" t="s">
        <v>89</v>
      </c>
      <c r="BL1468" t="s">
        <v>91</v>
      </c>
      <c r="BM1468" s="1" t="s">
        <v>91</v>
      </c>
      <c r="BN1468" s="1" t="s">
        <v>91</v>
      </c>
      <c r="BO1468" s="1" t="s">
        <v>91</v>
      </c>
      <c r="BP1468" s="1" t="s">
        <v>91</v>
      </c>
      <c r="BQ1468" t="s">
        <v>91</v>
      </c>
      <c r="BR1468" s="3">
        <v>45113</v>
      </c>
      <c r="BS1468" s="3"/>
      <c r="BT1468" t="s">
        <v>91</v>
      </c>
      <c r="BU1468" t="s">
        <v>91</v>
      </c>
      <c r="BW1468" s="1" t="s">
        <v>90</v>
      </c>
    </row>
    <row r="1469" spans="1:75" hidden="1" x14ac:dyDescent="0.35">
      <c r="A1469">
        <v>117459</v>
      </c>
      <c r="B1469" s="1" t="s">
        <v>75</v>
      </c>
      <c r="C1469">
        <v>80</v>
      </c>
      <c r="D1469">
        <v>11121004</v>
      </c>
      <c r="E1469">
        <v>121004</v>
      </c>
      <c r="F1469" s="1" t="s">
        <v>6867</v>
      </c>
      <c r="G1469" s="1" t="s">
        <v>7940</v>
      </c>
      <c r="H1469">
        <v>0</v>
      </c>
      <c r="I1469" s="1" t="s">
        <v>78</v>
      </c>
      <c r="J1469" s="1" t="s">
        <v>7941</v>
      </c>
      <c r="K1469" s="1" t="s">
        <v>7942</v>
      </c>
      <c r="L1469" t="s">
        <v>91</v>
      </c>
      <c r="M1469" t="s">
        <v>91</v>
      </c>
      <c r="N1469" s="1" t="s">
        <v>7943</v>
      </c>
      <c r="O1469" t="s">
        <v>91</v>
      </c>
      <c r="P1469" s="1" t="s">
        <v>6953</v>
      </c>
      <c r="Q1469" s="1" t="s">
        <v>7944</v>
      </c>
      <c r="R1469" s="1" t="s">
        <v>91</v>
      </c>
      <c r="S1469">
        <v>1261</v>
      </c>
      <c r="T1469">
        <v>88301320</v>
      </c>
      <c r="U1469" s="1" t="s">
        <v>108</v>
      </c>
      <c r="V1469" s="1" t="s">
        <v>6874</v>
      </c>
      <c r="W1469" s="1" t="s">
        <v>87</v>
      </c>
      <c r="X1469">
        <v>47</v>
      </c>
      <c r="Y1469">
        <v>33443881</v>
      </c>
      <c r="Z1469" t="s">
        <v>91</v>
      </c>
      <c r="AA1469" t="s">
        <v>91</v>
      </c>
      <c r="AB1469" t="s">
        <v>91</v>
      </c>
      <c r="AC1469" t="s">
        <v>91</v>
      </c>
      <c r="AD1469" t="s">
        <v>91</v>
      </c>
      <c r="AE1469" t="s">
        <v>91</v>
      </c>
      <c r="AF1469" t="s">
        <v>91</v>
      </c>
      <c r="AG1469" s="1" t="s">
        <v>146</v>
      </c>
      <c r="AH1469" s="1" t="s">
        <v>91</v>
      </c>
      <c r="AI1469" t="s">
        <v>91</v>
      </c>
      <c r="AJ1469">
        <v>0</v>
      </c>
      <c r="AK1469">
        <v>0</v>
      </c>
      <c r="AL1469">
        <v>0</v>
      </c>
      <c r="AM1469" t="s">
        <v>91</v>
      </c>
      <c r="AN1469" t="s">
        <v>91</v>
      </c>
      <c r="AO1469" t="s">
        <v>91</v>
      </c>
      <c r="AP1469" t="s">
        <v>91</v>
      </c>
      <c r="AQ1469" s="1" t="s">
        <v>147</v>
      </c>
      <c r="AR1469" s="1" t="s">
        <v>147</v>
      </c>
      <c r="AS1469" s="1" t="s">
        <v>147</v>
      </c>
      <c r="AT1469" s="1" t="s">
        <v>147</v>
      </c>
      <c r="AU1469" s="1" t="s">
        <v>147</v>
      </c>
      <c r="AV1469" t="s">
        <v>91</v>
      </c>
      <c r="AW1469" t="s">
        <v>91</v>
      </c>
      <c r="AX1469" t="s">
        <v>91</v>
      </c>
      <c r="AY1469" t="s">
        <v>91</v>
      </c>
      <c r="AZ1469" t="s">
        <v>91</v>
      </c>
      <c r="BA1469" t="s">
        <v>91</v>
      </c>
      <c r="BB1469" s="2">
        <v>44034.350266203706</v>
      </c>
      <c r="BC1469" s="2">
        <v>45118.700219907405</v>
      </c>
      <c r="BD1469" t="s">
        <v>91</v>
      </c>
      <c r="BF1469" s="1" t="s">
        <v>75</v>
      </c>
      <c r="BG1469">
        <v>0</v>
      </c>
      <c r="BH1469">
        <v>0</v>
      </c>
      <c r="BI1469" s="1" t="s">
        <v>721</v>
      </c>
      <c r="BJ1469">
        <v>1</v>
      </c>
      <c r="BK1469" s="1" t="s">
        <v>89</v>
      </c>
      <c r="BL1469" t="s">
        <v>91</v>
      </c>
      <c r="BM1469" s="1" t="s">
        <v>109</v>
      </c>
      <c r="BN1469" s="1" t="s">
        <v>91</v>
      </c>
      <c r="BO1469" s="1" t="s">
        <v>111</v>
      </c>
      <c r="BP1469" s="1" t="s">
        <v>91</v>
      </c>
      <c r="BQ1469" t="s">
        <v>91</v>
      </c>
      <c r="BR1469" s="3">
        <v>44034</v>
      </c>
      <c r="BS1469" s="3">
        <v>45118</v>
      </c>
      <c r="BT1469" t="s">
        <v>91</v>
      </c>
      <c r="BU1469" t="s">
        <v>91</v>
      </c>
      <c r="BV1469">
        <v>9</v>
      </c>
      <c r="BW1469" s="1" t="s">
        <v>601</v>
      </c>
    </row>
    <row r="1470" spans="1:75" hidden="1" x14ac:dyDescent="0.35">
      <c r="A1470">
        <v>137702</v>
      </c>
      <c r="B1470" s="1" t="s">
        <v>75</v>
      </c>
      <c r="C1470">
        <v>80</v>
      </c>
      <c r="D1470">
        <v>11121004</v>
      </c>
      <c r="E1470">
        <v>121004</v>
      </c>
      <c r="F1470" s="1" t="s">
        <v>6867</v>
      </c>
      <c r="G1470" s="1" t="s">
        <v>7945</v>
      </c>
      <c r="H1470">
        <v>0</v>
      </c>
      <c r="I1470" s="1" t="s">
        <v>78</v>
      </c>
      <c r="J1470" s="1" t="s">
        <v>7946</v>
      </c>
      <c r="K1470" s="1" t="s">
        <v>7947</v>
      </c>
      <c r="L1470" t="s">
        <v>91</v>
      </c>
      <c r="M1470" t="s">
        <v>91</v>
      </c>
      <c r="N1470" s="1" t="s">
        <v>7948</v>
      </c>
      <c r="O1470" t="s">
        <v>91</v>
      </c>
      <c r="P1470" s="1" t="s">
        <v>7949</v>
      </c>
      <c r="Q1470" s="1" t="s">
        <v>7950</v>
      </c>
      <c r="R1470" s="1" t="s">
        <v>7951</v>
      </c>
      <c r="S1470">
        <v>1273</v>
      </c>
      <c r="T1470">
        <v>89052381</v>
      </c>
      <c r="U1470" s="1" t="s">
        <v>7877</v>
      </c>
      <c r="V1470" s="1" t="s">
        <v>3571</v>
      </c>
      <c r="W1470" s="1" t="s">
        <v>87</v>
      </c>
      <c r="X1470">
        <v>47</v>
      </c>
      <c r="Y1470">
        <v>992626434</v>
      </c>
      <c r="Z1470" t="s">
        <v>91</v>
      </c>
      <c r="AA1470" t="s">
        <v>91</v>
      </c>
      <c r="AB1470" t="s">
        <v>91</v>
      </c>
      <c r="AC1470" t="s">
        <v>91</v>
      </c>
      <c r="AD1470" t="s">
        <v>91</v>
      </c>
      <c r="AE1470" t="s">
        <v>91</v>
      </c>
      <c r="AF1470" t="s">
        <v>91</v>
      </c>
      <c r="AG1470" s="1" t="s">
        <v>146</v>
      </c>
      <c r="AH1470" s="1" t="s">
        <v>91</v>
      </c>
      <c r="AI1470" t="s">
        <v>91</v>
      </c>
      <c r="AM1470" t="s">
        <v>91</v>
      </c>
      <c r="AN1470" t="s">
        <v>91</v>
      </c>
      <c r="AO1470" t="s">
        <v>91</v>
      </c>
      <c r="AP1470" t="s">
        <v>91</v>
      </c>
      <c r="AQ1470" s="1" t="s">
        <v>147</v>
      </c>
      <c r="AR1470" s="1" t="s">
        <v>147</v>
      </c>
      <c r="AS1470" s="1" t="s">
        <v>147</v>
      </c>
      <c r="AT1470" s="1" t="s">
        <v>147</v>
      </c>
      <c r="AU1470" s="1" t="s">
        <v>147</v>
      </c>
      <c r="AV1470" t="s">
        <v>91</v>
      </c>
      <c r="AW1470" t="s">
        <v>91</v>
      </c>
      <c r="AX1470" t="s">
        <v>91</v>
      </c>
      <c r="AY1470" t="s">
        <v>91</v>
      </c>
      <c r="AZ1470" t="s">
        <v>91</v>
      </c>
      <c r="BA1470" t="s">
        <v>91</v>
      </c>
      <c r="BB1470" s="2">
        <v>44378.578518518516</v>
      </c>
      <c r="BC1470" s="2">
        <v>44589.489803240744</v>
      </c>
      <c r="BD1470" t="s">
        <v>91</v>
      </c>
      <c r="BF1470" s="1" t="s">
        <v>75</v>
      </c>
      <c r="BH1470">
        <v>0</v>
      </c>
      <c r="BI1470" s="1" t="s">
        <v>88</v>
      </c>
      <c r="BJ1470">
        <v>1</v>
      </c>
      <c r="BK1470" s="1" t="s">
        <v>89</v>
      </c>
      <c r="BL1470" t="s">
        <v>91</v>
      </c>
      <c r="BM1470" s="1" t="s">
        <v>109</v>
      </c>
      <c r="BN1470" s="1" t="s">
        <v>110</v>
      </c>
      <c r="BO1470" s="1" t="s">
        <v>91</v>
      </c>
      <c r="BP1470" s="1" t="s">
        <v>91</v>
      </c>
      <c r="BQ1470" t="s">
        <v>91</v>
      </c>
      <c r="BR1470" s="3">
        <v>44378</v>
      </c>
      <c r="BS1470" s="3">
        <v>44589</v>
      </c>
      <c r="BT1470" t="s">
        <v>91</v>
      </c>
      <c r="BU1470" t="s">
        <v>91</v>
      </c>
      <c r="BW1470" s="1" t="s">
        <v>1431</v>
      </c>
    </row>
    <row r="1471" spans="1:75" hidden="1" x14ac:dyDescent="0.35">
      <c r="A1471">
        <v>137703</v>
      </c>
      <c r="B1471" s="1" t="s">
        <v>75</v>
      </c>
      <c r="C1471">
        <v>80</v>
      </c>
      <c r="D1471">
        <v>11121004</v>
      </c>
      <c r="E1471">
        <v>121004</v>
      </c>
      <c r="F1471" s="1" t="s">
        <v>6867</v>
      </c>
      <c r="G1471" s="1" t="s">
        <v>7952</v>
      </c>
      <c r="H1471">
        <v>0</v>
      </c>
      <c r="I1471" s="1" t="s">
        <v>78</v>
      </c>
      <c r="J1471" s="1" t="s">
        <v>7953</v>
      </c>
      <c r="K1471" s="1" t="s">
        <v>7954</v>
      </c>
      <c r="L1471" t="s">
        <v>91</v>
      </c>
      <c r="M1471" t="s">
        <v>91</v>
      </c>
      <c r="N1471" s="1" t="s">
        <v>7955</v>
      </c>
      <c r="O1471" t="s">
        <v>91</v>
      </c>
      <c r="P1471" s="1" t="s">
        <v>7956</v>
      </c>
      <c r="Q1471" s="1" t="s">
        <v>882</v>
      </c>
      <c r="R1471" s="1" t="s">
        <v>820</v>
      </c>
      <c r="T1471">
        <v>88372618</v>
      </c>
      <c r="U1471" s="1" t="s">
        <v>108</v>
      </c>
      <c r="V1471" s="1" t="s">
        <v>7127</v>
      </c>
      <c r="W1471" s="1" t="s">
        <v>87</v>
      </c>
      <c r="X1471">
        <v>47</v>
      </c>
      <c r="Y1471">
        <v>33422657</v>
      </c>
      <c r="Z1471" t="s">
        <v>91</v>
      </c>
      <c r="AA1471" t="s">
        <v>91</v>
      </c>
      <c r="AB1471" t="s">
        <v>91</v>
      </c>
      <c r="AC1471" t="s">
        <v>91</v>
      </c>
      <c r="AD1471" t="s">
        <v>91</v>
      </c>
      <c r="AE1471" t="s">
        <v>91</v>
      </c>
      <c r="AF1471" t="s">
        <v>91</v>
      </c>
      <c r="AG1471" s="1" t="s">
        <v>146</v>
      </c>
      <c r="AH1471" s="1" t="s">
        <v>91</v>
      </c>
      <c r="AI1471" t="s">
        <v>91</v>
      </c>
      <c r="AM1471" t="s">
        <v>91</v>
      </c>
      <c r="AN1471" t="s">
        <v>91</v>
      </c>
      <c r="AO1471" t="s">
        <v>91</v>
      </c>
      <c r="AP1471" t="s">
        <v>91</v>
      </c>
      <c r="AQ1471" s="1" t="s">
        <v>147</v>
      </c>
      <c r="AR1471" s="1" t="s">
        <v>147</v>
      </c>
      <c r="AS1471" s="1" t="s">
        <v>147</v>
      </c>
      <c r="AT1471" s="1" t="s">
        <v>147</v>
      </c>
      <c r="AU1471" s="1" t="s">
        <v>147</v>
      </c>
      <c r="AV1471" t="s">
        <v>91</v>
      </c>
      <c r="AW1471" t="s">
        <v>91</v>
      </c>
      <c r="AX1471" t="s">
        <v>91</v>
      </c>
      <c r="AY1471" t="s">
        <v>91</v>
      </c>
      <c r="AZ1471" t="s">
        <v>91</v>
      </c>
      <c r="BA1471" t="s">
        <v>91</v>
      </c>
      <c r="BB1471" s="2">
        <v>44378.578518518516</v>
      </c>
      <c r="BC1471" s="2">
        <v>45118.492245370369</v>
      </c>
      <c r="BD1471" t="s">
        <v>91</v>
      </c>
      <c r="BF1471" s="1" t="s">
        <v>75</v>
      </c>
      <c r="BH1471">
        <v>0</v>
      </c>
      <c r="BI1471" s="1" t="s">
        <v>721</v>
      </c>
      <c r="BJ1471">
        <v>1</v>
      </c>
      <c r="BK1471" s="1" t="s">
        <v>89</v>
      </c>
      <c r="BL1471" t="s">
        <v>91</v>
      </c>
      <c r="BM1471" s="1" t="s">
        <v>329</v>
      </c>
      <c r="BN1471" s="1" t="s">
        <v>110</v>
      </c>
      <c r="BO1471" s="1" t="s">
        <v>165</v>
      </c>
      <c r="BP1471" s="1" t="s">
        <v>91</v>
      </c>
      <c r="BQ1471" t="s">
        <v>91</v>
      </c>
      <c r="BR1471" s="3">
        <v>44378</v>
      </c>
      <c r="BS1471" s="3">
        <v>45118</v>
      </c>
      <c r="BT1471" t="s">
        <v>91</v>
      </c>
      <c r="BU1471" t="s">
        <v>91</v>
      </c>
      <c r="BW1471" s="1" t="s">
        <v>589</v>
      </c>
    </row>
    <row r="1472" spans="1:75" hidden="1" x14ac:dyDescent="0.35">
      <c r="A1472">
        <v>137704</v>
      </c>
      <c r="B1472" s="1" t="s">
        <v>75</v>
      </c>
      <c r="C1472">
        <v>80</v>
      </c>
      <c r="D1472">
        <v>11121004</v>
      </c>
      <c r="E1472">
        <v>121004</v>
      </c>
      <c r="F1472" s="1" t="s">
        <v>6867</v>
      </c>
      <c r="G1472" s="1" t="s">
        <v>7957</v>
      </c>
      <c r="H1472">
        <v>0</v>
      </c>
      <c r="I1472" s="1" t="s">
        <v>78</v>
      </c>
      <c r="J1472" s="1" t="s">
        <v>7958</v>
      </c>
      <c r="K1472" s="1" t="s">
        <v>7959</v>
      </c>
      <c r="L1472" t="s">
        <v>91</v>
      </c>
      <c r="M1472" t="s">
        <v>91</v>
      </c>
      <c r="N1472" s="1" t="s">
        <v>7960</v>
      </c>
      <c r="O1472" t="s">
        <v>91</v>
      </c>
      <c r="P1472" s="1" t="s">
        <v>7961</v>
      </c>
      <c r="Q1472" s="1" t="s">
        <v>3096</v>
      </c>
      <c r="R1472" s="1" t="s">
        <v>2073</v>
      </c>
      <c r="S1472">
        <v>1260</v>
      </c>
      <c r="T1472">
        <v>88220000</v>
      </c>
      <c r="U1472" s="1" t="s">
        <v>108</v>
      </c>
      <c r="V1472" s="1" t="s">
        <v>7015</v>
      </c>
      <c r="W1472" s="1" t="s">
        <v>87</v>
      </c>
      <c r="X1472">
        <v>47</v>
      </c>
      <c r="Y1472">
        <v>33660763</v>
      </c>
      <c r="Z1472" t="s">
        <v>91</v>
      </c>
      <c r="AA1472" t="s">
        <v>91</v>
      </c>
      <c r="AB1472" t="s">
        <v>91</v>
      </c>
      <c r="AC1472" t="s">
        <v>91</v>
      </c>
      <c r="AD1472" t="s">
        <v>91</v>
      </c>
      <c r="AE1472" t="s">
        <v>91</v>
      </c>
      <c r="AF1472" t="s">
        <v>91</v>
      </c>
      <c r="AG1472" s="1" t="s">
        <v>146</v>
      </c>
      <c r="AH1472" s="1" t="s">
        <v>91</v>
      </c>
      <c r="AI1472" t="s">
        <v>91</v>
      </c>
      <c r="AM1472" t="s">
        <v>91</v>
      </c>
      <c r="AN1472" t="s">
        <v>91</v>
      </c>
      <c r="AO1472" t="s">
        <v>91</v>
      </c>
      <c r="AP1472" t="s">
        <v>91</v>
      </c>
      <c r="AQ1472" s="1" t="s">
        <v>147</v>
      </c>
      <c r="AR1472" s="1" t="s">
        <v>147</v>
      </c>
      <c r="AS1472" s="1" t="s">
        <v>147</v>
      </c>
      <c r="AT1472" s="1" t="s">
        <v>147</v>
      </c>
      <c r="AU1472" s="1" t="s">
        <v>147</v>
      </c>
      <c r="AV1472" t="s">
        <v>91</v>
      </c>
      <c r="AW1472" t="s">
        <v>91</v>
      </c>
      <c r="AX1472" t="s">
        <v>91</v>
      </c>
      <c r="AY1472" t="s">
        <v>91</v>
      </c>
      <c r="AZ1472" t="s">
        <v>91</v>
      </c>
      <c r="BA1472" t="s">
        <v>91</v>
      </c>
      <c r="BB1472" s="2">
        <v>44378.578518518516</v>
      </c>
      <c r="BC1472" s="2">
        <v>44658.689849537041</v>
      </c>
      <c r="BD1472" t="s">
        <v>91</v>
      </c>
      <c r="BF1472" s="1" t="s">
        <v>75</v>
      </c>
      <c r="BH1472">
        <v>0</v>
      </c>
      <c r="BI1472" s="1" t="s">
        <v>88</v>
      </c>
      <c r="BJ1472">
        <v>1</v>
      </c>
      <c r="BK1472" s="1" t="s">
        <v>89</v>
      </c>
      <c r="BL1472" t="s">
        <v>91</v>
      </c>
      <c r="BM1472" s="1" t="s">
        <v>109</v>
      </c>
      <c r="BN1472" s="1" t="s">
        <v>110</v>
      </c>
      <c r="BO1472" s="1" t="s">
        <v>180</v>
      </c>
      <c r="BP1472" s="1" t="s">
        <v>91</v>
      </c>
      <c r="BQ1472" t="s">
        <v>91</v>
      </c>
      <c r="BR1472" s="3">
        <v>44378</v>
      </c>
      <c r="BS1472" s="3">
        <v>44658</v>
      </c>
      <c r="BT1472" t="s">
        <v>91</v>
      </c>
      <c r="BU1472" t="s">
        <v>91</v>
      </c>
      <c r="BW1472" s="1" t="s">
        <v>1095</v>
      </c>
    </row>
    <row r="1473" spans="1:75" hidden="1" x14ac:dyDescent="0.35">
      <c r="A1473">
        <v>144625</v>
      </c>
      <c r="B1473" s="1" t="s">
        <v>75</v>
      </c>
      <c r="C1473">
        <v>80</v>
      </c>
      <c r="D1473">
        <v>11121004</v>
      </c>
      <c r="E1473">
        <v>121004</v>
      </c>
      <c r="F1473" s="1" t="s">
        <v>6867</v>
      </c>
      <c r="G1473" s="1" t="s">
        <v>7962</v>
      </c>
      <c r="I1473" s="1" t="s">
        <v>78</v>
      </c>
      <c r="J1473" s="1" t="s">
        <v>7963</v>
      </c>
      <c r="K1473" s="1" t="s">
        <v>7964</v>
      </c>
      <c r="L1473" t="s">
        <v>91</v>
      </c>
      <c r="M1473" t="s">
        <v>91</v>
      </c>
      <c r="N1473" s="1" t="s">
        <v>7965</v>
      </c>
      <c r="O1473" t="s">
        <v>91</v>
      </c>
      <c r="P1473" s="1" t="s">
        <v>7966</v>
      </c>
      <c r="Q1473" s="1" t="s">
        <v>2513</v>
      </c>
      <c r="R1473" s="1" t="s">
        <v>91</v>
      </c>
      <c r="S1473">
        <v>1270</v>
      </c>
      <c r="T1473">
        <v>88900063</v>
      </c>
      <c r="U1473" s="1" t="s">
        <v>108</v>
      </c>
      <c r="V1473" s="1" t="s">
        <v>3095</v>
      </c>
      <c r="W1473" s="1" t="s">
        <v>87</v>
      </c>
      <c r="X1473">
        <v>48</v>
      </c>
      <c r="Y1473">
        <v>99483300</v>
      </c>
      <c r="Z1473" t="s">
        <v>91</v>
      </c>
      <c r="AA1473" t="s">
        <v>91</v>
      </c>
      <c r="AB1473" t="s">
        <v>91</v>
      </c>
      <c r="AC1473" t="s">
        <v>91</v>
      </c>
      <c r="AD1473" t="s">
        <v>91</v>
      </c>
      <c r="AE1473" t="s">
        <v>91</v>
      </c>
      <c r="AF1473" t="s">
        <v>91</v>
      </c>
      <c r="AG1473" s="1" t="s">
        <v>91</v>
      </c>
      <c r="AH1473" s="1" t="s">
        <v>91</v>
      </c>
      <c r="AI1473" t="s">
        <v>91</v>
      </c>
      <c r="AM1473" t="s">
        <v>91</v>
      </c>
      <c r="AN1473" t="s">
        <v>91</v>
      </c>
      <c r="AO1473" t="s">
        <v>91</v>
      </c>
      <c r="AP1473" t="s">
        <v>91</v>
      </c>
      <c r="AQ1473" s="1" t="s">
        <v>91</v>
      </c>
      <c r="AR1473" s="1" t="s">
        <v>91</v>
      </c>
      <c r="AS1473" s="1" t="s">
        <v>91</v>
      </c>
      <c r="AT1473" s="1" t="s">
        <v>91</v>
      </c>
      <c r="AU1473" s="1" t="s">
        <v>91</v>
      </c>
      <c r="AV1473" t="s">
        <v>91</v>
      </c>
      <c r="AW1473" t="s">
        <v>91</v>
      </c>
      <c r="AX1473" t="s">
        <v>91</v>
      </c>
      <c r="AY1473" t="s">
        <v>91</v>
      </c>
      <c r="AZ1473" t="s">
        <v>91</v>
      </c>
      <c r="BA1473" t="s">
        <v>91</v>
      </c>
      <c r="BB1473" s="2"/>
      <c r="BC1473" s="2"/>
      <c r="BD1473" t="s">
        <v>91</v>
      </c>
      <c r="BF1473" s="1" t="s">
        <v>75</v>
      </c>
      <c r="BI1473" s="1" t="s">
        <v>88</v>
      </c>
      <c r="BJ1473">
        <v>1</v>
      </c>
      <c r="BK1473" s="1" t="s">
        <v>89</v>
      </c>
      <c r="BL1473" t="s">
        <v>91</v>
      </c>
      <c r="BM1473" s="1" t="s">
        <v>109</v>
      </c>
      <c r="BN1473" s="1" t="s">
        <v>110</v>
      </c>
      <c r="BO1473" s="1" t="s">
        <v>128</v>
      </c>
      <c r="BP1473" s="1" t="s">
        <v>91</v>
      </c>
      <c r="BQ1473" t="s">
        <v>91</v>
      </c>
      <c r="BR1473" s="3"/>
      <c r="BS1473" s="3"/>
      <c r="BT1473" t="s">
        <v>91</v>
      </c>
      <c r="BU1473" t="s">
        <v>91</v>
      </c>
      <c r="BV1473">
        <v>9</v>
      </c>
      <c r="BW1473" s="1" t="s">
        <v>90</v>
      </c>
    </row>
    <row r="1474" spans="1:75" hidden="1" x14ac:dyDescent="0.35">
      <c r="A1474">
        <v>137705</v>
      </c>
      <c r="B1474" s="1" t="s">
        <v>75</v>
      </c>
      <c r="C1474">
        <v>80</v>
      </c>
      <c r="D1474">
        <v>11121004</v>
      </c>
      <c r="E1474">
        <v>121004</v>
      </c>
      <c r="F1474" s="1" t="s">
        <v>6867</v>
      </c>
      <c r="G1474" s="1" t="s">
        <v>7967</v>
      </c>
      <c r="H1474">
        <v>0</v>
      </c>
      <c r="I1474" s="1" t="s">
        <v>78</v>
      </c>
      <c r="J1474" s="1" t="s">
        <v>7968</v>
      </c>
      <c r="K1474" s="1" t="s">
        <v>7969</v>
      </c>
      <c r="L1474" t="s">
        <v>91</v>
      </c>
      <c r="M1474" t="s">
        <v>91</v>
      </c>
      <c r="N1474" s="1" t="s">
        <v>7970</v>
      </c>
      <c r="O1474" t="s">
        <v>91</v>
      </c>
      <c r="P1474" s="1" t="s">
        <v>6953</v>
      </c>
      <c r="Q1474" s="1" t="s">
        <v>552</v>
      </c>
      <c r="R1474" s="1" t="s">
        <v>7971</v>
      </c>
      <c r="S1474">
        <v>1261</v>
      </c>
      <c r="T1474">
        <v>88301320</v>
      </c>
      <c r="U1474" s="1" t="s">
        <v>108</v>
      </c>
      <c r="V1474" s="1" t="s">
        <v>6881</v>
      </c>
      <c r="W1474" s="1" t="s">
        <v>87</v>
      </c>
      <c r="X1474">
        <v>47</v>
      </c>
      <c r="Y1474">
        <v>30401049</v>
      </c>
      <c r="Z1474" t="s">
        <v>91</v>
      </c>
      <c r="AA1474" t="s">
        <v>91</v>
      </c>
      <c r="AB1474" t="s">
        <v>91</v>
      </c>
      <c r="AC1474" t="s">
        <v>91</v>
      </c>
      <c r="AD1474" t="s">
        <v>91</v>
      </c>
      <c r="AE1474" t="s">
        <v>91</v>
      </c>
      <c r="AF1474" t="s">
        <v>91</v>
      </c>
      <c r="AG1474" s="1" t="s">
        <v>91</v>
      </c>
      <c r="AH1474" s="1" t="s">
        <v>91</v>
      </c>
      <c r="AI1474" t="s">
        <v>91</v>
      </c>
      <c r="AM1474" t="s">
        <v>91</v>
      </c>
      <c r="AN1474" t="s">
        <v>91</v>
      </c>
      <c r="AO1474" t="s">
        <v>91</v>
      </c>
      <c r="AP1474" t="s">
        <v>91</v>
      </c>
      <c r="AQ1474" s="1" t="s">
        <v>91</v>
      </c>
      <c r="AR1474" s="1" t="s">
        <v>91</v>
      </c>
      <c r="AS1474" s="1" t="s">
        <v>91</v>
      </c>
      <c r="AT1474" s="1" t="s">
        <v>91</v>
      </c>
      <c r="AU1474" s="1" t="s">
        <v>91</v>
      </c>
      <c r="AV1474" t="s">
        <v>91</v>
      </c>
      <c r="AW1474" t="s">
        <v>91</v>
      </c>
      <c r="AX1474" t="s">
        <v>91</v>
      </c>
      <c r="AY1474" t="s">
        <v>91</v>
      </c>
      <c r="AZ1474" t="s">
        <v>91</v>
      </c>
      <c r="BA1474" t="s">
        <v>91</v>
      </c>
      <c r="BB1474" s="2">
        <v>44378.578518518516</v>
      </c>
      <c r="BC1474" s="2"/>
      <c r="BD1474" t="s">
        <v>91</v>
      </c>
      <c r="BF1474" s="1" t="s">
        <v>75</v>
      </c>
      <c r="BI1474" s="1" t="s">
        <v>88</v>
      </c>
      <c r="BJ1474">
        <v>1</v>
      </c>
      <c r="BK1474" s="1" t="s">
        <v>89</v>
      </c>
      <c r="BL1474" t="s">
        <v>91</v>
      </c>
      <c r="BM1474" s="1" t="s">
        <v>109</v>
      </c>
      <c r="BN1474" s="1" t="s">
        <v>110</v>
      </c>
      <c r="BO1474" s="1" t="s">
        <v>128</v>
      </c>
      <c r="BP1474" s="1" t="s">
        <v>91</v>
      </c>
      <c r="BQ1474" t="s">
        <v>91</v>
      </c>
      <c r="BR1474" s="3">
        <v>44378</v>
      </c>
      <c r="BS1474" s="3"/>
      <c r="BT1474" t="s">
        <v>91</v>
      </c>
      <c r="BU1474" t="s">
        <v>91</v>
      </c>
      <c r="BW1474" s="1" t="s">
        <v>90</v>
      </c>
    </row>
    <row r="1475" spans="1:75" hidden="1" x14ac:dyDescent="0.35">
      <c r="A1475">
        <v>157089</v>
      </c>
      <c r="B1475" s="1" t="s">
        <v>75</v>
      </c>
      <c r="C1475">
        <v>80</v>
      </c>
      <c r="D1475">
        <v>11121004</v>
      </c>
      <c r="E1475">
        <v>121004</v>
      </c>
      <c r="F1475" s="1" t="s">
        <v>6867</v>
      </c>
      <c r="G1475" s="1" t="s">
        <v>7972</v>
      </c>
      <c r="H1475">
        <v>0</v>
      </c>
      <c r="I1475" s="1" t="s">
        <v>78</v>
      </c>
      <c r="J1475" s="1" t="s">
        <v>7973</v>
      </c>
      <c r="K1475" s="1" t="s">
        <v>7974</v>
      </c>
      <c r="L1475" t="s">
        <v>91</v>
      </c>
      <c r="M1475" t="s">
        <v>91</v>
      </c>
      <c r="N1475" s="1" t="s">
        <v>7975</v>
      </c>
      <c r="O1475" t="s">
        <v>91</v>
      </c>
      <c r="P1475" s="1" t="s">
        <v>7976</v>
      </c>
      <c r="Q1475" s="1" t="s">
        <v>7503</v>
      </c>
      <c r="R1475" s="1" t="s">
        <v>91</v>
      </c>
      <c r="S1475">
        <v>1262</v>
      </c>
      <c r="T1475">
        <v>88345006</v>
      </c>
      <c r="U1475" s="1" t="s">
        <v>3001</v>
      </c>
      <c r="V1475" s="1" t="s">
        <v>7121</v>
      </c>
      <c r="W1475" s="1" t="s">
        <v>87</v>
      </c>
      <c r="X1475">
        <v>47</v>
      </c>
      <c r="Y1475">
        <v>989159624</v>
      </c>
      <c r="Z1475" t="s">
        <v>91</v>
      </c>
      <c r="AA1475" t="s">
        <v>91</v>
      </c>
      <c r="AB1475" t="s">
        <v>91</v>
      </c>
      <c r="AC1475" t="s">
        <v>91</v>
      </c>
      <c r="AD1475" t="s">
        <v>91</v>
      </c>
      <c r="AE1475" t="s">
        <v>91</v>
      </c>
      <c r="AF1475" t="s">
        <v>91</v>
      </c>
      <c r="AG1475" s="1" t="s">
        <v>91</v>
      </c>
      <c r="AH1475" s="1" t="s">
        <v>91</v>
      </c>
      <c r="AI1475" t="s">
        <v>91</v>
      </c>
      <c r="AM1475" t="s">
        <v>91</v>
      </c>
      <c r="AN1475" t="s">
        <v>91</v>
      </c>
      <c r="AO1475" t="s">
        <v>91</v>
      </c>
      <c r="AP1475" t="s">
        <v>91</v>
      </c>
      <c r="AQ1475" s="1" t="s">
        <v>91</v>
      </c>
      <c r="AR1475" s="1" t="s">
        <v>91</v>
      </c>
      <c r="AS1475" s="1" t="s">
        <v>91</v>
      </c>
      <c r="AT1475" s="1" t="s">
        <v>91</v>
      </c>
      <c r="AU1475" s="1" t="s">
        <v>91</v>
      </c>
      <c r="AV1475" t="s">
        <v>91</v>
      </c>
      <c r="AW1475" t="s">
        <v>91</v>
      </c>
      <c r="AX1475" t="s">
        <v>91</v>
      </c>
      <c r="AY1475" t="s">
        <v>91</v>
      </c>
      <c r="AZ1475" t="s">
        <v>91</v>
      </c>
      <c r="BA1475" t="s">
        <v>91</v>
      </c>
      <c r="BB1475" s="2">
        <v>45113.505416666667</v>
      </c>
      <c r="BC1475" s="2"/>
      <c r="BD1475" t="s">
        <v>91</v>
      </c>
      <c r="BF1475" s="1" t="s">
        <v>75</v>
      </c>
      <c r="BI1475" s="1" t="s">
        <v>88</v>
      </c>
      <c r="BJ1475">
        <v>1</v>
      </c>
      <c r="BK1475" s="1" t="s">
        <v>89</v>
      </c>
      <c r="BL1475" t="s">
        <v>91</v>
      </c>
      <c r="BM1475" s="1" t="s">
        <v>91</v>
      </c>
      <c r="BN1475" s="1" t="s">
        <v>91</v>
      </c>
      <c r="BO1475" s="1" t="s">
        <v>91</v>
      </c>
      <c r="BP1475" s="1" t="s">
        <v>91</v>
      </c>
      <c r="BQ1475" t="s">
        <v>91</v>
      </c>
      <c r="BR1475" s="3">
        <v>45113</v>
      </c>
      <c r="BS1475" s="3"/>
      <c r="BT1475" t="s">
        <v>91</v>
      </c>
      <c r="BU1475" t="s">
        <v>91</v>
      </c>
      <c r="BW1475" s="1" t="s">
        <v>2526</v>
      </c>
    </row>
    <row r="1476" spans="1:75" hidden="1" x14ac:dyDescent="0.35">
      <c r="A1476">
        <v>157763</v>
      </c>
      <c r="B1476" s="1" t="s">
        <v>75</v>
      </c>
      <c r="C1476">
        <v>80</v>
      </c>
      <c r="D1476">
        <v>11121004</v>
      </c>
      <c r="E1476">
        <v>121004</v>
      </c>
      <c r="F1476" s="1" t="s">
        <v>6867</v>
      </c>
      <c r="G1476" s="1" t="s">
        <v>7977</v>
      </c>
      <c r="H1476">
        <v>0</v>
      </c>
      <c r="I1476" s="1" t="s">
        <v>78</v>
      </c>
      <c r="J1476" s="1" t="s">
        <v>7978</v>
      </c>
      <c r="K1476" s="1" t="s">
        <v>7979</v>
      </c>
      <c r="L1476" t="s">
        <v>91</v>
      </c>
      <c r="M1476" t="s">
        <v>91</v>
      </c>
      <c r="N1476" s="1" t="s">
        <v>7980</v>
      </c>
      <c r="O1476" t="s">
        <v>91</v>
      </c>
      <c r="P1476" s="1" t="s">
        <v>364</v>
      </c>
      <c r="Q1476" s="1" t="s">
        <v>4505</v>
      </c>
      <c r="R1476" s="1" t="s">
        <v>91</v>
      </c>
      <c r="S1476">
        <v>1275</v>
      </c>
      <c r="T1476">
        <v>89130000</v>
      </c>
      <c r="U1476" s="1" t="s">
        <v>343</v>
      </c>
      <c r="V1476" s="1" t="s">
        <v>7659</v>
      </c>
      <c r="W1476" s="1" t="s">
        <v>87</v>
      </c>
      <c r="X1476">
        <v>47</v>
      </c>
      <c r="Y1476">
        <v>33330275</v>
      </c>
      <c r="Z1476" t="s">
        <v>91</v>
      </c>
      <c r="AA1476" t="s">
        <v>91</v>
      </c>
      <c r="AB1476" t="s">
        <v>91</v>
      </c>
      <c r="AC1476" t="s">
        <v>91</v>
      </c>
      <c r="AD1476" t="s">
        <v>91</v>
      </c>
      <c r="AE1476" t="s">
        <v>91</v>
      </c>
      <c r="AF1476" t="s">
        <v>91</v>
      </c>
      <c r="AG1476" s="1" t="s">
        <v>91</v>
      </c>
      <c r="AH1476" s="1" t="s">
        <v>91</v>
      </c>
      <c r="AI1476" t="s">
        <v>91</v>
      </c>
      <c r="AM1476" t="s">
        <v>91</v>
      </c>
      <c r="AN1476" t="s">
        <v>91</v>
      </c>
      <c r="AO1476" t="s">
        <v>91</v>
      </c>
      <c r="AP1476" t="s">
        <v>91</v>
      </c>
      <c r="AQ1476" s="1" t="s">
        <v>91</v>
      </c>
      <c r="AR1476" s="1" t="s">
        <v>91</v>
      </c>
      <c r="AS1476" s="1" t="s">
        <v>91</v>
      </c>
      <c r="AT1476" s="1" t="s">
        <v>91</v>
      </c>
      <c r="AU1476" s="1" t="s">
        <v>91</v>
      </c>
      <c r="AV1476" t="s">
        <v>91</v>
      </c>
      <c r="AW1476" t="s">
        <v>91</v>
      </c>
      <c r="AX1476" t="s">
        <v>91</v>
      </c>
      <c r="AY1476" t="s">
        <v>91</v>
      </c>
      <c r="AZ1476" t="s">
        <v>91</v>
      </c>
      <c r="BA1476" t="s">
        <v>91</v>
      </c>
      <c r="BB1476" s="2">
        <v>45118.101759259262</v>
      </c>
      <c r="BC1476" s="2"/>
      <c r="BD1476" t="s">
        <v>91</v>
      </c>
      <c r="BF1476" s="1" t="s">
        <v>75</v>
      </c>
      <c r="BI1476" s="1" t="s">
        <v>88</v>
      </c>
      <c r="BJ1476">
        <v>1</v>
      </c>
      <c r="BK1476" s="1" t="s">
        <v>89</v>
      </c>
      <c r="BL1476" t="s">
        <v>91</v>
      </c>
      <c r="BM1476" s="1" t="s">
        <v>91</v>
      </c>
      <c r="BN1476" s="1" t="s">
        <v>91</v>
      </c>
      <c r="BO1476" s="1" t="s">
        <v>91</v>
      </c>
      <c r="BP1476" s="1" t="s">
        <v>91</v>
      </c>
      <c r="BQ1476" t="s">
        <v>91</v>
      </c>
      <c r="BR1476" s="3">
        <v>45118</v>
      </c>
      <c r="BS1476" s="3"/>
      <c r="BT1476" t="s">
        <v>91</v>
      </c>
      <c r="BU1476" t="s">
        <v>91</v>
      </c>
      <c r="BW1476" s="1" t="s">
        <v>90</v>
      </c>
    </row>
    <row r="1477" spans="1:75" hidden="1" x14ac:dyDescent="0.35">
      <c r="A1477">
        <v>120532</v>
      </c>
      <c r="B1477" s="1" t="s">
        <v>75</v>
      </c>
      <c r="C1477">
        <v>80</v>
      </c>
      <c r="D1477">
        <v>11121004</v>
      </c>
      <c r="E1477">
        <v>121004</v>
      </c>
      <c r="F1477" s="1" t="s">
        <v>6867</v>
      </c>
      <c r="G1477" s="1" t="s">
        <v>7981</v>
      </c>
      <c r="H1477">
        <v>0</v>
      </c>
      <c r="I1477" s="1" t="s">
        <v>78</v>
      </c>
      <c r="J1477" s="1" t="s">
        <v>7982</v>
      </c>
      <c r="K1477" s="1" t="s">
        <v>7983</v>
      </c>
      <c r="L1477" t="s">
        <v>91</v>
      </c>
      <c r="M1477" t="s">
        <v>91</v>
      </c>
      <c r="N1477" s="1" t="s">
        <v>7984</v>
      </c>
      <c r="O1477" t="s">
        <v>91</v>
      </c>
      <c r="P1477" s="1" t="s">
        <v>7985</v>
      </c>
      <c r="Q1477" s="1" t="s">
        <v>7986</v>
      </c>
      <c r="R1477" s="1" t="s">
        <v>370</v>
      </c>
      <c r="S1477">
        <v>1273</v>
      </c>
      <c r="T1477">
        <v>89046000</v>
      </c>
      <c r="U1477" s="1" t="s">
        <v>7654</v>
      </c>
      <c r="V1477" s="1" t="s">
        <v>3571</v>
      </c>
      <c r="W1477" s="1" t="s">
        <v>87</v>
      </c>
      <c r="X1477">
        <v>47</v>
      </c>
      <c r="Y1477">
        <v>33300709</v>
      </c>
      <c r="Z1477" t="s">
        <v>91</v>
      </c>
      <c r="AA1477" t="s">
        <v>91</v>
      </c>
      <c r="AB1477" t="s">
        <v>91</v>
      </c>
      <c r="AC1477" t="s">
        <v>91</v>
      </c>
      <c r="AD1477" t="s">
        <v>91</v>
      </c>
      <c r="AE1477" t="s">
        <v>91</v>
      </c>
      <c r="AF1477" t="s">
        <v>91</v>
      </c>
      <c r="AG1477" s="1" t="s">
        <v>91</v>
      </c>
      <c r="AH1477" s="1" t="s">
        <v>91</v>
      </c>
      <c r="AI1477" t="s">
        <v>91</v>
      </c>
      <c r="AM1477" t="s">
        <v>91</v>
      </c>
      <c r="AN1477" t="s">
        <v>91</v>
      </c>
      <c r="AO1477" t="s">
        <v>91</v>
      </c>
      <c r="AP1477" t="s">
        <v>91</v>
      </c>
      <c r="AQ1477" s="1" t="s">
        <v>91</v>
      </c>
      <c r="AR1477" s="1" t="s">
        <v>91</v>
      </c>
      <c r="AS1477" s="1" t="s">
        <v>91</v>
      </c>
      <c r="AT1477" s="1" t="s">
        <v>91</v>
      </c>
      <c r="AU1477" s="1" t="s">
        <v>91</v>
      </c>
      <c r="AV1477" t="s">
        <v>91</v>
      </c>
      <c r="AW1477" t="s">
        <v>91</v>
      </c>
      <c r="AX1477" t="s">
        <v>91</v>
      </c>
      <c r="AY1477" t="s">
        <v>91</v>
      </c>
      <c r="AZ1477" t="s">
        <v>91</v>
      </c>
      <c r="BA1477" t="s">
        <v>91</v>
      </c>
      <c r="BB1477" s="2">
        <v>44096.645520833335</v>
      </c>
      <c r="BC1477" s="2"/>
      <c r="BD1477" t="s">
        <v>91</v>
      </c>
      <c r="BF1477" s="1" t="s">
        <v>75</v>
      </c>
      <c r="BI1477" s="1" t="s">
        <v>88</v>
      </c>
      <c r="BJ1477">
        <v>1</v>
      </c>
      <c r="BK1477" s="1" t="s">
        <v>89</v>
      </c>
      <c r="BL1477" t="s">
        <v>91</v>
      </c>
      <c r="BM1477" s="1" t="s">
        <v>109</v>
      </c>
      <c r="BN1477" s="1" t="s">
        <v>110</v>
      </c>
      <c r="BO1477" s="1" t="s">
        <v>180</v>
      </c>
      <c r="BP1477" s="1" t="s">
        <v>91</v>
      </c>
      <c r="BQ1477" t="s">
        <v>91</v>
      </c>
      <c r="BR1477" s="3">
        <v>44096</v>
      </c>
      <c r="BS1477" s="3"/>
      <c r="BT1477" t="s">
        <v>91</v>
      </c>
      <c r="BU1477" t="s">
        <v>91</v>
      </c>
      <c r="BV1477">
        <v>6</v>
      </c>
      <c r="BW1477" s="1" t="s">
        <v>90</v>
      </c>
    </row>
    <row r="1478" spans="1:75" hidden="1" x14ac:dyDescent="0.35">
      <c r="A1478">
        <v>127761</v>
      </c>
      <c r="B1478" s="1" t="s">
        <v>75</v>
      </c>
      <c r="C1478">
        <v>80</v>
      </c>
      <c r="D1478">
        <v>11121004</v>
      </c>
      <c r="E1478">
        <v>121004</v>
      </c>
      <c r="F1478" s="1" t="s">
        <v>6867</v>
      </c>
      <c r="G1478" s="1" t="s">
        <v>7987</v>
      </c>
      <c r="H1478">
        <v>0</v>
      </c>
      <c r="I1478" s="1" t="s">
        <v>78</v>
      </c>
      <c r="J1478" s="1" t="s">
        <v>7988</v>
      </c>
      <c r="K1478" s="1" t="s">
        <v>7989</v>
      </c>
      <c r="L1478" t="s">
        <v>91</v>
      </c>
      <c r="M1478" t="s">
        <v>91</v>
      </c>
      <c r="N1478" s="1" t="s">
        <v>7699</v>
      </c>
      <c r="O1478" t="s">
        <v>91</v>
      </c>
      <c r="P1478" s="1" t="s">
        <v>3970</v>
      </c>
      <c r="Q1478" s="1" t="s">
        <v>7990</v>
      </c>
      <c r="R1478" s="1" t="s">
        <v>320</v>
      </c>
      <c r="S1478">
        <v>1260</v>
      </c>
      <c r="T1478">
        <v>88220000</v>
      </c>
      <c r="U1478" s="1" t="s">
        <v>7195</v>
      </c>
      <c r="V1478" s="1" t="s">
        <v>7015</v>
      </c>
      <c r="W1478" s="1" t="s">
        <v>87</v>
      </c>
      <c r="X1478">
        <v>47</v>
      </c>
      <c r="Y1478">
        <v>33680181</v>
      </c>
      <c r="Z1478" t="s">
        <v>91</v>
      </c>
      <c r="AA1478" t="s">
        <v>91</v>
      </c>
      <c r="AB1478" t="s">
        <v>91</v>
      </c>
      <c r="AC1478" t="s">
        <v>91</v>
      </c>
      <c r="AD1478" t="s">
        <v>91</v>
      </c>
      <c r="AE1478" t="s">
        <v>91</v>
      </c>
      <c r="AF1478" t="s">
        <v>91</v>
      </c>
      <c r="AG1478" s="1" t="s">
        <v>91</v>
      </c>
      <c r="AH1478" s="1" t="s">
        <v>91</v>
      </c>
      <c r="AI1478" t="s">
        <v>91</v>
      </c>
      <c r="AM1478" t="s">
        <v>91</v>
      </c>
      <c r="AN1478" t="s">
        <v>91</v>
      </c>
      <c r="AO1478" t="s">
        <v>91</v>
      </c>
      <c r="AP1478" t="s">
        <v>91</v>
      </c>
      <c r="AQ1478" s="1" t="s">
        <v>91</v>
      </c>
      <c r="AR1478" s="1" t="s">
        <v>91</v>
      </c>
      <c r="AS1478" s="1" t="s">
        <v>91</v>
      </c>
      <c r="AT1478" s="1" t="s">
        <v>91</v>
      </c>
      <c r="AU1478" s="1" t="s">
        <v>91</v>
      </c>
      <c r="AV1478" t="s">
        <v>91</v>
      </c>
      <c r="AW1478" t="s">
        <v>91</v>
      </c>
      <c r="AX1478" t="s">
        <v>91</v>
      </c>
      <c r="AY1478" t="s">
        <v>91</v>
      </c>
      <c r="AZ1478" t="s">
        <v>91</v>
      </c>
      <c r="BA1478" t="s">
        <v>91</v>
      </c>
      <c r="BB1478" s="2">
        <v>44111.380995370368</v>
      </c>
      <c r="BC1478" s="2"/>
      <c r="BD1478" t="s">
        <v>91</v>
      </c>
      <c r="BF1478" s="1" t="s">
        <v>75</v>
      </c>
      <c r="BI1478" s="1" t="s">
        <v>88</v>
      </c>
      <c r="BJ1478">
        <v>1</v>
      </c>
      <c r="BK1478" s="1" t="s">
        <v>89</v>
      </c>
      <c r="BL1478" t="s">
        <v>91</v>
      </c>
      <c r="BM1478" s="1" t="s">
        <v>109</v>
      </c>
      <c r="BN1478" s="1" t="s">
        <v>110</v>
      </c>
      <c r="BO1478" s="1" t="s">
        <v>180</v>
      </c>
      <c r="BP1478" s="1" t="s">
        <v>91</v>
      </c>
      <c r="BQ1478" t="s">
        <v>91</v>
      </c>
      <c r="BR1478" s="3">
        <v>44111</v>
      </c>
      <c r="BS1478" s="3"/>
      <c r="BT1478" t="s">
        <v>91</v>
      </c>
      <c r="BU1478" t="s">
        <v>91</v>
      </c>
      <c r="BV1478">
        <v>9</v>
      </c>
      <c r="BW1478" s="1" t="s">
        <v>90</v>
      </c>
    </row>
    <row r="1479" spans="1:75" hidden="1" x14ac:dyDescent="0.35">
      <c r="A1479">
        <v>157742</v>
      </c>
      <c r="B1479" s="1" t="s">
        <v>75</v>
      </c>
      <c r="C1479">
        <v>80</v>
      </c>
      <c r="D1479">
        <v>11121004</v>
      </c>
      <c r="E1479">
        <v>121004</v>
      </c>
      <c r="F1479" s="1" t="s">
        <v>6867</v>
      </c>
      <c r="G1479" s="1" t="s">
        <v>7991</v>
      </c>
      <c r="H1479">
        <v>0</v>
      </c>
      <c r="I1479" s="1" t="s">
        <v>78</v>
      </c>
      <c r="J1479" s="1" t="s">
        <v>7992</v>
      </c>
      <c r="K1479" s="1" t="s">
        <v>7993</v>
      </c>
      <c r="L1479" t="s">
        <v>91</v>
      </c>
      <c r="M1479" t="s">
        <v>91</v>
      </c>
      <c r="N1479" s="1" t="s">
        <v>7994</v>
      </c>
      <c r="O1479" t="s">
        <v>91</v>
      </c>
      <c r="P1479" s="1" t="s">
        <v>3497</v>
      </c>
      <c r="Q1479" s="1" t="s">
        <v>3323</v>
      </c>
      <c r="R1479" s="1" t="s">
        <v>245</v>
      </c>
      <c r="S1479">
        <v>1275</v>
      </c>
      <c r="T1479">
        <v>89120000</v>
      </c>
      <c r="U1479" s="1" t="s">
        <v>108</v>
      </c>
      <c r="V1479" s="1" t="s">
        <v>7608</v>
      </c>
      <c r="W1479" s="1" t="s">
        <v>87</v>
      </c>
      <c r="X1479">
        <v>47</v>
      </c>
      <c r="Y1479">
        <v>33827045</v>
      </c>
      <c r="Z1479" t="s">
        <v>91</v>
      </c>
      <c r="AA1479" t="s">
        <v>91</v>
      </c>
      <c r="AB1479" t="s">
        <v>91</v>
      </c>
      <c r="AC1479" t="s">
        <v>91</v>
      </c>
      <c r="AD1479" t="s">
        <v>91</v>
      </c>
      <c r="AE1479" t="s">
        <v>91</v>
      </c>
      <c r="AF1479" t="s">
        <v>91</v>
      </c>
      <c r="AG1479" s="1" t="s">
        <v>91</v>
      </c>
      <c r="AH1479" s="1" t="s">
        <v>91</v>
      </c>
      <c r="AI1479" t="s">
        <v>91</v>
      </c>
      <c r="AM1479" t="s">
        <v>91</v>
      </c>
      <c r="AN1479" t="s">
        <v>91</v>
      </c>
      <c r="AO1479" t="s">
        <v>91</v>
      </c>
      <c r="AP1479" t="s">
        <v>91</v>
      </c>
      <c r="AQ1479" s="1" t="s">
        <v>91</v>
      </c>
      <c r="AR1479" s="1" t="s">
        <v>91</v>
      </c>
      <c r="AS1479" s="1" t="s">
        <v>91</v>
      </c>
      <c r="AT1479" s="1" t="s">
        <v>91</v>
      </c>
      <c r="AU1479" s="1" t="s">
        <v>91</v>
      </c>
      <c r="AV1479" t="s">
        <v>91</v>
      </c>
      <c r="AW1479" t="s">
        <v>91</v>
      </c>
      <c r="AX1479" t="s">
        <v>91</v>
      </c>
      <c r="AY1479" t="s">
        <v>91</v>
      </c>
      <c r="AZ1479" t="s">
        <v>91</v>
      </c>
      <c r="BA1479" t="s">
        <v>91</v>
      </c>
      <c r="BB1479" s="2">
        <v>45118.101759259262</v>
      </c>
      <c r="BC1479" s="2"/>
      <c r="BD1479" t="s">
        <v>91</v>
      </c>
      <c r="BF1479" s="1" t="s">
        <v>75</v>
      </c>
      <c r="BI1479" s="1" t="s">
        <v>88</v>
      </c>
      <c r="BJ1479">
        <v>1</v>
      </c>
      <c r="BK1479" s="1" t="s">
        <v>89</v>
      </c>
      <c r="BL1479" t="s">
        <v>91</v>
      </c>
      <c r="BM1479" s="1" t="s">
        <v>91</v>
      </c>
      <c r="BN1479" s="1" t="s">
        <v>91</v>
      </c>
      <c r="BO1479" s="1" t="s">
        <v>91</v>
      </c>
      <c r="BP1479" s="1" t="s">
        <v>91</v>
      </c>
      <c r="BQ1479" t="s">
        <v>91</v>
      </c>
      <c r="BR1479" s="3">
        <v>45118</v>
      </c>
      <c r="BS1479" s="3"/>
      <c r="BT1479" t="s">
        <v>91</v>
      </c>
      <c r="BU1479" t="s">
        <v>91</v>
      </c>
      <c r="BW1479" s="1" t="s">
        <v>735</v>
      </c>
    </row>
    <row r="1480" spans="1:75" hidden="1" x14ac:dyDescent="0.35">
      <c r="A1480">
        <v>139214</v>
      </c>
      <c r="B1480" s="1" t="s">
        <v>75</v>
      </c>
      <c r="C1480">
        <v>80</v>
      </c>
      <c r="D1480">
        <v>11121004</v>
      </c>
      <c r="E1480">
        <v>121004</v>
      </c>
      <c r="F1480" s="1" t="s">
        <v>6867</v>
      </c>
      <c r="G1480" s="1" t="s">
        <v>7995</v>
      </c>
      <c r="H1480">
        <v>0</v>
      </c>
      <c r="I1480" s="1" t="s">
        <v>78</v>
      </c>
      <c r="J1480" s="1" t="s">
        <v>7996</v>
      </c>
      <c r="K1480" s="1" t="s">
        <v>7997</v>
      </c>
      <c r="L1480" t="s">
        <v>91</v>
      </c>
      <c r="M1480" t="s">
        <v>91</v>
      </c>
      <c r="N1480" s="1" t="s">
        <v>7998</v>
      </c>
      <c r="O1480" t="s">
        <v>91</v>
      </c>
      <c r="P1480" s="1" t="s">
        <v>7502</v>
      </c>
      <c r="Q1480" s="1" t="s">
        <v>826</v>
      </c>
      <c r="R1480" s="1" t="s">
        <v>173</v>
      </c>
      <c r="T1480">
        <v>88340233</v>
      </c>
      <c r="U1480" s="1" t="s">
        <v>108</v>
      </c>
      <c r="V1480" s="1" t="s">
        <v>7223</v>
      </c>
      <c r="W1480" s="1" t="s">
        <v>87</v>
      </c>
      <c r="X1480">
        <v>47</v>
      </c>
      <c r="Y1480">
        <v>991066885</v>
      </c>
      <c r="Z1480" t="s">
        <v>91</v>
      </c>
      <c r="AA1480" t="s">
        <v>91</v>
      </c>
      <c r="AB1480" t="s">
        <v>91</v>
      </c>
      <c r="AC1480" t="s">
        <v>91</v>
      </c>
      <c r="AD1480" t="s">
        <v>91</v>
      </c>
      <c r="AE1480" t="s">
        <v>91</v>
      </c>
      <c r="AF1480" t="s">
        <v>91</v>
      </c>
      <c r="AG1480" s="1" t="s">
        <v>146</v>
      </c>
      <c r="AH1480" s="1" t="s">
        <v>91</v>
      </c>
      <c r="AI1480" t="s">
        <v>91</v>
      </c>
      <c r="AM1480" t="s">
        <v>91</v>
      </c>
      <c r="AN1480" t="s">
        <v>91</v>
      </c>
      <c r="AO1480" t="s">
        <v>91</v>
      </c>
      <c r="AP1480" t="s">
        <v>91</v>
      </c>
      <c r="AQ1480" s="1" t="s">
        <v>147</v>
      </c>
      <c r="AR1480" s="1" t="s">
        <v>147</v>
      </c>
      <c r="AS1480" s="1" t="s">
        <v>147</v>
      </c>
      <c r="AT1480" s="1" t="s">
        <v>147</v>
      </c>
      <c r="AU1480" s="1" t="s">
        <v>147</v>
      </c>
      <c r="AV1480" t="s">
        <v>91</v>
      </c>
      <c r="AW1480" t="s">
        <v>91</v>
      </c>
      <c r="AX1480" t="s">
        <v>91</v>
      </c>
      <c r="AY1480" t="s">
        <v>91</v>
      </c>
      <c r="AZ1480" t="s">
        <v>91</v>
      </c>
      <c r="BA1480" t="s">
        <v>91</v>
      </c>
      <c r="BB1480" s="2">
        <v>44410.477199074077</v>
      </c>
      <c r="BC1480" s="2">
        <v>44649.373553240737</v>
      </c>
      <c r="BD1480" t="s">
        <v>91</v>
      </c>
      <c r="BF1480" s="1" t="s">
        <v>75</v>
      </c>
      <c r="BH1480">
        <v>0</v>
      </c>
      <c r="BI1480" s="1" t="s">
        <v>88</v>
      </c>
      <c r="BJ1480">
        <v>1</v>
      </c>
      <c r="BK1480" s="1" t="s">
        <v>89</v>
      </c>
      <c r="BL1480" t="s">
        <v>91</v>
      </c>
      <c r="BM1480" s="1" t="s">
        <v>109</v>
      </c>
      <c r="BN1480" s="1" t="s">
        <v>110</v>
      </c>
      <c r="BO1480" s="1" t="s">
        <v>180</v>
      </c>
      <c r="BP1480" s="1" t="s">
        <v>91</v>
      </c>
      <c r="BQ1480" t="s">
        <v>91</v>
      </c>
      <c r="BR1480" s="3">
        <v>44410</v>
      </c>
      <c r="BS1480" s="3">
        <v>44649</v>
      </c>
      <c r="BT1480" t="s">
        <v>91</v>
      </c>
      <c r="BU1480" t="s">
        <v>91</v>
      </c>
      <c r="BW1480" s="1" t="s">
        <v>419</v>
      </c>
    </row>
    <row r="1481" spans="1:75" hidden="1" x14ac:dyDescent="0.35">
      <c r="A1481">
        <v>157106</v>
      </c>
      <c r="B1481" s="1" t="s">
        <v>75</v>
      </c>
      <c r="C1481">
        <v>80</v>
      </c>
      <c r="D1481">
        <v>11121004</v>
      </c>
      <c r="E1481">
        <v>121004</v>
      </c>
      <c r="F1481" s="1" t="s">
        <v>6867</v>
      </c>
      <c r="G1481" s="1" t="s">
        <v>7999</v>
      </c>
      <c r="H1481">
        <v>0</v>
      </c>
      <c r="I1481" s="1" t="s">
        <v>78</v>
      </c>
      <c r="J1481" s="1" t="s">
        <v>8000</v>
      </c>
      <c r="K1481" s="1" t="s">
        <v>8001</v>
      </c>
      <c r="L1481" t="s">
        <v>91</v>
      </c>
      <c r="M1481" t="s">
        <v>91</v>
      </c>
      <c r="N1481" s="1" t="s">
        <v>8002</v>
      </c>
      <c r="O1481" t="s">
        <v>91</v>
      </c>
      <c r="P1481" s="1" t="s">
        <v>6872</v>
      </c>
      <c r="Q1481" s="1" t="s">
        <v>8003</v>
      </c>
      <c r="R1481" s="1" t="s">
        <v>417</v>
      </c>
      <c r="S1481">
        <v>1261</v>
      </c>
      <c r="T1481">
        <v>88301902</v>
      </c>
      <c r="U1481" s="1" t="s">
        <v>108</v>
      </c>
      <c r="V1481" s="1" t="s">
        <v>6881</v>
      </c>
      <c r="W1481" s="1" t="s">
        <v>87</v>
      </c>
      <c r="X1481">
        <v>47</v>
      </c>
      <c r="Y1481">
        <v>33497663</v>
      </c>
      <c r="Z1481" t="s">
        <v>91</v>
      </c>
      <c r="AA1481" t="s">
        <v>91</v>
      </c>
      <c r="AB1481" t="s">
        <v>91</v>
      </c>
      <c r="AC1481" t="s">
        <v>91</v>
      </c>
      <c r="AD1481" t="s">
        <v>91</v>
      </c>
      <c r="AE1481" t="s">
        <v>91</v>
      </c>
      <c r="AF1481" t="s">
        <v>91</v>
      </c>
      <c r="AG1481" s="1" t="s">
        <v>91</v>
      </c>
      <c r="AH1481" s="1" t="s">
        <v>91</v>
      </c>
      <c r="AI1481" t="s">
        <v>91</v>
      </c>
      <c r="AM1481" t="s">
        <v>91</v>
      </c>
      <c r="AN1481" t="s">
        <v>91</v>
      </c>
      <c r="AO1481" t="s">
        <v>91</v>
      </c>
      <c r="AP1481" t="s">
        <v>91</v>
      </c>
      <c r="AQ1481" s="1" t="s">
        <v>91</v>
      </c>
      <c r="AR1481" s="1" t="s">
        <v>91</v>
      </c>
      <c r="AS1481" s="1" t="s">
        <v>91</v>
      </c>
      <c r="AT1481" s="1" t="s">
        <v>91</v>
      </c>
      <c r="AU1481" s="1" t="s">
        <v>91</v>
      </c>
      <c r="AV1481" t="s">
        <v>91</v>
      </c>
      <c r="AW1481" t="s">
        <v>91</v>
      </c>
      <c r="AX1481" t="s">
        <v>91</v>
      </c>
      <c r="AY1481" t="s">
        <v>91</v>
      </c>
      <c r="AZ1481" t="s">
        <v>91</v>
      </c>
      <c r="BA1481" t="s">
        <v>91</v>
      </c>
      <c r="BB1481" s="2">
        <v>45113.505416666667</v>
      </c>
      <c r="BC1481" s="2"/>
      <c r="BD1481" t="s">
        <v>91</v>
      </c>
      <c r="BF1481" s="1" t="s">
        <v>75</v>
      </c>
      <c r="BI1481" s="1" t="s">
        <v>88</v>
      </c>
      <c r="BJ1481">
        <v>1</v>
      </c>
      <c r="BK1481" s="1" t="s">
        <v>89</v>
      </c>
      <c r="BL1481" t="s">
        <v>91</v>
      </c>
      <c r="BM1481" s="1" t="s">
        <v>91</v>
      </c>
      <c r="BN1481" s="1" t="s">
        <v>91</v>
      </c>
      <c r="BO1481" s="1" t="s">
        <v>91</v>
      </c>
      <c r="BP1481" s="1" t="s">
        <v>91</v>
      </c>
      <c r="BQ1481" t="s">
        <v>91</v>
      </c>
      <c r="BR1481" s="3">
        <v>45113</v>
      </c>
      <c r="BS1481" s="3"/>
      <c r="BT1481" t="s">
        <v>91</v>
      </c>
      <c r="BU1481" t="s">
        <v>91</v>
      </c>
      <c r="BW1481" s="1" t="s">
        <v>3000</v>
      </c>
    </row>
    <row r="1482" spans="1:75" hidden="1" x14ac:dyDescent="0.35">
      <c r="A1482">
        <v>137712</v>
      </c>
      <c r="B1482" s="1" t="s">
        <v>75</v>
      </c>
      <c r="C1482">
        <v>80</v>
      </c>
      <c r="D1482">
        <v>11121004</v>
      </c>
      <c r="E1482">
        <v>121004</v>
      </c>
      <c r="F1482" s="1" t="s">
        <v>6867</v>
      </c>
      <c r="G1482" s="1" t="s">
        <v>8004</v>
      </c>
      <c r="H1482">
        <v>0</v>
      </c>
      <c r="I1482" s="1" t="s">
        <v>78</v>
      </c>
      <c r="J1482" s="1" t="s">
        <v>8005</v>
      </c>
      <c r="K1482" s="1" t="s">
        <v>8006</v>
      </c>
      <c r="L1482" t="s">
        <v>91</v>
      </c>
      <c r="M1482" t="s">
        <v>91</v>
      </c>
      <c r="N1482" s="1" t="s">
        <v>8007</v>
      </c>
      <c r="O1482" t="s">
        <v>91</v>
      </c>
      <c r="P1482" s="1" t="s">
        <v>7007</v>
      </c>
      <c r="Q1482" s="1" t="s">
        <v>974</v>
      </c>
      <c r="R1482" s="1" t="s">
        <v>173</v>
      </c>
      <c r="T1482">
        <v>89110010</v>
      </c>
      <c r="U1482" s="1" t="s">
        <v>108</v>
      </c>
      <c r="V1482" s="1" t="s">
        <v>7008</v>
      </c>
      <c r="W1482" s="1" t="s">
        <v>87</v>
      </c>
      <c r="X1482">
        <v>47</v>
      </c>
      <c r="Y1482">
        <v>33809484</v>
      </c>
      <c r="Z1482" t="s">
        <v>91</v>
      </c>
      <c r="AA1482" t="s">
        <v>91</v>
      </c>
      <c r="AB1482" t="s">
        <v>91</v>
      </c>
      <c r="AC1482" t="s">
        <v>91</v>
      </c>
      <c r="AD1482" t="s">
        <v>91</v>
      </c>
      <c r="AE1482" t="s">
        <v>91</v>
      </c>
      <c r="AF1482" t="s">
        <v>91</v>
      </c>
      <c r="AG1482" s="1" t="s">
        <v>146</v>
      </c>
      <c r="AH1482" s="1" t="s">
        <v>91</v>
      </c>
      <c r="AI1482" t="s">
        <v>91</v>
      </c>
      <c r="AM1482" t="s">
        <v>91</v>
      </c>
      <c r="AN1482" t="s">
        <v>91</v>
      </c>
      <c r="AO1482" t="s">
        <v>91</v>
      </c>
      <c r="AP1482" t="s">
        <v>91</v>
      </c>
      <c r="AQ1482" s="1" t="s">
        <v>147</v>
      </c>
      <c r="AR1482" s="1" t="s">
        <v>147</v>
      </c>
      <c r="AS1482" s="1" t="s">
        <v>147</v>
      </c>
      <c r="AT1482" s="1" t="s">
        <v>147</v>
      </c>
      <c r="AU1482" s="1" t="s">
        <v>147</v>
      </c>
      <c r="AV1482" t="s">
        <v>91</v>
      </c>
      <c r="AW1482" t="s">
        <v>91</v>
      </c>
      <c r="AX1482" t="s">
        <v>91</v>
      </c>
      <c r="AY1482" t="s">
        <v>91</v>
      </c>
      <c r="AZ1482" t="s">
        <v>91</v>
      </c>
      <c r="BA1482" t="s">
        <v>91</v>
      </c>
      <c r="BB1482" s="2">
        <v>44378.578518518516</v>
      </c>
      <c r="BC1482" s="2">
        <v>44664.683553240742</v>
      </c>
      <c r="BD1482" t="s">
        <v>91</v>
      </c>
      <c r="BF1482" s="1" t="s">
        <v>75</v>
      </c>
      <c r="BH1482">
        <v>0</v>
      </c>
      <c r="BI1482" s="1" t="s">
        <v>88</v>
      </c>
      <c r="BJ1482">
        <v>1</v>
      </c>
      <c r="BK1482" s="1" t="s">
        <v>89</v>
      </c>
      <c r="BL1482" t="s">
        <v>91</v>
      </c>
      <c r="BM1482" s="1" t="s">
        <v>109</v>
      </c>
      <c r="BN1482" s="1" t="s">
        <v>148</v>
      </c>
      <c r="BO1482" s="1" t="s">
        <v>91</v>
      </c>
      <c r="BP1482" s="1" t="s">
        <v>91</v>
      </c>
      <c r="BQ1482" t="s">
        <v>91</v>
      </c>
      <c r="BR1482" s="3">
        <v>44378</v>
      </c>
      <c r="BS1482" s="3">
        <v>44664</v>
      </c>
      <c r="BT1482" t="s">
        <v>91</v>
      </c>
      <c r="BU1482" t="s">
        <v>91</v>
      </c>
      <c r="BW1482" s="1" t="s">
        <v>512</v>
      </c>
    </row>
    <row r="1483" spans="1:75" hidden="1" x14ac:dyDescent="0.35">
      <c r="A1483">
        <v>127564</v>
      </c>
      <c r="B1483" s="1" t="s">
        <v>75</v>
      </c>
      <c r="C1483">
        <v>80</v>
      </c>
      <c r="D1483">
        <v>11121004</v>
      </c>
      <c r="E1483">
        <v>121004</v>
      </c>
      <c r="F1483" s="1" t="s">
        <v>6867</v>
      </c>
      <c r="G1483" s="1" t="s">
        <v>8008</v>
      </c>
      <c r="H1483">
        <v>0</v>
      </c>
      <c r="I1483" s="1" t="s">
        <v>78</v>
      </c>
      <c r="J1483" s="1" t="s">
        <v>8009</v>
      </c>
      <c r="K1483" s="1" t="s">
        <v>8010</v>
      </c>
      <c r="L1483" t="s">
        <v>91</v>
      </c>
      <c r="M1483" t="s">
        <v>91</v>
      </c>
      <c r="N1483" s="1" t="s">
        <v>8011</v>
      </c>
      <c r="O1483" t="s">
        <v>91</v>
      </c>
      <c r="P1483" s="1" t="s">
        <v>8012</v>
      </c>
      <c r="Q1483" s="1" t="s">
        <v>8013</v>
      </c>
      <c r="R1483" s="1" t="s">
        <v>173</v>
      </c>
      <c r="S1483">
        <v>1262</v>
      </c>
      <c r="T1483">
        <v>88330670</v>
      </c>
      <c r="U1483" s="1" t="s">
        <v>108</v>
      </c>
      <c r="V1483" s="1" t="s">
        <v>6898</v>
      </c>
      <c r="W1483" s="1" t="s">
        <v>87</v>
      </c>
      <c r="X1483">
        <v>47</v>
      </c>
      <c r="Y1483">
        <v>33661431</v>
      </c>
      <c r="Z1483" t="s">
        <v>91</v>
      </c>
      <c r="AA1483" t="s">
        <v>91</v>
      </c>
      <c r="AB1483" t="s">
        <v>91</v>
      </c>
      <c r="AC1483" t="s">
        <v>91</v>
      </c>
      <c r="AD1483" t="s">
        <v>91</v>
      </c>
      <c r="AE1483" t="s">
        <v>91</v>
      </c>
      <c r="AF1483" t="s">
        <v>91</v>
      </c>
      <c r="AG1483" s="1" t="s">
        <v>91</v>
      </c>
      <c r="AH1483" s="1" t="s">
        <v>91</v>
      </c>
      <c r="AI1483" t="s">
        <v>91</v>
      </c>
      <c r="AJ1483">
        <v>0</v>
      </c>
      <c r="AK1483">
        <v>0</v>
      </c>
      <c r="AL1483">
        <v>0</v>
      </c>
      <c r="AM1483" t="s">
        <v>91</v>
      </c>
      <c r="AN1483" t="s">
        <v>91</v>
      </c>
      <c r="AO1483" t="s">
        <v>91</v>
      </c>
      <c r="AP1483" t="s">
        <v>91</v>
      </c>
      <c r="AQ1483" s="1" t="s">
        <v>91</v>
      </c>
      <c r="AR1483" s="1" t="s">
        <v>91</v>
      </c>
      <c r="AS1483" s="1" t="s">
        <v>91</v>
      </c>
      <c r="AT1483" s="1" t="s">
        <v>91</v>
      </c>
      <c r="AU1483" s="1" t="s">
        <v>91</v>
      </c>
      <c r="AV1483" t="s">
        <v>91</v>
      </c>
      <c r="AW1483" t="s">
        <v>91</v>
      </c>
      <c r="AX1483" t="s">
        <v>91</v>
      </c>
      <c r="AY1483" t="s">
        <v>91</v>
      </c>
      <c r="AZ1483" t="s">
        <v>91</v>
      </c>
      <c r="BA1483" t="s">
        <v>91</v>
      </c>
      <c r="BB1483" s="2">
        <v>44111.380995370368</v>
      </c>
      <c r="BC1483" s="2"/>
      <c r="BD1483" t="s">
        <v>91</v>
      </c>
      <c r="BF1483" s="1" t="s">
        <v>75</v>
      </c>
      <c r="BG1483">
        <v>0</v>
      </c>
      <c r="BH1483">
        <v>0</v>
      </c>
      <c r="BI1483" s="1" t="s">
        <v>88</v>
      </c>
      <c r="BJ1483">
        <v>1</v>
      </c>
      <c r="BK1483" s="1" t="s">
        <v>89</v>
      </c>
      <c r="BL1483" t="s">
        <v>91</v>
      </c>
      <c r="BM1483" s="1" t="s">
        <v>109</v>
      </c>
      <c r="BN1483" s="1" t="s">
        <v>110</v>
      </c>
      <c r="BO1483" s="1" t="s">
        <v>180</v>
      </c>
      <c r="BP1483" s="1" t="s">
        <v>91</v>
      </c>
      <c r="BQ1483" t="s">
        <v>91</v>
      </c>
      <c r="BR1483" s="3">
        <v>44111</v>
      </c>
      <c r="BS1483" s="3"/>
      <c r="BT1483" t="s">
        <v>91</v>
      </c>
      <c r="BU1483" t="s">
        <v>91</v>
      </c>
      <c r="BV1483">
        <v>9</v>
      </c>
      <c r="BW1483" s="1" t="s">
        <v>90</v>
      </c>
    </row>
    <row r="1484" spans="1:75" hidden="1" x14ac:dyDescent="0.35">
      <c r="A1484">
        <v>157778</v>
      </c>
      <c r="B1484" s="1" t="s">
        <v>75</v>
      </c>
      <c r="C1484">
        <v>80</v>
      </c>
      <c r="D1484">
        <v>11121004</v>
      </c>
      <c r="E1484">
        <v>121004</v>
      </c>
      <c r="F1484" s="1" t="s">
        <v>6867</v>
      </c>
      <c r="G1484" s="1" t="s">
        <v>8014</v>
      </c>
      <c r="H1484">
        <v>0</v>
      </c>
      <c r="I1484" s="1" t="s">
        <v>78</v>
      </c>
      <c r="J1484" s="1" t="s">
        <v>8015</v>
      </c>
      <c r="K1484" s="1" t="s">
        <v>8016</v>
      </c>
      <c r="L1484" t="s">
        <v>91</v>
      </c>
      <c r="M1484" t="s">
        <v>91</v>
      </c>
      <c r="N1484" s="1" t="s">
        <v>8017</v>
      </c>
      <c r="O1484" t="s">
        <v>91</v>
      </c>
      <c r="P1484" s="1" t="s">
        <v>8018</v>
      </c>
      <c r="Q1484" s="1" t="s">
        <v>8019</v>
      </c>
      <c r="R1484" s="1" t="s">
        <v>8020</v>
      </c>
      <c r="T1484">
        <v>88304101</v>
      </c>
      <c r="U1484" s="1" t="s">
        <v>8021</v>
      </c>
      <c r="V1484" s="1" t="s">
        <v>6881</v>
      </c>
      <c r="W1484" s="1" t="s">
        <v>87</v>
      </c>
      <c r="X1484">
        <v>47</v>
      </c>
      <c r="Y1484">
        <v>21254762</v>
      </c>
      <c r="Z1484" t="s">
        <v>91</v>
      </c>
      <c r="AA1484" t="s">
        <v>91</v>
      </c>
      <c r="AB1484" t="s">
        <v>91</v>
      </c>
      <c r="AC1484" t="s">
        <v>91</v>
      </c>
      <c r="AD1484" t="s">
        <v>91</v>
      </c>
      <c r="AE1484" t="s">
        <v>91</v>
      </c>
      <c r="AF1484" t="s">
        <v>91</v>
      </c>
      <c r="AG1484" s="1" t="s">
        <v>91</v>
      </c>
      <c r="AH1484" s="1" t="s">
        <v>91</v>
      </c>
      <c r="AI1484" t="s">
        <v>91</v>
      </c>
      <c r="AM1484" t="s">
        <v>91</v>
      </c>
      <c r="AN1484" t="s">
        <v>91</v>
      </c>
      <c r="AO1484" t="s">
        <v>91</v>
      </c>
      <c r="AP1484" t="s">
        <v>91</v>
      </c>
      <c r="AQ1484" s="1" t="s">
        <v>91</v>
      </c>
      <c r="AR1484" s="1" t="s">
        <v>91</v>
      </c>
      <c r="AS1484" s="1" t="s">
        <v>91</v>
      </c>
      <c r="AT1484" s="1" t="s">
        <v>91</v>
      </c>
      <c r="AU1484" s="1" t="s">
        <v>91</v>
      </c>
      <c r="AV1484" t="s">
        <v>91</v>
      </c>
      <c r="AW1484" t="s">
        <v>91</v>
      </c>
      <c r="AX1484" t="s">
        <v>91</v>
      </c>
      <c r="AY1484" t="s">
        <v>91</v>
      </c>
      <c r="AZ1484" t="s">
        <v>91</v>
      </c>
      <c r="BA1484" t="s">
        <v>91</v>
      </c>
      <c r="BB1484" s="2">
        <v>45118.101759259262</v>
      </c>
      <c r="BC1484" s="2"/>
      <c r="BD1484" t="s">
        <v>91</v>
      </c>
      <c r="BF1484" s="1" t="s">
        <v>75</v>
      </c>
      <c r="BI1484" s="1" t="s">
        <v>88</v>
      </c>
      <c r="BJ1484">
        <v>1</v>
      </c>
      <c r="BK1484" s="1" t="s">
        <v>89</v>
      </c>
      <c r="BL1484" t="s">
        <v>91</v>
      </c>
      <c r="BM1484" s="1" t="s">
        <v>91</v>
      </c>
      <c r="BN1484" s="1" t="s">
        <v>91</v>
      </c>
      <c r="BO1484" s="1" t="s">
        <v>91</v>
      </c>
      <c r="BP1484" s="1" t="s">
        <v>91</v>
      </c>
      <c r="BQ1484" t="s">
        <v>91</v>
      </c>
      <c r="BR1484" s="3">
        <v>45118</v>
      </c>
      <c r="BS1484" s="3"/>
      <c r="BT1484" t="s">
        <v>91</v>
      </c>
      <c r="BU1484" t="s">
        <v>91</v>
      </c>
      <c r="BW1484" s="1" t="s">
        <v>90</v>
      </c>
    </row>
    <row r="1485" spans="1:75" hidden="1" x14ac:dyDescent="0.35">
      <c r="A1485">
        <v>137715</v>
      </c>
      <c r="B1485" s="1" t="s">
        <v>75</v>
      </c>
      <c r="C1485">
        <v>80</v>
      </c>
      <c r="D1485">
        <v>11121004</v>
      </c>
      <c r="E1485">
        <v>121004</v>
      </c>
      <c r="F1485" s="1" t="s">
        <v>6867</v>
      </c>
      <c r="G1485" s="1" t="s">
        <v>8022</v>
      </c>
      <c r="H1485">
        <v>0</v>
      </c>
      <c r="I1485" s="1" t="s">
        <v>78</v>
      </c>
      <c r="J1485" s="1" t="s">
        <v>8023</v>
      </c>
      <c r="K1485" s="1" t="s">
        <v>8024</v>
      </c>
      <c r="L1485" t="s">
        <v>91</v>
      </c>
      <c r="M1485" t="s">
        <v>91</v>
      </c>
      <c r="N1485" s="1" t="s">
        <v>8025</v>
      </c>
      <c r="O1485" t="s">
        <v>91</v>
      </c>
      <c r="P1485" s="1" t="s">
        <v>8026</v>
      </c>
      <c r="Q1485" s="1" t="s">
        <v>4466</v>
      </c>
      <c r="R1485" s="1" t="s">
        <v>135</v>
      </c>
      <c r="S1485">
        <v>1261</v>
      </c>
      <c r="T1485">
        <v>88320000</v>
      </c>
      <c r="U1485" s="1" t="s">
        <v>108</v>
      </c>
      <c r="V1485" s="1" t="s">
        <v>7915</v>
      </c>
      <c r="W1485" s="1" t="s">
        <v>87</v>
      </c>
      <c r="X1485">
        <v>47</v>
      </c>
      <c r="Y1485">
        <v>33437693</v>
      </c>
      <c r="Z1485" t="s">
        <v>91</v>
      </c>
      <c r="AA1485" t="s">
        <v>91</v>
      </c>
      <c r="AB1485" t="s">
        <v>91</v>
      </c>
      <c r="AC1485" t="s">
        <v>91</v>
      </c>
      <c r="AD1485" t="s">
        <v>91</v>
      </c>
      <c r="AE1485" t="s">
        <v>91</v>
      </c>
      <c r="AF1485" t="s">
        <v>91</v>
      </c>
      <c r="AG1485" s="1" t="s">
        <v>146</v>
      </c>
      <c r="AH1485" s="1" t="s">
        <v>91</v>
      </c>
      <c r="AI1485" t="s">
        <v>91</v>
      </c>
      <c r="AM1485" t="s">
        <v>91</v>
      </c>
      <c r="AN1485" t="s">
        <v>91</v>
      </c>
      <c r="AO1485" t="s">
        <v>91</v>
      </c>
      <c r="AP1485" t="s">
        <v>91</v>
      </c>
      <c r="AQ1485" s="1" t="s">
        <v>147</v>
      </c>
      <c r="AR1485" s="1" t="s">
        <v>147</v>
      </c>
      <c r="AS1485" s="1" t="s">
        <v>147</v>
      </c>
      <c r="AT1485" s="1" t="s">
        <v>147</v>
      </c>
      <c r="AU1485" s="1" t="s">
        <v>147</v>
      </c>
      <c r="AV1485" t="s">
        <v>91</v>
      </c>
      <c r="AW1485" t="s">
        <v>91</v>
      </c>
      <c r="AX1485" t="s">
        <v>91</v>
      </c>
      <c r="AY1485" t="s">
        <v>91</v>
      </c>
      <c r="AZ1485" t="s">
        <v>91</v>
      </c>
      <c r="BA1485" t="s">
        <v>91</v>
      </c>
      <c r="BB1485" s="2">
        <v>44378.578518518516</v>
      </c>
      <c r="BC1485" s="2">
        <v>44680.494884259257</v>
      </c>
      <c r="BD1485" t="s">
        <v>91</v>
      </c>
      <c r="BF1485" s="1" t="s">
        <v>75</v>
      </c>
      <c r="BH1485">
        <v>0</v>
      </c>
      <c r="BI1485" s="1" t="s">
        <v>88</v>
      </c>
      <c r="BJ1485">
        <v>1</v>
      </c>
      <c r="BK1485" s="1" t="s">
        <v>89</v>
      </c>
      <c r="BL1485" t="s">
        <v>91</v>
      </c>
      <c r="BM1485" s="1" t="s">
        <v>109</v>
      </c>
      <c r="BN1485" s="1" t="s">
        <v>110</v>
      </c>
      <c r="BO1485" s="1" t="s">
        <v>180</v>
      </c>
      <c r="BP1485" s="1" t="s">
        <v>91</v>
      </c>
      <c r="BQ1485" t="s">
        <v>91</v>
      </c>
      <c r="BR1485" s="3">
        <v>44378</v>
      </c>
      <c r="BS1485" s="3">
        <v>44680</v>
      </c>
      <c r="BT1485" t="s">
        <v>91</v>
      </c>
      <c r="BU1485" t="s">
        <v>91</v>
      </c>
      <c r="BW1485" s="1" t="s">
        <v>7809</v>
      </c>
    </row>
    <row r="1486" spans="1:75" hidden="1" x14ac:dyDescent="0.35">
      <c r="A1486">
        <v>159590</v>
      </c>
      <c r="B1486" s="1" t="s">
        <v>75</v>
      </c>
      <c r="C1486">
        <v>80</v>
      </c>
      <c r="D1486">
        <v>11121004</v>
      </c>
      <c r="E1486">
        <v>121004</v>
      </c>
      <c r="F1486" s="1" t="s">
        <v>6867</v>
      </c>
      <c r="G1486" s="1" t="s">
        <v>8027</v>
      </c>
      <c r="I1486" s="1" t="s">
        <v>78</v>
      </c>
      <c r="J1486" s="1" t="s">
        <v>8028</v>
      </c>
      <c r="K1486" s="1" t="s">
        <v>8029</v>
      </c>
      <c r="L1486" t="s">
        <v>91</v>
      </c>
      <c r="M1486" t="s">
        <v>91</v>
      </c>
      <c r="N1486" s="1" t="s">
        <v>8030</v>
      </c>
      <c r="O1486" t="s">
        <v>91</v>
      </c>
      <c r="P1486" s="1" t="s">
        <v>8031</v>
      </c>
      <c r="Q1486" s="1" t="s">
        <v>1254</v>
      </c>
      <c r="R1486" s="1" t="s">
        <v>370</v>
      </c>
      <c r="S1486">
        <v>1261</v>
      </c>
      <c r="T1486">
        <v>88301360</v>
      </c>
      <c r="U1486" s="1" t="s">
        <v>108</v>
      </c>
      <c r="V1486" s="1" t="s">
        <v>6881</v>
      </c>
      <c r="W1486" s="1" t="s">
        <v>87</v>
      </c>
      <c r="X1486">
        <v>48</v>
      </c>
      <c r="Y1486">
        <v>996166047</v>
      </c>
      <c r="Z1486" t="s">
        <v>91</v>
      </c>
      <c r="AA1486" t="s">
        <v>91</v>
      </c>
      <c r="AB1486" t="s">
        <v>91</v>
      </c>
      <c r="AC1486" t="s">
        <v>91</v>
      </c>
      <c r="AD1486" t="s">
        <v>91</v>
      </c>
      <c r="AE1486" t="s">
        <v>91</v>
      </c>
      <c r="AF1486" t="s">
        <v>91</v>
      </c>
      <c r="AG1486" s="1" t="s">
        <v>91</v>
      </c>
      <c r="AH1486" s="1" t="s">
        <v>91</v>
      </c>
      <c r="AI1486" t="s">
        <v>91</v>
      </c>
      <c r="AM1486" t="s">
        <v>91</v>
      </c>
      <c r="AN1486" t="s">
        <v>91</v>
      </c>
      <c r="AO1486" t="s">
        <v>91</v>
      </c>
      <c r="AP1486" t="s">
        <v>91</v>
      </c>
      <c r="AQ1486" s="1" t="s">
        <v>91</v>
      </c>
      <c r="AR1486" s="1" t="s">
        <v>91</v>
      </c>
      <c r="AS1486" s="1" t="s">
        <v>91</v>
      </c>
      <c r="AT1486" s="1" t="s">
        <v>91</v>
      </c>
      <c r="AU1486" s="1" t="s">
        <v>91</v>
      </c>
      <c r="AV1486" t="s">
        <v>91</v>
      </c>
      <c r="AW1486" t="s">
        <v>91</v>
      </c>
      <c r="AX1486" t="s">
        <v>91</v>
      </c>
      <c r="AY1486" t="s">
        <v>91</v>
      </c>
      <c r="AZ1486" t="s">
        <v>91</v>
      </c>
      <c r="BA1486" t="s">
        <v>91</v>
      </c>
      <c r="BB1486" s="2">
        <v>45194.491122685184</v>
      </c>
      <c r="BC1486" s="2"/>
      <c r="BD1486" t="s">
        <v>91</v>
      </c>
      <c r="BF1486" s="1" t="s">
        <v>75</v>
      </c>
      <c r="BI1486" s="1" t="s">
        <v>88</v>
      </c>
      <c r="BJ1486">
        <v>1</v>
      </c>
      <c r="BK1486" s="1" t="s">
        <v>89</v>
      </c>
      <c r="BL1486" t="s">
        <v>91</v>
      </c>
      <c r="BM1486" s="1" t="s">
        <v>91</v>
      </c>
      <c r="BN1486" s="1" t="s">
        <v>91</v>
      </c>
      <c r="BO1486" s="1" t="s">
        <v>91</v>
      </c>
      <c r="BP1486" s="1" t="s">
        <v>91</v>
      </c>
      <c r="BQ1486" t="s">
        <v>91</v>
      </c>
      <c r="BR1486" s="3">
        <v>45194</v>
      </c>
      <c r="BS1486" s="3"/>
      <c r="BT1486" t="s">
        <v>91</v>
      </c>
      <c r="BU1486" t="s">
        <v>91</v>
      </c>
      <c r="BW1486" s="1" t="s">
        <v>882</v>
      </c>
    </row>
    <row r="1487" spans="1:75" hidden="1" x14ac:dyDescent="0.35">
      <c r="A1487">
        <v>144881</v>
      </c>
      <c r="B1487" s="1" t="s">
        <v>75</v>
      </c>
      <c r="C1487">
        <v>80</v>
      </c>
      <c r="D1487">
        <v>11121004</v>
      </c>
      <c r="E1487">
        <v>121004</v>
      </c>
      <c r="F1487" s="1" t="s">
        <v>6867</v>
      </c>
      <c r="G1487" s="1" t="s">
        <v>8032</v>
      </c>
      <c r="H1487">
        <v>0</v>
      </c>
      <c r="I1487" s="1" t="s">
        <v>78</v>
      </c>
      <c r="J1487" s="1" t="s">
        <v>8033</v>
      </c>
      <c r="K1487" s="1" t="s">
        <v>8034</v>
      </c>
      <c r="L1487" t="s">
        <v>91</v>
      </c>
      <c r="M1487" t="s">
        <v>91</v>
      </c>
      <c r="N1487" s="1" t="s">
        <v>8035</v>
      </c>
      <c r="O1487" t="s">
        <v>91</v>
      </c>
      <c r="P1487" s="1" t="s">
        <v>525</v>
      </c>
      <c r="Q1487" s="1" t="s">
        <v>1627</v>
      </c>
      <c r="R1487" s="1" t="s">
        <v>370</v>
      </c>
      <c r="S1487">
        <v>1263</v>
      </c>
      <c r="T1487">
        <v>88390000</v>
      </c>
      <c r="U1487" s="1" t="s">
        <v>108</v>
      </c>
      <c r="V1487" s="1" t="s">
        <v>6913</v>
      </c>
      <c r="W1487" s="1" t="s">
        <v>87</v>
      </c>
      <c r="X1487">
        <v>47</v>
      </c>
      <c r="Y1487">
        <v>33050667</v>
      </c>
      <c r="Z1487" t="s">
        <v>91</v>
      </c>
      <c r="AA1487" t="s">
        <v>91</v>
      </c>
      <c r="AB1487" t="s">
        <v>91</v>
      </c>
      <c r="AC1487" t="s">
        <v>91</v>
      </c>
      <c r="AD1487" t="s">
        <v>91</v>
      </c>
      <c r="AE1487" t="s">
        <v>91</v>
      </c>
      <c r="AF1487" t="s">
        <v>91</v>
      </c>
      <c r="AG1487" s="1" t="s">
        <v>91</v>
      </c>
      <c r="AH1487" s="1" t="s">
        <v>91</v>
      </c>
      <c r="AI1487" t="s">
        <v>91</v>
      </c>
      <c r="AM1487" t="s">
        <v>91</v>
      </c>
      <c r="AN1487" t="s">
        <v>91</v>
      </c>
      <c r="AO1487" t="s">
        <v>91</v>
      </c>
      <c r="AP1487" t="s">
        <v>91</v>
      </c>
      <c r="AQ1487" s="1" t="s">
        <v>91</v>
      </c>
      <c r="AR1487" s="1" t="s">
        <v>91</v>
      </c>
      <c r="AS1487" s="1" t="s">
        <v>91</v>
      </c>
      <c r="AT1487" s="1" t="s">
        <v>91</v>
      </c>
      <c r="AU1487" s="1" t="s">
        <v>91</v>
      </c>
      <c r="AV1487" t="s">
        <v>91</v>
      </c>
      <c r="AW1487" t="s">
        <v>91</v>
      </c>
      <c r="AX1487" t="s">
        <v>91</v>
      </c>
      <c r="AY1487" t="s">
        <v>91</v>
      </c>
      <c r="AZ1487" t="s">
        <v>91</v>
      </c>
      <c r="BA1487" t="s">
        <v>91</v>
      </c>
      <c r="BB1487" s="2">
        <v>44558.718495370369</v>
      </c>
      <c r="BC1487" s="2"/>
      <c r="BD1487" t="s">
        <v>91</v>
      </c>
      <c r="BF1487" s="1" t="s">
        <v>75</v>
      </c>
      <c r="BI1487" s="1" t="s">
        <v>88</v>
      </c>
      <c r="BJ1487">
        <v>1</v>
      </c>
      <c r="BK1487" s="1" t="s">
        <v>89</v>
      </c>
      <c r="BL1487" t="s">
        <v>91</v>
      </c>
      <c r="BM1487" s="1" t="s">
        <v>91</v>
      </c>
      <c r="BN1487" s="1" t="s">
        <v>91</v>
      </c>
      <c r="BO1487" s="1" t="s">
        <v>91</v>
      </c>
      <c r="BP1487" s="1" t="s">
        <v>91</v>
      </c>
      <c r="BQ1487" t="s">
        <v>91</v>
      </c>
      <c r="BR1487" s="3">
        <v>44558</v>
      </c>
      <c r="BS1487" s="3"/>
      <c r="BT1487" t="s">
        <v>91</v>
      </c>
      <c r="BU1487" t="s">
        <v>91</v>
      </c>
      <c r="BW1487" s="1" t="s">
        <v>484</v>
      </c>
    </row>
    <row r="1488" spans="1:75" hidden="1" x14ac:dyDescent="0.35">
      <c r="A1488">
        <v>1267</v>
      </c>
      <c r="B1488" s="1" t="s">
        <v>75</v>
      </c>
      <c r="C1488">
        <v>80</v>
      </c>
      <c r="D1488">
        <v>11121004</v>
      </c>
      <c r="E1488">
        <v>121004</v>
      </c>
      <c r="F1488" s="1" t="s">
        <v>6867</v>
      </c>
      <c r="G1488" s="1" t="s">
        <v>8036</v>
      </c>
      <c r="I1488" s="1" t="s">
        <v>78</v>
      </c>
      <c r="J1488" s="1" t="s">
        <v>8037</v>
      </c>
      <c r="K1488" s="1" t="s">
        <v>8038</v>
      </c>
      <c r="L1488" t="s">
        <v>91</v>
      </c>
      <c r="M1488" t="s">
        <v>91</v>
      </c>
      <c r="N1488" s="1" t="s">
        <v>8039</v>
      </c>
      <c r="O1488" t="s">
        <v>91</v>
      </c>
      <c r="P1488" s="1" t="s">
        <v>1856</v>
      </c>
      <c r="Q1488" s="1" t="s">
        <v>8040</v>
      </c>
      <c r="R1488" s="1" t="s">
        <v>91</v>
      </c>
      <c r="S1488">
        <v>1271</v>
      </c>
      <c r="T1488">
        <v>89010003</v>
      </c>
      <c r="U1488" s="1" t="s">
        <v>108</v>
      </c>
      <c r="V1488" s="1" t="s">
        <v>3571</v>
      </c>
      <c r="W1488" s="1" t="s">
        <v>87</v>
      </c>
      <c r="X1488">
        <v>47</v>
      </c>
      <c r="Y1488">
        <v>33408448</v>
      </c>
      <c r="Z1488" t="s">
        <v>91</v>
      </c>
      <c r="AA1488" t="s">
        <v>91</v>
      </c>
      <c r="AB1488" t="s">
        <v>91</v>
      </c>
      <c r="AC1488" t="s">
        <v>91</v>
      </c>
      <c r="AD1488" t="s">
        <v>91</v>
      </c>
      <c r="AE1488" t="s">
        <v>91</v>
      </c>
      <c r="AF1488" t="s">
        <v>91</v>
      </c>
      <c r="AG1488" s="1" t="s">
        <v>91</v>
      </c>
      <c r="AH1488" s="1" t="s">
        <v>91</v>
      </c>
      <c r="AI1488" t="s">
        <v>91</v>
      </c>
      <c r="AJ1488">
        <v>0</v>
      </c>
      <c r="AK1488">
        <v>0</v>
      </c>
      <c r="AL1488">
        <v>0</v>
      </c>
      <c r="AM1488" t="s">
        <v>91</v>
      </c>
      <c r="AN1488" t="s">
        <v>91</v>
      </c>
      <c r="AO1488" t="s">
        <v>91</v>
      </c>
      <c r="AP1488" t="s">
        <v>91</v>
      </c>
      <c r="AQ1488" s="1" t="s">
        <v>91</v>
      </c>
      <c r="AR1488" s="1" t="s">
        <v>91</v>
      </c>
      <c r="AS1488" s="1" t="s">
        <v>91</v>
      </c>
      <c r="AT1488" s="1" t="s">
        <v>91</v>
      </c>
      <c r="AU1488" s="1" t="s">
        <v>91</v>
      </c>
      <c r="AV1488" t="s">
        <v>91</v>
      </c>
      <c r="AW1488" t="s">
        <v>91</v>
      </c>
      <c r="AX1488" t="s">
        <v>91</v>
      </c>
      <c r="AY1488" t="s">
        <v>91</v>
      </c>
      <c r="AZ1488" t="s">
        <v>91</v>
      </c>
      <c r="BA1488" t="s">
        <v>91</v>
      </c>
      <c r="BB1488" s="2">
        <v>43308.393194444441</v>
      </c>
      <c r="BC1488" s="2"/>
      <c r="BD1488" t="s">
        <v>91</v>
      </c>
      <c r="BE1488">
        <v>1267</v>
      </c>
      <c r="BF1488" s="1" t="s">
        <v>75</v>
      </c>
      <c r="BG1488">
        <v>0</v>
      </c>
      <c r="BH1488">
        <v>0</v>
      </c>
      <c r="BI1488" s="1" t="s">
        <v>88</v>
      </c>
      <c r="BJ1488">
        <v>1</v>
      </c>
      <c r="BK1488" s="1" t="s">
        <v>89</v>
      </c>
      <c r="BL1488" t="s">
        <v>91</v>
      </c>
      <c r="BM1488" s="1" t="s">
        <v>109</v>
      </c>
      <c r="BN1488" s="1" t="s">
        <v>110</v>
      </c>
      <c r="BO1488" s="1" t="s">
        <v>111</v>
      </c>
      <c r="BP1488" s="1" t="s">
        <v>91</v>
      </c>
      <c r="BQ1488" t="s">
        <v>91</v>
      </c>
      <c r="BR1488" s="3">
        <v>43308</v>
      </c>
      <c r="BS1488" s="3"/>
      <c r="BT1488" t="s">
        <v>91</v>
      </c>
      <c r="BU1488" t="s">
        <v>91</v>
      </c>
      <c r="BV1488">
        <v>6</v>
      </c>
      <c r="BW1488" s="1" t="s">
        <v>295</v>
      </c>
    </row>
    <row r="1489" spans="1:75" hidden="1" x14ac:dyDescent="0.35">
      <c r="A1489">
        <v>137717</v>
      </c>
      <c r="B1489" s="1" t="s">
        <v>75</v>
      </c>
      <c r="C1489">
        <v>80</v>
      </c>
      <c r="D1489">
        <v>11121004</v>
      </c>
      <c r="E1489">
        <v>121004</v>
      </c>
      <c r="F1489" s="1" t="s">
        <v>6867</v>
      </c>
      <c r="G1489" s="1" t="s">
        <v>8041</v>
      </c>
      <c r="H1489">
        <v>0</v>
      </c>
      <c r="I1489" s="1" t="s">
        <v>78</v>
      </c>
      <c r="J1489" s="1" t="s">
        <v>8042</v>
      </c>
      <c r="K1489" s="1" t="s">
        <v>8043</v>
      </c>
      <c r="L1489" t="s">
        <v>91</v>
      </c>
      <c r="M1489" t="s">
        <v>91</v>
      </c>
      <c r="N1489" s="1" t="s">
        <v>8044</v>
      </c>
      <c r="O1489" t="s">
        <v>91</v>
      </c>
      <c r="P1489" s="1" t="s">
        <v>7060</v>
      </c>
      <c r="Q1489" s="1" t="s">
        <v>8045</v>
      </c>
      <c r="R1489" s="1" t="s">
        <v>370</v>
      </c>
      <c r="S1489">
        <v>1274</v>
      </c>
      <c r="T1489">
        <v>89110064</v>
      </c>
      <c r="U1489" s="1" t="s">
        <v>108</v>
      </c>
      <c r="V1489" s="1" t="s">
        <v>7008</v>
      </c>
      <c r="W1489" s="1" t="s">
        <v>87</v>
      </c>
      <c r="X1489">
        <v>47</v>
      </c>
      <c r="Y1489">
        <v>30180024</v>
      </c>
      <c r="Z1489" t="s">
        <v>91</v>
      </c>
      <c r="AA1489" t="s">
        <v>91</v>
      </c>
      <c r="AB1489" t="s">
        <v>91</v>
      </c>
      <c r="AC1489" t="s">
        <v>91</v>
      </c>
      <c r="AD1489" t="s">
        <v>91</v>
      </c>
      <c r="AE1489" t="s">
        <v>91</v>
      </c>
      <c r="AF1489" t="s">
        <v>91</v>
      </c>
      <c r="AG1489" s="1" t="s">
        <v>146</v>
      </c>
      <c r="AH1489" s="1" t="s">
        <v>91</v>
      </c>
      <c r="AI1489" t="s">
        <v>91</v>
      </c>
      <c r="AM1489" t="s">
        <v>91</v>
      </c>
      <c r="AN1489" t="s">
        <v>91</v>
      </c>
      <c r="AO1489" t="s">
        <v>91</v>
      </c>
      <c r="AP1489" t="s">
        <v>91</v>
      </c>
      <c r="AQ1489" s="1" t="s">
        <v>147</v>
      </c>
      <c r="AR1489" s="1" t="s">
        <v>147</v>
      </c>
      <c r="AS1489" s="1" t="s">
        <v>147</v>
      </c>
      <c r="AT1489" s="1" t="s">
        <v>147</v>
      </c>
      <c r="AU1489" s="1" t="s">
        <v>147</v>
      </c>
      <c r="AV1489" t="s">
        <v>91</v>
      </c>
      <c r="AW1489" t="s">
        <v>91</v>
      </c>
      <c r="AX1489" t="s">
        <v>91</v>
      </c>
      <c r="AY1489" t="s">
        <v>91</v>
      </c>
      <c r="AZ1489" t="s">
        <v>91</v>
      </c>
      <c r="BA1489" t="s">
        <v>91</v>
      </c>
      <c r="BB1489" s="2">
        <v>44378.578518518516</v>
      </c>
      <c r="BC1489" s="2">
        <v>44463.687523148146</v>
      </c>
      <c r="BD1489" t="s">
        <v>91</v>
      </c>
      <c r="BF1489" s="1" t="s">
        <v>75</v>
      </c>
      <c r="BH1489">
        <v>0</v>
      </c>
      <c r="BI1489" s="1" t="s">
        <v>88</v>
      </c>
      <c r="BJ1489">
        <v>1</v>
      </c>
      <c r="BK1489" s="1" t="s">
        <v>89</v>
      </c>
      <c r="BL1489" t="s">
        <v>91</v>
      </c>
      <c r="BM1489" s="1" t="s">
        <v>109</v>
      </c>
      <c r="BN1489" s="1" t="s">
        <v>110</v>
      </c>
      <c r="BO1489" s="1" t="s">
        <v>128</v>
      </c>
      <c r="BP1489" s="1" t="s">
        <v>91</v>
      </c>
      <c r="BQ1489" t="s">
        <v>91</v>
      </c>
      <c r="BR1489" s="3">
        <v>44378</v>
      </c>
      <c r="BS1489" s="3">
        <v>44463</v>
      </c>
      <c r="BT1489" t="s">
        <v>91</v>
      </c>
      <c r="BU1489" t="s">
        <v>91</v>
      </c>
      <c r="BW1489" s="1" t="s">
        <v>3369</v>
      </c>
    </row>
    <row r="1490" spans="1:75" hidden="1" x14ac:dyDescent="0.35">
      <c r="A1490">
        <v>157786</v>
      </c>
      <c r="B1490" s="1" t="s">
        <v>75</v>
      </c>
      <c r="C1490">
        <v>80</v>
      </c>
      <c r="D1490">
        <v>11121004</v>
      </c>
      <c r="E1490">
        <v>121004</v>
      </c>
      <c r="F1490" s="1" t="s">
        <v>6867</v>
      </c>
      <c r="G1490" s="1" t="s">
        <v>8046</v>
      </c>
      <c r="H1490">
        <v>0</v>
      </c>
      <c r="I1490" s="1" t="s">
        <v>78</v>
      </c>
      <c r="J1490" s="1" t="s">
        <v>8047</v>
      </c>
      <c r="K1490" s="1" t="s">
        <v>8048</v>
      </c>
      <c r="L1490" t="s">
        <v>91</v>
      </c>
      <c r="M1490" t="s">
        <v>91</v>
      </c>
      <c r="N1490" s="1" t="s">
        <v>8049</v>
      </c>
      <c r="O1490" t="s">
        <v>91</v>
      </c>
      <c r="P1490" s="1" t="s">
        <v>8050</v>
      </c>
      <c r="Q1490" s="1" t="s">
        <v>83</v>
      </c>
      <c r="R1490" s="1" t="s">
        <v>434</v>
      </c>
      <c r="S1490">
        <v>1261</v>
      </c>
      <c r="T1490">
        <v>88301425</v>
      </c>
      <c r="U1490" s="1" t="s">
        <v>108</v>
      </c>
      <c r="V1490" s="1" t="s">
        <v>6881</v>
      </c>
      <c r="W1490" s="1" t="s">
        <v>87</v>
      </c>
      <c r="X1490">
        <v>47</v>
      </c>
      <c r="Y1490">
        <v>30194646</v>
      </c>
      <c r="Z1490" t="s">
        <v>91</v>
      </c>
      <c r="AA1490" t="s">
        <v>91</v>
      </c>
      <c r="AB1490" t="s">
        <v>91</v>
      </c>
      <c r="AC1490" t="s">
        <v>91</v>
      </c>
      <c r="AD1490" t="s">
        <v>91</v>
      </c>
      <c r="AE1490" t="s">
        <v>91</v>
      </c>
      <c r="AF1490" t="s">
        <v>91</v>
      </c>
      <c r="AG1490" s="1" t="s">
        <v>91</v>
      </c>
      <c r="AH1490" s="1" t="s">
        <v>91</v>
      </c>
      <c r="AI1490" t="s">
        <v>91</v>
      </c>
      <c r="AM1490" t="s">
        <v>91</v>
      </c>
      <c r="AN1490" t="s">
        <v>91</v>
      </c>
      <c r="AO1490" t="s">
        <v>91</v>
      </c>
      <c r="AP1490" t="s">
        <v>91</v>
      </c>
      <c r="AQ1490" s="1" t="s">
        <v>91</v>
      </c>
      <c r="AR1490" s="1" t="s">
        <v>91</v>
      </c>
      <c r="AS1490" s="1" t="s">
        <v>91</v>
      </c>
      <c r="AT1490" s="1" t="s">
        <v>91</v>
      </c>
      <c r="AU1490" s="1" t="s">
        <v>91</v>
      </c>
      <c r="AV1490" t="s">
        <v>91</v>
      </c>
      <c r="AW1490" t="s">
        <v>91</v>
      </c>
      <c r="AX1490" t="s">
        <v>91</v>
      </c>
      <c r="AY1490" t="s">
        <v>91</v>
      </c>
      <c r="AZ1490" t="s">
        <v>91</v>
      </c>
      <c r="BA1490" t="s">
        <v>91</v>
      </c>
      <c r="BB1490" s="2">
        <v>45118.101759259262</v>
      </c>
      <c r="BC1490" s="2"/>
      <c r="BD1490" t="s">
        <v>91</v>
      </c>
      <c r="BF1490" s="1" t="s">
        <v>75</v>
      </c>
      <c r="BI1490" s="1" t="s">
        <v>88</v>
      </c>
      <c r="BJ1490">
        <v>1</v>
      </c>
      <c r="BK1490" s="1" t="s">
        <v>89</v>
      </c>
      <c r="BL1490" t="s">
        <v>91</v>
      </c>
      <c r="BM1490" s="1" t="s">
        <v>91</v>
      </c>
      <c r="BN1490" s="1" t="s">
        <v>91</v>
      </c>
      <c r="BO1490" s="1" t="s">
        <v>91</v>
      </c>
      <c r="BP1490" s="1" t="s">
        <v>91</v>
      </c>
      <c r="BQ1490" t="s">
        <v>91</v>
      </c>
      <c r="BR1490" s="3">
        <v>45118</v>
      </c>
      <c r="BS1490" s="3"/>
      <c r="BT1490" t="s">
        <v>91</v>
      </c>
      <c r="BU1490" t="s">
        <v>91</v>
      </c>
      <c r="BW1490" s="1" t="s">
        <v>90</v>
      </c>
    </row>
    <row r="1491" spans="1:75" hidden="1" x14ac:dyDescent="0.35">
      <c r="A1491">
        <v>157775</v>
      </c>
      <c r="B1491" s="1" t="s">
        <v>75</v>
      </c>
      <c r="C1491">
        <v>80</v>
      </c>
      <c r="D1491">
        <v>11121004</v>
      </c>
      <c r="E1491">
        <v>121004</v>
      </c>
      <c r="F1491" s="1" t="s">
        <v>6867</v>
      </c>
      <c r="G1491" s="1" t="s">
        <v>8051</v>
      </c>
      <c r="H1491">
        <v>0</v>
      </c>
      <c r="I1491" s="1" t="s">
        <v>78</v>
      </c>
      <c r="J1491" s="1" t="s">
        <v>8052</v>
      </c>
      <c r="K1491" s="1" t="s">
        <v>8053</v>
      </c>
      <c r="L1491" t="s">
        <v>91</v>
      </c>
      <c r="M1491" t="s">
        <v>91</v>
      </c>
      <c r="N1491" s="1" t="s">
        <v>8054</v>
      </c>
      <c r="O1491" t="s">
        <v>91</v>
      </c>
      <c r="P1491" s="1" t="s">
        <v>8055</v>
      </c>
      <c r="Q1491" s="1" t="s">
        <v>8056</v>
      </c>
      <c r="R1491" s="1" t="s">
        <v>370</v>
      </c>
      <c r="T1491">
        <v>88330077</v>
      </c>
      <c r="U1491" s="1" t="s">
        <v>108</v>
      </c>
      <c r="V1491" s="1" t="s">
        <v>5871</v>
      </c>
      <c r="W1491" s="1" t="s">
        <v>87</v>
      </c>
      <c r="X1491">
        <v>47</v>
      </c>
      <c r="Y1491">
        <v>33936330</v>
      </c>
      <c r="Z1491" t="s">
        <v>91</v>
      </c>
      <c r="AA1491" t="s">
        <v>91</v>
      </c>
      <c r="AB1491" t="s">
        <v>91</v>
      </c>
      <c r="AC1491" t="s">
        <v>91</v>
      </c>
      <c r="AD1491" t="s">
        <v>91</v>
      </c>
      <c r="AE1491" t="s">
        <v>91</v>
      </c>
      <c r="AF1491" t="s">
        <v>91</v>
      </c>
      <c r="AG1491" s="1" t="s">
        <v>91</v>
      </c>
      <c r="AH1491" s="1" t="s">
        <v>91</v>
      </c>
      <c r="AI1491" t="s">
        <v>91</v>
      </c>
      <c r="AM1491" t="s">
        <v>91</v>
      </c>
      <c r="AN1491" t="s">
        <v>91</v>
      </c>
      <c r="AO1491" t="s">
        <v>91</v>
      </c>
      <c r="AP1491" t="s">
        <v>91</v>
      </c>
      <c r="AQ1491" s="1" t="s">
        <v>91</v>
      </c>
      <c r="AR1491" s="1" t="s">
        <v>91</v>
      </c>
      <c r="AS1491" s="1" t="s">
        <v>91</v>
      </c>
      <c r="AT1491" s="1" t="s">
        <v>91</v>
      </c>
      <c r="AU1491" s="1" t="s">
        <v>91</v>
      </c>
      <c r="AV1491" t="s">
        <v>91</v>
      </c>
      <c r="AW1491" t="s">
        <v>91</v>
      </c>
      <c r="AX1491" t="s">
        <v>91</v>
      </c>
      <c r="AY1491" t="s">
        <v>91</v>
      </c>
      <c r="AZ1491" t="s">
        <v>91</v>
      </c>
      <c r="BA1491" t="s">
        <v>91</v>
      </c>
      <c r="BB1491" s="2">
        <v>45118.101759259262</v>
      </c>
      <c r="BC1491" s="2"/>
      <c r="BD1491" t="s">
        <v>91</v>
      </c>
      <c r="BF1491" s="1" t="s">
        <v>75</v>
      </c>
      <c r="BI1491" s="1" t="s">
        <v>88</v>
      </c>
      <c r="BJ1491">
        <v>1</v>
      </c>
      <c r="BK1491" s="1" t="s">
        <v>89</v>
      </c>
      <c r="BL1491" t="s">
        <v>91</v>
      </c>
      <c r="BM1491" s="1" t="s">
        <v>91</v>
      </c>
      <c r="BN1491" s="1" t="s">
        <v>91</v>
      </c>
      <c r="BO1491" s="1" t="s">
        <v>91</v>
      </c>
      <c r="BP1491" s="1" t="s">
        <v>91</v>
      </c>
      <c r="BQ1491" t="s">
        <v>91</v>
      </c>
      <c r="BR1491" s="3">
        <v>45118</v>
      </c>
      <c r="BS1491" s="3"/>
      <c r="BT1491" t="s">
        <v>91</v>
      </c>
      <c r="BU1491" t="s">
        <v>91</v>
      </c>
      <c r="BW1491" s="1" t="s">
        <v>90</v>
      </c>
    </row>
    <row r="1492" spans="1:75" hidden="1" x14ac:dyDescent="0.35">
      <c r="A1492">
        <v>158710</v>
      </c>
      <c r="B1492" s="1" t="s">
        <v>75</v>
      </c>
      <c r="C1492">
        <v>80</v>
      </c>
      <c r="D1492">
        <v>11121004</v>
      </c>
      <c r="E1492">
        <v>121004</v>
      </c>
      <c r="F1492" s="1" t="s">
        <v>6867</v>
      </c>
      <c r="G1492" s="1" t="s">
        <v>8057</v>
      </c>
      <c r="I1492" s="1" t="s">
        <v>78</v>
      </c>
      <c r="J1492" s="1" t="s">
        <v>8058</v>
      </c>
      <c r="K1492" s="1" t="s">
        <v>8059</v>
      </c>
      <c r="L1492" t="s">
        <v>91</v>
      </c>
      <c r="M1492" t="s">
        <v>91</v>
      </c>
      <c r="N1492" s="1" t="s">
        <v>8060</v>
      </c>
      <c r="O1492" t="s">
        <v>91</v>
      </c>
      <c r="P1492" s="1" t="s">
        <v>8061</v>
      </c>
      <c r="Q1492" s="1" t="s">
        <v>8062</v>
      </c>
      <c r="R1492" s="1" t="s">
        <v>370</v>
      </c>
      <c r="S1492">
        <v>1260</v>
      </c>
      <c r="T1492">
        <v>88220000</v>
      </c>
      <c r="U1492" s="1" t="s">
        <v>7189</v>
      </c>
      <c r="V1492" s="1" t="s">
        <v>7015</v>
      </c>
      <c r="W1492" s="1" t="s">
        <v>87</v>
      </c>
      <c r="X1492">
        <v>47</v>
      </c>
      <c r="Y1492">
        <v>992335550</v>
      </c>
      <c r="Z1492" t="s">
        <v>91</v>
      </c>
      <c r="AA1492" t="s">
        <v>91</v>
      </c>
      <c r="AB1492" t="s">
        <v>91</v>
      </c>
      <c r="AC1492" t="s">
        <v>91</v>
      </c>
      <c r="AD1492" t="s">
        <v>91</v>
      </c>
      <c r="AE1492" t="s">
        <v>91</v>
      </c>
      <c r="AF1492" t="s">
        <v>91</v>
      </c>
      <c r="AG1492" s="1" t="s">
        <v>91</v>
      </c>
      <c r="AH1492" s="1" t="s">
        <v>91</v>
      </c>
      <c r="AI1492" t="s">
        <v>91</v>
      </c>
      <c r="AM1492" t="s">
        <v>91</v>
      </c>
      <c r="AN1492" t="s">
        <v>91</v>
      </c>
      <c r="AO1492" t="s">
        <v>91</v>
      </c>
      <c r="AP1492" t="s">
        <v>91</v>
      </c>
      <c r="AQ1492" s="1" t="s">
        <v>91</v>
      </c>
      <c r="AR1492" s="1" t="s">
        <v>91</v>
      </c>
      <c r="AS1492" s="1" t="s">
        <v>91</v>
      </c>
      <c r="AT1492" s="1" t="s">
        <v>91</v>
      </c>
      <c r="AU1492" s="1" t="s">
        <v>91</v>
      </c>
      <c r="AV1492" t="s">
        <v>91</v>
      </c>
      <c r="AW1492" t="s">
        <v>91</v>
      </c>
      <c r="AX1492" t="s">
        <v>91</v>
      </c>
      <c r="AY1492" t="s">
        <v>91</v>
      </c>
      <c r="AZ1492" t="s">
        <v>91</v>
      </c>
      <c r="BA1492" t="s">
        <v>91</v>
      </c>
      <c r="BB1492" s="2">
        <v>45155.700069444443</v>
      </c>
      <c r="BC1492" s="2"/>
      <c r="BD1492" t="s">
        <v>91</v>
      </c>
      <c r="BF1492" s="1" t="s">
        <v>75</v>
      </c>
      <c r="BI1492" s="1" t="s">
        <v>88</v>
      </c>
      <c r="BJ1492">
        <v>1</v>
      </c>
      <c r="BK1492" s="1" t="s">
        <v>89</v>
      </c>
      <c r="BL1492" t="s">
        <v>91</v>
      </c>
      <c r="BM1492" s="1" t="s">
        <v>91</v>
      </c>
      <c r="BN1492" s="1" t="s">
        <v>91</v>
      </c>
      <c r="BO1492" s="1" t="s">
        <v>91</v>
      </c>
      <c r="BP1492" s="1" t="s">
        <v>91</v>
      </c>
      <c r="BQ1492" t="s">
        <v>91</v>
      </c>
      <c r="BR1492" s="3">
        <v>45155</v>
      </c>
      <c r="BS1492" s="3"/>
      <c r="BT1492" t="s">
        <v>91</v>
      </c>
      <c r="BU1492" t="s">
        <v>91</v>
      </c>
      <c r="BW1492" s="1" t="s">
        <v>90</v>
      </c>
    </row>
    <row r="1493" spans="1:75" hidden="1" x14ac:dyDescent="0.35">
      <c r="A1493">
        <v>137722</v>
      </c>
      <c r="B1493" s="1" t="s">
        <v>75</v>
      </c>
      <c r="C1493">
        <v>80</v>
      </c>
      <c r="D1493">
        <v>11121004</v>
      </c>
      <c r="E1493">
        <v>121004</v>
      </c>
      <c r="F1493" s="1" t="s">
        <v>6867</v>
      </c>
      <c r="G1493" s="1" t="s">
        <v>8063</v>
      </c>
      <c r="H1493">
        <v>0</v>
      </c>
      <c r="I1493" s="1" t="s">
        <v>78</v>
      </c>
      <c r="J1493" s="1" t="s">
        <v>8064</v>
      </c>
      <c r="K1493" s="1" t="s">
        <v>8065</v>
      </c>
      <c r="L1493" t="s">
        <v>91</v>
      </c>
      <c r="M1493" t="s">
        <v>91</v>
      </c>
      <c r="N1493" s="1" t="s">
        <v>8066</v>
      </c>
      <c r="O1493" t="s">
        <v>91</v>
      </c>
      <c r="P1493" s="1" t="s">
        <v>8067</v>
      </c>
      <c r="Q1493" s="1" t="s">
        <v>764</v>
      </c>
      <c r="R1493" s="1" t="s">
        <v>91</v>
      </c>
      <c r="T1493">
        <v>88370438</v>
      </c>
      <c r="U1493" s="1" t="s">
        <v>108</v>
      </c>
      <c r="V1493" s="1" t="s">
        <v>7127</v>
      </c>
      <c r="W1493" s="1" t="s">
        <v>87</v>
      </c>
      <c r="X1493">
        <v>47</v>
      </c>
      <c r="Y1493">
        <v>20335607</v>
      </c>
      <c r="Z1493" t="s">
        <v>91</v>
      </c>
      <c r="AA1493" t="s">
        <v>91</v>
      </c>
      <c r="AB1493" t="s">
        <v>91</v>
      </c>
      <c r="AC1493" t="s">
        <v>91</v>
      </c>
      <c r="AD1493" t="s">
        <v>91</v>
      </c>
      <c r="AE1493" t="s">
        <v>91</v>
      </c>
      <c r="AF1493" t="s">
        <v>91</v>
      </c>
      <c r="AG1493" s="1" t="s">
        <v>146</v>
      </c>
      <c r="AH1493" s="1" t="s">
        <v>91</v>
      </c>
      <c r="AI1493" t="s">
        <v>91</v>
      </c>
      <c r="AM1493" t="s">
        <v>91</v>
      </c>
      <c r="AN1493" t="s">
        <v>91</v>
      </c>
      <c r="AO1493" t="s">
        <v>91</v>
      </c>
      <c r="AP1493" t="s">
        <v>91</v>
      </c>
      <c r="AQ1493" s="1" t="s">
        <v>147</v>
      </c>
      <c r="AR1493" s="1" t="s">
        <v>147</v>
      </c>
      <c r="AS1493" s="1" t="s">
        <v>147</v>
      </c>
      <c r="AT1493" s="1" t="s">
        <v>147</v>
      </c>
      <c r="AU1493" s="1" t="s">
        <v>147</v>
      </c>
      <c r="AV1493" t="s">
        <v>91</v>
      </c>
      <c r="AW1493" t="s">
        <v>91</v>
      </c>
      <c r="AX1493" t="s">
        <v>91</v>
      </c>
      <c r="AY1493" t="s">
        <v>91</v>
      </c>
      <c r="AZ1493" t="s">
        <v>91</v>
      </c>
      <c r="BA1493" t="s">
        <v>91</v>
      </c>
      <c r="BB1493" s="2">
        <v>44378.578518518516</v>
      </c>
      <c r="BC1493" s="2">
        <v>44671.600393518522</v>
      </c>
      <c r="BD1493" t="s">
        <v>91</v>
      </c>
      <c r="BF1493" s="1" t="s">
        <v>75</v>
      </c>
      <c r="BH1493">
        <v>0</v>
      </c>
      <c r="BI1493" s="1" t="s">
        <v>88</v>
      </c>
      <c r="BJ1493">
        <v>1</v>
      </c>
      <c r="BK1493" s="1" t="s">
        <v>89</v>
      </c>
      <c r="BL1493" t="s">
        <v>91</v>
      </c>
      <c r="BM1493" s="1" t="s">
        <v>109</v>
      </c>
      <c r="BN1493" s="1" t="s">
        <v>110</v>
      </c>
      <c r="BO1493" s="1" t="s">
        <v>180</v>
      </c>
      <c r="BP1493" s="1" t="s">
        <v>91</v>
      </c>
      <c r="BQ1493" t="s">
        <v>91</v>
      </c>
      <c r="BR1493" s="3">
        <v>44378</v>
      </c>
      <c r="BS1493" s="3">
        <v>44671</v>
      </c>
      <c r="BT1493" t="s">
        <v>91</v>
      </c>
      <c r="BU1493" t="s">
        <v>91</v>
      </c>
      <c r="BW1493" s="1" t="s">
        <v>1383</v>
      </c>
    </row>
    <row r="1494" spans="1:75" hidden="1" x14ac:dyDescent="0.35">
      <c r="A1494">
        <v>157094</v>
      </c>
      <c r="B1494" s="1" t="s">
        <v>75</v>
      </c>
      <c r="C1494">
        <v>80</v>
      </c>
      <c r="D1494">
        <v>11121004</v>
      </c>
      <c r="E1494">
        <v>121004</v>
      </c>
      <c r="F1494" s="1" t="s">
        <v>6867</v>
      </c>
      <c r="G1494" s="1" t="s">
        <v>8068</v>
      </c>
      <c r="H1494">
        <v>0</v>
      </c>
      <c r="I1494" s="1" t="s">
        <v>78</v>
      </c>
      <c r="J1494" s="1" t="s">
        <v>8069</v>
      </c>
      <c r="K1494" s="1" t="s">
        <v>8070</v>
      </c>
      <c r="L1494" t="s">
        <v>91</v>
      </c>
      <c r="M1494" t="s">
        <v>91</v>
      </c>
      <c r="N1494" s="1" t="s">
        <v>8071</v>
      </c>
      <c r="O1494" t="s">
        <v>91</v>
      </c>
      <c r="P1494" s="1" t="s">
        <v>8072</v>
      </c>
      <c r="Q1494" s="1" t="s">
        <v>8073</v>
      </c>
      <c r="R1494" s="1" t="s">
        <v>3122</v>
      </c>
      <c r="T1494">
        <v>88372618</v>
      </c>
      <c r="U1494" s="1" t="s">
        <v>8074</v>
      </c>
      <c r="V1494" s="1" t="s">
        <v>7127</v>
      </c>
      <c r="W1494" s="1" t="s">
        <v>87</v>
      </c>
      <c r="X1494">
        <v>47</v>
      </c>
      <c r="Y1494">
        <v>31701716</v>
      </c>
      <c r="Z1494" t="s">
        <v>91</v>
      </c>
      <c r="AA1494" t="s">
        <v>91</v>
      </c>
      <c r="AB1494" t="s">
        <v>91</v>
      </c>
      <c r="AC1494" t="s">
        <v>91</v>
      </c>
      <c r="AD1494" t="s">
        <v>91</v>
      </c>
      <c r="AE1494" t="s">
        <v>91</v>
      </c>
      <c r="AF1494" t="s">
        <v>91</v>
      </c>
      <c r="AG1494" s="1" t="s">
        <v>91</v>
      </c>
      <c r="AH1494" s="1" t="s">
        <v>91</v>
      </c>
      <c r="AI1494" t="s">
        <v>91</v>
      </c>
      <c r="AM1494" t="s">
        <v>91</v>
      </c>
      <c r="AN1494" t="s">
        <v>91</v>
      </c>
      <c r="AO1494" t="s">
        <v>91</v>
      </c>
      <c r="AP1494" t="s">
        <v>91</v>
      </c>
      <c r="AQ1494" s="1" t="s">
        <v>91</v>
      </c>
      <c r="AR1494" s="1" t="s">
        <v>91</v>
      </c>
      <c r="AS1494" s="1" t="s">
        <v>91</v>
      </c>
      <c r="AT1494" s="1" t="s">
        <v>91</v>
      </c>
      <c r="AU1494" s="1" t="s">
        <v>91</v>
      </c>
      <c r="AV1494" t="s">
        <v>91</v>
      </c>
      <c r="AW1494" t="s">
        <v>91</v>
      </c>
      <c r="AX1494" t="s">
        <v>91</v>
      </c>
      <c r="AY1494" t="s">
        <v>91</v>
      </c>
      <c r="AZ1494" t="s">
        <v>91</v>
      </c>
      <c r="BA1494" t="s">
        <v>91</v>
      </c>
      <c r="BB1494" s="2">
        <v>45113.505416666667</v>
      </c>
      <c r="BC1494" s="2"/>
      <c r="BD1494" t="s">
        <v>91</v>
      </c>
      <c r="BF1494" s="1" t="s">
        <v>75</v>
      </c>
      <c r="BI1494" s="1" t="s">
        <v>88</v>
      </c>
      <c r="BJ1494">
        <v>1</v>
      </c>
      <c r="BK1494" s="1" t="s">
        <v>89</v>
      </c>
      <c r="BL1494" t="s">
        <v>91</v>
      </c>
      <c r="BM1494" s="1" t="s">
        <v>91</v>
      </c>
      <c r="BN1494" s="1" t="s">
        <v>91</v>
      </c>
      <c r="BO1494" s="1" t="s">
        <v>91</v>
      </c>
      <c r="BP1494" s="1" t="s">
        <v>91</v>
      </c>
      <c r="BQ1494" t="s">
        <v>91</v>
      </c>
      <c r="BR1494" s="3">
        <v>45113</v>
      </c>
      <c r="BS1494" s="3"/>
      <c r="BT1494" t="s">
        <v>91</v>
      </c>
      <c r="BU1494" t="s">
        <v>91</v>
      </c>
      <c r="BW1494" s="1" t="s">
        <v>90</v>
      </c>
    </row>
    <row r="1495" spans="1:75" hidden="1" x14ac:dyDescent="0.35">
      <c r="A1495">
        <v>137723</v>
      </c>
      <c r="B1495" s="1" t="s">
        <v>75</v>
      </c>
      <c r="C1495">
        <v>80</v>
      </c>
      <c r="D1495">
        <v>11121004</v>
      </c>
      <c r="E1495">
        <v>121004</v>
      </c>
      <c r="F1495" s="1" t="s">
        <v>6867</v>
      </c>
      <c r="G1495" s="1" t="s">
        <v>8075</v>
      </c>
      <c r="H1495">
        <v>0</v>
      </c>
      <c r="I1495" s="1" t="s">
        <v>78</v>
      </c>
      <c r="J1495" s="1" t="s">
        <v>8076</v>
      </c>
      <c r="K1495" s="1" t="s">
        <v>8077</v>
      </c>
      <c r="L1495" t="s">
        <v>91</v>
      </c>
      <c r="M1495" t="s">
        <v>91</v>
      </c>
      <c r="N1495" s="1" t="s">
        <v>8078</v>
      </c>
      <c r="O1495" t="s">
        <v>91</v>
      </c>
      <c r="P1495" s="1" t="s">
        <v>8079</v>
      </c>
      <c r="Q1495" s="1" t="s">
        <v>2526</v>
      </c>
      <c r="R1495" s="1" t="s">
        <v>91</v>
      </c>
      <c r="S1495">
        <v>1276</v>
      </c>
      <c r="T1495">
        <v>89160037</v>
      </c>
      <c r="U1495" s="1" t="s">
        <v>108</v>
      </c>
      <c r="V1495" s="1" t="s">
        <v>6927</v>
      </c>
      <c r="W1495" s="1" t="s">
        <v>87</v>
      </c>
      <c r="X1495">
        <v>47</v>
      </c>
      <c r="Y1495">
        <v>35227031</v>
      </c>
      <c r="Z1495" t="s">
        <v>91</v>
      </c>
      <c r="AA1495" t="s">
        <v>91</v>
      </c>
      <c r="AB1495" t="s">
        <v>91</v>
      </c>
      <c r="AC1495" t="s">
        <v>91</v>
      </c>
      <c r="AD1495" t="s">
        <v>91</v>
      </c>
      <c r="AE1495" t="s">
        <v>91</v>
      </c>
      <c r="AF1495" t="s">
        <v>91</v>
      </c>
      <c r="AG1495" s="1" t="s">
        <v>146</v>
      </c>
      <c r="AH1495" s="1" t="s">
        <v>91</v>
      </c>
      <c r="AI1495" t="s">
        <v>91</v>
      </c>
      <c r="AM1495" t="s">
        <v>91</v>
      </c>
      <c r="AN1495" t="s">
        <v>91</v>
      </c>
      <c r="AO1495" t="s">
        <v>91</v>
      </c>
      <c r="AP1495" t="s">
        <v>91</v>
      </c>
      <c r="AQ1495" s="1" t="s">
        <v>147</v>
      </c>
      <c r="AR1495" s="1" t="s">
        <v>147</v>
      </c>
      <c r="AS1495" s="1" t="s">
        <v>147</v>
      </c>
      <c r="AT1495" s="1" t="s">
        <v>147</v>
      </c>
      <c r="AU1495" s="1" t="s">
        <v>147</v>
      </c>
      <c r="AV1495" t="s">
        <v>91</v>
      </c>
      <c r="AW1495" t="s">
        <v>91</v>
      </c>
      <c r="AX1495" t="s">
        <v>91</v>
      </c>
      <c r="AY1495" t="s">
        <v>91</v>
      </c>
      <c r="AZ1495" t="s">
        <v>91</v>
      </c>
      <c r="BA1495" t="s">
        <v>91</v>
      </c>
      <c r="BB1495" s="2">
        <v>44378.578518518516</v>
      </c>
      <c r="BC1495" s="2">
        <v>44664.650277777779</v>
      </c>
      <c r="BD1495" t="s">
        <v>91</v>
      </c>
      <c r="BF1495" s="1" t="s">
        <v>75</v>
      </c>
      <c r="BH1495">
        <v>0</v>
      </c>
      <c r="BI1495" s="1" t="s">
        <v>88</v>
      </c>
      <c r="BJ1495">
        <v>1</v>
      </c>
      <c r="BK1495" s="1" t="s">
        <v>89</v>
      </c>
      <c r="BL1495" t="s">
        <v>91</v>
      </c>
      <c r="BM1495" s="1" t="s">
        <v>197</v>
      </c>
      <c r="BN1495" s="1" t="s">
        <v>148</v>
      </c>
      <c r="BO1495" s="1" t="s">
        <v>165</v>
      </c>
      <c r="BP1495" s="1" t="s">
        <v>91</v>
      </c>
      <c r="BQ1495" t="s">
        <v>91</v>
      </c>
      <c r="BR1495" s="3">
        <v>44378</v>
      </c>
      <c r="BS1495" s="3">
        <v>44664</v>
      </c>
      <c r="BT1495" t="s">
        <v>91</v>
      </c>
      <c r="BU1495" t="s">
        <v>91</v>
      </c>
      <c r="BW1495" s="1" t="s">
        <v>601</v>
      </c>
    </row>
    <row r="1496" spans="1:75" hidden="1" x14ac:dyDescent="0.35">
      <c r="A1496">
        <v>1302</v>
      </c>
      <c r="B1496" s="1" t="s">
        <v>75</v>
      </c>
      <c r="C1496">
        <v>80</v>
      </c>
      <c r="D1496">
        <v>11121004</v>
      </c>
      <c r="E1496">
        <v>121004</v>
      </c>
      <c r="F1496" s="1" t="s">
        <v>6867</v>
      </c>
      <c r="G1496" s="1" t="s">
        <v>8080</v>
      </c>
      <c r="I1496" s="1" t="s">
        <v>78</v>
      </c>
      <c r="J1496" s="1" t="s">
        <v>8081</v>
      </c>
      <c r="K1496" s="1" t="s">
        <v>8082</v>
      </c>
      <c r="L1496" t="s">
        <v>91</v>
      </c>
      <c r="M1496" t="s">
        <v>91</v>
      </c>
      <c r="N1496" s="1" t="s">
        <v>8083</v>
      </c>
      <c r="O1496" t="s">
        <v>91</v>
      </c>
      <c r="P1496" s="1" t="s">
        <v>8084</v>
      </c>
      <c r="Q1496" s="1" t="s">
        <v>8085</v>
      </c>
      <c r="R1496" s="1" t="s">
        <v>91</v>
      </c>
      <c r="S1496">
        <v>1275</v>
      </c>
      <c r="T1496">
        <v>89138000</v>
      </c>
      <c r="U1496" s="1" t="s">
        <v>108</v>
      </c>
      <c r="V1496" s="1" t="s">
        <v>7263</v>
      </c>
      <c r="W1496" s="1" t="s">
        <v>87</v>
      </c>
      <c r="X1496">
        <v>47</v>
      </c>
      <c r="Y1496">
        <v>33832175</v>
      </c>
      <c r="Z1496" t="s">
        <v>91</v>
      </c>
      <c r="AA1496" t="s">
        <v>91</v>
      </c>
      <c r="AB1496" t="s">
        <v>91</v>
      </c>
      <c r="AC1496" t="s">
        <v>91</v>
      </c>
      <c r="AD1496" t="s">
        <v>91</v>
      </c>
      <c r="AE1496" t="s">
        <v>91</v>
      </c>
      <c r="AF1496" t="s">
        <v>91</v>
      </c>
      <c r="AG1496" s="1" t="s">
        <v>91</v>
      </c>
      <c r="AH1496" s="1" t="s">
        <v>91</v>
      </c>
      <c r="AI1496" t="s">
        <v>91</v>
      </c>
      <c r="AJ1496">
        <v>0</v>
      </c>
      <c r="AK1496">
        <v>0</v>
      </c>
      <c r="AL1496">
        <v>0</v>
      </c>
      <c r="AM1496" t="s">
        <v>91</v>
      </c>
      <c r="AN1496" t="s">
        <v>91</v>
      </c>
      <c r="AO1496" t="s">
        <v>91</v>
      </c>
      <c r="AP1496" t="s">
        <v>91</v>
      </c>
      <c r="AQ1496" s="1" t="s">
        <v>91</v>
      </c>
      <c r="AR1496" s="1" t="s">
        <v>91</v>
      </c>
      <c r="AS1496" s="1" t="s">
        <v>91</v>
      </c>
      <c r="AT1496" s="1" t="s">
        <v>91</v>
      </c>
      <c r="AU1496" s="1" t="s">
        <v>91</v>
      </c>
      <c r="AV1496" t="s">
        <v>91</v>
      </c>
      <c r="AW1496" t="s">
        <v>91</v>
      </c>
      <c r="AX1496" t="s">
        <v>91</v>
      </c>
      <c r="AY1496" t="s">
        <v>91</v>
      </c>
      <c r="AZ1496" t="s">
        <v>91</v>
      </c>
      <c r="BA1496" t="s">
        <v>91</v>
      </c>
      <c r="BB1496" s="2">
        <v>43308.393206018518</v>
      </c>
      <c r="BC1496" s="2"/>
      <c r="BD1496" t="s">
        <v>91</v>
      </c>
      <c r="BE1496">
        <v>1302</v>
      </c>
      <c r="BF1496" s="1" t="s">
        <v>75</v>
      </c>
      <c r="BG1496">
        <v>0</v>
      </c>
      <c r="BH1496">
        <v>0</v>
      </c>
      <c r="BI1496" s="1" t="s">
        <v>88</v>
      </c>
      <c r="BJ1496">
        <v>1</v>
      </c>
      <c r="BK1496" s="1" t="s">
        <v>89</v>
      </c>
      <c r="BL1496" t="s">
        <v>91</v>
      </c>
      <c r="BM1496" s="1" t="s">
        <v>109</v>
      </c>
      <c r="BN1496" s="1" t="s">
        <v>110</v>
      </c>
      <c r="BO1496" s="1" t="s">
        <v>111</v>
      </c>
      <c r="BP1496" s="1" t="s">
        <v>91</v>
      </c>
      <c r="BQ1496" t="s">
        <v>91</v>
      </c>
      <c r="BR1496" s="3">
        <v>43308</v>
      </c>
      <c r="BS1496" s="3"/>
      <c r="BT1496" t="s">
        <v>91</v>
      </c>
      <c r="BU1496" t="s">
        <v>91</v>
      </c>
      <c r="BV1496">
        <v>6</v>
      </c>
      <c r="BW1496" s="1" t="s">
        <v>255</v>
      </c>
    </row>
    <row r="1497" spans="1:75" hidden="1" x14ac:dyDescent="0.35">
      <c r="A1497">
        <v>157049</v>
      </c>
      <c r="B1497" s="1" t="s">
        <v>75</v>
      </c>
      <c r="C1497">
        <v>80</v>
      </c>
      <c r="D1497">
        <v>11121004</v>
      </c>
      <c r="E1497">
        <v>121004</v>
      </c>
      <c r="F1497" s="1" t="s">
        <v>6867</v>
      </c>
      <c r="G1497" s="1" t="s">
        <v>8086</v>
      </c>
      <c r="H1497">
        <v>0</v>
      </c>
      <c r="I1497" s="1" t="s">
        <v>78</v>
      </c>
      <c r="J1497" s="1" t="s">
        <v>8087</v>
      </c>
      <c r="K1497" s="1" t="s">
        <v>8088</v>
      </c>
      <c r="L1497" t="s">
        <v>91</v>
      </c>
      <c r="M1497" t="s">
        <v>91</v>
      </c>
      <c r="N1497" s="1" t="s">
        <v>8089</v>
      </c>
      <c r="O1497" t="s">
        <v>91</v>
      </c>
      <c r="P1497" s="1" t="s">
        <v>4219</v>
      </c>
      <c r="Q1497" s="1" t="s">
        <v>8090</v>
      </c>
      <c r="R1497" s="1" t="s">
        <v>370</v>
      </c>
      <c r="T1497">
        <v>89010301</v>
      </c>
      <c r="U1497" s="1" t="s">
        <v>8091</v>
      </c>
      <c r="V1497" s="1" t="s">
        <v>3571</v>
      </c>
      <c r="W1497" s="1" t="s">
        <v>87</v>
      </c>
      <c r="X1497">
        <v>47</v>
      </c>
      <c r="Y1497">
        <v>32342707</v>
      </c>
      <c r="Z1497" t="s">
        <v>91</v>
      </c>
      <c r="AA1497" t="s">
        <v>91</v>
      </c>
      <c r="AB1497" t="s">
        <v>91</v>
      </c>
      <c r="AC1497" t="s">
        <v>91</v>
      </c>
      <c r="AD1497" t="s">
        <v>91</v>
      </c>
      <c r="AE1497" t="s">
        <v>91</v>
      </c>
      <c r="AF1497" t="s">
        <v>91</v>
      </c>
      <c r="AG1497" s="1" t="s">
        <v>91</v>
      </c>
      <c r="AH1497" s="1" t="s">
        <v>91</v>
      </c>
      <c r="AI1497" t="s">
        <v>91</v>
      </c>
      <c r="AM1497" t="s">
        <v>91</v>
      </c>
      <c r="AN1497" t="s">
        <v>91</v>
      </c>
      <c r="AO1497" t="s">
        <v>91</v>
      </c>
      <c r="AP1497" t="s">
        <v>91</v>
      </c>
      <c r="AQ1497" s="1" t="s">
        <v>91</v>
      </c>
      <c r="AR1497" s="1" t="s">
        <v>91</v>
      </c>
      <c r="AS1497" s="1" t="s">
        <v>91</v>
      </c>
      <c r="AT1497" s="1" t="s">
        <v>91</v>
      </c>
      <c r="AU1497" s="1" t="s">
        <v>91</v>
      </c>
      <c r="AV1497" t="s">
        <v>91</v>
      </c>
      <c r="AW1497" t="s">
        <v>91</v>
      </c>
      <c r="AX1497" t="s">
        <v>91</v>
      </c>
      <c r="AY1497" t="s">
        <v>91</v>
      </c>
      <c r="AZ1497" t="s">
        <v>91</v>
      </c>
      <c r="BA1497" t="s">
        <v>91</v>
      </c>
      <c r="BB1497" s="2">
        <v>45113.505416666667</v>
      </c>
      <c r="BC1497" s="2"/>
      <c r="BD1497" t="s">
        <v>91</v>
      </c>
      <c r="BF1497" s="1" t="s">
        <v>75</v>
      </c>
      <c r="BI1497" s="1" t="s">
        <v>88</v>
      </c>
      <c r="BJ1497">
        <v>1</v>
      </c>
      <c r="BK1497" s="1" t="s">
        <v>89</v>
      </c>
      <c r="BL1497" t="s">
        <v>91</v>
      </c>
      <c r="BM1497" s="1" t="s">
        <v>91</v>
      </c>
      <c r="BN1497" s="1" t="s">
        <v>91</v>
      </c>
      <c r="BO1497" s="1" t="s">
        <v>91</v>
      </c>
      <c r="BP1497" s="1" t="s">
        <v>91</v>
      </c>
      <c r="BQ1497" t="s">
        <v>91</v>
      </c>
      <c r="BR1497" s="3">
        <v>45113</v>
      </c>
      <c r="BS1497" s="3"/>
      <c r="BT1497" t="s">
        <v>91</v>
      </c>
      <c r="BU1497" t="s">
        <v>91</v>
      </c>
      <c r="BW1497" s="1" t="s">
        <v>90</v>
      </c>
    </row>
    <row r="1498" spans="1:75" hidden="1" x14ac:dyDescent="0.35">
      <c r="A1498">
        <v>137726</v>
      </c>
      <c r="B1498" s="1" t="s">
        <v>75</v>
      </c>
      <c r="C1498">
        <v>80</v>
      </c>
      <c r="D1498">
        <v>11121004</v>
      </c>
      <c r="E1498">
        <v>121004</v>
      </c>
      <c r="F1498" s="1" t="s">
        <v>6867</v>
      </c>
      <c r="G1498" s="1" t="s">
        <v>8092</v>
      </c>
      <c r="H1498">
        <v>0</v>
      </c>
      <c r="I1498" s="1" t="s">
        <v>78</v>
      </c>
      <c r="J1498" s="1" t="s">
        <v>8093</v>
      </c>
      <c r="K1498" s="1" t="s">
        <v>8094</v>
      </c>
      <c r="L1498" t="s">
        <v>91</v>
      </c>
      <c r="M1498" t="s">
        <v>91</v>
      </c>
      <c r="N1498" s="1" t="s">
        <v>8095</v>
      </c>
      <c r="O1498" t="s">
        <v>91</v>
      </c>
      <c r="P1498" s="1" t="s">
        <v>7060</v>
      </c>
      <c r="Q1498" s="1" t="s">
        <v>1892</v>
      </c>
      <c r="R1498" s="1" t="s">
        <v>91</v>
      </c>
      <c r="S1498">
        <v>1274</v>
      </c>
      <c r="T1498">
        <v>89110064</v>
      </c>
      <c r="U1498" s="1" t="s">
        <v>108</v>
      </c>
      <c r="V1498" s="1" t="s">
        <v>7008</v>
      </c>
      <c r="W1498" s="1" t="s">
        <v>87</v>
      </c>
      <c r="X1498">
        <v>47</v>
      </c>
      <c r="Y1498">
        <v>33326665</v>
      </c>
      <c r="Z1498" t="s">
        <v>91</v>
      </c>
      <c r="AA1498" t="s">
        <v>91</v>
      </c>
      <c r="AB1498" t="s">
        <v>91</v>
      </c>
      <c r="AC1498" t="s">
        <v>91</v>
      </c>
      <c r="AD1498" t="s">
        <v>91</v>
      </c>
      <c r="AE1498" t="s">
        <v>91</v>
      </c>
      <c r="AF1498" t="s">
        <v>91</v>
      </c>
      <c r="AG1498" s="1" t="s">
        <v>146</v>
      </c>
      <c r="AH1498" s="1" t="s">
        <v>91</v>
      </c>
      <c r="AI1498" t="s">
        <v>91</v>
      </c>
      <c r="AM1498" t="s">
        <v>91</v>
      </c>
      <c r="AN1498" t="s">
        <v>91</v>
      </c>
      <c r="AO1498" t="s">
        <v>91</v>
      </c>
      <c r="AP1498" t="s">
        <v>91</v>
      </c>
      <c r="AQ1498" s="1" t="s">
        <v>147</v>
      </c>
      <c r="AR1498" s="1" t="s">
        <v>147</v>
      </c>
      <c r="AS1498" s="1" t="s">
        <v>147</v>
      </c>
      <c r="AT1498" s="1" t="s">
        <v>147</v>
      </c>
      <c r="AU1498" s="1" t="s">
        <v>147</v>
      </c>
      <c r="AV1498" t="s">
        <v>91</v>
      </c>
      <c r="AW1498" t="s">
        <v>91</v>
      </c>
      <c r="AX1498" t="s">
        <v>91</v>
      </c>
      <c r="AY1498" t="s">
        <v>91</v>
      </c>
      <c r="AZ1498" t="s">
        <v>91</v>
      </c>
      <c r="BA1498" t="s">
        <v>91</v>
      </c>
      <c r="BB1498" s="2">
        <v>44378.578518518516</v>
      </c>
      <c r="BC1498" s="2">
        <v>45117.474988425929</v>
      </c>
      <c r="BD1498" t="s">
        <v>91</v>
      </c>
      <c r="BF1498" s="1" t="s">
        <v>75</v>
      </c>
      <c r="BH1498">
        <v>0</v>
      </c>
      <c r="BI1498" s="1" t="s">
        <v>88</v>
      </c>
      <c r="BJ1498">
        <v>1</v>
      </c>
      <c r="BK1498" s="1" t="s">
        <v>89</v>
      </c>
      <c r="BL1498" t="s">
        <v>91</v>
      </c>
      <c r="BM1498" s="1" t="s">
        <v>329</v>
      </c>
      <c r="BN1498" s="1" t="s">
        <v>110</v>
      </c>
      <c r="BO1498" s="1" t="s">
        <v>165</v>
      </c>
      <c r="BP1498" s="1" t="s">
        <v>91</v>
      </c>
      <c r="BQ1498" t="s">
        <v>91</v>
      </c>
      <c r="BR1498" s="3">
        <v>44378</v>
      </c>
      <c r="BS1498" s="3">
        <v>45117</v>
      </c>
      <c r="BT1498" t="s">
        <v>91</v>
      </c>
      <c r="BU1498" t="s">
        <v>91</v>
      </c>
      <c r="BW1498" s="1" t="s">
        <v>390</v>
      </c>
    </row>
    <row r="1499" spans="1:75" hidden="1" x14ac:dyDescent="0.35">
      <c r="A1499">
        <v>137727</v>
      </c>
      <c r="B1499" s="1" t="s">
        <v>75</v>
      </c>
      <c r="C1499">
        <v>80</v>
      </c>
      <c r="D1499">
        <v>11121004</v>
      </c>
      <c r="E1499">
        <v>121004</v>
      </c>
      <c r="F1499" s="1" t="s">
        <v>6867</v>
      </c>
      <c r="G1499" s="1" t="s">
        <v>8096</v>
      </c>
      <c r="H1499">
        <v>0</v>
      </c>
      <c r="I1499" s="1" t="s">
        <v>78</v>
      </c>
      <c r="J1499" s="1" t="s">
        <v>8097</v>
      </c>
      <c r="K1499" s="1" t="s">
        <v>8098</v>
      </c>
      <c r="L1499" t="s">
        <v>91</v>
      </c>
      <c r="M1499" t="s">
        <v>91</v>
      </c>
      <c r="N1499" s="1" t="s">
        <v>8099</v>
      </c>
      <c r="O1499" t="s">
        <v>91</v>
      </c>
      <c r="P1499" s="1" t="s">
        <v>8100</v>
      </c>
      <c r="Q1499" s="1" t="s">
        <v>8101</v>
      </c>
      <c r="R1499" s="1" t="s">
        <v>370</v>
      </c>
      <c r="T1499">
        <v>88372618</v>
      </c>
      <c r="U1499" s="1" t="s">
        <v>8074</v>
      </c>
      <c r="V1499" s="1" t="s">
        <v>7127</v>
      </c>
      <c r="W1499" s="1" t="s">
        <v>87</v>
      </c>
      <c r="X1499">
        <v>47</v>
      </c>
      <c r="Y1499">
        <v>33427975</v>
      </c>
      <c r="Z1499" t="s">
        <v>91</v>
      </c>
      <c r="AA1499" t="s">
        <v>91</v>
      </c>
      <c r="AB1499" t="s">
        <v>91</v>
      </c>
      <c r="AC1499" t="s">
        <v>91</v>
      </c>
      <c r="AD1499" t="s">
        <v>91</v>
      </c>
      <c r="AE1499" t="s">
        <v>91</v>
      </c>
      <c r="AF1499" t="s">
        <v>91</v>
      </c>
      <c r="AG1499" s="1" t="s">
        <v>146</v>
      </c>
      <c r="AH1499" s="1" t="s">
        <v>91</v>
      </c>
      <c r="AI1499" t="s">
        <v>91</v>
      </c>
      <c r="AM1499" t="s">
        <v>91</v>
      </c>
      <c r="AN1499" t="s">
        <v>91</v>
      </c>
      <c r="AO1499" t="s">
        <v>91</v>
      </c>
      <c r="AP1499" t="s">
        <v>91</v>
      </c>
      <c r="AQ1499" s="1" t="s">
        <v>147</v>
      </c>
      <c r="AR1499" s="1" t="s">
        <v>147</v>
      </c>
      <c r="AS1499" s="1" t="s">
        <v>147</v>
      </c>
      <c r="AT1499" s="1" t="s">
        <v>147</v>
      </c>
      <c r="AU1499" s="1" t="s">
        <v>147</v>
      </c>
      <c r="AV1499" t="s">
        <v>91</v>
      </c>
      <c r="AW1499" t="s">
        <v>91</v>
      </c>
      <c r="AX1499" t="s">
        <v>91</v>
      </c>
      <c r="AY1499" t="s">
        <v>91</v>
      </c>
      <c r="AZ1499" t="s">
        <v>91</v>
      </c>
      <c r="BA1499" t="s">
        <v>91</v>
      </c>
      <c r="BB1499" s="2">
        <v>44378.578518518516</v>
      </c>
      <c r="BC1499" s="2">
        <v>44600.695625</v>
      </c>
      <c r="BD1499" t="s">
        <v>91</v>
      </c>
      <c r="BF1499" s="1" t="s">
        <v>75</v>
      </c>
      <c r="BH1499">
        <v>0</v>
      </c>
      <c r="BI1499" s="1" t="s">
        <v>88</v>
      </c>
      <c r="BJ1499">
        <v>1</v>
      </c>
      <c r="BK1499" s="1" t="s">
        <v>89</v>
      </c>
      <c r="BL1499" t="s">
        <v>91</v>
      </c>
      <c r="BM1499" s="1" t="s">
        <v>109</v>
      </c>
      <c r="BN1499" s="1" t="s">
        <v>110</v>
      </c>
      <c r="BO1499" s="1" t="s">
        <v>165</v>
      </c>
      <c r="BP1499" s="1" t="s">
        <v>91</v>
      </c>
      <c r="BQ1499" t="s">
        <v>91</v>
      </c>
      <c r="BR1499" s="3">
        <v>44378</v>
      </c>
      <c r="BS1499" s="3">
        <v>44600</v>
      </c>
      <c r="BT1499" t="s">
        <v>91</v>
      </c>
      <c r="BU1499" t="s">
        <v>91</v>
      </c>
      <c r="BW1499" s="1" t="s">
        <v>390</v>
      </c>
    </row>
    <row r="1500" spans="1:75" hidden="1" x14ac:dyDescent="0.35">
      <c r="A1500">
        <v>157069</v>
      </c>
      <c r="B1500" s="1" t="s">
        <v>75</v>
      </c>
      <c r="C1500">
        <v>80</v>
      </c>
      <c r="D1500">
        <v>11121004</v>
      </c>
      <c r="E1500">
        <v>121004</v>
      </c>
      <c r="F1500" s="1" t="s">
        <v>6867</v>
      </c>
      <c r="G1500" s="1" t="s">
        <v>8102</v>
      </c>
      <c r="H1500">
        <v>0</v>
      </c>
      <c r="I1500" s="1" t="s">
        <v>78</v>
      </c>
      <c r="J1500" s="1" t="s">
        <v>8103</v>
      </c>
      <c r="K1500" s="1" t="s">
        <v>8104</v>
      </c>
      <c r="L1500" t="s">
        <v>91</v>
      </c>
      <c r="M1500" t="s">
        <v>91</v>
      </c>
      <c r="N1500" s="1" t="s">
        <v>3192</v>
      </c>
      <c r="O1500" t="s">
        <v>91</v>
      </c>
      <c r="P1500" s="1" t="s">
        <v>682</v>
      </c>
      <c r="Q1500" s="1" t="s">
        <v>7178</v>
      </c>
      <c r="R1500" s="1" t="s">
        <v>8105</v>
      </c>
      <c r="S1500">
        <v>1271</v>
      </c>
      <c r="T1500">
        <v>89010203</v>
      </c>
      <c r="U1500" s="1" t="s">
        <v>108</v>
      </c>
      <c r="V1500" s="1" t="s">
        <v>3571</v>
      </c>
      <c r="W1500" s="1" t="s">
        <v>87</v>
      </c>
      <c r="X1500">
        <v>47</v>
      </c>
      <c r="Y1500">
        <v>33360628</v>
      </c>
      <c r="Z1500" t="s">
        <v>91</v>
      </c>
      <c r="AA1500" t="s">
        <v>91</v>
      </c>
      <c r="AB1500" t="s">
        <v>91</v>
      </c>
      <c r="AC1500" t="s">
        <v>91</v>
      </c>
      <c r="AD1500" t="s">
        <v>91</v>
      </c>
      <c r="AE1500" t="s">
        <v>91</v>
      </c>
      <c r="AF1500" t="s">
        <v>91</v>
      </c>
      <c r="AG1500" s="1" t="s">
        <v>91</v>
      </c>
      <c r="AH1500" s="1" t="s">
        <v>91</v>
      </c>
      <c r="AI1500" t="s">
        <v>91</v>
      </c>
      <c r="AM1500" t="s">
        <v>91</v>
      </c>
      <c r="AN1500" t="s">
        <v>91</v>
      </c>
      <c r="AO1500" t="s">
        <v>91</v>
      </c>
      <c r="AP1500" t="s">
        <v>91</v>
      </c>
      <c r="AQ1500" s="1" t="s">
        <v>91</v>
      </c>
      <c r="AR1500" s="1" t="s">
        <v>91</v>
      </c>
      <c r="AS1500" s="1" t="s">
        <v>91</v>
      </c>
      <c r="AT1500" s="1" t="s">
        <v>91</v>
      </c>
      <c r="AU1500" s="1" t="s">
        <v>91</v>
      </c>
      <c r="AV1500" t="s">
        <v>91</v>
      </c>
      <c r="AW1500" t="s">
        <v>91</v>
      </c>
      <c r="AX1500" t="s">
        <v>91</v>
      </c>
      <c r="AY1500" t="s">
        <v>91</v>
      </c>
      <c r="AZ1500" t="s">
        <v>91</v>
      </c>
      <c r="BA1500" t="s">
        <v>91</v>
      </c>
      <c r="BB1500" s="2">
        <v>45113.505416666667</v>
      </c>
      <c r="BC1500" s="2"/>
      <c r="BD1500" t="s">
        <v>91</v>
      </c>
      <c r="BF1500" s="1" t="s">
        <v>75</v>
      </c>
      <c r="BI1500" s="1" t="s">
        <v>88</v>
      </c>
      <c r="BJ1500">
        <v>1</v>
      </c>
      <c r="BK1500" s="1" t="s">
        <v>89</v>
      </c>
      <c r="BL1500" t="s">
        <v>91</v>
      </c>
      <c r="BM1500" s="1" t="s">
        <v>91</v>
      </c>
      <c r="BN1500" s="1" t="s">
        <v>91</v>
      </c>
      <c r="BO1500" s="1" t="s">
        <v>91</v>
      </c>
      <c r="BP1500" s="1" t="s">
        <v>91</v>
      </c>
      <c r="BQ1500" t="s">
        <v>91</v>
      </c>
      <c r="BR1500" s="3">
        <v>45113</v>
      </c>
      <c r="BS1500" s="3"/>
      <c r="BT1500" t="s">
        <v>91</v>
      </c>
      <c r="BU1500" t="s">
        <v>91</v>
      </c>
      <c r="BW1500" s="1" t="s">
        <v>90</v>
      </c>
    </row>
    <row r="1501" spans="1:75" hidden="1" x14ac:dyDescent="0.35">
      <c r="A1501">
        <v>157754</v>
      </c>
      <c r="B1501" s="1" t="s">
        <v>75</v>
      </c>
      <c r="C1501">
        <v>80</v>
      </c>
      <c r="D1501">
        <v>11121004</v>
      </c>
      <c r="E1501">
        <v>121004</v>
      </c>
      <c r="F1501" s="1" t="s">
        <v>6867</v>
      </c>
      <c r="G1501" s="1" t="s">
        <v>8106</v>
      </c>
      <c r="H1501">
        <v>0</v>
      </c>
      <c r="I1501" s="1" t="s">
        <v>78</v>
      </c>
      <c r="J1501" s="1" t="s">
        <v>8107</v>
      </c>
      <c r="K1501" s="1" t="s">
        <v>8108</v>
      </c>
      <c r="L1501" t="s">
        <v>91</v>
      </c>
      <c r="M1501" t="s">
        <v>91</v>
      </c>
      <c r="N1501" s="1" t="s">
        <v>8109</v>
      </c>
      <c r="O1501" t="s">
        <v>91</v>
      </c>
      <c r="P1501" s="1" t="s">
        <v>7736</v>
      </c>
      <c r="Q1501" s="1" t="s">
        <v>2277</v>
      </c>
      <c r="R1501" s="1" t="s">
        <v>236</v>
      </c>
      <c r="S1501">
        <v>1273</v>
      </c>
      <c r="T1501">
        <v>89107000</v>
      </c>
      <c r="U1501" s="1" t="s">
        <v>108</v>
      </c>
      <c r="V1501" s="1" t="s">
        <v>7483</v>
      </c>
      <c r="W1501" s="1" t="s">
        <v>87</v>
      </c>
      <c r="X1501">
        <v>47</v>
      </c>
      <c r="Y1501">
        <v>33824929</v>
      </c>
      <c r="Z1501" t="s">
        <v>91</v>
      </c>
      <c r="AA1501" t="s">
        <v>91</v>
      </c>
      <c r="AB1501" t="s">
        <v>91</v>
      </c>
      <c r="AC1501" t="s">
        <v>91</v>
      </c>
      <c r="AD1501" t="s">
        <v>91</v>
      </c>
      <c r="AE1501" t="s">
        <v>91</v>
      </c>
      <c r="AF1501" t="s">
        <v>91</v>
      </c>
      <c r="AG1501" s="1" t="s">
        <v>91</v>
      </c>
      <c r="AH1501" s="1" t="s">
        <v>91</v>
      </c>
      <c r="AI1501" t="s">
        <v>91</v>
      </c>
      <c r="AM1501" t="s">
        <v>91</v>
      </c>
      <c r="AN1501" t="s">
        <v>91</v>
      </c>
      <c r="AO1501" t="s">
        <v>91</v>
      </c>
      <c r="AP1501" t="s">
        <v>91</v>
      </c>
      <c r="AQ1501" s="1" t="s">
        <v>91</v>
      </c>
      <c r="AR1501" s="1" t="s">
        <v>91</v>
      </c>
      <c r="AS1501" s="1" t="s">
        <v>91</v>
      </c>
      <c r="AT1501" s="1" t="s">
        <v>91</v>
      </c>
      <c r="AU1501" s="1" t="s">
        <v>91</v>
      </c>
      <c r="AV1501" t="s">
        <v>91</v>
      </c>
      <c r="AW1501" t="s">
        <v>91</v>
      </c>
      <c r="AX1501" t="s">
        <v>91</v>
      </c>
      <c r="AY1501" t="s">
        <v>91</v>
      </c>
      <c r="AZ1501" t="s">
        <v>91</v>
      </c>
      <c r="BA1501" t="s">
        <v>91</v>
      </c>
      <c r="BB1501" s="2">
        <v>45118.101759259262</v>
      </c>
      <c r="BC1501" s="2"/>
      <c r="BD1501" t="s">
        <v>91</v>
      </c>
      <c r="BF1501" s="1" t="s">
        <v>75</v>
      </c>
      <c r="BI1501" s="1" t="s">
        <v>88</v>
      </c>
      <c r="BJ1501">
        <v>1</v>
      </c>
      <c r="BK1501" s="1" t="s">
        <v>89</v>
      </c>
      <c r="BL1501" t="s">
        <v>91</v>
      </c>
      <c r="BM1501" s="1" t="s">
        <v>91</v>
      </c>
      <c r="BN1501" s="1" t="s">
        <v>91</v>
      </c>
      <c r="BO1501" s="1" t="s">
        <v>91</v>
      </c>
      <c r="BP1501" s="1" t="s">
        <v>91</v>
      </c>
      <c r="BQ1501" t="s">
        <v>91</v>
      </c>
      <c r="BR1501" s="3">
        <v>45118</v>
      </c>
      <c r="BS1501" s="3"/>
      <c r="BT1501" t="s">
        <v>91</v>
      </c>
      <c r="BU1501" t="s">
        <v>91</v>
      </c>
      <c r="BW1501" s="1" t="s">
        <v>90</v>
      </c>
    </row>
    <row r="1502" spans="1:75" hidden="1" x14ac:dyDescent="0.35">
      <c r="A1502">
        <v>157805</v>
      </c>
      <c r="B1502" s="1" t="s">
        <v>75</v>
      </c>
      <c r="C1502">
        <v>80</v>
      </c>
      <c r="D1502">
        <v>11121004</v>
      </c>
      <c r="E1502">
        <v>121004</v>
      </c>
      <c r="F1502" s="1" t="s">
        <v>6867</v>
      </c>
      <c r="G1502" s="1" t="s">
        <v>8110</v>
      </c>
      <c r="H1502">
        <v>0</v>
      </c>
      <c r="I1502" s="1" t="s">
        <v>78</v>
      </c>
      <c r="J1502" s="1" t="s">
        <v>8111</v>
      </c>
      <c r="K1502" s="1" t="s">
        <v>8112</v>
      </c>
      <c r="L1502" t="s">
        <v>91</v>
      </c>
      <c r="M1502" t="s">
        <v>91</v>
      </c>
      <c r="N1502" s="1" t="s">
        <v>8054</v>
      </c>
      <c r="O1502" t="s">
        <v>91</v>
      </c>
      <c r="P1502" s="1" t="s">
        <v>8055</v>
      </c>
      <c r="Q1502" s="1" t="s">
        <v>8056</v>
      </c>
      <c r="R1502" s="1" t="s">
        <v>1695</v>
      </c>
      <c r="S1502">
        <v>1262</v>
      </c>
      <c r="T1502">
        <v>88338065</v>
      </c>
      <c r="U1502" s="1" t="s">
        <v>8113</v>
      </c>
      <c r="V1502" s="1" t="s">
        <v>5871</v>
      </c>
      <c r="W1502" s="1" t="s">
        <v>87</v>
      </c>
      <c r="X1502">
        <v>47</v>
      </c>
      <c r="Y1502">
        <v>33936330</v>
      </c>
      <c r="Z1502" t="s">
        <v>91</v>
      </c>
      <c r="AA1502" t="s">
        <v>91</v>
      </c>
      <c r="AB1502" t="s">
        <v>91</v>
      </c>
      <c r="AC1502" t="s">
        <v>91</v>
      </c>
      <c r="AD1502" t="s">
        <v>91</v>
      </c>
      <c r="AE1502" t="s">
        <v>91</v>
      </c>
      <c r="AF1502" t="s">
        <v>91</v>
      </c>
      <c r="AG1502" s="1" t="s">
        <v>91</v>
      </c>
      <c r="AH1502" s="1" t="s">
        <v>91</v>
      </c>
      <c r="AI1502" t="s">
        <v>91</v>
      </c>
      <c r="AM1502" t="s">
        <v>91</v>
      </c>
      <c r="AN1502" t="s">
        <v>91</v>
      </c>
      <c r="AO1502" t="s">
        <v>91</v>
      </c>
      <c r="AP1502" t="s">
        <v>91</v>
      </c>
      <c r="AQ1502" s="1" t="s">
        <v>91</v>
      </c>
      <c r="AR1502" s="1" t="s">
        <v>91</v>
      </c>
      <c r="AS1502" s="1" t="s">
        <v>91</v>
      </c>
      <c r="AT1502" s="1" t="s">
        <v>91</v>
      </c>
      <c r="AU1502" s="1" t="s">
        <v>91</v>
      </c>
      <c r="AV1502" t="s">
        <v>91</v>
      </c>
      <c r="AW1502" t="s">
        <v>91</v>
      </c>
      <c r="AX1502" t="s">
        <v>91</v>
      </c>
      <c r="AY1502" t="s">
        <v>91</v>
      </c>
      <c r="AZ1502" t="s">
        <v>91</v>
      </c>
      <c r="BA1502" t="s">
        <v>91</v>
      </c>
      <c r="BB1502" s="2">
        <v>45118.101759259262</v>
      </c>
      <c r="BC1502" s="2"/>
      <c r="BD1502" t="s">
        <v>91</v>
      </c>
      <c r="BF1502" s="1" t="s">
        <v>75</v>
      </c>
      <c r="BI1502" s="1" t="s">
        <v>88</v>
      </c>
      <c r="BJ1502">
        <v>1</v>
      </c>
      <c r="BK1502" s="1" t="s">
        <v>89</v>
      </c>
      <c r="BL1502" t="s">
        <v>91</v>
      </c>
      <c r="BM1502" s="1" t="s">
        <v>91</v>
      </c>
      <c r="BN1502" s="1" t="s">
        <v>91</v>
      </c>
      <c r="BO1502" s="1" t="s">
        <v>91</v>
      </c>
      <c r="BP1502" s="1" t="s">
        <v>91</v>
      </c>
      <c r="BQ1502" t="s">
        <v>91</v>
      </c>
      <c r="BR1502" s="3">
        <v>45118</v>
      </c>
      <c r="BS1502" s="3"/>
      <c r="BT1502" t="s">
        <v>91</v>
      </c>
      <c r="BU1502" t="s">
        <v>91</v>
      </c>
      <c r="BW1502" s="1" t="s">
        <v>90</v>
      </c>
    </row>
    <row r="1503" spans="1:75" hidden="1" x14ac:dyDescent="0.35">
      <c r="A1503">
        <v>157118</v>
      </c>
      <c r="B1503" s="1" t="s">
        <v>75</v>
      </c>
      <c r="C1503">
        <v>80</v>
      </c>
      <c r="D1503">
        <v>11121004</v>
      </c>
      <c r="E1503">
        <v>121004</v>
      </c>
      <c r="F1503" s="1" t="s">
        <v>6867</v>
      </c>
      <c r="G1503" s="1" t="s">
        <v>8114</v>
      </c>
      <c r="H1503">
        <v>0</v>
      </c>
      <c r="I1503" s="1" t="s">
        <v>78</v>
      </c>
      <c r="J1503" s="1" t="s">
        <v>8115</v>
      </c>
      <c r="K1503" s="1" t="s">
        <v>8116</v>
      </c>
      <c r="L1503" t="s">
        <v>91</v>
      </c>
      <c r="M1503" t="s">
        <v>91</v>
      </c>
      <c r="N1503" s="1" t="s">
        <v>8117</v>
      </c>
      <c r="O1503" t="s">
        <v>91</v>
      </c>
      <c r="P1503" s="1" t="s">
        <v>8050</v>
      </c>
      <c r="Q1503" s="1" t="s">
        <v>228</v>
      </c>
      <c r="R1503" s="1" t="s">
        <v>820</v>
      </c>
      <c r="S1503">
        <v>1261</v>
      </c>
      <c r="T1503">
        <v>88301425</v>
      </c>
      <c r="U1503" s="1" t="s">
        <v>108</v>
      </c>
      <c r="V1503" s="1" t="s">
        <v>6881</v>
      </c>
      <c r="W1503" s="1" t="s">
        <v>87</v>
      </c>
      <c r="X1503">
        <v>48</v>
      </c>
      <c r="Y1503">
        <v>32435604</v>
      </c>
      <c r="Z1503" t="s">
        <v>91</v>
      </c>
      <c r="AA1503" t="s">
        <v>91</v>
      </c>
      <c r="AB1503" t="s">
        <v>91</v>
      </c>
      <c r="AC1503" t="s">
        <v>91</v>
      </c>
      <c r="AD1503" t="s">
        <v>91</v>
      </c>
      <c r="AE1503" t="s">
        <v>91</v>
      </c>
      <c r="AF1503" t="s">
        <v>91</v>
      </c>
      <c r="AG1503" s="1" t="s">
        <v>91</v>
      </c>
      <c r="AH1503" s="1" t="s">
        <v>91</v>
      </c>
      <c r="AI1503" t="s">
        <v>91</v>
      </c>
      <c r="AM1503" t="s">
        <v>91</v>
      </c>
      <c r="AN1503" t="s">
        <v>91</v>
      </c>
      <c r="AO1503" t="s">
        <v>91</v>
      </c>
      <c r="AP1503" t="s">
        <v>91</v>
      </c>
      <c r="AQ1503" s="1" t="s">
        <v>91</v>
      </c>
      <c r="AR1503" s="1" t="s">
        <v>91</v>
      </c>
      <c r="AS1503" s="1" t="s">
        <v>91</v>
      </c>
      <c r="AT1503" s="1" t="s">
        <v>91</v>
      </c>
      <c r="AU1503" s="1" t="s">
        <v>91</v>
      </c>
      <c r="AV1503" t="s">
        <v>91</v>
      </c>
      <c r="AW1503" t="s">
        <v>91</v>
      </c>
      <c r="AX1503" t="s">
        <v>91</v>
      </c>
      <c r="AY1503" t="s">
        <v>91</v>
      </c>
      <c r="AZ1503" t="s">
        <v>91</v>
      </c>
      <c r="BA1503" t="s">
        <v>91</v>
      </c>
      <c r="BB1503" s="2">
        <v>45113.505416666667</v>
      </c>
      <c r="BC1503" s="2"/>
      <c r="BD1503" t="s">
        <v>91</v>
      </c>
      <c r="BF1503" s="1" t="s">
        <v>75</v>
      </c>
      <c r="BI1503" s="1" t="s">
        <v>88</v>
      </c>
      <c r="BJ1503">
        <v>1</v>
      </c>
      <c r="BK1503" s="1" t="s">
        <v>89</v>
      </c>
      <c r="BL1503" t="s">
        <v>91</v>
      </c>
      <c r="BM1503" s="1" t="s">
        <v>91</v>
      </c>
      <c r="BN1503" s="1" t="s">
        <v>91</v>
      </c>
      <c r="BO1503" s="1" t="s">
        <v>91</v>
      </c>
      <c r="BP1503" s="1" t="s">
        <v>91</v>
      </c>
      <c r="BQ1503" t="s">
        <v>91</v>
      </c>
      <c r="BR1503" s="3">
        <v>45113</v>
      </c>
      <c r="BS1503" s="3"/>
      <c r="BT1503" t="s">
        <v>91</v>
      </c>
      <c r="BU1503" t="s">
        <v>91</v>
      </c>
      <c r="BW1503" s="1" t="s">
        <v>90</v>
      </c>
    </row>
    <row r="1504" spans="1:75" hidden="1" x14ac:dyDescent="0.35">
      <c r="A1504">
        <v>137733</v>
      </c>
      <c r="B1504" s="1" t="s">
        <v>75</v>
      </c>
      <c r="C1504">
        <v>80</v>
      </c>
      <c r="D1504">
        <v>11121004</v>
      </c>
      <c r="E1504">
        <v>121004</v>
      </c>
      <c r="F1504" s="1" t="s">
        <v>6867</v>
      </c>
      <c r="G1504" s="1" t="s">
        <v>8118</v>
      </c>
      <c r="H1504">
        <v>0</v>
      </c>
      <c r="I1504" s="1" t="s">
        <v>78</v>
      </c>
      <c r="J1504" s="1" t="s">
        <v>8119</v>
      </c>
      <c r="K1504" s="1" t="s">
        <v>8120</v>
      </c>
      <c r="L1504" t="s">
        <v>91</v>
      </c>
      <c r="M1504" t="s">
        <v>91</v>
      </c>
      <c r="N1504" s="1" t="s">
        <v>91</v>
      </c>
      <c r="O1504" t="s">
        <v>91</v>
      </c>
      <c r="P1504" s="1" t="s">
        <v>8121</v>
      </c>
      <c r="Q1504" s="1" t="s">
        <v>1211</v>
      </c>
      <c r="R1504" s="1" t="s">
        <v>8122</v>
      </c>
      <c r="S1504">
        <v>1263</v>
      </c>
      <c r="T1504">
        <v>88350160</v>
      </c>
      <c r="U1504" s="1" t="s">
        <v>7894</v>
      </c>
      <c r="V1504" s="1" t="s">
        <v>6936</v>
      </c>
      <c r="W1504" s="1" t="s">
        <v>87</v>
      </c>
      <c r="X1504">
        <v>47</v>
      </c>
      <c r="Y1504">
        <v>33086995</v>
      </c>
      <c r="Z1504" t="s">
        <v>91</v>
      </c>
      <c r="AA1504" t="s">
        <v>91</v>
      </c>
      <c r="AB1504" t="s">
        <v>91</v>
      </c>
      <c r="AC1504" t="s">
        <v>91</v>
      </c>
      <c r="AD1504" t="s">
        <v>91</v>
      </c>
      <c r="AE1504" t="s">
        <v>91</v>
      </c>
      <c r="AF1504" t="s">
        <v>91</v>
      </c>
      <c r="AG1504" s="1" t="s">
        <v>146</v>
      </c>
      <c r="AH1504" s="1" t="s">
        <v>91</v>
      </c>
      <c r="AI1504" t="s">
        <v>91</v>
      </c>
      <c r="AM1504" t="s">
        <v>91</v>
      </c>
      <c r="AN1504" t="s">
        <v>91</v>
      </c>
      <c r="AO1504" t="s">
        <v>91</v>
      </c>
      <c r="AP1504" t="s">
        <v>91</v>
      </c>
      <c r="AQ1504" s="1" t="s">
        <v>147</v>
      </c>
      <c r="AR1504" s="1" t="s">
        <v>147</v>
      </c>
      <c r="AS1504" s="1" t="s">
        <v>147</v>
      </c>
      <c r="AT1504" s="1" t="s">
        <v>147</v>
      </c>
      <c r="AU1504" s="1" t="s">
        <v>147</v>
      </c>
      <c r="AV1504" t="s">
        <v>91</v>
      </c>
      <c r="AW1504" t="s">
        <v>91</v>
      </c>
      <c r="AX1504" t="s">
        <v>91</v>
      </c>
      <c r="AY1504" t="s">
        <v>91</v>
      </c>
      <c r="AZ1504" t="s">
        <v>91</v>
      </c>
      <c r="BA1504" t="s">
        <v>91</v>
      </c>
      <c r="BB1504" s="2">
        <v>44378.578518518516</v>
      </c>
      <c r="BC1504" s="2">
        <v>44662.710497685184</v>
      </c>
      <c r="BD1504" t="s">
        <v>91</v>
      </c>
      <c r="BF1504" s="1" t="s">
        <v>75</v>
      </c>
      <c r="BH1504">
        <v>0</v>
      </c>
      <c r="BI1504" s="1" t="s">
        <v>88</v>
      </c>
      <c r="BJ1504">
        <v>1</v>
      </c>
      <c r="BK1504" s="1" t="s">
        <v>89</v>
      </c>
      <c r="BL1504" t="s">
        <v>91</v>
      </c>
      <c r="BM1504" s="1" t="s">
        <v>109</v>
      </c>
      <c r="BN1504" s="1" t="s">
        <v>148</v>
      </c>
      <c r="BO1504" s="1" t="s">
        <v>180</v>
      </c>
      <c r="BP1504" s="1" t="s">
        <v>91</v>
      </c>
      <c r="BQ1504" t="s">
        <v>91</v>
      </c>
      <c r="BR1504" s="3">
        <v>44378</v>
      </c>
      <c r="BS1504" s="3">
        <v>44662</v>
      </c>
      <c r="BT1504" t="s">
        <v>91</v>
      </c>
      <c r="BU1504" t="s">
        <v>91</v>
      </c>
      <c r="BW1504" s="1" t="s">
        <v>8123</v>
      </c>
    </row>
    <row r="1505" spans="1:75" hidden="1" x14ac:dyDescent="0.35">
      <c r="A1505">
        <v>157076</v>
      </c>
      <c r="B1505" s="1" t="s">
        <v>75</v>
      </c>
      <c r="C1505">
        <v>80</v>
      </c>
      <c r="D1505">
        <v>11121004</v>
      </c>
      <c r="E1505">
        <v>121004</v>
      </c>
      <c r="F1505" s="1" t="s">
        <v>6867</v>
      </c>
      <c r="G1505" s="1" t="s">
        <v>8124</v>
      </c>
      <c r="H1505">
        <v>0</v>
      </c>
      <c r="I1505" s="1" t="s">
        <v>78</v>
      </c>
      <c r="J1505" s="1" t="s">
        <v>8125</v>
      </c>
      <c r="K1505" s="1" t="s">
        <v>8126</v>
      </c>
      <c r="L1505" t="s">
        <v>91</v>
      </c>
      <c r="M1505" t="s">
        <v>91</v>
      </c>
      <c r="N1505" s="1" t="s">
        <v>8127</v>
      </c>
      <c r="O1505" t="s">
        <v>91</v>
      </c>
      <c r="P1505" s="1" t="s">
        <v>611</v>
      </c>
      <c r="Q1505" s="1" t="s">
        <v>8128</v>
      </c>
      <c r="R1505" s="1" t="s">
        <v>91</v>
      </c>
      <c r="S1505">
        <v>1271</v>
      </c>
      <c r="T1505">
        <v>89010001</v>
      </c>
      <c r="U1505" s="1" t="s">
        <v>108</v>
      </c>
      <c r="V1505" s="1" t="s">
        <v>3571</v>
      </c>
      <c r="W1505" s="1" t="s">
        <v>87</v>
      </c>
      <c r="X1505">
        <v>47</v>
      </c>
      <c r="Y1505">
        <v>33226482</v>
      </c>
      <c r="Z1505" t="s">
        <v>91</v>
      </c>
      <c r="AA1505" t="s">
        <v>91</v>
      </c>
      <c r="AB1505" t="s">
        <v>91</v>
      </c>
      <c r="AC1505" t="s">
        <v>91</v>
      </c>
      <c r="AD1505" t="s">
        <v>91</v>
      </c>
      <c r="AE1505" t="s">
        <v>91</v>
      </c>
      <c r="AF1505" t="s">
        <v>91</v>
      </c>
      <c r="AG1505" s="1" t="s">
        <v>91</v>
      </c>
      <c r="AH1505" s="1" t="s">
        <v>91</v>
      </c>
      <c r="AI1505" t="s">
        <v>91</v>
      </c>
      <c r="AM1505" t="s">
        <v>91</v>
      </c>
      <c r="AN1505" t="s">
        <v>91</v>
      </c>
      <c r="AO1505" t="s">
        <v>91</v>
      </c>
      <c r="AP1505" t="s">
        <v>91</v>
      </c>
      <c r="AQ1505" s="1" t="s">
        <v>91</v>
      </c>
      <c r="AR1505" s="1" t="s">
        <v>91</v>
      </c>
      <c r="AS1505" s="1" t="s">
        <v>91</v>
      </c>
      <c r="AT1505" s="1" t="s">
        <v>91</v>
      </c>
      <c r="AU1505" s="1" t="s">
        <v>91</v>
      </c>
      <c r="AV1505" t="s">
        <v>91</v>
      </c>
      <c r="AW1505" t="s">
        <v>91</v>
      </c>
      <c r="AX1505" t="s">
        <v>91</v>
      </c>
      <c r="AY1505" t="s">
        <v>91</v>
      </c>
      <c r="AZ1505" t="s">
        <v>91</v>
      </c>
      <c r="BA1505" t="s">
        <v>91</v>
      </c>
      <c r="BB1505" s="2">
        <v>45113.505416666667</v>
      </c>
      <c r="BC1505" s="2"/>
      <c r="BD1505" t="s">
        <v>91</v>
      </c>
      <c r="BF1505" s="1" t="s">
        <v>75</v>
      </c>
      <c r="BI1505" s="1" t="s">
        <v>88</v>
      </c>
      <c r="BJ1505">
        <v>1</v>
      </c>
      <c r="BK1505" s="1" t="s">
        <v>89</v>
      </c>
      <c r="BL1505" t="s">
        <v>91</v>
      </c>
      <c r="BM1505" s="1" t="s">
        <v>91</v>
      </c>
      <c r="BN1505" s="1" t="s">
        <v>91</v>
      </c>
      <c r="BO1505" s="1" t="s">
        <v>91</v>
      </c>
      <c r="BP1505" s="1" t="s">
        <v>91</v>
      </c>
      <c r="BQ1505" t="s">
        <v>91</v>
      </c>
      <c r="BR1505" s="3">
        <v>45113</v>
      </c>
      <c r="BS1505" s="3"/>
      <c r="BT1505" t="s">
        <v>91</v>
      </c>
      <c r="BU1505" t="s">
        <v>91</v>
      </c>
      <c r="BW1505" s="1" t="s">
        <v>90</v>
      </c>
    </row>
    <row r="1506" spans="1:75" hidden="1" x14ac:dyDescent="0.35">
      <c r="A1506">
        <v>137736</v>
      </c>
      <c r="B1506" s="1" t="s">
        <v>75</v>
      </c>
      <c r="C1506">
        <v>80</v>
      </c>
      <c r="D1506">
        <v>11121004</v>
      </c>
      <c r="E1506">
        <v>121004</v>
      </c>
      <c r="F1506" s="1" t="s">
        <v>6867</v>
      </c>
      <c r="G1506" s="1" t="s">
        <v>8129</v>
      </c>
      <c r="H1506">
        <v>0</v>
      </c>
      <c r="I1506" s="1" t="s">
        <v>78</v>
      </c>
      <c r="J1506" s="1" t="s">
        <v>8130</v>
      </c>
      <c r="K1506" s="1" t="s">
        <v>8131</v>
      </c>
      <c r="L1506" t="s">
        <v>91</v>
      </c>
      <c r="M1506" t="s">
        <v>91</v>
      </c>
      <c r="N1506" s="1" t="s">
        <v>8132</v>
      </c>
      <c r="O1506" t="s">
        <v>91</v>
      </c>
      <c r="P1506" s="1" t="s">
        <v>7257</v>
      </c>
      <c r="Q1506" s="1" t="s">
        <v>651</v>
      </c>
      <c r="R1506" s="1" t="s">
        <v>370</v>
      </c>
      <c r="S1506">
        <v>1275</v>
      </c>
      <c r="T1506">
        <v>89135000</v>
      </c>
      <c r="U1506" s="1" t="s">
        <v>108</v>
      </c>
      <c r="V1506" s="1" t="s">
        <v>7258</v>
      </c>
      <c r="W1506" s="1" t="s">
        <v>87</v>
      </c>
      <c r="X1506">
        <v>47</v>
      </c>
      <c r="Y1506">
        <v>33530003</v>
      </c>
      <c r="Z1506" t="s">
        <v>91</v>
      </c>
      <c r="AA1506" t="s">
        <v>91</v>
      </c>
      <c r="AB1506" t="s">
        <v>91</v>
      </c>
      <c r="AC1506" t="s">
        <v>91</v>
      </c>
      <c r="AD1506" t="s">
        <v>91</v>
      </c>
      <c r="AE1506" t="s">
        <v>91</v>
      </c>
      <c r="AF1506" t="s">
        <v>91</v>
      </c>
      <c r="AG1506" s="1" t="s">
        <v>91</v>
      </c>
      <c r="AH1506" s="1" t="s">
        <v>91</v>
      </c>
      <c r="AI1506" t="s">
        <v>91</v>
      </c>
      <c r="AM1506" t="s">
        <v>91</v>
      </c>
      <c r="AN1506" t="s">
        <v>91</v>
      </c>
      <c r="AO1506" t="s">
        <v>91</v>
      </c>
      <c r="AP1506" t="s">
        <v>91</v>
      </c>
      <c r="AQ1506" s="1" t="s">
        <v>91</v>
      </c>
      <c r="AR1506" s="1" t="s">
        <v>91</v>
      </c>
      <c r="AS1506" s="1" t="s">
        <v>91</v>
      </c>
      <c r="AT1506" s="1" t="s">
        <v>91</v>
      </c>
      <c r="AU1506" s="1" t="s">
        <v>91</v>
      </c>
      <c r="AV1506" t="s">
        <v>91</v>
      </c>
      <c r="AW1506" t="s">
        <v>91</v>
      </c>
      <c r="AX1506" t="s">
        <v>91</v>
      </c>
      <c r="AY1506" t="s">
        <v>91</v>
      </c>
      <c r="AZ1506" t="s">
        <v>91</v>
      </c>
      <c r="BA1506" t="s">
        <v>91</v>
      </c>
      <c r="BB1506" s="2">
        <v>44378.578518518516</v>
      </c>
      <c r="BC1506" s="2"/>
      <c r="BD1506" t="s">
        <v>91</v>
      </c>
      <c r="BF1506" s="1" t="s">
        <v>75</v>
      </c>
      <c r="BI1506" s="1" t="s">
        <v>88</v>
      </c>
      <c r="BJ1506">
        <v>1</v>
      </c>
      <c r="BK1506" s="1" t="s">
        <v>89</v>
      </c>
      <c r="BL1506" t="s">
        <v>91</v>
      </c>
      <c r="BM1506" s="1" t="s">
        <v>109</v>
      </c>
      <c r="BN1506" s="1" t="s">
        <v>148</v>
      </c>
      <c r="BO1506" s="1" t="s">
        <v>128</v>
      </c>
      <c r="BP1506" s="1" t="s">
        <v>91</v>
      </c>
      <c r="BQ1506" t="s">
        <v>91</v>
      </c>
      <c r="BR1506" s="3">
        <v>44378</v>
      </c>
      <c r="BS1506" s="3"/>
      <c r="BT1506" t="s">
        <v>91</v>
      </c>
      <c r="BU1506" t="s">
        <v>91</v>
      </c>
      <c r="BW1506" s="1" t="s">
        <v>728</v>
      </c>
    </row>
    <row r="1507" spans="1:75" hidden="1" x14ac:dyDescent="0.35">
      <c r="A1507">
        <v>157058</v>
      </c>
      <c r="B1507" s="1" t="s">
        <v>75</v>
      </c>
      <c r="C1507">
        <v>80</v>
      </c>
      <c r="D1507">
        <v>11121004</v>
      </c>
      <c r="E1507">
        <v>121004</v>
      </c>
      <c r="F1507" s="1" t="s">
        <v>6867</v>
      </c>
      <c r="G1507" s="1" t="s">
        <v>8133</v>
      </c>
      <c r="H1507">
        <v>0</v>
      </c>
      <c r="I1507" s="1" t="s">
        <v>78</v>
      </c>
      <c r="J1507" s="1" t="s">
        <v>8134</v>
      </c>
      <c r="K1507" s="1" t="s">
        <v>8135</v>
      </c>
      <c r="L1507" t="s">
        <v>91</v>
      </c>
      <c r="M1507" t="s">
        <v>91</v>
      </c>
      <c r="N1507" s="1" t="s">
        <v>8136</v>
      </c>
      <c r="O1507" t="s">
        <v>91</v>
      </c>
      <c r="P1507" s="1" t="s">
        <v>8137</v>
      </c>
      <c r="Q1507" s="1" t="s">
        <v>8138</v>
      </c>
      <c r="R1507" s="1" t="s">
        <v>245</v>
      </c>
      <c r="T1507">
        <v>89117770</v>
      </c>
      <c r="U1507" s="1" t="s">
        <v>8139</v>
      </c>
      <c r="V1507" s="1" t="s">
        <v>7008</v>
      </c>
      <c r="W1507" s="1" t="s">
        <v>87</v>
      </c>
      <c r="X1507">
        <v>47</v>
      </c>
      <c r="Y1507">
        <v>33801663</v>
      </c>
      <c r="Z1507" t="s">
        <v>91</v>
      </c>
      <c r="AA1507" t="s">
        <v>91</v>
      </c>
      <c r="AB1507" t="s">
        <v>91</v>
      </c>
      <c r="AC1507" t="s">
        <v>91</v>
      </c>
      <c r="AD1507" t="s">
        <v>91</v>
      </c>
      <c r="AE1507" t="s">
        <v>91</v>
      </c>
      <c r="AF1507" t="s">
        <v>91</v>
      </c>
      <c r="AG1507" s="1" t="s">
        <v>91</v>
      </c>
      <c r="AH1507" s="1" t="s">
        <v>91</v>
      </c>
      <c r="AI1507" t="s">
        <v>91</v>
      </c>
      <c r="AM1507" t="s">
        <v>91</v>
      </c>
      <c r="AN1507" t="s">
        <v>91</v>
      </c>
      <c r="AO1507" t="s">
        <v>91</v>
      </c>
      <c r="AP1507" t="s">
        <v>91</v>
      </c>
      <c r="AQ1507" s="1" t="s">
        <v>91</v>
      </c>
      <c r="AR1507" s="1" t="s">
        <v>91</v>
      </c>
      <c r="AS1507" s="1" t="s">
        <v>91</v>
      </c>
      <c r="AT1507" s="1" t="s">
        <v>91</v>
      </c>
      <c r="AU1507" s="1" t="s">
        <v>91</v>
      </c>
      <c r="AV1507" t="s">
        <v>91</v>
      </c>
      <c r="AW1507" t="s">
        <v>91</v>
      </c>
      <c r="AX1507" t="s">
        <v>91</v>
      </c>
      <c r="AY1507" t="s">
        <v>91</v>
      </c>
      <c r="AZ1507" t="s">
        <v>91</v>
      </c>
      <c r="BA1507" t="s">
        <v>91</v>
      </c>
      <c r="BB1507" s="2">
        <v>45113.505416666667</v>
      </c>
      <c r="BC1507" s="2"/>
      <c r="BD1507" t="s">
        <v>91</v>
      </c>
      <c r="BF1507" s="1" t="s">
        <v>75</v>
      </c>
      <c r="BI1507" s="1" t="s">
        <v>88</v>
      </c>
      <c r="BJ1507">
        <v>1</v>
      </c>
      <c r="BK1507" s="1" t="s">
        <v>89</v>
      </c>
      <c r="BL1507" t="s">
        <v>91</v>
      </c>
      <c r="BM1507" s="1" t="s">
        <v>91</v>
      </c>
      <c r="BN1507" s="1" t="s">
        <v>91</v>
      </c>
      <c r="BO1507" s="1" t="s">
        <v>91</v>
      </c>
      <c r="BP1507" s="1" t="s">
        <v>91</v>
      </c>
      <c r="BQ1507" t="s">
        <v>91</v>
      </c>
      <c r="BR1507" s="3">
        <v>45113</v>
      </c>
      <c r="BS1507" s="3"/>
      <c r="BT1507" t="s">
        <v>91</v>
      </c>
      <c r="BU1507" t="s">
        <v>91</v>
      </c>
      <c r="BW1507" s="1" t="s">
        <v>90</v>
      </c>
    </row>
    <row r="1508" spans="1:75" hidden="1" x14ac:dyDescent="0.35">
      <c r="A1508">
        <v>137737</v>
      </c>
      <c r="B1508" s="1" t="s">
        <v>75</v>
      </c>
      <c r="C1508">
        <v>80</v>
      </c>
      <c r="D1508">
        <v>11121004</v>
      </c>
      <c r="E1508">
        <v>121004</v>
      </c>
      <c r="F1508" s="1" t="s">
        <v>6867</v>
      </c>
      <c r="G1508" s="1" t="s">
        <v>8140</v>
      </c>
      <c r="H1508">
        <v>0</v>
      </c>
      <c r="I1508" s="1" t="s">
        <v>78</v>
      </c>
      <c r="J1508" s="1" t="s">
        <v>8141</v>
      </c>
      <c r="K1508" s="1" t="s">
        <v>8142</v>
      </c>
      <c r="L1508" t="s">
        <v>91</v>
      </c>
      <c r="M1508" t="s">
        <v>91</v>
      </c>
      <c r="N1508" s="1" t="s">
        <v>8143</v>
      </c>
      <c r="O1508" t="s">
        <v>91</v>
      </c>
      <c r="P1508" s="1" t="s">
        <v>8144</v>
      </c>
      <c r="Q1508" s="1" t="s">
        <v>8145</v>
      </c>
      <c r="R1508" s="1" t="s">
        <v>173</v>
      </c>
      <c r="S1508">
        <v>1273</v>
      </c>
      <c r="T1508">
        <v>89068001</v>
      </c>
      <c r="U1508" s="1" t="s">
        <v>8146</v>
      </c>
      <c r="V1508" s="1" t="s">
        <v>3571</v>
      </c>
      <c r="W1508" s="1" t="s">
        <v>87</v>
      </c>
      <c r="X1508">
        <v>47</v>
      </c>
      <c r="Y1508">
        <v>33257626</v>
      </c>
      <c r="Z1508" t="s">
        <v>91</v>
      </c>
      <c r="AA1508" t="s">
        <v>91</v>
      </c>
      <c r="AB1508" t="s">
        <v>91</v>
      </c>
      <c r="AC1508" t="s">
        <v>91</v>
      </c>
      <c r="AD1508" t="s">
        <v>91</v>
      </c>
      <c r="AE1508" t="s">
        <v>91</v>
      </c>
      <c r="AF1508" t="s">
        <v>91</v>
      </c>
      <c r="AG1508" s="1" t="s">
        <v>146</v>
      </c>
      <c r="AH1508" s="1" t="s">
        <v>91</v>
      </c>
      <c r="AI1508" t="s">
        <v>91</v>
      </c>
      <c r="AM1508" t="s">
        <v>91</v>
      </c>
      <c r="AN1508" t="s">
        <v>91</v>
      </c>
      <c r="AO1508" t="s">
        <v>91</v>
      </c>
      <c r="AP1508" t="s">
        <v>91</v>
      </c>
      <c r="AQ1508" s="1" t="s">
        <v>147</v>
      </c>
      <c r="AR1508" s="1" t="s">
        <v>147</v>
      </c>
      <c r="AS1508" s="1" t="s">
        <v>147</v>
      </c>
      <c r="AT1508" s="1" t="s">
        <v>147</v>
      </c>
      <c r="AU1508" s="1" t="s">
        <v>147</v>
      </c>
      <c r="AV1508" t="s">
        <v>91</v>
      </c>
      <c r="AW1508" t="s">
        <v>91</v>
      </c>
      <c r="AX1508" t="s">
        <v>91</v>
      </c>
      <c r="AY1508" t="s">
        <v>91</v>
      </c>
      <c r="AZ1508" t="s">
        <v>91</v>
      </c>
      <c r="BA1508" t="s">
        <v>91</v>
      </c>
      <c r="BB1508" s="2">
        <v>44378.578518518516</v>
      </c>
      <c r="BC1508" s="2">
        <v>44630.680081018516</v>
      </c>
      <c r="BD1508" t="s">
        <v>91</v>
      </c>
      <c r="BF1508" s="1" t="s">
        <v>75</v>
      </c>
      <c r="BH1508">
        <v>0</v>
      </c>
      <c r="BI1508" s="1" t="s">
        <v>88</v>
      </c>
      <c r="BJ1508">
        <v>1</v>
      </c>
      <c r="BK1508" s="1" t="s">
        <v>89</v>
      </c>
      <c r="BL1508" t="s">
        <v>91</v>
      </c>
      <c r="BM1508" s="1" t="s">
        <v>109</v>
      </c>
      <c r="BN1508" s="1" t="s">
        <v>110</v>
      </c>
      <c r="BO1508" s="1" t="s">
        <v>91</v>
      </c>
      <c r="BP1508" s="1" t="s">
        <v>91</v>
      </c>
      <c r="BQ1508" t="s">
        <v>91</v>
      </c>
      <c r="BR1508" s="3">
        <v>44378</v>
      </c>
      <c r="BS1508" s="3">
        <v>44630</v>
      </c>
      <c r="BT1508" t="s">
        <v>91</v>
      </c>
      <c r="BU1508" t="s">
        <v>91</v>
      </c>
      <c r="BW1508" s="1" t="s">
        <v>3578</v>
      </c>
    </row>
    <row r="1509" spans="1:75" hidden="1" x14ac:dyDescent="0.35">
      <c r="A1509">
        <v>157041</v>
      </c>
      <c r="B1509" s="1" t="s">
        <v>75</v>
      </c>
      <c r="C1509">
        <v>80</v>
      </c>
      <c r="D1509">
        <v>11121004</v>
      </c>
      <c r="E1509">
        <v>121004</v>
      </c>
      <c r="F1509" s="1" t="s">
        <v>6867</v>
      </c>
      <c r="G1509" s="1" t="s">
        <v>8147</v>
      </c>
      <c r="H1509">
        <v>0</v>
      </c>
      <c r="I1509" s="1" t="s">
        <v>78</v>
      </c>
      <c r="J1509" s="1" t="s">
        <v>8148</v>
      </c>
      <c r="K1509" s="1" t="s">
        <v>8149</v>
      </c>
      <c r="L1509" t="s">
        <v>91</v>
      </c>
      <c r="M1509" t="s">
        <v>91</v>
      </c>
      <c r="N1509" s="1" t="s">
        <v>8150</v>
      </c>
      <c r="O1509" t="s">
        <v>91</v>
      </c>
      <c r="P1509" s="1" t="s">
        <v>8151</v>
      </c>
      <c r="Q1509" s="1" t="s">
        <v>8152</v>
      </c>
      <c r="R1509" s="1" t="s">
        <v>820</v>
      </c>
      <c r="S1509">
        <v>1273</v>
      </c>
      <c r="T1509">
        <v>89035402</v>
      </c>
      <c r="U1509" s="1" t="s">
        <v>688</v>
      </c>
      <c r="V1509" s="1" t="s">
        <v>3571</v>
      </c>
      <c r="W1509" s="1" t="s">
        <v>87</v>
      </c>
      <c r="X1509">
        <v>47</v>
      </c>
      <c r="Y1509">
        <v>30376232</v>
      </c>
      <c r="Z1509" t="s">
        <v>91</v>
      </c>
      <c r="AA1509" t="s">
        <v>91</v>
      </c>
      <c r="AB1509" t="s">
        <v>91</v>
      </c>
      <c r="AC1509" t="s">
        <v>91</v>
      </c>
      <c r="AD1509" t="s">
        <v>91</v>
      </c>
      <c r="AE1509" t="s">
        <v>91</v>
      </c>
      <c r="AF1509" t="s">
        <v>91</v>
      </c>
      <c r="AG1509" s="1" t="s">
        <v>146</v>
      </c>
      <c r="AH1509" s="1" t="s">
        <v>91</v>
      </c>
      <c r="AI1509" t="s">
        <v>91</v>
      </c>
      <c r="AM1509" t="s">
        <v>91</v>
      </c>
      <c r="AN1509" t="s">
        <v>91</v>
      </c>
      <c r="AO1509" t="s">
        <v>91</v>
      </c>
      <c r="AP1509" t="s">
        <v>91</v>
      </c>
      <c r="AQ1509" s="1" t="s">
        <v>147</v>
      </c>
      <c r="AR1509" s="1" t="s">
        <v>147</v>
      </c>
      <c r="AS1509" s="1" t="s">
        <v>147</v>
      </c>
      <c r="AT1509" s="1" t="s">
        <v>147</v>
      </c>
      <c r="AU1509" s="1" t="s">
        <v>147</v>
      </c>
      <c r="AV1509" t="s">
        <v>91</v>
      </c>
      <c r="AW1509" t="s">
        <v>91</v>
      </c>
      <c r="AX1509" t="s">
        <v>91</v>
      </c>
      <c r="AY1509" t="s">
        <v>91</v>
      </c>
      <c r="AZ1509" t="s">
        <v>91</v>
      </c>
      <c r="BA1509" t="s">
        <v>91</v>
      </c>
      <c r="BB1509" s="2">
        <v>45113.505416666667</v>
      </c>
      <c r="BC1509" s="2">
        <v>45117.437152777777</v>
      </c>
      <c r="BD1509" t="s">
        <v>91</v>
      </c>
      <c r="BF1509" s="1" t="s">
        <v>75</v>
      </c>
      <c r="BH1509">
        <v>0</v>
      </c>
      <c r="BI1509" s="1" t="s">
        <v>88</v>
      </c>
      <c r="BJ1509">
        <v>1</v>
      </c>
      <c r="BK1509" s="1" t="s">
        <v>89</v>
      </c>
      <c r="BL1509" t="s">
        <v>91</v>
      </c>
      <c r="BM1509" s="1" t="s">
        <v>91</v>
      </c>
      <c r="BN1509" s="1" t="s">
        <v>91</v>
      </c>
      <c r="BO1509" s="1" t="s">
        <v>91</v>
      </c>
      <c r="BP1509" s="1" t="s">
        <v>91</v>
      </c>
      <c r="BQ1509" t="s">
        <v>91</v>
      </c>
      <c r="BR1509" s="3">
        <v>45113</v>
      </c>
      <c r="BS1509" s="3">
        <v>45117</v>
      </c>
      <c r="BT1509" t="s">
        <v>91</v>
      </c>
      <c r="BU1509" t="s">
        <v>91</v>
      </c>
      <c r="BW1509" s="1" t="s">
        <v>3578</v>
      </c>
    </row>
    <row r="1510" spans="1:75" hidden="1" x14ac:dyDescent="0.35">
      <c r="A1510">
        <v>158712</v>
      </c>
      <c r="B1510" s="1" t="s">
        <v>75</v>
      </c>
      <c r="C1510">
        <v>80</v>
      </c>
      <c r="D1510">
        <v>11121004</v>
      </c>
      <c r="E1510">
        <v>121004</v>
      </c>
      <c r="F1510" s="1" t="s">
        <v>6867</v>
      </c>
      <c r="G1510" s="1" t="s">
        <v>8153</v>
      </c>
      <c r="I1510" s="1" t="s">
        <v>78</v>
      </c>
      <c r="J1510" s="1" t="s">
        <v>8154</v>
      </c>
      <c r="K1510" s="1" t="s">
        <v>8155</v>
      </c>
      <c r="L1510" t="s">
        <v>91</v>
      </c>
      <c r="M1510" t="s">
        <v>91</v>
      </c>
      <c r="N1510" s="1" t="s">
        <v>8156</v>
      </c>
      <c r="O1510" t="s">
        <v>91</v>
      </c>
      <c r="P1510" s="1" t="s">
        <v>8157</v>
      </c>
      <c r="Q1510" s="1" t="s">
        <v>728</v>
      </c>
      <c r="R1510" s="1" t="s">
        <v>236</v>
      </c>
      <c r="T1510">
        <v>89082115</v>
      </c>
      <c r="U1510" s="1" t="s">
        <v>4032</v>
      </c>
      <c r="V1510" s="1" t="s">
        <v>7659</v>
      </c>
      <c r="W1510" s="1" t="s">
        <v>87</v>
      </c>
      <c r="X1510">
        <v>47</v>
      </c>
      <c r="Y1510">
        <v>33940989</v>
      </c>
      <c r="Z1510" t="s">
        <v>91</v>
      </c>
      <c r="AA1510" t="s">
        <v>91</v>
      </c>
      <c r="AB1510" t="s">
        <v>91</v>
      </c>
      <c r="AC1510" t="s">
        <v>91</v>
      </c>
      <c r="AD1510" t="s">
        <v>91</v>
      </c>
      <c r="AE1510" t="s">
        <v>91</v>
      </c>
      <c r="AF1510" t="s">
        <v>91</v>
      </c>
      <c r="AG1510" s="1" t="s">
        <v>91</v>
      </c>
      <c r="AH1510" s="1" t="s">
        <v>91</v>
      </c>
      <c r="AI1510" t="s">
        <v>91</v>
      </c>
      <c r="AM1510" t="s">
        <v>91</v>
      </c>
      <c r="AN1510" t="s">
        <v>91</v>
      </c>
      <c r="AO1510" t="s">
        <v>91</v>
      </c>
      <c r="AP1510" t="s">
        <v>91</v>
      </c>
      <c r="AQ1510" s="1" t="s">
        <v>91</v>
      </c>
      <c r="AR1510" s="1" t="s">
        <v>91</v>
      </c>
      <c r="AS1510" s="1" t="s">
        <v>91</v>
      </c>
      <c r="AT1510" s="1" t="s">
        <v>91</v>
      </c>
      <c r="AU1510" s="1" t="s">
        <v>91</v>
      </c>
      <c r="AV1510" t="s">
        <v>91</v>
      </c>
      <c r="AW1510" t="s">
        <v>91</v>
      </c>
      <c r="AX1510" t="s">
        <v>91</v>
      </c>
      <c r="AY1510" t="s">
        <v>91</v>
      </c>
      <c r="AZ1510" t="s">
        <v>91</v>
      </c>
      <c r="BA1510" t="s">
        <v>91</v>
      </c>
      <c r="BB1510" s="2">
        <v>45155.700069444443</v>
      </c>
      <c r="BC1510" s="2"/>
      <c r="BD1510" t="s">
        <v>91</v>
      </c>
      <c r="BF1510" s="1" t="s">
        <v>75</v>
      </c>
      <c r="BI1510" s="1" t="s">
        <v>88</v>
      </c>
      <c r="BJ1510">
        <v>1</v>
      </c>
      <c r="BK1510" s="1" t="s">
        <v>89</v>
      </c>
      <c r="BL1510" t="s">
        <v>91</v>
      </c>
      <c r="BM1510" s="1" t="s">
        <v>91</v>
      </c>
      <c r="BN1510" s="1" t="s">
        <v>91</v>
      </c>
      <c r="BO1510" s="1" t="s">
        <v>91</v>
      </c>
      <c r="BP1510" s="1" t="s">
        <v>91</v>
      </c>
      <c r="BQ1510" t="s">
        <v>91</v>
      </c>
      <c r="BR1510" s="3">
        <v>45155</v>
      </c>
      <c r="BS1510" s="3"/>
      <c r="BT1510" t="s">
        <v>91</v>
      </c>
      <c r="BU1510" t="s">
        <v>91</v>
      </c>
      <c r="BW1510" s="1" t="s">
        <v>90</v>
      </c>
    </row>
    <row r="1511" spans="1:75" hidden="1" x14ac:dyDescent="0.35">
      <c r="A1511">
        <v>137738</v>
      </c>
      <c r="B1511" s="1" t="s">
        <v>75</v>
      </c>
      <c r="C1511">
        <v>80</v>
      </c>
      <c r="D1511">
        <v>11121004</v>
      </c>
      <c r="E1511">
        <v>121004</v>
      </c>
      <c r="F1511" s="1" t="s">
        <v>6867</v>
      </c>
      <c r="G1511" s="1" t="s">
        <v>8158</v>
      </c>
      <c r="H1511">
        <v>0</v>
      </c>
      <c r="I1511" s="1" t="s">
        <v>78</v>
      </c>
      <c r="J1511" s="1" t="s">
        <v>8159</v>
      </c>
      <c r="K1511" s="1" t="s">
        <v>8160</v>
      </c>
      <c r="L1511" t="s">
        <v>91</v>
      </c>
      <c r="M1511" t="s">
        <v>91</v>
      </c>
      <c r="N1511" s="1" t="s">
        <v>8161</v>
      </c>
      <c r="O1511" t="s">
        <v>91</v>
      </c>
      <c r="P1511" s="1" t="s">
        <v>8162</v>
      </c>
      <c r="Q1511" s="1" t="s">
        <v>8163</v>
      </c>
      <c r="R1511" s="1" t="s">
        <v>491</v>
      </c>
      <c r="S1511">
        <v>1273</v>
      </c>
      <c r="T1511">
        <v>89107000</v>
      </c>
      <c r="U1511" s="1" t="s">
        <v>108</v>
      </c>
      <c r="V1511" s="1" t="s">
        <v>7483</v>
      </c>
      <c r="W1511" s="1" t="s">
        <v>87</v>
      </c>
      <c r="X1511">
        <v>47</v>
      </c>
      <c r="Y1511">
        <v>33872313</v>
      </c>
      <c r="Z1511" t="s">
        <v>91</v>
      </c>
      <c r="AA1511" t="s">
        <v>91</v>
      </c>
      <c r="AB1511" t="s">
        <v>91</v>
      </c>
      <c r="AC1511" t="s">
        <v>91</v>
      </c>
      <c r="AD1511" t="s">
        <v>91</v>
      </c>
      <c r="AE1511" t="s">
        <v>91</v>
      </c>
      <c r="AF1511" t="s">
        <v>91</v>
      </c>
      <c r="AG1511" s="1" t="s">
        <v>146</v>
      </c>
      <c r="AH1511" s="1" t="s">
        <v>91</v>
      </c>
      <c r="AI1511" t="s">
        <v>91</v>
      </c>
      <c r="AM1511" t="s">
        <v>91</v>
      </c>
      <c r="AN1511" t="s">
        <v>91</v>
      </c>
      <c r="AO1511" t="s">
        <v>91</v>
      </c>
      <c r="AP1511" t="s">
        <v>91</v>
      </c>
      <c r="AQ1511" s="1" t="s">
        <v>147</v>
      </c>
      <c r="AR1511" s="1" t="s">
        <v>147</v>
      </c>
      <c r="AS1511" s="1" t="s">
        <v>147</v>
      </c>
      <c r="AT1511" s="1" t="s">
        <v>147</v>
      </c>
      <c r="AU1511" s="1" t="s">
        <v>147</v>
      </c>
      <c r="AV1511" t="s">
        <v>91</v>
      </c>
      <c r="AW1511" t="s">
        <v>91</v>
      </c>
      <c r="AX1511" t="s">
        <v>91</v>
      </c>
      <c r="AY1511" t="s">
        <v>91</v>
      </c>
      <c r="AZ1511" t="s">
        <v>91</v>
      </c>
      <c r="BA1511" t="s">
        <v>91</v>
      </c>
      <c r="BB1511" s="2">
        <v>44378.578518518516</v>
      </c>
      <c r="BC1511" s="2">
        <v>45114.602766203701</v>
      </c>
      <c r="BD1511" t="s">
        <v>91</v>
      </c>
      <c r="BF1511" s="1" t="s">
        <v>75</v>
      </c>
      <c r="BH1511">
        <v>0</v>
      </c>
      <c r="BI1511" s="1" t="s">
        <v>88</v>
      </c>
      <c r="BJ1511">
        <v>1</v>
      </c>
      <c r="BK1511" s="1" t="s">
        <v>89</v>
      </c>
      <c r="BL1511" t="s">
        <v>91</v>
      </c>
      <c r="BM1511" s="1" t="s">
        <v>329</v>
      </c>
      <c r="BN1511" s="1" t="s">
        <v>110</v>
      </c>
      <c r="BO1511" s="1" t="s">
        <v>165</v>
      </c>
      <c r="BP1511" s="1" t="s">
        <v>91</v>
      </c>
      <c r="BQ1511" t="s">
        <v>91</v>
      </c>
      <c r="BR1511" s="3">
        <v>44378</v>
      </c>
      <c r="BS1511" s="3">
        <v>45114</v>
      </c>
      <c r="BT1511" t="s">
        <v>91</v>
      </c>
      <c r="BU1511" t="s">
        <v>91</v>
      </c>
      <c r="BW1511" s="1" t="s">
        <v>83</v>
      </c>
    </row>
    <row r="1512" spans="1:75" hidden="1" x14ac:dyDescent="0.35">
      <c r="A1512">
        <v>157797</v>
      </c>
      <c r="B1512" s="1" t="s">
        <v>75</v>
      </c>
      <c r="C1512">
        <v>80</v>
      </c>
      <c r="D1512">
        <v>11121004</v>
      </c>
      <c r="E1512">
        <v>121004</v>
      </c>
      <c r="F1512" s="1" t="s">
        <v>6867</v>
      </c>
      <c r="G1512" s="1" t="s">
        <v>8164</v>
      </c>
      <c r="H1512">
        <v>0</v>
      </c>
      <c r="I1512" s="1" t="s">
        <v>78</v>
      </c>
      <c r="J1512" s="1" t="s">
        <v>8165</v>
      </c>
      <c r="K1512" s="1" t="s">
        <v>8166</v>
      </c>
      <c r="L1512" t="s">
        <v>91</v>
      </c>
      <c r="M1512" t="s">
        <v>91</v>
      </c>
      <c r="N1512" s="1" t="s">
        <v>8167</v>
      </c>
      <c r="O1512" t="s">
        <v>91</v>
      </c>
      <c r="P1512" s="1" t="s">
        <v>3083</v>
      </c>
      <c r="Q1512" s="1" t="s">
        <v>6983</v>
      </c>
      <c r="R1512" s="1" t="s">
        <v>91</v>
      </c>
      <c r="S1512">
        <v>1261</v>
      </c>
      <c r="T1512">
        <v>88301001</v>
      </c>
      <c r="U1512" s="1" t="s">
        <v>108</v>
      </c>
      <c r="V1512" s="1" t="s">
        <v>6881</v>
      </c>
      <c r="W1512" s="1" t="s">
        <v>87</v>
      </c>
      <c r="X1512">
        <v>47</v>
      </c>
      <c r="Y1512">
        <v>30463438</v>
      </c>
      <c r="Z1512" t="s">
        <v>91</v>
      </c>
      <c r="AA1512" t="s">
        <v>91</v>
      </c>
      <c r="AB1512" t="s">
        <v>91</v>
      </c>
      <c r="AC1512" t="s">
        <v>91</v>
      </c>
      <c r="AD1512" t="s">
        <v>91</v>
      </c>
      <c r="AE1512" t="s">
        <v>91</v>
      </c>
      <c r="AF1512" t="s">
        <v>91</v>
      </c>
      <c r="AG1512" s="1" t="s">
        <v>91</v>
      </c>
      <c r="AH1512" s="1" t="s">
        <v>91</v>
      </c>
      <c r="AI1512" t="s">
        <v>91</v>
      </c>
      <c r="AM1512" t="s">
        <v>91</v>
      </c>
      <c r="AN1512" t="s">
        <v>91</v>
      </c>
      <c r="AO1512" t="s">
        <v>91</v>
      </c>
      <c r="AP1512" t="s">
        <v>91</v>
      </c>
      <c r="AQ1512" s="1" t="s">
        <v>91</v>
      </c>
      <c r="AR1512" s="1" t="s">
        <v>91</v>
      </c>
      <c r="AS1512" s="1" t="s">
        <v>91</v>
      </c>
      <c r="AT1512" s="1" t="s">
        <v>91</v>
      </c>
      <c r="AU1512" s="1" t="s">
        <v>91</v>
      </c>
      <c r="AV1512" t="s">
        <v>91</v>
      </c>
      <c r="AW1512" t="s">
        <v>91</v>
      </c>
      <c r="AX1512" t="s">
        <v>91</v>
      </c>
      <c r="AY1512" t="s">
        <v>91</v>
      </c>
      <c r="AZ1512" t="s">
        <v>91</v>
      </c>
      <c r="BA1512" t="s">
        <v>91</v>
      </c>
      <c r="BB1512" s="2">
        <v>45118.101759259262</v>
      </c>
      <c r="BC1512" s="2"/>
      <c r="BD1512" t="s">
        <v>91</v>
      </c>
      <c r="BF1512" s="1" t="s">
        <v>75</v>
      </c>
      <c r="BI1512" s="1" t="s">
        <v>88</v>
      </c>
      <c r="BJ1512">
        <v>1</v>
      </c>
      <c r="BK1512" s="1" t="s">
        <v>89</v>
      </c>
      <c r="BL1512" t="s">
        <v>91</v>
      </c>
      <c r="BM1512" s="1" t="s">
        <v>91</v>
      </c>
      <c r="BN1512" s="1" t="s">
        <v>91</v>
      </c>
      <c r="BO1512" s="1" t="s">
        <v>91</v>
      </c>
      <c r="BP1512" s="1" t="s">
        <v>91</v>
      </c>
      <c r="BQ1512" t="s">
        <v>91</v>
      </c>
      <c r="BR1512" s="3">
        <v>45118</v>
      </c>
      <c r="BS1512" s="3"/>
      <c r="BT1512" t="s">
        <v>91</v>
      </c>
      <c r="BU1512" t="s">
        <v>91</v>
      </c>
      <c r="BW1512" s="1" t="s">
        <v>90</v>
      </c>
    </row>
    <row r="1513" spans="1:75" hidden="1" x14ac:dyDescent="0.35">
      <c r="A1513">
        <v>1312</v>
      </c>
      <c r="B1513" s="1" t="s">
        <v>75</v>
      </c>
      <c r="C1513">
        <v>80</v>
      </c>
      <c r="D1513">
        <v>11121004</v>
      </c>
      <c r="E1513">
        <v>121004</v>
      </c>
      <c r="F1513" s="1" t="s">
        <v>6867</v>
      </c>
      <c r="G1513" s="1" t="s">
        <v>8168</v>
      </c>
      <c r="I1513" s="1" t="s">
        <v>78</v>
      </c>
      <c r="J1513" s="1" t="s">
        <v>8169</v>
      </c>
      <c r="K1513" s="1" t="s">
        <v>8170</v>
      </c>
      <c r="L1513" t="s">
        <v>91</v>
      </c>
      <c r="M1513" t="s">
        <v>91</v>
      </c>
      <c r="N1513" s="1" t="s">
        <v>1818</v>
      </c>
      <c r="O1513" t="s">
        <v>91</v>
      </c>
      <c r="P1513" s="1" t="s">
        <v>8171</v>
      </c>
      <c r="Q1513" s="1" t="s">
        <v>8172</v>
      </c>
      <c r="R1513" s="1" t="s">
        <v>91</v>
      </c>
      <c r="S1513">
        <v>1273</v>
      </c>
      <c r="T1513">
        <v>89053200</v>
      </c>
      <c r="U1513" s="1" t="s">
        <v>7877</v>
      </c>
      <c r="V1513" s="1" t="s">
        <v>3571</v>
      </c>
      <c r="W1513" s="1" t="s">
        <v>87</v>
      </c>
      <c r="X1513">
        <v>47</v>
      </c>
      <c r="Y1513">
        <v>33231876</v>
      </c>
      <c r="Z1513" t="s">
        <v>91</v>
      </c>
      <c r="AA1513" t="s">
        <v>91</v>
      </c>
      <c r="AB1513" t="s">
        <v>91</v>
      </c>
      <c r="AC1513" t="s">
        <v>91</v>
      </c>
      <c r="AD1513" t="s">
        <v>91</v>
      </c>
      <c r="AE1513" t="s">
        <v>91</v>
      </c>
      <c r="AF1513" t="s">
        <v>91</v>
      </c>
      <c r="AG1513" s="1" t="s">
        <v>91</v>
      </c>
      <c r="AH1513" s="1" t="s">
        <v>91</v>
      </c>
      <c r="AI1513" t="s">
        <v>91</v>
      </c>
      <c r="AJ1513">
        <v>0</v>
      </c>
      <c r="AK1513">
        <v>0</v>
      </c>
      <c r="AL1513">
        <v>0</v>
      </c>
      <c r="AM1513" t="s">
        <v>91</v>
      </c>
      <c r="AN1513" t="s">
        <v>91</v>
      </c>
      <c r="AO1513" t="s">
        <v>91</v>
      </c>
      <c r="AP1513" t="s">
        <v>91</v>
      </c>
      <c r="AQ1513" s="1" t="s">
        <v>91</v>
      </c>
      <c r="AR1513" s="1" t="s">
        <v>91</v>
      </c>
      <c r="AS1513" s="1" t="s">
        <v>91</v>
      </c>
      <c r="AT1513" s="1" t="s">
        <v>91</v>
      </c>
      <c r="AU1513" s="1" t="s">
        <v>91</v>
      </c>
      <c r="AV1513" t="s">
        <v>91</v>
      </c>
      <c r="AW1513" t="s">
        <v>91</v>
      </c>
      <c r="AX1513" t="s">
        <v>91</v>
      </c>
      <c r="AY1513" t="s">
        <v>91</v>
      </c>
      <c r="AZ1513" t="s">
        <v>91</v>
      </c>
      <c r="BA1513" t="s">
        <v>91</v>
      </c>
      <c r="BB1513" s="2">
        <v>43308.393217592595</v>
      </c>
      <c r="BC1513" s="2"/>
      <c r="BD1513" t="s">
        <v>91</v>
      </c>
      <c r="BE1513">
        <v>1312</v>
      </c>
      <c r="BF1513" s="1" t="s">
        <v>75</v>
      </c>
      <c r="BG1513">
        <v>0</v>
      </c>
      <c r="BH1513">
        <v>0</v>
      </c>
      <c r="BI1513" s="1" t="s">
        <v>88</v>
      </c>
      <c r="BJ1513">
        <v>1</v>
      </c>
      <c r="BK1513" s="1" t="s">
        <v>89</v>
      </c>
      <c r="BL1513" t="s">
        <v>91</v>
      </c>
      <c r="BM1513" s="1" t="s">
        <v>109</v>
      </c>
      <c r="BN1513" s="1" t="s">
        <v>110</v>
      </c>
      <c r="BO1513" s="1" t="s">
        <v>128</v>
      </c>
      <c r="BP1513" s="1" t="s">
        <v>91</v>
      </c>
      <c r="BQ1513" t="s">
        <v>91</v>
      </c>
      <c r="BR1513" s="3">
        <v>43308</v>
      </c>
      <c r="BS1513" s="3"/>
      <c r="BT1513" t="s">
        <v>91</v>
      </c>
      <c r="BU1513" t="s">
        <v>91</v>
      </c>
      <c r="BV1513">
        <v>5</v>
      </c>
      <c r="BW1513" s="1" t="s">
        <v>166</v>
      </c>
    </row>
    <row r="1514" spans="1:75" hidden="1" x14ac:dyDescent="0.35">
      <c r="A1514">
        <v>1311</v>
      </c>
      <c r="B1514" s="1" t="s">
        <v>75</v>
      </c>
      <c r="C1514">
        <v>80</v>
      </c>
      <c r="D1514">
        <v>11121004</v>
      </c>
      <c r="E1514">
        <v>121004</v>
      </c>
      <c r="F1514" s="1" t="s">
        <v>6867</v>
      </c>
      <c r="G1514" s="1" t="s">
        <v>8173</v>
      </c>
      <c r="I1514" s="1" t="s">
        <v>78</v>
      </c>
      <c r="J1514" s="1" t="s">
        <v>8174</v>
      </c>
      <c r="K1514" s="1" t="s">
        <v>8175</v>
      </c>
      <c r="L1514" t="s">
        <v>91</v>
      </c>
      <c r="M1514" t="s">
        <v>91</v>
      </c>
      <c r="N1514" s="1" t="s">
        <v>1818</v>
      </c>
      <c r="O1514" t="s">
        <v>91</v>
      </c>
      <c r="P1514" s="1" t="s">
        <v>8176</v>
      </c>
      <c r="Q1514" s="1" t="s">
        <v>728</v>
      </c>
      <c r="R1514" s="1" t="s">
        <v>3754</v>
      </c>
      <c r="S1514">
        <v>1271</v>
      </c>
      <c r="T1514">
        <v>89010180</v>
      </c>
      <c r="U1514" s="1" t="s">
        <v>108</v>
      </c>
      <c r="V1514" s="1" t="s">
        <v>3571</v>
      </c>
      <c r="W1514" s="1" t="s">
        <v>87</v>
      </c>
      <c r="X1514">
        <v>47</v>
      </c>
      <c r="Y1514">
        <v>32223805</v>
      </c>
      <c r="Z1514" t="s">
        <v>91</v>
      </c>
      <c r="AA1514" t="s">
        <v>91</v>
      </c>
      <c r="AB1514" t="s">
        <v>91</v>
      </c>
      <c r="AC1514" t="s">
        <v>91</v>
      </c>
      <c r="AD1514" t="s">
        <v>91</v>
      </c>
      <c r="AE1514" t="s">
        <v>91</v>
      </c>
      <c r="AF1514" t="s">
        <v>91</v>
      </c>
      <c r="AG1514" s="1" t="s">
        <v>91</v>
      </c>
      <c r="AH1514" s="1" t="s">
        <v>91</v>
      </c>
      <c r="AI1514" t="s">
        <v>91</v>
      </c>
      <c r="AJ1514">
        <v>0</v>
      </c>
      <c r="AK1514">
        <v>0</v>
      </c>
      <c r="AL1514">
        <v>0</v>
      </c>
      <c r="AM1514" t="s">
        <v>91</v>
      </c>
      <c r="AN1514" t="s">
        <v>91</v>
      </c>
      <c r="AO1514" t="s">
        <v>91</v>
      </c>
      <c r="AP1514" t="s">
        <v>91</v>
      </c>
      <c r="AQ1514" s="1" t="s">
        <v>91</v>
      </c>
      <c r="AR1514" s="1" t="s">
        <v>91</v>
      </c>
      <c r="AS1514" s="1" t="s">
        <v>91</v>
      </c>
      <c r="AT1514" s="1" t="s">
        <v>91</v>
      </c>
      <c r="AU1514" s="1" t="s">
        <v>91</v>
      </c>
      <c r="AV1514" t="s">
        <v>91</v>
      </c>
      <c r="AW1514" t="s">
        <v>91</v>
      </c>
      <c r="AX1514" t="s">
        <v>91</v>
      </c>
      <c r="AY1514" t="s">
        <v>91</v>
      </c>
      <c r="AZ1514" t="s">
        <v>91</v>
      </c>
      <c r="BA1514" t="s">
        <v>91</v>
      </c>
      <c r="BB1514" s="2">
        <v>43308.393217592595</v>
      </c>
      <c r="BC1514" s="2"/>
      <c r="BD1514" t="s">
        <v>91</v>
      </c>
      <c r="BE1514">
        <v>1311</v>
      </c>
      <c r="BF1514" s="1" t="s">
        <v>75</v>
      </c>
      <c r="BG1514">
        <v>0</v>
      </c>
      <c r="BH1514">
        <v>0</v>
      </c>
      <c r="BI1514" s="1" t="s">
        <v>88</v>
      </c>
      <c r="BJ1514">
        <v>1</v>
      </c>
      <c r="BK1514" s="1" t="s">
        <v>89</v>
      </c>
      <c r="BL1514" t="s">
        <v>91</v>
      </c>
      <c r="BM1514" s="1" t="s">
        <v>329</v>
      </c>
      <c r="BN1514" s="1" t="s">
        <v>110</v>
      </c>
      <c r="BO1514" s="1" t="s">
        <v>165</v>
      </c>
      <c r="BP1514" s="1" t="s">
        <v>91</v>
      </c>
      <c r="BQ1514" t="s">
        <v>91</v>
      </c>
      <c r="BR1514" s="3">
        <v>43308</v>
      </c>
      <c r="BS1514" s="3"/>
      <c r="BT1514" t="s">
        <v>91</v>
      </c>
      <c r="BU1514" t="s">
        <v>91</v>
      </c>
      <c r="BV1514">
        <v>5</v>
      </c>
      <c r="BW1514" s="1" t="s">
        <v>83</v>
      </c>
    </row>
    <row r="1515" spans="1:75" hidden="1" x14ac:dyDescent="0.35">
      <c r="A1515">
        <v>138866</v>
      </c>
      <c r="B1515" s="1" t="s">
        <v>75</v>
      </c>
      <c r="C1515">
        <v>80</v>
      </c>
      <c r="D1515">
        <v>11121004</v>
      </c>
      <c r="E1515">
        <v>121004</v>
      </c>
      <c r="F1515" s="1" t="s">
        <v>6867</v>
      </c>
      <c r="G1515" s="1" t="s">
        <v>8177</v>
      </c>
      <c r="H1515">
        <v>0</v>
      </c>
      <c r="I1515" s="1" t="s">
        <v>78</v>
      </c>
      <c r="J1515" s="1" t="s">
        <v>8178</v>
      </c>
      <c r="K1515" s="1" t="s">
        <v>8179</v>
      </c>
      <c r="L1515" t="s">
        <v>91</v>
      </c>
      <c r="M1515" t="s">
        <v>91</v>
      </c>
      <c r="N1515" s="1" t="s">
        <v>1818</v>
      </c>
      <c r="O1515" t="s">
        <v>91</v>
      </c>
      <c r="P1515" s="1" t="s">
        <v>8180</v>
      </c>
      <c r="Q1515" s="1" t="s">
        <v>8181</v>
      </c>
      <c r="R1515" s="1" t="s">
        <v>98</v>
      </c>
      <c r="S1515">
        <v>1263</v>
      </c>
      <c r="T1515">
        <v>88385000</v>
      </c>
      <c r="U1515" s="1" t="s">
        <v>108</v>
      </c>
      <c r="V1515" s="1" t="s">
        <v>7872</v>
      </c>
      <c r="W1515" s="1" t="s">
        <v>87</v>
      </c>
      <c r="X1515">
        <v>47</v>
      </c>
      <c r="Y1515">
        <v>33452161</v>
      </c>
      <c r="Z1515" t="s">
        <v>91</v>
      </c>
      <c r="AA1515" t="s">
        <v>91</v>
      </c>
      <c r="AB1515" t="s">
        <v>91</v>
      </c>
      <c r="AC1515" t="s">
        <v>91</v>
      </c>
      <c r="AD1515" t="s">
        <v>91</v>
      </c>
      <c r="AE1515" t="s">
        <v>91</v>
      </c>
      <c r="AF1515" t="s">
        <v>91</v>
      </c>
      <c r="AG1515" s="1" t="s">
        <v>146</v>
      </c>
      <c r="AH1515" s="1" t="s">
        <v>91</v>
      </c>
      <c r="AI1515" t="s">
        <v>91</v>
      </c>
      <c r="AM1515" t="s">
        <v>91</v>
      </c>
      <c r="AN1515" t="s">
        <v>91</v>
      </c>
      <c r="AO1515" t="s">
        <v>91</v>
      </c>
      <c r="AP1515" t="s">
        <v>91</v>
      </c>
      <c r="AQ1515" s="1" t="s">
        <v>147</v>
      </c>
      <c r="AR1515" s="1" t="s">
        <v>147</v>
      </c>
      <c r="AS1515" s="1" t="s">
        <v>147</v>
      </c>
      <c r="AT1515" s="1" t="s">
        <v>147</v>
      </c>
      <c r="AU1515" s="1" t="s">
        <v>147</v>
      </c>
      <c r="AV1515" t="s">
        <v>91</v>
      </c>
      <c r="AW1515" t="s">
        <v>91</v>
      </c>
      <c r="AX1515" t="s">
        <v>91</v>
      </c>
      <c r="AY1515" t="s">
        <v>91</v>
      </c>
      <c r="AZ1515" t="s">
        <v>91</v>
      </c>
      <c r="BA1515" t="s">
        <v>91</v>
      </c>
      <c r="BB1515" s="2">
        <v>44392.456759259258</v>
      </c>
      <c r="BC1515" s="2">
        <v>44656.681967592594</v>
      </c>
      <c r="BD1515" t="s">
        <v>91</v>
      </c>
      <c r="BF1515" s="1" t="s">
        <v>75</v>
      </c>
      <c r="BH1515">
        <v>0</v>
      </c>
      <c r="BI1515" s="1" t="s">
        <v>88</v>
      </c>
      <c r="BJ1515">
        <v>1</v>
      </c>
      <c r="BK1515" s="1" t="s">
        <v>89</v>
      </c>
      <c r="BL1515" t="s">
        <v>91</v>
      </c>
      <c r="BM1515" s="1" t="s">
        <v>109</v>
      </c>
      <c r="BN1515" s="1" t="s">
        <v>110</v>
      </c>
      <c r="BO1515" s="1" t="s">
        <v>128</v>
      </c>
      <c r="BP1515" s="1" t="s">
        <v>91</v>
      </c>
      <c r="BQ1515" t="s">
        <v>91</v>
      </c>
      <c r="BR1515" s="3">
        <v>44392</v>
      </c>
      <c r="BS1515" s="3">
        <v>44656</v>
      </c>
      <c r="BT1515" t="s">
        <v>91</v>
      </c>
      <c r="BU1515" t="s">
        <v>91</v>
      </c>
      <c r="BW1515" s="1" t="s">
        <v>274</v>
      </c>
    </row>
    <row r="1516" spans="1:75" hidden="1" x14ac:dyDescent="0.35">
      <c r="A1516">
        <v>157738</v>
      </c>
      <c r="B1516" s="1" t="s">
        <v>75</v>
      </c>
      <c r="C1516">
        <v>80</v>
      </c>
      <c r="D1516">
        <v>11121004</v>
      </c>
      <c r="E1516">
        <v>121004</v>
      </c>
      <c r="F1516" s="1" t="s">
        <v>6867</v>
      </c>
      <c r="G1516" s="1" t="s">
        <v>8182</v>
      </c>
      <c r="H1516">
        <v>0</v>
      </c>
      <c r="I1516" s="1" t="s">
        <v>78</v>
      </c>
      <c r="J1516" s="1" t="s">
        <v>8183</v>
      </c>
      <c r="K1516" s="1" t="s">
        <v>8184</v>
      </c>
      <c r="L1516" t="s">
        <v>91</v>
      </c>
      <c r="M1516" t="s">
        <v>91</v>
      </c>
      <c r="N1516" s="1" t="s">
        <v>8185</v>
      </c>
      <c r="O1516" t="s">
        <v>91</v>
      </c>
      <c r="P1516" s="1" t="s">
        <v>8144</v>
      </c>
      <c r="Q1516" s="1" t="s">
        <v>8186</v>
      </c>
      <c r="R1516" s="1" t="s">
        <v>8187</v>
      </c>
      <c r="S1516">
        <v>1273</v>
      </c>
      <c r="T1516">
        <v>89068000</v>
      </c>
      <c r="U1516" s="1" t="s">
        <v>8146</v>
      </c>
      <c r="V1516" s="1" t="s">
        <v>3571</v>
      </c>
      <c r="W1516" s="1" t="s">
        <v>87</v>
      </c>
      <c r="X1516">
        <v>47</v>
      </c>
      <c r="Y1516">
        <v>30353310</v>
      </c>
      <c r="Z1516" t="s">
        <v>91</v>
      </c>
      <c r="AA1516" t="s">
        <v>91</v>
      </c>
      <c r="AB1516" t="s">
        <v>91</v>
      </c>
      <c r="AC1516" t="s">
        <v>91</v>
      </c>
      <c r="AD1516" t="s">
        <v>91</v>
      </c>
      <c r="AE1516" t="s">
        <v>91</v>
      </c>
      <c r="AF1516" t="s">
        <v>91</v>
      </c>
      <c r="AG1516" s="1" t="s">
        <v>91</v>
      </c>
      <c r="AH1516" s="1" t="s">
        <v>91</v>
      </c>
      <c r="AI1516" t="s">
        <v>91</v>
      </c>
      <c r="AM1516" t="s">
        <v>91</v>
      </c>
      <c r="AN1516" t="s">
        <v>91</v>
      </c>
      <c r="AO1516" t="s">
        <v>91</v>
      </c>
      <c r="AP1516" t="s">
        <v>91</v>
      </c>
      <c r="AQ1516" s="1" t="s">
        <v>91</v>
      </c>
      <c r="AR1516" s="1" t="s">
        <v>91</v>
      </c>
      <c r="AS1516" s="1" t="s">
        <v>91</v>
      </c>
      <c r="AT1516" s="1" t="s">
        <v>91</v>
      </c>
      <c r="AU1516" s="1" t="s">
        <v>91</v>
      </c>
      <c r="AV1516" t="s">
        <v>91</v>
      </c>
      <c r="AW1516" t="s">
        <v>91</v>
      </c>
      <c r="AX1516" t="s">
        <v>91</v>
      </c>
      <c r="AY1516" t="s">
        <v>91</v>
      </c>
      <c r="AZ1516" t="s">
        <v>91</v>
      </c>
      <c r="BA1516" t="s">
        <v>91</v>
      </c>
      <c r="BB1516" s="2">
        <v>45118.101759259262</v>
      </c>
      <c r="BC1516" s="2"/>
      <c r="BD1516" t="s">
        <v>91</v>
      </c>
      <c r="BF1516" s="1" t="s">
        <v>75</v>
      </c>
      <c r="BI1516" s="1" t="s">
        <v>88</v>
      </c>
      <c r="BJ1516">
        <v>1</v>
      </c>
      <c r="BK1516" s="1" t="s">
        <v>89</v>
      </c>
      <c r="BL1516" t="s">
        <v>91</v>
      </c>
      <c r="BM1516" s="1" t="s">
        <v>91</v>
      </c>
      <c r="BN1516" s="1" t="s">
        <v>91</v>
      </c>
      <c r="BO1516" s="1" t="s">
        <v>91</v>
      </c>
      <c r="BP1516" s="1" t="s">
        <v>91</v>
      </c>
      <c r="BQ1516" t="s">
        <v>91</v>
      </c>
      <c r="BR1516" s="3">
        <v>45118</v>
      </c>
      <c r="BS1516" s="3"/>
      <c r="BT1516" t="s">
        <v>91</v>
      </c>
      <c r="BU1516" t="s">
        <v>91</v>
      </c>
      <c r="BW1516" s="1" t="s">
        <v>912</v>
      </c>
    </row>
    <row r="1517" spans="1:75" hidden="1" x14ac:dyDescent="0.35">
      <c r="A1517">
        <v>127634</v>
      </c>
      <c r="B1517" s="1" t="s">
        <v>75</v>
      </c>
      <c r="C1517">
        <v>80</v>
      </c>
      <c r="D1517">
        <v>11121004</v>
      </c>
      <c r="E1517">
        <v>121004</v>
      </c>
      <c r="F1517" s="1" t="s">
        <v>6867</v>
      </c>
      <c r="G1517" s="1" t="s">
        <v>8188</v>
      </c>
      <c r="H1517">
        <v>0</v>
      </c>
      <c r="I1517" s="1" t="s">
        <v>78</v>
      </c>
      <c r="J1517" s="1" t="s">
        <v>8183</v>
      </c>
      <c r="K1517" s="1" t="s">
        <v>8189</v>
      </c>
      <c r="L1517" t="s">
        <v>91</v>
      </c>
      <c r="M1517" t="s">
        <v>91</v>
      </c>
      <c r="N1517" s="1" t="s">
        <v>8190</v>
      </c>
      <c r="O1517" t="s">
        <v>91</v>
      </c>
      <c r="P1517" s="1" t="s">
        <v>8144</v>
      </c>
      <c r="Q1517" s="1" t="s">
        <v>8191</v>
      </c>
      <c r="R1517" s="1" t="s">
        <v>3754</v>
      </c>
      <c r="S1517">
        <v>1273</v>
      </c>
      <c r="T1517">
        <v>89068001</v>
      </c>
      <c r="U1517" s="1" t="s">
        <v>8146</v>
      </c>
      <c r="V1517" s="1" t="s">
        <v>3571</v>
      </c>
      <c r="W1517" s="1" t="s">
        <v>87</v>
      </c>
      <c r="X1517">
        <v>47</v>
      </c>
      <c r="Y1517">
        <v>33229834</v>
      </c>
      <c r="Z1517" t="s">
        <v>91</v>
      </c>
      <c r="AA1517" t="s">
        <v>91</v>
      </c>
      <c r="AB1517" t="s">
        <v>91</v>
      </c>
      <c r="AC1517" t="s">
        <v>91</v>
      </c>
      <c r="AD1517" t="s">
        <v>91</v>
      </c>
      <c r="AE1517" t="s">
        <v>91</v>
      </c>
      <c r="AF1517" t="s">
        <v>91</v>
      </c>
      <c r="AG1517" s="1" t="s">
        <v>91</v>
      </c>
      <c r="AH1517" s="1" t="s">
        <v>91</v>
      </c>
      <c r="AI1517" t="s">
        <v>91</v>
      </c>
      <c r="AJ1517">
        <v>0</v>
      </c>
      <c r="AK1517">
        <v>0</v>
      </c>
      <c r="AL1517">
        <v>0</v>
      </c>
      <c r="AM1517" t="s">
        <v>91</v>
      </c>
      <c r="AN1517" t="s">
        <v>91</v>
      </c>
      <c r="AO1517" t="s">
        <v>91</v>
      </c>
      <c r="AP1517" t="s">
        <v>91</v>
      </c>
      <c r="AQ1517" s="1" t="s">
        <v>91</v>
      </c>
      <c r="AR1517" s="1" t="s">
        <v>91</v>
      </c>
      <c r="AS1517" s="1" t="s">
        <v>91</v>
      </c>
      <c r="AT1517" s="1" t="s">
        <v>91</v>
      </c>
      <c r="AU1517" s="1" t="s">
        <v>91</v>
      </c>
      <c r="AV1517" t="s">
        <v>91</v>
      </c>
      <c r="AW1517" t="s">
        <v>91</v>
      </c>
      <c r="AX1517" t="s">
        <v>91</v>
      </c>
      <c r="AY1517" t="s">
        <v>91</v>
      </c>
      <c r="AZ1517" t="s">
        <v>91</v>
      </c>
      <c r="BA1517" t="s">
        <v>91</v>
      </c>
      <c r="BB1517" s="2">
        <v>44111.380995370368</v>
      </c>
      <c r="BC1517" s="2"/>
      <c r="BD1517" t="s">
        <v>91</v>
      </c>
      <c r="BF1517" s="1" t="s">
        <v>75</v>
      </c>
      <c r="BG1517">
        <v>0</v>
      </c>
      <c r="BH1517">
        <v>0</v>
      </c>
      <c r="BI1517" s="1" t="s">
        <v>88</v>
      </c>
      <c r="BJ1517">
        <v>1</v>
      </c>
      <c r="BK1517" s="1" t="s">
        <v>89</v>
      </c>
      <c r="BL1517" t="s">
        <v>91</v>
      </c>
      <c r="BM1517" s="1" t="s">
        <v>109</v>
      </c>
      <c r="BN1517" s="1" t="s">
        <v>110</v>
      </c>
      <c r="BO1517" s="1" t="s">
        <v>1040</v>
      </c>
      <c r="BP1517" s="1" t="s">
        <v>91</v>
      </c>
      <c r="BQ1517" t="s">
        <v>91</v>
      </c>
      <c r="BR1517" s="3">
        <v>44111</v>
      </c>
      <c r="BS1517" s="3"/>
      <c r="BT1517" t="s">
        <v>91</v>
      </c>
      <c r="BU1517" t="s">
        <v>91</v>
      </c>
      <c r="BV1517">
        <v>4</v>
      </c>
      <c r="BW1517" s="1" t="s">
        <v>512</v>
      </c>
    </row>
    <row r="1518" spans="1:75" hidden="1" x14ac:dyDescent="0.35">
      <c r="A1518">
        <v>1308</v>
      </c>
      <c r="B1518" s="1" t="s">
        <v>75</v>
      </c>
      <c r="C1518">
        <v>80</v>
      </c>
      <c r="D1518">
        <v>11121004</v>
      </c>
      <c r="E1518">
        <v>121004</v>
      </c>
      <c r="F1518" s="1" t="s">
        <v>6867</v>
      </c>
      <c r="G1518" s="1" t="s">
        <v>8192</v>
      </c>
      <c r="I1518" s="1" t="s">
        <v>78</v>
      </c>
      <c r="J1518" s="1" t="s">
        <v>8193</v>
      </c>
      <c r="K1518" s="1" t="s">
        <v>8194</v>
      </c>
      <c r="L1518" t="s">
        <v>91</v>
      </c>
      <c r="M1518" t="s">
        <v>91</v>
      </c>
      <c r="N1518" s="1" t="s">
        <v>8195</v>
      </c>
      <c r="O1518" t="s">
        <v>91</v>
      </c>
      <c r="P1518" s="1" t="s">
        <v>8196</v>
      </c>
      <c r="Q1518" s="1" t="s">
        <v>4731</v>
      </c>
      <c r="R1518" s="1" t="s">
        <v>434</v>
      </c>
      <c r="S1518">
        <v>1273</v>
      </c>
      <c r="T1518">
        <v>89095300</v>
      </c>
      <c r="U1518" s="1" t="s">
        <v>8197</v>
      </c>
      <c r="V1518" s="1" t="s">
        <v>3571</v>
      </c>
      <c r="W1518" s="1" t="s">
        <v>87</v>
      </c>
      <c r="X1518">
        <v>47</v>
      </c>
      <c r="Y1518">
        <v>33781956</v>
      </c>
      <c r="Z1518" t="s">
        <v>91</v>
      </c>
      <c r="AA1518" t="s">
        <v>91</v>
      </c>
      <c r="AB1518" t="s">
        <v>91</v>
      </c>
      <c r="AC1518" t="s">
        <v>91</v>
      </c>
      <c r="AD1518" t="s">
        <v>91</v>
      </c>
      <c r="AE1518" t="s">
        <v>91</v>
      </c>
      <c r="AF1518" t="s">
        <v>91</v>
      </c>
      <c r="AG1518" s="1" t="s">
        <v>91</v>
      </c>
      <c r="AH1518" s="1" t="s">
        <v>91</v>
      </c>
      <c r="AI1518" t="s">
        <v>91</v>
      </c>
      <c r="AJ1518">
        <v>0</v>
      </c>
      <c r="AK1518">
        <v>0</v>
      </c>
      <c r="AL1518">
        <v>0</v>
      </c>
      <c r="AM1518" t="s">
        <v>91</v>
      </c>
      <c r="AN1518" t="s">
        <v>91</v>
      </c>
      <c r="AO1518" t="s">
        <v>91</v>
      </c>
      <c r="AP1518" t="s">
        <v>91</v>
      </c>
      <c r="AQ1518" s="1" t="s">
        <v>91</v>
      </c>
      <c r="AR1518" s="1" t="s">
        <v>91</v>
      </c>
      <c r="AS1518" s="1" t="s">
        <v>91</v>
      </c>
      <c r="AT1518" s="1" t="s">
        <v>91</v>
      </c>
      <c r="AU1518" s="1" t="s">
        <v>91</v>
      </c>
      <c r="AV1518" t="s">
        <v>91</v>
      </c>
      <c r="AW1518" t="s">
        <v>91</v>
      </c>
      <c r="AX1518" t="s">
        <v>91</v>
      </c>
      <c r="AY1518" t="s">
        <v>91</v>
      </c>
      <c r="AZ1518" t="s">
        <v>91</v>
      </c>
      <c r="BA1518" t="s">
        <v>91</v>
      </c>
      <c r="BB1518" s="2">
        <v>43308.393217592595</v>
      </c>
      <c r="BC1518" s="2"/>
      <c r="BD1518" t="s">
        <v>91</v>
      </c>
      <c r="BE1518">
        <v>1308</v>
      </c>
      <c r="BF1518" s="1" t="s">
        <v>75</v>
      </c>
      <c r="BG1518">
        <v>0</v>
      </c>
      <c r="BH1518">
        <v>0</v>
      </c>
      <c r="BI1518" s="1" t="s">
        <v>88</v>
      </c>
      <c r="BJ1518">
        <v>1</v>
      </c>
      <c r="BK1518" s="1" t="s">
        <v>89</v>
      </c>
      <c r="BL1518" t="s">
        <v>91</v>
      </c>
      <c r="BM1518" s="1" t="s">
        <v>109</v>
      </c>
      <c r="BN1518" s="1" t="s">
        <v>110</v>
      </c>
      <c r="BO1518" s="1" t="s">
        <v>128</v>
      </c>
      <c r="BP1518" s="1" t="s">
        <v>91</v>
      </c>
      <c r="BQ1518" t="s">
        <v>91</v>
      </c>
      <c r="BR1518" s="3">
        <v>43308</v>
      </c>
      <c r="BS1518" s="3"/>
      <c r="BT1518" t="s">
        <v>91</v>
      </c>
      <c r="BU1518" t="s">
        <v>91</v>
      </c>
      <c r="BV1518">
        <v>9</v>
      </c>
      <c r="BW1518" s="1" t="s">
        <v>620</v>
      </c>
    </row>
    <row r="1519" spans="1:75" hidden="1" x14ac:dyDescent="0.35">
      <c r="A1519">
        <v>1321</v>
      </c>
      <c r="B1519" s="1" t="s">
        <v>75</v>
      </c>
      <c r="C1519">
        <v>80</v>
      </c>
      <c r="D1519">
        <v>11121004</v>
      </c>
      <c r="E1519">
        <v>121004</v>
      </c>
      <c r="F1519" s="1" t="s">
        <v>6867</v>
      </c>
      <c r="G1519" s="1" t="s">
        <v>8198</v>
      </c>
      <c r="I1519" s="1" t="s">
        <v>78</v>
      </c>
      <c r="J1519" s="1" t="s">
        <v>8199</v>
      </c>
      <c r="K1519" s="1" t="s">
        <v>8200</v>
      </c>
      <c r="L1519" t="s">
        <v>91</v>
      </c>
      <c r="M1519" t="s">
        <v>91</v>
      </c>
      <c r="N1519" s="1" t="s">
        <v>8201</v>
      </c>
      <c r="O1519" t="s">
        <v>91</v>
      </c>
      <c r="P1519" s="1" t="s">
        <v>611</v>
      </c>
      <c r="Q1519" s="1" t="s">
        <v>8202</v>
      </c>
      <c r="R1519" s="1" t="s">
        <v>8203</v>
      </c>
      <c r="S1519">
        <v>1271</v>
      </c>
      <c r="T1519">
        <v>89010001</v>
      </c>
      <c r="U1519" s="1" t="s">
        <v>108</v>
      </c>
      <c r="V1519" s="1" t="s">
        <v>3571</v>
      </c>
      <c r="W1519" s="1" t="s">
        <v>87</v>
      </c>
      <c r="X1519">
        <v>47</v>
      </c>
      <c r="Y1519">
        <v>33221548</v>
      </c>
      <c r="Z1519" t="s">
        <v>91</v>
      </c>
      <c r="AA1519" t="s">
        <v>91</v>
      </c>
      <c r="AB1519" t="s">
        <v>91</v>
      </c>
      <c r="AC1519" t="s">
        <v>91</v>
      </c>
      <c r="AD1519" t="s">
        <v>91</v>
      </c>
      <c r="AE1519" t="s">
        <v>91</v>
      </c>
      <c r="AF1519" t="s">
        <v>91</v>
      </c>
      <c r="AG1519" s="1" t="s">
        <v>146</v>
      </c>
      <c r="AH1519" s="1" t="s">
        <v>91</v>
      </c>
      <c r="AI1519" t="s">
        <v>91</v>
      </c>
      <c r="AJ1519">
        <v>0</v>
      </c>
      <c r="AK1519">
        <v>0</v>
      </c>
      <c r="AL1519">
        <v>0</v>
      </c>
      <c r="AM1519" t="s">
        <v>91</v>
      </c>
      <c r="AN1519" t="s">
        <v>91</v>
      </c>
      <c r="AO1519" t="s">
        <v>91</v>
      </c>
      <c r="AP1519" t="s">
        <v>91</v>
      </c>
      <c r="AQ1519" s="1" t="s">
        <v>147</v>
      </c>
      <c r="AR1519" s="1" t="s">
        <v>147</v>
      </c>
      <c r="AS1519" s="1" t="s">
        <v>147</v>
      </c>
      <c r="AT1519" s="1" t="s">
        <v>147</v>
      </c>
      <c r="AU1519" s="1" t="s">
        <v>147</v>
      </c>
      <c r="AV1519" t="s">
        <v>91</v>
      </c>
      <c r="AW1519" t="s">
        <v>91</v>
      </c>
      <c r="AX1519" t="s">
        <v>91</v>
      </c>
      <c r="AY1519" t="s">
        <v>91</v>
      </c>
      <c r="AZ1519" t="s">
        <v>91</v>
      </c>
      <c r="BA1519" t="s">
        <v>91</v>
      </c>
      <c r="BB1519" s="2">
        <v>43308.393217592595</v>
      </c>
      <c r="BC1519" s="2">
        <v>45127.734467592592</v>
      </c>
      <c r="BD1519" t="s">
        <v>91</v>
      </c>
      <c r="BE1519">
        <v>1321</v>
      </c>
      <c r="BF1519" s="1" t="s">
        <v>75</v>
      </c>
      <c r="BG1519">
        <v>0</v>
      </c>
      <c r="BH1519">
        <v>0</v>
      </c>
      <c r="BI1519" s="1" t="s">
        <v>721</v>
      </c>
      <c r="BJ1519">
        <v>1</v>
      </c>
      <c r="BK1519" s="1" t="s">
        <v>89</v>
      </c>
      <c r="BL1519" t="s">
        <v>91</v>
      </c>
      <c r="BM1519" s="1" t="s">
        <v>109</v>
      </c>
      <c r="BN1519" s="1" t="s">
        <v>110</v>
      </c>
      <c r="BO1519" s="1" t="s">
        <v>128</v>
      </c>
      <c r="BP1519" s="1" t="s">
        <v>91</v>
      </c>
      <c r="BQ1519" t="s">
        <v>91</v>
      </c>
      <c r="BR1519" s="3">
        <v>43308</v>
      </c>
      <c r="BS1519" s="3">
        <v>45127</v>
      </c>
      <c r="BT1519" t="s">
        <v>91</v>
      </c>
      <c r="BU1519" t="s">
        <v>91</v>
      </c>
      <c r="BV1519">
        <v>1</v>
      </c>
      <c r="BW1519" s="1" t="s">
        <v>1410</v>
      </c>
    </row>
    <row r="1520" spans="1:75" hidden="1" x14ac:dyDescent="0.35">
      <c r="A1520">
        <v>137746</v>
      </c>
      <c r="B1520" s="1" t="s">
        <v>75</v>
      </c>
      <c r="C1520">
        <v>80</v>
      </c>
      <c r="D1520">
        <v>11121004</v>
      </c>
      <c r="E1520">
        <v>121004</v>
      </c>
      <c r="F1520" s="1" t="s">
        <v>6867</v>
      </c>
      <c r="G1520" s="1" t="s">
        <v>8204</v>
      </c>
      <c r="H1520">
        <v>0</v>
      </c>
      <c r="I1520" s="1" t="s">
        <v>78</v>
      </c>
      <c r="J1520" s="1" t="s">
        <v>8205</v>
      </c>
      <c r="K1520" s="1" t="s">
        <v>8206</v>
      </c>
      <c r="L1520" t="s">
        <v>91</v>
      </c>
      <c r="M1520" t="s">
        <v>91</v>
      </c>
      <c r="N1520" s="1" t="s">
        <v>8136</v>
      </c>
      <c r="O1520" t="s">
        <v>91</v>
      </c>
      <c r="P1520" s="1" t="s">
        <v>8207</v>
      </c>
      <c r="Q1520" s="1" t="s">
        <v>6035</v>
      </c>
      <c r="R1520" s="1" t="s">
        <v>3299</v>
      </c>
      <c r="T1520">
        <v>88317200</v>
      </c>
      <c r="U1520" s="1" t="s">
        <v>8208</v>
      </c>
      <c r="V1520" s="1" t="s">
        <v>6874</v>
      </c>
      <c r="W1520" s="1" t="s">
        <v>87</v>
      </c>
      <c r="X1520">
        <v>47</v>
      </c>
      <c r="Y1520">
        <v>32241958</v>
      </c>
      <c r="Z1520" t="s">
        <v>91</v>
      </c>
      <c r="AA1520" t="s">
        <v>91</v>
      </c>
      <c r="AB1520" t="s">
        <v>91</v>
      </c>
      <c r="AC1520" t="s">
        <v>91</v>
      </c>
      <c r="AD1520" t="s">
        <v>91</v>
      </c>
      <c r="AE1520" t="s">
        <v>91</v>
      </c>
      <c r="AF1520" t="s">
        <v>91</v>
      </c>
      <c r="AG1520" s="1" t="s">
        <v>146</v>
      </c>
      <c r="AH1520" s="1" t="s">
        <v>91</v>
      </c>
      <c r="AI1520" t="s">
        <v>91</v>
      </c>
      <c r="AM1520" t="s">
        <v>91</v>
      </c>
      <c r="AN1520" t="s">
        <v>91</v>
      </c>
      <c r="AO1520" t="s">
        <v>91</v>
      </c>
      <c r="AP1520" t="s">
        <v>91</v>
      </c>
      <c r="AQ1520" s="1" t="s">
        <v>147</v>
      </c>
      <c r="AR1520" s="1" t="s">
        <v>147</v>
      </c>
      <c r="AS1520" s="1" t="s">
        <v>147</v>
      </c>
      <c r="AT1520" s="1" t="s">
        <v>147</v>
      </c>
      <c r="AU1520" s="1" t="s">
        <v>147</v>
      </c>
      <c r="AV1520" t="s">
        <v>91</v>
      </c>
      <c r="AW1520" t="s">
        <v>91</v>
      </c>
      <c r="AX1520" t="s">
        <v>91</v>
      </c>
      <c r="AY1520" t="s">
        <v>91</v>
      </c>
      <c r="AZ1520" t="s">
        <v>91</v>
      </c>
      <c r="BA1520" t="s">
        <v>91</v>
      </c>
      <c r="BB1520" s="2">
        <v>44378.578518518516</v>
      </c>
      <c r="BC1520" s="2">
        <v>44579.680300925924</v>
      </c>
      <c r="BD1520" t="s">
        <v>91</v>
      </c>
      <c r="BF1520" s="1" t="s">
        <v>75</v>
      </c>
      <c r="BH1520">
        <v>0</v>
      </c>
      <c r="BI1520" s="1" t="s">
        <v>88</v>
      </c>
      <c r="BJ1520">
        <v>1</v>
      </c>
      <c r="BK1520" s="1" t="s">
        <v>89</v>
      </c>
      <c r="BL1520" t="s">
        <v>91</v>
      </c>
      <c r="BM1520" s="1" t="s">
        <v>109</v>
      </c>
      <c r="BN1520" s="1" t="s">
        <v>110</v>
      </c>
      <c r="BO1520" s="1" t="s">
        <v>128</v>
      </c>
      <c r="BP1520" s="1" t="s">
        <v>91</v>
      </c>
      <c r="BQ1520" t="s">
        <v>91</v>
      </c>
      <c r="BR1520" s="3">
        <v>44378</v>
      </c>
      <c r="BS1520" s="3">
        <v>44579</v>
      </c>
      <c r="BT1520" t="s">
        <v>91</v>
      </c>
      <c r="BU1520" t="s">
        <v>91</v>
      </c>
      <c r="BW1520" s="1" t="s">
        <v>274</v>
      </c>
    </row>
    <row r="1521" spans="1:75" hidden="1" x14ac:dyDescent="0.35">
      <c r="A1521">
        <v>1261</v>
      </c>
      <c r="B1521" s="1" t="s">
        <v>75</v>
      </c>
      <c r="C1521">
        <v>80</v>
      </c>
      <c r="D1521">
        <v>11121004</v>
      </c>
      <c r="E1521">
        <v>121004</v>
      </c>
      <c r="F1521" s="1" t="s">
        <v>6867</v>
      </c>
      <c r="G1521" s="1" t="s">
        <v>8209</v>
      </c>
      <c r="I1521" s="1" t="s">
        <v>78</v>
      </c>
      <c r="J1521" s="1" t="s">
        <v>8210</v>
      </c>
      <c r="K1521" s="1" t="s">
        <v>8211</v>
      </c>
      <c r="L1521" t="s">
        <v>91</v>
      </c>
      <c r="M1521" t="s">
        <v>91</v>
      </c>
      <c r="N1521" s="1" t="s">
        <v>8212</v>
      </c>
      <c r="O1521" t="s">
        <v>91</v>
      </c>
      <c r="P1521" s="1" t="s">
        <v>292</v>
      </c>
      <c r="Q1521" s="1" t="s">
        <v>319</v>
      </c>
      <c r="R1521" s="1" t="s">
        <v>320</v>
      </c>
      <c r="S1521">
        <v>1276</v>
      </c>
      <c r="T1521">
        <v>89160045</v>
      </c>
      <c r="U1521" s="1" t="s">
        <v>108</v>
      </c>
      <c r="V1521" s="1" t="s">
        <v>6927</v>
      </c>
      <c r="W1521" s="1" t="s">
        <v>87</v>
      </c>
      <c r="X1521">
        <v>47</v>
      </c>
      <c r="Y1521">
        <v>35210152</v>
      </c>
      <c r="Z1521" t="s">
        <v>91</v>
      </c>
      <c r="AA1521" t="s">
        <v>91</v>
      </c>
      <c r="AB1521" t="s">
        <v>91</v>
      </c>
      <c r="AC1521" t="s">
        <v>91</v>
      </c>
      <c r="AD1521" t="s">
        <v>91</v>
      </c>
      <c r="AE1521" t="s">
        <v>91</v>
      </c>
      <c r="AF1521" t="s">
        <v>91</v>
      </c>
      <c r="AG1521" s="1" t="s">
        <v>146</v>
      </c>
      <c r="AH1521" s="1" t="s">
        <v>91</v>
      </c>
      <c r="AI1521" t="s">
        <v>91</v>
      </c>
      <c r="AJ1521">
        <v>0</v>
      </c>
      <c r="AK1521">
        <v>0</v>
      </c>
      <c r="AL1521">
        <v>0</v>
      </c>
      <c r="AM1521" t="s">
        <v>91</v>
      </c>
      <c r="AN1521" t="s">
        <v>91</v>
      </c>
      <c r="AO1521" t="s">
        <v>91</v>
      </c>
      <c r="AP1521" t="s">
        <v>91</v>
      </c>
      <c r="AQ1521" s="1" t="s">
        <v>147</v>
      </c>
      <c r="AR1521" s="1" t="s">
        <v>147</v>
      </c>
      <c r="AS1521" s="1" t="s">
        <v>147</v>
      </c>
      <c r="AT1521" s="1" t="s">
        <v>147</v>
      </c>
      <c r="AU1521" s="1" t="s">
        <v>147</v>
      </c>
      <c r="AV1521" t="s">
        <v>91</v>
      </c>
      <c r="AW1521" t="s">
        <v>91</v>
      </c>
      <c r="AX1521" t="s">
        <v>91</v>
      </c>
      <c r="AY1521" t="s">
        <v>91</v>
      </c>
      <c r="AZ1521" t="s">
        <v>91</v>
      </c>
      <c r="BA1521" t="s">
        <v>91</v>
      </c>
      <c r="BB1521" s="2">
        <v>43308.393194444441</v>
      </c>
      <c r="BC1521" s="2">
        <v>45118.706620370373</v>
      </c>
      <c r="BD1521" t="s">
        <v>91</v>
      </c>
      <c r="BE1521">
        <v>1261</v>
      </c>
      <c r="BF1521" s="1" t="s">
        <v>75</v>
      </c>
      <c r="BG1521">
        <v>0</v>
      </c>
      <c r="BH1521">
        <v>0</v>
      </c>
      <c r="BI1521" s="1" t="s">
        <v>721</v>
      </c>
      <c r="BJ1521">
        <v>1</v>
      </c>
      <c r="BK1521" s="1" t="s">
        <v>89</v>
      </c>
      <c r="BL1521" t="s">
        <v>91</v>
      </c>
      <c r="BM1521" s="1" t="s">
        <v>109</v>
      </c>
      <c r="BN1521" s="1" t="s">
        <v>110</v>
      </c>
      <c r="BO1521" s="1" t="s">
        <v>180</v>
      </c>
      <c r="BP1521" s="1" t="s">
        <v>91</v>
      </c>
      <c r="BQ1521" t="s">
        <v>91</v>
      </c>
      <c r="BR1521" s="3">
        <v>43308</v>
      </c>
      <c r="BS1521" s="3">
        <v>45118</v>
      </c>
      <c r="BT1521" t="s">
        <v>91</v>
      </c>
      <c r="BU1521" t="s">
        <v>91</v>
      </c>
      <c r="BV1521">
        <v>4</v>
      </c>
      <c r="BW1521" s="1" t="s">
        <v>665</v>
      </c>
    </row>
    <row r="1522" spans="1:75" hidden="1" x14ac:dyDescent="0.35">
      <c r="A1522">
        <v>137748</v>
      </c>
      <c r="B1522" s="1" t="s">
        <v>75</v>
      </c>
      <c r="C1522">
        <v>80</v>
      </c>
      <c r="D1522">
        <v>11121004</v>
      </c>
      <c r="E1522">
        <v>121004</v>
      </c>
      <c r="F1522" s="1" t="s">
        <v>6867</v>
      </c>
      <c r="G1522" s="1" t="s">
        <v>8213</v>
      </c>
      <c r="H1522">
        <v>0</v>
      </c>
      <c r="I1522" s="1" t="s">
        <v>78</v>
      </c>
      <c r="J1522" s="1" t="s">
        <v>8214</v>
      </c>
      <c r="K1522" s="1" t="s">
        <v>8215</v>
      </c>
      <c r="L1522" t="s">
        <v>91</v>
      </c>
      <c r="M1522" t="s">
        <v>91</v>
      </c>
      <c r="N1522" s="1" t="s">
        <v>8216</v>
      </c>
      <c r="O1522" t="s">
        <v>91</v>
      </c>
      <c r="P1522" s="1" t="s">
        <v>8217</v>
      </c>
      <c r="Q1522" s="1" t="s">
        <v>2004</v>
      </c>
      <c r="R1522" s="1" t="s">
        <v>1127</v>
      </c>
      <c r="S1522">
        <v>1275</v>
      </c>
      <c r="T1522">
        <v>89140000</v>
      </c>
      <c r="U1522" s="1" t="s">
        <v>108</v>
      </c>
      <c r="V1522" s="1" t="s">
        <v>8218</v>
      </c>
      <c r="W1522" s="1" t="s">
        <v>87</v>
      </c>
      <c r="X1522">
        <v>47</v>
      </c>
      <c r="Y1522">
        <v>33572043</v>
      </c>
      <c r="Z1522" t="s">
        <v>91</v>
      </c>
      <c r="AA1522" t="s">
        <v>91</v>
      </c>
      <c r="AB1522" t="s">
        <v>91</v>
      </c>
      <c r="AC1522" t="s">
        <v>91</v>
      </c>
      <c r="AD1522" t="s">
        <v>91</v>
      </c>
      <c r="AE1522" t="s">
        <v>91</v>
      </c>
      <c r="AF1522" t="s">
        <v>91</v>
      </c>
      <c r="AG1522" s="1" t="s">
        <v>146</v>
      </c>
      <c r="AH1522" s="1" t="s">
        <v>91</v>
      </c>
      <c r="AI1522" t="s">
        <v>91</v>
      </c>
      <c r="AM1522" t="s">
        <v>91</v>
      </c>
      <c r="AN1522" t="s">
        <v>91</v>
      </c>
      <c r="AO1522" t="s">
        <v>91</v>
      </c>
      <c r="AP1522" t="s">
        <v>91</v>
      </c>
      <c r="AQ1522" s="1" t="s">
        <v>147</v>
      </c>
      <c r="AR1522" s="1" t="s">
        <v>147</v>
      </c>
      <c r="AS1522" s="1" t="s">
        <v>147</v>
      </c>
      <c r="AT1522" s="1" t="s">
        <v>147</v>
      </c>
      <c r="AU1522" s="1" t="s">
        <v>147</v>
      </c>
      <c r="AV1522" t="s">
        <v>91</v>
      </c>
      <c r="AW1522" t="s">
        <v>91</v>
      </c>
      <c r="AX1522" t="s">
        <v>91</v>
      </c>
      <c r="AY1522" t="s">
        <v>91</v>
      </c>
      <c r="AZ1522" t="s">
        <v>91</v>
      </c>
      <c r="BA1522" t="s">
        <v>91</v>
      </c>
      <c r="BB1522" s="2">
        <v>44378.578518518516</v>
      </c>
      <c r="BC1522" s="2">
        <v>44663.492592592593</v>
      </c>
      <c r="BD1522" t="s">
        <v>91</v>
      </c>
      <c r="BF1522" s="1" t="s">
        <v>75</v>
      </c>
      <c r="BH1522">
        <v>0</v>
      </c>
      <c r="BI1522" s="1" t="s">
        <v>88</v>
      </c>
      <c r="BJ1522">
        <v>1</v>
      </c>
      <c r="BK1522" s="1" t="s">
        <v>89</v>
      </c>
      <c r="BL1522" t="s">
        <v>91</v>
      </c>
      <c r="BM1522" s="1" t="s">
        <v>164</v>
      </c>
      <c r="BN1522" s="1" t="s">
        <v>110</v>
      </c>
      <c r="BO1522" s="1" t="s">
        <v>165</v>
      </c>
      <c r="BP1522" s="1" t="s">
        <v>91</v>
      </c>
      <c r="BQ1522" t="s">
        <v>91</v>
      </c>
      <c r="BR1522" s="3">
        <v>44378</v>
      </c>
      <c r="BS1522" s="3">
        <v>44663</v>
      </c>
      <c r="BT1522" t="s">
        <v>91</v>
      </c>
      <c r="BU1522" t="s">
        <v>91</v>
      </c>
      <c r="BW1522" s="1" t="s">
        <v>3211</v>
      </c>
    </row>
    <row r="1523" spans="1:75" hidden="1" x14ac:dyDescent="0.35">
      <c r="A1523">
        <v>157126</v>
      </c>
      <c r="B1523" s="1" t="s">
        <v>75</v>
      </c>
      <c r="C1523">
        <v>80</v>
      </c>
      <c r="D1523">
        <v>11121004</v>
      </c>
      <c r="E1523">
        <v>121004</v>
      </c>
      <c r="F1523" s="1" t="s">
        <v>6867</v>
      </c>
      <c r="G1523" s="1" t="s">
        <v>8219</v>
      </c>
      <c r="H1523">
        <v>0</v>
      </c>
      <c r="I1523" s="1" t="s">
        <v>78</v>
      </c>
      <c r="J1523" s="1" t="s">
        <v>8220</v>
      </c>
      <c r="K1523" s="1" t="s">
        <v>8221</v>
      </c>
      <c r="L1523" t="s">
        <v>91</v>
      </c>
      <c r="M1523" t="s">
        <v>91</v>
      </c>
      <c r="N1523" s="1" t="s">
        <v>8167</v>
      </c>
      <c r="O1523" t="s">
        <v>91</v>
      </c>
      <c r="P1523" s="1" t="s">
        <v>3083</v>
      </c>
      <c r="Q1523" s="1" t="s">
        <v>5398</v>
      </c>
      <c r="R1523" s="1" t="s">
        <v>91</v>
      </c>
      <c r="S1523">
        <v>1261</v>
      </c>
      <c r="T1523">
        <v>88301001</v>
      </c>
      <c r="U1523" s="1" t="s">
        <v>108</v>
      </c>
      <c r="V1523" s="1" t="s">
        <v>6881</v>
      </c>
      <c r="W1523" s="1" t="s">
        <v>87</v>
      </c>
      <c r="X1523">
        <v>47</v>
      </c>
      <c r="Y1523">
        <v>30452415</v>
      </c>
      <c r="Z1523" t="s">
        <v>91</v>
      </c>
      <c r="AA1523" t="s">
        <v>91</v>
      </c>
      <c r="AB1523" t="s">
        <v>91</v>
      </c>
      <c r="AC1523" t="s">
        <v>91</v>
      </c>
      <c r="AD1523" t="s">
        <v>91</v>
      </c>
      <c r="AE1523" t="s">
        <v>91</v>
      </c>
      <c r="AF1523" t="s">
        <v>91</v>
      </c>
      <c r="AG1523" s="1" t="s">
        <v>91</v>
      </c>
      <c r="AH1523" s="1" t="s">
        <v>91</v>
      </c>
      <c r="AI1523" t="s">
        <v>91</v>
      </c>
      <c r="AM1523" t="s">
        <v>91</v>
      </c>
      <c r="AN1523" t="s">
        <v>91</v>
      </c>
      <c r="AO1523" t="s">
        <v>91</v>
      </c>
      <c r="AP1523" t="s">
        <v>91</v>
      </c>
      <c r="AQ1523" s="1" t="s">
        <v>91</v>
      </c>
      <c r="AR1523" s="1" t="s">
        <v>91</v>
      </c>
      <c r="AS1523" s="1" t="s">
        <v>91</v>
      </c>
      <c r="AT1523" s="1" t="s">
        <v>91</v>
      </c>
      <c r="AU1523" s="1" t="s">
        <v>91</v>
      </c>
      <c r="AV1523" t="s">
        <v>91</v>
      </c>
      <c r="AW1523" t="s">
        <v>91</v>
      </c>
      <c r="AX1523" t="s">
        <v>91</v>
      </c>
      <c r="AY1523" t="s">
        <v>91</v>
      </c>
      <c r="AZ1523" t="s">
        <v>91</v>
      </c>
      <c r="BA1523" t="s">
        <v>91</v>
      </c>
      <c r="BB1523" s="2">
        <v>45113.505416666667</v>
      </c>
      <c r="BC1523" s="2"/>
      <c r="BD1523" t="s">
        <v>91</v>
      </c>
      <c r="BF1523" s="1" t="s">
        <v>75</v>
      </c>
      <c r="BI1523" s="1" t="s">
        <v>88</v>
      </c>
      <c r="BJ1523">
        <v>1</v>
      </c>
      <c r="BK1523" s="1" t="s">
        <v>89</v>
      </c>
      <c r="BL1523" t="s">
        <v>91</v>
      </c>
      <c r="BM1523" s="1" t="s">
        <v>91</v>
      </c>
      <c r="BN1523" s="1" t="s">
        <v>91</v>
      </c>
      <c r="BO1523" s="1" t="s">
        <v>91</v>
      </c>
      <c r="BP1523" s="1" t="s">
        <v>91</v>
      </c>
      <c r="BQ1523" t="s">
        <v>91</v>
      </c>
      <c r="BR1523" s="3">
        <v>45113</v>
      </c>
      <c r="BS1523" s="3"/>
      <c r="BT1523" t="s">
        <v>91</v>
      </c>
      <c r="BU1523" t="s">
        <v>91</v>
      </c>
      <c r="BW1523" s="1" t="s">
        <v>1089</v>
      </c>
    </row>
    <row r="1524" spans="1:75" hidden="1" x14ac:dyDescent="0.35">
      <c r="A1524">
        <v>137750</v>
      </c>
      <c r="B1524" s="1" t="s">
        <v>75</v>
      </c>
      <c r="C1524">
        <v>80</v>
      </c>
      <c r="D1524">
        <v>11121004</v>
      </c>
      <c r="E1524">
        <v>121004</v>
      </c>
      <c r="F1524" s="1" t="s">
        <v>6867</v>
      </c>
      <c r="G1524" s="1" t="s">
        <v>8222</v>
      </c>
      <c r="H1524">
        <v>0</v>
      </c>
      <c r="I1524" s="1" t="s">
        <v>78</v>
      </c>
      <c r="J1524" s="1" t="s">
        <v>8223</v>
      </c>
      <c r="K1524" s="1" t="s">
        <v>8224</v>
      </c>
      <c r="L1524" t="s">
        <v>91</v>
      </c>
      <c r="M1524" t="s">
        <v>91</v>
      </c>
      <c r="N1524" s="1" t="s">
        <v>8225</v>
      </c>
      <c r="O1524" t="s">
        <v>91</v>
      </c>
      <c r="P1524" s="1" t="s">
        <v>2204</v>
      </c>
      <c r="Q1524" s="1" t="s">
        <v>7001</v>
      </c>
      <c r="R1524" s="1" t="s">
        <v>833</v>
      </c>
      <c r="S1524">
        <v>1273</v>
      </c>
      <c r="T1524">
        <v>89080039</v>
      </c>
      <c r="U1524" s="1" t="s">
        <v>108</v>
      </c>
      <c r="V1524" s="1" t="s">
        <v>7659</v>
      </c>
      <c r="W1524" s="1" t="s">
        <v>87</v>
      </c>
      <c r="X1524">
        <v>47</v>
      </c>
      <c r="Y1524">
        <v>33330275</v>
      </c>
      <c r="Z1524" t="s">
        <v>91</v>
      </c>
      <c r="AA1524" t="s">
        <v>91</v>
      </c>
      <c r="AB1524" t="s">
        <v>91</v>
      </c>
      <c r="AC1524" t="s">
        <v>91</v>
      </c>
      <c r="AD1524" t="s">
        <v>91</v>
      </c>
      <c r="AE1524" t="s">
        <v>91</v>
      </c>
      <c r="AF1524" t="s">
        <v>91</v>
      </c>
      <c r="AG1524" s="1" t="s">
        <v>146</v>
      </c>
      <c r="AH1524" s="1" t="s">
        <v>91</v>
      </c>
      <c r="AI1524" t="s">
        <v>91</v>
      </c>
      <c r="AM1524" t="s">
        <v>91</v>
      </c>
      <c r="AN1524" t="s">
        <v>91</v>
      </c>
      <c r="AO1524" t="s">
        <v>91</v>
      </c>
      <c r="AP1524" t="s">
        <v>91</v>
      </c>
      <c r="AQ1524" s="1" t="s">
        <v>147</v>
      </c>
      <c r="AR1524" s="1" t="s">
        <v>147</v>
      </c>
      <c r="AS1524" s="1" t="s">
        <v>147</v>
      </c>
      <c r="AT1524" s="1" t="s">
        <v>147</v>
      </c>
      <c r="AU1524" s="1" t="s">
        <v>147</v>
      </c>
      <c r="AV1524" t="s">
        <v>91</v>
      </c>
      <c r="AW1524" t="s">
        <v>91</v>
      </c>
      <c r="AX1524" t="s">
        <v>91</v>
      </c>
      <c r="AY1524" t="s">
        <v>91</v>
      </c>
      <c r="AZ1524" t="s">
        <v>91</v>
      </c>
      <c r="BA1524" t="s">
        <v>91</v>
      </c>
      <c r="BB1524" s="2">
        <v>44378.578518518516</v>
      </c>
      <c r="BC1524" s="2">
        <v>44931.695891203701</v>
      </c>
      <c r="BD1524" t="s">
        <v>91</v>
      </c>
      <c r="BF1524" s="1" t="s">
        <v>75</v>
      </c>
      <c r="BH1524">
        <v>0</v>
      </c>
      <c r="BI1524" s="1" t="s">
        <v>88</v>
      </c>
      <c r="BJ1524">
        <v>1</v>
      </c>
      <c r="BK1524" s="1" t="s">
        <v>89</v>
      </c>
      <c r="BL1524" t="s">
        <v>91</v>
      </c>
      <c r="BM1524" s="1" t="s">
        <v>197</v>
      </c>
      <c r="BN1524" s="1" t="s">
        <v>148</v>
      </c>
      <c r="BO1524" s="1" t="s">
        <v>165</v>
      </c>
      <c r="BP1524" s="1" t="s">
        <v>91</v>
      </c>
      <c r="BQ1524" t="s">
        <v>91</v>
      </c>
      <c r="BR1524" s="3">
        <v>44378</v>
      </c>
      <c r="BS1524" s="3">
        <v>44931</v>
      </c>
      <c r="BT1524" t="s">
        <v>91</v>
      </c>
      <c r="BU1524" t="s">
        <v>91</v>
      </c>
      <c r="BW1524" s="1" t="s">
        <v>90</v>
      </c>
    </row>
    <row r="1525" spans="1:75" hidden="1" x14ac:dyDescent="0.35">
      <c r="A1525">
        <v>157093</v>
      </c>
      <c r="B1525" s="1" t="s">
        <v>75</v>
      </c>
      <c r="C1525">
        <v>80</v>
      </c>
      <c r="D1525">
        <v>11121004</v>
      </c>
      <c r="E1525">
        <v>121004</v>
      </c>
      <c r="F1525" s="1" t="s">
        <v>6867</v>
      </c>
      <c r="G1525" s="1" t="s">
        <v>8226</v>
      </c>
      <c r="H1525">
        <v>0</v>
      </c>
      <c r="I1525" s="1" t="s">
        <v>78</v>
      </c>
      <c r="J1525" s="1" t="s">
        <v>8227</v>
      </c>
      <c r="K1525" s="1" t="s">
        <v>8228</v>
      </c>
      <c r="L1525" t="s">
        <v>91</v>
      </c>
      <c r="M1525" t="s">
        <v>91</v>
      </c>
      <c r="N1525" s="1" t="s">
        <v>8229</v>
      </c>
      <c r="O1525" t="s">
        <v>91</v>
      </c>
      <c r="P1525" s="1" t="s">
        <v>8230</v>
      </c>
      <c r="Q1525" s="1" t="s">
        <v>8231</v>
      </c>
      <c r="R1525" s="1" t="s">
        <v>91</v>
      </c>
      <c r="S1525">
        <v>1260</v>
      </c>
      <c r="T1525">
        <v>88200000</v>
      </c>
      <c r="U1525" s="1" t="s">
        <v>108</v>
      </c>
      <c r="V1525" s="1" t="s">
        <v>6906</v>
      </c>
      <c r="W1525" s="1" t="s">
        <v>87</v>
      </c>
      <c r="X1525">
        <v>48</v>
      </c>
      <c r="Y1525">
        <v>991060866</v>
      </c>
      <c r="Z1525" t="s">
        <v>91</v>
      </c>
      <c r="AA1525" t="s">
        <v>91</v>
      </c>
      <c r="AB1525" t="s">
        <v>91</v>
      </c>
      <c r="AC1525" t="s">
        <v>91</v>
      </c>
      <c r="AD1525" t="s">
        <v>91</v>
      </c>
      <c r="AE1525" t="s">
        <v>91</v>
      </c>
      <c r="AF1525" t="s">
        <v>91</v>
      </c>
      <c r="AG1525" s="1" t="s">
        <v>91</v>
      </c>
      <c r="AH1525" s="1" t="s">
        <v>91</v>
      </c>
      <c r="AI1525" t="s">
        <v>91</v>
      </c>
      <c r="AM1525" t="s">
        <v>91</v>
      </c>
      <c r="AN1525" t="s">
        <v>91</v>
      </c>
      <c r="AO1525" t="s">
        <v>91</v>
      </c>
      <c r="AP1525" t="s">
        <v>91</v>
      </c>
      <c r="AQ1525" s="1" t="s">
        <v>91</v>
      </c>
      <c r="AR1525" s="1" t="s">
        <v>91</v>
      </c>
      <c r="AS1525" s="1" t="s">
        <v>91</v>
      </c>
      <c r="AT1525" s="1" t="s">
        <v>91</v>
      </c>
      <c r="AU1525" s="1" t="s">
        <v>91</v>
      </c>
      <c r="AV1525" t="s">
        <v>91</v>
      </c>
      <c r="AW1525" t="s">
        <v>91</v>
      </c>
      <c r="AX1525" t="s">
        <v>91</v>
      </c>
      <c r="AY1525" t="s">
        <v>91</v>
      </c>
      <c r="AZ1525" t="s">
        <v>91</v>
      </c>
      <c r="BA1525" t="s">
        <v>91</v>
      </c>
      <c r="BB1525" s="2">
        <v>45113.505416666667</v>
      </c>
      <c r="BC1525" s="2"/>
      <c r="BD1525" t="s">
        <v>91</v>
      </c>
      <c r="BF1525" s="1" t="s">
        <v>75</v>
      </c>
      <c r="BI1525" s="1" t="s">
        <v>88</v>
      </c>
      <c r="BJ1525">
        <v>1</v>
      </c>
      <c r="BK1525" s="1" t="s">
        <v>89</v>
      </c>
      <c r="BL1525" t="s">
        <v>91</v>
      </c>
      <c r="BM1525" s="1" t="s">
        <v>91</v>
      </c>
      <c r="BN1525" s="1" t="s">
        <v>91</v>
      </c>
      <c r="BO1525" s="1" t="s">
        <v>91</v>
      </c>
      <c r="BP1525" s="1" t="s">
        <v>91</v>
      </c>
      <c r="BQ1525" t="s">
        <v>91</v>
      </c>
      <c r="BR1525" s="3">
        <v>45113</v>
      </c>
      <c r="BS1525" s="3"/>
      <c r="BT1525" t="s">
        <v>91</v>
      </c>
      <c r="BU1525" t="s">
        <v>91</v>
      </c>
      <c r="BW1525" s="1" t="s">
        <v>90</v>
      </c>
    </row>
    <row r="1526" spans="1:75" hidden="1" x14ac:dyDescent="0.35">
      <c r="A1526">
        <v>157115</v>
      </c>
      <c r="B1526" s="1" t="s">
        <v>75</v>
      </c>
      <c r="C1526">
        <v>80</v>
      </c>
      <c r="D1526">
        <v>11121004</v>
      </c>
      <c r="E1526">
        <v>121004</v>
      </c>
      <c r="F1526" s="1" t="s">
        <v>6867</v>
      </c>
      <c r="G1526" s="1" t="s">
        <v>8232</v>
      </c>
      <c r="H1526">
        <v>0</v>
      </c>
      <c r="I1526" s="1" t="s">
        <v>78</v>
      </c>
      <c r="J1526" s="1" t="s">
        <v>8233</v>
      </c>
      <c r="K1526" s="1" t="s">
        <v>8234</v>
      </c>
      <c r="L1526" t="s">
        <v>91</v>
      </c>
      <c r="M1526" t="s">
        <v>91</v>
      </c>
      <c r="N1526" s="1" t="s">
        <v>8235</v>
      </c>
      <c r="O1526" t="s">
        <v>91</v>
      </c>
      <c r="P1526" s="1" t="s">
        <v>8236</v>
      </c>
      <c r="Q1526" s="1" t="s">
        <v>3707</v>
      </c>
      <c r="R1526" s="1" t="s">
        <v>91</v>
      </c>
      <c r="S1526">
        <v>1262</v>
      </c>
      <c r="T1526">
        <v>88330582</v>
      </c>
      <c r="U1526" s="1" t="s">
        <v>108</v>
      </c>
      <c r="V1526" s="1" t="s">
        <v>5871</v>
      </c>
      <c r="W1526" s="1" t="s">
        <v>87</v>
      </c>
      <c r="X1526">
        <v>47</v>
      </c>
      <c r="Y1526">
        <v>992331878</v>
      </c>
      <c r="Z1526" t="s">
        <v>91</v>
      </c>
      <c r="AA1526" t="s">
        <v>91</v>
      </c>
      <c r="AB1526" t="s">
        <v>91</v>
      </c>
      <c r="AC1526" t="s">
        <v>91</v>
      </c>
      <c r="AD1526" t="s">
        <v>91</v>
      </c>
      <c r="AE1526" t="s">
        <v>91</v>
      </c>
      <c r="AF1526" t="s">
        <v>91</v>
      </c>
      <c r="AG1526" s="1" t="s">
        <v>91</v>
      </c>
      <c r="AH1526" s="1" t="s">
        <v>91</v>
      </c>
      <c r="AI1526" t="s">
        <v>91</v>
      </c>
      <c r="AM1526" t="s">
        <v>91</v>
      </c>
      <c r="AN1526" t="s">
        <v>91</v>
      </c>
      <c r="AO1526" t="s">
        <v>91</v>
      </c>
      <c r="AP1526" t="s">
        <v>91</v>
      </c>
      <c r="AQ1526" s="1" t="s">
        <v>91</v>
      </c>
      <c r="AR1526" s="1" t="s">
        <v>91</v>
      </c>
      <c r="AS1526" s="1" t="s">
        <v>91</v>
      </c>
      <c r="AT1526" s="1" t="s">
        <v>91</v>
      </c>
      <c r="AU1526" s="1" t="s">
        <v>91</v>
      </c>
      <c r="AV1526" t="s">
        <v>91</v>
      </c>
      <c r="AW1526" t="s">
        <v>91</v>
      </c>
      <c r="AX1526" t="s">
        <v>91</v>
      </c>
      <c r="AY1526" t="s">
        <v>91</v>
      </c>
      <c r="AZ1526" t="s">
        <v>91</v>
      </c>
      <c r="BA1526" t="s">
        <v>91</v>
      </c>
      <c r="BB1526" s="2">
        <v>45113.505416666667</v>
      </c>
      <c r="BC1526" s="2"/>
      <c r="BD1526" t="s">
        <v>91</v>
      </c>
      <c r="BF1526" s="1" t="s">
        <v>75</v>
      </c>
      <c r="BI1526" s="1" t="s">
        <v>88</v>
      </c>
      <c r="BJ1526">
        <v>1</v>
      </c>
      <c r="BK1526" s="1" t="s">
        <v>89</v>
      </c>
      <c r="BL1526" t="s">
        <v>91</v>
      </c>
      <c r="BM1526" s="1" t="s">
        <v>91</v>
      </c>
      <c r="BN1526" s="1" t="s">
        <v>91</v>
      </c>
      <c r="BO1526" s="1" t="s">
        <v>91</v>
      </c>
      <c r="BP1526" s="1" t="s">
        <v>91</v>
      </c>
      <c r="BQ1526" t="s">
        <v>91</v>
      </c>
      <c r="BR1526" s="3">
        <v>45113</v>
      </c>
      <c r="BS1526" s="3"/>
      <c r="BT1526" t="s">
        <v>91</v>
      </c>
      <c r="BU1526" t="s">
        <v>91</v>
      </c>
      <c r="BW1526" s="1" t="s">
        <v>1410</v>
      </c>
    </row>
    <row r="1527" spans="1:75" hidden="1" x14ac:dyDescent="0.35">
      <c r="A1527">
        <v>140104</v>
      </c>
      <c r="B1527" s="1" t="s">
        <v>75</v>
      </c>
      <c r="C1527">
        <v>80</v>
      </c>
      <c r="D1527">
        <v>11121004</v>
      </c>
      <c r="E1527">
        <v>121004</v>
      </c>
      <c r="F1527" s="1" t="s">
        <v>6867</v>
      </c>
      <c r="G1527" s="1" t="s">
        <v>8237</v>
      </c>
      <c r="H1527">
        <v>0</v>
      </c>
      <c r="I1527" s="1" t="s">
        <v>78</v>
      </c>
      <c r="J1527" s="1" t="s">
        <v>8238</v>
      </c>
      <c r="K1527" s="1" t="s">
        <v>8239</v>
      </c>
      <c r="L1527" t="s">
        <v>91</v>
      </c>
      <c r="M1527" t="s">
        <v>91</v>
      </c>
      <c r="N1527" s="1" t="s">
        <v>8240</v>
      </c>
      <c r="O1527" t="s">
        <v>91</v>
      </c>
      <c r="P1527" s="1" t="s">
        <v>8241</v>
      </c>
      <c r="Q1527" s="1" t="s">
        <v>8242</v>
      </c>
      <c r="R1527" s="1" t="s">
        <v>236</v>
      </c>
      <c r="T1527">
        <v>89063000</v>
      </c>
      <c r="U1527" s="1" t="s">
        <v>8146</v>
      </c>
      <c r="V1527" s="1" t="s">
        <v>3571</v>
      </c>
      <c r="W1527" s="1" t="s">
        <v>87</v>
      </c>
      <c r="X1527">
        <v>47</v>
      </c>
      <c r="Y1527">
        <v>33254266</v>
      </c>
      <c r="Z1527" t="s">
        <v>91</v>
      </c>
      <c r="AA1527" t="s">
        <v>91</v>
      </c>
      <c r="AB1527" t="s">
        <v>91</v>
      </c>
      <c r="AC1527" t="s">
        <v>91</v>
      </c>
      <c r="AD1527" t="s">
        <v>91</v>
      </c>
      <c r="AE1527" t="s">
        <v>91</v>
      </c>
      <c r="AF1527" t="s">
        <v>91</v>
      </c>
      <c r="AG1527" s="1" t="s">
        <v>146</v>
      </c>
      <c r="AH1527" s="1" t="s">
        <v>91</v>
      </c>
      <c r="AI1527" t="s">
        <v>91</v>
      </c>
      <c r="AM1527" t="s">
        <v>91</v>
      </c>
      <c r="AN1527" t="s">
        <v>91</v>
      </c>
      <c r="AO1527" t="s">
        <v>91</v>
      </c>
      <c r="AP1527" t="s">
        <v>91</v>
      </c>
      <c r="AQ1527" s="1" t="s">
        <v>147</v>
      </c>
      <c r="AR1527" s="1" t="s">
        <v>147</v>
      </c>
      <c r="AS1527" s="1" t="s">
        <v>147</v>
      </c>
      <c r="AT1527" s="1" t="s">
        <v>147</v>
      </c>
      <c r="AU1527" s="1" t="s">
        <v>147</v>
      </c>
      <c r="AV1527" t="s">
        <v>91</v>
      </c>
      <c r="AW1527" t="s">
        <v>91</v>
      </c>
      <c r="AX1527" t="s">
        <v>91</v>
      </c>
      <c r="AY1527" t="s">
        <v>91</v>
      </c>
      <c r="AZ1527" t="s">
        <v>91</v>
      </c>
      <c r="BA1527" t="s">
        <v>91</v>
      </c>
      <c r="BB1527" s="2">
        <v>44445.808506944442</v>
      </c>
      <c r="BC1527" s="2">
        <v>44580.363356481481</v>
      </c>
      <c r="BD1527" t="s">
        <v>91</v>
      </c>
      <c r="BF1527" s="1" t="s">
        <v>75</v>
      </c>
      <c r="BH1527">
        <v>0</v>
      </c>
      <c r="BI1527" s="1" t="s">
        <v>88</v>
      </c>
      <c r="BJ1527">
        <v>1</v>
      </c>
      <c r="BK1527" s="1" t="s">
        <v>89</v>
      </c>
      <c r="BL1527" t="s">
        <v>91</v>
      </c>
      <c r="BM1527" s="1" t="s">
        <v>109</v>
      </c>
      <c r="BN1527" s="1" t="s">
        <v>110</v>
      </c>
      <c r="BO1527" s="1" t="s">
        <v>111</v>
      </c>
      <c r="BP1527" s="1" t="s">
        <v>91</v>
      </c>
      <c r="BQ1527" t="s">
        <v>91</v>
      </c>
      <c r="BR1527" s="3">
        <v>44445</v>
      </c>
      <c r="BS1527" s="3">
        <v>44580</v>
      </c>
      <c r="BT1527" t="s">
        <v>91</v>
      </c>
      <c r="BU1527" t="s">
        <v>91</v>
      </c>
      <c r="BW1527" s="1" t="s">
        <v>3738</v>
      </c>
    </row>
    <row r="1528" spans="1:75" hidden="1" x14ac:dyDescent="0.35">
      <c r="A1528">
        <v>157117</v>
      </c>
      <c r="B1528" s="1" t="s">
        <v>75</v>
      </c>
      <c r="C1528">
        <v>80</v>
      </c>
      <c r="D1528">
        <v>11121004</v>
      </c>
      <c r="E1528">
        <v>121004</v>
      </c>
      <c r="F1528" s="1" t="s">
        <v>6867</v>
      </c>
      <c r="G1528" s="1" t="s">
        <v>8243</v>
      </c>
      <c r="H1528">
        <v>0</v>
      </c>
      <c r="I1528" s="1" t="s">
        <v>78</v>
      </c>
      <c r="J1528" s="1" t="s">
        <v>8244</v>
      </c>
      <c r="K1528" s="1" t="s">
        <v>8245</v>
      </c>
      <c r="L1528" t="s">
        <v>91</v>
      </c>
      <c r="M1528" t="s">
        <v>91</v>
      </c>
      <c r="N1528" s="1" t="s">
        <v>8246</v>
      </c>
      <c r="O1528" t="s">
        <v>91</v>
      </c>
      <c r="P1528" s="1" t="s">
        <v>860</v>
      </c>
      <c r="Q1528" s="1" t="s">
        <v>8247</v>
      </c>
      <c r="R1528" s="1" t="s">
        <v>8248</v>
      </c>
      <c r="S1528">
        <v>1262</v>
      </c>
      <c r="T1528">
        <v>88330045</v>
      </c>
      <c r="U1528" s="1" t="s">
        <v>108</v>
      </c>
      <c r="V1528" s="1" t="s">
        <v>5871</v>
      </c>
      <c r="W1528" s="1" t="s">
        <v>87</v>
      </c>
      <c r="X1528">
        <v>47</v>
      </c>
      <c r="Y1528">
        <v>33670297</v>
      </c>
      <c r="Z1528" t="s">
        <v>91</v>
      </c>
      <c r="AA1528" t="s">
        <v>91</v>
      </c>
      <c r="AB1528" t="s">
        <v>91</v>
      </c>
      <c r="AC1528" t="s">
        <v>91</v>
      </c>
      <c r="AD1528" t="s">
        <v>91</v>
      </c>
      <c r="AE1528" t="s">
        <v>91</v>
      </c>
      <c r="AF1528" t="s">
        <v>91</v>
      </c>
      <c r="AG1528" s="1" t="s">
        <v>91</v>
      </c>
      <c r="AH1528" s="1" t="s">
        <v>91</v>
      </c>
      <c r="AI1528" t="s">
        <v>91</v>
      </c>
      <c r="AM1528" t="s">
        <v>91</v>
      </c>
      <c r="AN1528" t="s">
        <v>91</v>
      </c>
      <c r="AO1528" t="s">
        <v>91</v>
      </c>
      <c r="AP1528" t="s">
        <v>91</v>
      </c>
      <c r="AQ1528" s="1" t="s">
        <v>91</v>
      </c>
      <c r="AR1528" s="1" t="s">
        <v>91</v>
      </c>
      <c r="AS1528" s="1" t="s">
        <v>91</v>
      </c>
      <c r="AT1528" s="1" t="s">
        <v>91</v>
      </c>
      <c r="AU1528" s="1" t="s">
        <v>91</v>
      </c>
      <c r="AV1528" t="s">
        <v>91</v>
      </c>
      <c r="AW1528" t="s">
        <v>91</v>
      </c>
      <c r="AX1528" t="s">
        <v>91</v>
      </c>
      <c r="AY1528" t="s">
        <v>91</v>
      </c>
      <c r="AZ1528" t="s">
        <v>91</v>
      </c>
      <c r="BA1528" t="s">
        <v>91</v>
      </c>
      <c r="BB1528" s="2">
        <v>45113.505416666667</v>
      </c>
      <c r="BC1528" s="2"/>
      <c r="BD1528" t="s">
        <v>91</v>
      </c>
      <c r="BF1528" s="1" t="s">
        <v>75</v>
      </c>
      <c r="BI1528" s="1" t="s">
        <v>88</v>
      </c>
      <c r="BJ1528">
        <v>1</v>
      </c>
      <c r="BK1528" s="1" t="s">
        <v>89</v>
      </c>
      <c r="BL1528" t="s">
        <v>91</v>
      </c>
      <c r="BM1528" s="1" t="s">
        <v>91</v>
      </c>
      <c r="BN1528" s="1" t="s">
        <v>91</v>
      </c>
      <c r="BO1528" s="1" t="s">
        <v>91</v>
      </c>
      <c r="BP1528" s="1" t="s">
        <v>91</v>
      </c>
      <c r="BQ1528" t="s">
        <v>91</v>
      </c>
      <c r="BR1528" s="3">
        <v>45113</v>
      </c>
      <c r="BS1528" s="3"/>
      <c r="BT1528" t="s">
        <v>91</v>
      </c>
      <c r="BU1528" t="s">
        <v>91</v>
      </c>
      <c r="BW1528" s="1" t="s">
        <v>90</v>
      </c>
    </row>
    <row r="1529" spans="1:75" hidden="1" x14ac:dyDescent="0.35">
      <c r="A1529">
        <v>137753</v>
      </c>
      <c r="B1529" s="1" t="s">
        <v>75</v>
      </c>
      <c r="C1529">
        <v>80</v>
      </c>
      <c r="D1529">
        <v>11121004</v>
      </c>
      <c r="E1529">
        <v>121004</v>
      </c>
      <c r="F1529" s="1" t="s">
        <v>6867</v>
      </c>
      <c r="G1529" s="1" t="s">
        <v>8249</v>
      </c>
      <c r="H1529">
        <v>0</v>
      </c>
      <c r="I1529" s="1" t="s">
        <v>78</v>
      </c>
      <c r="J1529" s="1" t="s">
        <v>8250</v>
      </c>
      <c r="K1529" s="1" t="s">
        <v>8251</v>
      </c>
      <c r="L1529" t="s">
        <v>91</v>
      </c>
      <c r="M1529" t="s">
        <v>91</v>
      </c>
      <c r="N1529" s="1" t="s">
        <v>8252</v>
      </c>
      <c r="O1529" t="s">
        <v>91</v>
      </c>
      <c r="P1529" s="1" t="s">
        <v>8253</v>
      </c>
      <c r="Q1529" s="1" t="s">
        <v>8254</v>
      </c>
      <c r="R1529" s="1" t="s">
        <v>91</v>
      </c>
      <c r="S1529">
        <v>1276</v>
      </c>
      <c r="T1529">
        <v>89160145</v>
      </c>
      <c r="U1529" s="1" t="s">
        <v>108</v>
      </c>
      <c r="V1529" s="1" t="s">
        <v>6927</v>
      </c>
      <c r="W1529" s="1" t="s">
        <v>87</v>
      </c>
      <c r="X1529">
        <v>47</v>
      </c>
      <c r="Y1529">
        <v>35212568</v>
      </c>
      <c r="Z1529" t="s">
        <v>91</v>
      </c>
      <c r="AA1529" t="s">
        <v>91</v>
      </c>
      <c r="AB1529" t="s">
        <v>91</v>
      </c>
      <c r="AC1529" t="s">
        <v>91</v>
      </c>
      <c r="AD1529" t="s">
        <v>91</v>
      </c>
      <c r="AE1529" t="s">
        <v>91</v>
      </c>
      <c r="AF1529" t="s">
        <v>91</v>
      </c>
      <c r="AG1529" s="1" t="s">
        <v>146</v>
      </c>
      <c r="AH1529" s="1" t="s">
        <v>91</v>
      </c>
      <c r="AI1529" t="s">
        <v>91</v>
      </c>
      <c r="AM1529" t="s">
        <v>91</v>
      </c>
      <c r="AN1529" t="s">
        <v>91</v>
      </c>
      <c r="AO1529" t="s">
        <v>91</v>
      </c>
      <c r="AP1529" t="s">
        <v>91</v>
      </c>
      <c r="AQ1529" s="1" t="s">
        <v>147</v>
      </c>
      <c r="AR1529" s="1" t="s">
        <v>147</v>
      </c>
      <c r="AS1529" s="1" t="s">
        <v>147</v>
      </c>
      <c r="AT1529" s="1" t="s">
        <v>147</v>
      </c>
      <c r="AU1529" s="1" t="s">
        <v>147</v>
      </c>
      <c r="AV1529" t="s">
        <v>91</v>
      </c>
      <c r="AW1529" t="s">
        <v>91</v>
      </c>
      <c r="AX1529" t="s">
        <v>91</v>
      </c>
      <c r="AY1529" t="s">
        <v>91</v>
      </c>
      <c r="AZ1529" t="s">
        <v>91</v>
      </c>
      <c r="BA1529" t="s">
        <v>91</v>
      </c>
      <c r="BB1529" s="2">
        <v>44378.578518518516</v>
      </c>
      <c r="BC1529" s="2">
        <v>44575.356273148151</v>
      </c>
      <c r="BD1529" t="s">
        <v>91</v>
      </c>
      <c r="BF1529" s="1" t="s">
        <v>75</v>
      </c>
      <c r="BH1529">
        <v>0</v>
      </c>
      <c r="BI1529" s="1" t="s">
        <v>88</v>
      </c>
      <c r="BJ1529">
        <v>1</v>
      </c>
      <c r="BK1529" s="1" t="s">
        <v>89</v>
      </c>
      <c r="BL1529" t="s">
        <v>91</v>
      </c>
      <c r="BM1529" s="1" t="s">
        <v>109</v>
      </c>
      <c r="BN1529" s="1" t="s">
        <v>148</v>
      </c>
      <c r="BO1529" s="1" t="s">
        <v>128</v>
      </c>
      <c r="BP1529" s="1" t="s">
        <v>91</v>
      </c>
      <c r="BQ1529" t="s">
        <v>91</v>
      </c>
      <c r="BR1529" s="3">
        <v>44378</v>
      </c>
      <c r="BS1529" s="3">
        <v>44575</v>
      </c>
      <c r="BT1529" t="s">
        <v>91</v>
      </c>
      <c r="BU1529" t="s">
        <v>91</v>
      </c>
      <c r="BW1529" s="1" t="s">
        <v>3002</v>
      </c>
    </row>
    <row r="1530" spans="1:75" hidden="1" x14ac:dyDescent="0.35">
      <c r="A1530">
        <v>157744</v>
      </c>
      <c r="B1530" s="1" t="s">
        <v>75</v>
      </c>
      <c r="C1530">
        <v>80</v>
      </c>
      <c r="D1530">
        <v>11121004</v>
      </c>
      <c r="E1530">
        <v>121004</v>
      </c>
      <c r="F1530" s="1" t="s">
        <v>6867</v>
      </c>
      <c r="G1530" s="1" t="s">
        <v>8255</v>
      </c>
      <c r="H1530">
        <v>0</v>
      </c>
      <c r="I1530" s="1" t="s">
        <v>78</v>
      </c>
      <c r="J1530" s="1" t="s">
        <v>8256</v>
      </c>
      <c r="K1530" s="1" t="s">
        <v>8257</v>
      </c>
      <c r="L1530" t="s">
        <v>91</v>
      </c>
      <c r="M1530" t="s">
        <v>91</v>
      </c>
      <c r="N1530" s="1" t="s">
        <v>8258</v>
      </c>
      <c r="O1530" t="s">
        <v>91</v>
      </c>
      <c r="P1530" s="1" t="s">
        <v>7007</v>
      </c>
      <c r="Q1530" s="1" t="s">
        <v>8259</v>
      </c>
      <c r="R1530" s="1" t="s">
        <v>173</v>
      </c>
      <c r="T1530">
        <v>89110010</v>
      </c>
      <c r="U1530" s="1" t="s">
        <v>108</v>
      </c>
      <c r="V1530" s="1" t="s">
        <v>7008</v>
      </c>
      <c r="W1530" s="1" t="s">
        <v>87</v>
      </c>
      <c r="X1530">
        <v>47</v>
      </c>
      <c r="Y1530">
        <v>33328800</v>
      </c>
      <c r="Z1530" t="s">
        <v>91</v>
      </c>
      <c r="AA1530" t="s">
        <v>91</v>
      </c>
      <c r="AB1530" t="s">
        <v>91</v>
      </c>
      <c r="AC1530" t="s">
        <v>91</v>
      </c>
      <c r="AD1530" t="s">
        <v>91</v>
      </c>
      <c r="AE1530" t="s">
        <v>91</v>
      </c>
      <c r="AF1530" t="s">
        <v>91</v>
      </c>
      <c r="AG1530" s="1" t="s">
        <v>91</v>
      </c>
      <c r="AH1530" s="1" t="s">
        <v>91</v>
      </c>
      <c r="AI1530" t="s">
        <v>91</v>
      </c>
      <c r="AM1530" t="s">
        <v>91</v>
      </c>
      <c r="AN1530" t="s">
        <v>91</v>
      </c>
      <c r="AO1530" t="s">
        <v>91</v>
      </c>
      <c r="AP1530" t="s">
        <v>91</v>
      </c>
      <c r="AQ1530" s="1" t="s">
        <v>91</v>
      </c>
      <c r="AR1530" s="1" t="s">
        <v>91</v>
      </c>
      <c r="AS1530" s="1" t="s">
        <v>91</v>
      </c>
      <c r="AT1530" s="1" t="s">
        <v>91</v>
      </c>
      <c r="AU1530" s="1" t="s">
        <v>91</v>
      </c>
      <c r="AV1530" t="s">
        <v>91</v>
      </c>
      <c r="AW1530" t="s">
        <v>91</v>
      </c>
      <c r="AX1530" t="s">
        <v>91</v>
      </c>
      <c r="AY1530" t="s">
        <v>91</v>
      </c>
      <c r="AZ1530" t="s">
        <v>91</v>
      </c>
      <c r="BA1530" t="s">
        <v>91</v>
      </c>
      <c r="BB1530" s="2">
        <v>45118.101759259262</v>
      </c>
      <c r="BC1530" s="2"/>
      <c r="BD1530" t="s">
        <v>91</v>
      </c>
      <c r="BF1530" s="1" t="s">
        <v>75</v>
      </c>
      <c r="BI1530" s="1" t="s">
        <v>88</v>
      </c>
      <c r="BJ1530">
        <v>1</v>
      </c>
      <c r="BK1530" s="1" t="s">
        <v>89</v>
      </c>
      <c r="BL1530" t="s">
        <v>91</v>
      </c>
      <c r="BM1530" s="1" t="s">
        <v>91</v>
      </c>
      <c r="BN1530" s="1" t="s">
        <v>91</v>
      </c>
      <c r="BO1530" s="1" t="s">
        <v>91</v>
      </c>
      <c r="BP1530" s="1" t="s">
        <v>91</v>
      </c>
      <c r="BQ1530" t="s">
        <v>91</v>
      </c>
      <c r="BR1530" s="3">
        <v>45118</v>
      </c>
      <c r="BS1530" s="3"/>
      <c r="BT1530" t="s">
        <v>91</v>
      </c>
      <c r="BU1530" t="s">
        <v>91</v>
      </c>
      <c r="BW1530" s="1" t="s">
        <v>3002</v>
      </c>
    </row>
    <row r="1531" spans="1:75" hidden="1" x14ac:dyDescent="0.35">
      <c r="A1531">
        <v>137756</v>
      </c>
      <c r="B1531" s="1" t="s">
        <v>75</v>
      </c>
      <c r="C1531">
        <v>80</v>
      </c>
      <c r="D1531">
        <v>11121004</v>
      </c>
      <c r="E1531">
        <v>121004</v>
      </c>
      <c r="F1531" s="1" t="s">
        <v>6867</v>
      </c>
      <c r="G1531" s="1" t="s">
        <v>8260</v>
      </c>
      <c r="H1531">
        <v>0</v>
      </c>
      <c r="I1531" s="1" t="s">
        <v>78</v>
      </c>
      <c r="J1531" s="1" t="s">
        <v>8261</v>
      </c>
      <c r="K1531" s="1" t="s">
        <v>8262</v>
      </c>
      <c r="L1531" t="s">
        <v>91</v>
      </c>
      <c r="M1531" t="s">
        <v>91</v>
      </c>
      <c r="N1531" s="1" t="s">
        <v>1818</v>
      </c>
      <c r="O1531" t="s">
        <v>91</v>
      </c>
      <c r="P1531" s="1" t="s">
        <v>8263</v>
      </c>
      <c r="Q1531" s="1" t="s">
        <v>1905</v>
      </c>
      <c r="R1531" s="1" t="s">
        <v>4538</v>
      </c>
      <c r="S1531">
        <v>1260</v>
      </c>
      <c r="T1531">
        <v>88220000</v>
      </c>
      <c r="U1531" s="1" t="s">
        <v>7189</v>
      </c>
      <c r="V1531" s="1" t="s">
        <v>7015</v>
      </c>
      <c r="W1531" s="1" t="s">
        <v>87</v>
      </c>
      <c r="X1531">
        <v>47</v>
      </c>
      <c r="Y1531">
        <v>33689661</v>
      </c>
      <c r="Z1531" t="s">
        <v>91</v>
      </c>
      <c r="AA1531" t="s">
        <v>91</v>
      </c>
      <c r="AB1531" t="s">
        <v>91</v>
      </c>
      <c r="AC1531" t="s">
        <v>91</v>
      </c>
      <c r="AD1531" t="s">
        <v>91</v>
      </c>
      <c r="AE1531" t="s">
        <v>91</v>
      </c>
      <c r="AF1531" t="s">
        <v>91</v>
      </c>
      <c r="AG1531" s="1" t="s">
        <v>146</v>
      </c>
      <c r="AH1531" s="1" t="s">
        <v>91</v>
      </c>
      <c r="AI1531" t="s">
        <v>91</v>
      </c>
      <c r="AM1531" t="s">
        <v>91</v>
      </c>
      <c r="AN1531" t="s">
        <v>91</v>
      </c>
      <c r="AO1531" t="s">
        <v>91</v>
      </c>
      <c r="AP1531" t="s">
        <v>91</v>
      </c>
      <c r="AQ1531" s="1" t="s">
        <v>147</v>
      </c>
      <c r="AR1531" s="1" t="s">
        <v>147</v>
      </c>
      <c r="AS1531" s="1" t="s">
        <v>147</v>
      </c>
      <c r="AT1531" s="1" t="s">
        <v>147</v>
      </c>
      <c r="AU1531" s="1" t="s">
        <v>147</v>
      </c>
      <c r="AV1531" t="s">
        <v>91</v>
      </c>
      <c r="AW1531" t="s">
        <v>91</v>
      </c>
      <c r="AX1531" t="s">
        <v>91</v>
      </c>
      <c r="AY1531" t="s">
        <v>91</v>
      </c>
      <c r="AZ1531" t="s">
        <v>91</v>
      </c>
      <c r="BA1531" t="s">
        <v>91</v>
      </c>
      <c r="BB1531" s="2">
        <v>44378.578518518516</v>
      </c>
      <c r="BC1531" s="2">
        <v>44656.678032407406</v>
      </c>
      <c r="BD1531" t="s">
        <v>91</v>
      </c>
      <c r="BF1531" s="1" t="s">
        <v>75</v>
      </c>
      <c r="BH1531">
        <v>0</v>
      </c>
      <c r="BI1531" s="1" t="s">
        <v>88</v>
      </c>
      <c r="BJ1531">
        <v>1</v>
      </c>
      <c r="BK1531" s="1" t="s">
        <v>89</v>
      </c>
      <c r="BL1531" t="s">
        <v>91</v>
      </c>
      <c r="BM1531" s="1" t="s">
        <v>109</v>
      </c>
      <c r="BN1531" s="1" t="s">
        <v>110</v>
      </c>
      <c r="BO1531" s="1" t="s">
        <v>111</v>
      </c>
      <c r="BP1531" s="1" t="s">
        <v>91</v>
      </c>
      <c r="BQ1531" t="s">
        <v>91</v>
      </c>
      <c r="BR1531" s="3">
        <v>44378</v>
      </c>
      <c r="BS1531" s="3">
        <v>44656</v>
      </c>
      <c r="BT1531" t="s">
        <v>91</v>
      </c>
      <c r="BU1531" t="s">
        <v>91</v>
      </c>
      <c r="BW1531" s="1" t="s">
        <v>274</v>
      </c>
    </row>
    <row r="1532" spans="1:75" hidden="1" x14ac:dyDescent="0.35">
      <c r="A1532">
        <v>157108</v>
      </c>
      <c r="B1532" s="1" t="s">
        <v>75</v>
      </c>
      <c r="C1532">
        <v>80</v>
      </c>
      <c r="D1532">
        <v>11121004</v>
      </c>
      <c r="E1532">
        <v>121004</v>
      </c>
      <c r="F1532" s="1" t="s">
        <v>6867</v>
      </c>
      <c r="G1532" s="1" t="s">
        <v>8264</v>
      </c>
      <c r="H1532">
        <v>0</v>
      </c>
      <c r="I1532" s="1" t="s">
        <v>78</v>
      </c>
      <c r="J1532" s="1" t="s">
        <v>8265</v>
      </c>
      <c r="K1532" s="1" t="s">
        <v>8266</v>
      </c>
      <c r="L1532" t="s">
        <v>91</v>
      </c>
      <c r="M1532" t="s">
        <v>91</v>
      </c>
      <c r="N1532" s="1" t="s">
        <v>8267</v>
      </c>
      <c r="O1532" t="s">
        <v>91</v>
      </c>
      <c r="P1532" s="1" t="s">
        <v>8018</v>
      </c>
      <c r="Q1532" s="1" t="s">
        <v>2628</v>
      </c>
      <c r="R1532" s="1" t="s">
        <v>8268</v>
      </c>
      <c r="T1532">
        <v>88303100</v>
      </c>
      <c r="U1532" s="1" t="s">
        <v>108</v>
      </c>
      <c r="V1532" s="1" t="s">
        <v>6881</v>
      </c>
      <c r="W1532" s="1" t="s">
        <v>87</v>
      </c>
      <c r="X1532">
        <v>47</v>
      </c>
      <c r="Y1532">
        <v>33469618</v>
      </c>
      <c r="Z1532" t="s">
        <v>91</v>
      </c>
      <c r="AA1532" t="s">
        <v>91</v>
      </c>
      <c r="AB1532" t="s">
        <v>91</v>
      </c>
      <c r="AC1532" t="s">
        <v>91</v>
      </c>
      <c r="AD1532" t="s">
        <v>91</v>
      </c>
      <c r="AE1532" t="s">
        <v>91</v>
      </c>
      <c r="AF1532" t="s">
        <v>91</v>
      </c>
      <c r="AG1532" s="1" t="s">
        <v>91</v>
      </c>
      <c r="AH1532" s="1" t="s">
        <v>91</v>
      </c>
      <c r="AI1532" t="s">
        <v>91</v>
      </c>
      <c r="AM1532" t="s">
        <v>91</v>
      </c>
      <c r="AN1532" t="s">
        <v>91</v>
      </c>
      <c r="AO1532" t="s">
        <v>91</v>
      </c>
      <c r="AP1532" t="s">
        <v>91</v>
      </c>
      <c r="AQ1532" s="1" t="s">
        <v>91</v>
      </c>
      <c r="AR1532" s="1" t="s">
        <v>91</v>
      </c>
      <c r="AS1532" s="1" t="s">
        <v>91</v>
      </c>
      <c r="AT1532" s="1" t="s">
        <v>91</v>
      </c>
      <c r="AU1532" s="1" t="s">
        <v>91</v>
      </c>
      <c r="AV1532" t="s">
        <v>91</v>
      </c>
      <c r="AW1532" t="s">
        <v>91</v>
      </c>
      <c r="AX1532" t="s">
        <v>91</v>
      </c>
      <c r="AY1532" t="s">
        <v>91</v>
      </c>
      <c r="AZ1532" t="s">
        <v>91</v>
      </c>
      <c r="BA1532" t="s">
        <v>91</v>
      </c>
      <c r="BB1532" s="2">
        <v>45113.505416666667</v>
      </c>
      <c r="BC1532" s="2"/>
      <c r="BD1532" t="s">
        <v>91</v>
      </c>
      <c r="BF1532" s="1" t="s">
        <v>75</v>
      </c>
      <c r="BI1532" s="1" t="s">
        <v>88</v>
      </c>
      <c r="BJ1532">
        <v>1</v>
      </c>
      <c r="BK1532" s="1" t="s">
        <v>89</v>
      </c>
      <c r="BL1532" t="s">
        <v>91</v>
      </c>
      <c r="BM1532" s="1" t="s">
        <v>91</v>
      </c>
      <c r="BN1532" s="1" t="s">
        <v>91</v>
      </c>
      <c r="BO1532" s="1" t="s">
        <v>91</v>
      </c>
      <c r="BP1532" s="1" t="s">
        <v>91</v>
      </c>
      <c r="BQ1532" t="s">
        <v>91</v>
      </c>
      <c r="BR1532" s="3">
        <v>45113</v>
      </c>
      <c r="BS1532" s="3"/>
      <c r="BT1532" t="s">
        <v>91</v>
      </c>
      <c r="BU1532" t="s">
        <v>91</v>
      </c>
      <c r="BW1532" s="1" t="s">
        <v>263</v>
      </c>
    </row>
    <row r="1533" spans="1:75" hidden="1" x14ac:dyDescent="0.35">
      <c r="A1533">
        <v>118741</v>
      </c>
      <c r="B1533" s="1" t="s">
        <v>75</v>
      </c>
      <c r="C1533">
        <v>80</v>
      </c>
      <c r="D1533">
        <v>11121004</v>
      </c>
      <c r="E1533">
        <v>121004</v>
      </c>
      <c r="F1533" s="1" t="s">
        <v>6867</v>
      </c>
      <c r="G1533" s="1" t="s">
        <v>8269</v>
      </c>
      <c r="I1533" s="1" t="s">
        <v>78</v>
      </c>
      <c r="J1533" s="1" t="s">
        <v>8270</v>
      </c>
      <c r="K1533" s="1" t="s">
        <v>8271</v>
      </c>
      <c r="L1533" t="s">
        <v>91</v>
      </c>
      <c r="M1533" t="s">
        <v>91</v>
      </c>
      <c r="N1533" s="1" t="s">
        <v>8272</v>
      </c>
      <c r="O1533" t="s">
        <v>91</v>
      </c>
      <c r="P1533" s="1" t="s">
        <v>8273</v>
      </c>
      <c r="Q1533" s="1" t="s">
        <v>2309</v>
      </c>
      <c r="R1533" s="1" t="s">
        <v>370</v>
      </c>
      <c r="S1533">
        <v>1275</v>
      </c>
      <c r="T1533">
        <v>89150000</v>
      </c>
      <c r="U1533" s="1" t="s">
        <v>108</v>
      </c>
      <c r="V1533" s="1" t="s">
        <v>8274</v>
      </c>
      <c r="W1533" s="1" t="s">
        <v>87</v>
      </c>
      <c r="X1533">
        <v>47</v>
      </c>
      <c r="Y1533">
        <v>33520050</v>
      </c>
      <c r="Z1533" t="s">
        <v>91</v>
      </c>
      <c r="AA1533" t="s">
        <v>91</v>
      </c>
      <c r="AB1533" t="s">
        <v>91</v>
      </c>
      <c r="AC1533" t="s">
        <v>91</v>
      </c>
      <c r="AD1533" t="s">
        <v>91</v>
      </c>
      <c r="AE1533" t="s">
        <v>91</v>
      </c>
      <c r="AF1533" t="s">
        <v>91</v>
      </c>
      <c r="AG1533" s="1" t="s">
        <v>91</v>
      </c>
      <c r="AH1533" s="1" t="s">
        <v>91</v>
      </c>
      <c r="AI1533" t="s">
        <v>91</v>
      </c>
      <c r="AJ1533">
        <v>0</v>
      </c>
      <c r="AK1533">
        <v>0</v>
      </c>
      <c r="AL1533">
        <v>0</v>
      </c>
      <c r="AM1533" t="s">
        <v>91</v>
      </c>
      <c r="AN1533" t="s">
        <v>91</v>
      </c>
      <c r="AO1533" t="s">
        <v>91</v>
      </c>
      <c r="AP1533" t="s">
        <v>91</v>
      </c>
      <c r="AQ1533" s="1" t="s">
        <v>91</v>
      </c>
      <c r="AR1533" s="1" t="s">
        <v>91</v>
      </c>
      <c r="AS1533" s="1" t="s">
        <v>91</v>
      </c>
      <c r="AT1533" s="1" t="s">
        <v>91</v>
      </c>
      <c r="AU1533" s="1" t="s">
        <v>91</v>
      </c>
      <c r="AV1533" t="s">
        <v>91</v>
      </c>
      <c r="AW1533" t="s">
        <v>91</v>
      </c>
      <c r="AX1533" t="s">
        <v>91</v>
      </c>
      <c r="AY1533" t="s">
        <v>91</v>
      </c>
      <c r="AZ1533" t="s">
        <v>91</v>
      </c>
      <c r="BA1533" t="s">
        <v>91</v>
      </c>
      <c r="BB1533" s="2"/>
      <c r="BC1533" s="2"/>
      <c r="BD1533" t="s">
        <v>91</v>
      </c>
      <c r="BF1533" s="1" t="s">
        <v>75</v>
      </c>
      <c r="BG1533">
        <v>0</v>
      </c>
      <c r="BH1533">
        <v>0</v>
      </c>
      <c r="BI1533" s="1" t="s">
        <v>88</v>
      </c>
      <c r="BJ1533">
        <v>1</v>
      </c>
      <c r="BK1533" s="1" t="s">
        <v>89</v>
      </c>
      <c r="BL1533" t="s">
        <v>91</v>
      </c>
      <c r="BM1533" s="1" t="s">
        <v>109</v>
      </c>
      <c r="BN1533" s="1" t="s">
        <v>110</v>
      </c>
      <c r="BO1533" s="1" t="s">
        <v>180</v>
      </c>
      <c r="BP1533" s="1" t="s">
        <v>91</v>
      </c>
      <c r="BQ1533" t="s">
        <v>91</v>
      </c>
      <c r="BR1533" s="3"/>
      <c r="BS1533" s="3"/>
      <c r="BT1533" t="s">
        <v>91</v>
      </c>
      <c r="BU1533" t="s">
        <v>91</v>
      </c>
      <c r="BV1533">
        <v>8</v>
      </c>
      <c r="BW1533" s="1" t="s">
        <v>166</v>
      </c>
    </row>
    <row r="1534" spans="1:75" hidden="1" x14ac:dyDescent="0.35">
      <c r="A1534">
        <v>137759</v>
      </c>
      <c r="B1534" s="1" t="s">
        <v>75</v>
      </c>
      <c r="C1534">
        <v>80</v>
      </c>
      <c r="D1534">
        <v>11121004</v>
      </c>
      <c r="E1534">
        <v>121004</v>
      </c>
      <c r="F1534" s="1" t="s">
        <v>6867</v>
      </c>
      <c r="G1534" s="1" t="s">
        <v>8275</v>
      </c>
      <c r="H1534">
        <v>0</v>
      </c>
      <c r="I1534" s="1" t="s">
        <v>78</v>
      </c>
      <c r="J1534" s="1" t="s">
        <v>8276</v>
      </c>
      <c r="K1534" s="1" t="s">
        <v>8277</v>
      </c>
      <c r="L1534" t="s">
        <v>91</v>
      </c>
      <c r="M1534" t="s">
        <v>91</v>
      </c>
      <c r="N1534" s="1" t="s">
        <v>8278</v>
      </c>
      <c r="O1534" t="s">
        <v>91</v>
      </c>
      <c r="P1534" s="1" t="s">
        <v>475</v>
      </c>
      <c r="Q1534" s="1" t="s">
        <v>8279</v>
      </c>
      <c r="R1534" s="1" t="s">
        <v>2531</v>
      </c>
      <c r="S1534">
        <v>1262</v>
      </c>
      <c r="T1534">
        <v>88330063</v>
      </c>
      <c r="U1534" s="1" t="s">
        <v>108</v>
      </c>
      <c r="V1534" s="1" t="s">
        <v>6898</v>
      </c>
      <c r="W1534" s="1" t="s">
        <v>87</v>
      </c>
      <c r="X1534">
        <v>47</v>
      </c>
      <c r="Y1534">
        <v>32683953</v>
      </c>
      <c r="Z1534" t="s">
        <v>91</v>
      </c>
      <c r="AA1534" t="s">
        <v>91</v>
      </c>
      <c r="AB1534" t="s">
        <v>91</v>
      </c>
      <c r="AC1534" t="s">
        <v>91</v>
      </c>
      <c r="AD1534" t="s">
        <v>91</v>
      </c>
      <c r="AE1534" t="s">
        <v>91</v>
      </c>
      <c r="AF1534" t="s">
        <v>91</v>
      </c>
      <c r="AG1534" s="1" t="s">
        <v>146</v>
      </c>
      <c r="AH1534" s="1" t="s">
        <v>91</v>
      </c>
      <c r="AI1534" t="s">
        <v>91</v>
      </c>
      <c r="AM1534" t="s">
        <v>91</v>
      </c>
      <c r="AN1534" t="s">
        <v>91</v>
      </c>
      <c r="AO1534" t="s">
        <v>91</v>
      </c>
      <c r="AP1534" t="s">
        <v>91</v>
      </c>
      <c r="AQ1534" s="1" t="s">
        <v>147</v>
      </c>
      <c r="AR1534" s="1" t="s">
        <v>147</v>
      </c>
      <c r="AS1534" s="1" t="s">
        <v>147</v>
      </c>
      <c r="AT1534" s="1" t="s">
        <v>147</v>
      </c>
      <c r="AU1534" s="1" t="s">
        <v>147</v>
      </c>
      <c r="AV1534" t="s">
        <v>91</v>
      </c>
      <c r="AW1534" t="s">
        <v>91</v>
      </c>
      <c r="AX1534" t="s">
        <v>91</v>
      </c>
      <c r="AY1534" t="s">
        <v>91</v>
      </c>
      <c r="AZ1534" t="s">
        <v>91</v>
      </c>
      <c r="BA1534" t="s">
        <v>91</v>
      </c>
      <c r="BB1534" s="2">
        <v>44378.578518518516</v>
      </c>
      <c r="BC1534" s="2">
        <v>44657.636238425926</v>
      </c>
      <c r="BD1534" t="s">
        <v>91</v>
      </c>
      <c r="BF1534" s="1" t="s">
        <v>75</v>
      </c>
      <c r="BH1534">
        <v>0</v>
      </c>
      <c r="BI1534" s="1" t="s">
        <v>88</v>
      </c>
      <c r="BJ1534">
        <v>1</v>
      </c>
      <c r="BK1534" s="1" t="s">
        <v>89</v>
      </c>
      <c r="BL1534" t="s">
        <v>91</v>
      </c>
      <c r="BM1534" s="1" t="s">
        <v>109</v>
      </c>
      <c r="BN1534" s="1" t="s">
        <v>110</v>
      </c>
      <c r="BO1534" s="1" t="s">
        <v>111</v>
      </c>
      <c r="BP1534" s="1" t="s">
        <v>91</v>
      </c>
      <c r="BQ1534" t="s">
        <v>91</v>
      </c>
      <c r="BR1534" s="3">
        <v>44378</v>
      </c>
      <c r="BS1534" s="3">
        <v>44657</v>
      </c>
      <c r="BT1534" t="s">
        <v>91</v>
      </c>
      <c r="BU1534" t="s">
        <v>91</v>
      </c>
      <c r="BW1534" s="1" t="s">
        <v>589</v>
      </c>
    </row>
    <row r="1535" spans="1:75" hidden="1" x14ac:dyDescent="0.35">
      <c r="A1535">
        <v>144182</v>
      </c>
      <c r="B1535" s="1" t="s">
        <v>75</v>
      </c>
      <c r="C1535">
        <v>80</v>
      </c>
      <c r="D1535">
        <v>11121004</v>
      </c>
      <c r="E1535">
        <v>121004</v>
      </c>
      <c r="F1535" s="1" t="s">
        <v>6867</v>
      </c>
      <c r="G1535" s="1" t="s">
        <v>8280</v>
      </c>
      <c r="H1535">
        <v>0</v>
      </c>
      <c r="I1535" s="1" t="s">
        <v>78</v>
      </c>
      <c r="J1535" s="1" t="s">
        <v>8281</v>
      </c>
      <c r="K1535" s="1" t="s">
        <v>8282</v>
      </c>
      <c r="L1535" t="s">
        <v>91</v>
      </c>
      <c r="M1535" t="s">
        <v>91</v>
      </c>
      <c r="N1535" s="1" t="s">
        <v>8283</v>
      </c>
      <c r="O1535" t="s">
        <v>91</v>
      </c>
      <c r="P1535" s="1" t="s">
        <v>475</v>
      </c>
      <c r="Q1535" s="1" t="s">
        <v>2834</v>
      </c>
      <c r="R1535" s="1" t="s">
        <v>236</v>
      </c>
      <c r="T1535">
        <v>88330043</v>
      </c>
      <c r="U1535" s="1" t="s">
        <v>108</v>
      </c>
      <c r="V1535" s="1" t="s">
        <v>5871</v>
      </c>
      <c r="W1535" s="1" t="s">
        <v>87</v>
      </c>
      <c r="X1535">
        <v>47</v>
      </c>
      <c r="Y1535">
        <v>999164017</v>
      </c>
      <c r="Z1535" t="s">
        <v>91</v>
      </c>
      <c r="AA1535" t="s">
        <v>91</v>
      </c>
      <c r="AB1535" t="s">
        <v>91</v>
      </c>
      <c r="AC1535" t="s">
        <v>91</v>
      </c>
      <c r="AD1535" t="s">
        <v>91</v>
      </c>
      <c r="AE1535" t="s">
        <v>91</v>
      </c>
      <c r="AF1535" t="s">
        <v>91</v>
      </c>
      <c r="AG1535" s="1" t="s">
        <v>91</v>
      </c>
      <c r="AH1535" s="1" t="s">
        <v>91</v>
      </c>
      <c r="AI1535" t="s">
        <v>91</v>
      </c>
      <c r="AM1535" t="s">
        <v>91</v>
      </c>
      <c r="AN1535" t="s">
        <v>91</v>
      </c>
      <c r="AO1535" t="s">
        <v>91</v>
      </c>
      <c r="AP1535" t="s">
        <v>91</v>
      </c>
      <c r="AQ1535" s="1" t="s">
        <v>91</v>
      </c>
      <c r="AR1535" s="1" t="s">
        <v>91</v>
      </c>
      <c r="AS1535" s="1" t="s">
        <v>91</v>
      </c>
      <c r="AT1535" s="1" t="s">
        <v>91</v>
      </c>
      <c r="AU1535" s="1" t="s">
        <v>91</v>
      </c>
      <c r="AV1535" t="s">
        <v>91</v>
      </c>
      <c r="AW1535" t="s">
        <v>91</v>
      </c>
      <c r="AX1535" t="s">
        <v>91</v>
      </c>
      <c r="AY1535" t="s">
        <v>91</v>
      </c>
      <c r="AZ1535" t="s">
        <v>91</v>
      </c>
      <c r="BA1535" t="s">
        <v>91</v>
      </c>
      <c r="BB1535" s="2">
        <v>44526.624652777777</v>
      </c>
      <c r="BC1535" s="2"/>
      <c r="BD1535" t="s">
        <v>91</v>
      </c>
      <c r="BF1535" s="1" t="s">
        <v>75</v>
      </c>
      <c r="BI1535" s="1" t="s">
        <v>88</v>
      </c>
      <c r="BJ1535">
        <v>1</v>
      </c>
      <c r="BK1535" s="1" t="s">
        <v>89</v>
      </c>
      <c r="BL1535" t="s">
        <v>91</v>
      </c>
      <c r="BM1535" s="1" t="s">
        <v>91</v>
      </c>
      <c r="BN1535" s="1" t="s">
        <v>91</v>
      </c>
      <c r="BO1535" s="1" t="s">
        <v>180</v>
      </c>
      <c r="BP1535" s="1" t="s">
        <v>91</v>
      </c>
      <c r="BQ1535" t="s">
        <v>91</v>
      </c>
      <c r="BR1535" s="3">
        <v>44526</v>
      </c>
      <c r="BS1535" s="3"/>
      <c r="BT1535" t="s">
        <v>91</v>
      </c>
      <c r="BU1535" t="s">
        <v>91</v>
      </c>
      <c r="BW1535" s="1" t="s">
        <v>90</v>
      </c>
    </row>
    <row r="1536" spans="1:75" hidden="1" x14ac:dyDescent="0.35">
      <c r="A1536">
        <v>137760</v>
      </c>
      <c r="B1536" s="1" t="s">
        <v>75</v>
      </c>
      <c r="C1536">
        <v>80</v>
      </c>
      <c r="D1536">
        <v>11121004</v>
      </c>
      <c r="E1536">
        <v>121004</v>
      </c>
      <c r="F1536" s="1" t="s">
        <v>6867</v>
      </c>
      <c r="G1536" s="1" t="s">
        <v>8284</v>
      </c>
      <c r="H1536">
        <v>0</v>
      </c>
      <c r="I1536" s="1" t="s">
        <v>78</v>
      </c>
      <c r="J1536" s="1" t="s">
        <v>8285</v>
      </c>
      <c r="K1536" s="1" t="s">
        <v>8286</v>
      </c>
      <c r="L1536" t="s">
        <v>91</v>
      </c>
      <c r="M1536" t="s">
        <v>91</v>
      </c>
      <c r="N1536" s="1" t="s">
        <v>8287</v>
      </c>
      <c r="O1536" t="s">
        <v>91</v>
      </c>
      <c r="P1536" s="1" t="s">
        <v>7053</v>
      </c>
      <c r="Q1536" s="1" t="s">
        <v>8288</v>
      </c>
      <c r="R1536" s="1" t="s">
        <v>91</v>
      </c>
      <c r="S1536">
        <v>1273</v>
      </c>
      <c r="T1536">
        <v>89022001</v>
      </c>
      <c r="U1536" s="1" t="s">
        <v>7055</v>
      </c>
      <c r="V1536" s="1" t="s">
        <v>3571</v>
      </c>
      <c r="W1536" s="1" t="s">
        <v>87</v>
      </c>
      <c r="X1536">
        <v>47</v>
      </c>
      <c r="Y1536">
        <v>33240059</v>
      </c>
      <c r="Z1536" t="s">
        <v>91</v>
      </c>
      <c r="AA1536" t="s">
        <v>91</v>
      </c>
      <c r="AB1536" t="s">
        <v>91</v>
      </c>
      <c r="AC1536" t="s">
        <v>91</v>
      </c>
      <c r="AD1536" t="s">
        <v>91</v>
      </c>
      <c r="AE1536" t="s">
        <v>91</v>
      </c>
      <c r="AF1536" t="s">
        <v>91</v>
      </c>
      <c r="AG1536" s="1" t="s">
        <v>146</v>
      </c>
      <c r="AH1536" s="1" t="s">
        <v>91</v>
      </c>
      <c r="AI1536" t="s">
        <v>91</v>
      </c>
      <c r="AM1536" t="s">
        <v>91</v>
      </c>
      <c r="AN1536" t="s">
        <v>91</v>
      </c>
      <c r="AO1536" t="s">
        <v>91</v>
      </c>
      <c r="AP1536" t="s">
        <v>91</v>
      </c>
      <c r="AQ1536" s="1" t="s">
        <v>147</v>
      </c>
      <c r="AR1536" s="1" t="s">
        <v>147</v>
      </c>
      <c r="AS1536" s="1" t="s">
        <v>147</v>
      </c>
      <c r="AT1536" s="1" t="s">
        <v>147</v>
      </c>
      <c r="AU1536" s="1" t="s">
        <v>147</v>
      </c>
      <c r="AV1536" t="s">
        <v>91</v>
      </c>
      <c r="AW1536" t="s">
        <v>91</v>
      </c>
      <c r="AX1536" t="s">
        <v>91</v>
      </c>
      <c r="AY1536" t="s">
        <v>91</v>
      </c>
      <c r="AZ1536" t="s">
        <v>91</v>
      </c>
      <c r="BA1536" t="s">
        <v>91</v>
      </c>
      <c r="BB1536" s="2">
        <v>44378.578518518516</v>
      </c>
      <c r="BC1536" s="2">
        <v>45121.64702546296</v>
      </c>
      <c r="BD1536" t="s">
        <v>91</v>
      </c>
      <c r="BF1536" s="1" t="s">
        <v>75</v>
      </c>
      <c r="BH1536">
        <v>0</v>
      </c>
      <c r="BI1536" s="1" t="s">
        <v>721</v>
      </c>
      <c r="BJ1536">
        <v>1</v>
      </c>
      <c r="BK1536" s="1" t="s">
        <v>89</v>
      </c>
      <c r="BL1536" t="s">
        <v>91</v>
      </c>
      <c r="BM1536" s="1" t="s">
        <v>109</v>
      </c>
      <c r="BN1536" s="1" t="s">
        <v>110</v>
      </c>
      <c r="BO1536" s="1" t="s">
        <v>128</v>
      </c>
      <c r="BP1536" s="1" t="s">
        <v>91</v>
      </c>
      <c r="BQ1536" t="s">
        <v>91</v>
      </c>
      <c r="BR1536" s="3">
        <v>44378</v>
      </c>
      <c r="BS1536" s="3">
        <v>45121</v>
      </c>
      <c r="BT1536" t="s">
        <v>91</v>
      </c>
      <c r="BU1536" t="s">
        <v>91</v>
      </c>
      <c r="BW1536" s="1" t="s">
        <v>1260</v>
      </c>
    </row>
    <row r="1537" spans="1:75" hidden="1" x14ac:dyDescent="0.35">
      <c r="A1537">
        <v>120549</v>
      </c>
      <c r="B1537" s="1" t="s">
        <v>75</v>
      </c>
      <c r="C1537">
        <v>80</v>
      </c>
      <c r="D1537">
        <v>11121004</v>
      </c>
      <c r="E1537">
        <v>121004</v>
      </c>
      <c r="F1537" s="1" t="s">
        <v>6867</v>
      </c>
      <c r="G1537" s="1" t="s">
        <v>8289</v>
      </c>
      <c r="H1537">
        <v>0</v>
      </c>
      <c r="I1537" s="1" t="s">
        <v>78</v>
      </c>
      <c r="J1537" s="1" t="s">
        <v>8290</v>
      </c>
      <c r="K1537" s="1" t="s">
        <v>8291</v>
      </c>
      <c r="L1537" t="s">
        <v>91</v>
      </c>
      <c r="M1537" t="s">
        <v>91</v>
      </c>
      <c r="N1537" s="1" t="s">
        <v>8292</v>
      </c>
      <c r="O1537" t="s">
        <v>91</v>
      </c>
      <c r="P1537" s="1" t="s">
        <v>3970</v>
      </c>
      <c r="Q1537" s="1" t="s">
        <v>1436</v>
      </c>
      <c r="R1537" s="1" t="s">
        <v>236</v>
      </c>
      <c r="S1537">
        <v>1263</v>
      </c>
      <c r="T1537">
        <v>88380000</v>
      </c>
      <c r="U1537" s="1" t="s">
        <v>108</v>
      </c>
      <c r="V1537" s="1" t="s">
        <v>6946</v>
      </c>
      <c r="W1537" s="1" t="s">
        <v>87</v>
      </c>
      <c r="X1537">
        <v>47</v>
      </c>
      <c r="Y1537">
        <v>33454914</v>
      </c>
      <c r="Z1537" t="s">
        <v>91</v>
      </c>
      <c r="AA1537" t="s">
        <v>91</v>
      </c>
      <c r="AB1537" t="s">
        <v>91</v>
      </c>
      <c r="AC1537" t="s">
        <v>91</v>
      </c>
      <c r="AD1537" t="s">
        <v>91</v>
      </c>
      <c r="AE1537" t="s">
        <v>91</v>
      </c>
      <c r="AF1537" t="s">
        <v>91</v>
      </c>
      <c r="AG1537" s="1" t="s">
        <v>91</v>
      </c>
      <c r="AH1537" s="1" t="s">
        <v>91</v>
      </c>
      <c r="AI1537" t="s">
        <v>91</v>
      </c>
      <c r="AM1537" t="s">
        <v>91</v>
      </c>
      <c r="AN1537" t="s">
        <v>91</v>
      </c>
      <c r="AO1537" t="s">
        <v>91</v>
      </c>
      <c r="AP1537" t="s">
        <v>91</v>
      </c>
      <c r="AQ1537" s="1" t="s">
        <v>91</v>
      </c>
      <c r="AR1537" s="1" t="s">
        <v>91</v>
      </c>
      <c r="AS1537" s="1" t="s">
        <v>91</v>
      </c>
      <c r="AT1537" s="1" t="s">
        <v>91</v>
      </c>
      <c r="AU1537" s="1" t="s">
        <v>91</v>
      </c>
      <c r="AV1537" t="s">
        <v>91</v>
      </c>
      <c r="AW1537" t="s">
        <v>91</v>
      </c>
      <c r="AX1537" t="s">
        <v>91</v>
      </c>
      <c r="AY1537" t="s">
        <v>91</v>
      </c>
      <c r="AZ1537" t="s">
        <v>91</v>
      </c>
      <c r="BA1537" t="s">
        <v>91</v>
      </c>
      <c r="BB1537" s="2">
        <v>44096.645520833335</v>
      </c>
      <c r="BC1537" s="2"/>
      <c r="BD1537" t="s">
        <v>91</v>
      </c>
      <c r="BF1537" s="1" t="s">
        <v>75</v>
      </c>
      <c r="BI1537" s="1" t="s">
        <v>88</v>
      </c>
      <c r="BJ1537">
        <v>1</v>
      </c>
      <c r="BK1537" s="1" t="s">
        <v>89</v>
      </c>
      <c r="BL1537" t="s">
        <v>91</v>
      </c>
      <c r="BM1537" s="1" t="s">
        <v>109</v>
      </c>
      <c r="BN1537" s="1" t="s">
        <v>110</v>
      </c>
      <c r="BO1537" s="1" t="s">
        <v>165</v>
      </c>
      <c r="BP1537" s="1" t="s">
        <v>91</v>
      </c>
      <c r="BQ1537" t="s">
        <v>91</v>
      </c>
      <c r="BR1537" s="3">
        <v>44096</v>
      </c>
      <c r="BS1537" s="3"/>
      <c r="BT1537" t="s">
        <v>91</v>
      </c>
      <c r="BU1537" t="s">
        <v>91</v>
      </c>
      <c r="BV1537">
        <v>1</v>
      </c>
      <c r="BW1537" s="1" t="s">
        <v>90</v>
      </c>
    </row>
    <row r="1538" spans="1:75" hidden="1" x14ac:dyDescent="0.35">
      <c r="A1538">
        <v>157748</v>
      </c>
      <c r="B1538" s="1" t="s">
        <v>75</v>
      </c>
      <c r="C1538">
        <v>80</v>
      </c>
      <c r="D1538">
        <v>11121004</v>
      </c>
      <c r="E1538">
        <v>121004</v>
      </c>
      <c r="F1538" s="1" t="s">
        <v>6867</v>
      </c>
      <c r="G1538" s="1" t="s">
        <v>8293</v>
      </c>
      <c r="H1538">
        <v>0</v>
      </c>
      <c r="I1538" s="1" t="s">
        <v>78</v>
      </c>
      <c r="J1538" s="1" t="s">
        <v>8294</v>
      </c>
      <c r="K1538" s="1" t="s">
        <v>8295</v>
      </c>
      <c r="L1538" t="s">
        <v>91</v>
      </c>
      <c r="M1538" t="s">
        <v>91</v>
      </c>
      <c r="N1538" s="1" t="s">
        <v>8296</v>
      </c>
      <c r="O1538" t="s">
        <v>91</v>
      </c>
      <c r="P1538" s="1" t="s">
        <v>8297</v>
      </c>
      <c r="Q1538" s="1" t="s">
        <v>1592</v>
      </c>
      <c r="R1538" s="1" t="s">
        <v>320</v>
      </c>
      <c r="S1538">
        <v>1263</v>
      </c>
      <c r="T1538">
        <v>88351300</v>
      </c>
      <c r="U1538" s="1" t="s">
        <v>108</v>
      </c>
      <c r="V1538" s="1" t="s">
        <v>6936</v>
      </c>
      <c r="W1538" s="1" t="s">
        <v>87</v>
      </c>
      <c r="X1538">
        <v>47</v>
      </c>
      <c r="Y1538">
        <v>30443113</v>
      </c>
      <c r="Z1538" t="s">
        <v>91</v>
      </c>
      <c r="AA1538" t="s">
        <v>91</v>
      </c>
      <c r="AB1538" t="s">
        <v>91</v>
      </c>
      <c r="AC1538" t="s">
        <v>91</v>
      </c>
      <c r="AD1538" t="s">
        <v>91</v>
      </c>
      <c r="AE1538" t="s">
        <v>91</v>
      </c>
      <c r="AF1538" t="s">
        <v>91</v>
      </c>
      <c r="AG1538" s="1" t="s">
        <v>91</v>
      </c>
      <c r="AH1538" s="1" t="s">
        <v>91</v>
      </c>
      <c r="AI1538" t="s">
        <v>91</v>
      </c>
      <c r="AM1538" t="s">
        <v>91</v>
      </c>
      <c r="AN1538" t="s">
        <v>91</v>
      </c>
      <c r="AO1538" t="s">
        <v>91</v>
      </c>
      <c r="AP1538" t="s">
        <v>91</v>
      </c>
      <c r="AQ1538" s="1" t="s">
        <v>91</v>
      </c>
      <c r="AR1538" s="1" t="s">
        <v>91</v>
      </c>
      <c r="AS1538" s="1" t="s">
        <v>91</v>
      </c>
      <c r="AT1538" s="1" t="s">
        <v>91</v>
      </c>
      <c r="AU1538" s="1" t="s">
        <v>91</v>
      </c>
      <c r="AV1538" t="s">
        <v>91</v>
      </c>
      <c r="AW1538" t="s">
        <v>91</v>
      </c>
      <c r="AX1538" t="s">
        <v>91</v>
      </c>
      <c r="AY1538" t="s">
        <v>91</v>
      </c>
      <c r="AZ1538" t="s">
        <v>91</v>
      </c>
      <c r="BA1538" t="s">
        <v>91</v>
      </c>
      <c r="BB1538" s="2">
        <v>45118.101759259262</v>
      </c>
      <c r="BC1538" s="2"/>
      <c r="BD1538" t="s">
        <v>91</v>
      </c>
      <c r="BF1538" s="1" t="s">
        <v>75</v>
      </c>
      <c r="BI1538" s="1" t="s">
        <v>88</v>
      </c>
      <c r="BJ1538">
        <v>1</v>
      </c>
      <c r="BK1538" s="1" t="s">
        <v>89</v>
      </c>
      <c r="BL1538" t="s">
        <v>91</v>
      </c>
      <c r="BM1538" s="1" t="s">
        <v>91</v>
      </c>
      <c r="BN1538" s="1" t="s">
        <v>91</v>
      </c>
      <c r="BO1538" s="1" t="s">
        <v>91</v>
      </c>
      <c r="BP1538" s="1" t="s">
        <v>91</v>
      </c>
      <c r="BQ1538" t="s">
        <v>91</v>
      </c>
      <c r="BR1538" s="3">
        <v>45118</v>
      </c>
      <c r="BS1538" s="3"/>
      <c r="BT1538" t="s">
        <v>91</v>
      </c>
      <c r="BU1538" t="s">
        <v>91</v>
      </c>
      <c r="BW1538" s="1" t="s">
        <v>90</v>
      </c>
    </row>
    <row r="1539" spans="1:75" hidden="1" x14ac:dyDescent="0.35">
      <c r="A1539">
        <v>137763</v>
      </c>
      <c r="B1539" s="1" t="s">
        <v>75</v>
      </c>
      <c r="C1539">
        <v>80</v>
      </c>
      <c r="D1539">
        <v>11121004</v>
      </c>
      <c r="E1539">
        <v>121004</v>
      </c>
      <c r="F1539" s="1" t="s">
        <v>6867</v>
      </c>
      <c r="G1539" s="1" t="s">
        <v>8298</v>
      </c>
      <c r="H1539">
        <v>0</v>
      </c>
      <c r="I1539" s="1" t="s">
        <v>78</v>
      </c>
      <c r="J1539" s="1" t="s">
        <v>8299</v>
      </c>
      <c r="K1539" s="1" t="s">
        <v>8300</v>
      </c>
      <c r="L1539" t="s">
        <v>91</v>
      </c>
      <c r="M1539" t="s">
        <v>91</v>
      </c>
      <c r="N1539" s="1" t="s">
        <v>8301</v>
      </c>
      <c r="O1539" t="s">
        <v>91</v>
      </c>
      <c r="P1539" s="1" t="s">
        <v>682</v>
      </c>
      <c r="Q1539" s="1" t="s">
        <v>7178</v>
      </c>
      <c r="R1539" s="1" t="s">
        <v>8302</v>
      </c>
      <c r="S1539">
        <v>1271</v>
      </c>
      <c r="T1539">
        <v>89010202</v>
      </c>
      <c r="U1539" s="1" t="s">
        <v>108</v>
      </c>
      <c r="V1539" s="1" t="s">
        <v>3571</v>
      </c>
      <c r="W1539" s="1" t="s">
        <v>87</v>
      </c>
      <c r="X1539">
        <v>47</v>
      </c>
      <c r="Y1539">
        <v>30372693</v>
      </c>
      <c r="Z1539" t="s">
        <v>91</v>
      </c>
      <c r="AA1539" t="s">
        <v>91</v>
      </c>
      <c r="AB1539" t="s">
        <v>91</v>
      </c>
      <c r="AC1539" t="s">
        <v>91</v>
      </c>
      <c r="AD1539" t="s">
        <v>91</v>
      </c>
      <c r="AE1539" t="s">
        <v>91</v>
      </c>
      <c r="AF1539" t="s">
        <v>91</v>
      </c>
      <c r="AG1539" s="1" t="s">
        <v>146</v>
      </c>
      <c r="AH1539" s="1" t="s">
        <v>91</v>
      </c>
      <c r="AI1539" t="s">
        <v>91</v>
      </c>
      <c r="AM1539" t="s">
        <v>91</v>
      </c>
      <c r="AN1539" t="s">
        <v>91</v>
      </c>
      <c r="AO1539" t="s">
        <v>91</v>
      </c>
      <c r="AP1539" t="s">
        <v>91</v>
      </c>
      <c r="AQ1539" s="1" t="s">
        <v>147</v>
      </c>
      <c r="AR1539" s="1" t="s">
        <v>147</v>
      </c>
      <c r="AS1539" s="1" t="s">
        <v>147</v>
      </c>
      <c r="AT1539" s="1" t="s">
        <v>147</v>
      </c>
      <c r="AU1539" s="1" t="s">
        <v>147</v>
      </c>
      <c r="AV1539" t="s">
        <v>91</v>
      </c>
      <c r="AW1539" t="s">
        <v>91</v>
      </c>
      <c r="AX1539" t="s">
        <v>91</v>
      </c>
      <c r="AY1539" t="s">
        <v>91</v>
      </c>
      <c r="AZ1539" t="s">
        <v>91</v>
      </c>
      <c r="BA1539" t="s">
        <v>91</v>
      </c>
      <c r="BB1539" s="2">
        <v>44378.578518518516</v>
      </c>
      <c r="BC1539" s="2">
        <v>44544.431631944448</v>
      </c>
      <c r="BD1539" t="s">
        <v>91</v>
      </c>
      <c r="BF1539" s="1" t="s">
        <v>75</v>
      </c>
      <c r="BH1539">
        <v>0</v>
      </c>
      <c r="BI1539" s="1" t="s">
        <v>88</v>
      </c>
      <c r="BJ1539">
        <v>1</v>
      </c>
      <c r="BK1539" s="1" t="s">
        <v>89</v>
      </c>
      <c r="BL1539" t="s">
        <v>91</v>
      </c>
      <c r="BM1539" s="1" t="s">
        <v>109</v>
      </c>
      <c r="BN1539" s="1" t="s">
        <v>110</v>
      </c>
      <c r="BO1539" s="1" t="s">
        <v>165</v>
      </c>
      <c r="BP1539" s="1" t="s">
        <v>91</v>
      </c>
      <c r="BQ1539" t="s">
        <v>91</v>
      </c>
      <c r="BR1539" s="3">
        <v>44378</v>
      </c>
      <c r="BS1539" s="3">
        <v>44544</v>
      </c>
      <c r="BT1539" t="s">
        <v>91</v>
      </c>
      <c r="BU1539" t="s">
        <v>91</v>
      </c>
      <c r="BW1539" s="1" t="s">
        <v>912</v>
      </c>
    </row>
    <row r="1540" spans="1:75" hidden="1" x14ac:dyDescent="0.35">
      <c r="A1540">
        <v>158721</v>
      </c>
      <c r="B1540" s="1" t="s">
        <v>75</v>
      </c>
      <c r="C1540">
        <v>80</v>
      </c>
      <c r="D1540">
        <v>11121004</v>
      </c>
      <c r="E1540">
        <v>121004</v>
      </c>
      <c r="F1540" s="1" t="s">
        <v>6867</v>
      </c>
      <c r="G1540" s="1" t="s">
        <v>8303</v>
      </c>
      <c r="I1540" s="1" t="s">
        <v>78</v>
      </c>
      <c r="J1540" s="1" t="s">
        <v>8304</v>
      </c>
      <c r="K1540" s="1" t="s">
        <v>8305</v>
      </c>
      <c r="L1540" t="s">
        <v>91</v>
      </c>
      <c r="M1540" t="s">
        <v>91</v>
      </c>
      <c r="N1540" s="1" t="s">
        <v>8306</v>
      </c>
      <c r="O1540" t="s">
        <v>91</v>
      </c>
      <c r="P1540" s="1" t="s">
        <v>6925</v>
      </c>
      <c r="Q1540" s="1" t="s">
        <v>8307</v>
      </c>
      <c r="R1540" s="1" t="s">
        <v>236</v>
      </c>
      <c r="S1540">
        <v>1276</v>
      </c>
      <c r="T1540">
        <v>89160051</v>
      </c>
      <c r="U1540" s="1" t="s">
        <v>108</v>
      </c>
      <c r="V1540" s="1" t="s">
        <v>6927</v>
      </c>
      <c r="W1540" s="1" t="s">
        <v>87</v>
      </c>
      <c r="X1540">
        <v>47</v>
      </c>
      <c r="Y1540">
        <v>35218105</v>
      </c>
      <c r="Z1540" t="s">
        <v>91</v>
      </c>
      <c r="AA1540" t="s">
        <v>91</v>
      </c>
      <c r="AB1540" t="s">
        <v>91</v>
      </c>
      <c r="AC1540" t="s">
        <v>91</v>
      </c>
      <c r="AD1540" t="s">
        <v>91</v>
      </c>
      <c r="AE1540" t="s">
        <v>91</v>
      </c>
      <c r="AF1540" t="s">
        <v>91</v>
      </c>
      <c r="AG1540" s="1" t="s">
        <v>91</v>
      </c>
      <c r="AH1540" s="1" t="s">
        <v>91</v>
      </c>
      <c r="AI1540" t="s">
        <v>91</v>
      </c>
      <c r="AM1540" t="s">
        <v>91</v>
      </c>
      <c r="AN1540" t="s">
        <v>91</v>
      </c>
      <c r="AO1540" t="s">
        <v>91</v>
      </c>
      <c r="AP1540" t="s">
        <v>91</v>
      </c>
      <c r="AQ1540" s="1" t="s">
        <v>91</v>
      </c>
      <c r="AR1540" s="1" t="s">
        <v>91</v>
      </c>
      <c r="AS1540" s="1" t="s">
        <v>91</v>
      </c>
      <c r="AT1540" s="1" t="s">
        <v>91</v>
      </c>
      <c r="AU1540" s="1" t="s">
        <v>91</v>
      </c>
      <c r="AV1540" t="s">
        <v>91</v>
      </c>
      <c r="AW1540" t="s">
        <v>91</v>
      </c>
      <c r="AX1540" t="s">
        <v>91</v>
      </c>
      <c r="AY1540" t="s">
        <v>91</v>
      </c>
      <c r="AZ1540" t="s">
        <v>91</v>
      </c>
      <c r="BA1540" t="s">
        <v>91</v>
      </c>
      <c r="BB1540" s="2">
        <v>45155.700069444443</v>
      </c>
      <c r="BC1540" s="2"/>
      <c r="BD1540" t="s">
        <v>91</v>
      </c>
      <c r="BF1540" s="1" t="s">
        <v>75</v>
      </c>
      <c r="BI1540" s="1" t="s">
        <v>88</v>
      </c>
      <c r="BJ1540">
        <v>1</v>
      </c>
      <c r="BK1540" s="1" t="s">
        <v>89</v>
      </c>
      <c r="BL1540" t="s">
        <v>91</v>
      </c>
      <c r="BM1540" s="1" t="s">
        <v>91</v>
      </c>
      <c r="BN1540" s="1" t="s">
        <v>91</v>
      </c>
      <c r="BO1540" s="1" t="s">
        <v>91</v>
      </c>
      <c r="BP1540" s="1" t="s">
        <v>91</v>
      </c>
      <c r="BQ1540" t="s">
        <v>91</v>
      </c>
      <c r="BR1540" s="3">
        <v>45155</v>
      </c>
      <c r="BS1540" s="3"/>
      <c r="BT1540" t="s">
        <v>91</v>
      </c>
      <c r="BU1540" t="s">
        <v>91</v>
      </c>
      <c r="BW1540" s="1" t="s">
        <v>90</v>
      </c>
    </row>
    <row r="1541" spans="1:75" hidden="1" x14ac:dyDescent="0.35">
      <c r="A1541">
        <v>137764</v>
      </c>
      <c r="B1541" s="1" t="s">
        <v>75</v>
      </c>
      <c r="C1541">
        <v>80</v>
      </c>
      <c r="D1541">
        <v>11121004</v>
      </c>
      <c r="E1541">
        <v>121004</v>
      </c>
      <c r="F1541" s="1" t="s">
        <v>6867</v>
      </c>
      <c r="G1541" s="1" t="s">
        <v>8308</v>
      </c>
      <c r="H1541">
        <v>0</v>
      </c>
      <c r="I1541" s="1" t="s">
        <v>78</v>
      </c>
      <c r="J1541" s="1" t="s">
        <v>8309</v>
      </c>
      <c r="K1541" s="1" t="s">
        <v>8310</v>
      </c>
      <c r="L1541" t="s">
        <v>91</v>
      </c>
      <c r="M1541" t="s">
        <v>91</v>
      </c>
      <c r="N1541" s="1" t="s">
        <v>8311</v>
      </c>
      <c r="O1541" t="s">
        <v>91</v>
      </c>
      <c r="P1541" s="1" t="s">
        <v>8312</v>
      </c>
      <c r="Q1541" s="1" t="s">
        <v>8313</v>
      </c>
      <c r="R1541" s="1" t="s">
        <v>3754</v>
      </c>
      <c r="S1541">
        <v>1262</v>
      </c>
      <c r="T1541">
        <v>88330091</v>
      </c>
      <c r="U1541" s="1" t="s">
        <v>108</v>
      </c>
      <c r="V1541" s="1" t="s">
        <v>6898</v>
      </c>
      <c r="W1541" s="1" t="s">
        <v>87</v>
      </c>
      <c r="X1541">
        <v>47</v>
      </c>
      <c r="Y1541">
        <v>33663292</v>
      </c>
      <c r="Z1541" t="s">
        <v>91</v>
      </c>
      <c r="AA1541" t="s">
        <v>91</v>
      </c>
      <c r="AB1541" t="s">
        <v>91</v>
      </c>
      <c r="AC1541" t="s">
        <v>91</v>
      </c>
      <c r="AD1541" t="s">
        <v>91</v>
      </c>
      <c r="AE1541" t="s">
        <v>91</v>
      </c>
      <c r="AF1541" t="s">
        <v>91</v>
      </c>
      <c r="AG1541" s="1" t="s">
        <v>146</v>
      </c>
      <c r="AH1541" s="1" t="s">
        <v>91</v>
      </c>
      <c r="AI1541" t="s">
        <v>91</v>
      </c>
      <c r="AM1541" t="s">
        <v>91</v>
      </c>
      <c r="AN1541" t="s">
        <v>91</v>
      </c>
      <c r="AO1541" t="s">
        <v>91</v>
      </c>
      <c r="AP1541" t="s">
        <v>91</v>
      </c>
      <c r="AQ1541" s="1" t="s">
        <v>147</v>
      </c>
      <c r="AR1541" s="1" t="s">
        <v>147</v>
      </c>
      <c r="AS1541" s="1" t="s">
        <v>147</v>
      </c>
      <c r="AT1541" s="1" t="s">
        <v>147</v>
      </c>
      <c r="AU1541" s="1" t="s">
        <v>147</v>
      </c>
      <c r="AV1541" t="s">
        <v>91</v>
      </c>
      <c r="AW1541" t="s">
        <v>91</v>
      </c>
      <c r="AX1541" t="s">
        <v>91</v>
      </c>
      <c r="AY1541" t="s">
        <v>91</v>
      </c>
      <c r="AZ1541" t="s">
        <v>91</v>
      </c>
      <c r="BA1541" t="s">
        <v>91</v>
      </c>
      <c r="BB1541" s="2">
        <v>44378.578518518516</v>
      </c>
      <c r="BC1541" s="2">
        <v>44771.654918981483</v>
      </c>
      <c r="BD1541" t="s">
        <v>91</v>
      </c>
      <c r="BF1541" s="1" t="s">
        <v>75</v>
      </c>
      <c r="BH1541">
        <v>0</v>
      </c>
      <c r="BI1541" s="1" t="s">
        <v>88</v>
      </c>
      <c r="BJ1541">
        <v>1</v>
      </c>
      <c r="BK1541" s="1" t="s">
        <v>89</v>
      </c>
      <c r="BL1541" t="s">
        <v>91</v>
      </c>
      <c r="BM1541" s="1" t="s">
        <v>109</v>
      </c>
      <c r="BN1541" s="1" t="s">
        <v>110</v>
      </c>
      <c r="BO1541" s="1" t="s">
        <v>128</v>
      </c>
      <c r="BP1541" s="1" t="s">
        <v>91</v>
      </c>
      <c r="BQ1541" t="s">
        <v>91</v>
      </c>
      <c r="BR1541" s="3">
        <v>44378</v>
      </c>
      <c r="BS1541" s="3">
        <v>44771</v>
      </c>
      <c r="BT1541" t="s">
        <v>91</v>
      </c>
      <c r="BU1541" t="s">
        <v>91</v>
      </c>
      <c r="BW1541" s="1" t="s">
        <v>4215</v>
      </c>
    </row>
    <row r="1542" spans="1:75" hidden="1" x14ac:dyDescent="0.35">
      <c r="A1542">
        <v>157120</v>
      </c>
      <c r="B1542" s="1" t="s">
        <v>75</v>
      </c>
      <c r="C1542">
        <v>80</v>
      </c>
      <c r="D1542">
        <v>11121004</v>
      </c>
      <c r="E1542">
        <v>121004</v>
      </c>
      <c r="F1542" s="1" t="s">
        <v>6867</v>
      </c>
      <c r="G1542" s="1" t="s">
        <v>8314</v>
      </c>
      <c r="H1542">
        <v>0</v>
      </c>
      <c r="I1542" s="1" t="s">
        <v>78</v>
      </c>
      <c r="J1542" s="1" t="s">
        <v>8315</v>
      </c>
      <c r="K1542" s="1" t="s">
        <v>8316</v>
      </c>
      <c r="L1542" t="s">
        <v>91</v>
      </c>
      <c r="M1542" t="s">
        <v>91</v>
      </c>
      <c r="N1542" s="1" t="s">
        <v>8317</v>
      </c>
      <c r="O1542" t="s">
        <v>91</v>
      </c>
      <c r="P1542" s="1" t="s">
        <v>8318</v>
      </c>
      <c r="Q1542" s="1" t="s">
        <v>8313</v>
      </c>
      <c r="R1542" s="1" t="s">
        <v>954</v>
      </c>
      <c r="S1542">
        <v>1262</v>
      </c>
      <c r="T1542">
        <v>88330091</v>
      </c>
      <c r="U1542" s="1" t="s">
        <v>108</v>
      </c>
      <c r="V1542" s="1" t="s">
        <v>5871</v>
      </c>
      <c r="W1542" s="1" t="s">
        <v>87</v>
      </c>
      <c r="X1542">
        <v>47</v>
      </c>
      <c r="Y1542">
        <v>33663292</v>
      </c>
      <c r="Z1542" t="s">
        <v>91</v>
      </c>
      <c r="AA1542" t="s">
        <v>91</v>
      </c>
      <c r="AB1542" t="s">
        <v>91</v>
      </c>
      <c r="AC1542" t="s">
        <v>91</v>
      </c>
      <c r="AD1542" t="s">
        <v>91</v>
      </c>
      <c r="AE1542" t="s">
        <v>91</v>
      </c>
      <c r="AF1542" t="s">
        <v>91</v>
      </c>
      <c r="AG1542" s="1" t="s">
        <v>91</v>
      </c>
      <c r="AH1542" s="1" t="s">
        <v>91</v>
      </c>
      <c r="AI1542" t="s">
        <v>91</v>
      </c>
      <c r="AM1542" t="s">
        <v>91</v>
      </c>
      <c r="AN1542" t="s">
        <v>91</v>
      </c>
      <c r="AO1542" t="s">
        <v>91</v>
      </c>
      <c r="AP1542" t="s">
        <v>91</v>
      </c>
      <c r="AQ1542" s="1" t="s">
        <v>91</v>
      </c>
      <c r="AR1542" s="1" t="s">
        <v>91</v>
      </c>
      <c r="AS1542" s="1" t="s">
        <v>91</v>
      </c>
      <c r="AT1542" s="1" t="s">
        <v>91</v>
      </c>
      <c r="AU1542" s="1" t="s">
        <v>91</v>
      </c>
      <c r="AV1542" t="s">
        <v>91</v>
      </c>
      <c r="AW1542" t="s">
        <v>91</v>
      </c>
      <c r="AX1542" t="s">
        <v>91</v>
      </c>
      <c r="AY1542" t="s">
        <v>91</v>
      </c>
      <c r="AZ1542" t="s">
        <v>91</v>
      </c>
      <c r="BA1542" t="s">
        <v>91</v>
      </c>
      <c r="BB1542" s="2">
        <v>45113.505416666667</v>
      </c>
      <c r="BC1542" s="2"/>
      <c r="BD1542" t="s">
        <v>91</v>
      </c>
      <c r="BF1542" s="1" t="s">
        <v>75</v>
      </c>
      <c r="BI1542" s="1" t="s">
        <v>88</v>
      </c>
      <c r="BJ1542">
        <v>1</v>
      </c>
      <c r="BK1542" s="1" t="s">
        <v>89</v>
      </c>
      <c r="BL1542" t="s">
        <v>91</v>
      </c>
      <c r="BM1542" s="1" t="s">
        <v>91</v>
      </c>
      <c r="BN1542" s="1" t="s">
        <v>91</v>
      </c>
      <c r="BO1542" s="1" t="s">
        <v>91</v>
      </c>
      <c r="BP1542" s="1" t="s">
        <v>91</v>
      </c>
      <c r="BQ1542" t="s">
        <v>91</v>
      </c>
      <c r="BR1542" s="3">
        <v>45113</v>
      </c>
      <c r="BS1542" s="3"/>
      <c r="BT1542" t="s">
        <v>91</v>
      </c>
      <c r="BU1542" t="s">
        <v>91</v>
      </c>
      <c r="BW1542" s="1" t="s">
        <v>90</v>
      </c>
    </row>
    <row r="1543" spans="1:75" hidden="1" x14ac:dyDescent="0.35">
      <c r="A1543">
        <v>157109</v>
      </c>
      <c r="B1543" s="1" t="s">
        <v>75</v>
      </c>
      <c r="C1543">
        <v>80</v>
      </c>
      <c r="D1543">
        <v>11121004</v>
      </c>
      <c r="E1543">
        <v>121004</v>
      </c>
      <c r="F1543" s="1" t="s">
        <v>6867</v>
      </c>
      <c r="G1543" s="1" t="s">
        <v>8319</v>
      </c>
      <c r="H1543">
        <v>0</v>
      </c>
      <c r="I1543" s="1" t="s">
        <v>78</v>
      </c>
      <c r="J1543" s="1" t="s">
        <v>8320</v>
      </c>
      <c r="K1543" s="1" t="s">
        <v>8321</v>
      </c>
      <c r="L1543" t="s">
        <v>91</v>
      </c>
      <c r="M1543" t="s">
        <v>91</v>
      </c>
      <c r="N1543" s="1" t="s">
        <v>8322</v>
      </c>
      <c r="O1543" t="s">
        <v>91</v>
      </c>
      <c r="P1543" s="1" t="s">
        <v>6945</v>
      </c>
      <c r="Q1543" s="1" t="s">
        <v>3211</v>
      </c>
      <c r="R1543" s="1" t="s">
        <v>91</v>
      </c>
      <c r="S1543">
        <v>1263</v>
      </c>
      <c r="T1543">
        <v>88380000</v>
      </c>
      <c r="U1543" s="1" t="s">
        <v>108</v>
      </c>
      <c r="V1543" s="1" t="s">
        <v>7523</v>
      </c>
      <c r="W1543" s="1" t="s">
        <v>87</v>
      </c>
      <c r="X1543">
        <v>47</v>
      </c>
      <c r="Y1543">
        <v>999764746</v>
      </c>
      <c r="Z1543" t="s">
        <v>91</v>
      </c>
      <c r="AA1543" t="s">
        <v>91</v>
      </c>
      <c r="AB1543" t="s">
        <v>91</v>
      </c>
      <c r="AC1543" t="s">
        <v>91</v>
      </c>
      <c r="AD1543" t="s">
        <v>91</v>
      </c>
      <c r="AE1543" t="s">
        <v>91</v>
      </c>
      <c r="AF1543" t="s">
        <v>91</v>
      </c>
      <c r="AG1543" s="1" t="s">
        <v>146</v>
      </c>
      <c r="AH1543" s="1" t="s">
        <v>91</v>
      </c>
      <c r="AI1543" t="s">
        <v>91</v>
      </c>
      <c r="AM1543" t="s">
        <v>91</v>
      </c>
      <c r="AN1543" t="s">
        <v>91</v>
      </c>
      <c r="AO1543" t="s">
        <v>91</v>
      </c>
      <c r="AP1543" t="s">
        <v>91</v>
      </c>
      <c r="AQ1543" s="1" t="s">
        <v>147</v>
      </c>
      <c r="AR1543" s="1" t="s">
        <v>147</v>
      </c>
      <c r="AS1543" s="1" t="s">
        <v>147</v>
      </c>
      <c r="AT1543" s="1" t="s">
        <v>147</v>
      </c>
      <c r="AU1543" s="1" t="s">
        <v>147</v>
      </c>
      <c r="AV1543" t="s">
        <v>91</v>
      </c>
      <c r="AW1543" t="s">
        <v>91</v>
      </c>
      <c r="AX1543" t="s">
        <v>91</v>
      </c>
      <c r="AY1543" t="s">
        <v>91</v>
      </c>
      <c r="AZ1543" t="s">
        <v>91</v>
      </c>
      <c r="BA1543" t="s">
        <v>91</v>
      </c>
      <c r="BB1543" s="2">
        <v>45113.505416666667</v>
      </c>
      <c r="BC1543" s="2">
        <v>45121.674120370371</v>
      </c>
      <c r="BD1543" t="s">
        <v>91</v>
      </c>
      <c r="BF1543" s="1" t="s">
        <v>75</v>
      </c>
      <c r="BH1543">
        <v>0</v>
      </c>
      <c r="BI1543" s="1" t="s">
        <v>721</v>
      </c>
      <c r="BJ1543">
        <v>1</v>
      </c>
      <c r="BK1543" s="1" t="s">
        <v>89</v>
      </c>
      <c r="BL1543" t="s">
        <v>91</v>
      </c>
      <c r="BM1543" s="1" t="s">
        <v>91</v>
      </c>
      <c r="BN1543" s="1" t="s">
        <v>91</v>
      </c>
      <c r="BO1543" s="1" t="s">
        <v>91</v>
      </c>
      <c r="BP1543" s="1" t="s">
        <v>91</v>
      </c>
      <c r="BQ1543" t="s">
        <v>91</v>
      </c>
      <c r="BR1543" s="3">
        <v>45113</v>
      </c>
      <c r="BS1543" s="3">
        <v>45121</v>
      </c>
      <c r="BT1543" t="s">
        <v>91</v>
      </c>
      <c r="BU1543" t="s">
        <v>91</v>
      </c>
      <c r="BW1543" s="1" t="s">
        <v>3096</v>
      </c>
    </row>
    <row r="1544" spans="1:75" hidden="1" x14ac:dyDescent="0.35">
      <c r="A1544">
        <v>137766</v>
      </c>
      <c r="B1544" s="1" t="s">
        <v>75</v>
      </c>
      <c r="C1544">
        <v>80</v>
      </c>
      <c r="D1544">
        <v>11121004</v>
      </c>
      <c r="E1544">
        <v>121004</v>
      </c>
      <c r="F1544" s="1" t="s">
        <v>6867</v>
      </c>
      <c r="G1544" s="1" t="s">
        <v>8323</v>
      </c>
      <c r="H1544">
        <v>0</v>
      </c>
      <c r="I1544" s="1" t="s">
        <v>78</v>
      </c>
      <c r="J1544" s="1" t="s">
        <v>8324</v>
      </c>
      <c r="K1544" s="1" t="s">
        <v>8325</v>
      </c>
      <c r="L1544" t="s">
        <v>91</v>
      </c>
      <c r="M1544" t="s">
        <v>91</v>
      </c>
      <c r="N1544" s="1" t="s">
        <v>8326</v>
      </c>
      <c r="O1544" t="s">
        <v>91</v>
      </c>
      <c r="P1544" s="1" t="s">
        <v>8100</v>
      </c>
      <c r="Q1544" s="1" t="s">
        <v>8327</v>
      </c>
      <c r="R1544" s="1" t="s">
        <v>173</v>
      </c>
      <c r="T1544">
        <v>88372618</v>
      </c>
      <c r="U1544" s="1" t="s">
        <v>8074</v>
      </c>
      <c r="V1544" s="1" t="s">
        <v>7127</v>
      </c>
      <c r="W1544" s="1" t="s">
        <v>87</v>
      </c>
      <c r="X1544">
        <v>47</v>
      </c>
      <c r="Y1544">
        <v>33427784</v>
      </c>
      <c r="Z1544" t="s">
        <v>91</v>
      </c>
      <c r="AA1544" t="s">
        <v>91</v>
      </c>
      <c r="AB1544" t="s">
        <v>91</v>
      </c>
      <c r="AC1544" t="s">
        <v>91</v>
      </c>
      <c r="AD1544" t="s">
        <v>91</v>
      </c>
      <c r="AE1544" t="s">
        <v>91</v>
      </c>
      <c r="AF1544" t="s">
        <v>91</v>
      </c>
      <c r="AG1544" s="1" t="s">
        <v>146</v>
      </c>
      <c r="AH1544" s="1" t="s">
        <v>91</v>
      </c>
      <c r="AI1544" t="s">
        <v>91</v>
      </c>
      <c r="AM1544" t="s">
        <v>91</v>
      </c>
      <c r="AN1544" t="s">
        <v>91</v>
      </c>
      <c r="AO1544" t="s">
        <v>91</v>
      </c>
      <c r="AP1544" t="s">
        <v>91</v>
      </c>
      <c r="AQ1544" s="1" t="s">
        <v>147</v>
      </c>
      <c r="AR1544" s="1" t="s">
        <v>147</v>
      </c>
      <c r="AS1544" s="1" t="s">
        <v>147</v>
      </c>
      <c r="AT1544" s="1" t="s">
        <v>147</v>
      </c>
      <c r="AU1544" s="1" t="s">
        <v>147</v>
      </c>
      <c r="AV1544" t="s">
        <v>91</v>
      </c>
      <c r="AW1544" t="s">
        <v>91</v>
      </c>
      <c r="AX1544" t="s">
        <v>91</v>
      </c>
      <c r="AY1544" t="s">
        <v>91</v>
      </c>
      <c r="AZ1544" t="s">
        <v>91</v>
      </c>
      <c r="BA1544" t="s">
        <v>91</v>
      </c>
      <c r="BB1544" s="2">
        <v>44378.578518518516</v>
      </c>
      <c r="BC1544" s="2">
        <v>45121.41505787037</v>
      </c>
      <c r="BD1544" t="s">
        <v>91</v>
      </c>
      <c r="BF1544" s="1" t="s">
        <v>75</v>
      </c>
      <c r="BH1544">
        <v>0</v>
      </c>
      <c r="BI1544" s="1" t="s">
        <v>721</v>
      </c>
      <c r="BJ1544">
        <v>1</v>
      </c>
      <c r="BK1544" s="1" t="s">
        <v>89</v>
      </c>
      <c r="BL1544" t="s">
        <v>91</v>
      </c>
      <c r="BM1544" s="1" t="s">
        <v>109</v>
      </c>
      <c r="BN1544" s="1" t="s">
        <v>148</v>
      </c>
      <c r="BO1544" s="1" t="s">
        <v>111</v>
      </c>
      <c r="BP1544" s="1" t="s">
        <v>91</v>
      </c>
      <c r="BQ1544" t="s">
        <v>91</v>
      </c>
      <c r="BR1544" s="3">
        <v>44378</v>
      </c>
      <c r="BS1544" s="3">
        <v>45121</v>
      </c>
      <c r="BT1544" t="s">
        <v>91</v>
      </c>
      <c r="BU1544" t="s">
        <v>91</v>
      </c>
      <c r="BW1544" s="1" t="s">
        <v>419</v>
      </c>
    </row>
    <row r="1545" spans="1:75" hidden="1" x14ac:dyDescent="0.35">
      <c r="A1545">
        <v>144181</v>
      </c>
      <c r="B1545" s="1" t="s">
        <v>75</v>
      </c>
      <c r="C1545">
        <v>80</v>
      </c>
      <c r="D1545">
        <v>11121004</v>
      </c>
      <c r="E1545">
        <v>121004</v>
      </c>
      <c r="F1545" s="1" t="s">
        <v>6867</v>
      </c>
      <c r="G1545" s="1" t="s">
        <v>8328</v>
      </c>
      <c r="H1545">
        <v>0</v>
      </c>
      <c r="I1545" s="1" t="s">
        <v>78</v>
      </c>
      <c r="J1545" s="1" t="s">
        <v>8329</v>
      </c>
      <c r="K1545" s="1" t="s">
        <v>8330</v>
      </c>
      <c r="L1545" t="s">
        <v>91</v>
      </c>
      <c r="M1545" t="s">
        <v>91</v>
      </c>
      <c r="N1545" s="1" t="s">
        <v>8331</v>
      </c>
      <c r="O1545" t="s">
        <v>91</v>
      </c>
      <c r="P1545" s="1" t="s">
        <v>8100</v>
      </c>
      <c r="Q1545" s="1" t="s">
        <v>1222</v>
      </c>
      <c r="R1545" s="1" t="s">
        <v>820</v>
      </c>
      <c r="T1545">
        <v>88370430</v>
      </c>
      <c r="U1545" s="1" t="s">
        <v>108</v>
      </c>
      <c r="V1545" s="1" t="s">
        <v>7127</v>
      </c>
      <c r="W1545" s="1" t="s">
        <v>87</v>
      </c>
      <c r="X1545">
        <v>47</v>
      </c>
      <c r="Y1545">
        <v>30483367</v>
      </c>
      <c r="Z1545" t="s">
        <v>91</v>
      </c>
      <c r="AA1545" t="s">
        <v>91</v>
      </c>
      <c r="AB1545" t="s">
        <v>91</v>
      </c>
      <c r="AC1545" t="s">
        <v>91</v>
      </c>
      <c r="AD1545" t="s">
        <v>91</v>
      </c>
      <c r="AE1545" t="s">
        <v>91</v>
      </c>
      <c r="AF1545" t="s">
        <v>91</v>
      </c>
      <c r="AG1545" s="1" t="s">
        <v>91</v>
      </c>
      <c r="AH1545" s="1" t="s">
        <v>91</v>
      </c>
      <c r="AI1545" t="s">
        <v>91</v>
      </c>
      <c r="AM1545" t="s">
        <v>91</v>
      </c>
      <c r="AN1545" t="s">
        <v>91</v>
      </c>
      <c r="AO1545" t="s">
        <v>91</v>
      </c>
      <c r="AP1545" t="s">
        <v>91</v>
      </c>
      <c r="AQ1545" s="1" t="s">
        <v>91</v>
      </c>
      <c r="AR1545" s="1" t="s">
        <v>91</v>
      </c>
      <c r="AS1545" s="1" t="s">
        <v>91</v>
      </c>
      <c r="AT1545" s="1" t="s">
        <v>91</v>
      </c>
      <c r="AU1545" s="1" t="s">
        <v>91</v>
      </c>
      <c r="AV1545" t="s">
        <v>91</v>
      </c>
      <c r="AW1545" t="s">
        <v>91</v>
      </c>
      <c r="AX1545" t="s">
        <v>91</v>
      </c>
      <c r="AY1545" t="s">
        <v>91</v>
      </c>
      <c r="AZ1545" t="s">
        <v>91</v>
      </c>
      <c r="BA1545" t="s">
        <v>91</v>
      </c>
      <c r="BB1545" s="2">
        <v>44526.624652777777</v>
      </c>
      <c r="BC1545" s="2"/>
      <c r="BD1545" t="s">
        <v>91</v>
      </c>
      <c r="BF1545" s="1" t="s">
        <v>75</v>
      </c>
      <c r="BI1545" s="1" t="s">
        <v>88</v>
      </c>
      <c r="BJ1545">
        <v>1</v>
      </c>
      <c r="BK1545" s="1" t="s">
        <v>89</v>
      </c>
      <c r="BL1545" t="s">
        <v>91</v>
      </c>
      <c r="BM1545" s="1" t="s">
        <v>91</v>
      </c>
      <c r="BN1545" s="1" t="s">
        <v>91</v>
      </c>
      <c r="BO1545" s="1" t="s">
        <v>180</v>
      </c>
      <c r="BP1545" s="1" t="s">
        <v>91</v>
      </c>
      <c r="BQ1545" t="s">
        <v>91</v>
      </c>
      <c r="BR1545" s="3">
        <v>44526</v>
      </c>
      <c r="BS1545" s="3"/>
      <c r="BT1545" t="s">
        <v>91</v>
      </c>
      <c r="BU1545" t="s">
        <v>91</v>
      </c>
      <c r="BW1545" s="1" t="s">
        <v>90</v>
      </c>
    </row>
    <row r="1546" spans="1:75" hidden="1" x14ac:dyDescent="0.35">
      <c r="A1546">
        <v>137767</v>
      </c>
      <c r="B1546" s="1" t="s">
        <v>75</v>
      </c>
      <c r="C1546">
        <v>80</v>
      </c>
      <c r="D1546">
        <v>11121004</v>
      </c>
      <c r="E1546">
        <v>121004</v>
      </c>
      <c r="F1546" s="1" t="s">
        <v>6867</v>
      </c>
      <c r="G1546" s="1" t="s">
        <v>8332</v>
      </c>
      <c r="H1546">
        <v>0</v>
      </c>
      <c r="I1546" s="1" t="s">
        <v>78</v>
      </c>
      <c r="J1546" s="1" t="s">
        <v>8333</v>
      </c>
      <c r="K1546" s="1" t="s">
        <v>8334</v>
      </c>
      <c r="L1546" t="s">
        <v>91</v>
      </c>
      <c r="M1546" t="s">
        <v>91</v>
      </c>
      <c r="N1546" s="1" t="s">
        <v>8335</v>
      </c>
      <c r="O1546" t="s">
        <v>91</v>
      </c>
      <c r="P1546" s="1" t="s">
        <v>8336</v>
      </c>
      <c r="Q1546" s="1" t="s">
        <v>1394</v>
      </c>
      <c r="R1546" s="1" t="s">
        <v>91</v>
      </c>
      <c r="S1546">
        <v>1276</v>
      </c>
      <c r="T1546">
        <v>89160027</v>
      </c>
      <c r="U1546" s="1" t="s">
        <v>108</v>
      </c>
      <c r="V1546" s="1" t="s">
        <v>6927</v>
      </c>
      <c r="W1546" s="1" t="s">
        <v>87</v>
      </c>
      <c r="X1546">
        <v>47</v>
      </c>
      <c r="Y1546">
        <v>35213914</v>
      </c>
      <c r="Z1546" t="s">
        <v>91</v>
      </c>
      <c r="AA1546" t="s">
        <v>91</v>
      </c>
      <c r="AB1546" t="s">
        <v>91</v>
      </c>
      <c r="AC1546" t="s">
        <v>91</v>
      </c>
      <c r="AD1546" t="s">
        <v>91</v>
      </c>
      <c r="AE1546" t="s">
        <v>91</v>
      </c>
      <c r="AF1546" t="s">
        <v>91</v>
      </c>
      <c r="AG1546" s="1" t="s">
        <v>146</v>
      </c>
      <c r="AH1546" s="1" t="s">
        <v>91</v>
      </c>
      <c r="AI1546" t="s">
        <v>91</v>
      </c>
      <c r="AM1546" t="s">
        <v>91</v>
      </c>
      <c r="AN1546" t="s">
        <v>91</v>
      </c>
      <c r="AO1546" t="s">
        <v>91</v>
      </c>
      <c r="AP1546" t="s">
        <v>91</v>
      </c>
      <c r="AQ1546" s="1" t="s">
        <v>147</v>
      </c>
      <c r="AR1546" s="1" t="s">
        <v>147</v>
      </c>
      <c r="AS1546" s="1" t="s">
        <v>147</v>
      </c>
      <c r="AT1546" s="1" t="s">
        <v>147</v>
      </c>
      <c r="AU1546" s="1" t="s">
        <v>147</v>
      </c>
      <c r="AV1546" t="s">
        <v>91</v>
      </c>
      <c r="AW1546" t="s">
        <v>91</v>
      </c>
      <c r="AX1546" t="s">
        <v>91</v>
      </c>
      <c r="AY1546" t="s">
        <v>91</v>
      </c>
      <c r="AZ1546" t="s">
        <v>91</v>
      </c>
      <c r="BA1546" t="s">
        <v>91</v>
      </c>
      <c r="BB1546" s="2">
        <v>44378.578518518516</v>
      </c>
      <c r="BC1546" s="2">
        <v>44470.646192129629</v>
      </c>
      <c r="BD1546" t="s">
        <v>91</v>
      </c>
      <c r="BF1546" s="1" t="s">
        <v>75</v>
      </c>
      <c r="BH1546">
        <v>0</v>
      </c>
      <c r="BI1546" s="1" t="s">
        <v>88</v>
      </c>
      <c r="BJ1546">
        <v>1</v>
      </c>
      <c r="BK1546" s="1" t="s">
        <v>89</v>
      </c>
      <c r="BL1546" t="s">
        <v>91</v>
      </c>
      <c r="BM1546" s="1" t="s">
        <v>329</v>
      </c>
      <c r="BN1546" s="1" t="s">
        <v>110</v>
      </c>
      <c r="BO1546" s="1" t="s">
        <v>165</v>
      </c>
      <c r="BP1546" s="1" t="s">
        <v>91</v>
      </c>
      <c r="BQ1546" t="s">
        <v>91</v>
      </c>
      <c r="BR1546" s="3">
        <v>44378</v>
      </c>
      <c r="BS1546" s="3">
        <v>44470</v>
      </c>
      <c r="BT1546" t="s">
        <v>91</v>
      </c>
      <c r="BU1546" t="s">
        <v>91</v>
      </c>
      <c r="BW1546" s="1" t="s">
        <v>396</v>
      </c>
    </row>
    <row r="1547" spans="1:75" hidden="1" x14ac:dyDescent="0.35">
      <c r="A1547">
        <v>157060</v>
      </c>
      <c r="B1547" s="1" t="s">
        <v>75</v>
      </c>
      <c r="C1547">
        <v>80</v>
      </c>
      <c r="D1547">
        <v>11121004</v>
      </c>
      <c r="E1547">
        <v>121004</v>
      </c>
      <c r="F1547" s="1" t="s">
        <v>6867</v>
      </c>
      <c r="G1547" s="1" t="s">
        <v>8337</v>
      </c>
      <c r="H1547">
        <v>0</v>
      </c>
      <c r="I1547" s="1" t="s">
        <v>78</v>
      </c>
      <c r="J1547" s="1" t="s">
        <v>8338</v>
      </c>
      <c r="K1547" s="1" t="s">
        <v>8339</v>
      </c>
      <c r="L1547" t="s">
        <v>91</v>
      </c>
      <c r="M1547" t="s">
        <v>91</v>
      </c>
      <c r="N1547" s="1" t="s">
        <v>8340</v>
      </c>
      <c r="O1547" t="s">
        <v>91</v>
      </c>
      <c r="P1547" s="1" t="s">
        <v>8196</v>
      </c>
      <c r="Q1547" s="1" t="s">
        <v>974</v>
      </c>
      <c r="R1547" s="1" t="s">
        <v>370</v>
      </c>
      <c r="T1547">
        <v>89075350</v>
      </c>
      <c r="U1547" s="1" t="s">
        <v>8341</v>
      </c>
      <c r="V1547" s="1" t="s">
        <v>3571</v>
      </c>
      <c r="W1547" s="1" t="s">
        <v>87</v>
      </c>
      <c r="X1547">
        <v>47</v>
      </c>
      <c r="Y1547">
        <v>33344492</v>
      </c>
      <c r="Z1547" t="s">
        <v>91</v>
      </c>
      <c r="AA1547" t="s">
        <v>91</v>
      </c>
      <c r="AB1547" t="s">
        <v>91</v>
      </c>
      <c r="AC1547" t="s">
        <v>91</v>
      </c>
      <c r="AD1547" t="s">
        <v>91</v>
      </c>
      <c r="AE1547" t="s">
        <v>91</v>
      </c>
      <c r="AF1547" t="s">
        <v>91</v>
      </c>
      <c r="AG1547" s="1" t="s">
        <v>91</v>
      </c>
      <c r="AH1547" s="1" t="s">
        <v>91</v>
      </c>
      <c r="AI1547" t="s">
        <v>91</v>
      </c>
      <c r="AM1547" t="s">
        <v>91</v>
      </c>
      <c r="AN1547" t="s">
        <v>91</v>
      </c>
      <c r="AO1547" t="s">
        <v>91</v>
      </c>
      <c r="AP1547" t="s">
        <v>91</v>
      </c>
      <c r="AQ1547" s="1" t="s">
        <v>91</v>
      </c>
      <c r="AR1547" s="1" t="s">
        <v>91</v>
      </c>
      <c r="AS1547" s="1" t="s">
        <v>91</v>
      </c>
      <c r="AT1547" s="1" t="s">
        <v>91</v>
      </c>
      <c r="AU1547" s="1" t="s">
        <v>91</v>
      </c>
      <c r="AV1547" t="s">
        <v>91</v>
      </c>
      <c r="AW1547" t="s">
        <v>91</v>
      </c>
      <c r="AX1547" t="s">
        <v>91</v>
      </c>
      <c r="AY1547" t="s">
        <v>91</v>
      </c>
      <c r="AZ1547" t="s">
        <v>91</v>
      </c>
      <c r="BA1547" t="s">
        <v>91</v>
      </c>
      <c r="BB1547" s="2">
        <v>45113.505416666667</v>
      </c>
      <c r="BC1547" s="2"/>
      <c r="BD1547" t="s">
        <v>91</v>
      </c>
      <c r="BF1547" s="1" t="s">
        <v>75</v>
      </c>
      <c r="BI1547" s="1" t="s">
        <v>88</v>
      </c>
      <c r="BJ1547">
        <v>1</v>
      </c>
      <c r="BK1547" s="1" t="s">
        <v>89</v>
      </c>
      <c r="BL1547" t="s">
        <v>91</v>
      </c>
      <c r="BM1547" s="1" t="s">
        <v>91</v>
      </c>
      <c r="BN1547" s="1" t="s">
        <v>91</v>
      </c>
      <c r="BO1547" s="1" t="s">
        <v>91</v>
      </c>
      <c r="BP1547" s="1" t="s">
        <v>91</v>
      </c>
      <c r="BQ1547" t="s">
        <v>91</v>
      </c>
      <c r="BR1547" s="3">
        <v>45113</v>
      </c>
      <c r="BS1547" s="3"/>
      <c r="BT1547" t="s">
        <v>91</v>
      </c>
      <c r="BU1547" t="s">
        <v>91</v>
      </c>
      <c r="BW1547" s="1" t="s">
        <v>90</v>
      </c>
    </row>
    <row r="1548" spans="1:75" hidden="1" x14ac:dyDescent="0.35">
      <c r="A1548">
        <v>137768</v>
      </c>
      <c r="B1548" s="1" t="s">
        <v>75</v>
      </c>
      <c r="C1548">
        <v>80</v>
      </c>
      <c r="D1548">
        <v>11121004</v>
      </c>
      <c r="E1548">
        <v>121004</v>
      </c>
      <c r="F1548" s="1" t="s">
        <v>6867</v>
      </c>
      <c r="G1548" s="1" t="s">
        <v>8342</v>
      </c>
      <c r="H1548">
        <v>0</v>
      </c>
      <c r="I1548" s="1" t="s">
        <v>78</v>
      </c>
      <c r="J1548" s="1" t="s">
        <v>8343</v>
      </c>
      <c r="K1548" s="1" t="s">
        <v>8344</v>
      </c>
      <c r="L1548" t="s">
        <v>91</v>
      </c>
      <c r="M1548" t="s">
        <v>91</v>
      </c>
      <c r="N1548" s="1" t="s">
        <v>8345</v>
      </c>
      <c r="O1548" t="s">
        <v>91</v>
      </c>
      <c r="P1548" s="1" t="s">
        <v>8346</v>
      </c>
      <c r="Q1548" s="1" t="s">
        <v>8347</v>
      </c>
      <c r="R1548" s="1" t="s">
        <v>91</v>
      </c>
      <c r="S1548">
        <v>1260</v>
      </c>
      <c r="T1548">
        <v>88210000</v>
      </c>
      <c r="U1548" s="1" t="s">
        <v>108</v>
      </c>
      <c r="V1548" s="1" t="s">
        <v>6987</v>
      </c>
      <c r="W1548" s="1" t="s">
        <v>87</v>
      </c>
      <c r="X1548">
        <v>47</v>
      </c>
      <c r="Y1548">
        <v>33694776</v>
      </c>
      <c r="Z1548" t="s">
        <v>91</v>
      </c>
      <c r="AA1548" t="s">
        <v>91</v>
      </c>
      <c r="AB1548" t="s">
        <v>91</v>
      </c>
      <c r="AC1548" t="s">
        <v>91</v>
      </c>
      <c r="AD1548" t="s">
        <v>91</v>
      </c>
      <c r="AE1548" t="s">
        <v>91</v>
      </c>
      <c r="AF1548" t="s">
        <v>91</v>
      </c>
      <c r="AG1548" s="1" t="s">
        <v>146</v>
      </c>
      <c r="AH1548" s="1" t="s">
        <v>91</v>
      </c>
      <c r="AI1548" t="s">
        <v>91</v>
      </c>
      <c r="AM1548" t="s">
        <v>91</v>
      </c>
      <c r="AN1548" t="s">
        <v>91</v>
      </c>
      <c r="AO1548" t="s">
        <v>91</v>
      </c>
      <c r="AP1548" t="s">
        <v>91</v>
      </c>
      <c r="AQ1548" s="1" t="s">
        <v>147</v>
      </c>
      <c r="AR1548" s="1" t="s">
        <v>147</v>
      </c>
      <c r="AS1548" s="1" t="s">
        <v>147</v>
      </c>
      <c r="AT1548" s="1" t="s">
        <v>147</v>
      </c>
      <c r="AU1548" s="1" t="s">
        <v>147</v>
      </c>
      <c r="AV1548" t="s">
        <v>91</v>
      </c>
      <c r="AW1548" t="s">
        <v>91</v>
      </c>
      <c r="AX1548" t="s">
        <v>91</v>
      </c>
      <c r="AY1548" t="s">
        <v>91</v>
      </c>
      <c r="AZ1548" t="s">
        <v>91</v>
      </c>
      <c r="BA1548" t="s">
        <v>91</v>
      </c>
      <c r="BB1548" s="2">
        <v>44378.578518518516</v>
      </c>
      <c r="BC1548" s="2">
        <v>44508.482847222222</v>
      </c>
      <c r="BD1548" t="s">
        <v>91</v>
      </c>
      <c r="BF1548" s="1" t="s">
        <v>75</v>
      </c>
      <c r="BH1548">
        <v>0</v>
      </c>
      <c r="BI1548" s="1" t="s">
        <v>88</v>
      </c>
      <c r="BJ1548">
        <v>1</v>
      </c>
      <c r="BK1548" s="1" t="s">
        <v>89</v>
      </c>
      <c r="BL1548" t="s">
        <v>91</v>
      </c>
      <c r="BM1548" s="1" t="s">
        <v>109</v>
      </c>
      <c r="BN1548" s="1" t="s">
        <v>110</v>
      </c>
      <c r="BO1548" s="1" t="s">
        <v>180</v>
      </c>
      <c r="BP1548" s="1" t="s">
        <v>91</v>
      </c>
      <c r="BQ1548" t="s">
        <v>91</v>
      </c>
      <c r="BR1548" s="3">
        <v>44378</v>
      </c>
      <c r="BS1548" s="3">
        <v>44508</v>
      </c>
      <c r="BT1548" t="s">
        <v>91</v>
      </c>
      <c r="BU1548" t="s">
        <v>91</v>
      </c>
      <c r="BW1548" s="1" t="s">
        <v>1048</v>
      </c>
    </row>
    <row r="1549" spans="1:75" hidden="1" x14ac:dyDescent="0.35">
      <c r="A1549">
        <v>137769</v>
      </c>
      <c r="B1549" s="1" t="s">
        <v>75</v>
      </c>
      <c r="C1549">
        <v>80</v>
      </c>
      <c r="D1549">
        <v>11121004</v>
      </c>
      <c r="E1549">
        <v>121004</v>
      </c>
      <c r="F1549" s="1" t="s">
        <v>6867</v>
      </c>
      <c r="G1549" s="1" t="s">
        <v>8348</v>
      </c>
      <c r="H1549">
        <v>0</v>
      </c>
      <c r="I1549" s="1" t="s">
        <v>78</v>
      </c>
      <c r="J1549" s="1" t="s">
        <v>8349</v>
      </c>
      <c r="K1549" s="1" t="s">
        <v>8350</v>
      </c>
      <c r="L1549" t="s">
        <v>91</v>
      </c>
      <c r="M1549" t="s">
        <v>91</v>
      </c>
      <c r="N1549" s="1" t="s">
        <v>8351</v>
      </c>
      <c r="O1549" t="s">
        <v>91</v>
      </c>
      <c r="P1549" s="1" t="s">
        <v>8253</v>
      </c>
      <c r="Q1549" s="1" t="s">
        <v>8352</v>
      </c>
      <c r="R1549" s="1" t="s">
        <v>91</v>
      </c>
      <c r="S1549">
        <v>1263</v>
      </c>
      <c r="T1549">
        <v>88352201</v>
      </c>
      <c r="U1549" s="1" t="s">
        <v>8353</v>
      </c>
      <c r="V1549" s="1" t="s">
        <v>6936</v>
      </c>
      <c r="W1549" s="1" t="s">
        <v>87</v>
      </c>
      <c r="X1549">
        <v>47</v>
      </c>
      <c r="Y1549">
        <v>33501283</v>
      </c>
      <c r="Z1549" t="s">
        <v>91</v>
      </c>
      <c r="AA1549" t="s">
        <v>91</v>
      </c>
      <c r="AB1549" t="s">
        <v>91</v>
      </c>
      <c r="AC1549" t="s">
        <v>91</v>
      </c>
      <c r="AD1549" t="s">
        <v>91</v>
      </c>
      <c r="AE1549" t="s">
        <v>91</v>
      </c>
      <c r="AF1549" t="s">
        <v>91</v>
      </c>
      <c r="AG1549" s="1" t="s">
        <v>146</v>
      </c>
      <c r="AH1549" s="1" t="s">
        <v>91</v>
      </c>
      <c r="AI1549" t="s">
        <v>91</v>
      </c>
      <c r="AM1549" t="s">
        <v>91</v>
      </c>
      <c r="AN1549" t="s">
        <v>91</v>
      </c>
      <c r="AO1549" t="s">
        <v>91</v>
      </c>
      <c r="AP1549" t="s">
        <v>91</v>
      </c>
      <c r="AQ1549" s="1" t="s">
        <v>147</v>
      </c>
      <c r="AR1549" s="1" t="s">
        <v>147</v>
      </c>
      <c r="AS1549" s="1" t="s">
        <v>147</v>
      </c>
      <c r="AT1549" s="1" t="s">
        <v>147</v>
      </c>
      <c r="AU1549" s="1" t="s">
        <v>147</v>
      </c>
      <c r="AV1549" t="s">
        <v>91</v>
      </c>
      <c r="AW1549" t="s">
        <v>91</v>
      </c>
      <c r="AX1549" t="s">
        <v>91</v>
      </c>
      <c r="AY1549" t="s">
        <v>91</v>
      </c>
      <c r="AZ1549" t="s">
        <v>91</v>
      </c>
      <c r="BA1549" t="s">
        <v>91</v>
      </c>
      <c r="BB1549" s="2">
        <v>44378.578518518516</v>
      </c>
      <c r="BC1549" s="2">
        <v>44582.676840277774</v>
      </c>
      <c r="BD1549" t="s">
        <v>91</v>
      </c>
      <c r="BF1549" s="1" t="s">
        <v>75</v>
      </c>
      <c r="BH1549">
        <v>0</v>
      </c>
      <c r="BI1549" s="1" t="s">
        <v>88</v>
      </c>
      <c r="BJ1549">
        <v>1</v>
      </c>
      <c r="BK1549" s="1" t="s">
        <v>89</v>
      </c>
      <c r="BL1549" t="s">
        <v>91</v>
      </c>
      <c r="BM1549" s="1" t="s">
        <v>109</v>
      </c>
      <c r="BN1549" s="1" t="s">
        <v>110</v>
      </c>
      <c r="BO1549" s="1" t="s">
        <v>111</v>
      </c>
      <c r="BP1549" s="1" t="s">
        <v>91</v>
      </c>
      <c r="BQ1549" t="s">
        <v>91</v>
      </c>
      <c r="BR1549" s="3">
        <v>44378</v>
      </c>
      <c r="BS1549" s="3">
        <v>44582</v>
      </c>
      <c r="BT1549" t="s">
        <v>91</v>
      </c>
      <c r="BU1549" t="s">
        <v>91</v>
      </c>
      <c r="BW1549" s="1" t="s">
        <v>390</v>
      </c>
    </row>
    <row r="1550" spans="1:75" hidden="1" x14ac:dyDescent="0.35">
      <c r="A1550">
        <v>157048</v>
      </c>
      <c r="B1550" s="1" t="s">
        <v>75</v>
      </c>
      <c r="C1550">
        <v>80</v>
      </c>
      <c r="D1550">
        <v>11121004</v>
      </c>
      <c r="E1550">
        <v>121004</v>
      </c>
      <c r="F1550" s="1" t="s">
        <v>6867</v>
      </c>
      <c r="G1550" s="1" t="s">
        <v>8354</v>
      </c>
      <c r="H1550">
        <v>0</v>
      </c>
      <c r="I1550" s="1" t="s">
        <v>78</v>
      </c>
      <c r="J1550" s="1" t="s">
        <v>8355</v>
      </c>
      <c r="K1550" s="1" t="s">
        <v>8356</v>
      </c>
      <c r="L1550" t="s">
        <v>91</v>
      </c>
      <c r="M1550" t="s">
        <v>91</v>
      </c>
      <c r="N1550" s="1" t="s">
        <v>7343</v>
      </c>
      <c r="O1550" t="s">
        <v>91</v>
      </c>
      <c r="P1550" s="1" t="s">
        <v>8357</v>
      </c>
      <c r="Q1550" s="1" t="s">
        <v>6248</v>
      </c>
      <c r="R1550" s="1" t="s">
        <v>370</v>
      </c>
      <c r="S1550">
        <v>1264</v>
      </c>
      <c r="T1550">
        <v>88400000</v>
      </c>
      <c r="U1550" s="1" t="s">
        <v>108</v>
      </c>
      <c r="V1550" s="1" t="s">
        <v>7470</v>
      </c>
      <c r="W1550" s="1" t="s">
        <v>87</v>
      </c>
      <c r="X1550">
        <v>47</v>
      </c>
      <c r="Y1550">
        <v>996034038</v>
      </c>
      <c r="Z1550" t="s">
        <v>91</v>
      </c>
      <c r="AA1550" t="s">
        <v>91</v>
      </c>
      <c r="AB1550" t="s">
        <v>91</v>
      </c>
      <c r="AC1550" t="s">
        <v>91</v>
      </c>
      <c r="AD1550" t="s">
        <v>91</v>
      </c>
      <c r="AE1550" t="s">
        <v>91</v>
      </c>
      <c r="AF1550" t="s">
        <v>91</v>
      </c>
      <c r="AG1550" s="1" t="s">
        <v>91</v>
      </c>
      <c r="AH1550" s="1" t="s">
        <v>91</v>
      </c>
      <c r="AI1550" t="s">
        <v>91</v>
      </c>
      <c r="AM1550" t="s">
        <v>91</v>
      </c>
      <c r="AN1550" t="s">
        <v>91</v>
      </c>
      <c r="AO1550" t="s">
        <v>91</v>
      </c>
      <c r="AP1550" t="s">
        <v>91</v>
      </c>
      <c r="AQ1550" s="1" t="s">
        <v>91</v>
      </c>
      <c r="AR1550" s="1" t="s">
        <v>91</v>
      </c>
      <c r="AS1550" s="1" t="s">
        <v>91</v>
      </c>
      <c r="AT1550" s="1" t="s">
        <v>91</v>
      </c>
      <c r="AU1550" s="1" t="s">
        <v>91</v>
      </c>
      <c r="AV1550" t="s">
        <v>91</v>
      </c>
      <c r="AW1550" t="s">
        <v>91</v>
      </c>
      <c r="AX1550" t="s">
        <v>91</v>
      </c>
      <c r="AY1550" t="s">
        <v>91</v>
      </c>
      <c r="AZ1550" t="s">
        <v>91</v>
      </c>
      <c r="BA1550" t="s">
        <v>91</v>
      </c>
      <c r="BB1550" s="2">
        <v>45113.505416666667</v>
      </c>
      <c r="BC1550" s="2"/>
      <c r="BD1550" t="s">
        <v>91</v>
      </c>
      <c r="BF1550" s="1" t="s">
        <v>75</v>
      </c>
      <c r="BI1550" s="1" t="s">
        <v>88</v>
      </c>
      <c r="BJ1550">
        <v>1</v>
      </c>
      <c r="BK1550" s="1" t="s">
        <v>89</v>
      </c>
      <c r="BL1550" t="s">
        <v>91</v>
      </c>
      <c r="BM1550" s="1" t="s">
        <v>91</v>
      </c>
      <c r="BN1550" s="1" t="s">
        <v>91</v>
      </c>
      <c r="BO1550" s="1" t="s">
        <v>91</v>
      </c>
      <c r="BP1550" s="1" t="s">
        <v>91</v>
      </c>
      <c r="BQ1550" t="s">
        <v>91</v>
      </c>
      <c r="BR1550" s="3">
        <v>45113</v>
      </c>
      <c r="BS1550" s="3"/>
      <c r="BT1550" t="s">
        <v>91</v>
      </c>
      <c r="BU1550" t="s">
        <v>91</v>
      </c>
      <c r="BW1550" s="1" t="s">
        <v>90</v>
      </c>
    </row>
    <row r="1551" spans="1:75" hidden="1" x14ac:dyDescent="0.35">
      <c r="A1551">
        <v>137770</v>
      </c>
      <c r="B1551" s="1" t="s">
        <v>75</v>
      </c>
      <c r="C1551">
        <v>80</v>
      </c>
      <c r="D1551">
        <v>11121004</v>
      </c>
      <c r="E1551">
        <v>121004</v>
      </c>
      <c r="F1551" s="1" t="s">
        <v>6867</v>
      </c>
      <c r="G1551" s="1" t="s">
        <v>8358</v>
      </c>
      <c r="H1551">
        <v>0</v>
      </c>
      <c r="I1551" s="1" t="s">
        <v>78</v>
      </c>
      <c r="J1551" s="1" t="s">
        <v>8359</v>
      </c>
      <c r="K1551" s="1" t="s">
        <v>8360</v>
      </c>
      <c r="L1551" t="s">
        <v>91</v>
      </c>
      <c r="M1551" t="s">
        <v>91</v>
      </c>
      <c r="N1551" s="1" t="s">
        <v>8361</v>
      </c>
      <c r="O1551" t="s">
        <v>91</v>
      </c>
      <c r="P1551" s="1" t="s">
        <v>6925</v>
      </c>
      <c r="Q1551" s="1" t="s">
        <v>2773</v>
      </c>
      <c r="R1551" s="1" t="s">
        <v>91</v>
      </c>
      <c r="S1551">
        <v>1276</v>
      </c>
      <c r="T1551">
        <v>89160051</v>
      </c>
      <c r="U1551" s="1" t="s">
        <v>108</v>
      </c>
      <c r="V1551" s="1" t="s">
        <v>6927</v>
      </c>
      <c r="W1551" s="1" t="s">
        <v>87</v>
      </c>
      <c r="X1551">
        <v>47</v>
      </c>
      <c r="Y1551">
        <v>999421210</v>
      </c>
      <c r="Z1551" t="s">
        <v>91</v>
      </c>
      <c r="AA1551" t="s">
        <v>91</v>
      </c>
      <c r="AB1551" t="s">
        <v>91</v>
      </c>
      <c r="AC1551" t="s">
        <v>91</v>
      </c>
      <c r="AD1551" t="s">
        <v>91</v>
      </c>
      <c r="AE1551" t="s">
        <v>91</v>
      </c>
      <c r="AF1551" t="s">
        <v>91</v>
      </c>
      <c r="AG1551" s="1" t="s">
        <v>91</v>
      </c>
      <c r="AH1551" s="1" t="s">
        <v>91</v>
      </c>
      <c r="AI1551" t="s">
        <v>91</v>
      </c>
      <c r="AM1551" t="s">
        <v>91</v>
      </c>
      <c r="AN1551" t="s">
        <v>91</v>
      </c>
      <c r="AO1551" t="s">
        <v>91</v>
      </c>
      <c r="AP1551" t="s">
        <v>91</v>
      </c>
      <c r="AQ1551" s="1" t="s">
        <v>91</v>
      </c>
      <c r="AR1551" s="1" t="s">
        <v>91</v>
      </c>
      <c r="AS1551" s="1" t="s">
        <v>91</v>
      </c>
      <c r="AT1551" s="1" t="s">
        <v>91</v>
      </c>
      <c r="AU1551" s="1" t="s">
        <v>91</v>
      </c>
      <c r="AV1551" t="s">
        <v>91</v>
      </c>
      <c r="AW1551" t="s">
        <v>91</v>
      </c>
      <c r="AX1551" t="s">
        <v>91</v>
      </c>
      <c r="AY1551" t="s">
        <v>91</v>
      </c>
      <c r="AZ1551" t="s">
        <v>91</v>
      </c>
      <c r="BA1551" t="s">
        <v>91</v>
      </c>
      <c r="BB1551" s="2">
        <v>44378.578518518516</v>
      </c>
      <c r="BC1551" s="2"/>
      <c r="BD1551" t="s">
        <v>91</v>
      </c>
      <c r="BF1551" s="1" t="s">
        <v>75</v>
      </c>
      <c r="BI1551" s="1" t="s">
        <v>88</v>
      </c>
      <c r="BJ1551">
        <v>1</v>
      </c>
      <c r="BK1551" s="1" t="s">
        <v>89</v>
      </c>
      <c r="BL1551" t="s">
        <v>91</v>
      </c>
      <c r="BM1551" s="1" t="s">
        <v>109</v>
      </c>
      <c r="BN1551" s="1" t="s">
        <v>110</v>
      </c>
      <c r="BO1551" s="1" t="s">
        <v>111</v>
      </c>
      <c r="BP1551" s="1" t="s">
        <v>91</v>
      </c>
      <c r="BQ1551" t="s">
        <v>91</v>
      </c>
      <c r="BR1551" s="3">
        <v>44378</v>
      </c>
      <c r="BS1551" s="3"/>
      <c r="BT1551" t="s">
        <v>91</v>
      </c>
      <c r="BU1551" t="s">
        <v>91</v>
      </c>
      <c r="BW1551" s="1" t="s">
        <v>90</v>
      </c>
    </row>
    <row r="1552" spans="1:75" hidden="1" x14ac:dyDescent="0.35">
      <c r="A1552">
        <v>137771</v>
      </c>
      <c r="B1552" s="1" t="s">
        <v>75</v>
      </c>
      <c r="C1552">
        <v>80</v>
      </c>
      <c r="D1552">
        <v>11121004</v>
      </c>
      <c r="E1552">
        <v>121004</v>
      </c>
      <c r="F1552" s="1" t="s">
        <v>6867</v>
      </c>
      <c r="G1552" s="1" t="s">
        <v>8362</v>
      </c>
      <c r="H1552">
        <v>0</v>
      </c>
      <c r="I1552" s="1" t="s">
        <v>78</v>
      </c>
      <c r="J1552" s="1" t="s">
        <v>8363</v>
      </c>
      <c r="K1552" s="1" t="s">
        <v>8364</v>
      </c>
      <c r="L1552" t="s">
        <v>91</v>
      </c>
      <c r="M1552" t="s">
        <v>91</v>
      </c>
      <c r="N1552" s="1" t="s">
        <v>8365</v>
      </c>
      <c r="O1552" t="s">
        <v>91</v>
      </c>
      <c r="P1552" s="1" t="s">
        <v>6911</v>
      </c>
      <c r="Q1552" s="1" t="s">
        <v>8366</v>
      </c>
      <c r="R1552" s="1" t="s">
        <v>91</v>
      </c>
      <c r="S1552">
        <v>1263</v>
      </c>
      <c r="T1552">
        <v>88390000</v>
      </c>
      <c r="U1552" s="1" t="s">
        <v>108</v>
      </c>
      <c r="V1552" s="1" t="s">
        <v>6913</v>
      </c>
      <c r="W1552" s="1" t="s">
        <v>87</v>
      </c>
      <c r="X1552">
        <v>47</v>
      </c>
      <c r="Y1552">
        <v>34563412</v>
      </c>
      <c r="Z1552" t="s">
        <v>91</v>
      </c>
      <c r="AA1552" t="s">
        <v>91</v>
      </c>
      <c r="AB1552" t="s">
        <v>91</v>
      </c>
      <c r="AC1552" t="s">
        <v>91</v>
      </c>
      <c r="AD1552" t="s">
        <v>91</v>
      </c>
      <c r="AE1552" t="s">
        <v>91</v>
      </c>
      <c r="AF1552" t="s">
        <v>91</v>
      </c>
      <c r="AG1552" s="1" t="s">
        <v>146</v>
      </c>
      <c r="AH1552" s="1" t="s">
        <v>91</v>
      </c>
      <c r="AI1552" t="s">
        <v>91</v>
      </c>
      <c r="AM1552" t="s">
        <v>91</v>
      </c>
      <c r="AN1552" t="s">
        <v>91</v>
      </c>
      <c r="AO1552" t="s">
        <v>91</v>
      </c>
      <c r="AP1552" t="s">
        <v>91</v>
      </c>
      <c r="AQ1552" s="1" t="s">
        <v>147</v>
      </c>
      <c r="AR1552" s="1" t="s">
        <v>147</v>
      </c>
      <c r="AS1552" s="1" t="s">
        <v>147</v>
      </c>
      <c r="AT1552" s="1" t="s">
        <v>147</v>
      </c>
      <c r="AU1552" s="1" t="s">
        <v>147</v>
      </c>
      <c r="AV1552" t="s">
        <v>91</v>
      </c>
      <c r="AW1552" t="s">
        <v>91</v>
      </c>
      <c r="AX1552" t="s">
        <v>91</v>
      </c>
      <c r="AY1552" t="s">
        <v>91</v>
      </c>
      <c r="AZ1552" t="s">
        <v>91</v>
      </c>
      <c r="BA1552" t="s">
        <v>91</v>
      </c>
      <c r="BB1552" s="2">
        <v>44378.578518518516</v>
      </c>
      <c r="BC1552" s="2">
        <v>44673.637928240743</v>
      </c>
      <c r="BD1552" t="s">
        <v>91</v>
      </c>
      <c r="BF1552" s="1" t="s">
        <v>75</v>
      </c>
      <c r="BH1552">
        <v>0</v>
      </c>
      <c r="BI1552" s="1" t="s">
        <v>88</v>
      </c>
      <c r="BJ1552">
        <v>1</v>
      </c>
      <c r="BK1552" s="1" t="s">
        <v>89</v>
      </c>
      <c r="BL1552" t="s">
        <v>91</v>
      </c>
      <c r="BM1552" s="1" t="s">
        <v>109</v>
      </c>
      <c r="BN1552" s="1" t="s">
        <v>110</v>
      </c>
      <c r="BO1552" s="1" t="s">
        <v>111</v>
      </c>
      <c r="BP1552" s="1" t="s">
        <v>91</v>
      </c>
      <c r="BQ1552" t="s">
        <v>91</v>
      </c>
      <c r="BR1552" s="3">
        <v>44378</v>
      </c>
      <c r="BS1552" s="3">
        <v>44673</v>
      </c>
      <c r="BT1552" t="s">
        <v>91</v>
      </c>
      <c r="BU1552" t="s">
        <v>91</v>
      </c>
      <c r="BW1552" s="1" t="s">
        <v>478</v>
      </c>
    </row>
    <row r="1553" spans="1:75" hidden="1" x14ac:dyDescent="0.35">
      <c r="A1553">
        <v>137772</v>
      </c>
      <c r="B1553" s="1" t="s">
        <v>75</v>
      </c>
      <c r="C1553">
        <v>80</v>
      </c>
      <c r="D1553">
        <v>11121004</v>
      </c>
      <c r="E1553">
        <v>121004</v>
      </c>
      <c r="F1553" s="1" t="s">
        <v>6867</v>
      </c>
      <c r="G1553" s="1" t="s">
        <v>8367</v>
      </c>
      <c r="H1553">
        <v>0</v>
      </c>
      <c r="I1553" s="1" t="s">
        <v>78</v>
      </c>
      <c r="J1553" s="1" t="s">
        <v>8368</v>
      </c>
      <c r="K1553" s="1" t="s">
        <v>8369</v>
      </c>
      <c r="L1553" t="s">
        <v>91</v>
      </c>
      <c r="M1553" t="s">
        <v>91</v>
      </c>
      <c r="N1553" s="1" t="s">
        <v>8370</v>
      </c>
      <c r="O1553" t="s">
        <v>91</v>
      </c>
      <c r="P1553" s="1" t="s">
        <v>8371</v>
      </c>
      <c r="Q1553" s="1" t="s">
        <v>470</v>
      </c>
      <c r="R1553" s="1" t="s">
        <v>8372</v>
      </c>
      <c r="S1553">
        <v>1262</v>
      </c>
      <c r="T1553">
        <v>88330096</v>
      </c>
      <c r="U1553" s="1" t="s">
        <v>108</v>
      </c>
      <c r="V1553" s="1" t="s">
        <v>6898</v>
      </c>
      <c r="W1553" s="1" t="s">
        <v>87</v>
      </c>
      <c r="X1553">
        <v>47</v>
      </c>
      <c r="Y1553">
        <v>33690077</v>
      </c>
      <c r="Z1553" t="s">
        <v>91</v>
      </c>
      <c r="AA1553" t="s">
        <v>91</v>
      </c>
      <c r="AB1553" t="s">
        <v>91</v>
      </c>
      <c r="AC1553" t="s">
        <v>91</v>
      </c>
      <c r="AD1553" t="s">
        <v>91</v>
      </c>
      <c r="AE1553" t="s">
        <v>91</v>
      </c>
      <c r="AF1553" t="s">
        <v>91</v>
      </c>
      <c r="AG1553" s="1" t="s">
        <v>146</v>
      </c>
      <c r="AH1553" s="1" t="s">
        <v>91</v>
      </c>
      <c r="AI1553" t="s">
        <v>91</v>
      </c>
      <c r="AM1553" t="s">
        <v>91</v>
      </c>
      <c r="AN1553" t="s">
        <v>91</v>
      </c>
      <c r="AO1553" t="s">
        <v>91</v>
      </c>
      <c r="AP1553" t="s">
        <v>91</v>
      </c>
      <c r="AQ1553" s="1" t="s">
        <v>147</v>
      </c>
      <c r="AR1553" s="1" t="s">
        <v>147</v>
      </c>
      <c r="AS1553" s="1" t="s">
        <v>147</v>
      </c>
      <c r="AT1553" s="1" t="s">
        <v>147</v>
      </c>
      <c r="AU1553" s="1" t="s">
        <v>147</v>
      </c>
      <c r="AV1553" t="s">
        <v>91</v>
      </c>
      <c r="AW1553" t="s">
        <v>91</v>
      </c>
      <c r="AX1553" t="s">
        <v>91</v>
      </c>
      <c r="AY1553" t="s">
        <v>91</v>
      </c>
      <c r="AZ1553" t="s">
        <v>91</v>
      </c>
      <c r="BA1553" t="s">
        <v>91</v>
      </c>
      <c r="BB1553" s="2">
        <v>44378.578518518516</v>
      </c>
      <c r="BC1553" s="2">
        <v>45120.428425925929</v>
      </c>
      <c r="BD1553" t="s">
        <v>91</v>
      </c>
      <c r="BF1553" s="1" t="s">
        <v>75</v>
      </c>
      <c r="BH1553">
        <v>0</v>
      </c>
      <c r="BI1553" s="1" t="s">
        <v>721</v>
      </c>
      <c r="BJ1553">
        <v>1</v>
      </c>
      <c r="BK1553" s="1" t="s">
        <v>89</v>
      </c>
      <c r="BL1553" t="s">
        <v>91</v>
      </c>
      <c r="BM1553" s="1" t="s">
        <v>109</v>
      </c>
      <c r="BN1553" s="1" t="s">
        <v>148</v>
      </c>
      <c r="BO1553" s="1" t="s">
        <v>180</v>
      </c>
      <c r="BP1553" s="1" t="s">
        <v>91</v>
      </c>
      <c r="BQ1553" t="s">
        <v>91</v>
      </c>
      <c r="BR1553" s="3">
        <v>44378</v>
      </c>
      <c r="BS1553" s="3">
        <v>45120</v>
      </c>
      <c r="BT1553" t="s">
        <v>91</v>
      </c>
      <c r="BU1553" t="s">
        <v>91</v>
      </c>
      <c r="BW1553" s="1" t="s">
        <v>665</v>
      </c>
    </row>
    <row r="1554" spans="1:75" hidden="1" x14ac:dyDescent="0.35">
      <c r="A1554">
        <v>157770</v>
      </c>
      <c r="B1554" s="1" t="s">
        <v>75</v>
      </c>
      <c r="C1554">
        <v>80</v>
      </c>
      <c r="D1554">
        <v>11121004</v>
      </c>
      <c r="E1554">
        <v>121004</v>
      </c>
      <c r="F1554" s="1" t="s">
        <v>6867</v>
      </c>
      <c r="G1554" s="1" t="s">
        <v>8373</v>
      </c>
      <c r="H1554">
        <v>0</v>
      </c>
      <c r="I1554" s="1" t="s">
        <v>78</v>
      </c>
      <c r="J1554" s="1" t="s">
        <v>8374</v>
      </c>
      <c r="K1554" s="1" t="s">
        <v>8375</v>
      </c>
      <c r="L1554" t="s">
        <v>91</v>
      </c>
      <c r="M1554" t="s">
        <v>91</v>
      </c>
      <c r="N1554" s="1" t="s">
        <v>8376</v>
      </c>
      <c r="O1554" t="s">
        <v>91</v>
      </c>
      <c r="P1554" s="1" t="s">
        <v>8377</v>
      </c>
      <c r="Q1554" s="1" t="s">
        <v>1912</v>
      </c>
      <c r="R1554" s="1" t="s">
        <v>91</v>
      </c>
      <c r="S1554">
        <v>1262</v>
      </c>
      <c r="T1554">
        <v>88330657</v>
      </c>
      <c r="U1554" s="1" t="s">
        <v>108</v>
      </c>
      <c r="V1554" s="1" t="s">
        <v>5871</v>
      </c>
      <c r="W1554" s="1" t="s">
        <v>87</v>
      </c>
      <c r="X1554">
        <v>47</v>
      </c>
      <c r="Y1554">
        <v>999899173</v>
      </c>
      <c r="Z1554" t="s">
        <v>91</v>
      </c>
      <c r="AA1554" t="s">
        <v>91</v>
      </c>
      <c r="AB1554" t="s">
        <v>91</v>
      </c>
      <c r="AC1554" t="s">
        <v>91</v>
      </c>
      <c r="AD1554" t="s">
        <v>91</v>
      </c>
      <c r="AE1554" t="s">
        <v>91</v>
      </c>
      <c r="AF1554" t="s">
        <v>91</v>
      </c>
      <c r="AG1554" s="1" t="s">
        <v>91</v>
      </c>
      <c r="AH1554" s="1" t="s">
        <v>91</v>
      </c>
      <c r="AI1554" t="s">
        <v>91</v>
      </c>
      <c r="AM1554" t="s">
        <v>91</v>
      </c>
      <c r="AN1554" t="s">
        <v>91</v>
      </c>
      <c r="AO1554" t="s">
        <v>91</v>
      </c>
      <c r="AP1554" t="s">
        <v>91</v>
      </c>
      <c r="AQ1554" s="1" t="s">
        <v>91</v>
      </c>
      <c r="AR1554" s="1" t="s">
        <v>91</v>
      </c>
      <c r="AS1554" s="1" t="s">
        <v>91</v>
      </c>
      <c r="AT1554" s="1" t="s">
        <v>91</v>
      </c>
      <c r="AU1554" s="1" t="s">
        <v>91</v>
      </c>
      <c r="AV1554" t="s">
        <v>91</v>
      </c>
      <c r="AW1554" t="s">
        <v>91</v>
      </c>
      <c r="AX1554" t="s">
        <v>91</v>
      </c>
      <c r="AY1554" t="s">
        <v>91</v>
      </c>
      <c r="AZ1554" t="s">
        <v>91</v>
      </c>
      <c r="BA1554" t="s">
        <v>91</v>
      </c>
      <c r="BB1554" s="2">
        <v>45118.101759259262</v>
      </c>
      <c r="BC1554" s="2"/>
      <c r="BD1554" t="s">
        <v>91</v>
      </c>
      <c r="BF1554" s="1" t="s">
        <v>75</v>
      </c>
      <c r="BI1554" s="1" t="s">
        <v>88</v>
      </c>
      <c r="BJ1554">
        <v>1</v>
      </c>
      <c r="BK1554" s="1" t="s">
        <v>89</v>
      </c>
      <c r="BL1554" t="s">
        <v>91</v>
      </c>
      <c r="BM1554" s="1" t="s">
        <v>91</v>
      </c>
      <c r="BN1554" s="1" t="s">
        <v>91</v>
      </c>
      <c r="BO1554" s="1" t="s">
        <v>91</v>
      </c>
      <c r="BP1554" s="1" t="s">
        <v>91</v>
      </c>
      <c r="BQ1554" t="s">
        <v>91</v>
      </c>
      <c r="BR1554" s="3">
        <v>45118</v>
      </c>
      <c r="BS1554" s="3"/>
      <c r="BT1554" t="s">
        <v>91</v>
      </c>
      <c r="BU1554" t="s">
        <v>91</v>
      </c>
      <c r="BW1554" s="1" t="s">
        <v>478</v>
      </c>
    </row>
    <row r="1555" spans="1:75" hidden="1" x14ac:dyDescent="0.35">
      <c r="A1555">
        <v>158713</v>
      </c>
      <c r="B1555" s="1" t="s">
        <v>75</v>
      </c>
      <c r="C1555">
        <v>80</v>
      </c>
      <c r="D1555">
        <v>11121004</v>
      </c>
      <c r="E1555">
        <v>121004</v>
      </c>
      <c r="F1555" s="1" t="s">
        <v>6867</v>
      </c>
      <c r="G1555" s="1" t="s">
        <v>8378</v>
      </c>
      <c r="I1555" s="1" t="s">
        <v>78</v>
      </c>
      <c r="J1555" s="1" t="s">
        <v>8379</v>
      </c>
      <c r="K1555" s="1" t="s">
        <v>8380</v>
      </c>
      <c r="L1555" t="s">
        <v>91</v>
      </c>
      <c r="M1555" t="s">
        <v>91</v>
      </c>
      <c r="N1555" s="1" t="s">
        <v>8381</v>
      </c>
      <c r="O1555" t="s">
        <v>91</v>
      </c>
      <c r="P1555" s="1" t="s">
        <v>8382</v>
      </c>
      <c r="Q1555" s="1" t="s">
        <v>8383</v>
      </c>
      <c r="R1555" s="1" t="s">
        <v>8384</v>
      </c>
      <c r="S1555">
        <v>1275</v>
      </c>
      <c r="T1555">
        <v>89120000</v>
      </c>
      <c r="U1555" s="1" t="s">
        <v>108</v>
      </c>
      <c r="V1555" s="1" t="s">
        <v>7608</v>
      </c>
      <c r="W1555" s="1" t="s">
        <v>87</v>
      </c>
      <c r="X1555">
        <v>47</v>
      </c>
      <c r="Y1555">
        <v>33824746</v>
      </c>
      <c r="Z1555" t="s">
        <v>91</v>
      </c>
      <c r="AA1555" t="s">
        <v>91</v>
      </c>
      <c r="AB1555" t="s">
        <v>91</v>
      </c>
      <c r="AC1555" t="s">
        <v>91</v>
      </c>
      <c r="AD1555" t="s">
        <v>91</v>
      </c>
      <c r="AE1555" t="s">
        <v>91</v>
      </c>
      <c r="AF1555" t="s">
        <v>91</v>
      </c>
      <c r="AG1555" s="1" t="s">
        <v>91</v>
      </c>
      <c r="AH1555" s="1" t="s">
        <v>91</v>
      </c>
      <c r="AI1555" t="s">
        <v>91</v>
      </c>
      <c r="AM1555" t="s">
        <v>91</v>
      </c>
      <c r="AN1555" t="s">
        <v>91</v>
      </c>
      <c r="AO1555" t="s">
        <v>91</v>
      </c>
      <c r="AP1555" t="s">
        <v>91</v>
      </c>
      <c r="AQ1555" s="1" t="s">
        <v>91</v>
      </c>
      <c r="AR1555" s="1" t="s">
        <v>91</v>
      </c>
      <c r="AS1555" s="1" t="s">
        <v>91</v>
      </c>
      <c r="AT1555" s="1" t="s">
        <v>91</v>
      </c>
      <c r="AU1555" s="1" t="s">
        <v>91</v>
      </c>
      <c r="AV1555" t="s">
        <v>91</v>
      </c>
      <c r="AW1555" t="s">
        <v>91</v>
      </c>
      <c r="AX1555" t="s">
        <v>91</v>
      </c>
      <c r="AY1555" t="s">
        <v>91</v>
      </c>
      <c r="AZ1555" t="s">
        <v>91</v>
      </c>
      <c r="BA1555" t="s">
        <v>91</v>
      </c>
      <c r="BB1555" s="2">
        <v>45155.700069444443</v>
      </c>
      <c r="BC1555" s="2"/>
      <c r="BD1555" t="s">
        <v>91</v>
      </c>
      <c r="BF1555" s="1" t="s">
        <v>75</v>
      </c>
      <c r="BI1555" s="1" t="s">
        <v>88</v>
      </c>
      <c r="BJ1555">
        <v>1</v>
      </c>
      <c r="BK1555" s="1" t="s">
        <v>89</v>
      </c>
      <c r="BL1555" t="s">
        <v>91</v>
      </c>
      <c r="BM1555" s="1" t="s">
        <v>91</v>
      </c>
      <c r="BN1555" s="1" t="s">
        <v>91</v>
      </c>
      <c r="BO1555" s="1" t="s">
        <v>91</v>
      </c>
      <c r="BP1555" s="1" t="s">
        <v>91</v>
      </c>
      <c r="BQ1555" t="s">
        <v>91</v>
      </c>
      <c r="BR1555" s="3">
        <v>45155</v>
      </c>
      <c r="BS1555" s="3"/>
      <c r="BT1555" t="s">
        <v>91</v>
      </c>
      <c r="BU1555" t="s">
        <v>91</v>
      </c>
      <c r="BW1555" s="1" t="s">
        <v>2774</v>
      </c>
    </row>
    <row r="1556" spans="1:75" hidden="1" x14ac:dyDescent="0.35">
      <c r="A1556">
        <v>157785</v>
      </c>
      <c r="B1556" s="1" t="s">
        <v>75</v>
      </c>
      <c r="C1556">
        <v>80</v>
      </c>
      <c r="D1556">
        <v>11121004</v>
      </c>
      <c r="E1556">
        <v>121004</v>
      </c>
      <c r="F1556" s="1" t="s">
        <v>6867</v>
      </c>
      <c r="G1556" s="1" t="s">
        <v>8385</v>
      </c>
      <c r="H1556">
        <v>0</v>
      </c>
      <c r="I1556" s="1" t="s">
        <v>78</v>
      </c>
      <c r="J1556" s="1" t="s">
        <v>8386</v>
      </c>
      <c r="K1556" s="1" t="s">
        <v>8387</v>
      </c>
      <c r="L1556" t="s">
        <v>91</v>
      </c>
      <c r="M1556" t="s">
        <v>91</v>
      </c>
      <c r="N1556" s="1" t="s">
        <v>8388</v>
      </c>
      <c r="O1556" t="s">
        <v>91</v>
      </c>
      <c r="P1556" s="1" t="s">
        <v>6945</v>
      </c>
      <c r="Q1556" s="1" t="s">
        <v>8389</v>
      </c>
      <c r="R1556" s="1" t="s">
        <v>491</v>
      </c>
      <c r="T1556">
        <v>88220971</v>
      </c>
      <c r="U1556" s="1" t="s">
        <v>7195</v>
      </c>
      <c r="V1556" s="1" t="s">
        <v>7015</v>
      </c>
      <c r="W1556" s="1" t="s">
        <v>87</v>
      </c>
      <c r="X1556">
        <v>41</v>
      </c>
      <c r="Y1556">
        <v>31532990</v>
      </c>
      <c r="Z1556" t="s">
        <v>91</v>
      </c>
      <c r="AA1556" t="s">
        <v>91</v>
      </c>
      <c r="AB1556" t="s">
        <v>91</v>
      </c>
      <c r="AC1556" t="s">
        <v>91</v>
      </c>
      <c r="AD1556" t="s">
        <v>91</v>
      </c>
      <c r="AE1556" t="s">
        <v>91</v>
      </c>
      <c r="AF1556" t="s">
        <v>91</v>
      </c>
      <c r="AG1556" s="1" t="s">
        <v>91</v>
      </c>
      <c r="AH1556" s="1" t="s">
        <v>91</v>
      </c>
      <c r="AI1556" t="s">
        <v>91</v>
      </c>
      <c r="AM1556" t="s">
        <v>91</v>
      </c>
      <c r="AN1556" t="s">
        <v>91</v>
      </c>
      <c r="AO1556" t="s">
        <v>91</v>
      </c>
      <c r="AP1556" t="s">
        <v>91</v>
      </c>
      <c r="AQ1556" s="1" t="s">
        <v>91</v>
      </c>
      <c r="AR1556" s="1" t="s">
        <v>91</v>
      </c>
      <c r="AS1556" s="1" t="s">
        <v>91</v>
      </c>
      <c r="AT1556" s="1" t="s">
        <v>91</v>
      </c>
      <c r="AU1556" s="1" t="s">
        <v>91</v>
      </c>
      <c r="AV1556" t="s">
        <v>91</v>
      </c>
      <c r="AW1556" t="s">
        <v>91</v>
      </c>
      <c r="AX1556" t="s">
        <v>91</v>
      </c>
      <c r="AY1556" t="s">
        <v>91</v>
      </c>
      <c r="AZ1556" t="s">
        <v>91</v>
      </c>
      <c r="BA1556" t="s">
        <v>91</v>
      </c>
      <c r="BB1556" s="2">
        <v>45118.101759259262</v>
      </c>
      <c r="BC1556" s="2"/>
      <c r="BD1556" t="s">
        <v>91</v>
      </c>
      <c r="BF1556" s="1" t="s">
        <v>75</v>
      </c>
      <c r="BI1556" s="1" t="s">
        <v>88</v>
      </c>
      <c r="BJ1556">
        <v>1</v>
      </c>
      <c r="BK1556" s="1" t="s">
        <v>89</v>
      </c>
      <c r="BL1556" t="s">
        <v>91</v>
      </c>
      <c r="BM1556" s="1" t="s">
        <v>91</v>
      </c>
      <c r="BN1556" s="1" t="s">
        <v>91</v>
      </c>
      <c r="BO1556" s="1" t="s">
        <v>91</v>
      </c>
      <c r="BP1556" s="1" t="s">
        <v>91</v>
      </c>
      <c r="BQ1556" t="s">
        <v>91</v>
      </c>
      <c r="BR1556" s="3">
        <v>45118</v>
      </c>
      <c r="BS1556" s="3"/>
      <c r="BT1556" t="s">
        <v>91</v>
      </c>
      <c r="BU1556" t="s">
        <v>91</v>
      </c>
      <c r="BW1556" s="1" t="s">
        <v>90</v>
      </c>
    </row>
    <row r="1557" spans="1:75" hidden="1" x14ac:dyDescent="0.35">
      <c r="A1557">
        <v>137776</v>
      </c>
      <c r="B1557" s="1" t="s">
        <v>75</v>
      </c>
      <c r="C1557">
        <v>80</v>
      </c>
      <c r="D1557">
        <v>11121004</v>
      </c>
      <c r="E1557">
        <v>121004</v>
      </c>
      <c r="F1557" s="1" t="s">
        <v>6867</v>
      </c>
      <c r="G1557" s="1" t="s">
        <v>8390</v>
      </c>
      <c r="H1557">
        <v>0</v>
      </c>
      <c r="I1557" s="1" t="s">
        <v>78</v>
      </c>
      <c r="J1557" s="1" t="s">
        <v>8391</v>
      </c>
      <c r="K1557" s="1" t="s">
        <v>8392</v>
      </c>
      <c r="L1557" t="s">
        <v>91</v>
      </c>
      <c r="M1557" t="s">
        <v>91</v>
      </c>
      <c r="N1557" s="1" t="s">
        <v>8393</v>
      </c>
      <c r="O1557" t="s">
        <v>91</v>
      </c>
      <c r="P1557" s="1" t="s">
        <v>7469</v>
      </c>
      <c r="Q1557" s="1" t="s">
        <v>8394</v>
      </c>
      <c r="R1557" s="1" t="s">
        <v>491</v>
      </c>
      <c r="S1557">
        <v>1264</v>
      </c>
      <c r="T1557">
        <v>88400000</v>
      </c>
      <c r="U1557" s="1" t="s">
        <v>108</v>
      </c>
      <c r="V1557" s="1" t="s">
        <v>7470</v>
      </c>
      <c r="W1557" s="1" t="s">
        <v>87</v>
      </c>
      <c r="X1557">
        <v>47</v>
      </c>
      <c r="Y1557">
        <v>35333836</v>
      </c>
      <c r="Z1557" t="s">
        <v>91</v>
      </c>
      <c r="AA1557" t="s">
        <v>91</v>
      </c>
      <c r="AB1557" t="s">
        <v>91</v>
      </c>
      <c r="AC1557" t="s">
        <v>91</v>
      </c>
      <c r="AD1557" t="s">
        <v>91</v>
      </c>
      <c r="AE1557" t="s">
        <v>91</v>
      </c>
      <c r="AF1557" t="s">
        <v>91</v>
      </c>
      <c r="AG1557" s="1" t="s">
        <v>146</v>
      </c>
      <c r="AH1557" s="1" t="s">
        <v>91</v>
      </c>
      <c r="AI1557" t="s">
        <v>91</v>
      </c>
      <c r="AM1557" t="s">
        <v>91</v>
      </c>
      <c r="AN1557" t="s">
        <v>91</v>
      </c>
      <c r="AO1557" t="s">
        <v>91</v>
      </c>
      <c r="AP1557" t="s">
        <v>91</v>
      </c>
      <c r="AQ1557" s="1" t="s">
        <v>147</v>
      </c>
      <c r="AR1557" s="1" t="s">
        <v>147</v>
      </c>
      <c r="AS1557" s="1" t="s">
        <v>147</v>
      </c>
      <c r="AT1557" s="1" t="s">
        <v>147</v>
      </c>
      <c r="AU1557" s="1" t="s">
        <v>147</v>
      </c>
      <c r="AV1557" t="s">
        <v>91</v>
      </c>
      <c r="AW1557" t="s">
        <v>91</v>
      </c>
      <c r="AX1557" t="s">
        <v>91</v>
      </c>
      <c r="AY1557" t="s">
        <v>91</v>
      </c>
      <c r="AZ1557" t="s">
        <v>91</v>
      </c>
      <c r="BA1557" t="s">
        <v>91</v>
      </c>
      <c r="BB1557" s="2">
        <v>44378.578518518516</v>
      </c>
      <c r="BC1557" s="2">
        <v>44655.745127314818</v>
      </c>
      <c r="BD1557" t="s">
        <v>91</v>
      </c>
      <c r="BF1557" s="1" t="s">
        <v>75</v>
      </c>
      <c r="BH1557">
        <v>0</v>
      </c>
      <c r="BI1557" s="1" t="s">
        <v>88</v>
      </c>
      <c r="BJ1557">
        <v>1</v>
      </c>
      <c r="BK1557" s="1" t="s">
        <v>89</v>
      </c>
      <c r="BL1557" t="s">
        <v>91</v>
      </c>
      <c r="BM1557" s="1" t="s">
        <v>109</v>
      </c>
      <c r="BN1557" s="1" t="s">
        <v>110</v>
      </c>
      <c r="BO1557" s="1" t="s">
        <v>111</v>
      </c>
      <c r="BP1557" s="1" t="s">
        <v>91</v>
      </c>
      <c r="BQ1557" t="s">
        <v>91</v>
      </c>
      <c r="BR1557" s="3">
        <v>44378</v>
      </c>
      <c r="BS1557" s="3">
        <v>44655</v>
      </c>
      <c r="BT1557" t="s">
        <v>91</v>
      </c>
      <c r="BU1557" t="s">
        <v>91</v>
      </c>
      <c r="BW1557" s="1" t="s">
        <v>83</v>
      </c>
    </row>
    <row r="1558" spans="1:75" hidden="1" x14ac:dyDescent="0.35">
      <c r="A1558">
        <v>130952</v>
      </c>
      <c r="B1558" s="1" t="s">
        <v>75</v>
      </c>
      <c r="C1558">
        <v>80</v>
      </c>
      <c r="D1558">
        <v>11121004</v>
      </c>
      <c r="E1558">
        <v>121004</v>
      </c>
      <c r="F1558" s="1" t="s">
        <v>6867</v>
      </c>
      <c r="G1558" s="1" t="s">
        <v>8395</v>
      </c>
      <c r="I1558" s="1" t="s">
        <v>78</v>
      </c>
      <c r="J1558" s="1" t="s">
        <v>8396</v>
      </c>
      <c r="K1558" s="1" t="s">
        <v>8397</v>
      </c>
      <c r="L1558" t="s">
        <v>91</v>
      </c>
      <c r="M1558" t="s">
        <v>91</v>
      </c>
      <c r="N1558" s="1" t="s">
        <v>8398</v>
      </c>
      <c r="O1558" t="s">
        <v>91</v>
      </c>
      <c r="P1558" s="1" t="s">
        <v>8399</v>
      </c>
      <c r="Q1558" s="1" t="s">
        <v>1042</v>
      </c>
      <c r="R1558" s="1" t="s">
        <v>91</v>
      </c>
      <c r="S1558">
        <v>1276</v>
      </c>
      <c r="T1558">
        <v>89172000</v>
      </c>
      <c r="U1558" s="1" t="s">
        <v>8400</v>
      </c>
      <c r="V1558" s="1" t="s">
        <v>7597</v>
      </c>
      <c r="W1558" s="1" t="s">
        <v>87</v>
      </c>
      <c r="X1558">
        <v>47</v>
      </c>
      <c r="Y1558">
        <v>35451121</v>
      </c>
      <c r="Z1558" t="s">
        <v>91</v>
      </c>
      <c r="AA1558" t="s">
        <v>91</v>
      </c>
      <c r="AB1558" t="s">
        <v>91</v>
      </c>
      <c r="AC1558" t="s">
        <v>91</v>
      </c>
      <c r="AD1558" t="s">
        <v>91</v>
      </c>
      <c r="AE1558" t="s">
        <v>91</v>
      </c>
      <c r="AF1558" t="s">
        <v>91</v>
      </c>
      <c r="AG1558" s="1" t="s">
        <v>91</v>
      </c>
      <c r="AH1558" s="1" t="s">
        <v>91</v>
      </c>
      <c r="AI1558" t="s">
        <v>91</v>
      </c>
      <c r="AJ1558">
        <v>0</v>
      </c>
      <c r="AK1558">
        <v>0</v>
      </c>
      <c r="AL1558">
        <v>0</v>
      </c>
      <c r="AM1558" t="s">
        <v>91</v>
      </c>
      <c r="AN1558" t="s">
        <v>91</v>
      </c>
      <c r="AO1558" t="s">
        <v>91</v>
      </c>
      <c r="AP1558" t="s">
        <v>91</v>
      </c>
      <c r="AQ1558" s="1" t="s">
        <v>91</v>
      </c>
      <c r="AR1558" s="1" t="s">
        <v>91</v>
      </c>
      <c r="AS1558" s="1" t="s">
        <v>91</v>
      </c>
      <c r="AT1558" s="1" t="s">
        <v>91</v>
      </c>
      <c r="AU1558" s="1" t="s">
        <v>91</v>
      </c>
      <c r="AV1558" t="s">
        <v>91</v>
      </c>
      <c r="AW1558" t="s">
        <v>91</v>
      </c>
      <c r="AX1558" t="s">
        <v>91</v>
      </c>
      <c r="AY1558" t="s">
        <v>91</v>
      </c>
      <c r="AZ1558" t="s">
        <v>91</v>
      </c>
      <c r="BA1558" t="s">
        <v>91</v>
      </c>
      <c r="BB1558" s="2"/>
      <c r="BC1558" s="2"/>
      <c r="BD1558" t="s">
        <v>91</v>
      </c>
      <c r="BF1558" s="1" t="s">
        <v>75</v>
      </c>
      <c r="BG1558">
        <v>0</v>
      </c>
      <c r="BH1558">
        <v>0</v>
      </c>
      <c r="BI1558" s="1" t="s">
        <v>88</v>
      </c>
      <c r="BJ1558">
        <v>1</v>
      </c>
      <c r="BK1558" s="1" t="s">
        <v>89</v>
      </c>
      <c r="BL1558" t="s">
        <v>91</v>
      </c>
      <c r="BM1558" s="1" t="s">
        <v>109</v>
      </c>
      <c r="BN1558" s="1" t="s">
        <v>110</v>
      </c>
      <c r="BO1558" s="1" t="s">
        <v>165</v>
      </c>
      <c r="BP1558" s="1" t="s">
        <v>91</v>
      </c>
      <c r="BQ1558" t="s">
        <v>91</v>
      </c>
      <c r="BR1558" s="3"/>
      <c r="BS1558" s="3"/>
      <c r="BT1558" t="s">
        <v>91</v>
      </c>
      <c r="BU1558" t="s">
        <v>91</v>
      </c>
      <c r="BV1558">
        <v>9</v>
      </c>
      <c r="BW1558" s="1" t="s">
        <v>90</v>
      </c>
    </row>
    <row r="1559" spans="1:75" hidden="1" x14ac:dyDescent="0.35">
      <c r="A1559">
        <v>137778</v>
      </c>
      <c r="B1559" s="1" t="s">
        <v>75</v>
      </c>
      <c r="C1559">
        <v>80</v>
      </c>
      <c r="D1559">
        <v>11121004</v>
      </c>
      <c r="E1559">
        <v>121004</v>
      </c>
      <c r="F1559" s="1" t="s">
        <v>6867</v>
      </c>
      <c r="G1559" s="1" t="s">
        <v>8401</v>
      </c>
      <c r="H1559">
        <v>0</v>
      </c>
      <c r="I1559" s="1" t="s">
        <v>78</v>
      </c>
      <c r="J1559" s="1" t="s">
        <v>8402</v>
      </c>
      <c r="K1559" s="1" t="s">
        <v>8403</v>
      </c>
      <c r="L1559" t="s">
        <v>91</v>
      </c>
      <c r="M1559" t="s">
        <v>91</v>
      </c>
      <c r="N1559" s="1" t="s">
        <v>8404</v>
      </c>
      <c r="O1559" t="s">
        <v>91</v>
      </c>
      <c r="P1559" s="1" t="s">
        <v>8050</v>
      </c>
      <c r="Q1559" s="1" t="s">
        <v>97</v>
      </c>
      <c r="R1559" s="1" t="s">
        <v>91</v>
      </c>
      <c r="S1559">
        <v>1261</v>
      </c>
      <c r="T1559">
        <v>88301425</v>
      </c>
      <c r="U1559" s="1" t="s">
        <v>108</v>
      </c>
      <c r="V1559" s="1" t="s">
        <v>6874</v>
      </c>
      <c r="W1559" s="1" t="s">
        <v>87</v>
      </c>
      <c r="X1559">
        <v>47</v>
      </c>
      <c r="Y1559">
        <v>30456574</v>
      </c>
      <c r="Z1559" t="s">
        <v>91</v>
      </c>
      <c r="AA1559" t="s">
        <v>91</v>
      </c>
      <c r="AB1559" t="s">
        <v>91</v>
      </c>
      <c r="AC1559" t="s">
        <v>91</v>
      </c>
      <c r="AD1559" t="s">
        <v>91</v>
      </c>
      <c r="AE1559" t="s">
        <v>91</v>
      </c>
      <c r="AF1559" t="s">
        <v>91</v>
      </c>
      <c r="AG1559" s="1" t="s">
        <v>146</v>
      </c>
      <c r="AH1559" s="1" t="s">
        <v>91</v>
      </c>
      <c r="AI1559" t="s">
        <v>91</v>
      </c>
      <c r="AM1559" t="s">
        <v>91</v>
      </c>
      <c r="AN1559" t="s">
        <v>91</v>
      </c>
      <c r="AO1559" t="s">
        <v>91</v>
      </c>
      <c r="AP1559" t="s">
        <v>91</v>
      </c>
      <c r="AQ1559" s="1" t="s">
        <v>147</v>
      </c>
      <c r="AR1559" s="1" t="s">
        <v>147</v>
      </c>
      <c r="AS1559" s="1" t="s">
        <v>147</v>
      </c>
      <c r="AT1559" s="1" t="s">
        <v>147</v>
      </c>
      <c r="AU1559" s="1" t="s">
        <v>147</v>
      </c>
      <c r="AV1559" t="s">
        <v>91</v>
      </c>
      <c r="AW1559" t="s">
        <v>91</v>
      </c>
      <c r="AX1559" t="s">
        <v>91</v>
      </c>
      <c r="AY1559" t="s">
        <v>91</v>
      </c>
      <c r="AZ1559" t="s">
        <v>91</v>
      </c>
      <c r="BA1559" t="s">
        <v>91</v>
      </c>
      <c r="BB1559" s="2">
        <v>44378.578518518516</v>
      </c>
      <c r="BC1559" s="2">
        <v>44501.71197916667</v>
      </c>
      <c r="BD1559" t="s">
        <v>91</v>
      </c>
      <c r="BF1559" s="1" t="s">
        <v>75</v>
      </c>
      <c r="BH1559">
        <v>0</v>
      </c>
      <c r="BI1559" s="1" t="s">
        <v>88</v>
      </c>
      <c r="BJ1559">
        <v>1</v>
      </c>
      <c r="BK1559" s="1" t="s">
        <v>89</v>
      </c>
      <c r="BL1559" t="s">
        <v>91</v>
      </c>
      <c r="BM1559" s="1" t="s">
        <v>109</v>
      </c>
      <c r="BN1559" s="1" t="s">
        <v>148</v>
      </c>
      <c r="BO1559" s="1" t="s">
        <v>111</v>
      </c>
      <c r="BP1559" s="1" t="s">
        <v>91</v>
      </c>
      <c r="BQ1559" t="s">
        <v>91</v>
      </c>
      <c r="BR1559" s="3">
        <v>44378</v>
      </c>
      <c r="BS1559" s="3">
        <v>44501</v>
      </c>
      <c r="BT1559" t="s">
        <v>91</v>
      </c>
      <c r="BU1559" t="s">
        <v>91</v>
      </c>
      <c r="BW1559" s="1" t="s">
        <v>1337</v>
      </c>
    </row>
    <row r="1560" spans="1:75" hidden="1" x14ac:dyDescent="0.35">
      <c r="A1560">
        <v>137780</v>
      </c>
      <c r="B1560" s="1" t="s">
        <v>75</v>
      </c>
      <c r="C1560">
        <v>80</v>
      </c>
      <c r="D1560">
        <v>11121004</v>
      </c>
      <c r="E1560">
        <v>121004</v>
      </c>
      <c r="F1560" s="1" t="s">
        <v>6867</v>
      </c>
      <c r="G1560" s="1" t="s">
        <v>8405</v>
      </c>
      <c r="H1560">
        <v>0</v>
      </c>
      <c r="I1560" s="1" t="s">
        <v>78</v>
      </c>
      <c r="J1560" s="1" t="s">
        <v>8406</v>
      </c>
      <c r="K1560" s="1" t="s">
        <v>8407</v>
      </c>
      <c r="L1560" t="s">
        <v>91</v>
      </c>
      <c r="M1560" t="s">
        <v>91</v>
      </c>
      <c r="N1560" s="1" t="s">
        <v>8408</v>
      </c>
      <c r="O1560" t="s">
        <v>91</v>
      </c>
      <c r="P1560" s="1" t="s">
        <v>8409</v>
      </c>
      <c r="Q1560" s="1" t="s">
        <v>3071</v>
      </c>
      <c r="R1560" s="1" t="s">
        <v>8410</v>
      </c>
      <c r="T1560">
        <v>88340233</v>
      </c>
      <c r="U1560" s="1" t="s">
        <v>108</v>
      </c>
      <c r="V1560" s="1" t="s">
        <v>7223</v>
      </c>
      <c r="W1560" s="1" t="s">
        <v>87</v>
      </c>
      <c r="X1560">
        <v>47</v>
      </c>
      <c r="Y1560">
        <v>33654602</v>
      </c>
      <c r="Z1560" t="s">
        <v>91</v>
      </c>
      <c r="AA1560" t="s">
        <v>91</v>
      </c>
      <c r="AB1560" t="s">
        <v>91</v>
      </c>
      <c r="AC1560" t="s">
        <v>91</v>
      </c>
      <c r="AD1560" t="s">
        <v>91</v>
      </c>
      <c r="AE1560" t="s">
        <v>91</v>
      </c>
      <c r="AF1560" t="s">
        <v>91</v>
      </c>
      <c r="AG1560" s="1" t="s">
        <v>146</v>
      </c>
      <c r="AH1560" s="1" t="s">
        <v>91</v>
      </c>
      <c r="AI1560" t="s">
        <v>91</v>
      </c>
      <c r="AM1560" t="s">
        <v>91</v>
      </c>
      <c r="AN1560" t="s">
        <v>91</v>
      </c>
      <c r="AO1560" t="s">
        <v>91</v>
      </c>
      <c r="AP1560" t="s">
        <v>91</v>
      </c>
      <c r="AQ1560" s="1" t="s">
        <v>147</v>
      </c>
      <c r="AR1560" s="1" t="s">
        <v>147</v>
      </c>
      <c r="AS1560" s="1" t="s">
        <v>147</v>
      </c>
      <c r="AT1560" s="1" t="s">
        <v>147</v>
      </c>
      <c r="AU1560" s="1" t="s">
        <v>147</v>
      </c>
      <c r="AV1560" t="s">
        <v>91</v>
      </c>
      <c r="AW1560" t="s">
        <v>91</v>
      </c>
      <c r="AX1560" t="s">
        <v>91</v>
      </c>
      <c r="AY1560" t="s">
        <v>91</v>
      </c>
      <c r="AZ1560" t="s">
        <v>91</v>
      </c>
      <c r="BA1560" t="s">
        <v>91</v>
      </c>
      <c r="BB1560" s="2">
        <v>44378.578518518516</v>
      </c>
      <c r="BC1560" s="2">
        <v>44657.727592592593</v>
      </c>
      <c r="BD1560" t="s">
        <v>91</v>
      </c>
      <c r="BF1560" s="1" t="s">
        <v>75</v>
      </c>
      <c r="BH1560">
        <v>0</v>
      </c>
      <c r="BI1560" s="1" t="s">
        <v>88</v>
      </c>
      <c r="BJ1560">
        <v>1</v>
      </c>
      <c r="BK1560" s="1" t="s">
        <v>89</v>
      </c>
      <c r="BL1560" t="s">
        <v>91</v>
      </c>
      <c r="BM1560" s="1" t="s">
        <v>109</v>
      </c>
      <c r="BN1560" s="1" t="s">
        <v>110</v>
      </c>
      <c r="BO1560" s="1" t="s">
        <v>111</v>
      </c>
      <c r="BP1560" s="1" t="s">
        <v>91</v>
      </c>
      <c r="BQ1560" t="s">
        <v>91</v>
      </c>
      <c r="BR1560" s="3">
        <v>44378</v>
      </c>
      <c r="BS1560" s="3">
        <v>44657</v>
      </c>
      <c r="BT1560" t="s">
        <v>91</v>
      </c>
      <c r="BU1560" t="s">
        <v>91</v>
      </c>
      <c r="BW1560" s="1" t="s">
        <v>247</v>
      </c>
    </row>
    <row r="1561" spans="1:75" hidden="1" x14ac:dyDescent="0.35">
      <c r="A1561">
        <v>145041</v>
      </c>
      <c r="B1561" s="1" t="s">
        <v>75</v>
      </c>
      <c r="C1561">
        <v>80</v>
      </c>
      <c r="D1561">
        <v>11121004</v>
      </c>
      <c r="E1561">
        <v>121004</v>
      </c>
      <c r="F1561" s="1" t="s">
        <v>6867</v>
      </c>
      <c r="G1561" s="1" t="s">
        <v>8411</v>
      </c>
      <c r="H1561">
        <v>0</v>
      </c>
      <c r="I1561" s="1" t="s">
        <v>78</v>
      </c>
      <c r="J1561" s="1" t="s">
        <v>8406</v>
      </c>
      <c r="K1561" s="1" t="s">
        <v>8412</v>
      </c>
      <c r="L1561" t="s">
        <v>91</v>
      </c>
      <c r="M1561" t="s">
        <v>91</v>
      </c>
      <c r="N1561" s="1" t="s">
        <v>8413</v>
      </c>
      <c r="O1561" t="s">
        <v>91</v>
      </c>
      <c r="P1561" s="1" t="s">
        <v>7502</v>
      </c>
      <c r="Q1561" s="1" t="s">
        <v>746</v>
      </c>
      <c r="R1561" s="1" t="s">
        <v>91</v>
      </c>
      <c r="T1561">
        <v>88340233</v>
      </c>
      <c r="U1561" s="1" t="s">
        <v>108</v>
      </c>
      <c r="V1561" s="1" t="s">
        <v>7223</v>
      </c>
      <c r="W1561" s="1" t="s">
        <v>87</v>
      </c>
      <c r="X1561">
        <v>47</v>
      </c>
      <c r="Y1561">
        <v>32691867</v>
      </c>
      <c r="Z1561" t="s">
        <v>91</v>
      </c>
      <c r="AA1561" t="s">
        <v>91</v>
      </c>
      <c r="AB1561" t="s">
        <v>91</v>
      </c>
      <c r="AC1561" t="s">
        <v>91</v>
      </c>
      <c r="AD1561" t="s">
        <v>91</v>
      </c>
      <c r="AE1561" t="s">
        <v>91</v>
      </c>
      <c r="AF1561" t="s">
        <v>91</v>
      </c>
      <c r="AG1561" s="1" t="s">
        <v>146</v>
      </c>
      <c r="AH1561" s="1" t="s">
        <v>91</v>
      </c>
      <c r="AI1561" t="s">
        <v>91</v>
      </c>
      <c r="AM1561" t="s">
        <v>91</v>
      </c>
      <c r="AN1561" t="s">
        <v>91</v>
      </c>
      <c r="AO1561" t="s">
        <v>91</v>
      </c>
      <c r="AP1561" t="s">
        <v>91</v>
      </c>
      <c r="AQ1561" s="1" t="s">
        <v>147</v>
      </c>
      <c r="AR1561" s="1" t="s">
        <v>147</v>
      </c>
      <c r="AS1561" s="1" t="s">
        <v>147</v>
      </c>
      <c r="AT1561" s="1" t="s">
        <v>147</v>
      </c>
      <c r="AU1561" s="1" t="s">
        <v>147</v>
      </c>
      <c r="AV1561" t="s">
        <v>91</v>
      </c>
      <c r="AW1561" t="s">
        <v>91</v>
      </c>
      <c r="AX1561" t="s">
        <v>91</v>
      </c>
      <c r="AY1561" t="s">
        <v>91</v>
      </c>
      <c r="AZ1561" t="s">
        <v>91</v>
      </c>
      <c r="BA1561" t="s">
        <v>91</v>
      </c>
      <c r="BB1561" s="2">
        <v>44580.607222222221</v>
      </c>
      <c r="BC1561" s="2">
        <v>45114.703009259261</v>
      </c>
      <c r="BD1561" t="s">
        <v>91</v>
      </c>
      <c r="BF1561" s="1" t="s">
        <v>75</v>
      </c>
      <c r="BH1561">
        <v>0</v>
      </c>
      <c r="BI1561" s="1" t="s">
        <v>88</v>
      </c>
      <c r="BJ1561">
        <v>1</v>
      </c>
      <c r="BK1561" s="1" t="s">
        <v>89</v>
      </c>
      <c r="BL1561" t="s">
        <v>91</v>
      </c>
      <c r="BM1561" s="1" t="s">
        <v>91</v>
      </c>
      <c r="BN1561" s="1" t="s">
        <v>91</v>
      </c>
      <c r="BO1561" s="1" t="s">
        <v>91</v>
      </c>
      <c r="BP1561" s="1" t="s">
        <v>91</v>
      </c>
      <c r="BQ1561" t="s">
        <v>91</v>
      </c>
      <c r="BR1561" s="3">
        <v>44580</v>
      </c>
      <c r="BS1561" s="3">
        <v>45114</v>
      </c>
      <c r="BT1561" t="s">
        <v>91</v>
      </c>
      <c r="BU1561" t="s">
        <v>91</v>
      </c>
      <c r="BW1561" s="1" t="s">
        <v>708</v>
      </c>
    </row>
    <row r="1562" spans="1:75" hidden="1" x14ac:dyDescent="0.35">
      <c r="A1562">
        <v>117464</v>
      </c>
      <c r="B1562" s="1" t="s">
        <v>75</v>
      </c>
      <c r="C1562">
        <v>80</v>
      </c>
      <c r="D1562">
        <v>11121004</v>
      </c>
      <c r="E1562">
        <v>121004</v>
      </c>
      <c r="F1562" s="1" t="s">
        <v>6867</v>
      </c>
      <c r="G1562" s="1" t="s">
        <v>8414</v>
      </c>
      <c r="H1562">
        <v>0</v>
      </c>
      <c r="I1562" s="1" t="s">
        <v>78</v>
      </c>
      <c r="J1562" s="1" t="s">
        <v>8415</v>
      </c>
      <c r="K1562" s="1" t="s">
        <v>8416</v>
      </c>
      <c r="L1562" t="s">
        <v>91</v>
      </c>
      <c r="M1562" t="s">
        <v>91</v>
      </c>
      <c r="N1562" s="1" t="s">
        <v>8417</v>
      </c>
      <c r="O1562" t="s">
        <v>91</v>
      </c>
      <c r="P1562" s="1" t="s">
        <v>7749</v>
      </c>
      <c r="Q1562" s="1" t="s">
        <v>8352</v>
      </c>
      <c r="R1562" s="1" t="s">
        <v>173</v>
      </c>
      <c r="S1562">
        <v>1261</v>
      </c>
      <c r="T1562">
        <v>88320000</v>
      </c>
      <c r="U1562" s="1" t="s">
        <v>7751</v>
      </c>
      <c r="V1562" s="1" t="s">
        <v>7915</v>
      </c>
      <c r="W1562" s="1" t="s">
        <v>87</v>
      </c>
      <c r="X1562">
        <v>47</v>
      </c>
      <c r="Y1562">
        <v>30455519</v>
      </c>
      <c r="Z1562" t="s">
        <v>91</v>
      </c>
      <c r="AA1562" t="s">
        <v>91</v>
      </c>
      <c r="AB1562" t="s">
        <v>91</v>
      </c>
      <c r="AC1562" t="s">
        <v>91</v>
      </c>
      <c r="AD1562" t="s">
        <v>91</v>
      </c>
      <c r="AE1562" t="s">
        <v>91</v>
      </c>
      <c r="AF1562" t="s">
        <v>91</v>
      </c>
      <c r="AG1562" s="1" t="s">
        <v>91</v>
      </c>
      <c r="AH1562" s="1" t="s">
        <v>91</v>
      </c>
      <c r="AI1562" t="s">
        <v>91</v>
      </c>
      <c r="AJ1562">
        <v>0</v>
      </c>
      <c r="AK1562">
        <v>0</v>
      </c>
      <c r="AL1562">
        <v>0</v>
      </c>
      <c r="AM1562" t="s">
        <v>91</v>
      </c>
      <c r="AN1562" t="s">
        <v>91</v>
      </c>
      <c r="AO1562" t="s">
        <v>91</v>
      </c>
      <c r="AP1562" t="s">
        <v>91</v>
      </c>
      <c r="AQ1562" s="1" t="s">
        <v>91</v>
      </c>
      <c r="AR1562" s="1" t="s">
        <v>91</v>
      </c>
      <c r="AS1562" s="1" t="s">
        <v>91</v>
      </c>
      <c r="AT1562" s="1" t="s">
        <v>91</v>
      </c>
      <c r="AU1562" s="1" t="s">
        <v>91</v>
      </c>
      <c r="AV1562" t="s">
        <v>91</v>
      </c>
      <c r="AW1562" t="s">
        <v>91</v>
      </c>
      <c r="AX1562" t="s">
        <v>91</v>
      </c>
      <c r="AY1562" t="s">
        <v>91</v>
      </c>
      <c r="AZ1562" t="s">
        <v>91</v>
      </c>
      <c r="BA1562" t="s">
        <v>91</v>
      </c>
      <c r="BB1562" s="2">
        <v>44034.350266203706</v>
      </c>
      <c r="BC1562" s="2"/>
      <c r="BD1562" t="s">
        <v>91</v>
      </c>
      <c r="BF1562" s="1" t="s">
        <v>75</v>
      </c>
      <c r="BG1562">
        <v>0</v>
      </c>
      <c r="BH1562">
        <v>0</v>
      </c>
      <c r="BI1562" s="1" t="s">
        <v>88</v>
      </c>
      <c r="BJ1562">
        <v>1</v>
      </c>
      <c r="BK1562" s="1" t="s">
        <v>89</v>
      </c>
      <c r="BL1562" t="s">
        <v>91</v>
      </c>
      <c r="BM1562" s="1" t="s">
        <v>109</v>
      </c>
      <c r="BN1562" s="1" t="s">
        <v>110</v>
      </c>
      <c r="BO1562" s="1" t="s">
        <v>111</v>
      </c>
      <c r="BP1562" s="1" t="s">
        <v>91</v>
      </c>
      <c r="BQ1562" t="s">
        <v>91</v>
      </c>
      <c r="BR1562" s="3">
        <v>44034</v>
      </c>
      <c r="BS1562" s="3"/>
      <c r="BT1562" t="s">
        <v>91</v>
      </c>
      <c r="BU1562" t="s">
        <v>91</v>
      </c>
      <c r="BV1562">
        <v>6</v>
      </c>
      <c r="BW1562" s="1" t="s">
        <v>90</v>
      </c>
    </row>
    <row r="1563" spans="1:75" hidden="1" x14ac:dyDescent="0.35">
      <c r="A1563">
        <v>1241</v>
      </c>
      <c r="B1563" s="1" t="s">
        <v>75</v>
      </c>
      <c r="C1563">
        <v>80</v>
      </c>
      <c r="D1563">
        <v>11121004</v>
      </c>
      <c r="E1563">
        <v>121004</v>
      </c>
      <c r="F1563" s="1" t="s">
        <v>6867</v>
      </c>
      <c r="G1563" s="1" t="s">
        <v>8418</v>
      </c>
      <c r="I1563" s="1" t="s">
        <v>78</v>
      </c>
      <c r="J1563" s="1" t="s">
        <v>8419</v>
      </c>
      <c r="K1563" s="1" t="s">
        <v>8420</v>
      </c>
      <c r="L1563" t="s">
        <v>91</v>
      </c>
      <c r="M1563" t="s">
        <v>91</v>
      </c>
      <c r="N1563" s="1" t="s">
        <v>8421</v>
      </c>
      <c r="O1563" t="s">
        <v>91</v>
      </c>
      <c r="P1563" s="1" t="s">
        <v>611</v>
      </c>
      <c r="Q1563" s="1" t="s">
        <v>4893</v>
      </c>
      <c r="R1563" s="1" t="s">
        <v>91</v>
      </c>
      <c r="S1563">
        <v>1271</v>
      </c>
      <c r="T1563">
        <v>89010001</v>
      </c>
      <c r="U1563" s="1" t="s">
        <v>108</v>
      </c>
      <c r="V1563" s="1" t="s">
        <v>3571</v>
      </c>
      <c r="W1563" s="1" t="s">
        <v>87</v>
      </c>
      <c r="X1563">
        <v>47</v>
      </c>
      <c r="Y1563">
        <v>33220182</v>
      </c>
      <c r="Z1563" t="s">
        <v>91</v>
      </c>
      <c r="AA1563" t="s">
        <v>91</v>
      </c>
      <c r="AB1563" t="s">
        <v>91</v>
      </c>
      <c r="AC1563" t="s">
        <v>91</v>
      </c>
      <c r="AD1563" t="s">
        <v>91</v>
      </c>
      <c r="AE1563" t="s">
        <v>91</v>
      </c>
      <c r="AF1563" t="s">
        <v>91</v>
      </c>
      <c r="AG1563" s="1" t="s">
        <v>146</v>
      </c>
      <c r="AH1563" s="1" t="s">
        <v>91</v>
      </c>
      <c r="AI1563" t="s">
        <v>91</v>
      </c>
      <c r="AJ1563">
        <v>0</v>
      </c>
      <c r="AK1563">
        <v>0</v>
      </c>
      <c r="AL1563">
        <v>0</v>
      </c>
      <c r="AM1563" t="s">
        <v>91</v>
      </c>
      <c r="AN1563" t="s">
        <v>91</v>
      </c>
      <c r="AO1563" t="s">
        <v>91</v>
      </c>
      <c r="AP1563" t="s">
        <v>91</v>
      </c>
      <c r="AQ1563" s="1" t="s">
        <v>147</v>
      </c>
      <c r="AR1563" s="1" t="s">
        <v>147</v>
      </c>
      <c r="AS1563" s="1" t="s">
        <v>147</v>
      </c>
      <c r="AT1563" s="1" t="s">
        <v>147</v>
      </c>
      <c r="AU1563" s="1" t="s">
        <v>147</v>
      </c>
      <c r="AV1563" t="s">
        <v>91</v>
      </c>
      <c r="AW1563" t="s">
        <v>91</v>
      </c>
      <c r="AX1563" t="s">
        <v>91</v>
      </c>
      <c r="AY1563" t="s">
        <v>91</v>
      </c>
      <c r="AZ1563" t="s">
        <v>91</v>
      </c>
      <c r="BA1563" t="s">
        <v>91</v>
      </c>
      <c r="BB1563" s="2">
        <v>43308.393182870372</v>
      </c>
      <c r="BC1563" s="2">
        <v>45124.743541666663</v>
      </c>
      <c r="BD1563" t="s">
        <v>91</v>
      </c>
      <c r="BE1563">
        <v>1241</v>
      </c>
      <c r="BF1563" s="1" t="s">
        <v>75</v>
      </c>
      <c r="BG1563">
        <v>0</v>
      </c>
      <c r="BH1563">
        <v>0</v>
      </c>
      <c r="BI1563" s="1" t="s">
        <v>721</v>
      </c>
      <c r="BJ1563">
        <v>1</v>
      </c>
      <c r="BK1563" s="1" t="s">
        <v>89</v>
      </c>
      <c r="BL1563" t="s">
        <v>91</v>
      </c>
      <c r="BM1563" s="1" t="s">
        <v>329</v>
      </c>
      <c r="BN1563" s="1" t="s">
        <v>110</v>
      </c>
      <c r="BO1563" s="1" t="s">
        <v>128</v>
      </c>
      <c r="BP1563" s="1" t="s">
        <v>91</v>
      </c>
      <c r="BQ1563" t="s">
        <v>91</v>
      </c>
      <c r="BR1563" s="3">
        <v>43308</v>
      </c>
      <c r="BS1563" s="3">
        <v>45124</v>
      </c>
      <c r="BT1563" t="s">
        <v>91</v>
      </c>
      <c r="BU1563" t="s">
        <v>91</v>
      </c>
      <c r="BV1563">
        <v>5</v>
      </c>
      <c r="BW1563" s="1" t="s">
        <v>390</v>
      </c>
    </row>
    <row r="1564" spans="1:75" hidden="1" x14ac:dyDescent="0.35">
      <c r="A1564">
        <v>137783</v>
      </c>
      <c r="B1564" s="1" t="s">
        <v>75</v>
      </c>
      <c r="C1564">
        <v>80</v>
      </c>
      <c r="D1564">
        <v>11121004</v>
      </c>
      <c r="E1564">
        <v>121004</v>
      </c>
      <c r="F1564" s="1" t="s">
        <v>6867</v>
      </c>
      <c r="G1564" s="1" t="s">
        <v>8422</v>
      </c>
      <c r="H1564">
        <v>0</v>
      </c>
      <c r="I1564" s="1" t="s">
        <v>78</v>
      </c>
      <c r="J1564" s="1" t="s">
        <v>8423</v>
      </c>
      <c r="K1564" s="1" t="s">
        <v>8424</v>
      </c>
      <c r="L1564" t="s">
        <v>91</v>
      </c>
      <c r="M1564" t="s">
        <v>91</v>
      </c>
      <c r="N1564" s="1" t="s">
        <v>8425</v>
      </c>
      <c r="O1564" t="s">
        <v>91</v>
      </c>
      <c r="P1564" s="1" t="s">
        <v>8426</v>
      </c>
      <c r="Q1564" s="1" t="s">
        <v>8427</v>
      </c>
      <c r="R1564" s="1" t="s">
        <v>2894</v>
      </c>
      <c r="S1564">
        <v>1260</v>
      </c>
      <c r="T1564">
        <v>88215000</v>
      </c>
      <c r="U1564" s="1" t="s">
        <v>108</v>
      </c>
      <c r="V1564" s="1" t="s">
        <v>7458</v>
      </c>
      <c r="W1564" s="1" t="s">
        <v>87</v>
      </c>
      <c r="X1564">
        <v>47</v>
      </c>
      <c r="Y1564">
        <v>32649307</v>
      </c>
      <c r="Z1564" t="s">
        <v>91</v>
      </c>
      <c r="AA1564" t="s">
        <v>91</v>
      </c>
      <c r="AB1564" t="s">
        <v>91</v>
      </c>
      <c r="AC1564" t="s">
        <v>91</v>
      </c>
      <c r="AD1564" t="s">
        <v>91</v>
      </c>
      <c r="AE1564" t="s">
        <v>91</v>
      </c>
      <c r="AF1564" t="s">
        <v>91</v>
      </c>
      <c r="AG1564" s="1" t="s">
        <v>146</v>
      </c>
      <c r="AH1564" s="1" t="s">
        <v>91</v>
      </c>
      <c r="AI1564" t="s">
        <v>91</v>
      </c>
      <c r="AM1564" t="s">
        <v>91</v>
      </c>
      <c r="AN1564" t="s">
        <v>91</v>
      </c>
      <c r="AO1564" t="s">
        <v>91</v>
      </c>
      <c r="AP1564" t="s">
        <v>91</v>
      </c>
      <c r="AQ1564" s="1" t="s">
        <v>147</v>
      </c>
      <c r="AR1564" s="1" t="s">
        <v>147</v>
      </c>
      <c r="AS1564" s="1" t="s">
        <v>147</v>
      </c>
      <c r="AT1564" s="1" t="s">
        <v>147</v>
      </c>
      <c r="AU1564" s="1" t="s">
        <v>147</v>
      </c>
      <c r="AV1564" t="s">
        <v>91</v>
      </c>
      <c r="AW1564" t="s">
        <v>91</v>
      </c>
      <c r="AX1564" t="s">
        <v>91</v>
      </c>
      <c r="AY1564" t="s">
        <v>91</v>
      </c>
      <c r="AZ1564" t="s">
        <v>91</v>
      </c>
      <c r="BA1564" t="s">
        <v>91</v>
      </c>
      <c r="BB1564" s="2">
        <v>44378.578518518516</v>
      </c>
      <c r="BC1564" s="2">
        <v>44767.725659722222</v>
      </c>
      <c r="BD1564" t="s">
        <v>91</v>
      </c>
      <c r="BF1564" s="1" t="s">
        <v>75</v>
      </c>
      <c r="BH1564">
        <v>0</v>
      </c>
      <c r="BI1564" s="1" t="s">
        <v>88</v>
      </c>
      <c r="BJ1564">
        <v>1</v>
      </c>
      <c r="BK1564" s="1" t="s">
        <v>89</v>
      </c>
      <c r="BL1564" t="s">
        <v>91</v>
      </c>
      <c r="BM1564" s="1" t="s">
        <v>109</v>
      </c>
      <c r="BN1564" s="1" t="s">
        <v>110</v>
      </c>
      <c r="BO1564" s="1" t="s">
        <v>180</v>
      </c>
      <c r="BP1564" s="1" t="s">
        <v>91</v>
      </c>
      <c r="BQ1564" t="s">
        <v>91</v>
      </c>
      <c r="BR1564" s="3">
        <v>44378</v>
      </c>
      <c r="BS1564" s="3">
        <v>44767</v>
      </c>
      <c r="BT1564" t="s">
        <v>91</v>
      </c>
      <c r="BU1564" t="s">
        <v>91</v>
      </c>
      <c r="BW1564" s="1" t="s">
        <v>8428</v>
      </c>
    </row>
    <row r="1565" spans="1:75" hidden="1" x14ac:dyDescent="0.35">
      <c r="A1565">
        <v>137784</v>
      </c>
      <c r="B1565" s="1" t="s">
        <v>75</v>
      </c>
      <c r="C1565">
        <v>80</v>
      </c>
      <c r="D1565">
        <v>11121004</v>
      </c>
      <c r="E1565">
        <v>121004</v>
      </c>
      <c r="F1565" s="1" t="s">
        <v>6867</v>
      </c>
      <c r="G1565" s="1" t="s">
        <v>8429</v>
      </c>
      <c r="H1565">
        <v>0</v>
      </c>
      <c r="I1565" s="1" t="s">
        <v>78</v>
      </c>
      <c r="J1565" s="1" t="s">
        <v>8430</v>
      </c>
      <c r="K1565" s="1" t="s">
        <v>8431</v>
      </c>
      <c r="L1565" t="s">
        <v>91</v>
      </c>
      <c r="M1565" t="s">
        <v>91</v>
      </c>
      <c r="N1565" s="1" t="s">
        <v>8432</v>
      </c>
      <c r="O1565" t="s">
        <v>91</v>
      </c>
      <c r="P1565" s="1" t="s">
        <v>7232</v>
      </c>
      <c r="Q1565" s="1" t="s">
        <v>8433</v>
      </c>
      <c r="R1565" s="1" t="s">
        <v>370</v>
      </c>
      <c r="S1565">
        <v>1261</v>
      </c>
      <c r="T1565">
        <v>88309202</v>
      </c>
      <c r="U1565" s="1" t="s">
        <v>7235</v>
      </c>
      <c r="V1565" s="1" t="s">
        <v>6874</v>
      </c>
      <c r="W1565" s="1" t="s">
        <v>87</v>
      </c>
      <c r="X1565">
        <v>47</v>
      </c>
      <c r="Y1565">
        <v>30837191</v>
      </c>
      <c r="Z1565" t="s">
        <v>91</v>
      </c>
      <c r="AA1565" t="s">
        <v>91</v>
      </c>
      <c r="AB1565" t="s">
        <v>91</v>
      </c>
      <c r="AC1565" t="s">
        <v>91</v>
      </c>
      <c r="AD1565" t="s">
        <v>91</v>
      </c>
      <c r="AE1565" t="s">
        <v>91</v>
      </c>
      <c r="AF1565" t="s">
        <v>91</v>
      </c>
      <c r="AG1565" s="1" t="s">
        <v>146</v>
      </c>
      <c r="AH1565" s="1" t="s">
        <v>91</v>
      </c>
      <c r="AI1565" t="s">
        <v>91</v>
      </c>
      <c r="AM1565" t="s">
        <v>91</v>
      </c>
      <c r="AN1565" t="s">
        <v>91</v>
      </c>
      <c r="AO1565" t="s">
        <v>91</v>
      </c>
      <c r="AP1565" t="s">
        <v>91</v>
      </c>
      <c r="AQ1565" s="1" t="s">
        <v>147</v>
      </c>
      <c r="AR1565" s="1" t="s">
        <v>147</v>
      </c>
      <c r="AS1565" s="1" t="s">
        <v>147</v>
      </c>
      <c r="AT1565" s="1" t="s">
        <v>147</v>
      </c>
      <c r="AU1565" s="1" t="s">
        <v>147</v>
      </c>
      <c r="AV1565" t="s">
        <v>91</v>
      </c>
      <c r="AW1565" t="s">
        <v>91</v>
      </c>
      <c r="AX1565" t="s">
        <v>91</v>
      </c>
      <c r="AY1565" t="s">
        <v>91</v>
      </c>
      <c r="AZ1565" t="s">
        <v>91</v>
      </c>
      <c r="BA1565" t="s">
        <v>91</v>
      </c>
      <c r="BB1565" s="2">
        <v>44378.578518518516</v>
      </c>
      <c r="BC1565" s="2">
        <v>44910.705300925925</v>
      </c>
      <c r="BD1565" t="s">
        <v>91</v>
      </c>
      <c r="BF1565" s="1" t="s">
        <v>75</v>
      </c>
      <c r="BH1565">
        <v>0</v>
      </c>
      <c r="BI1565" s="1" t="s">
        <v>88</v>
      </c>
      <c r="BJ1565">
        <v>1</v>
      </c>
      <c r="BK1565" s="1" t="s">
        <v>89</v>
      </c>
      <c r="BL1565" t="s">
        <v>91</v>
      </c>
      <c r="BM1565" s="1" t="s">
        <v>109</v>
      </c>
      <c r="BN1565" s="1" t="s">
        <v>110</v>
      </c>
      <c r="BO1565" s="1" t="s">
        <v>91</v>
      </c>
      <c r="BP1565" s="1" t="s">
        <v>91</v>
      </c>
      <c r="BQ1565" t="s">
        <v>91</v>
      </c>
      <c r="BR1565" s="3">
        <v>44378</v>
      </c>
      <c r="BS1565" s="3">
        <v>44910</v>
      </c>
      <c r="BT1565" t="s">
        <v>91</v>
      </c>
      <c r="BU1565" t="s">
        <v>91</v>
      </c>
      <c r="BW1565" s="1" t="s">
        <v>8434</v>
      </c>
    </row>
    <row r="1566" spans="1:75" hidden="1" x14ac:dyDescent="0.35">
      <c r="A1566">
        <v>127630</v>
      </c>
      <c r="B1566" s="1" t="s">
        <v>75</v>
      </c>
      <c r="C1566">
        <v>80</v>
      </c>
      <c r="D1566">
        <v>11121004</v>
      </c>
      <c r="E1566">
        <v>121004</v>
      </c>
      <c r="F1566" s="1" t="s">
        <v>6867</v>
      </c>
      <c r="G1566" s="1" t="s">
        <v>8435</v>
      </c>
      <c r="H1566">
        <v>0</v>
      </c>
      <c r="I1566" s="1" t="s">
        <v>78</v>
      </c>
      <c r="J1566" s="1" t="s">
        <v>8436</v>
      </c>
      <c r="K1566" s="1" t="s">
        <v>8437</v>
      </c>
      <c r="L1566" t="s">
        <v>91</v>
      </c>
      <c r="M1566" t="s">
        <v>91</v>
      </c>
      <c r="N1566" s="1" t="s">
        <v>8438</v>
      </c>
      <c r="O1566" t="s">
        <v>91</v>
      </c>
      <c r="P1566" s="1" t="s">
        <v>260</v>
      </c>
      <c r="Q1566" s="1" t="s">
        <v>1205</v>
      </c>
      <c r="R1566" s="1" t="s">
        <v>820</v>
      </c>
      <c r="S1566">
        <v>1275</v>
      </c>
      <c r="T1566">
        <v>89130000</v>
      </c>
      <c r="U1566" s="1" t="s">
        <v>108</v>
      </c>
      <c r="V1566" s="1" t="s">
        <v>7659</v>
      </c>
      <c r="W1566" s="1" t="s">
        <v>87</v>
      </c>
      <c r="X1566">
        <v>47</v>
      </c>
      <c r="Y1566">
        <v>33338889</v>
      </c>
      <c r="Z1566" t="s">
        <v>91</v>
      </c>
      <c r="AA1566" t="s">
        <v>91</v>
      </c>
      <c r="AB1566" t="s">
        <v>91</v>
      </c>
      <c r="AC1566" t="s">
        <v>91</v>
      </c>
      <c r="AD1566" t="s">
        <v>91</v>
      </c>
      <c r="AE1566" t="s">
        <v>91</v>
      </c>
      <c r="AF1566" t="s">
        <v>91</v>
      </c>
      <c r="AG1566" s="1" t="s">
        <v>91</v>
      </c>
      <c r="AH1566" s="1" t="s">
        <v>91</v>
      </c>
      <c r="AI1566" t="s">
        <v>91</v>
      </c>
      <c r="AM1566" t="s">
        <v>91</v>
      </c>
      <c r="AN1566" t="s">
        <v>91</v>
      </c>
      <c r="AO1566" t="s">
        <v>91</v>
      </c>
      <c r="AP1566" t="s">
        <v>91</v>
      </c>
      <c r="AQ1566" s="1" t="s">
        <v>91</v>
      </c>
      <c r="AR1566" s="1" t="s">
        <v>91</v>
      </c>
      <c r="AS1566" s="1" t="s">
        <v>91</v>
      </c>
      <c r="AT1566" s="1" t="s">
        <v>91</v>
      </c>
      <c r="AU1566" s="1" t="s">
        <v>91</v>
      </c>
      <c r="AV1566" t="s">
        <v>91</v>
      </c>
      <c r="AW1566" t="s">
        <v>91</v>
      </c>
      <c r="AX1566" t="s">
        <v>91</v>
      </c>
      <c r="AY1566" t="s">
        <v>91</v>
      </c>
      <c r="AZ1566" t="s">
        <v>91</v>
      </c>
      <c r="BA1566" t="s">
        <v>91</v>
      </c>
      <c r="BB1566" s="2">
        <v>44111.380995370368</v>
      </c>
      <c r="BC1566" s="2"/>
      <c r="BD1566" t="s">
        <v>91</v>
      </c>
      <c r="BF1566" s="1" t="s">
        <v>75</v>
      </c>
      <c r="BI1566" s="1" t="s">
        <v>88</v>
      </c>
      <c r="BJ1566">
        <v>1</v>
      </c>
      <c r="BK1566" s="1" t="s">
        <v>89</v>
      </c>
      <c r="BL1566" t="s">
        <v>91</v>
      </c>
      <c r="BM1566" s="1" t="s">
        <v>109</v>
      </c>
      <c r="BN1566" s="1" t="s">
        <v>148</v>
      </c>
      <c r="BO1566" s="1" t="s">
        <v>165</v>
      </c>
      <c r="BP1566" s="1" t="s">
        <v>91</v>
      </c>
      <c r="BQ1566" t="s">
        <v>91</v>
      </c>
      <c r="BR1566" s="3">
        <v>44111</v>
      </c>
      <c r="BS1566" s="3"/>
      <c r="BT1566" t="s">
        <v>91</v>
      </c>
      <c r="BU1566" t="s">
        <v>91</v>
      </c>
      <c r="BV1566">
        <v>5</v>
      </c>
      <c r="BW1566" s="1" t="s">
        <v>149</v>
      </c>
    </row>
    <row r="1567" spans="1:75" hidden="1" x14ac:dyDescent="0.35">
      <c r="A1567">
        <v>127629</v>
      </c>
      <c r="B1567" s="1" t="s">
        <v>75</v>
      </c>
      <c r="C1567">
        <v>80</v>
      </c>
      <c r="D1567">
        <v>11121004</v>
      </c>
      <c r="E1567">
        <v>121004</v>
      </c>
      <c r="F1567" s="1" t="s">
        <v>6867</v>
      </c>
      <c r="G1567" s="1" t="s">
        <v>8439</v>
      </c>
      <c r="H1567">
        <v>0</v>
      </c>
      <c r="I1567" s="1" t="s">
        <v>78</v>
      </c>
      <c r="J1567" s="1" t="s">
        <v>8440</v>
      </c>
      <c r="K1567" s="1" t="s">
        <v>8441</v>
      </c>
      <c r="L1567" t="s">
        <v>91</v>
      </c>
      <c r="M1567" t="s">
        <v>91</v>
      </c>
      <c r="N1567" s="1" t="s">
        <v>8438</v>
      </c>
      <c r="O1567" t="s">
        <v>91</v>
      </c>
      <c r="P1567" s="1" t="s">
        <v>7606</v>
      </c>
      <c r="Q1567" s="1" t="s">
        <v>3578</v>
      </c>
      <c r="R1567" s="1" t="s">
        <v>7607</v>
      </c>
      <c r="S1567">
        <v>1275</v>
      </c>
      <c r="T1567">
        <v>89120000</v>
      </c>
      <c r="U1567" s="1" t="s">
        <v>108</v>
      </c>
      <c r="V1567" s="1" t="s">
        <v>7364</v>
      </c>
      <c r="W1567" s="1" t="s">
        <v>87</v>
      </c>
      <c r="X1567">
        <v>47</v>
      </c>
      <c r="Y1567">
        <v>33822141</v>
      </c>
      <c r="Z1567" t="s">
        <v>91</v>
      </c>
      <c r="AA1567" t="s">
        <v>91</v>
      </c>
      <c r="AB1567" t="s">
        <v>91</v>
      </c>
      <c r="AC1567" t="s">
        <v>91</v>
      </c>
      <c r="AD1567" t="s">
        <v>91</v>
      </c>
      <c r="AE1567" t="s">
        <v>91</v>
      </c>
      <c r="AF1567" t="s">
        <v>91</v>
      </c>
      <c r="AG1567" s="1" t="s">
        <v>146</v>
      </c>
      <c r="AH1567" s="1" t="s">
        <v>91</v>
      </c>
      <c r="AI1567" t="s">
        <v>91</v>
      </c>
      <c r="AM1567" t="s">
        <v>91</v>
      </c>
      <c r="AN1567" t="s">
        <v>91</v>
      </c>
      <c r="AO1567" t="s">
        <v>91</v>
      </c>
      <c r="AP1567" t="s">
        <v>91</v>
      </c>
      <c r="AQ1567" s="1" t="s">
        <v>147</v>
      </c>
      <c r="AR1567" s="1" t="s">
        <v>147</v>
      </c>
      <c r="AS1567" s="1" t="s">
        <v>147</v>
      </c>
      <c r="AT1567" s="1" t="s">
        <v>147</v>
      </c>
      <c r="AU1567" s="1" t="s">
        <v>147</v>
      </c>
      <c r="AV1567" t="s">
        <v>91</v>
      </c>
      <c r="AW1567" t="s">
        <v>91</v>
      </c>
      <c r="AX1567" t="s">
        <v>91</v>
      </c>
      <c r="AY1567" t="s">
        <v>91</v>
      </c>
      <c r="AZ1567" t="s">
        <v>91</v>
      </c>
      <c r="BA1567" t="s">
        <v>91</v>
      </c>
      <c r="BB1567" s="2">
        <v>44111.380995370368</v>
      </c>
      <c r="BC1567" s="2">
        <v>45126.641851851855</v>
      </c>
      <c r="BD1567" t="s">
        <v>91</v>
      </c>
      <c r="BF1567" s="1" t="s">
        <v>75</v>
      </c>
      <c r="BH1567">
        <v>0</v>
      </c>
      <c r="BI1567" s="1" t="s">
        <v>721</v>
      </c>
      <c r="BJ1567">
        <v>1</v>
      </c>
      <c r="BK1567" s="1" t="s">
        <v>89</v>
      </c>
      <c r="BL1567" t="s">
        <v>91</v>
      </c>
      <c r="BM1567" s="1" t="s">
        <v>109</v>
      </c>
      <c r="BN1567" s="1" t="s">
        <v>148</v>
      </c>
      <c r="BO1567" s="1" t="s">
        <v>111</v>
      </c>
      <c r="BP1567" s="1" t="s">
        <v>91</v>
      </c>
      <c r="BQ1567" t="s">
        <v>91</v>
      </c>
      <c r="BR1567" s="3">
        <v>44111</v>
      </c>
      <c r="BS1567" s="3">
        <v>45126</v>
      </c>
      <c r="BT1567" t="s">
        <v>91</v>
      </c>
      <c r="BU1567" t="s">
        <v>91</v>
      </c>
      <c r="BV1567">
        <v>6</v>
      </c>
      <c r="BW1567" s="1" t="s">
        <v>2106</v>
      </c>
    </row>
    <row r="1568" spans="1:75" hidden="1" x14ac:dyDescent="0.35">
      <c r="A1568">
        <v>144880</v>
      </c>
      <c r="B1568" s="1" t="s">
        <v>75</v>
      </c>
      <c r="C1568">
        <v>80</v>
      </c>
      <c r="D1568">
        <v>11121004</v>
      </c>
      <c r="E1568">
        <v>121004</v>
      </c>
      <c r="F1568" s="1" t="s">
        <v>6867</v>
      </c>
      <c r="G1568" s="1" t="s">
        <v>8442</v>
      </c>
      <c r="H1568">
        <v>0</v>
      </c>
      <c r="I1568" s="1" t="s">
        <v>78</v>
      </c>
      <c r="J1568" s="1" t="s">
        <v>8443</v>
      </c>
      <c r="K1568" s="1" t="s">
        <v>8444</v>
      </c>
      <c r="L1568" t="s">
        <v>91</v>
      </c>
      <c r="M1568" t="s">
        <v>91</v>
      </c>
      <c r="N1568" s="1" t="s">
        <v>8445</v>
      </c>
      <c r="O1568" t="s">
        <v>91</v>
      </c>
      <c r="P1568" s="1" t="s">
        <v>682</v>
      </c>
      <c r="Q1568" s="1" t="s">
        <v>7178</v>
      </c>
      <c r="R1568" s="1" t="s">
        <v>8446</v>
      </c>
      <c r="S1568">
        <v>1273</v>
      </c>
      <c r="T1568">
        <v>89010911</v>
      </c>
      <c r="U1568" s="1" t="s">
        <v>108</v>
      </c>
      <c r="V1568" s="1" t="s">
        <v>3571</v>
      </c>
      <c r="W1568" s="1" t="s">
        <v>87</v>
      </c>
      <c r="X1568">
        <v>47</v>
      </c>
      <c r="Y1568">
        <v>984494348</v>
      </c>
      <c r="Z1568" t="s">
        <v>91</v>
      </c>
      <c r="AA1568" t="s">
        <v>91</v>
      </c>
      <c r="AB1568" t="s">
        <v>91</v>
      </c>
      <c r="AC1568" t="s">
        <v>91</v>
      </c>
      <c r="AD1568" t="s">
        <v>91</v>
      </c>
      <c r="AE1568" t="s">
        <v>91</v>
      </c>
      <c r="AF1568" t="s">
        <v>91</v>
      </c>
      <c r="AG1568" s="1" t="s">
        <v>91</v>
      </c>
      <c r="AH1568" s="1" t="s">
        <v>91</v>
      </c>
      <c r="AI1568" t="s">
        <v>91</v>
      </c>
      <c r="AM1568" t="s">
        <v>91</v>
      </c>
      <c r="AN1568" t="s">
        <v>91</v>
      </c>
      <c r="AO1568" t="s">
        <v>91</v>
      </c>
      <c r="AP1568" t="s">
        <v>91</v>
      </c>
      <c r="AQ1568" s="1" t="s">
        <v>91</v>
      </c>
      <c r="AR1568" s="1" t="s">
        <v>91</v>
      </c>
      <c r="AS1568" s="1" t="s">
        <v>91</v>
      </c>
      <c r="AT1568" s="1" t="s">
        <v>91</v>
      </c>
      <c r="AU1568" s="1" t="s">
        <v>91</v>
      </c>
      <c r="AV1568" t="s">
        <v>91</v>
      </c>
      <c r="AW1568" t="s">
        <v>91</v>
      </c>
      <c r="AX1568" t="s">
        <v>91</v>
      </c>
      <c r="AY1568" t="s">
        <v>91</v>
      </c>
      <c r="AZ1568" t="s">
        <v>91</v>
      </c>
      <c r="BA1568" t="s">
        <v>91</v>
      </c>
      <c r="BB1568" s="2">
        <v>44558.718495370369</v>
      </c>
      <c r="BC1568" s="2"/>
      <c r="BD1568" t="s">
        <v>91</v>
      </c>
      <c r="BF1568" s="1" t="s">
        <v>75</v>
      </c>
      <c r="BI1568" s="1" t="s">
        <v>88</v>
      </c>
      <c r="BJ1568">
        <v>1</v>
      </c>
      <c r="BK1568" s="1" t="s">
        <v>89</v>
      </c>
      <c r="BL1568" t="s">
        <v>91</v>
      </c>
      <c r="BM1568" s="1" t="s">
        <v>91</v>
      </c>
      <c r="BN1568" s="1" t="s">
        <v>91</v>
      </c>
      <c r="BO1568" s="1" t="s">
        <v>128</v>
      </c>
      <c r="BP1568" s="1" t="s">
        <v>91</v>
      </c>
      <c r="BQ1568" t="s">
        <v>91</v>
      </c>
      <c r="BR1568" s="3">
        <v>44558</v>
      </c>
      <c r="BS1568" s="3"/>
      <c r="BT1568" t="s">
        <v>91</v>
      </c>
      <c r="BU1568" t="s">
        <v>91</v>
      </c>
      <c r="BW1568" s="1" t="s">
        <v>2970</v>
      </c>
    </row>
    <row r="1569" spans="1:75" hidden="1" x14ac:dyDescent="0.35">
      <c r="A1569">
        <v>137787</v>
      </c>
      <c r="B1569" s="1" t="s">
        <v>75</v>
      </c>
      <c r="C1569">
        <v>80</v>
      </c>
      <c r="D1569">
        <v>11121004</v>
      </c>
      <c r="E1569">
        <v>121004</v>
      </c>
      <c r="F1569" s="1" t="s">
        <v>6867</v>
      </c>
      <c r="G1569" s="1" t="s">
        <v>8447</v>
      </c>
      <c r="H1569">
        <v>0</v>
      </c>
      <c r="I1569" s="1" t="s">
        <v>78</v>
      </c>
      <c r="J1569" s="1" t="s">
        <v>8448</v>
      </c>
      <c r="K1569" s="1" t="s">
        <v>8449</v>
      </c>
      <c r="L1569" t="s">
        <v>91</v>
      </c>
      <c r="M1569" t="s">
        <v>91</v>
      </c>
      <c r="N1569" s="1" t="s">
        <v>8450</v>
      </c>
      <c r="O1569" t="s">
        <v>91</v>
      </c>
      <c r="P1569" s="1" t="s">
        <v>8451</v>
      </c>
      <c r="Q1569" s="1" t="s">
        <v>1452</v>
      </c>
      <c r="R1569" s="1" t="s">
        <v>254</v>
      </c>
      <c r="S1569">
        <v>1273</v>
      </c>
      <c r="T1569">
        <v>89037001</v>
      </c>
      <c r="U1569" s="1" t="s">
        <v>8452</v>
      </c>
      <c r="V1569" s="1" t="s">
        <v>3571</v>
      </c>
      <c r="W1569" s="1" t="s">
        <v>87</v>
      </c>
      <c r="X1569">
        <v>47</v>
      </c>
      <c r="Y1569">
        <v>32373235</v>
      </c>
      <c r="Z1569" t="s">
        <v>91</v>
      </c>
      <c r="AA1569" t="s">
        <v>91</v>
      </c>
      <c r="AB1569" t="s">
        <v>91</v>
      </c>
      <c r="AC1569" t="s">
        <v>91</v>
      </c>
      <c r="AD1569" t="s">
        <v>91</v>
      </c>
      <c r="AE1569" t="s">
        <v>91</v>
      </c>
      <c r="AF1569" t="s">
        <v>91</v>
      </c>
      <c r="AG1569" s="1" t="s">
        <v>146</v>
      </c>
      <c r="AH1569" s="1" t="s">
        <v>91</v>
      </c>
      <c r="AI1569" t="s">
        <v>91</v>
      </c>
      <c r="AM1569" t="s">
        <v>91</v>
      </c>
      <c r="AN1569" t="s">
        <v>91</v>
      </c>
      <c r="AO1569" t="s">
        <v>91</v>
      </c>
      <c r="AP1569" t="s">
        <v>91</v>
      </c>
      <c r="AQ1569" s="1" t="s">
        <v>147</v>
      </c>
      <c r="AR1569" s="1" t="s">
        <v>147</v>
      </c>
      <c r="AS1569" s="1" t="s">
        <v>147</v>
      </c>
      <c r="AT1569" s="1" t="s">
        <v>147</v>
      </c>
      <c r="AU1569" s="1" t="s">
        <v>147</v>
      </c>
      <c r="AV1569" t="s">
        <v>91</v>
      </c>
      <c r="AW1569" t="s">
        <v>91</v>
      </c>
      <c r="AX1569" t="s">
        <v>91</v>
      </c>
      <c r="AY1569" t="s">
        <v>91</v>
      </c>
      <c r="AZ1569" t="s">
        <v>91</v>
      </c>
      <c r="BA1569" t="s">
        <v>91</v>
      </c>
      <c r="BB1569" s="2">
        <v>44378.578518518516</v>
      </c>
      <c r="BC1569" s="2">
        <v>44655.606469907405</v>
      </c>
      <c r="BD1569" t="s">
        <v>91</v>
      </c>
      <c r="BF1569" s="1" t="s">
        <v>75</v>
      </c>
      <c r="BH1569">
        <v>0</v>
      </c>
      <c r="BI1569" s="1" t="s">
        <v>88</v>
      </c>
      <c r="BJ1569">
        <v>1</v>
      </c>
      <c r="BK1569" s="1" t="s">
        <v>89</v>
      </c>
      <c r="BL1569" t="s">
        <v>91</v>
      </c>
      <c r="BM1569" s="1" t="s">
        <v>109</v>
      </c>
      <c r="BN1569" s="1" t="s">
        <v>148</v>
      </c>
      <c r="BO1569" s="1" t="s">
        <v>180</v>
      </c>
      <c r="BP1569" s="1" t="s">
        <v>91</v>
      </c>
      <c r="BQ1569" t="s">
        <v>91</v>
      </c>
      <c r="BR1569" s="3">
        <v>44378</v>
      </c>
      <c r="BS1569" s="3">
        <v>44655</v>
      </c>
      <c r="BT1569" t="s">
        <v>91</v>
      </c>
      <c r="BU1569" t="s">
        <v>91</v>
      </c>
      <c r="BW1569" s="1" t="s">
        <v>1254</v>
      </c>
    </row>
    <row r="1570" spans="1:75" hidden="1" x14ac:dyDescent="0.35">
      <c r="A1570">
        <v>137789</v>
      </c>
      <c r="B1570" s="1" t="s">
        <v>75</v>
      </c>
      <c r="C1570">
        <v>80</v>
      </c>
      <c r="D1570">
        <v>11121004</v>
      </c>
      <c r="E1570">
        <v>121004</v>
      </c>
      <c r="F1570" s="1" t="s">
        <v>6867</v>
      </c>
      <c r="G1570" s="1" t="s">
        <v>8453</v>
      </c>
      <c r="H1570">
        <v>0</v>
      </c>
      <c r="I1570" s="1" t="s">
        <v>78</v>
      </c>
      <c r="J1570" s="1" t="s">
        <v>8454</v>
      </c>
      <c r="K1570" s="1" t="s">
        <v>8455</v>
      </c>
      <c r="L1570" t="s">
        <v>91</v>
      </c>
      <c r="M1570" t="s">
        <v>91</v>
      </c>
      <c r="N1570" s="1" t="s">
        <v>8456</v>
      </c>
      <c r="O1570" t="s">
        <v>91</v>
      </c>
      <c r="P1570" s="1" t="s">
        <v>8457</v>
      </c>
      <c r="Q1570" s="1" t="s">
        <v>478</v>
      </c>
      <c r="R1570" s="1" t="s">
        <v>5916</v>
      </c>
      <c r="S1570">
        <v>1275</v>
      </c>
      <c r="T1570">
        <v>89150000</v>
      </c>
      <c r="U1570" s="1" t="s">
        <v>108</v>
      </c>
      <c r="V1570" s="1" t="s">
        <v>8274</v>
      </c>
      <c r="W1570" s="1" t="s">
        <v>87</v>
      </c>
      <c r="X1570">
        <v>47</v>
      </c>
      <c r="Y1570">
        <v>33523297</v>
      </c>
      <c r="Z1570" t="s">
        <v>91</v>
      </c>
      <c r="AA1570" t="s">
        <v>91</v>
      </c>
      <c r="AB1570" t="s">
        <v>91</v>
      </c>
      <c r="AC1570" t="s">
        <v>91</v>
      </c>
      <c r="AD1570" t="s">
        <v>91</v>
      </c>
      <c r="AE1570" t="s">
        <v>91</v>
      </c>
      <c r="AF1570" t="s">
        <v>91</v>
      </c>
      <c r="AG1570" s="1" t="s">
        <v>146</v>
      </c>
      <c r="AH1570" s="1" t="s">
        <v>91</v>
      </c>
      <c r="AI1570" t="s">
        <v>91</v>
      </c>
      <c r="AM1570" t="s">
        <v>91</v>
      </c>
      <c r="AN1570" t="s">
        <v>91</v>
      </c>
      <c r="AO1570" t="s">
        <v>91</v>
      </c>
      <c r="AP1570" t="s">
        <v>91</v>
      </c>
      <c r="AQ1570" s="1" t="s">
        <v>147</v>
      </c>
      <c r="AR1570" s="1" t="s">
        <v>147</v>
      </c>
      <c r="AS1570" s="1" t="s">
        <v>147</v>
      </c>
      <c r="AT1570" s="1" t="s">
        <v>147</v>
      </c>
      <c r="AU1570" s="1" t="s">
        <v>147</v>
      </c>
      <c r="AV1570" t="s">
        <v>91</v>
      </c>
      <c r="AW1570" t="s">
        <v>91</v>
      </c>
      <c r="AX1570" t="s">
        <v>91</v>
      </c>
      <c r="AY1570" t="s">
        <v>91</v>
      </c>
      <c r="AZ1570" t="s">
        <v>91</v>
      </c>
      <c r="BA1570" t="s">
        <v>91</v>
      </c>
      <c r="BB1570" s="2">
        <v>44378.578518518516</v>
      </c>
      <c r="BC1570" s="2">
        <v>44641.649270833332</v>
      </c>
      <c r="BD1570" t="s">
        <v>91</v>
      </c>
      <c r="BF1570" s="1" t="s">
        <v>75</v>
      </c>
      <c r="BH1570">
        <v>0</v>
      </c>
      <c r="BI1570" s="1" t="s">
        <v>88</v>
      </c>
      <c r="BJ1570">
        <v>1</v>
      </c>
      <c r="BK1570" s="1" t="s">
        <v>89</v>
      </c>
      <c r="BL1570" t="s">
        <v>91</v>
      </c>
      <c r="BM1570" s="1" t="s">
        <v>329</v>
      </c>
      <c r="BN1570" s="1" t="s">
        <v>110</v>
      </c>
      <c r="BO1570" s="1" t="s">
        <v>165</v>
      </c>
      <c r="BP1570" s="1" t="s">
        <v>91</v>
      </c>
      <c r="BQ1570" t="s">
        <v>91</v>
      </c>
      <c r="BR1570" s="3">
        <v>44378</v>
      </c>
      <c r="BS1570" s="3">
        <v>44641</v>
      </c>
      <c r="BT1570" t="s">
        <v>91</v>
      </c>
      <c r="BU1570" t="s">
        <v>91</v>
      </c>
      <c r="BW1570" s="1" t="s">
        <v>601</v>
      </c>
    </row>
    <row r="1571" spans="1:75" hidden="1" x14ac:dyDescent="0.35">
      <c r="A1571">
        <v>137790</v>
      </c>
      <c r="B1571" s="1" t="s">
        <v>75</v>
      </c>
      <c r="C1571">
        <v>80</v>
      </c>
      <c r="D1571">
        <v>11121004</v>
      </c>
      <c r="E1571">
        <v>121004</v>
      </c>
      <c r="F1571" s="1" t="s">
        <v>6867</v>
      </c>
      <c r="G1571" s="1" t="s">
        <v>8458</v>
      </c>
      <c r="H1571">
        <v>0</v>
      </c>
      <c r="I1571" s="1" t="s">
        <v>78</v>
      </c>
      <c r="J1571" s="1" t="s">
        <v>8459</v>
      </c>
      <c r="K1571" s="1" t="s">
        <v>8460</v>
      </c>
      <c r="L1571" t="s">
        <v>91</v>
      </c>
      <c r="M1571" t="s">
        <v>91</v>
      </c>
      <c r="N1571" s="1" t="s">
        <v>8461</v>
      </c>
      <c r="O1571" t="s">
        <v>91</v>
      </c>
      <c r="P1571" s="1" t="s">
        <v>7669</v>
      </c>
      <c r="Q1571" s="1" t="s">
        <v>463</v>
      </c>
      <c r="R1571" s="1" t="s">
        <v>8462</v>
      </c>
      <c r="S1571">
        <v>1263</v>
      </c>
      <c r="T1571">
        <v>88360000</v>
      </c>
      <c r="U1571" s="1" t="s">
        <v>108</v>
      </c>
      <c r="V1571" s="1" t="s">
        <v>8463</v>
      </c>
      <c r="W1571" s="1" t="s">
        <v>87</v>
      </c>
      <c r="X1571">
        <v>47</v>
      </c>
      <c r="Y1571">
        <v>33541035</v>
      </c>
      <c r="Z1571" t="s">
        <v>91</v>
      </c>
      <c r="AA1571" t="s">
        <v>91</v>
      </c>
      <c r="AB1571" t="s">
        <v>91</v>
      </c>
      <c r="AC1571" t="s">
        <v>91</v>
      </c>
      <c r="AD1571" t="s">
        <v>91</v>
      </c>
      <c r="AE1571" t="s">
        <v>91</v>
      </c>
      <c r="AF1571" t="s">
        <v>91</v>
      </c>
      <c r="AG1571" s="1" t="s">
        <v>146</v>
      </c>
      <c r="AH1571" s="1" t="s">
        <v>91</v>
      </c>
      <c r="AI1571" t="s">
        <v>91</v>
      </c>
      <c r="AM1571" t="s">
        <v>91</v>
      </c>
      <c r="AN1571" t="s">
        <v>91</v>
      </c>
      <c r="AO1571" t="s">
        <v>91</v>
      </c>
      <c r="AP1571" t="s">
        <v>91</v>
      </c>
      <c r="AQ1571" s="1" t="s">
        <v>147</v>
      </c>
      <c r="AR1571" s="1" t="s">
        <v>147</v>
      </c>
      <c r="AS1571" s="1" t="s">
        <v>147</v>
      </c>
      <c r="AT1571" s="1" t="s">
        <v>147</v>
      </c>
      <c r="AU1571" s="1" t="s">
        <v>147</v>
      </c>
      <c r="AV1571" t="s">
        <v>91</v>
      </c>
      <c r="AW1571" t="s">
        <v>91</v>
      </c>
      <c r="AX1571" t="s">
        <v>91</v>
      </c>
      <c r="AY1571" t="s">
        <v>91</v>
      </c>
      <c r="AZ1571" t="s">
        <v>91</v>
      </c>
      <c r="BA1571" t="s">
        <v>91</v>
      </c>
      <c r="BB1571" s="2">
        <v>44378.578518518516</v>
      </c>
      <c r="BC1571" s="2">
        <v>44662.725937499999</v>
      </c>
      <c r="BD1571" t="s">
        <v>91</v>
      </c>
      <c r="BF1571" s="1" t="s">
        <v>75</v>
      </c>
      <c r="BH1571">
        <v>0</v>
      </c>
      <c r="BI1571" s="1" t="s">
        <v>88</v>
      </c>
      <c r="BJ1571">
        <v>1</v>
      </c>
      <c r="BK1571" s="1" t="s">
        <v>89</v>
      </c>
      <c r="BL1571" t="s">
        <v>91</v>
      </c>
      <c r="BM1571" s="1" t="s">
        <v>109</v>
      </c>
      <c r="BN1571" s="1" t="s">
        <v>110</v>
      </c>
      <c r="BO1571" s="1" t="s">
        <v>128</v>
      </c>
      <c r="BP1571" s="1" t="s">
        <v>91</v>
      </c>
      <c r="BQ1571" t="s">
        <v>91</v>
      </c>
      <c r="BR1571" s="3">
        <v>44378</v>
      </c>
      <c r="BS1571" s="3">
        <v>44662</v>
      </c>
      <c r="BT1571" t="s">
        <v>91</v>
      </c>
      <c r="BU1571" t="s">
        <v>91</v>
      </c>
      <c r="BW1571" s="1" t="s">
        <v>589</v>
      </c>
    </row>
    <row r="1572" spans="1:75" hidden="1" x14ac:dyDescent="0.35">
      <c r="A1572">
        <v>157764</v>
      </c>
      <c r="B1572" s="1" t="s">
        <v>75</v>
      </c>
      <c r="C1572">
        <v>80</v>
      </c>
      <c r="D1572">
        <v>11121004</v>
      </c>
      <c r="E1572">
        <v>121004</v>
      </c>
      <c r="F1572" s="1" t="s">
        <v>6867</v>
      </c>
      <c r="G1572" s="1" t="s">
        <v>8464</v>
      </c>
      <c r="H1572">
        <v>0</v>
      </c>
      <c r="I1572" s="1" t="s">
        <v>78</v>
      </c>
      <c r="J1572" s="1" t="s">
        <v>8465</v>
      </c>
      <c r="K1572" s="1" t="s">
        <v>8466</v>
      </c>
      <c r="L1572" t="s">
        <v>91</v>
      </c>
      <c r="M1572" t="s">
        <v>91</v>
      </c>
      <c r="N1572" s="1" t="s">
        <v>8467</v>
      </c>
      <c r="O1572" t="s">
        <v>91</v>
      </c>
      <c r="P1572" s="1" t="s">
        <v>8468</v>
      </c>
      <c r="Q1572" s="1" t="s">
        <v>8469</v>
      </c>
      <c r="R1572" s="1" t="s">
        <v>236</v>
      </c>
      <c r="S1572">
        <v>1263</v>
      </c>
      <c r="T1572">
        <v>88385000</v>
      </c>
      <c r="U1572" s="1" t="s">
        <v>108</v>
      </c>
      <c r="V1572" s="1" t="s">
        <v>7872</v>
      </c>
      <c r="W1572" s="1" t="s">
        <v>87</v>
      </c>
      <c r="X1572">
        <v>11</v>
      </c>
      <c r="Y1572">
        <v>981243513</v>
      </c>
      <c r="Z1572" t="s">
        <v>91</v>
      </c>
      <c r="AA1572" t="s">
        <v>91</v>
      </c>
      <c r="AB1572" t="s">
        <v>91</v>
      </c>
      <c r="AC1572" t="s">
        <v>91</v>
      </c>
      <c r="AD1572" t="s">
        <v>91</v>
      </c>
      <c r="AE1572" t="s">
        <v>91</v>
      </c>
      <c r="AF1572" t="s">
        <v>91</v>
      </c>
      <c r="AG1572" s="1" t="s">
        <v>91</v>
      </c>
      <c r="AH1572" s="1" t="s">
        <v>91</v>
      </c>
      <c r="AI1572" t="s">
        <v>91</v>
      </c>
      <c r="AM1572" t="s">
        <v>91</v>
      </c>
      <c r="AN1572" t="s">
        <v>91</v>
      </c>
      <c r="AO1572" t="s">
        <v>91</v>
      </c>
      <c r="AP1572" t="s">
        <v>91</v>
      </c>
      <c r="AQ1572" s="1" t="s">
        <v>91</v>
      </c>
      <c r="AR1572" s="1" t="s">
        <v>91</v>
      </c>
      <c r="AS1572" s="1" t="s">
        <v>91</v>
      </c>
      <c r="AT1572" s="1" t="s">
        <v>91</v>
      </c>
      <c r="AU1572" s="1" t="s">
        <v>91</v>
      </c>
      <c r="AV1572" t="s">
        <v>91</v>
      </c>
      <c r="AW1572" t="s">
        <v>91</v>
      </c>
      <c r="AX1572" t="s">
        <v>91</v>
      </c>
      <c r="AY1572" t="s">
        <v>91</v>
      </c>
      <c r="AZ1572" t="s">
        <v>91</v>
      </c>
      <c r="BA1572" t="s">
        <v>91</v>
      </c>
      <c r="BB1572" s="2">
        <v>45118.101759259262</v>
      </c>
      <c r="BC1572" s="2"/>
      <c r="BD1572" t="s">
        <v>91</v>
      </c>
      <c r="BF1572" s="1" t="s">
        <v>75</v>
      </c>
      <c r="BI1572" s="1" t="s">
        <v>88</v>
      </c>
      <c r="BJ1572">
        <v>1</v>
      </c>
      <c r="BK1572" s="1" t="s">
        <v>89</v>
      </c>
      <c r="BL1572" t="s">
        <v>91</v>
      </c>
      <c r="BM1572" s="1" t="s">
        <v>91</v>
      </c>
      <c r="BN1572" s="1" t="s">
        <v>91</v>
      </c>
      <c r="BO1572" s="1" t="s">
        <v>91</v>
      </c>
      <c r="BP1572" s="1" t="s">
        <v>91</v>
      </c>
      <c r="BQ1572" t="s">
        <v>91</v>
      </c>
      <c r="BR1572" s="3">
        <v>45118</v>
      </c>
      <c r="BS1572" s="3"/>
      <c r="BT1572" t="s">
        <v>91</v>
      </c>
      <c r="BU1572" t="s">
        <v>91</v>
      </c>
      <c r="BW1572" s="1" t="s">
        <v>540</v>
      </c>
    </row>
    <row r="1573" spans="1:75" hidden="1" x14ac:dyDescent="0.35">
      <c r="A1573">
        <v>157053</v>
      </c>
      <c r="B1573" s="1" t="s">
        <v>75</v>
      </c>
      <c r="C1573">
        <v>80</v>
      </c>
      <c r="D1573">
        <v>11121004</v>
      </c>
      <c r="E1573">
        <v>121004</v>
      </c>
      <c r="F1573" s="1" t="s">
        <v>6867</v>
      </c>
      <c r="G1573" s="1" t="s">
        <v>8470</v>
      </c>
      <c r="H1573">
        <v>0</v>
      </c>
      <c r="I1573" s="1" t="s">
        <v>78</v>
      </c>
      <c r="J1573" s="1" t="s">
        <v>8471</v>
      </c>
      <c r="K1573" s="1" t="s">
        <v>8472</v>
      </c>
      <c r="L1573" t="s">
        <v>91</v>
      </c>
      <c r="M1573" t="s">
        <v>91</v>
      </c>
      <c r="N1573" s="1" t="s">
        <v>8473</v>
      </c>
      <c r="O1573" t="s">
        <v>91</v>
      </c>
      <c r="P1573" s="1" t="s">
        <v>593</v>
      </c>
      <c r="Q1573" s="1" t="s">
        <v>8474</v>
      </c>
      <c r="R1573" s="1" t="s">
        <v>173</v>
      </c>
      <c r="T1573">
        <v>89148000</v>
      </c>
      <c r="U1573" s="1" t="s">
        <v>108</v>
      </c>
      <c r="V1573" s="1" t="s">
        <v>8475</v>
      </c>
      <c r="W1573" s="1" t="s">
        <v>87</v>
      </c>
      <c r="X1573">
        <v>47</v>
      </c>
      <c r="Y1573">
        <v>996998365</v>
      </c>
      <c r="Z1573" t="s">
        <v>91</v>
      </c>
      <c r="AA1573" t="s">
        <v>91</v>
      </c>
      <c r="AB1573" t="s">
        <v>91</v>
      </c>
      <c r="AC1573" t="s">
        <v>91</v>
      </c>
      <c r="AD1573" t="s">
        <v>91</v>
      </c>
      <c r="AE1573" t="s">
        <v>91</v>
      </c>
      <c r="AF1573" t="s">
        <v>91</v>
      </c>
      <c r="AG1573" s="1" t="s">
        <v>91</v>
      </c>
      <c r="AH1573" s="1" t="s">
        <v>91</v>
      </c>
      <c r="AI1573" t="s">
        <v>91</v>
      </c>
      <c r="AM1573" t="s">
        <v>91</v>
      </c>
      <c r="AN1573" t="s">
        <v>91</v>
      </c>
      <c r="AO1573" t="s">
        <v>91</v>
      </c>
      <c r="AP1573" t="s">
        <v>91</v>
      </c>
      <c r="AQ1573" s="1" t="s">
        <v>91</v>
      </c>
      <c r="AR1573" s="1" t="s">
        <v>91</v>
      </c>
      <c r="AS1573" s="1" t="s">
        <v>91</v>
      </c>
      <c r="AT1573" s="1" t="s">
        <v>91</v>
      </c>
      <c r="AU1573" s="1" t="s">
        <v>91</v>
      </c>
      <c r="AV1573" t="s">
        <v>91</v>
      </c>
      <c r="AW1573" t="s">
        <v>91</v>
      </c>
      <c r="AX1573" t="s">
        <v>91</v>
      </c>
      <c r="AY1573" t="s">
        <v>91</v>
      </c>
      <c r="AZ1573" t="s">
        <v>91</v>
      </c>
      <c r="BA1573" t="s">
        <v>91</v>
      </c>
      <c r="BB1573" s="2">
        <v>45113.505416666667</v>
      </c>
      <c r="BC1573" s="2"/>
      <c r="BD1573" t="s">
        <v>91</v>
      </c>
      <c r="BF1573" s="1" t="s">
        <v>75</v>
      </c>
      <c r="BI1573" s="1" t="s">
        <v>88</v>
      </c>
      <c r="BJ1573">
        <v>1</v>
      </c>
      <c r="BK1573" s="1" t="s">
        <v>89</v>
      </c>
      <c r="BL1573" t="s">
        <v>91</v>
      </c>
      <c r="BM1573" s="1" t="s">
        <v>91</v>
      </c>
      <c r="BN1573" s="1" t="s">
        <v>91</v>
      </c>
      <c r="BO1573" s="1" t="s">
        <v>91</v>
      </c>
      <c r="BP1573" s="1" t="s">
        <v>91</v>
      </c>
      <c r="BQ1573" t="s">
        <v>91</v>
      </c>
      <c r="BR1573" s="3">
        <v>45113</v>
      </c>
      <c r="BS1573" s="3"/>
      <c r="BT1573" t="s">
        <v>91</v>
      </c>
      <c r="BU1573" t="s">
        <v>91</v>
      </c>
      <c r="BW1573" s="1" t="s">
        <v>228</v>
      </c>
    </row>
    <row r="1574" spans="1:75" hidden="1" x14ac:dyDescent="0.35">
      <c r="A1574">
        <v>137791</v>
      </c>
      <c r="B1574" s="1" t="s">
        <v>75</v>
      </c>
      <c r="C1574">
        <v>80</v>
      </c>
      <c r="D1574">
        <v>11121004</v>
      </c>
      <c r="E1574">
        <v>121004</v>
      </c>
      <c r="F1574" s="1" t="s">
        <v>6867</v>
      </c>
      <c r="G1574" s="1" t="s">
        <v>8476</v>
      </c>
      <c r="H1574">
        <v>0</v>
      </c>
      <c r="I1574" s="1" t="s">
        <v>78</v>
      </c>
      <c r="J1574" s="1" t="s">
        <v>8477</v>
      </c>
      <c r="K1574" s="1" t="s">
        <v>8478</v>
      </c>
      <c r="L1574" t="s">
        <v>91</v>
      </c>
      <c r="M1574" t="s">
        <v>91</v>
      </c>
      <c r="N1574" s="1" t="s">
        <v>8479</v>
      </c>
      <c r="O1574" t="s">
        <v>91</v>
      </c>
      <c r="P1574" s="1" t="s">
        <v>8480</v>
      </c>
      <c r="Q1574" s="1" t="s">
        <v>8481</v>
      </c>
      <c r="R1574" s="1" t="s">
        <v>91</v>
      </c>
      <c r="S1574">
        <v>1273</v>
      </c>
      <c r="T1574">
        <v>89030000</v>
      </c>
      <c r="U1574" s="1" t="s">
        <v>8482</v>
      </c>
      <c r="V1574" s="1" t="s">
        <v>3571</v>
      </c>
      <c r="W1574" s="1" t="s">
        <v>87</v>
      </c>
      <c r="X1574">
        <v>47</v>
      </c>
      <c r="Y1574">
        <v>33231695</v>
      </c>
      <c r="Z1574" t="s">
        <v>91</v>
      </c>
      <c r="AA1574" t="s">
        <v>91</v>
      </c>
      <c r="AB1574" t="s">
        <v>91</v>
      </c>
      <c r="AC1574" t="s">
        <v>91</v>
      </c>
      <c r="AD1574" t="s">
        <v>91</v>
      </c>
      <c r="AE1574" t="s">
        <v>91</v>
      </c>
      <c r="AF1574" t="s">
        <v>91</v>
      </c>
      <c r="AG1574" s="1" t="s">
        <v>146</v>
      </c>
      <c r="AH1574" s="1" t="s">
        <v>91</v>
      </c>
      <c r="AI1574" t="s">
        <v>91</v>
      </c>
      <c r="AM1574" t="s">
        <v>91</v>
      </c>
      <c r="AN1574" t="s">
        <v>91</v>
      </c>
      <c r="AO1574" t="s">
        <v>91</v>
      </c>
      <c r="AP1574" t="s">
        <v>91</v>
      </c>
      <c r="AQ1574" s="1" t="s">
        <v>147</v>
      </c>
      <c r="AR1574" s="1" t="s">
        <v>147</v>
      </c>
      <c r="AS1574" s="1" t="s">
        <v>147</v>
      </c>
      <c r="AT1574" s="1" t="s">
        <v>147</v>
      </c>
      <c r="AU1574" s="1" t="s">
        <v>147</v>
      </c>
      <c r="AV1574" t="s">
        <v>91</v>
      </c>
      <c r="AW1574" t="s">
        <v>91</v>
      </c>
      <c r="AX1574" t="s">
        <v>91</v>
      </c>
      <c r="AY1574" t="s">
        <v>91</v>
      </c>
      <c r="AZ1574" t="s">
        <v>91</v>
      </c>
      <c r="BA1574" t="s">
        <v>91</v>
      </c>
      <c r="BB1574" s="2">
        <v>44378.578518518516</v>
      </c>
      <c r="BC1574" s="2">
        <v>44635.372199074074</v>
      </c>
      <c r="BD1574" t="s">
        <v>91</v>
      </c>
      <c r="BF1574" s="1" t="s">
        <v>75</v>
      </c>
      <c r="BH1574">
        <v>0</v>
      </c>
      <c r="BI1574" s="1" t="s">
        <v>88</v>
      </c>
      <c r="BJ1574">
        <v>1</v>
      </c>
      <c r="BK1574" s="1" t="s">
        <v>89</v>
      </c>
      <c r="BL1574" t="s">
        <v>91</v>
      </c>
      <c r="BM1574" s="1" t="s">
        <v>164</v>
      </c>
      <c r="BN1574" s="1" t="s">
        <v>110</v>
      </c>
      <c r="BO1574" s="1" t="s">
        <v>165</v>
      </c>
      <c r="BP1574" s="1" t="s">
        <v>91</v>
      </c>
      <c r="BQ1574" t="s">
        <v>91</v>
      </c>
      <c r="BR1574" s="3">
        <v>44378</v>
      </c>
      <c r="BS1574" s="3">
        <v>44635</v>
      </c>
      <c r="BT1574" t="s">
        <v>91</v>
      </c>
      <c r="BU1574" t="s">
        <v>91</v>
      </c>
      <c r="BW1574" s="1" t="s">
        <v>2774</v>
      </c>
    </row>
    <row r="1575" spans="1:75" hidden="1" x14ac:dyDescent="0.35">
      <c r="A1575">
        <v>137792</v>
      </c>
      <c r="B1575" s="1" t="s">
        <v>75</v>
      </c>
      <c r="C1575">
        <v>80</v>
      </c>
      <c r="D1575">
        <v>11121004</v>
      </c>
      <c r="E1575">
        <v>121004</v>
      </c>
      <c r="F1575" s="1" t="s">
        <v>6867</v>
      </c>
      <c r="G1575" s="1" t="s">
        <v>8483</v>
      </c>
      <c r="H1575">
        <v>0</v>
      </c>
      <c r="I1575" s="1" t="s">
        <v>78</v>
      </c>
      <c r="J1575" s="1" t="s">
        <v>8484</v>
      </c>
      <c r="K1575" s="1" t="s">
        <v>8485</v>
      </c>
      <c r="L1575" t="s">
        <v>91</v>
      </c>
      <c r="M1575" t="s">
        <v>91</v>
      </c>
      <c r="N1575" s="1" t="s">
        <v>8486</v>
      </c>
      <c r="O1575" t="s">
        <v>91</v>
      </c>
      <c r="P1575" s="1" t="s">
        <v>611</v>
      </c>
      <c r="Q1575" s="1" t="s">
        <v>8202</v>
      </c>
      <c r="R1575" s="1" t="s">
        <v>91</v>
      </c>
      <c r="S1575">
        <v>1271</v>
      </c>
      <c r="T1575">
        <v>89010001</v>
      </c>
      <c r="U1575" s="1" t="s">
        <v>108</v>
      </c>
      <c r="V1575" s="1" t="s">
        <v>3571</v>
      </c>
      <c r="W1575" s="1" t="s">
        <v>87</v>
      </c>
      <c r="X1575">
        <v>47</v>
      </c>
      <c r="Y1575">
        <v>33223768</v>
      </c>
      <c r="Z1575" t="s">
        <v>91</v>
      </c>
      <c r="AA1575" t="s">
        <v>91</v>
      </c>
      <c r="AB1575" t="s">
        <v>91</v>
      </c>
      <c r="AC1575" t="s">
        <v>91</v>
      </c>
      <c r="AD1575" t="s">
        <v>91</v>
      </c>
      <c r="AE1575" t="s">
        <v>91</v>
      </c>
      <c r="AF1575" t="s">
        <v>91</v>
      </c>
      <c r="AG1575" s="1" t="s">
        <v>146</v>
      </c>
      <c r="AH1575" s="1" t="s">
        <v>91</v>
      </c>
      <c r="AI1575" t="s">
        <v>91</v>
      </c>
      <c r="AM1575" t="s">
        <v>91</v>
      </c>
      <c r="AN1575" t="s">
        <v>91</v>
      </c>
      <c r="AO1575" t="s">
        <v>91</v>
      </c>
      <c r="AP1575" t="s">
        <v>91</v>
      </c>
      <c r="AQ1575" s="1" t="s">
        <v>147</v>
      </c>
      <c r="AR1575" s="1" t="s">
        <v>147</v>
      </c>
      <c r="AS1575" s="1" t="s">
        <v>147</v>
      </c>
      <c r="AT1575" s="1" t="s">
        <v>147</v>
      </c>
      <c r="AU1575" s="1" t="s">
        <v>147</v>
      </c>
      <c r="AV1575" t="s">
        <v>91</v>
      </c>
      <c r="AW1575" t="s">
        <v>91</v>
      </c>
      <c r="AX1575" t="s">
        <v>91</v>
      </c>
      <c r="AY1575" t="s">
        <v>91</v>
      </c>
      <c r="AZ1575" t="s">
        <v>91</v>
      </c>
      <c r="BA1575" t="s">
        <v>91</v>
      </c>
      <c r="BB1575" s="2">
        <v>44378.578518518516</v>
      </c>
      <c r="BC1575" s="2">
        <v>44669.67491898148</v>
      </c>
      <c r="BD1575" t="s">
        <v>91</v>
      </c>
      <c r="BF1575" s="1" t="s">
        <v>75</v>
      </c>
      <c r="BH1575">
        <v>0</v>
      </c>
      <c r="BI1575" s="1" t="s">
        <v>88</v>
      </c>
      <c r="BJ1575">
        <v>1</v>
      </c>
      <c r="BK1575" s="1" t="s">
        <v>89</v>
      </c>
      <c r="BL1575" t="s">
        <v>91</v>
      </c>
      <c r="BM1575" s="1" t="s">
        <v>329</v>
      </c>
      <c r="BN1575" s="1" t="s">
        <v>110</v>
      </c>
      <c r="BO1575" s="1" t="s">
        <v>165</v>
      </c>
      <c r="BP1575" s="1" t="s">
        <v>91</v>
      </c>
      <c r="BQ1575" t="s">
        <v>91</v>
      </c>
      <c r="BR1575" s="3">
        <v>44378</v>
      </c>
      <c r="BS1575" s="3">
        <v>44669</v>
      </c>
      <c r="BT1575" t="s">
        <v>91</v>
      </c>
      <c r="BU1575" t="s">
        <v>91</v>
      </c>
      <c r="BW1575" s="1" t="s">
        <v>419</v>
      </c>
    </row>
    <row r="1576" spans="1:75" hidden="1" x14ac:dyDescent="0.35">
      <c r="A1576">
        <v>157124</v>
      </c>
      <c r="B1576" s="1" t="s">
        <v>75</v>
      </c>
      <c r="C1576">
        <v>80</v>
      </c>
      <c r="D1576">
        <v>11121004</v>
      </c>
      <c r="E1576">
        <v>121004</v>
      </c>
      <c r="F1576" s="1" t="s">
        <v>6867</v>
      </c>
      <c r="G1576" s="1" t="s">
        <v>8487</v>
      </c>
      <c r="H1576">
        <v>0</v>
      </c>
      <c r="I1576" s="1" t="s">
        <v>78</v>
      </c>
      <c r="J1576" s="1" t="s">
        <v>8488</v>
      </c>
      <c r="K1576" s="1" t="s">
        <v>8489</v>
      </c>
      <c r="L1576" t="s">
        <v>91</v>
      </c>
      <c r="M1576" t="s">
        <v>91</v>
      </c>
      <c r="N1576" s="1" t="s">
        <v>8490</v>
      </c>
      <c r="O1576" t="s">
        <v>91</v>
      </c>
      <c r="P1576" s="1" t="s">
        <v>7194</v>
      </c>
      <c r="Q1576" s="1" t="s">
        <v>253</v>
      </c>
      <c r="R1576" s="1" t="s">
        <v>236</v>
      </c>
      <c r="S1576">
        <v>1260</v>
      </c>
      <c r="T1576">
        <v>88220000</v>
      </c>
      <c r="U1576" s="1" t="s">
        <v>7195</v>
      </c>
      <c r="V1576" s="1" t="s">
        <v>7015</v>
      </c>
      <c r="W1576" s="1" t="s">
        <v>87</v>
      </c>
      <c r="X1576">
        <v>47</v>
      </c>
      <c r="Y1576">
        <v>33639228</v>
      </c>
      <c r="Z1576" t="s">
        <v>91</v>
      </c>
      <c r="AA1576" t="s">
        <v>91</v>
      </c>
      <c r="AB1576" t="s">
        <v>91</v>
      </c>
      <c r="AC1576" t="s">
        <v>91</v>
      </c>
      <c r="AD1576" t="s">
        <v>91</v>
      </c>
      <c r="AE1576" t="s">
        <v>91</v>
      </c>
      <c r="AF1576" t="s">
        <v>91</v>
      </c>
      <c r="AG1576" s="1" t="s">
        <v>91</v>
      </c>
      <c r="AH1576" s="1" t="s">
        <v>91</v>
      </c>
      <c r="AI1576" t="s">
        <v>91</v>
      </c>
      <c r="AM1576" t="s">
        <v>91</v>
      </c>
      <c r="AN1576" t="s">
        <v>91</v>
      </c>
      <c r="AO1576" t="s">
        <v>91</v>
      </c>
      <c r="AP1576" t="s">
        <v>91</v>
      </c>
      <c r="AQ1576" s="1" t="s">
        <v>91</v>
      </c>
      <c r="AR1576" s="1" t="s">
        <v>91</v>
      </c>
      <c r="AS1576" s="1" t="s">
        <v>91</v>
      </c>
      <c r="AT1576" s="1" t="s">
        <v>91</v>
      </c>
      <c r="AU1576" s="1" t="s">
        <v>91</v>
      </c>
      <c r="AV1576" t="s">
        <v>91</v>
      </c>
      <c r="AW1576" t="s">
        <v>91</v>
      </c>
      <c r="AX1576" t="s">
        <v>91</v>
      </c>
      <c r="AY1576" t="s">
        <v>91</v>
      </c>
      <c r="AZ1576" t="s">
        <v>91</v>
      </c>
      <c r="BA1576" t="s">
        <v>91</v>
      </c>
      <c r="BB1576" s="2">
        <v>45113.505416666667</v>
      </c>
      <c r="BC1576" s="2"/>
      <c r="BD1576" t="s">
        <v>91</v>
      </c>
      <c r="BF1576" s="1" t="s">
        <v>75</v>
      </c>
      <c r="BI1576" s="1" t="s">
        <v>88</v>
      </c>
      <c r="BJ1576">
        <v>1</v>
      </c>
      <c r="BK1576" s="1" t="s">
        <v>89</v>
      </c>
      <c r="BL1576" t="s">
        <v>91</v>
      </c>
      <c r="BM1576" s="1" t="s">
        <v>91</v>
      </c>
      <c r="BN1576" s="1" t="s">
        <v>91</v>
      </c>
      <c r="BO1576" s="1" t="s">
        <v>91</v>
      </c>
      <c r="BP1576" s="1" t="s">
        <v>91</v>
      </c>
      <c r="BQ1576" t="s">
        <v>91</v>
      </c>
      <c r="BR1576" s="3">
        <v>45113</v>
      </c>
      <c r="BS1576" s="3"/>
      <c r="BT1576" t="s">
        <v>91</v>
      </c>
      <c r="BU1576" t="s">
        <v>91</v>
      </c>
      <c r="BW1576" s="1" t="s">
        <v>90</v>
      </c>
    </row>
    <row r="1577" spans="1:75" hidden="1" x14ac:dyDescent="0.35">
      <c r="A1577">
        <v>137794</v>
      </c>
      <c r="B1577" s="1" t="s">
        <v>75</v>
      </c>
      <c r="C1577">
        <v>80</v>
      </c>
      <c r="D1577">
        <v>11121004</v>
      </c>
      <c r="E1577">
        <v>121004</v>
      </c>
      <c r="F1577" s="1" t="s">
        <v>6867</v>
      </c>
      <c r="G1577" s="1" t="s">
        <v>8491</v>
      </c>
      <c r="H1577">
        <v>0</v>
      </c>
      <c r="I1577" s="1" t="s">
        <v>78</v>
      </c>
      <c r="J1577" s="1" t="s">
        <v>8492</v>
      </c>
      <c r="K1577" s="1" t="s">
        <v>8493</v>
      </c>
      <c r="L1577" t="s">
        <v>91</v>
      </c>
      <c r="M1577" t="s">
        <v>91</v>
      </c>
      <c r="N1577" s="1" t="s">
        <v>8494</v>
      </c>
      <c r="O1577" t="s">
        <v>91</v>
      </c>
      <c r="P1577" s="1" t="s">
        <v>335</v>
      </c>
      <c r="Q1577" s="1" t="s">
        <v>1149</v>
      </c>
      <c r="R1577" s="1" t="s">
        <v>8495</v>
      </c>
      <c r="T1577">
        <v>89080126</v>
      </c>
      <c r="U1577" s="1" t="s">
        <v>8496</v>
      </c>
      <c r="V1577" s="1" t="s">
        <v>7659</v>
      </c>
      <c r="W1577" s="1" t="s">
        <v>87</v>
      </c>
      <c r="X1577">
        <v>47</v>
      </c>
      <c r="Y1577">
        <v>992926091</v>
      </c>
      <c r="Z1577" t="s">
        <v>91</v>
      </c>
      <c r="AA1577" t="s">
        <v>91</v>
      </c>
      <c r="AB1577" t="s">
        <v>91</v>
      </c>
      <c r="AC1577" t="s">
        <v>91</v>
      </c>
      <c r="AD1577" t="s">
        <v>91</v>
      </c>
      <c r="AE1577" t="s">
        <v>91</v>
      </c>
      <c r="AF1577" t="s">
        <v>91</v>
      </c>
      <c r="AG1577" s="1" t="s">
        <v>146</v>
      </c>
      <c r="AH1577" s="1" t="s">
        <v>91</v>
      </c>
      <c r="AI1577" t="s">
        <v>91</v>
      </c>
      <c r="AM1577" t="s">
        <v>91</v>
      </c>
      <c r="AN1577" t="s">
        <v>91</v>
      </c>
      <c r="AO1577" t="s">
        <v>91</v>
      </c>
      <c r="AP1577" t="s">
        <v>91</v>
      </c>
      <c r="AQ1577" s="1" t="s">
        <v>147</v>
      </c>
      <c r="AR1577" s="1" t="s">
        <v>147</v>
      </c>
      <c r="AS1577" s="1" t="s">
        <v>147</v>
      </c>
      <c r="AT1577" s="1" t="s">
        <v>147</v>
      </c>
      <c r="AU1577" s="1" t="s">
        <v>147</v>
      </c>
      <c r="AV1577" t="s">
        <v>91</v>
      </c>
      <c r="AW1577" t="s">
        <v>91</v>
      </c>
      <c r="AX1577" t="s">
        <v>91</v>
      </c>
      <c r="AY1577" t="s">
        <v>91</v>
      </c>
      <c r="AZ1577" t="s">
        <v>91</v>
      </c>
      <c r="BA1577" t="s">
        <v>91</v>
      </c>
      <c r="BB1577" s="2">
        <v>44378.578518518516</v>
      </c>
      <c r="BC1577" s="2">
        <v>44679.361203703702</v>
      </c>
      <c r="BD1577" t="s">
        <v>91</v>
      </c>
      <c r="BF1577" s="1" t="s">
        <v>75</v>
      </c>
      <c r="BH1577">
        <v>0</v>
      </c>
      <c r="BI1577" s="1" t="s">
        <v>88</v>
      </c>
      <c r="BJ1577">
        <v>1</v>
      </c>
      <c r="BK1577" s="1" t="s">
        <v>89</v>
      </c>
      <c r="BL1577" t="s">
        <v>91</v>
      </c>
      <c r="BM1577" s="1" t="s">
        <v>109</v>
      </c>
      <c r="BN1577" s="1" t="s">
        <v>110</v>
      </c>
      <c r="BO1577" s="1" t="s">
        <v>128</v>
      </c>
      <c r="BP1577" s="1" t="s">
        <v>91</v>
      </c>
      <c r="BQ1577" t="s">
        <v>91</v>
      </c>
      <c r="BR1577" s="3">
        <v>44378</v>
      </c>
      <c r="BS1577" s="3">
        <v>44679</v>
      </c>
      <c r="BT1577" t="s">
        <v>91</v>
      </c>
      <c r="BU1577" t="s">
        <v>91</v>
      </c>
      <c r="BW1577" s="1" t="s">
        <v>512</v>
      </c>
    </row>
    <row r="1578" spans="1:75" hidden="1" x14ac:dyDescent="0.35">
      <c r="A1578">
        <v>157745</v>
      </c>
      <c r="B1578" s="1" t="s">
        <v>75</v>
      </c>
      <c r="C1578">
        <v>80</v>
      </c>
      <c r="D1578">
        <v>11121004</v>
      </c>
      <c r="E1578">
        <v>121004</v>
      </c>
      <c r="F1578" s="1" t="s">
        <v>6867</v>
      </c>
      <c r="G1578" s="1" t="s">
        <v>8497</v>
      </c>
      <c r="H1578">
        <v>0</v>
      </c>
      <c r="I1578" s="1" t="s">
        <v>78</v>
      </c>
      <c r="J1578" s="1" t="s">
        <v>8498</v>
      </c>
      <c r="K1578" s="1" t="s">
        <v>8499</v>
      </c>
      <c r="L1578" t="s">
        <v>91</v>
      </c>
      <c r="M1578" t="s">
        <v>91</v>
      </c>
      <c r="N1578" s="1" t="s">
        <v>8500</v>
      </c>
      <c r="O1578" t="s">
        <v>91</v>
      </c>
      <c r="P1578" s="1" t="s">
        <v>656</v>
      </c>
      <c r="Q1578" s="1" t="s">
        <v>1042</v>
      </c>
      <c r="R1578" s="1" t="s">
        <v>91</v>
      </c>
      <c r="S1578">
        <v>1275</v>
      </c>
      <c r="T1578">
        <v>89130000</v>
      </c>
      <c r="U1578" s="1" t="s">
        <v>8496</v>
      </c>
      <c r="V1578" s="1" t="s">
        <v>7659</v>
      </c>
      <c r="W1578" s="1" t="s">
        <v>87</v>
      </c>
      <c r="X1578">
        <v>47</v>
      </c>
      <c r="Y1578">
        <v>33941476</v>
      </c>
      <c r="Z1578" t="s">
        <v>91</v>
      </c>
      <c r="AA1578" t="s">
        <v>91</v>
      </c>
      <c r="AB1578" t="s">
        <v>91</v>
      </c>
      <c r="AC1578" t="s">
        <v>91</v>
      </c>
      <c r="AD1578" t="s">
        <v>91</v>
      </c>
      <c r="AE1578" t="s">
        <v>91</v>
      </c>
      <c r="AF1578" t="s">
        <v>91</v>
      </c>
      <c r="AG1578" s="1" t="s">
        <v>91</v>
      </c>
      <c r="AH1578" s="1" t="s">
        <v>91</v>
      </c>
      <c r="AI1578" t="s">
        <v>91</v>
      </c>
      <c r="AM1578" t="s">
        <v>91</v>
      </c>
      <c r="AN1578" t="s">
        <v>91</v>
      </c>
      <c r="AO1578" t="s">
        <v>91</v>
      </c>
      <c r="AP1578" t="s">
        <v>91</v>
      </c>
      <c r="AQ1578" s="1" t="s">
        <v>91</v>
      </c>
      <c r="AR1578" s="1" t="s">
        <v>91</v>
      </c>
      <c r="AS1578" s="1" t="s">
        <v>91</v>
      </c>
      <c r="AT1578" s="1" t="s">
        <v>91</v>
      </c>
      <c r="AU1578" s="1" t="s">
        <v>91</v>
      </c>
      <c r="AV1578" t="s">
        <v>91</v>
      </c>
      <c r="AW1578" t="s">
        <v>91</v>
      </c>
      <c r="AX1578" t="s">
        <v>91</v>
      </c>
      <c r="AY1578" t="s">
        <v>91</v>
      </c>
      <c r="AZ1578" t="s">
        <v>91</v>
      </c>
      <c r="BA1578" t="s">
        <v>91</v>
      </c>
      <c r="BB1578" s="2">
        <v>45118.101759259262</v>
      </c>
      <c r="BC1578" s="2"/>
      <c r="BD1578" t="s">
        <v>91</v>
      </c>
      <c r="BF1578" s="1" t="s">
        <v>75</v>
      </c>
      <c r="BI1578" s="1" t="s">
        <v>88</v>
      </c>
      <c r="BJ1578">
        <v>1</v>
      </c>
      <c r="BK1578" s="1" t="s">
        <v>89</v>
      </c>
      <c r="BL1578" t="s">
        <v>91</v>
      </c>
      <c r="BM1578" s="1" t="s">
        <v>91</v>
      </c>
      <c r="BN1578" s="1" t="s">
        <v>91</v>
      </c>
      <c r="BO1578" s="1" t="s">
        <v>91</v>
      </c>
      <c r="BP1578" s="1" t="s">
        <v>91</v>
      </c>
      <c r="BQ1578" t="s">
        <v>91</v>
      </c>
      <c r="BR1578" s="3">
        <v>45118</v>
      </c>
      <c r="BS1578" s="3"/>
      <c r="BT1578" t="s">
        <v>91</v>
      </c>
      <c r="BU1578" t="s">
        <v>91</v>
      </c>
      <c r="BW1578" s="1" t="s">
        <v>90</v>
      </c>
    </row>
    <row r="1579" spans="1:75" hidden="1" x14ac:dyDescent="0.35">
      <c r="A1579">
        <v>137796</v>
      </c>
      <c r="B1579" s="1" t="s">
        <v>75</v>
      </c>
      <c r="C1579">
        <v>80</v>
      </c>
      <c r="D1579">
        <v>11121004</v>
      </c>
      <c r="E1579">
        <v>121004</v>
      </c>
      <c r="F1579" s="1" t="s">
        <v>6867</v>
      </c>
      <c r="G1579" s="1" t="s">
        <v>8501</v>
      </c>
      <c r="H1579">
        <v>0</v>
      </c>
      <c r="I1579" s="1" t="s">
        <v>78</v>
      </c>
      <c r="J1579" s="1" t="s">
        <v>8502</v>
      </c>
      <c r="K1579" s="1" t="s">
        <v>8503</v>
      </c>
      <c r="L1579" t="s">
        <v>91</v>
      </c>
      <c r="M1579" t="s">
        <v>91</v>
      </c>
      <c r="N1579" s="1" t="s">
        <v>8504</v>
      </c>
      <c r="O1579" t="s">
        <v>91</v>
      </c>
      <c r="P1579" s="1" t="s">
        <v>8505</v>
      </c>
      <c r="Q1579" s="1" t="s">
        <v>8506</v>
      </c>
      <c r="R1579" s="1" t="s">
        <v>236</v>
      </c>
      <c r="S1579">
        <v>1262</v>
      </c>
      <c r="T1579">
        <v>88330657</v>
      </c>
      <c r="U1579" s="1" t="s">
        <v>108</v>
      </c>
      <c r="V1579" s="1" t="s">
        <v>6898</v>
      </c>
      <c r="W1579" s="1" t="s">
        <v>87</v>
      </c>
      <c r="X1579">
        <v>47</v>
      </c>
      <c r="Y1579">
        <v>33632369</v>
      </c>
      <c r="Z1579" t="s">
        <v>91</v>
      </c>
      <c r="AA1579" t="s">
        <v>91</v>
      </c>
      <c r="AB1579" t="s">
        <v>91</v>
      </c>
      <c r="AC1579" t="s">
        <v>91</v>
      </c>
      <c r="AD1579" t="s">
        <v>91</v>
      </c>
      <c r="AE1579" t="s">
        <v>91</v>
      </c>
      <c r="AF1579" t="s">
        <v>91</v>
      </c>
      <c r="AG1579" s="1" t="s">
        <v>146</v>
      </c>
      <c r="AH1579" s="1" t="s">
        <v>91</v>
      </c>
      <c r="AI1579" t="s">
        <v>91</v>
      </c>
      <c r="AM1579" t="s">
        <v>91</v>
      </c>
      <c r="AN1579" t="s">
        <v>91</v>
      </c>
      <c r="AO1579" t="s">
        <v>91</v>
      </c>
      <c r="AP1579" t="s">
        <v>91</v>
      </c>
      <c r="AQ1579" s="1" t="s">
        <v>147</v>
      </c>
      <c r="AR1579" s="1" t="s">
        <v>147</v>
      </c>
      <c r="AS1579" s="1" t="s">
        <v>147</v>
      </c>
      <c r="AT1579" s="1" t="s">
        <v>147</v>
      </c>
      <c r="AU1579" s="1" t="s">
        <v>147</v>
      </c>
      <c r="AV1579" t="s">
        <v>91</v>
      </c>
      <c r="AW1579" t="s">
        <v>91</v>
      </c>
      <c r="AX1579" t="s">
        <v>91</v>
      </c>
      <c r="AY1579" t="s">
        <v>91</v>
      </c>
      <c r="AZ1579" t="s">
        <v>91</v>
      </c>
      <c r="BA1579" t="s">
        <v>91</v>
      </c>
      <c r="BB1579" s="2">
        <v>44378.578518518516</v>
      </c>
      <c r="BC1579" s="2">
        <v>44673.435914351852</v>
      </c>
      <c r="BD1579" t="s">
        <v>91</v>
      </c>
      <c r="BF1579" s="1" t="s">
        <v>75</v>
      </c>
      <c r="BH1579">
        <v>0</v>
      </c>
      <c r="BI1579" s="1" t="s">
        <v>88</v>
      </c>
      <c r="BJ1579">
        <v>1</v>
      </c>
      <c r="BK1579" s="1" t="s">
        <v>89</v>
      </c>
      <c r="BL1579" t="s">
        <v>91</v>
      </c>
      <c r="BM1579" s="1" t="s">
        <v>639</v>
      </c>
      <c r="BN1579" s="1" t="s">
        <v>110</v>
      </c>
      <c r="BO1579" s="1" t="s">
        <v>165</v>
      </c>
      <c r="BP1579" s="1" t="s">
        <v>91</v>
      </c>
      <c r="BQ1579" t="s">
        <v>91</v>
      </c>
      <c r="BR1579" s="3">
        <v>44378</v>
      </c>
      <c r="BS1579" s="3">
        <v>44673</v>
      </c>
      <c r="BT1579" t="s">
        <v>91</v>
      </c>
      <c r="BU1579" t="s">
        <v>91</v>
      </c>
      <c r="BW1579" s="1" t="s">
        <v>1254</v>
      </c>
    </row>
    <row r="1580" spans="1:75" hidden="1" x14ac:dyDescent="0.35">
      <c r="A1580">
        <v>157066</v>
      </c>
      <c r="B1580" s="1" t="s">
        <v>75</v>
      </c>
      <c r="C1580">
        <v>80</v>
      </c>
      <c r="D1580">
        <v>11121004</v>
      </c>
      <c r="E1580">
        <v>121004</v>
      </c>
      <c r="F1580" s="1" t="s">
        <v>6867</v>
      </c>
      <c r="G1580" s="1" t="s">
        <v>8507</v>
      </c>
      <c r="H1580">
        <v>0</v>
      </c>
      <c r="I1580" s="1" t="s">
        <v>78</v>
      </c>
      <c r="J1580" s="1" t="s">
        <v>8508</v>
      </c>
      <c r="K1580" s="1" t="s">
        <v>8509</v>
      </c>
      <c r="L1580" t="s">
        <v>91</v>
      </c>
      <c r="M1580" t="s">
        <v>91</v>
      </c>
      <c r="N1580" s="1" t="s">
        <v>8510</v>
      </c>
      <c r="O1580" t="s">
        <v>91</v>
      </c>
      <c r="P1580" s="1" t="s">
        <v>2705</v>
      </c>
      <c r="Q1580" s="1" t="s">
        <v>8511</v>
      </c>
      <c r="R1580" s="1" t="s">
        <v>254</v>
      </c>
      <c r="S1580">
        <v>1271</v>
      </c>
      <c r="T1580">
        <v>89010000</v>
      </c>
      <c r="U1580" s="1" t="s">
        <v>108</v>
      </c>
      <c r="V1580" s="1" t="s">
        <v>3571</v>
      </c>
      <c r="W1580" s="1" t="s">
        <v>87</v>
      </c>
      <c r="X1580">
        <v>41</v>
      </c>
      <c r="Y1580">
        <v>30174314</v>
      </c>
      <c r="Z1580" t="s">
        <v>91</v>
      </c>
      <c r="AA1580" t="s">
        <v>91</v>
      </c>
      <c r="AB1580" t="s">
        <v>91</v>
      </c>
      <c r="AC1580" t="s">
        <v>91</v>
      </c>
      <c r="AD1580" t="s">
        <v>91</v>
      </c>
      <c r="AE1580" t="s">
        <v>91</v>
      </c>
      <c r="AF1580" t="s">
        <v>91</v>
      </c>
      <c r="AG1580" s="1" t="s">
        <v>91</v>
      </c>
      <c r="AH1580" s="1" t="s">
        <v>91</v>
      </c>
      <c r="AI1580" t="s">
        <v>91</v>
      </c>
      <c r="AM1580" t="s">
        <v>91</v>
      </c>
      <c r="AN1580" t="s">
        <v>91</v>
      </c>
      <c r="AO1580" t="s">
        <v>91</v>
      </c>
      <c r="AP1580" t="s">
        <v>91</v>
      </c>
      <c r="AQ1580" s="1" t="s">
        <v>91</v>
      </c>
      <c r="AR1580" s="1" t="s">
        <v>91</v>
      </c>
      <c r="AS1580" s="1" t="s">
        <v>91</v>
      </c>
      <c r="AT1580" s="1" t="s">
        <v>91</v>
      </c>
      <c r="AU1580" s="1" t="s">
        <v>91</v>
      </c>
      <c r="AV1580" t="s">
        <v>91</v>
      </c>
      <c r="AW1580" t="s">
        <v>91</v>
      </c>
      <c r="AX1580" t="s">
        <v>91</v>
      </c>
      <c r="AY1580" t="s">
        <v>91</v>
      </c>
      <c r="AZ1580" t="s">
        <v>91</v>
      </c>
      <c r="BA1580" t="s">
        <v>91</v>
      </c>
      <c r="BB1580" s="2">
        <v>45113.505416666667</v>
      </c>
      <c r="BC1580" s="2"/>
      <c r="BD1580" t="s">
        <v>91</v>
      </c>
      <c r="BF1580" s="1" t="s">
        <v>75</v>
      </c>
      <c r="BI1580" s="1" t="s">
        <v>88</v>
      </c>
      <c r="BJ1580">
        <v>1</v>
      </c>
      <c r="BK1580" s="1" t="s">
        <v>89</v>
      </c>
      <c r="BL1580" t="s">
        <v>91</v>
      </c>
      <c r="BM1580" s="1" t="s">
        <v>91</v>
      </c>
      <c r="BN1580" s="1" t="s">
        <v>91</v>
      </c>
      <c r="BO1580" s="1" t="s">
        <v>91</v>
      </c>
      <c r="BP1580" s="1" t="s">
        <v>91</v>
      </c>
      <c r="BQ1580" t="s">
        <v>91</v>
      </c>
      <c r="BR1580" s="3">
        <v>45113</v>
      </c>
      <c r="BS1580" s="3"/>
      <c r="BT1580" t="s">
        <v>91</v>
      </c>
      <c r="BU1580" t="s">
        <v>91</v>
      </c>
      <c r="BW1580" s="1" t="s">
        <v>90</v>
      </c>
    </row>
    <row r="1581" spans="1:75" hidden="1" x14ac:dyDescent="0.35">
      <c r="A1581">
        <v>158714</v>
      </c>
      <c r="B1581" s="1" t="s">
        <v>75</v>
      </c>
      <c r="C1581">
        <v>80</v>
      </c>
      <c r="D1581">
        <v>11121004</v>
      </c>
      <c r="E1581">
        <v>121004</v>
      </c>
      <c r="F1581" s="1" t="s">
        <v>6867</v>
      </c>
      <c r="G1581" s="1" t="s">
        <v>8512</v>
      </c>
      <c r="I1581" s="1" t="s">
        <v>78</v>
      </c>
      <c r="J1581" s="1" t="s">
        <v>8513</v>
      </c>
      <c r="K1581" s="1" t="s">
        <v>8514</v>
      </c>
      <c r="L1581" t="s">
        <v>91</v>
      </c>
      <c r="M1581" t="s">
        <v>91</v>
      </c>
      <c r="N1581" s="1" t="s">
        <v>8515</v>
      </c>
      <c r="O1581" t="s">
        <v>91</v>
      </c>
      <c r="P1581" s="1" t="s">
        <v>8516</v>
      </c>
      <c r="Q1581" s="1" t="s">
        <v>6933</v>
      </c>
      <c r="R1581" s="1" t="s">
        <v>254</v>
      </c>
      <c r="T1581">
        <v>88359002</v>
      </c>
      <c r="U1581" s="1" t="s">
        <v>8517</v>
      </c>
      <c r="V1581" s="1" t="s">
        <v>6936</v>
      </c>
      <c r="W1581" s="1" t="s">
        <v>87</v>
      </c>
      <c r="Z1581" t="s">
        <v>91</v>
      </c>
      <c r="AA1581" t="s">
        <v>91</v>
      </c>
      <c r="AB1581" t="s">
        <v>91</v>
      </c>
      <c r="AC1581" t="s">
        <v>91</v>
      </c>
      <c r="AD1581" t="s">
        <v>91</v>
      </c>
      <c r="AE1581" t="s">
        <v>91</v>
      </c>
      <c r="AF1581" t="s">
        <v>91</v>
      </c>
      <c r="AG1581" s="1" t="s">
        <v>91</v>
      </c>
      <c r="AH1581" s="1" t="s">
        <v>91</v>
      </c>
      <c r="AI1581" t="s">
        <v>91</v>
      </c>
      <c r="AM1581" t="s">
        <v>91</v>
      </c>
      <c r="AN1581" t="s">
        <v>91</v>
      </c>
      <c r="AO1581" t="s">
        <v>91</v>
      </c>
      <c r="AP1581" t="s">
        <v>91</v>
      </c>
      <c r="AQ1581" s="1" t="s">
        <v>91</v>
      </c>
      <c r="AR1581" s="1" t="s">
        <v>91</v>
      </c>
      <c r="AS1581" s="1" t="s">
        <v>91</v>
      </c>
      <c r="AT1581" s="1" t="s">
        <v>91</v>
      </c>
      <c r="AU1581" s="1" t="s">
        <v>91</v>
      </c>
      <c r="AV1581" t="s">
        <v>91</v>
      </c>
      <c r="AW1581" t="s">
        <v>91</v>
      </c>
      <c r="AX1581" t="s">
        <v>91</v>
      </c>
      <c r="AY1581" t="s">
        <v>91</v>
      </c>
      <c r="AZ1581" t="s">
        <v>91</v>
      </c>
      <c r="BA1581" t="s">
        <v>91</v>
      </c>
      <c r="BB1581" s="2">
        <v>45155.700069444443</v>
      </c>
      <c r="BC1581" s="2"/>
      <c r="BD1581" t="s">
        <v>91</v>
      </c>
      <c r="BF1581" s="1" t="s">
        <v>75</v>
      </c>
      <c r="BI1581" s="1" t="s">
        <v>88</v>
      </c>
      <c r="BJ1581">
        <v>1</v>
      </c>
      <c r="BK1581" s="1" t="s">
        <v>89</v>
      </c>
      <c r="BL1581" t="s">
        <v>91</v>
      </c>
      <c r="BM1581" s="1" t="s">
        <v>91</v>
      </c>
      <c r="BN1581" s="1" t="s">
        <v>91</v>
      </c>
      <c r="BO1581" s="1" t="s">
        <v>91</v>
      </c>
      <c r="BP1581" s="1" t="s">
        <v>91</v>
      </c>
      <c r="BQ1581" t="s">
        <v>91</v>
      </c>
      <c r="BR1581" s="3">
        <v>45155</v>
      </c>
      <c r="BS1581" s="3"/>
      <c r="BT1581" t="s">
        <v>91</v>
      </c>
      <c r="BU1581" t="s">
        <v>91</v>
      </c>
      <c r="BW1581" s="1" t="s">
        <v>90</v>
      </c>
    </row>
    <row r="1582" spans="1:75" hidden="1" x14ac:dyDescent="0.35">
      <c r="A1582">
        <v>137798</v>
      </c>
      <c r="B1582" s="1" t="s">
        <v>75</v>
      </c>
      <c r="C1582">
        <v>80</v>
      </c>
      <c r="D1582">
        <v>11121004</v>
      </c>
      <c r="E1582">
        <v>121004</v>
      </c>
      <c r="F1582" s="1" t="s">
        <v>6867</v>
      </c>
      <c r="G1582" s="1" t="s">
        <v>8518</v>
      </c>
      <c r="H1582">
        <v>0</v>
      </c>
      <c r="I1582" s="1" t="s">
        <v>78</v>
      </c>
      <c r="J1582" s="1" t="s">
        <v>8519</v>
      </c>
      <c r="K1582" s="1" t="s">
        <v>8520</v>
      </c>
      <c r="L1582" t="s">
        <v>91</v>
      </c>
      <c r="M1582" t="s">
        <v>91</v>
      </c>
      <c r="N1582" s="1" t="s">
        <v>8521</v>
      </c>
      <c r="O1582" t="s">
        <v>91</v>
      </c>
      <c r="P1582" s="1" t="s">
        <v>8522</v>
      </c>
      <c r="Q1582" s="1" t="s">
        <v>8523</v>
      </c>
      <c r="R1582" s="1" t="s">
        <v>91</v>
      </c>
      <c r="T1582">
        <v>89040000</v>
      </c>
      <c r="U1582" s="1" t="s">
        <v>7654</v>
      </c>
      <c r="V1582" s="1" t="s">
        <v>3571</v>
      </c>
      <c r="W1582" s="1" t="s">
        <v>87</v>
      </c>
      <c r="X1582">
        <v>47</v>
      </c>
      <c r="Y1582">
        <v>30419841</v>
      </c>
      <c r="Z1582" t="s">
        <v>91</v>
      </c>
      <c r="AA1582" t="s">
        <v>91</v>
      </c>
      <c r="AB1582" t="s">
        <v>91</v>
      </c>
      <c r="AC1582" t="s">
        <v>91</v>
      </c>
      <c r="AD1582" t="s">
        <v>91</v>
      </c>
      <c r="AE1582" t="s">
        <v>91</v>
      </c>
      <c r="AF1582" t="s">
        <v>91</v>
      </c>
      <c r="AG1582" s="1" t="s">
        <v>146</v>
      </c>
      <c r="AH1582" s="1" t="s">
        <v>91</v>
      </c>
      <c r="AI1582" t="s">
        <v>91</v>
      </c>
      <c r="AM1582" t="s">
        <v>91</v>
      </c>
      <c r="AN1582" t="s">
        <v>91</v>
      </c>
      <c r="AO1582" t="s">
        <v>91</v>
      </c>
      <c r="AP1582" t="s">
        <v>91</v>
      </c>
      <c r="AQ1582" s="1" t="s">
        <v>147</v>
      </c>
      <c r="AR1582" s="1" t="s">
        <v>147</v>
      </c>
      <c r="AS1582" s="1" t="s">
        <v>147</v>
      </c>
      <c r="AT1582" s="1" t="s">
        <v>147</v>
      </c>
      <c r="AU1582" s="1" t="s">
        <v>147</v>
      </c>
      <c r="AV1582" t="s">
        <v>91</v>
      </c>
      <c r="AW1582" t="s">
        <v>91</v>
      </c>
      <c r="AX1582" t="s">
        <v>91</v>
      </c>
      <c r="AY1582" t="s">
        <v>91</v>
      </c>
      <c r="AZ1582" t="s">
        <v>91</v>
      </c>
      <c r="BA1582" t="s">
        <v>91</v>
      </c>
      <c r="BB1582" s="2">
        <v>44378.578518518516</v>
      </c>
      <c r="BC1582" s="2">
        <v>44802.616851851853</v>
      </c>
      <c r="BD1582" t="s">
        <v>91</v>
      </c>
      <c r="BF1582" s="1" t="s">
        <v>75</v>
      </c>
      <c r="BH1582">
        <v>0</v>
      </c>
      <c r="BI1582" s="1" t="s">
        <v>88</v>
      </c>
      <c r="BJ1582">
        <v>1</v>
      </c>
      <c r="BK1582" s="1" t="s">
        <v>89</v>
      </c>
      <c r="BL1582" t="s">
        <v>91</v>
      </c>
      <c r="BM1582" s="1" t="s">
        <v>109</v>
      </c>
      <c r="BN1582" s="1" t="s">
        <v>110</v>
      </c>
      <c r="BO1582" s="1" t="s">
        <v>180</v>
      </c>
      <c r="BP1582" s="1" t="s">
        <v>91</v>
      </c>
      <c r="BQ1582" t="s">
        <v>91</v>
      </c>
      <c r="BR1582" s="3">
        <v>44378</v>
      </c>
      <c r="BS1582" s="3">
        <v>44802</v>
      </c>
      <c r="BT1582" t="s">
        <v>91</v>
      </c>
      <c r="BU1582" t="s">
        <v>91</v>
      </c>
      <c r="BW1582" s="1" t="s">
        <v>3002</v>
      </c>
    </row>
    <row r="1583" spans="1:75" hidden="1" x14ac:dyDescent="0.35">
      <c r="A1583">
        <v>158719</v>
      </c>
      <c r="B1583" s="1" t="s">
        <v>75</v>
      </c>
      <c r="C1583">
        <v>80</v>
      </c>
      <c r="D1583">
        <v>11121004</v>
      </c>
      <c r="E1583">
        <v>121004</v>
      </c>
      <c r="F1583" s="1" t="s">
        <v>6867</v>
      </c>
      <c r="G1583" s="1" t="s">
        <v>8524</v>
      </c>
      <c r="I1583" s="1" t="s">
        <v>78</v>
      </c>
      <c r="J1583" s="1" t="s">
        <v>8525</v>
      </c>
      <c r="K1583" s="1" t="s">
        <v>8526</v>
      </c>
      <c r="L1583" t="s">
        <v>91</v>
      </c>
      <c r="M1583" t="s">
        <v>91</v>
      </c>
      <c r="N1583" s="1" t="s">
        <v>8527</v>
      </c>
      <c r="O1583" t="s">
        <v>91</v>
      </c>
      <c r="P1583" s="1" t="s">
        <v>364</v>
      </c>
      <c r="Q1583" s="1" t="s">
        <v>840</v>
      </c>
      <c r="R1583" s="1" t="s">
        <v>236</v>
      </c>
      <c r="S1583">
        <v>1263</v>
      </c>
      <c r="T1583">
        <v>88380000</v>
      </c>
      <c r="U1583" s="1" t="s">
        <v>108</v>
      </c>
      <c r="V1583" s="1" t="s">
        <v>6946</v>
      </c>
      <c r="W1583" s="1" t="s">
        <v>87</v>
      </c>
      <c r="X1583">
        <v>48</v>
      </c>
      <c r="Y1583">
        <v>992091177</v>
      </c>
      <c r="Z1583" t="s">
        <v>91</v>
      </c>
      <c r="AA1583" t="s">
        <v>91</v>
      </c>
      <c r="AB1583" t="s">
        <v>91</v>
      </c>
      <c r="AC1583" t="s">
        <v>91</v>
      </c>
      <c r="AD1583" t="s">
        <v>91</v>
      </c>
      <c r="AE1583" t="s">
        <v>91</v>
      </c>
      <c r="AF1583" t="s">
        <v>91</v>
      </c>
      <c r="AG1583" s="1" t="s">
        <v>91</v>
      </c>
      <c r="AH1583" s="1" t="s">
        <v>91</v>
      </c>
      <c r="AI1583" t="s">
        <v>91</v>
      </c>
      <c r="AM1583" t="s">
        <v>91</v>
      </c>
      <c r="AN1583" t="s">
        <v>91</v>
      </c>
      <c r="AO1583" t="s">
        <v>91</v>
      </c>
      <c r="AP1583" t="s">
        <v>91</v>
      </c>
      <c r="AQ1583" s="1" t="s">
        <v>91</v>
      </c>
      <c r="AR1583" s="1" t="s">
        <v>91</v>
      </c>
      <c r="AS1583" s="1" t="s">
        <v>91</v>
      </c>
      <c r="AT1583" s="1" t="s">
        <v>91</v>
      </c>
      <c r="AU1583" s="1" t="s">
        <v>91</v>
      </c>
      <c r="AV1583" t="s">
        <v>91</v>
      </c>
      <c r="AW1583" t="s">
        <v>91</v>
      </c>
      <c r="AX1583" t="s">
        <v>91</v>
      </c>
      <c r="AY1583" t="s">
        <v>91</v>
      </c>
      <c r="AZ1583" t="s">
        <v>91</v>
      </c>
      <c r="BA1583" t="s">
        <v>91</v>
      </c>
      <c r="BB1583" s="2">
        <v>45155.700069444443</v>
      </c>
      <c r="BC1583" s="2"/>
      <c r="BD1583" t="s">
        <v>91</v>
      </c>
      <c r="BF1583" s="1" t="s">
        <v>75</v>
      </c>
      <c r="BI1583" s="1" t="s">
        <v>88</v>
      </c>
      <c r="BJ1583">
        <v>1</v>
      </c>
      <c r="BK1583" s="1" t="s">
        <v>89</v>
      </c>
      <c r="BL1583" t="s">
        <v>91</v>
      </c>
      <c r="BM1583" s="1" t="s">
        <v>91</v>
      </c>
      <c r="BN1583" s="1" t="s">
        <v>91</v>
      </c>
      <c r="BO1583" s="1" t="s">
        <v>91</v>
      </c>
      <c r="BP1583" s="1" t="s">
        <v>91</v>
      </c>
      <c r="BQ1583" t="s">
        <v>91</v>
      </c>
      <c r="BR1583" s="3">
        <v>45155</v>
      </c>
      <c r="BS1583" s="3"/>
      <c r="BT1583" t="s">
        <v>91</v>
      </c>
      <c r="BU1583" t="s">
        <v>91</v>
      </c>
      <c r="BW1583" s="1" t="s">
        <v>90</v>
      </c>
    </row>
    <row r="1584" spans="1:75" hidden="1" x14ac:dyDescent="0.35">
      <c r="A1584">
        <v>158720</v>
      </c>
      <c r="B1584" s="1" t="s">
        <v>75</v>
      </c>
      <c r="C1584">
        <v>80</v>
      </c>
      <c r="D1584">
        <v>11121004</v>
      </c>
      <c r="E1584">
        <v>121004</v>
      </c>
      <c r="F1584" s="1" t="s">
        <v>6867</v>
      </c>
      <c r="G1584" s="1" t="s">
        <v>8528</v>
      </c>
      <c r="I1584" s="1" t="s">
        <v>78</v>
      </c>
      <c r="J1584" s="1" t="s">
        <v>8529</v>
      </c>
      <c r="K1584" s="1" t="s">
        <v>8530</v>
      </c>
      <c r="L1584" t="s">
        <v>91</v>
      </c>
      <c r="M1584" t="s">
        <v>91</v>
      </c>
      <c r="N1584" s="1" t="s">
        <v>8531</v>
      </c>
      <c r="O1584" t="s">
        <v>91</v>
      </c>
      <c r="P1584" s="1" t="s">
        <v>8532</v>
      </c>
      <c r="Q1584" s="1" t="s">
        <v>2327</v>
      </c>
      <c r="R1584" s="1" t="s">
        <v>91</v>
      </c>
      <c r="S1584">
        <v>1263</v>
      </c>
      <c r="T1584">
        <v>88385000</v>
      </c>
      <c r="U1584" s="1" t="s">
        <v>108</v>
      </c>
      <c r="V1584" s="1" t="s">
        <v>7872</v>
      </c>
      <c r="W1584" s="1" t="s">
        <v>87</v>
      </c>
      <c r="X1584">
        <v>48</v>
      </c>
      <c r="Y1584">
        <v>992091177</v>
      </c>
      <c r="Z1584" t="s">
        <v>91</v>
      </c>
      <c r="AA1584" t="s">
        <v>91</v>
      </c>
      <c r="AB1584" t="s">
        <v>91</v>
      </c>
      <c r="AC1584" t="s">
        <v>91</v>
      </c>
      <c r="AD1584" t="s">
        <v>91</v>
      </c>
      <c r="AE1584" t="s">
        <v>91</v>
      </c>
      <c r="AF1584" t="s">
        <v>91</v>
      </c>
      <c r="AG1584" s="1" t="s">
        <v>91</v>
      </c>
      <c r="AH1584" s="1" t="s">
        <v>91</v>
      </c>
      <c r="AI1584" t="s">
        <v>91</v>
      </c>
      <c r="AM1584" t="s">
        <v>91</v>
      </c>
      <c r="AN1584" t="s">
        <v>91</v>
      </c>
      <c r="AO1584" t="s">
        <v>91</v>
      </c>
      <c r="AP1584" t="s">
        <v>91</v>
      </c>
      <c r="AQ1584" s="1" t="s">
        <v>91</v>
      </c>
      <c r="AR1584" s="1" t="s">
        <v>91</v>
      </c>
      <c r="AS1584" s="1" t="s">
        <v>91</v>
      </c>
      <c r="AT1584" s="1" t="s">
        <v>91</v>
      </c>
      <c r="AU1584" s="1" t="s">
        <v>91</v>
      </c>
      <c r="AV1584" t="s">
        <v>91</v>
      </c>
      <c r="AW1584" t="s">
        <v>91</v>
      </c>
      <c r="AX1584" t="s">
        <v>91</v>
      </c>
      <c r="AY1584" t="s">
        <v>91</v>
      </c>
      <c r="AZ1584" t="s">
        <v>91</v>
      </c>
      <c r="BA1584" t="s">
        <v>91</v>
      </c>
      <c r="BB1584" s="2">
        <v>45155.700069444443</v>
      </c>
      <c r="BC1584" s="2"/>
      <c r="BD1584" t="s">
        <v>91</v>
      </c>
      <c r="BF1584" s="1" t="s">
        <v>75</v>
      </c>
      <c r="BI1584" s="1" t="s">
        <v>88</v>
      </c>
      <c r="BJ1584">
        <v>1</v>
      </c>
      <c r="BK1584" s="1" t="s">
        <v>89</v>
      </c>
      <c r="BL1584" t="s">
        <v>91</v>
      </c>
      <c r="BM1584" s="1" t="s">
        <v>91</v>
      </c>
      <c r="BN1584" s="1" t="s">
        <v>91</v>
      </c>
      <c r="BO1584" s="1" t="s">
        <v>91</v>
      </c>
      <c r="BP1584" s="1" t="s">
        <v>91</v>
      </c>
      <c r="BQ1584" t="s">
        <v>91</v>
      </c>
      <c r="BR1584" s="3">
        <v>45155</v>
      </c>
      <c r="BS1584" s="3"/>
      <c r="BT1584" t="s">
        <v>91</v>
      </c>
      <c r="BU1584" t="s">
        <v>91</v>
      </c>
      <c r="BW1584" s="1" t="s">
        <v>90</v>
      </c>
    </row>
    <row r="1585" spans="1:75" hidden="1" x14ac:dyDescent="0.35">
      <c r="A1585">
        <v>137799</v>
      </c>
      <c r="B1585" s="1" t="s">
        <v>75</v>
      </c>
      <c r="C1585">
        <v>80</v>
      </c>
      <c r="D1585">
        <v>11121004</v>
      </c>
      <c r="E1585">
        <v>121004</v>
      </c>
      <c r="F1585" s="1" t="s">
        <v>6867</v>
      </c>
      <c r="G1585" s="1" t="s">
        <v>8533</v>
      </c>
      <c r="H1585">
        <v>0</v>
      </c>
      <c r="I1585" s="1" t="s">
        <v>78</v>
      </c>
      <c r="J1585" s="1" t="s">
        <v>8534</v>
      </c>
      <c r="K1585" s="1" t="s">
        <v>8535</v>
      </c>
      <c r="L1585" t="s">
        <v>91</v>
      </c>
      <c r="M1585" t="s">
        <v>91</v>
      </c>
      <c r="N1585" s="1" t="s">
        <v>8536</v>
      </c>
      <c r="O1585" t="s">
        <v>91</v>
      </c>
      <c r="P1585" s="1" t="s">
        <v>3083</v>
      </c>
      <c r="Q1585" s="1" t="s">
        <v>861</v>
      </c>
      <c r="R1585" s="1" t="s">
        <v>91</v>
      </c>
      <c r="S1585">
        <v>1261</v>
      </c>
      <c r="T1585">
        <v>88301001</v>
      </c>
      <c r="U1585" s="1" t="s">
        <v>108</v>
      </c>
      <c r="V1585" s="1" t="s">
        <v>6874</v>
      </c>
      <c r="W1585" s="1" t="s">
        <v>87</v>
      </c>
      <c r="X1585">
        <v>47</v>
      </c>
      <c r="Y1585">
        <v>33443327</v>
      </c>
      <c r="Z1585" t="s">
        <v>91</v>
      </c>
      <c r="AA1585" t="s">
        <v>91</v>
      </c>
      <c r="AB1585" t="s">
        <v>91</v>
      </c>
      <c r="AC1585" t="s">
        <v>91</v>
      </c>
      <c r="AD1585" t="s">
        <v>91</v>
      </c>
      <c r="AE1585" t="s">
        <v>91</v>
      </c>
      <c r="AF1585" t="s">
        <v>91</v>
      </c>
      <c r="AG1585" s="1" t="s">
        <v>146</v>
      </c>
      <c r="AH1585" s="1" t="s">
        <v>91</v>
      </c>
      <c r="AI1585" t="s">
        <v>91</v>
      </c>
      <c r="AM1585" t="s">
        <v>91</v>
      </c>
      <c r="AN1585" t="s">
        <v>91</v>
      </c>
      <c r="AO1585" t="s">
        <v>91</v>
      </c>
      <c r="AP1585" t="s">
        <v>91</v>
      </c>
      <c r="AQ1585" s="1" t="s">
        <v>147</v>
      </c>
      <c r="AR1585" s="1" t="s">
        <v>147</v>
      </c>
      <c r="AS1585" s="1" t="s">
        <v>147</v>
      </c>
      <c r="AT1585" s="1" t="s">
        <v>147</v>
      </c>
      <c r="AU1585" s="1" t="s">
        <v>147</v>
      </c>
      <c r="AV1585" t="s">
        <v>91</v>
      </c>
      <c r="AW1585" t="s">
        <v>91</v>
      </c>
      <c r="AX1585" t="s">
        <v>91</v>
      </c>
      <c r="AY1585" t="s">
        <v>91</v>
      </c>
      <c r="AZ1585" t="s">
        <v>91</v>
      </c>
      <c r="BA1585" t="s">
        <v>91</v>
      </c>
      <c r="BB1585" s="2">
        <v>44378.578518518516</v>
      </c>
      <c r="BC1585" s="2">
        <v>44589.485138888886</v>
      </c>
      <c r="BD1585" t="s">
        <v>91</v>
      </c>
      <c r="BF1585" s="1" t="s">
        <v>75</v>
      </c>
      <c r="BH1585">
        <v>0</v>
      </c>
      <c r="BI1585" s="1" t="s">
        <v>88</v>
      </c>
      <c r="BJ1585">
        <v>1</v>
      </c>
      <c r="BK1585" s="1" t="s">
        <v>89</v>
      </c>
      <c r="BL1585" t="s">
        <v>91</v>
      </c>
      <c r="BM1585" s="1" t="s">
        <v>109</v>
      </c>
      <c r="BN1585" s="1" t="s">
        <v>148</v>
      </c>
      <c r="BO1585" s="1" t="s">
        <v>128</v>
      </c>
      <c r="BP1585" s="1" t="s">
        <v>91</v>
      </c>
      <c r="BQ1585" t="s">
        <v>91</v>
      </c>
      <c r="BR1585" s="3">
        <v>44378</v>
      </c>
      <c r="BS1585" s="3">
        <v>44589</v>
      </c>
      <c r="BT1585" t="s">
        <v>91</v>
      </c>
      <c r="BU1585" t="s">
        <v>91</v>
      </c>
      <c r="BW1585" s="1" t="s">
        <v>728</v>
      </c>
    </row>
    <row r="1586" spans="1:75" hidden="1" x14ac:dyDescent="0.35">
      <c r="A1586">
        <v>4351</v>
      </c>
      <c r="B1586" s="1" t="s">
        <v>75</v>
      </c>
      <c r="C1586">
        <v>80</v>
      </c>
      <c r="D1586">
        <v>11121004</v>
      </c>
      <c r="E1586">
        <v>121004</v>
      </c>
      <c r="F1586" s="1" t="s">
        <v>6867</v>
      </c>
      <c r="G1586" s="1" t="s">
        <v>8537</v>
      </c>
      <c r="I1586" s="1" t="s">
        <v>78</v>
      </c>
      <c r="J1586" s="1" t="s">
        <v>8538</v>
      </c>
      <c r="K1586" s="1" t="s">
        <v>8539</v>
      </c>
      <c r="L1586" t="s">
        <v>91</v>
      </c>
      <c r="M1586" t="s">
        <v>91</v>
      </c>
      <c r="N1586" s="1" t="s">
        <v>91</v>
      </c>
      <c r="O1586" t="s">
        <v>91</v>
      </c>
      <c r="P1586" s="1" t="s">
        <v>8540</v>
      </c>
      <c r="Q1586" s="1" t="s">
        <v>5392</v>
      </c>
      <c r="R1586" s="1" t="s">
        <v>370</v>
      </c>
      <c r="T1586">
        <v>89128000</v>
      </c>
      <c r="U1586" s="1" t="s">
        <v>8541</v>
      </c>
      <c r="V1586" s="1" t="s">
        <v>8542</v>
      </c>
      <c r="W1586" s="1" t="s">
        <v>87</v>
      </c>
      <c r="X1586">
        <v>47</v>
      </c>
      <c r="Y1586">
        <v>33771756</v>
      </c>
      <c r="Z1586" t="s">
        <v>91</v>
      </c>
      <c r="AA1586" t="s">
        <v>91</v>
      </c>
      <c r="AB1586" t="s">
        <v>91</v>
      </c>
      <c r="AC1586" t="s">
        <v>91</v>
      </c>
      <c r="AD1586" t="s">
        <v>91</v>
      </c>
      <c r="AE1586" t="s">
        <v>91</v>
      </c>
      <c r="AF1586" t="s">
        <v>91</v>
      </c>
      <c r="AG1586" s="1" t="s">
        <v>91</v>
      </c>
      <c r="AH1586" s="1" t="s">
        <v>91</v>
      </c>
      <c r="AI1586" t="s">
        <v>91</v>
      </c>
      <c r="AM1586" t="s">
        <v>91</v>
      </c>
      <c r="AN1586" t="s">
        <v>91</v>
      </c>
      <c r="AO1586" t="s">
        <v>91</v>
      </c>
      <c r="AP1586" t="s">
        <v>91</v>
      </c>
      <c r="AQ1586" s="1" t="s">
        <v>91</v>
      </c>
      <c r="AR1586" s="1" t="s">
        <v>91</v>
      </c>
      <c r="AS1586" s="1" t="s">
        <v>91</v>
      </c>
      <c r="AT1586" s="1" t="s">
        <v>91</v>
      </c>
      <c r="AU1586" s="1" t="s">
        <v>91</v>
      </c>
      <c r="AV1586" t="s">
        <v>91</v>
      </c>
      <c r="AW1586" t="s">
        <v>91</v>
      </c>
      <c r="AX1586" t="s">
        <v>91</v>
      </c>
      <c r="AY1586" t="s">
        <v>91</v>
      </c>
      <c r="AZ1586" t="s">
        <v>91</v>
      </c>
      <c r="BA1586" t="s">
        <v>91</v>
      </c>
      <c r="BB1586" s="2">
        <v>43342.723379629628</v>
      </c>
      <c r="BC1586" s="2"/>
      <c r="BD1586" t="s">
        <v>91</v>
      </c>
      <c r="BF1586" s="1" t="s">
        <v>75</v>
      </c>
      <c r="BI1586" s="1" t="s">
        <v>88</v>
      </c>
      <c r="BJ1586">
        <v>1</v>
      </c>
      <c r="BK1586" s="1" t="s">
        <v>89</v>
      </c>
      <c r="BL1586" t="s">
        <v>91</v>
      </c>
      <c r="BM1586" s="1" t="s">
        <v>109</v>
      </c>
      <c r="BN1586" s="1" t="s">
        <v>110</v>
      </c>
      <c r="BO1586" s="1" t="s">
        <v>180</v>
      </c>
      <c r="BP1586" s="1" t="s">
        <v>91</v>
      </c>
      <c r="BQ1586" t="s">
        <v>91</v>
      </c>
      <c r="BR1586" s="3">
        <v>43342</v>
      </c>
      <c r="BS1586" s="3"/>
      <c r="BT1586" t="s">
        <v>91</v>
      </c>
      <c r="BU1586" t="s">
        <v>91</v>
      </c>
      <c r="BV1586">
        <v>9</v>
      </c>
      <c r="BW1586" s="1" t="s">
        <v>90</v>
      </c>
    </row>
    <row r="1587" spans="1:75" hidden="1" x14ac:dyDescent="0.35">
      <c r="A1587">
        <v>137801</v>
      </c>
      <c r="B1587" s="1" t="s">
        <v>75</v>
      </c>
      <c r="C1587">
        <v>80</v>
      </c>
      <c r="D1587">
        <v>11121004</v>
      </c>
      <c r="E1587">
        <v>121004</v>
      </c>
      <c r="F1587" s="1" t="s">
        <v>6867</v>
      </c>
      <c r="G1587" s="1" t="s">
        <v>8543</v>
      </c>
      <c r="H1587">
        <v>0</v>
      </c>
      <c r="I1587" s="1" t="s">
        <v>78</v>
      </c>
      <c r="J1587" s="1" t="s">
        <v>8544</v>
      </c>
      <c r="K1587" s="1" t="s">
        <v>8545</v>
      </c>
      <c r="L1587" t="s">
        <v>91</v>
      </c>
      <c r="M1587" t="s">
        <v>91</v>
      </c>
      <c r="N1587" s="1" t="s">
        <v>8546</v>
      </c>
      <c r="O1587" t="s">
        <v>91</v>
      </c>
      <c r="P1587" s="1" t="s">
        <v>873</v>
      </c>
      <c r="Q1587" s="1" t="s">
        <v>1778</v>
      </c>
      <c r="R1587" s="1" t="s">
        <v>91</v>
      </c>
      <c r="S1587">
        <v>1275</v>
      </c>
      <c r="T1587">
        <v>89120000</v>
      </c>
      <c r="U1587" s="1" t="s">
        <v>108</v>
      </c>
      <c r="V1587" s="1" t="s">
        <v>7364</v>
      </c>
      <c r="W1587" s="1" t="s">
        <v>87</v>
      </c>
      <c r="X1587">
        <v>47</v>
      </c>
      <c r="Y1587">
        <v>33824159</v>
      </c>
      <c r="Z1587" t="s">
        <v>91</v>
      </c>
      <c r="AA1587" t="s">
        <v>91</v>
      </c>
      <c r="AB1587" t="s">
        <v>91</v>
      </c>
      <c r="AC1587" t="s">
        <v>91</v>
      </c>
      <c r="AD1587" t="s">
        <v>91</v>
      </c>
      <c r="AE1587" t="s">
        <v>91</v>
      </c>
      <c r="AF1587" t="s">
        <v>91</v>
      </c>
      <c r="AG1587" s="1" t="s">
        <v>146</v>
      </c>
      <c r="AH1587" s="1" t="s">
        <v>91</v>
      </c>
      <c r="AI1587" t="s">
        <v>91</v>
      </c>
      <c r="AM1587" t="s">
        <v>91</v>
      </c>
      <c r="AN1587" t="s">
        <v>91</v>
      </c>
      <c r="AO1587" t="s">
        <v>91</v>
      </c>
      <c r="AP1587" t="s">
        <v>91</v>
      </c>
      <c r="AQ1587" s="1" t="s">
        <v>147</v>
      </c>
      <c r="AR1587" s="1" t="s">
        <v>147</v>
      </c>
      <c r="AS1587" s="1" t="s">
        <v>147</v>
      </c>
      <c r="AT1587" s="1" t="s">
        <v>147</v>
      </c>
      <c r="AU1587" s="1" t="s">
        <v>147</v>
      </c>
      <c r="AV1587" t="s">
        <v>91</v>
      </c>
      <c r="AW1587" t="s">
        <v>91</v>
      </c>
      <c r="AX1587" t="s">
        <v>91</v>
      </c>
      <c r="AY1587" t="s">
        <v>91</v>
      </c>
      <c r="AZ1587" t="s">
        <v>91</v>
      </c>
      <c r="BA1587" t="s">
        <v>91</v>
      </c>
      <c r="BB1587" s="2">
        <v>44378.578518518516</v>
      </c>
      <c r="BC1587" s="2">
        <v>44397.491226851853</v>
      </c>
      <c r="BD1587" t="s">
        <v>91</v>
      </c>
      <c r="BF1587" s="1" t="s">
        <v>75</v>
      </c>
      <c r="BH1587">
        <v>0</v>
      </c>
      <c r="BI1587" s="1" t="s">
        <v>88</v>
      </c>
      <c r="BJ1587">
        <v>1</v>
      </c>
      <c r="BK1587" s="1" t="s">
        <v>89</v>
      </c>
      <c r="BL1587" t="s">
        <v>91</v>
      </c>
      <c r="BM1587" s="1" t="s">
        <v>329</v>
      </c>
      <c r="BN1587" s="1" t="s">
        <v>110</v>
      </c>
      <c r="BO1587" s="1" t="s">
        <v>165</v>
      </c>
      <c r="BP1587" s="1" t="s">
        <v>91</v>
      </c>
      <c r="BQ1587" t="s">
        <v>91</v>
      </c>
      <c r="BR1587" s="3">
        <v>44378</v>
      </c>
      <c r="BS1587" s="3">
        <v>44397</v>
      </c>
      <c r="BT1587" t="s">
        <v>91</v>
      </c>
      <c r="BU1587" t="s">
        <v>91</v>
      </c>
      <c r="BW1587" s="1" t="s">
        <v>1260</v>
      </c>
    </row>
    <row r="1588" spans="1:75" hidden="1" x14ac:dyDescent="0.35">
      <c r="A1588">
        <v>137802</v>
      </c>
      <c r="B1588" s="1" t="s">
        <v>75</v>
      </c>
      <c r="C1588">
        <v>80</v>
      </c>
      <c r="D1588">
        <v>11121004</v>
      </c>
      <c r="E1588">
        <v>121004</v>
      </c>
      <c r="F1588" s="1" t="s">
        <v>6867</v>
      </c>
      <c r="G1588" s="1" t="s">
        <v>8547</v>
      </c>
      <c r="H1588">
        <v>0</v>
      </c>
      <c r="I1588" s="1" t="s">
        <v>78</v>
      </c>
      <c r="J1588" s="1" t="s">
        <v>8548</v>
      </c>
      <c r="K1588" s="1" t="s">
        <v>8549</v>
      </c>
      <c r="L1588" t="s">
        <v>91</v>
      </c>
      <c r="M1588" t="s">
        <v>91</v>
      </c>
      <c r="N1588" s="1" t="s">
        <v>91</v>
      </c>
      <c r="O1588" t="s">
        <v>91</v>
      </c>
      <c r="P1588" s="1" t="s">
        <v>3970</v>
      </c>
      <c r="Q1588" s="1" t="s">
        <v>1436</v>
      </c>
      <c r="R1588" s="1" t="s">
        <v>236</v>
      </c>
      <c r="S1588">
        <v>1263</v>
      </c>
      <c r="T1588">
        <v>88380000</v>
      </c>
      <c r="U1588" s="1" t="s">
        <v>108</v>
      </c>
      <c r="V1588" s="1" t="s">
        <v>7523</v>
      </c>
      <c r="W1588" s="1" t="s">
        <v>87</v>
      </c>
      <c r="X1588">
        <v>47</v>
      </c>
      <c r="Y1588">
        <v>33454914</v>
      </c>
      <c r="Z1588" t="s">
        <v>91</v>
      </c>
      <c r="AA1588" t="s">
        <v>91</v>
      </c>
      <c r="AB1588" t="s">
        <v>91</v>
      </c>
      <c r="AC1588" t="s">
        <v>91</v>
      </c>
      <c r="AD1588" t="s">
        <v>91</v>
      </c>
      <c r="AE1588" t="s">
        <v>91</v>
      </c>
      <c r="AF1588" t="s">
        <v>91</v>
      </c>
      <c r="AG1588" s="1" t="s">
        <v>146</v>
      </c>
      <c r="AH1588" s="1" t="s">
        <v>91</v>
      </c>
      <c r="AI1588" t="s">
        <v>91</v>
      </c>
      <c r="AM1588" t="s">
        <v>91</v>
      </c>
      <c r="AN1588" t="s">
        <v>91</v>
      </c>
      <c r="AO1588" t="s">
        <v>91</v>
      </c>
      <c r="AP1588" t="s">
        <v>91</v>
      </c>
      <c r="AQ1588" s="1" t="s">
        <v>147</v>
      </c>
      <c r="AR1588" s="1" t="s">
        <v>147</v>
      </c>
      <c r="AS1588" s="1" t="s">
        <v>147</v>
      </c>
      <c r="AT1588" s="1" t="s">
        <v>147</v>
      </c>
      <c r="AU1588" s="1" t="s">
        <v>147</v>
      </c>
      <c r="AV1588" t="s">
        <v>91</v>
      </c>
      <c r="AW1588" t="s">
        <v>91</v>
      </c>
      <c r="AX1588" t="s">
        <v>91</v>
      </c>
      <c r="AY1588" t="s">
        <v>91</v>
      </c>
      <c r="AZ1588" t="s">
        <v>91</v>
      </c>
      <c r="BA1588" t="s">
        <v>91</v>
      </c>
      <c r="BB1588" s="2">
        <v>44378.578518518516</v>
      </c>
      <c r="BC1588" s="2">
        <v>44866.363993055558</v>
      </c>
      <c r="BD1588" t="s">
        <v>91</v>
      </c>
      <c r="BF1588" s="1" t="s">
        <v>75</v>
      </c>
      <c r="BH1588">
        <v>0</v>
      </c>
      <c r="BI1588" s="1" t="s">
        <v>88</v>
      </c>
      <c r="BJ1588">
        <v>1</v>
      </c>
      <c r="BK1588" s="1" t="s">
        <v>89</v>
      </c>
      <c r="BL1588" t="s">
        <v>91</v>
      </c>
      <c r="BM1588" s="1" t="s">
        <v>329</v>
      </c>
      <c r="BN1588" s="1" t="s">
        <v>110</v>
      </c>
      <c r="BO1588" s="1" t="s">
        <v>165</v>
      </c>
      <c r="BP1588" s="1" t="s">
        <v>91</v>
      </c>
      <c r="BQ1588" t="s">
        <v>91</v>
      </c>
      <c r="BR1588" s="3">
        <v>44378</v>
      </c>
      <c r="BS1588" s="3">
        <v>44866</v>
      </c>
      <c r="BT1588" t="s">
        <v>91</v>
      </c>
      <c r="BU1588" t="s">
        <v>91</v>
      </c>
      <c r="BW1588" s="1" t="s">
        <v>255</v>
      </c>
    </row>
    <row r="1589" spans="1:75" hidden="1" x14ac:dyDescent="0.35">
      <c r="A1589">
        <v>137804</v>
      </c>
      <c r="B1589" s="1" t="s">
        <v>75</v>
      </c>
      <c r="C1589">
        <v>80</v>
      </c>
      <c r="D1589">
        <v>11121004</v>
      </c>
      <c r="E1589">
        <v>121004</v>
      </c>
      <c r="F1589" s="1" t="s">
        <v>6867</v>
      </c>
      <c r="G1589" s="1" t="s">
        <v>8550</v>
      </c>
      <c r="H1589">
        <v>0</v>
      </c>
      <c r="I1589" s="1" t="s">
        <v>78</v>
      </c>
      <c r="J1589" s="1" t="s">
        <v>8551</v>
      </c>
      <c r="K1589" s="1" t="s">
        <v>8552</v>
      </c>
      <c r="L1589" t="s">
        <v>91</v>
      </c>
      <c r="M1589" t="s">
        <v>91</v>
      </c>
      <c r="N1589" s="1" t="s">
        <v>8553</v>
      </c>
      <c r="O1589" t="s">
        <v>91</v>
      </c>
      <c r="P1589" s="1" t="s">
        <v>475</v>
      </c>
      <c r="Q1589" s="1" t="s">
        <v>8247</v>
      </c>
      <c r="R1589" s="1" t="s">
        <v>8554</v>
      </c>
      <c r="S1589">
        <v>1262</v>
      </c>
      <c r="T1589">
        <v>88330045</v>
      </c>
      <c r="U1589" s="1" t="s">
        <v>108</v>
      </c>
      <c r="V1589" s="1" t="s">
        <v>6898</v>
      </c>
      <c r="W1589" s="1" t="s">
        <v>87</v>
      </c>
      <c r="Z1589" t="s">
        <v>91</v>
      </c>
      <c r="AA1589" t="s">
        <v>91</v>
      </c>
      <c r="AB1589" t="s">
        <v>91</v>
      </c>
      <c r="AC1589" t="s">
        <v>91</v>
      </c>
      <c r="AD1589" t="s">
        <v>91</v>
      </c>
      <c r="AE1589" t="s">
        <v>91</v>
      </c>
      <c r="AF1589" t="s">
        <v>91</v>
      </c>
      <c r="AG1589" s="1" t="s">
        <v>146</v>
      </c>
      <c r="AH1589" s="1" t="s">
        <v>91</v>
      </c>
      <c r="AI1589" t="s">
        <v>91</v>
      </c>
      <c r="AM1589" t="s">
        <v>91</v>
      </c>
      <c r="AN1589" t="s">
        <v>91</v>
      </c>
      <c r="AO1589" t="s">
        <v>91</v>
      </c>
      <c r="AP1589" t="s">
        <v>91</v>
      </c>
      <c r="AQ1589" s="1" t="s">
        <v>147</v>
      </c>
      <c r="AR1589" s="1" t="s">
        <v>147</v>
      </c>
      <c r="AS1589" s="1" t="s">
        <v>147</v>
      </c>
      <c r="AT1589" s="1" t="s">
        <v>147</v>
      </c>
      <c r="AU1589" s="1" t="s">
        <v>147</v>
      </c>
      <c r="AV1589" t="s">
        <v>91</v>
      </c>
      <c r="AW1589" t="s">
        <v>91</v>
      </c>
      <c r="AX1589" t="s">
        <v>91</v>
      </c>
      <c r="AY1589" t="s">
        <v>91</v>
      </c>
      <c r="AZ1589" t="s">
        <v>91</v>
      </c>
      <c r="BA1589" t="s">
        <v>91</v>
      </c>
      <c r="BB1589" s="2">
        <v>44378.578518518516</v>
      </c>
      <c r="BC1589" s="2">
        <v>45120.649629629632</v>
      </c>
      <c r="BD1589" t="s">
        <v>91</v>
      </c>
      <c r="BF1589" s="1" t="s">
        <v>75</v>
      </c>
      <c r="BH1589">
        <v>0</v>
      </c>
      <c r="BI1589" s="1" t="s">
        <v>721</v>
      </c>
      <c r="BJ1589">
        <v>1</v>
      </c>
      <c r="BK1589" s="1" t="s">
        <v>89</v>
      </c>
      <c r="BL1589" t="s">
        <v>91</v>
      </c>
      <c r="BM1589" s="1" t="s">
        <v>109</v>
      </c>
      <c r="BN1589" s="1" t="s">
        <v>110</v>
      </c>
      <c r="BO1589" s="1" t="s">
        <v>91</v>
      </c>
      <c r="BP1589" s="1" t="s">
        <v>91</v>
      </c>
      <c r="BQ1589" t="s">
        <v>91</v>
      </c>
      <c r="BR1589" s="3">
        <v>44378</v>
      </c>
      <c r="BS1589" s="3">
        <v>45120</v>
      </c>
      <c r="BT1589" t="s">
        <v>91</v>
      </c>
      <c r="BU1589" t="s">
        <v>91</v>
      </c>
      <c r="BW1589" s="1" t="s">
        <v>255</v>
      </c>
    </row>
    <row r="1590" spans="1:75" hidden="1" x14ac:dyDescent="0.35">
      <c r="A1590">
        <v>137805</v>
      </c>
      <c r="B1590" s="1" t="s">
        <v>75</v>
      </c>
      <c r="C1590">
        <v>80</v>
      </c>
      <c r="D1590">
        <v>11121004</v>
      </c>
      <c r="E1590">
        <v>121004</v>
      </c>
      <c r="F1590" s="1" t="s">
        <v>6867</v>
      </c>
      <c r="G1590" s="1" t="s">
        <v>8555</v>
      </c>
      <c r="H1590">
        <v>0</v>
      </c>
      <c r="I1590" s="1" t="s">
        <v>78</v>
      </c>
      <c r="J1590" s="1" t="s">
        <v>8556</v>
      </c>
      <c r="K1590" s="1" t="s">
        <v>8557</v>
      </c>
      <c r="L1590" t="s">
        <v>91</v>
      </c>
      <c r="M1590" t="s">
        <v>91</v>
      </c>
      <c r="N1590" s="1" t="s">
        <v>7107</v>
      </c>
      <c r="O1590" t="s">
        <v>91</v>
      </c>
      <c r="P1590" s="1" t="s">
        <v>7372</v>
      </c>
      <c r="Q1590" s="1" t="s">
        <v>1143</v>
      </c>
      <c r="R1590" s="1" t="s">
        <v>91</v>
      </c>
      <c r="S1590">
        <v>1263</v>
      </c>
      <c r="T1590">
        <v>88350001</v>
      </c>
      <c r="U1590" s="1" t="s">
        <v>108</v>
      </c>
      <c r="V1590" s="1" t="s">
        <v>6936</v>
      </c>
      <c r="W1590" s="1" t="s">
        <v>87</v>
      </c>
      <c r="X1590">
        <v>47</v>
      </c>
      <c r="Y1590">
        <v>32510770</v>
      </c>
      <c r="Z1590" t="s">
        <v>91</v>
      </c>
      <c r="AA1590" t="s">
        <v>91</v>
      </c>
      <c r="AB1590" t="s">
        <v>91</v>
      </c>
      <c r="AC1590" t="s">
        <v>91</v>
      </c>
      <c r="AD1590" t="s">
        <v>91</v>
      </c>
      <c r="AE1590" t="s">
        <v>91</v>
      </c>
      <c r="AF1590" t="s">
        <v>91</v>
      </c>
      <c r="AG1590" s="1" t="s">
        <v>146</v>
      </c>
      <c r="AH1590" s="1" t="s">
        <v>91</v>
      </c>
      <c r="AI1590" t="s">
        <v>91</v>
      </c>
      <c r="AM1590" t="s">
        <v>91</v>
      </c>
      <c r="AN1590" t="s">
        <v>91</v>
      </c>
      <c r="AO1590" t="s">
        <v>91</v>
      </c>
      <c r="AP1590" t="s">
        <v>91</v>
      </c>
      <c r="AQ1590" s="1" t="s">
        <v>147</v>
      </c>
      <c r="AR1590" s="1" t="s">
        <v>147</v>
      </c>
      <c r="AS1590" s="1" t="s">
        <v>147</v>
      </c>
      <c r="AT1590" s="1" t="s">
        <v>147</v>
      </c>
      <c r="AU1590" s="1" t="s">
        <v>147</v>
      </c>
      <c r="AV1590" t="s">
        <v>91</v>
      </c>
      <c r="AW1590" t="s">
        <v>91</v>
      </c>
      <c r="AX1590" t="s">
        <v>91</v>
      </c>
      <c r="AY1590" t="s">
        <v>91</v>
      </c>
      <c r="AZ1590" t="s">
        <v>91</v>
      </c>
      <c r="BA1590" t="s">
        <v>91</v>
      </c>
      <c r="BB1590" s="2">
        <v>44378.578518518516</v>
      </c>
      <c r="BC1590" s="2">
        <v>45127.697372685187</v>
      </c>
      <c r="BD1590" t="s">
        <v>91</v>
      </c>
      <c r="BF1590" s="1" t="s">
        <v>75</v>
      </c>
      <c r="BH1590">
        <v>0</v>
      </c>
      <c r="BI1590" s="1" t="s">
        <v>721</v>
      </c>
      <c r="BJ1590">
        <v>1</v>
      </c>
      <c r="BK1590" s="1" t="s">
        <v>89</v>
      </c>
      <c r="BL1590" t="s">
        <v>91</v>
      </c>
      <c r="BM1590" s="1" t="s">
        <v>164</v>
      </c>
      <c r="BN1590" s="1" t="s">
        <v>110</v>
      </c>
      <c r="BO1590" s="1" t="s">
        <v>165</v>
      </c>
      <c r="BP1590" s="1" t="s">
        <v>91</v>
      </c>
      <c r="BQ1590" t="s">
        <v>91</v>
      </c>
      <c r="BR1590" s="3">
        <v>44378</v>
      </c>
      <c r="BS1590" s="3">
        <v>45127</v>
      </c>
      <c r="BT1590" t="s">
        <v>91</v>
      </c>
      <c r="BU1590" t="s">
        <v>91</v>
      </c>
      <c r="BW1590" s="1" t="s">
        <v>120</v>
      </c>
    </row>
    <row r="1591" spans="1:75" hidden="1" x14ac:dyDescent="0.35">
      <c r="A1591">
        <v>137806</v>
      </c>
      <c r="B1591" s="1" t="s">
        <v>75</v>
      </c>
      <c r="C1591">
        <v>80</v>
      </c>
      <c r="D1591">
        <v>11121004</v>
      </c>
      <c r="E1591">
        <v>121004</v>
      </c>
      <c r="F1591" s="1" t="s">
        <v>6867</v>
      </c>
      <c r="G1591" s="1" t="s">
        <v>8558</v>
      </c>
      <c r="H1591">
        <v>0</v>
      </c>
      <c r="I1591" s="1" t="s">
        <v>78</v>
      </c>
      <c r="J1591" s="1" t="s">
        <v>8559</v>
      </c>
      <c r="K1591" s="1" t="s">
        <v>8560</v>
      </c>
      <c r="L1591" t="s">
        <v>91</v>
      </c>
      <c r="M1591" t="s">
        <v>91</v>
      </c>
      <c r="N1591" s="1" t="s">
        <v>8561</v>
      </c>
      <c r="O1591" t="s">
        <v>91</v>
      </c>
      <c r="P1591" s="1" t="s">
        <v>260</v>
      </c>
      <c r="Q1591" s="1" t="s">
        <v>1205</v>
      </c>
      <c r="R1591" s="1" t="s">
        <v>820</v>
      </c>
      <c r="T1591">
        <v>89080024</v>
      </c>
      <c r="U1591" s="1" t="s">
        <v>108</v>
      </c>
      <c r="V1591" s="1" t="s">
        <v>7659</v>
      </c>
      <c r="W1591" s="1" t="s">
        <v>87</v>
      </c>
      <c r="X1591">
        <v>47</v>
      </c>
      <c r="Y1591">
        <v>33338889</v>
      </c>
      <c r="Z1591" t="s">
        <v>91</v>
      </c>
      <c r="AA1591" t="s">
        <v>91</v>
      </c>
      <c r="AB1591" t="s">
        <v>91</v>
      </c>
      <c r="AC1591" t="s">
        <v>91</v>
      </c>
      <c r="AD1591" t="s">
        <v>91</v>
      </c>
      <c r="AE1591" t="s">
        <v>91</v>
      </c>
      <c r="AF1591" t="s">
        <v>91</v>
      </c>
      <c r="AG1591" s="1" t="s">
        <v>146</v>
      </c>
      <c r="AH1591" s="1" t="s">
        <v>91</v>
      </c>
      <c r="AI1591" t="s">
        <v>91</v>
      </c>
      <c r="AM1591" t="s">
        <v>91</v>
      </c>
      <c r="AN1591" t="s">
        <v>91</v>
      </c>
      <c r="AO1591" t="s">
        <v>91</v>
      </c>
      <c r="AP1591" t="s">
        <v>91</v>
      </c>
      <c r="AQ1591" s="1" t="s">
        <v>147</v>
      </c>
      <c r="AR1591" s="1" t="s">
        <v>147</v>
      </c>
      <c r="AS1591" s="1" t="s">
        <v>147</v>
      </c>
      <c r="AT1591" s="1" t="s">
        <v>147</v>
      </c>
      <c r="AU1591" s="1" t="s">
        <v>147</v>
      </c>
      <c r="AV1591" t="s">
        <v>91</v>
      </c>
      <c r="AW1591" t="s">
        <v>91</v>
      </c>
      <c r="AX1591" t="s">
        <v>91</v>
      </c>
      <c r="AY1591" t="s">
        <v>91</v>
      </c>
      <c r="AZ1591" t="s">
        <v>91</v>
      </c>
      <c r="BA1591" t="s">
        <v>91</v>
      </c>
      <c r="BB1591" s="2">
        <v>44378.578518518516</v>
      </c>
      <c r="BC1591" s="2">
        <v>45117.604224537034</v>
      </c>
      <c r="BD1591" t="s">
        <v>91</v>
      </c>
      <c r="BF1591" s="1" t="s">
        <v>75</v>
      </c>
      <c r="BH1591">
        <v>0</v>
      </c>
      <c r="BI1591" s="1" t="s">
        <v>88</v>
      </c>
      <c r="BJ1591">
        <v>1</v>
      </c>
      <c r="BK1591" s="1" t="s">
        <v>89</v>
      </c>
      <c r="BL1591" t="s">
        <v>91</v>
      </c>
      <c r="BM1591" s="1" t="s">
        <v>109</v>
      </c>
      <c r="BN1591" s="1" t="s">
        <v>110</v>
      </c>
      <c r="BO1591" s="1" t="s">
        <v>180</v>
      </c>
      <c r="BP1591" s="1" t="s">
        <v>91</v>
      </c>
      <c r="BQ1591" t="s">
        <v>91</v>
      </c>
      <c r="BR1591" s="3">
        <v>44378</v>
      </c>
      <c r="BS1591" s="3">
        <v>45117</v>
      </c>
      <c r="BT1591" t="s">
        <v>91</v>
      </c>
      <c r="BU1591" t="s">
        <v>91</v>
      </c>
      <c r="BW1591" s="1" t="s">
        <v>295</v>
      </c>
    </row>
    <row r="1592" spans="1:75" hidden="1" x14ac:dyDescent="0.35">
      <c r="A1592">
        <v>137807</v>
      </c>
      <c r="B1592" s="1" t="s">
        <v>75</v>
      </c>
      <c r="C1592">
        <v>80</v>
      </c>
      <c r="D1592">
        <v>11121004</v>
      </c>
      <c r="E1592">
        <v>121004</v>
      </c>
      <c r="F1592" s="1" t="s">
        <v>6867</v>
      </c>
      <c r="G1592" s="1" t="s">
        <v>8562</v>
      </c>
      <c r="H1592">
        <v>0</v>
      </c>
      <c r="I1592" s="1" t="s">
        <v>78</v>
      </c>
      <c r="J1592" s="1" t="s">
        <v>8563</v>
      </c>
      <c r="K1592" s="1" t="s">
        <v>8564</v>
      </c>
      <c r="L1592" t="s">
        <v>91</v>
      </c>
      <c r="M1592" t="s">
        <v>91</v>
      </c>
      <c r="N1592" s="1" t="s">
        <v>8438</v>
      </c>
      <c r="O1592" t="s">
        <v>91</v>
      </c>
      <c r="P1592" s="1" t="s">
        <v>260</v>
      </c>
      <c r="Q1592" s="1" t="s">
        <v>1205</v>
      </c>
      <c r="R1592" s="1" t="s">
        <v>820</v>
      </c>
      <c r="T1592">
        <v>89080024</v>
      </c>
      <c r="U1592" s="1" t="s">
        <v>108</v>
      </c>
      <c r="V1592" s="1" t="s">
        <v>7659</v>
      </c>
      <c r="W1592" s="1" t="s">
        <v>87</v>
      </c>
      <c r="X1592">
        <v>47</v>
      </c>
      <c r="Y1592">
        <v>33338889</v>
      </c>
      <c r="Z1592" t="s">
        <v>91</v>
      </c>
      <c r="AA1592" t="s">
        <v>91</v>
      </c>
      <c r="AB1592" t="s">
        <v>91</v>
      </c>
      <c r="AC1592" t="s">
        <v>91</v>
      </c>
      <c r="AD1592" t="s">
        <v>91</v>
      </c>
      <c r="AE1592" t="s">
        <v>91</v>
      </c>
      <c r="AF1592" t="s">
        <v>91</v>
      </c>
      <c r="AG1592" s="1" t="s">
        <v>146</v>
      </c>
      <c r="AH1592" s="1" t="s">
        <v>91</v>
      </c>
      <c r="AI1592" t="s">
        <v>91</v>
      </c>
      <c r="AM1592" t="s">
        <v>91</v>
      </c>
      <c r="AN1592" t="s">
        <v>91</v>
      </c>
      <c r="AO1592" t="s">
        <v>91</v>
      </c>
      <c r="AP1592" t="s">
        <v>91</v>
      </c>
      <c r="AQ1592" s="1" t="s">
        <v>147</v>
      </c>
      <c r="AR1592" s="1" t="s">
        <v>147</v>
      </c>
      <c r="AS1592" s="1" t="s">
        <v>147</v>
      </c>
      <c r="AT1592" s="1" t="s">
        <v>147</v>
      </c>
      <c r="AU1592" s="1" t="s">
        <v>147</v>
      </c>
      <c r="AV1592" t="s">
        <v>91</v>
      </c>
      <c r="AW1592" t="s">
        <v>91</v>
      </c>
      <c r="AX1592" t="s">
        <v>91</v>
      </c>
      <c r="AY1592" t="s">
        <v>91</v>
      </c>
      <c r="AZ1592" t="s">
        <v>91</v>
      </c>
      <c r="BA1592" t="s">
        <v>91</v>
      </c>
      <c r="BB1592" s="2">
        <v>44378.578518518516</v>
      </c>
      <c r="BC1592" s="2">
        <v>45118.634884259256</v>
      </c>
      <c r="BD1592" t="s">
        <v>91</v>
      </c>
      <c r="BF1592" s="1" t="s">
        <v>75</v>
      </c>
      <c r="BH1592">
        <v>0</v>
      </c>
      <c r="BI1592" s="1" t="s">
        <v>721</v>
      </c>
      <c r="BJ1592">
        <v>1</v>
      </c>
      <c r="BK1592" s="1" t="s">
        <v>89</v>
      </c>
      <c r="BL1592" t="s">
        <v>91</v>
      </c>
      <c r="BM1592" s="1" t="s">
        <v>109</v>
      </c>
      <c r="BN1592" s="1" t="s">
        <v>110</v>
      </c>
      <c r="BO1592" s="1" t="s">
        <v>91</v>
      </c>
      <c r="BP1592" s="1" t="s">
        <v>91</v>
      </c>
      <c r="BQ1592" t="s">
        <v>91</v>
      </c>
      <c r="BR1592" s="3">
        <v>44378</v>
      </c>
      <c r="BS1592" s="3">
        <v>45118</v>
      </c>
      <c r="BT1592" t="s">
        <v>91</v>
      </c>
      <c r="BU1592" t="s">
        <v>91</v>
      </c>
      <c r="BW1592" s="1" t="s">
        <v>295</v>
      </c>
    </row>
    <row r="1593" spans="1:75" hidden="1" x14ac:dyDescent="0.35">
      <c r="A1593">
        <v>137808</v>
      </c>
      <c r="B1593" s="1" t="s">
        <v>75</v>
      </c>
      <c r="C1593">
        <v>80</v>
      </c>
      <c r="D1593">
        <v>11121004</v>
      </c>
      <c r="E1593">
        <v>121004</v>
      </c>
      <c r="F1593" s="1" t="s">
        <v>6867</v>
      </c>
      <c r="G1593" s="1" t="s">
        <v>8565</v>
      </c>
      <c r="H1593">
        <v>0</v>
      </c>
      <c r="I1593" s="1" t="s">
        <v>78</v>
      </c>
      <c r="J1593" s="1" t="s">
        <v>8563</v>
      </c>
      <c r="K1593" s="1" t="s">
        <v>8566</v>
      </c>
      <c r="L1593" t="s">
        <v>91</v>
      </c>
      <c r="M1593" t="s">
        <v>91</v>
      </c>
      <c r="N1593" s="1" t="s">
        <v>8438</v>
      </c>
      <c r="O1593" t="s">
        <v>91</v>
      </c>
      <c r="P1593" s="1" t="s">
        <v>873</v>
      </c>
      <c r="Q1593" s="1" t="s">
        <v>1205</v>
      </c>
      <c r="R1593" s="1" t="s">
        <v>820</v>
      </c>
      <c r="T1593">
        <v>89080024</v>
      </c>
      <c r="U1593" s="1" t="s">
        <v>108</v>
      </c>
      <c r="V1593" s="1" t="s">
        <v>7659</v>
      </c>
      <c r="W1593" s="1" t="s">
        <v>87</v>
      </c>
      <c r="X1593">
        <v>47</v>
      </c>
      <c r="Y1593">
        <v>33338889</v>
      </c>
      <c r="Z1593" t="s">
        <v>91</v>
      </c>
      <c r="AA1593" t="s">
        <v>91</v>
      </c>
      <c r="AB1593" t="s">
        <v>91</v>
      </c>
      <c r="AC1593" t="s">
        <v>91</v>
      </c>
      <c r="AD1593" t="s">
        <v>91</v>
      </c>
      <c r="AE1593" t="s">
        <v>91</v>
      </c>
      <c r="AF1593" t="s">
        <v>91</v>
      </c>
      <c r="AG1593" s="1" t="s">
        <v>146</v>
      </c>
      <c r="AH1593" s="1" t="s">
        <v>91</v>
      </c>
      <c r="AI1593" t="s">
        <v>91</v>
      </c>
      <c r="AM1593" t="s">
        <v>91</v>
      </c>
      <c r="AN1593" t="s">
        <v>91</v>
      </c>
      <c r="AO1593" t="s">
        <v>91</v>
      </c>
      <c r="AP1593" t="s">
        <v>91</v>
      </c>
      <c r="AQ1593" s="1" t="s">
        <v>147</v>
      </c>
      <c r="AR1593" s="1" t="s">
        <v>147</v>
      </c>
      <c r="AS1593" s="1" t="s">
        <v>147</v>
      </c>
      <c r="AT1593" s="1" t="s">
        <v>147</v>
      </c>
      <c r="AU1593" s="1" t="s">
        <v>147</v>
      </c>
      <c r="AV1593" t="s">
        <v>91</v>
      </c>
      <c r="AW1593" t="s">
        <v>91</v>
      </c>
      <c r="AX1593" t="s">
        <v>91</v>
      </c>
      <c r="AY1593" t="s">
        <v>91</v>
      </c>
      <c r="AZ1593" t="s">
        <v>91</v>
      </c>
      <c r="BA1593" t="s">
        <v>91</v>
      </c>
      <c r="BB1593" s="2">
        <v>44378.578518518516</v>
      </c>
      <c r="BC1593" s="2">
        <v>45117.604872685188</v>
      </c>
      <c r="BD1593" t="s">
        <v>91</v>
      </c>
      <c r="BF1593" s="1" t="s">
        <v>75</v>
      </c>
      <c r="BH1593">
        <v>0</v>
      </c>
      <c r="BI1593" s="1" t="s">
        <v>88</v>
      </c>
      <c r="BJ1593">
        <v>1</v>
      </c>
      <c r="BK1593" s="1" t="s">
        <v>89</v>
      </c>
      <c r="BL1593" t="s">
        <v>91</v>
      </c>
      <c r="BM1593" s="1" t="s">
        <v>329</v>
      </c>
      <c r="BN1593" s="1" t="s">
        <v>110</v>
      </c>
      <c r="BO1593" s="1" t="s">
        <v>165</v>
      </c>
      <c r="BP1593" s="1" t="s">
        <v>91</v>
      </c>
      <c r="BQ1593" t="s">
        <v>91</v>
      </c>
      <c r="BR1593" s="3">
        <v>44378</v>
      </c>
      <c r="BS1593" s="3">
        <v>45117</v>
      </c>
      <c r="BT1593" t="s">
        <v>91</v>
      </c>
      <c r="BU1593" t="s">
        <v>91</v>
      </c>
      <c r="BW1593" s="1" t="s">
        <v>1469</v>
      </c>
    </row>
    <row r="1594" spans="1:75" hidden="1" x14ac:dyDescent="0.35">
      <c r="A1594">
        <v>157777</v>
      </c>
      <c r="B1594" s="1" t="s">
        <v>75</v>
      </c>
      <c r="C1594">
        <v>80</v>
      </c>
      <c r="D1594">
        <v>11121004</v>
      </c>
      <c r="E1594">
        <v>121004</v>
      </c>
      <c r="F1594" s="1" t="s">
        <v>6867</v>
      </c>
      <c r="G1594" s="1" t="s">
        <v>8567</v>
      </c>
      <c r="H1594">
        <v>0</v>
      </c>
      <c r="I1594" s="1" t="s">
        <v>78</v>
      </c>
      <c r="J1594" s="1" t="s">
        <v>8568</v>
      </c>
      <c r="K1594" s="1" t="s">
        <v>8569</v>
      </c>
      <c r="L1594" t="s">
        <v>91</v>
      </c>
      <c r="M1594" t="s">
        <v>91</v>
      </c>
      <c r="N1594" s="1" t="s">
        <v>8570</v>
      </c>
      <c r="O1594" t="s">
        <v>91</v>
      </c>
      <c r="P1594" s="1" t="s">
        <v>7187</v>
      </c>
      <c r="Q1594" s="1" t="s">
        <v>1108</v>
      </c>
      <c r="R1594" s="1" t="s">
        <v>8571</v>
      </c>
      <c r="S1594">
        <v>1260</v>
      </c>
      <c r="T1594">
        <v>88220000</v>
      </c>
      <c r="U1594" s="1" t="s">
        <v>8572</v>
      </c>
      <c r="V1594" s="1" t="s">
        <v>7015</v>
      </c>
      <c r="W1594" s="1" t="s">
        <v>87</v>
      </c>
      <c r="X1594">
        <v>47</v>
      </c>
      <c r="Y1594">
        <v>997810283</v>
      </c>
      <c r="Z1594" t="s">
        <v>91</v>
      </c>
      <c r="AA1594" t="s">
        <v>91</v>
      </c>
      <c r="AB1594" t="s">
        <v>91</v>
      </c>
      <c r="AC1594" t="s">
        <v>91</v>
      </c>
      <c r="AD1594" t="s">
        <v>91</v>
      </c>
      <c r="AE1594" t="s">
        <v>91</v>
      </c>
      <c r="AF1594" t="s">
        <v>91</v>
      </c>
      <c r="AG1594" s="1" t="s">
        <v>91</v>
      </c>
      <c r="AH1594" s="1" t="s">
        <v>91</v>
      </c>
      <c r="AI1594" t="s">
        <v>91</v>
      </c>
      <c r="AM1594" t="s">
        <v>91</v>
      </c>
      <c r="AN1594" t="s">
        <v>91</v>
      </c>
      <c r="AO1594" t="s">
        <v>91</v>
      </c>
      <c r="AP1594" t="s">
        <v>91</v>
      </c>
      <c r="AQ1594" s="1" t="s">
        <v>91</v>
      </c>
      <c r="AR1594" s="1" t="s">
        <v>91</v>
      </c>
      <c r="AS1594" s="1" t="s">
        <v>91</v>
      </c>
      <c r="AT1594" s="1" t="s">
        <v>91</v>
      </c>
      <c r="AU1594" s="1" t="s">
        <v>91</v>
      </c>
      <c r="AV1594" t="s">
        <v>91</v>
      </c>
      <c r="AW1594" t="s">
        <v>91</v>
      </c>
      <c r="AX1594" t="s">
        <v>91</v>
      </c>
      <c r="AY1594" t="s">
        <v>91</v>
      </c>
      <c r="AZ1594" t="s">
        <v>91</v>
      </c>
      <c r="BA1594" t="s">
        <v>91</v>
      </c>
      <c r="BB1594" s="2">
        <v>45118.101759259262</v>
      </c>
      <c r="BC1594" s="2"/>
      <c r="BD1594" t="s">
        <v>91</v>
      </c>
      <c r="BF1594" s="1" t="s">
        <v>75</v>
      </c>
      <c r="BI1594" s="1" t="s">
        <v>88</v>
      </c>
      <c r="BJ1594">
        <v>1</v>
      </c>
      <c r="BK1594" s="1" t="s">
        <v>89</v>
      </c>
      <c r="BL1594" t="s">
        <v>91</v>
      </c>
      <c r="BM1594" s="1" t="s">
        <v>91</v>
      </c>
      <c r="BN1594" s="1" t="s">
        <v>91</v>
      </c>
      <c r="BO1594" s="1" t="s">
        <v>91</v>
      </c>
      <c r="BP1594" s="1" t="s">
        <v>91</v>
      </c>
      <c r="BQ1594" t="s">
        <v>91</v>
      </c>
      <c r="BR1594" s="3">
        <v>45118</v>
      </c>
      <c r="BS1594" s="3"/>
      <c r="BT1594" t="s">
        <v>91</v>
      </c>
      <c r="BU1594" t="s">
        <v>91</v>
      </c>
      <c r="BW1594" s="1" t="s">
        <v>90</v>
      </c>
    </row>
    <row r="1595" spans="1:75" hidden="1" x14ac:dyDescent="0.35">
      <c r="A1595">
        <v>137810</v>
      </c>
      <c r="B1595" s="1" t="s">
        <v>75</v>
      </c>
      <c r="C1595">
        <v>80</v>
      </c>
      <c r="D1595">
        <v>11121004</v>
      </c>
      <c r="E1595">
        <v>121004</v>
      </c>
      <c r="F1595" s="1" t="s">
        <v>6867</v>
      </c>
      <c r="G1595" s="1" t="s">
        <v>8573</v>
      </c>
      <c r="H1595">
        <v>0</v>
      </c>
      <c r="I1595" s="1" t="s">
        <v>78</v>
      </c>
      <c r="J1595" s="1" t="s">
        <v>8574</v>
      </c>
      <c r="K1595" s="1" t="s">
        <v>8575</v>
      </c>
      <c r="L1595" t="s">
        <v>91</v>
      </c>
      <c r="M1595" t="s">
        <v>91</v>
      </c>
      <c r="N1595" s="1" t="s">
        <v>8576</v>
      </c>
      <c r="O1595" t="s">
        <v>91</v>
      </c>
      <c r="P1595" s="1" t="s">
        <v>292</v>
      </c>
      <c r="Q1595" s="1" t="s">
        <v>657</v>
      </c>
      <c r="R1595" s="1" t="s">
        <v>91</v>
      </c>
      <c r="S1595">
        <v>1276</v>
      </c>
      <c r="T1595">
        <v>89160045</v>
      </c>
      <c r="U1595" s="1" t="s">
        <v>108</v>
      </c>
      <c r="V1595" s="1" t="s">
        <v>6927</v>
      </c>
      <c r="W1595" s="1" t="s">
        <v>87</v>
      </c>
      <c r="X1595">
        <v>47</v>
      </c>
      <c r="Y1595">
        <v>35213311</v>
      </c>
      <c r="Z1595" t="s">
        <v>91</v>
      </c>
      <c r="AA1595" t="s">
        <v>91</v>
      </c>
      <c r="AB1595" t="s">
        <v>91</v>
      </c>
      <c r="AC1595" t="s">
        <v>91</v>
      </c>
      <c r="AD1595" t="s">
        <v>91</v>
      </c>
      <c r="AE1595" t="s">
        <v>91</v>
      </c>
      <c r="AF1595" t="s">
        <v>91</v>
      </c>
      <c r="AG1595" s="1" t="s">
        <v>146</v>
      </c>
      <c r="AH1595" s="1" t="s">
        <v>91</v>
      </c>
      <c r="AI1595" t="s">
        <v>91</v>
      </c>
      <c r="AM1595" t="s">
        <v>91</v>
      </c>
      <c r="AN1595" t="s">
        <v>91</v>
      </c>
      <c r="AO1595" t="s">
        <v>91</v>
      </c>
      <c r="AP1595" t="s">
        <v>91</v>
      </c>
      <c r="AQ1595" s="1" t="s">
        <v>147</v>
      </c>
      <c r="AR1595" s="1" t="s">
        <v>147</v>
      </c>
      <c r="AS1595" s="1" t="s">
        <v>147</v>
      </c>
      <c r="AT1595" s="1" t="s">
        <v>147</v>
      </c>
      <c r="AU1595" s="1" t="s">
        <v>147</v>
      </c>
      <c r="AV1595" t="s">
        <v>91</v>
      </c>
      <c r="AW1595" t="s">
        <v>91</v>
      </c>
      <c r="AX1595" t="s">
        <v>91</v>
      </c>
      <c r="AY1595" t="s">
        <v>91</v>
      </c>
      <c r="AZ1595" t="s">
        <v>91</v>
      </c>
      <c r="BA1595" t="s">
        <v>91</v>
      </c>
      <c r="BB1595" s="2">
        <v>44378.578518518516</v>
      </c>
      <c r="BC1595" s="2">
        <v>44498.70076388889</v>
      </c>
      <c r="BD1595" t="s">
        <v>91</v>
      </c>
      <c r="BF1595" s="1" t="s">
        <v>75</v>
      </c>
      <c r="BH1595">
        <v>0</v>
      </c>
      <c r="BI1595" s="1" t="s">
        <v>88</v>
      </c>
      <c r="BJ1595">
        <v>1</v>
      </c>
      <c r="BK1595" s="1" t="s">
        <v>89</v>
      </c>
      <c r="BL1595" t="s">
        <v>91</v>
      </c>
      <c r="BM1595" s="1" t="s">
        <v>197</v>
      </c>
      <c r="BN1595" s="1" t="s">
        <v>148</v>
      </c>
      <c r="BO1595" s="1" t="s">
        <v>165</v>
      </c>
      <c r="BP1595" s="1" t="s">
        <v>91</v>
      </c>
      <c r="BQ1595" t="s">
        <v>91</v>
      </c>
      <c r="BR1595" s="3">
        <v>44378</v>
      </c>
      <c r="BS1595" s="3">
        <v>44498</v>
      </c>
      <c r="BT1595" t="s">
        <v>91</v>
      </c>
      <c r="BU1595" t="s">
        <v>91</v>
      </c>
      <c r="BW1595" s="1" t="s">
        <v>295</v>
      </c>
    </row>
    <row r="1596" spans="1:75" hidden="1" x14ac:dyDescent="0.35">
      <c r="A1596">
        <v>1317</v>
      </c>
      <c r="B1596" s="1" t="s">
        <v>75</v>
      </c>
      <c r="C1596">
        <v>80</v>
      </c>
      <c r="D1596">
        <v>11121004</v>
      </c>
      <c r="E1596">
        <v>121004</v>
      </c>
      <c r="F1596" s="1" t="s">
        <v>6867</v>
      </c>
      <c r="G1596" s="1" t="s">
        <v>8577</v>
      </c>
      <c r="I1596" s="1" t="s">
        <v>78</v>
      </c>
      <c r="J1596" s="1" t="s">
        <v>8578</v>
      </c>
      <c r="K1596" s="1" t="s">
        <v>8579</v>
      </c>
      <c r="L1596" t="s">
        <v>91</v>
      </c>
      <c r="M1596" t="s">
        <v>91</v>
      </c>
      <c r="N1596" s="1" t="s">
        <v>8580</v>
      </c>
      <c r="O1596" t="s">
        <v>91</v>
      </c>
      <c r="P1596" s="1" t="s">
        <v>8522</v>
      </c>
      <c r="Q1596" s="1" t="s">
        <v>8581</v>
      </c>
      <c r="R1596" s="1" t="s">
        <v>91</v>
      </c>
      <c r="S1596">
        <v>1273</v>
      </c>
      <c r="T1596">
        <v>89040003</v>
      </c>
      <c r="U1596" s="1" t="s">
        <v>7654</v>
      </c>
      <c r="V1596" s="1" t="s">
        <v>3571</v>
      </c>
      <c r="W1596" s="1" t="s">
        <v>87</v>
      </c>
      <c r="X1596">
        <v>47</v>
      </c>
      <c r="Y1596">
        <v>33255479</v>
      </c>
      <c r="Z1596" t="s">
        <v>91</v>
      </c>
      <c r="AA1596" t="s">
        <v>91</v>
      </c>
      <c r="AB1596" t="s">
        <v>91</v>
      </c>
      <c r="AC1596" t="s">
        <v>91</v>
      </c>
      <c r="AD1596" t="s">
        <v>91</v>
      </c>
      <c r="AE1596" t="s">
        <v>91</v>
      </c>
      <c r="AF1596" t="s">
        <v>91</v>
      </c>
      <c r="AG1596" s="1" t="s">
        <v>91</v>
      </c>
      <c r="AH1596" s="1" t="s">
        <v>91</v>
      </c>
      <c r="AI1596" t="s">
        <v>91</v>
      </c>
      <c r="AJ1596">
        <v>0</v>
      </c>
      <c r="AK1596">
        <v>0</v>
      </c>
      <c r="AL1596">
        <v>0</v>
      </c>
      <c r="AM1596" t="s">
        <v>91</v>
      </c>
      <c r="AN1596" t="s">
        <v>91</v>
      </c>
      <c r="AO1596" t="s">
        <v>91</v>
      </c>
      <c r="AP1596" t="s">
        <v>91</v>
      </c>
      <c r="AQ1596" s="1" t="s">
        <v>91</v>
      </c>
      <c r="AR1596" s="1" t="s">
        <v>91</v>
      </c>
      <c r="AS1596" s="1" t="s">
        <v>91</v>
      </c>
      <c r="AT1596" s="1" t="s">
        <v>91</v>
      </c>
      <c r="AU1596" s="1" t="s">
        <v>91</v>
      </c>
      <c r="AV1596" t="s">
        <v>91</v>
      </c>
      <c r="AW1596" t="s">
        <v>91</v>
      </c>
      <c r="AX1596" t="s">
        <v>91</v>
      </c>
      <c r="AY1596" t="s">
        <v>91</v>
      </c>
      <c r="AZ1596" t="s">
        <v>91</v>
      </c>
      <c r="BA1596" t="s">
        <v>91</v>
      </c>
      <c r="BB1596" s="2">
        <v>43308.393217592595</v>
      </c>
      <c r="BC1596" s="2"/>
      <c r="BD1596" t="s">
        <v>91</v>
      </c>
      <c r="BE1596">
        <v>1317</v>
      </c>
      <c r="BF1596" s="1" t="s">
        <v>75</v>
      </c>
      <c r="BG1596">
        <v>0</v>
      </c>
      <c r="BH1596">
        <v>0</v>
      </c>
      <c r="BI1596" s="1" t="s">
        <v>88</v>
      </c>
      <c r="BJ1596">
        <v>1</v>
      </c>
      <c r="BK1596" s="1" t="s">
        <v>89</v>
      </c>
      <c r="BL1596" t="s">
        <v>91</v>
      </c>
      <c r="BM1596" s="1" t="s">
        <v>109</v>
      </c>
      <c r="BN1596" s="1" t="s">
        <v>110</v>
      </c>
      <c r="BO1596" s="1" t="s">
        <v>111</v>
      </c>
      <c r="BP1596" s="1" t="s">
        <v>91</v>
      </c>
      <c r="BQ1596" t="s">
        <v>91</v>
      </c>
      <c r="BR1596" s="3">
        <v>43308</v>
      </c>
      <c r="BS1596" s="3"/>
      <c r="BT1596" t="s">
        <v>91</v>
      </c>
      <c r="BU1596" t="s">
        <v>91</v>
      </c>
      <c r="BV1596">
        <v>6</v>
      </c>
      <c r="BW1596" s="1" t="s">
        <v>90</v>
      </c>
    </row>
    <row r="1597" spans="1:75" hidden="1" x14ac:dyDescent="0.35">
      <c r="A1597">
        <v>1232</v>
      </c>
      <c r="B1597" s="1" t="s">
        <v>75</v>
      </c>
      <c r="C1597">
        <v>80</v>
      </c>
      <c r="D1597">
        <v>11121004</v>
      </c>
      <c r="E1597">
        <v>121004</v>
      </c>
      <c r="F1597" s="1" t="s">
        <v>6867</v>
      </c>
      <c r="G1597" s="1" t="s">
        <v>8582</v>
      </c>
      <c r="I1597" s="1" t="s">
        <v>78</v>
      </c>
      <c r="J1597" s="1" t="s">
        <v>8583</v>
      </c>
      <c r="K1597" s="1" t="s">
        <v>8584</v>
      </c>
      <c r="L1597" t="s">
        <v>91</v>
      </c>
      <c r="M1597" t="s">
        <v>91</v>
      </c>
      <c r="N1597" s="1" t="s">
        <v>8585</v>
      </c>
      <c r="O1597" t="s">
        <v>91</v>
      </c>
      <c r="P1597" s="1" t="s">
        <v>7441</v>
      </c>
      <c r="Q1597" s="1" t="s">
        <v>8586</v>
      </c>
      <c r="R1597" s="1" t="s">
        <v>91</v>
      </c>
      <c r="S1597">
        <v>1273</v>
      </c>
      <c r="T1597">
        <v>89057000</v>
      </c>
      <c r="U1597" s="1" t="s">
        <v>7443</v>
      </c>
      <c r="V1597" s="1" t="s">
        <v>3571</v>
      </c>
      <c r="W1597" s="1" t="s">
        <v>87</v>
      </c>
      <c r="X1597">
        <v>47</v>
      </c>
      <c r="Y1597">
        <v>33390516</v>
      </c>
      <c r="Z1597" t="s">
        <v>91</v>
      </c>
      <c r="AA1597" t="s">
        <v>91</v>
      </c>
      <c r="AB1597" t="s">
        <v>91</v>
      </c>
      <c r="AC1597" t="s">
        <v>91</v>
      </c>
      <c r="AD1597" t="s">
        <v>91</v>
      </c>
      <c r="AE1597" t="s">
        <v>91</v>
      </c>
      <c r="AF1597" t="s">
        <v>91</v>
      </c>
      <c r="AG1597" s="1" t="s">
        <v>91</v>
      </c>
      <c r="AH1597" s="1" t="s">
        <v>91</v>
      </c>
      <c r="AI1597" t="s">
        <v>91</v>
      </c>
      <c r="AJ1597">
        <v>0</v>
      </c>
      <c r="AK1597">
        <v>0</v>
      </c>
      <c r="AL1597">
        <v>0</v>
      </c>
      <c r="AM1597" t="s">
        <v>91</v>
      </c>
      <c r="AN1597" t="s">
        <v>91</v>
      </c>
      <c r="AO1597" t="s">
        <v>91</v>
      </c>
      <c r="AP1597" t="s">
        <v>91</v>
      </c>
      <c r="AQ1597" s="1" t="s">
        <v>91</v>
      </c>
      <c r="AR1597" s="1" t="s">
        <v>91</v>
      </c>
      <c r="AS1597" s="1" t="s">
        <v>91</v>
      </c>
      <c r="AT1597" s="1" t="s">
        <v>91</v>
      </c>
      <c r="AU1597" s="1" t="s">
        <v>91</v>
      </c>
      <c r="AV1597" t="s">
        <v>91</v>
      </c>
      <c r="AW1597" t="s">
        <v>91</v>
      </c>
      <c r="AX1597" t="s">
        <v>91</v>
      </c>
      <c r="AY1597" t="s">
        <v>91</v>
      </c>
      <c r="AZ1597" t="s">
        <v>91</v>
      </c>
      <c r="BA1597" t="s">
        <v>91</v>
      </c>
      <c r="BB1597" s="2">
        <v>43308.393182870372</v>
      </c>
      <c r="BC1597" s="2"/>
      <c r="BD1597" t="s">
        <v>91</v>
      </c>
      <c r="BE1597">
        <v>1232</v>
      </c>
      <c r="BF1597" s="1" t="s">
        <v>75</v>
      </c>
      <c r="BG1597">
        <v>0</v>
      </c>
      <c r="BH1597">
        <v>0</v>
      </c>
      <c r="BI1597" s="1" t="s">
        <v>88</v>
      </c>
      <c r="BJ1597">
        <v>1</v>
      </c>
      <c r="BK1597" s="1" t="s">
        <v>89</v>
      </c>
      <c r="BL1597" t="s">
        <v>91</v>
      </c>
      <c r="BM1597" s="1" t="s">
        <v>109</v>
      </c>
      <c r="BN1597" s="1" t="s">
        <v>110</v>
      </c>
      <c r="BO1597" s="1" t="s">
        <v>111</v>
      </c>
      <c r="BP1597" s="1" t="s">
        <v>91</v>
      </c>
      <c r="BQ1597" t="s">
        <v>91</v>
      </c>
      <c r="BR1597" s="3">
        <v>43308</v>
      </c>
      <c r="BS1597" s="3"/>
      <c r="BT1597" t="s">
        <v>91</v>
      </c>
      <c r="BU1597" t="s">
        <v>91</v>
      </c>
      <c r="BV1597">
        <v>4</v>
      </c>
      <c r="BW1597" s="1" t="s">
        <v>1254</v>
      </c>
    </row>
    <row r="1598" spans="1:75" hidden="1" x14ac:dyDescent="0.35">
      <c r="A1598">
        <v>157101</v>
      </c>
      <c r="B1598" s="1" t="s">
        <v>75</v>
      </c>
      <c r="C1598">
        <v>80</v>
      </c>
      <c r="D1598">
        <v>11121004</v>
      </c>
      <c r="E1598">
        <v>121004</v>
      </c>
      <c r="F1598" s="1" t="s">
        <v>6867</v>
      </c>
      <c r="G1598" s="1" t="s">
        <v>8587</v>
      </c>
      <c r="H1598">
        <v>0</v>
      </c>
      <c r="I1598" s="1" t="s">
        <v>78</v>
      </c>
      <c r="J1598" s="1" t="s">
        <v>8588</v>
      </c>
      <c r="K1598" s="1" t="s">
        <v>8589</v>
      </c>
      <c r="L1598" t="s">
        <v>91</v>
      </c>
      <c r="M1598" t="s">
        <v>91</v>
      </c>
      <c r="N1598" s="1" t="s">
        <v>8590</v>
      </c>
      <c r="O1598" t="s">
        <v>91</v>
      </c>
      <c r="P1598" s="1" t="s">
        <v>8591</v>
      </c>
      <c r="Q1598" s="1" t="s">
        <v>2674</v>
      </c>
      <c r="R1598" s="1" t="s">
        <v>236</v>
      </c>
      <c r="S1598">
        <v>1263</v>
      </c>
      <c r="T1598">
        <v>88380000</v>
      </c>
      <c r="U1598" s="1" t="s">
        <v>108</v>
      </c>
      <c r="V1598" s="1" t="s">
        <v>6946</v>
      </c>
      <c r="W1598" s="1" t="s">
        <v>87</v>
      </c>
      <c r="X1598">
        <v>47</v>
      </c>
      <c r="Y1598">
        <v>31701144</v>
      </c>
      <c r="Z1598" t="s">
        <v>91</v>
      </c>
      <c r="AA1598" t="s">
        <v>91</v>
      </c>
      <c r="AB1598" t="s">
        <v>91</v>
      </c>
      <c r="AC1598" t="s">
        <v>91</v>
      </c>
      <c r="AD1598" t="s">
        <v>91</v>
      </c>
      <c r="AE1598" t="s">
        <v>91</v>
      </c>
      <c r="AF1598" t="s">
        <v>91</v>
      </c>
      <c r="AG1598" s="1" t="s">
        <v>91</v>
      </c>
      <c r="AH1598" s="1" t="s">
        <v>91</v>
      </c>
      <c r="AI1598" t="s">
        <v>91</v>
      </c>
      <c r="AM1598" t="s">
        <v>91</v>
      </c>
      <c r="AN1598" t="s">
        <v>91</v>
      </c>
      <c r="AO1598" t="s">
        <v>91</v>
      </c>
      <c r="AP1598" t="s">
        <v>91</v>
      </c>
      <c r="AQ1598" s="1" t="s">
        <v>91</v>
      </c>
      <c r="AR1598" s="1" t="s">
        <v>91</v>
      </c>
      <c r="AS1598" s="1" t="s">
        <v>91</v>
      </c>
      <c r="AT1598" s="1" t="s">
        <v>91</v>
      </c>
      <c r="AU1598" s="1" t="s">
        <v>91</v>
      </c>
      <c r="AV1598" t="s">
        <v>91</v>
      </c>
      <c r="AW1598" t="s">
        <v>91</v>
      </c>
      <c r="AX1598" t="s">
        <v>91</v>
      </c>
      <c r="AY1598" t="s">
        <v>91</v>
      </c>
      <c r="AZ1598" t="s">
        <v>91</v>
      </c>
      <c r="BA1598" t="s">
        <v>91</v>
      </c>
      <c r="BB1598" s="2">
        <v>45113.505416666667</v>
      </c>
      <c r="BC1598" s="2"/>
      <c r="BD1598" t="s">
        <v>91</v>
      </c>
      <c r="BF1598" s="1" t="s">
        <v>75</v>
      </c>
      <c r="BI1598" s="1" t="s">
        <v>88</v>
      </c>
      <c r="BJ1598">
        <v>1</v>
      </c>
      <c r="BK1598" s="1" t="s">
        <v>89</v>
      </c>
      <c r="BL1598" t="s">
        <v>91</v>
      </c>
      <c r="BM1598" s="1" t="s">
        <v>91</v>
      </c>
      <c r="BN1598" s="1" t="s">
        <v>91</v>
      </c>
      <c r="BO1598" s="1" t="s">
        <v>91</v>
      </c>
      <c r="BP1598" s="1" t="s">
        <v>91</v>
      </c>
      <c r="BQ1598" t="s">
        <v>91</v>
      </c>
      <c r="BR1598" s="3">
        <v>45113</v>
      </c>
      <c r="BS1598" s="3"/>
      <c r="BT1598" t="s">
        <v>91</v>
      </c>
      <c r="BU1598" t="s">
        <v>91</v>
      </c>
      <c r="BW1598" s="1" t="s">
        <v>478</v>
      </c>
    </row>
    <row r="1599" spans="1:75" hidden="1" x14ac:dyDescent="0.35">
      <c r="A1599">
        <v>1235</v>
      </c>
      <c r="B1599" s="1" t="s">
        <v>75</v>
      </c>
      <c r="C1599">
        <v>80</v>
      </c>
      <c r="D1599">
        <v>11121004</v>
      </c>
      <c r="E1599">
        <v>121004</v>
      </c>
      <c r="F1599" s="1" t="s">
        <v>6867</v>
      </c>
      <c r="G1599" s="1" t="s">
        <v>8592</v>
      </c>
      <c r="I1599" s="1" t="s">
        <v>78</v>
      </c>
      <c r="J1599" s="1" t="s">
        <v>8593</v>
      </c>
      <c r="K1599" s="1" t="s">
        <v>8594</v>
      </c>
      <c r="L1599" t="s">
        <v>91</v>
      </c>
      <c r="M1599" t="s">
        <v>91</v>
      </c>
      <c r="N1599" s="1" t="s">
        <v>8595</v>
      </c>
      <c r="O1599" t="s">
        <v>91</v>
      </c>
      <c r="P1599" s="1" t="s">
        <v>611</v>
      </c>
      <c r="Q1599" s="1" t="s">
        <v>8596</v>
      </c>
      <c r="R1599" s="1" t="s">
        <v>91</v>
      </c>
      <c r="S1599">
        <v>1271</v>
      </c>
      <c r="T1599">
        <v>89010000</v>
      </c>
      <c r="U1599" s="1" t="s">
        <v>108</v>
      </c>
      <c r="V1599" s="1" t="s">
        <v>3571</v>
      </c>
      <c r="W1599" s="1" t="s">
        <v>87</v>
      </c>
      <c r="X1599">
        <v>47</v>
      </c>
      <c r="Y1599">
        <v>33267060</v>
      </c>
      <c r="Z1599" t="s">
        <v>91</v>
      </c>
      <c r="AA1599" t="s">
        <v>91</v>
      </c>
      <c r="AB1599" t="s">
        <v>91</v>
      </c>
      <c r="AC1599" t="s">
        <v>91</v>
      </c>
      <c r="AD1599" t="s">
        <v>91</v>
      </c>
      <c r="AE1599" t="s">
        <v>91</v>
      </c>
      <c r="AF1599" t="s">
        <v>91</v>
      </c>
      <c r="AG1599" s="1" t="s">
        <v>91</v>
      </c>
      <c r="AH1599" s="1" t="s">
        <v>91</v>
      </c>
      <c r="AI1599" t="s">
        <v>91</v>
      </c>
      <c r="AJ1599">
        <v>0</v>
      </c>
      <c r="AK1599">
        <v>0</v>
      </c>
      <c r="AL1599">
        <v>0</v>
      </c>
      <c r="AM1599" t="s">
        <v>91</v>
      </c>
      <c r="AN1599" t="s">
        <v>91</v>
      </c>
      <c r="AO1599" t="s">
        <v>91</v>
      </c>
      <c r="AP1599" t="s">
        <v>91</v>
      </c>
      <c r="AQ1599" s="1" t="s">
        <v>91</v>
      </c>
      <c r="AR1599" s="1" t="s">
        <v>91</v>
      </c>
      <c r="AS1599" s="1" t="s">
        <v>91</v>
      </c>
      <c r="AT1599" s="1" t="s">
        <v>91</v>
      </c>
      <c r="AU1599" s="1" t="s">
        <v>91</v>
      </c>
      <c r="AV1599" t="s">
        <v>91</v>
      </c>
      <c r="AW1599" t="s">
        <v>91</v>
      </c>
      <c r="AX1599" t="s">
        <v>91</v>
      </c>
      <c r="AY1599" t="s">
        <v>91</v>
      </c>
      <c r="AZ1599" t="s">
        <v>91</v>
      </c>
      <c r="BA1599" t="s">
        <v>91</v>
      </c>
      <c r="BB1599" s="2">
        <v>43308.393182870372</v>
      </c>
      <c r="BC1599" s="2"/>
      <c r="BD1599" t="s">
        <v>91</v>
      </c>
      <c r="BE1599">
        <v>1235</v>
      </c>
      <c r="BF1599" s="1" t="s">
        <v>75</v>
      </c>
      <c r="BG1599">
        <v>0</v>
      </c>
      <c r="BH1599">
        <v>0</v>
      </c>
      <c r="BI1599" s="1" t="s">
        <v>88</v>
      </c>
      <c r="BJ1599">
        <v>1</v>
      </c>
      <c r="BK1599" s="1" t="s">
        <v>89</v>
      </c>
      <c r="BL1599" t="s">
        <v>91</v>
      </c>
      <c r="BM1599" s="1" t="s">
        <v>109</v>
      </c>
      <c r="BN1599" s="1" t="s">
        <v>110</v>
      </c>
      <c r="BO1599" s="1" t="s">
        <v>128</v>
      </c>
      <c r="BP1599" s="1" t="s">
        <v>91</v>
      </c>
      <c r="BQ1599" t="s">
        <v>91</v>
      </c>
      <c r="BR1599" s="3">
        <v>43308</v>
      </c>
      <c r="BS1599" s="3"/>
      <c r="BT1599" t="s">
        <v>91</v>
      </c>
      <c r="BU1599" t="s">
        <v>91</v>
      </c>
      <c r="BV1599">
        <v>5</v>
      </c>
      <c r="BW1599" s="1" t="s">
        <v>90</v>
      </c>
    </row>
    <row r="1600" spans="1:75" hidden="1" x14ac:dyDescent="0.35">
      <c r="A1600">
        <v>1266</v>
      </c>
      <c r="B1600" s="1" t="s">
        <v>75</v>
      </c>
      <c r="C1600">
        <v>80</v>
      </c>
      <c r="D1600">
        <v>11121004</v>
      </c>
      <c r="E1600">
        <v>121004</v>
      </c>
      <c r="F1600" s="1" t="s">
        <v>6867</v>
      </c>
      <c r="G1600" s="1" t="s">
        <v>8597</v>
      </c>
      <c r="I1600" s="1" t="s">
        <v>78</v>
      </c>
      <c r="J1600" s="1" t="s">
        <v>8598</v>
      </c>
      <c r="K1600" s="1" t="s">
        <v>8599</v>
      </c>
      <c r="L1600" t="s">
        <v>91</v>
      </c>
      <c r="M1600" t="s">
        <v>91</v>
      </c>
      <c r="N1600" s="1" t="s">
        <v>8216</v>
      </c>
      <c r="O1600" t="s">
        <v>91</v>
      </c>
      <c r="P1600" s="1" t="s">
        <v>8217</v>
      </c>
      <c r="Q1600" s="1" t="s">
        <v>2004</v>
      </c>
      <c r="R1600" s="1" t="s">
        <v>3383</v>
      </c>
      <c r="S1600">
        <v>1275</v>
      </c>
      <c r="T1600">
        <v>89140000</v>
      </c>
      <c r="U1600" s="1" t="s">
        <v>108</v>
      </c>
      <c r="V1600" s="1" t="s">
        <v>8218</v>
      </c>
      <c r="W1600" s="1" t="s">
        <v>87</v>
      </c>
      <c r="X1600">
        <v>47</v>
      </c>
      <c r="Y1600">
        <v>33573959</v>
      </c>
      <c r="Z1600" t="s">
        <v>91</v>
      </c>
      <c r="AA1600" t="s">
        <v>91</v>
      </c>
      <c r="AB1600" t="s">
        <v>91</v>
      </c>
      <c r="AC1600" t="s">
        <v>91</v>
      </c>
      <c r="AD1600" t="s">
        <v>91</v>
      </c>
      <c r="AE1600" t="s">
        <v>91</v>
      </c>
      <c r="AF1600" t="s">
        <v>91</v>
      </c>
      <c r="AG1600" s="1" t="s">
        <v>91</v>
      </c>
      <c r="AH1600" s="1" t="s">
        <v>91</v>
      </c>
      <c r="AI1600" t="s">
        <v>91</v>
      </c>
      <c r="AJ1600">
        <v>0</v>
      </c>
      <c r="AK1600">
        <v>0</v>
      </c>
      <c r="AL1600">
        <v>0</v>
      </c>
      <c r="AM1600" t="s">
        <v>91</v>
      </c>
      <c r="AN1600" t="s">
        <v>91</v>
      </c>
      <c r="AO1600" t="s">
        <v>91</v>
      </c>
      <c r="AP1600" t="s">
        <v>91</v>
      </c>
      <c r="AQ1600" s="1" t="s">
        <v>91</v>
      </c>
      <c r="AR1600" s="1" t="s">
        <v>91</v>
      </c>
      <c r="AS1600" s="1" t="s">
        <v>91</v>
      </c>
      <c r="AT1600" s="1" t="s">
        <v>91</v>
      </c>
      <c r="AU1600" s="1" t="s">
        <v>91</v>
      </c>
      <c r="AV1600" t="s">
        <v>91</v>
      </c>
      <c r="AW1600" t="s">
        <v>91</v>
      </c>
      <c r="AX1600" t="s">
        <v>91</v>
      </c>
      <c r="AY1600" t="s">
        <v>91</v>
      </c>
      <c r="AZ1600" t="s">
        <v>91</v>
      </c>
      <c r="BA1600" t="s">
        <v>91</v>
      </c>
      <c r="BB1600" s="2">
        <v>43308.393194444441</v>
      </c>
      <c r="BC1600" s="2"/>
      <c r="BD1600" t="s">
        <v>91</v>
      </c>
      <c r="BE1600">
        <v>1266</v>
      </c>
      <c r="BF1600" s="1" t="s">
        <v>75</v>
      </c>
      <c r="BG1600">
        <v>0</v>
      </c>
      <c r="BH1600">
        <v>0</v>
      </c>
      <c r="BI1600" s="1" t="s">
        <v>88</v>
      </c>
      <c r="BJ1600">
        <v>1</v>
      </c>
      <c r="BK1600" s="1" t="s">
        <v>89</v>
      </c>
      <c r="BL1600" t="s">
        <v>91</v>
      </c>
      <c r="BM1600" s="1" t="s">
        <v>109</v>
      </c>
      <c r="BN1600" s="1" t="s">
        <v>110</v>
      </c>
      <c r="BO1600" s="1" t="s">
        <v>180</v>
      </c>
      <c r="BP1600" s="1" t="s">
        <v>91</v>
      </c>
      <c r="BQ1600" t="s">
        <v>91</v>
      </c>
      <c r="BR1600" s="3">
        <v>43308</v>
      </c>
      <c r="BS1600" s="3"/>
      <c r="BT1600" t="s">
        <v>91</v>
      </c>
      <c r="BU1600" t="s">
        <v>91</v>
      </c>
      <c r="BV1600">
        <v>4</v>
      </c>
      <c r="BW1600" s="1" t="s">
        <v>90</v>
      </c>
    </row>
    <row r="1601" spans="1:75" hidden="1" x14ac:dyDescent="0.35">
      <c r="A1601">
        <v>137817</v>
      </c>
      <c r="B1601" s="1" t="s">
        <v>75</v>
      </c>
      <c r="C1601">
        <v>80</v>
      </c>
      <c r="D1601">
        <v>11121004</v>
      </c>
      <c r="E1601">
        <v>121004</v>
      </c>
      <c r="F1601" s="1" t="s">
        <v>6867</v>
      </c>
      <c r="G1601" s="1" t="s">
        <v>8600</v>
      </c>
      <c r="H1601">
        <v>0</v>
      </c>
      <c r="I1601" s="1" t="s">
        <v>78</v>
      </c>
      <c r="J1601" s="1" t="s">
        <v>8601</v>
      </c>
      <c r="K1601" s="1" t="s">
        <v>8602</v>
      </c>
      <c r="L1601" t="s">
        <v>91</v>
      </c>
      <c r="M1601" t="s">
        <v>91</v>
      </c>
      <c r="N1601" s="1" t="s">
        <v>8603</v>
      </c>
      <c r="O1601" t="s">
        <v>91</v>
      </c>
      <c r="P1601" s="1" t="s">
        <v>4689</v>
      </c>
      <c r="Q1601" s="1" t="s">
        <v>8259</v>
      </c>
      <c r="R1601" s="1" t="s">
        <v>91</v>
      </c>
      <c r="S1601">
        <v>1276</v>
      </c>
      <c r="T1601">
        <v>89160190</v>
      </c>
      <c r="U1601" s="1" t="s">
        <v>7430</v>
      </c>
      <c r="V1601" s="1" t="s">
        <v>6927</v>
      </c>
      <c r="W1601" s="1" t="s">
        <v>87</v>
      </c>
      <c r="X1601">
        <v>47</v>
      </c>
      <c r="Y1601">
        <v>35254557</v>
      </c>
      <c r="Z1601" t="s">
        <v>91</v>
      </c>
      <c r="AA1601" t="s">
        <v>91</v>
      </c>
      <c r="AB1601" t="s">
        <v>91</v>
      </c>
      <c r="AC1601" t="s">
        <v>91</v>
      </c>
      <c r="AD1601" t="s">
        <v>91</v>
      </c>
      <c r="AE1601" t="s">
        <v>91</v>
      </c>
      <c r="AF1601" t="s">
        <v>91</v>
      </c>
      <c r="AG1601" s="1" t="s">
        <v>146</v>
      </c>
      <c r="AH1601" s="1" t="s">
        <v>91</v>
      </c>
      <c r="AI1601" t="s">
        <v>91</v>
      </c>
      <c r="AM1601" t="s">
        <v>91</v>
      </c>
      <c r="AN1601" t="s">
        <v>91</v>
      </c>
      <c r="AO1601" t="s">
        <v>91</v>
      </c>
      <c r="AP1601" t="s">
        <v>91</v>
      </c>
      <c r="AQ1601" s="1" t="s">
        <v>147</v>
      </c>
      <c r="AR1601" s="1" t="s">
        <v>147</v>
      </c>
      <c r="AS1601" s="1" t="s">
        <v>147</v>
      </c>
      <c r="AT1601" s="1" t="s">
        <v>147</v>
      </c>
      <c r="AU1601" s="1" t="s">
        <v>147</v>
      </c>
      <c r="AV1601" t="s">
        <v>91</v>
      </c>
      <c r="AW1601" t="s">
        <v>91</v>
      </c>
      <c r="AX1601" t="s">
        <v>91</v>
      </c>
      <c r="AY1601" t="s">
        <v>91</v>
      </c>
      <c r="AZ1601" t="s">
        <v>91</v>
      </c>
      <c r="BA1601" t="s">
        <v>91</v>
      </c>
      <c r="BB1601" s="2">
        <v>44378.578518518516</v>
      </c>
      <c r="BC1601" s="2">
        <v>44470.536053240743</v>
      </c>
      <c r="BD1601" t="s">
        <v>91</v>
      </c>
      <c r="BF1601" s="1" t="s">
        <v>75</v>
      </c>
      <c r="BH1601">
        <v>0</v>
      </c>
      <c r="BI1601" s="1" t="s">
        <v>88</v>
      </c>
      <c r="BJ1601">
        <v>1</v>
      </c>
      <c r="BK1601" s="1" t="s">
        <v>89</v>
      </c>
      <c r="BL1601" t="s">
        <v>91</v>
      </c>
      <c r="BM1601" s="1" t="s">
        <v>329</v>
      </c>
      <c r="BN1601" s="1" t="s">
        <v>110</v>
      </c>
      <c r="BO1601" s="1" t="s">
        <v>165</v>
      </c>
      <c r="BP1601" s="1" t="s">
        <v>91</v>
      </c>
      <c r="BQ1601" t="s">
        <v>91</v>
      </c>
      <c r="BR1601" s="3">
        <v>44378</v>
      </c>
      <c r="BS1601" s="3">
        <v>44470</v>
      </c>
      <c r="BT1601" t="s">
        <v>91</v>
      </c>
      <c r="BU1601" t="s">
        <v>91</v>
      </c>
      <c r="BW1601" s="1" t="s">
        <v>735</v>
      </c>
    </row>
    <row r="1602" spans="1:75" hidden="1" x14ac:dyDescent="0.35">
      <c r="A1602">
        <v>137818</v>
      </c>
      <c r="B1602" s="1" t="s">
        <v>75</v>
      </c>
      <c r="C1602">
        <v>80</v>
      </c>
      <c r="D1602">
        <v>11121004</v>
      </c>
      <c r="E1602">
        <v>121004</v>
      </c>
      <c r="F1602" s="1" t="s">
        <v>6867</v>
      </c>
      <c r="G1602" s="1" t="s">
        <v>8604</v>
      </c>
      <c r="H1602">
        <v>0</v>
      </c>
      <c r="I1602" s="1" t="s">
        <v>78</v>
      </c>
      <c r="J1602" s="1" t="s">
        <v>8605</v>
      </c>
      <c r="K1602" s="1" t="s">
        <v>8606</v>
      </c>
      <c r="L1602" t="s">
        <v>91</v>
      </c>
      <c r="M1602" t="s">
        <v>91</v>
      </c>
      <c r="N1602" s="1" t="s">
        <v>8607</v>
      </c>
      <c r="O1602" t="s">
        <v>91</v>
      </c>
      <c r="P1602" s="1" t="s">
        <v>6925</v>
      </c>
      <c r="Q1602" s="1" t="s">
        <v>138</v>
      </c>
      <c r="R1602" s="1" t="s">
        <v>370</v>
      </c>
      <c r="S1602">
        <v>1276</v>
      </c>
      <c r="T1602">
        <v>89160051</v>
      </c>
      <c r="U1602" s="1" t="s">
        <v>108</v>
      </c>
      <c r="V1602" s="1" t="s">
        <v>6927</v>
      </c>
      <c r="W1602" s="1" t="s">
        <v>87</v>
      </c>
      <c r="X1602">
        <v>47</v>
      </c>
      <c r="Y1602">
        <v>35251020</v>
      </c>
      <c r="Z1602" t="s">
        <v>91</v>
      </c>
      <c r="AA1602" t="s">
        <v>91</v>
      </c>
      <c r="AB1602" t="s">
        <v>91</v>
      </c>
      <c r="AC1602" t="s">
        <v>91</v>
      </c>
      <c r="AD1602" t="s">
        <v>91</v>
      </c>
      <c r="AE1602" t="s">
        <v>91</v>
      </c>
      <c r="AF1602" t="s">
        <v>91</v>
      </c>
      <c r="AG1602" s="1" t="s">
        <v>146</v>
      </c>
      <c r="AH1602" s="1" t="s">
        <v>91</v>
      </c>
      <c r="AI1602" t="s">
        <v>91</v>
      </c>
      <c r="AM1602" t="s">
        <v>91</v>
      </c>
      <c r="AN1602" t="s">
        <v>91</v>
      </c>
      <c r="AO1602" t="s">
        <v>91</v>
      </c>
      <c r="AP1602" t="s">
        <v>91</v>
      </c>
      <c r="AQ1602" s="1" t="s">
        <v>147</v>
      </c>
      <c r="AR1602" s="1" t="s">
        <v>147</v>
      </c>
      <c r="AS1602" s="1" t="s">
        <v>147</v>
      </c>
      <c r="AT1602" s="1" t="s">
        <v>147</v>
      </c>
      <c r="AU1602" s="1" t="s">
        <v>147</v>
      </c>
      <c r="AV1602" t="s">
        <v>91</v>
      </c>
      <c r="AW1602" t="s">
        <v>91</v>
      </c>
      <c r="AX1602" t="s">
        <v>91</v>
      </c>
      <c r="AY1602" t="s">
        <v>91</v>
      </c>
      <c r="AZ1602" t="s">
        <v>91</v>
      </c>
      <c r="BA1602" t="s">
        <v>91</v>
      </c>
      <c r="BB1602" s="2">
        <v>44378.578518518516</v>
      </c>
      <c r="BC1602" s="2">
        <v>44669.645601851851</v>
      </c>
      <c r="BD1602" t="s">
        <v>91</v>
      </c>
      <c r="BF1602" s="1" t="s">
        <v>75</v>
      </c>
      <c r="BH1602">
        <v>0</v>
      </c>
      <c r="BI1602" s="1" t="s">
        <v>88</v>
      </c>
      <c r="BJ1602">
        <v>1</v>
      </c>
      <c r="BK1602" s="1" t="s">
        <v>89</v>
      </c>
      <c r="BL1602" t="s">
        <v>91</v>
      </c>
      <c r="BM1602" s="1" t="s">
        <v>329</v>
      </c>
      <c r="BN1602" s="1" t="s">
        <v>110</v>
      </c>
      <c r="BO1602" s="1" t="s">
        <v>165</v>
      </c>
      <c r="BP1602" s="1" t="s">
        <v>91</v>
      </c>
      <c r="BQ1602" t="s">
        <v>91</v>
      </c>
      <c r="BR1602" s="3">
        <v>44378</v>
      </c>
      <c r="BS1602" s="3">
        <v>44669</v>
      </c>
      <c r="BT1602" t="s">
        <v>91</v>
      </c>
      <c r="BU1602" t="s">
        <v>91</v>
      </c>
      <c r="BW1602" s="1" t="s">
        <v>728</v>
      </c>
    </row>
    <row r="1603" spans="1:75" hidden="1" x14ac:dyDescent="0.35">
      <c r="A1603">
        <v>157765</v>
      </c>
      <c r="B1603" s="1" t="s">
        <v>75</v>
      </c>
      <c r="C1603">
        <v>80</v>
      </c>
      <c r="D1603">
        <v>11121004</v>
      </c>
      <c r="E1603">
        <v>121004</v>
      </c>
      <c r="F1603" s="1" t="s">
        <v>6867</v>
      </c>
      <c r="G1603" s="1" t="s">
        <v>8608</v>
      </c>
      <c r="H1603">
        <v>0</v>
      </c>
      <c r="I1603" s="1" t="s">
        <v>78</v>
      </c>
      <c r="J1603" s="1" t="s">
        <v>8609</v>
      </c>
      <c r="K1603" s="1" t="s">
        <v>8610</v>
      </c>
      <c r="L1603" t="s">
        <v>91</v>
      </c>
      <c r="M1603" t="s">
        <v>91</v>
      </c>
      <c r="N1603" s="1" t="s">
        <v>8611</v>
      </c>
      <c r="O1603" t="s">
        <v>91</v>
      </c>
      <c r="P1603" s="1" t="s">
        <v>8612</v>
      </c>
      <c r="Q1603" s="1" t="s">
        <v>1469</v>
      </c>
      <c r="R1603" s="1" t="s">
        <v>8613</v>
      </c>
      <c r="S1603">
        <v>1261</v>
      </c>
      <c r="T1603">
        <v>88303024</v>
      </c>
      <c r="U1603" s="1" t="s">
        <v>108</v>
      </c>
      <c r="V1603" s="1" t="s">
        <v>6881</v>
      </c>
      <c r="W1603" s="1" t="s">
        <v>87</v>
      </c>
      <c r="X1603">
        <v>47</v>
      </c>
      <c r="Y1603">
        <v>999638757</v>
      </c>
      <c r="Z1603" t="s">
        <v>91</v>
      </c>
      <c r="AA1603" t="s">
        <v>91</v>
      </c>
      <c r="AB1603" t="s">
        <v>91</v>
      </c>
      <c r="AC1603" t="s">
        <v>91</v>
      </c>
      <c r="AD1603" t="s">
        <v>91</v>
      </c>
      <c r="AE1603" t="s">
        <v>91</v>
      </c>
      <c r="AF1603" t="s">
        <v>91</v>
      </c>
      <c r="AG1603" s="1" t="s">
        <v>91</v>
      </c>
      <c r="AH1603" s="1" t="s">
        <v>91</v>
      </c>
      <c r="AI1603" t="s">
        <v>91</v>
      </c>
      <c r="AM1603" t="s">
        <v>91</v>
      </c>
      <c r="AN1603" t="s">
        <v>91</v>
      </c>
      <c r="AO1603" t="s">
        <v>91</v>
      </c>
      <c r="AP1603" t="s">
        <v>91</v>
      </c>
      <c r="AQ1603" s="1" t="s">
        <v>91</v>
      </c>
      <c r="AR1603" s="1" t="s">
        <v>91</v>
      </c>
      <c r="AS1603" s="1" t="s">
        <v>91</v>
      </c>
      <c r="AT1603" s="1" t="s">
        <v>91</v>
      </c>
      <c r="AU1603" s="1" t="s">
        <v>91</v>
      </c>
      <c r="AV1603" t="s">
        <v>91</v>
      </c>
      <c r="AW1603" t="s">
        <v>91</v>
      </c>
      <c r="AX1603" t="s">
        <v>91</v>
      </c>
      <c r="AY1603" t="s">
        <v>91</v>
      </c>
      <c r="AZ1603" t="s">
        <v>91</v>
      </c>
      <c r="BA1603" t="s">
        <v>91</v>
      </c>
      <c r="BB1603" s="2">
        <v>45118.101759259262</v>
      </c>
      <c r="BC1603" s="2"/>
      <c r="BD1603" t="s">
        <v>91</v>
      </c>
      <c r="BF1603" s="1" t="s">
        <v>75</v>
      </c>
      <c r="BI1603" s="1" t="s">
        <v>88</v>
      </c>
      <c r="BJ1603">
        <v>1</v>
      </c>
      <c r="BK1603" s="1" t="s">
        <v>89</v>
      </c>
      <c r="BL1603" t="s">
        <v>91</v>
      </c>
      <c r="BM1603" s="1" t="s">
        <v>91</v>
      </c>
      <c r="BN1603" s="1" t="s">
        <v>91</v>
      </c>
      <c r="BO1603" s="1" t="s">
        <v>91</v>
      </c>
      <c r="BP1603" s="1" t="s">
        <v>91</v>
      </c>
      <c r="BQ1603" t="s">
        <v>91</v>
      </c>
      <c r="BR1603" s="3">
        <v>45118</v>
      </c>
      <c r="BS1603" s="3"/>
      <c r="BT1603" t="s">
        <v>91</v>
      </c>
      <c r="BU1603" t="s">
        <v>91</v>
      </c>
      <c r="BW1603" s="1" t="s">
        <v>390</v>
      </c>
    </row>
    <row r="1604" spans="1:75" hidden="1" x14ac:dyDescent="0.35">
      <c r="A1604">
        <v>137819</v>
      </c>
      <c r="B1604" s="1" t="s">
        <v>75</v>
      </c>
      <c r="C1604">
        <v>80</v>
      </c>
      <c r="D1604">
        <v>11121004</v>
      </c>
      <c r="E1604">
        <v>121004</v>
      </c>
      <c r="F1604" s="1" t="s">
        <v>6867</v>
      </c>
      <c r="G1604" s="1" t="s">
        <v>8614</v>
      </c>
      <c r="H1604">
        <v>0</v>
      </c>
      <c r="I1604" s="1" t="s">
        <v>78</v>
      </c>
      <c r="J1604" s="1" t="s">
        <v>8615</v>
      </c>
      <c r="K1604" s="1" t="s">
        <v>8616</v>
      </c>
      <c r="L1604" t="s">
        <v>91</v>
      </c>
      <c r="M1604" t="s">
        <v>91</v>
      </c>
      <c r="N1604" s="1" t="s">
        <v>8617</v>
      </c>
      <c r="O1604" t="s">
        <v>91</v>
      </c>
      <c r="P1604" s="1" t="s">
        <v>8100</v>
      </c>
      <c r="Q1604" s="1" t="s">
        <v>8618</v>
      </c>
      <c r="R1604" s="1" t="s">
        <v>8619</v>
      </c>
      <c r="T1604">
        <v>88372618</v>
      </c>
      <c r="U1604" s="1" t="s">
        <v>8074</v>
      </c>
      <c r="V1604" s="1" t="s">
        <v>7127</v>
      </c>
      <c r="W1604" s="1" t="s">
        <v>87</v>
      </c>
      <c r="X1604">
        <v>47</v>
      </c>
      <c r="Y1604">
        <v>33830300</v>
      </c>
      <c r="Z1604" t="s">
        <v>91</v>
      </c>
      <c r="AA1604" t="s">
        <v>91</v>
      </c>
      <c r="AB1604" t="s">
        <v>91</v>
      </c>
      <c r="AC1604" t="s">
        <v>91</v>
      </c>
      <c r="AD1604" t="s">
        <v>91</v>
      </c>
      <c r="AE1604" t="s">
        <v>91</v>
      </c>
      <c r="AF1604" t="s">
        <v>91</v>
      </c>
      <c r="AG1604" s="1" t="s">
        <v>146</v>
      </c>
      <c r="AH1604" s="1" t="s">
        <v>91</v>
      </c>
      <c r="AI1604" t="s">
        <v>91</v>
      </c>
      <c r="AM1604" t="s">
        <v>91</v>
      </c>
      <c r="AN1604" t="s">
        <v>91</v>
      </c>
      <c r="AO1604" t="s">
        <v>91</v>
      </c>
      <c r="AP1604" t="s">
        <v>91</v>
      </c>
      <c r="AQ1604" s="1" t="s">
        <v>147</v>
      </c>
      <c r="AR1604" s="1" t="s">
        <v>147</v>
      </c>
      <c r="AS1604" s="1" t="s">
        <v>147</v>
      </c>
      <c r="AT1604" s="1" t="s">
        <v>147</v>
      </c>
      <c r="AU1604" s="1" t="s">
        <v>147</v>
      </c>
      <c r="AV1604" t="s">
        <v>91</v>
      </c>
      <c r="AW1604" t="s">
        <v>91</v>
      </c>
      <c r="AX1604" t="s">
        <v>91</v>
      </c>
      <c r="AY1604" t="s">
        <v>91</v>
      </c>
      <c r="AZ1604" t="s">
        <v>91</v>
      </c>
      <c r="BA1604" t="s">
        <v>91</v>
      </c>
      <c r="BB1604" s="2">
        <v>44378.578518518516</v>
      </c>
      <c r="BC1604" s="2">
        <v>44581.722858796296</v>
      </c>
      <c r="BD1604" t="s">
        <v>91</v>
      </c>
      <c r="BF1604" s="1" t="s">
        <v>75</v>
      </c>
      <c r="BH1604">
        <v>0</v>
      </c>
      <c r="BI1604" s="1" t="s">
        <v>88</v>
      </c>
      <c r="BJ1604">
        <v>1</v>
      </c>
      <c r="BK1604" s="1" t="s">
        <v>89</v>
      </c>
      <c r="BL1604" t="s">
        <v>91</v>
      </c>
      <c r="BM1604" s="1" t="s">
        <v>109</v>
      </c>
      <c r="BN1604" s="1" t="s">
        <v>110</v>
      </c>
      <c r="BO1604" s="1" t="s">
        <v>180</v>
      </c>
      <c r="BP1604" s="1" t="s">
        <v>91</v>
      </c>
      <c r="BQ1604" t="s">
        <v>91</v>
      </c>
      <c r="BR1604" s="3">
        <v>44378</v>
      </c>
      <c r="BS1604" s="3">
        <v>44581</v>
      </c>
      <c r="BT1604" t="s">
        <v>91</v>
      </c>
      <c r="BU1604" t="s">
        <v>91</v>
      </c>
      <c r="BW1604" s="1" t="s">
        <v>1452</v>
      </c>
    </row>
    <row r="1605" spans="1:75" hidden="1" x14ac:dyDescent="0.35">
      <c r="A1605">
        <v>137820</v>
      </c>
      <c r="B1605" s="1" t="s">
        <v>75</v>
      </c>
      <c r="C1605">
        <v>80</v>
      </c>
      <c r="D1605">
        <v>11121004</v>
      </c>
      <c r="E1605">
        <v>121004</v>
      </c>
      <c r="F1605" s="1" t="s">
        <v>6867</v>
      </c>
      <c r="G1605" s="1" t="s">
        <v>8620</v>
      </c>
      <c r="H1605">
        <v>0</v>
      </c>
      <c r="I1605" s="1" t="s">
        <v>78</v>
      </c>
      <c r="J1605" s="1" t="s">
        <v>8621</v>
      </c>
      <c r="K1605" s="1" t="s">
        <v>8622</v>
      </c>
      <c r="L1605" t="s">
        <v>91</v>
      </c>
      <c r="M1605" t="s">
        <v>91</v>
      </c>
      <c r="N1605" s="1" t="s">
        <v>8623</v>
      </c>
      <c r="O1605" t="s">
        <v>91</v>
      </c>
      <c r="P1605" s="1" t="s">
        <v>2705</v>
      </c>
      <c r="Q1605" s="1" t="s">
        <v>8624</v>
      </c>
      <c r="R1605" s="1" t="s">
        <v>8625</v>
      </c>
      <c r="S1605">
        <v>1271</v>
      </c>
      <c r="T1605">
        <v>89010002</v>
      </c>
      <c r="U1605" s="1" t="s">
        <v>108</v>
      </c>
      <c r="V1605" s="1" t="s">
        <v>3571</v>
      </c>
      <c r="W1605" s="1" t="s">
        <v>87</v>
      </c>
      <c r="X1605">
        <v>47</v>
      </c>
      <c r="Y1605">
        <v>32343927</v>
      </c>
      <c r="Z1605" t="s">
        <v>91</v>
      </c>
      <c r="AA1605" t="s">
        <v>91</v>
      </c>
      <c r="AB1605" t="s">
        <v>91</v>
      </c>
      <c r="AC1605" t="s">
        <v>91</v>
      </c>
      <c r="AD1605" t="s">
        <v>91</v>
      </c>
      <c r="AE1605" t="s">
        <v>91</v>
      </c>
      <c r="AF1605" t="s">
        <v>91</v>
      </c>
      <c r="AG1605" s="1" t="s">
        <v>146</v>
      </c>
      <c r="AH1605" s="1" t="s">
        <v>91</v>
      </c>
      <c r="AI1605" t="s">
        <v>91</v>
      </c>
      <c r="AM1605" t="s">
        <v>91</v>
      </c>
      <c r="AN1605" t="s">
        <v>91</v>
      </c>
      <c r="AO1605" t="s">
        <v>91</v>
      </c>
      <c r="AP1605" t="s">
        <v>91</v>
      </c>
      <c r="AQ1605" s="1" t="s">
        <v>147</v>
      </c>
      <c r="AR1605" s="1" t="s">
        <v>147</v>
      </c>
      <c r="AS1605" s="1" t="s">
        <v>147</v>
      </c>
      <c r="AT1605" s="1" t="s">
        <v>147</v>
      </c>
      <c r="AU1605" s="1" t="s">
        <v>147</v>
      </c>
      <c r="AV1605" t="s">
        <v>91</v>
      </c>
      <c r="AW1605" t="s">
        <v>91</v>
      </c>
      <c r="AX1605" t="s">
        <v>91</v>
      </c>
      <c r="AY1605" t="s">
        <v>91</v>
      </c>
      <c r="AZ1605" t="s">
        <v>91</v>
      </c>
      <c r="BA1605" t="s">
        <v>91</v>
      </c>
      <c r="BB1605" s="2">
        <v>44378.578518518516</v>
      </c>
      <c r="BC1605" s="2">
        <v>44629.695138888892</v>
      </c>
      <c r="BD1605" t="s">
        <v>91</v>
      </c>
      <c r="BF1605" s="1" t="s">
        <v>75</v>
      </c>
      <c r="BH1605">
        <v>0</v>
      </c>
      <c r="BI1605" s="1" t="s">
        <v>88</v>
      </c>
      <c r="BJ1605">
        <v>1</v>
      </c>
      <c r="BK1605" s="1" t="s">
        <v>89</v>
      </c>
      <c r="BL1605" t="s">
        <v>91</v>
      </c>
      <c r="BM1605" s="1" t="s">
        <v>109</v>
      </c>
      <c r="BN1605" s="1" t="s">
        <v>110</v>
      </c>
      <c r="BO1605" s="1" t="s">
        <v>111</v>
      </c>
      <c r="BP1605" s="1" t="s">
        <v>91</v>
      </c>
      <c r="BQ1605" t="s">
        <v>91</v>
      </c>
      <c r="BR1605" s="3">
        <v>44378</v>
      </c>
      <c r="BS1605" s="3">
        <v>44629</v>
      </c>
      <c r="BT1605" t="s">
        <v>91</v>
      </c>
      <c r="BU1605" t="s">
        <v>91</v>
      </c>
      <c r="BW1605" s="1" t="s">
        <v>924</v>
      </c>
    </row>
    <row r="1606" spans="1:75" hidden="1" x14ac:dyDescent="0.35">
      <c r="A1606">
        <v>137821</v>
      </c>
      <c r="B1606" s="1" t="s">
        <v>75</v>
      </c>
      <c r="C1606">
        <v>80</v>
      </c>
      <c r="D1606">
        <v>11121004</v>
      </c>
      <c r="E1606">
        <v>121004</v>
      </c>
      <c r="F1606" s="1" t="s">
        <v>6867</v>
      </c>
      <c r="G1606" s="1" t="s">
        <v>8626</v>
      </c>
      <c r="H1606">
        <v>0</v>
      </c>
      <c r="I1606" s="1" t="s">
        <v>78</v>
      </c>
      <c r="J1606" s="1" t="s">
        <v>8627</v>
      </c>
      <c r="K1606" s="1" t="s">
        <v>8628</v>
      </c>
      <c r="L1606" t="s">
        <v>91</v>
      </c>
      <c r="M1606" t="s">
        <v>91</v>
      </c>
      <c r="N1606" s="1" t="s">
        <v>7131</v>
      </c>
      <c r="O1606" t="s">
        <v>91</v>
      </c>
      <c r="P1606" s="1" t="s">
        <v>8629</v>
      </c>
      <c r="Q1606" s="1" t="s">
        <v>912</v>
      </c>
      <c r="R1606" s="1" t="s">
        <v>173</v>
      </c>
      <c r="S1606">
        <v>1263</v>
      </c>
      <c r="T1606">
        <v>88350010</v>
      </c>
      <c r="U1606" s="1" t="s">
        <v>108</v>
      </c>
      <c r="V1606" s="1" t="s">
        <v>6936</v>
      </c>
      <c r="W1606" s="1" t="s">
        <v>87</v>
      </c>
      <c r="X1606">
        <v>47</v>
      </c>
      <c r="Y1606">
        <v>33513897</v>
      </c>
      <c r="Z1606" t="s">
        <v>91</v>
      </c>
      <c r="AA1606" t="s">
        <v>91</v>
      </c>
      <c r="AB1606" t="s">
        <v>91</v>
      </c>
      <c r="AC1606" t="s">
        <v>91</v>
      </c>
      <c r="AD1606" t="s">
        <v>91</v>
      </c>
      <c r="AE1606" t="s">
        <v>91</v>
      </c>
      <c r="AF1606" t="s">
        <v>91</v>
      </c>
      <c r="AG1606" s="1" t="s">
        <v>91</v>
      </c>
      <c r="AH1606" s="1" t="s">
        <v>91</v>
      </c>
      <c r="AI1606" t="s">
        <v>91</v>
      </c>
      <c r="AM1606" t="s">
        <v>91</v>
      </c>
      <c r="AN1606" t="s">
        <v>91</v>
      </c>
      <c r="AO1606" t="s">
        <v>91</v>
      </c>
      <c r="AP1606" t="s">
        <v>91</v>
      </c>
      <c r="AQ1606" s="1" t="s">
        <v>91</v>
      </c>
      <c r="AR1606" s="1" t="s">
        <v>91</v>
      </c>
      <c r="AS1606" s="1" t="s">
        <v>91</v>
      </c>
      <c r="AT1606" s="1" t="s">
        <v>91</v>
      </c>
      <c r="AU1606" s="1" t="s">
        <v>91</v>
      </c>
      <c r="AV1606" t="s">
        <v>91</v>
      </c>
      <c r="AW1606" t="s">
        <v>91</v>
      </c>
      <c r="AX1606" t="s">
        <v>91</v>
      </c>
      <c r="AY1606" t="s">
        <v>91</v>
      </c>
      <c r="AZ1606" t="s">
        <v>91</v>
      </c>
      <c r="BA1606" t="s">
        <v>91</v>
      </c>
      <c r="BB1606" s="2">
        <v>44378.578518518516</v>
      </c>
      <c r="BC1606" s="2"/>
      <c r="BD1606" t="s">
        <v>91</v>
      </c>
      <c r="BF1606" s="1" t="s">
        <v>75</v>
      </c>
      <c r="BI1606" s="1" t="s">
        <v>88</v>
      </c>
      <c r="BJ1606">
        <v>1</v>
      </c>
      <c r="BK1606" s="1" t="s">
        <v>89</v>
      </c>
      <c r="BL1606" t="s">
        <v>91</v>
      </c>
      <c r="BM1606" s="1" t="s">
        <v>164</v>
      </c>
      <c r="BN1606" s="1" t="s">
        <v>110</v>
      </c>
      <c r="BO1606" s="1" t="s">
        <v>165</v>
      </c>
      <c r="BP1606" s="1" t="s">
        <v>91</v>
      </c>
      <c r="BQ1606" t="s">
        <v>91</v>
      </c>
      <c r="BR1606" s="3">
        <v>44378</v>
      </c>
      <c r="BS1606" s="3"/>
      <c r="BT1606" t="s">
        <v>91</v>
      </c>
      <c r="BU1606" t="s">
        <v>91</v>
      </c>
      <c r="BW1606" s="1" t="s">
        <v>263</v>
      </c>
    </row>
    <row r="1607" spans="1:75" hidden="1" x14ac:dyDescent="0.35">
      <c r="A1607">
        <v>137822</v>
      </c>
      <c r="B1607" s="1" t="s">
        <v>75</v>
      </c>
      <c r="C1607">
        <v>80</v>
      </c>
      <c r="D1607">
        <v>11121004</v>
      </c>
      <c r="E1607">
        <v>121004</v>
      </c>
      <c r="F1607" s="1" t="s">
        <v>6867</v>
      </c>
      <c r="G1607" s="1" t="s">
        <v>8630</v>
      </c>
      <c r="H1607">
        <v>0</v>
      </c>
      <c r="I1607" s="1" t="s">
        <v>78</v>
      </c>
      <c r="J1607" s="1" t="s">
        <v>8631</v>
      </c>
      <c r="K1607" s="1" t="s">
        <v>8632</v>
      </c>
      <c r="L1607" t="s">
        <v>91</v>
      </c>
      <c r="M1607" t="s">
        <v>91</v>
      </c>
      <c r="N1607" s="1" t="s">
        <v>8633</v>
      </c>
      <c r="O1607" t="s">
        <v>91</v>
      </c>
      <c r="P1607" s="1" t="s">
        <v>7669</v>
      </c>
      <c r="Q1607" s="1" t="s">
        <v>5193</v>
      </c>
      <c r="R1607" s="1" t="s">
        <v>245</v>
      </c>
      <c r="T1607">
        <v>88302001</v>
      </c>
      <c r="U1607" s="1" t="s">
        <v>108</v>
      </c>
      <c r="V1607" s="1" t="s">
        <v>6874</v>
      </c>
      <c r="W1607" s="1" t="s">
        <v>87</v>
      </c>
      <c r="X1607">
        <v>47</v>
      </c>
      <c r="Y1607">
        <v>33113545</v>
      </c>
      <c r="Z1607" t="s">
        <v>91</v>
      </c>
      <c r="AA1607" t="s">
        <v>91</v>
      </c>
      <c r="AB1607" t="s">
        <v>91</v>
      </c>
      <c r="AC1607" t="s">
        <v>91</v>
      </c>
      <c r="AD1607" t="s">
        <v>91</v>
      </c>
      <c r="AE1607" t="s">
        <v>91</v>
      </c>
      <c r="AF1607" t="s">
        <v>91</v>
      </c>
      <c r="AG1607" s="1" t="s">
        <v>146</v>
      </c>
      <c r="AH1607" s="1" t="s">
        <v>91</v>
      </c>
      <c r="AI1607" t="s">
        <v>91</v>
      </c>
      <c r="AM1607" t="s">
        <v>91</v>
      </c>
      <c r="AN1607" t="s">
        <v>91</v>
      </c>
      <c r="AO1607" t="s">
        <v>91</v>
      </c>
      <c r="AP1607" t="s">
        <v>91</v>
      </c>
      <c r="AQ1607" s="1" t="s">
        <v>147</v>
      </c>
      <c r="AR1607" s="1" t="s">
        <v>147</v>
      </c>
      <c r="AS1607" s="1" t="s">
        <v>147</v>
      </c>
      <c r="AT1607" s="1" t="s">
        <v>147</v>
      </c>
      <c r="AU1607" s="1" t="s">
        <v>147</v>
      </c>
      <c r="AV1607" t="s">
        <v>91</v>
      </c>
      <c r="AW1607" t="s">
        <v>91</v>
      </c>
      <c r="AX1607" t="s">
        <v>91</v>
      </c>
      <c r="AY1607" t="s">
        <v>91</v>
      </c>
      <c r="AZ1607" t="s">
        <v>91</v>
      </c>
      <c r="BA1607" t="s">
        <v>91</v>
      </c>
      <c r="BB1607" s="2">
        <v>44378.578518518516</v>
      </c>
      <c r="BC1607" s="2">
        <v>45124.543773148151</v>
      </c>
      <c r="BD1607" t="s">
        <v>91</v>
      </c>
      <c r="BF1607" s="1" t="s">
        <v>75</v>
      </c>
      <c r="BH1607">
        <v>0</v>
      </c>
      <c r="BI1607" s="1" t="s">
        <v>721</v>
      </c>
      <c r="BJ1607">
        <v>1</v>
      </c>
      <c r="BK1607" s="1" t="s">
        <v>89</v>
      </c>
      <c r="BL1607" t="s">
        <v>91</v>
      </c>
      <c r="BM1607" s="1" t="s">
        <v>109</v>
      </c>
      <c r="BN1607" s="1" t="s">
        <v>110</v>
      </c>
      <c r="BO1607" s="1" t="s">
        <v>128</v>
      </c>
      <c r="BP1607" s="1" t="s">
        <v>91</v>
      </c>
      <c r="BQ1607" t="s">
        <v>91</v>
      </c>
      <c r="BR1607" s="3">
        <v>44378</v>
      </c>
      <c r="BS1607" s="3">
        <v>45124</v>
      </c>
      <c r="BT1607" t="s">
        <v>91</v>
      </c>
      <c r="BU1607" t="s">
        <v>91</v>
      </c>
      <c r="BW1607" s="1" t="s">
        <v>120</v>
      </c>
    </row>
    <row r="1608" spans="1:75" hidden="1" x14ac:dyDescent="0.35">
      <c r="A1608">
        <v>137823</v>
      </c>
      <c r="B1608" s="1" t="s">
        <v>75</v>
      </c>
      <c r="C1608">
        <v>80</v>
      </c>
      <c r="D1608">
        <v>11121004</v>
      </c>
      <c r="E1608">
        <v>121004</v>
      </c>
      <c r="F1608" s="1" t="s">
        <v>6867</v>
      </c>
      <c r="G1608" s="1" t="s">
        <v>8634</v>
      </c>
      <c r="H1608">
        <v>0</v>
      </c>
      <c r="I1608" s="1" t="s">
        <v>78</v>
      </c>
      <c r="J1608" s="1" t="s">
        <v>8635</v>
      </c>
      <c r="K1608" s="1" t="s">
        <v>8636</v>
      </c>
      <c r="L1608" t="s">
        <v>91</v>
      </c>
      <c r="M1608" t="s">
        <v>91</v>
      </c>
      <c r="N1608" s="1" t="s">
        <v>8637</v>
      </c>
      <c r="O1608" t="s">
        <v>91</v>
      </c>
      <c r="P1608" s="1" t="s">
        <v>8346</v>
      </c>
      <c r="Q1608" s="1" t="s">
        <v>172</v>
      </c>
      <c r="R1608" s="1" t="s">
        <v>370</v>
      </c>
      <c r="S1608">
        <v>1260</v>
      </c>
      <c r="T1608">
        <v>88210000</v>
      </c>
      <c r="U1608" s="1" t="s">
        <v>6986</v>
      </c>
      <c r="V1608" s="1" t="s">
        <v>6987</v>
      </c>
      <c r="W1608" s="1" t="s">
        <v>87</v>
      </c>
      <c r="X1608">
        <v>47</v>
      </c>
      <c r="Y1608">
        <v>33698807</v>
      </c>
      <c r="Z1608" t="s">
        <v>91</v>
      </c>
      <c r="AA1608" t="s">
        <v>91</v>
      </c>
      <c r="AB1608" t="s">
        <v>91</v>
      </c>
      <c r="AC1608" t="s">
        <v>91</v>
      </c>
      <c r="AD1608" t="s">
        <v>91</v>
      </c>
      <c r="AE1608" t="s">
        <v>91</v>
      </c>
      <c r="AF1608" t="s">
        <v>91</v>
      </c>
      <c r="AG1608" s="1" t="s">
        <v>146</v>
      </c>
      <c r="AH1608" s="1" t="s">
        <v>91</v>
      </c>
      <c r="AI1608" t="s">
        <v>91</v>
      </c>
      <c r="AM1608" t="s">
        <v>91</v>
      </c>
      <c r="AN1608" t="s">
        <v>91</v>
      </c>
      <c r="AO1608" t="s">
        <v>91</v>
      </c>
      <c r="AP1608" t="s">
        <v>91</v>
      </c>
      <c r="AQ1608" s="1" t="s">
        <v>147</v>
      </c>
      <c r="AR1608" s="1" t="s">
        <v>147</v>
      </c>
      <c r="AS1608" s="1" t="s">
        <v>147</v>
      </c>
      <c r="AT1608" s="1" t="s">
        <v>147</v>
      </c>
      <c r="AU1608" s="1" t="s">
        <v>147</v>
      </c>
      <c r="AV1608" t="s">
        <v>91</v>
      </c>
      <c r="AW1608" t="s">
        <v>91</v>
      </c>
      <c r="AX1608" t="s">
        <v>91</v>
      </c>
      <c r="AY1608" t="s">
        <v>91</v>
      </c>
      <c r="AZ1608" t="s">
        <v>91</v>
      </c>
      <c r="BA1608" t="s">
        <v>91</v>
      </c>
      <c r="BB1608" s="2">
        <v>44378.578518518516</v>
      </c>
      <c r="BC1608" s="2">
        <v>44607.703483796293</v>
      </c>
      <c r="BD1608" t="s">
        <v>91</v>
      </c>
      <c r="BF1608" s="1" t="s">
        <v>75</v>
      </c>
      <c r="BH1608">
        <v>0</v>
      </c>
      <c r="BI1608" s="1" t="s">
        <v>88</v>
      </c>
      <c r="BJ1608">
        <v>1</v>
      </c>
      <c r="BK1608" s="1" t="s">
        <v>89</v>
      </c>
      <c r="BL1608" t="s">
        <v>91</v>
      </c>
      <c r="BM1608" s="1" t="s">
        <v>109</v>
      </c>
      <c r="BN1608" s="1" t="s">
        <v>110</v>
      </c>
      <c r="BO1608" s="1" t="s">
        <v>180</v>
      </c>
      <c r="BP1608" s="1" t="s">
        <v>91</v>
      </c>
      <c r="BQ1608" t="s">
        <v>91</v>
      </c>
      <c r="BR1608" s="3">
        <v>44378</v>
      </c>
      <c r="BS1608" s="3">
        <v>44607</v>
      </c>
      <c r="BT1608" t="s">
        <v>91</v>
      </c>
      <c r="BU1608" t="s">
        <v>91</v>
      </c>
      <c r="BW1608" s="1" t="s">
        <v>2762</v>
      </c>
    </row>
    <row r="1609" spans="1:75" hidden="1" x14ac:dyDescent="0.35">
      <c r="A1609">
        <v>137824</v>
      </c>
      <c r="B1609" s="1" t="s">
        <v>75</v>
      </c>
      <c r="C1609">
        <v>80</v>
      </c>
      <c r="D1609">
        <v>11121004</v>
      </c>
      <c r="E1609">
        <v>121004</v>
      </c>
      <c r="F1609" s="1" t="s">
        <v>6867</v>
      </c>
      <c r="G1609" s="1" t="s">
        <v>8638</v>
      </c>
      <c r="H1609">
        <v>0</v>
      </c>
      <c r="I1609" s="1" t="s">
        <v>78</v>
      </c>
      <c r="J1609" s="1" t="s">
        <v>8639</v>
      </c>
      <c r="K1609" s="1" t="s">
        <v>8640</v>
      </c>
      <c r="L1609" t="s">
        <v>91</v>
      </c>
      <c r="M1609" t="s">
        <v>91</v>
      </c>
      <c r="N1609" s="1" t="s">
        <v>8641</v>
      </c>
      <c r="O1609" t="s">
        <v>91</v>
      </c>
      <c r="P1609" s="1" t="s">
        <v>7328</v>
      </c>
      <c r="Q1609" s="1" t="s">
        <v>840</v>
      </c>
      <c r="R1609" s="1" t="s">
        <v>91</v>
      </c>
      <c r="S1609">
        <v>1275</v>
      </c>
      <c r="T1609">
        <v>89120000</v>
      </c>
      <c r="U1609" s="1" t="s">
        <v>108</v>
      </c>
      <c r="V1609" s="1" t="s">
        <v>7608</v>
      </c>
      <c r="W1609" s="1" t="s">
        <v>87</v>
      </c>
      <c r="X1609">
        <v>47</v>
      </c>
      <c r="Y1609">
        <v>33820710</v>
      </c>
      <c r="Z1609" t="s">
        <v>91</v>
      </c>
      <c r="AA1609" t="s">
        <v>91</v>
      </c>
      <c r="AB1609" t="s">
        <v>91</v>
      </c>
      <c r="AC1609" t="s">
        <v>91</v>
      </c>
      <c r="AD1609" t="s">
        <v>91</v>
      </c>
      <c r="AE1609" t="s">
        <v>91</v>
      </c>
      <c r="AF1609" t="s">
        <v>91</v>
      </c>
      <c r="AG1609" s="1" t="s">
        <v>91</v>
      </c>
      <c r="AH1609" s="1" t="s">
        <v>91</v>
      </c>
      <c r="AI1609" t="s">
        <v>91</v>
      </c>
      <c r="AM1609" t="s">
        <v>91</v>
      </c>
      <c r="AN1609" t="s">
        <v>91</v>
      </c>
      <c r="AO1609" t="s">
        <v>91</v>
      </c>
      <c r="AP1609" t="s">
        <v>91</v>
      </c>
      <c r="AQ1609" s="1" t="s">
        <v>91</v>
      </c>
      <c r="AR1609" s="1" t="s">
        <v>91</v>
      </c>
      <c r="AS1609" s="1" t="s">
        <v>91</v>
      </c>
      <c r="AT1609" s="1" t="s">
        <v>91</v>
      </c>
      <c r="AU1609" s="1" t="s">
        <v>91</v>
      </c>
      <c r="AV1609" t="s">
        <v>91</v>
      </c>
      <c r="AW1609" t="s">
        <v>91</v>
      </c>
      <c r="AX1609" t="s">
        <v>91</v>
      </c>
      <c r="AY1609" t="s">
        <v>91</v>
      </c>
      <c r="AZ1609" t="s">
        <v>91</v>
      </c>
      <c r="BA1609" t="s">
        <v>91</v>
      </c>
      <c r="BB1609" s="2">
        <v>44378.578518518516</v>
      </c>
      <c r="BC1609" s="2"/>
      <c r="BD1609" t="s">
        <v>91</v>
      </c>
      <c r="BF1609" s="1" t="s">
        <v>75</v>
      </c>
      <c r="BI1609" s="1" t="s">
        <v>88</v>
      </c>
      <c r="BJ1609">
        <v>1</v>
      </c>
      <c r="BK1609" s="1" t="s">
        <v>89</v>
      </c>
      <c r="BL1609" t="s">
        <v>91</v>
      </c>
      <c r="BM1609" s="1" t="s">
        <v>329</v>
      </c>
      <c r="BN1609" s="1" t="s">
        <v>110</v>
      </c>
      <c r="BO1609" s="1" t="s">
        <v>165</v>
      </c>
      <c r="BP1609" s="1" t="s">
        <v>91</v>
      </c>
      <c r="BQ1609" t="s">
        <v>91</v>
      </c>
      <c r="BR1609" s="3">
        <v>44378</v>
      </c>
      <c r="BS1609" s="3"/>
      <c r="BT1609" t="s">
        <v>91</v>
      </c>
      <c r="BU1609" t="s">
        <v>91</v>
      </c>
      <c r="BW1609" s="1" t="s">
        <v>419</v>
      </c>
    </row>
    <row r="1610" spans="1:75" hidden="1" x14ac:dyDescent="0.35">
      <c r="A1610">
        <v>127567</v>
      </c>
      <c r="B1610" s="1" t="s">
        <v>75</v>
      </c>
      <c r="C1610">
        <v>80</v>
      </c>
      <c r="D1610">
        <v>11121004</v>
      </c>
      <c r="E1610">
        <v>121004</v>
      </c>
      <c r="F1610" s="1" t="s">
        <v>6867</v>
      </c>
      <c r="G1610" s="1" t="s">
        <v>8642</v>
      </c>
      <c r="H1610">
        <v>0</v>
      </c>
      <c r="I1610" s="1" t="s">
        <v>78</v>
      </c>
      <c r="J1610" s="1" t="s">
        <v>8643</v>
      </c>
      <c r="K1610" s="1" t="s">
        <v>8644</v>
      </c>
      <c r="L1610" t="s">
        <v>91</v>
      </c>
      <c r="M1610" t="s">
        <v>91</v>
      </c>
      <c r="N1610" s="1" t="s">
        <v>8645</v>
      </c>
      <c r="O1610" t="s">
        <v>91</v>
      </c>
      <c r="P1610" s="1" t="s">
        <v>7819</v>
      </c>
      <c r="Q1610" s="1" t="s">
        <v>342</v>
      </c>
      <c r="R1610" s="1" t="s">
        <v>8646</v>
      </c>
      <c r="S1610">
        <v>1261</v>
      </c>
      <c r="T1610">
        <v>88301302</v>
      </c>
      <c r="U1610" s="1" t="s">
        <v>108</v>
      </c>
      <c r="V1610" s="1" t="s">
        <v>6874</v>
      </c>
      <c r="W1610" s="1" t="s">
        <v>87</v>
      </c>
      <c r="X1610">
        <v>47</v>
      </c>
      <c r="Y1610">
        <v>30452661</v>
      </c>
      <c r="Z1610" t="s">
        <v>91</v>
      </c>
      <c r="AA1610" t="s">
        <v>91</v>
      </c>
      <c r="AB1610" t="s">
        <v>91</v>
      </c>
      <c r="AC1610" t="s">
        <v>91</v>
      </c>
      <c r="AD1610" t="s">
        <v>91</v>
      </c>
      <c r="AE1610" t="s">
        <v>91</v>
      </c>
      <c r="AF1610" t="s">
        <v>91</v>
      </c>
      <c r="AG1610" s="1" t="s">
        <v>91</v>
      </c>
      <c r="AH1610" s="1" t="s">
        <v>91</v>
      </c>
      <c r="AI1610" t="s">
        <v>91</v>
      </c>
      <c r="AJ1610">
        <v>0</v>
      </c>
      <c r="AK1610">
        <v>0</v>
      </c>
      <c r="AL1610">
        <v>0</v>
      </c>
      <c r="AM1610" t="s">
        <v>91</v>
      </c>
      <c r="AN1610" t="s">
        <v>91</v>
      </c>
      <c r="AO1610" t="s">
        <v>91</v>
      </c>
      <c r="AP1610" t="s">
        <v>91</v>
      </c>
      <c r="AQ1610" s="1" t="s">
        <v>91</v>
      </c>
      <c r="AR1610" s="1" t="s">
        <v>91</v>
      </c>
      <c r="AS1610" s="1" t="s">
        <v>91</v>
      </c>
      <c r="AT1610" s="1" t="s">
        <v>91</v>
      </c>
      <c r="AU1610" s="1" t="s">
        <v>91</v>
      </c>
      <c r="AV1610" t="s">
        <v>91</v>
      </c>
      <c r="AW1610" t="s">
        <v>91</v>
      </c>
      <c r="AX1610" t="s">
        <v>91</v>
      </c>
      <c r="AY1610" t="s">
        <v>91</v>
      </c>
      <c r="AZ1610" t="s">
        <v>91</v>
      </c>
      <c r="BA1610" t="s">
        <v>91</v>
      </c>
      <c r="BB1610" s="2">
        <v>44111.380995370368</v>
      </c>
      <c r="BC1610" s="2"/>
      <c r="BD1610" t="s">
        <v>91</v>
      </c>
      <c r="BF1610" s="1" t="s">
        <v>75</v>
      </c>
      <c r="BG1610">
        <v>0</v>
      </c>
      <c r="BH1610">
        <v>0</v>
      </c>
      <c r="BI1610" s="1" t="s">
        <v>88</v>
      </c>
      <c r="BJ1610">
        <v>1</v>
      </c>
      <c r="BK1610" s="1" t="s">
        <v>89</v>
      </c>
      <c r="BL1610" t="s">
        <v>91</v>
      </c>
      <c r="BM1610" s="1" t="s">
        <v>109</v>
      </c>
      <c r="BN1610" s="1" t="s">
        <v>91</v>
      </c>
      <c r="BO1610" s="1" t="s">
        <v>165</v>
      </c>
      <c r="BP1610" s="1" t="s">
        <v>91</v>
      </c>
      <c r="BQ1610" t="s">
        <v>91</v>
      </c>
      <c r="BR1610" s="3">
        <v>44111</v>
      </c>
      <c r="BS1610" s="3"/>
      <c r="BT1610" t="s">
        <v>91</v>
      </c>
      <c r="BU1610" t="s">
        <v>91</v>
      </c>
      <c r="BV1610">
        <v>5</v>
      </c>
      <c r="BW1610" s="1" t="s">
        <v>1332</v>
      </c>
    </row>
    <row r="1611" spans="1:75" hidden="1" x14ac:dyDescent="0.35">
      <c r="A1611">
        <v>157759</v>
      </c>
      <c r="B1611" s="1" t="s">
        <v>75</v>
      </c>
      <c r="C1611">
        <v>80</v>
      </c>
      <c r="D1611">
        <v>11121004</v>
      </c>
      <c r="E1611">
        <v>121004</v>
      </c>
      <c r="F1611" s="1" t="s">
        <v>6867</v>
      </c>
      <c r="G1611" s="1" t="s">
        <v>8647</v>
      </c>
      <c r="H1611">
        <v>0</v>
      </c>
      <c r="I1611" s="1" t="s">
        <v>78</v>
      </c>
      <c r="J1611" s="1" t="s">
        <v>8648</v>
      </c>
      <c r="K1611" s="1" t="s">
        <v>8649</v>
      </c>
      <c r="L1611" t="s">
        <v>91</v>
      </c>
      <c r="M1611" t="s">
        <v>91</v>
      </c>
      <c r="N1611" s="1" t="s">
        <v>8650</v>
      </c>
      <c r="O1611" t="s">
        <v>91</v>
      </c>
      <c r="P1611" s="1" t="s">
        <v>682</v>
      </c>
      <c r="Q1611" s="1" t="s">
        <v>8651</v>
      </c>
      <c r="R1611" s="1" t="s">
        <v>236</v>
      </c>
      <c r="S1611">
        <v>1271</v>
      </c>
      <c r="T1611">
        <v>89010203</v>
      </c>
      <c r="U1611" s="1" t="s">
        <v>108</v>
      </c>
      <c r="V1611" s="1" t="s">
        <v>3571</v>
      </c>
      <c r="W1611" s="1" t="s">
        <v>87</v>
      </c>
      <c r="X1611">
        <v>47</v>
      </c>
      <c r="Y1611">
        <v>33405089</v>
      </c>
      <c r="Z1611" t="s">
        <v>91</v>
      </c>
      <c r="AA1611" t="s">
        <v>91</v>
      </c>
      <c r="AB1611" t="s">
        <v>91</v>
      </c>
      <c r="AC1611" t="s">
        <v>91</v>
      </c>
      <c r="AD1611" t="s">
        <v>91</v>
      </c>
      <c r="AE1611" t="s">
        <v>91</v>
      </c>
      <c r="AF1611" t="s">
        <v>91</v>
      </c>
      <c r="AG1611" s="1" t="s">
        <v>91</v>
      </c>
      <c r="AH1611" s="1" t="s">
        <v>91</v>
      </c>
      <c r="AI1611" t="s">
        <v>91</v>
      </c>
      <c r="AM1611" t="s">
        <v>91</v>
      </c>
      <c r="AN1611" t="s">
        <v>91</v>
      </c>
      <c r="AO1611" t="s">
        <v>91</v>
      </c>
      <c r="AP1611" t="s">
        <v>91</v>
      </c>
      <c r="AQ1611" s="1" t="s">
        <v>91</v>
      </c>
      <c r="AR1611" s="1" t="s">
        <v>91</v>
      </c>
      <c r="AS1611" s="1" t="s">
        <v>91</v>
      </c>
      <c r="AT1611" s="1" t="s">
        <v>91</v>
      </c>
      <c r="AU1611" s="1" t="s">
        <v>91</v>
      </c>
      <c r="AV1611" t="s">
        <v>91</v>
      </c>
      <c r="AW1611" t="s">
        <v>91</v>
      </c>
      <c r="AX1611" t="s">
        <v>91</v>
      </c>
      <c r="AY1611" t="s">
        <v>91</v>
      </c>
      <c r="AZ1611" t="s">
        <v>91</v>
      </c>
      <c r="BA1611" t="s">
        <v>91</v>
      </c>
      <c r="BB1611" s="2">
        <v>45118.101759259262</v>
      </c>
      <c r="BC1611" s="2"/>
      <c r="BD1611" t="s">
        <v>91</v>
      </c>
      <c r="BF1611" s="1" t="s">
        <v>75</v>
      </c>
      <c r="BI1611" s="1" t="s">
        <v>88</v>
      </c>
      <c r="BJ1611">
        <v>1</v>
      </c>
      <c r="BK1611" s="1" t="s">
        <v>89</v>
      </c>
      <c r="BL1611" t="s">
        <v>91</v>
      </c>
      <c r="BM1611" s="1" t="s">
        <v>91</v>
      </c>
      <c r="BN1611" s="1" t="s">
        <v>91</v>
      </c>
      <c r="BO1611" s="1" t="s">
        <v>91</v>
      </c>
      <c r="BP1611" s="1" t="s">
        <v>91</v>
      </c>
      <c r="BQ1611" t="s">
        <v>91</v>
      </c>
      <c r="BR1611" s="3">
        <v>45118</v>
      </c>
      <c r="BS1611" s="3"/>
      <c r="BT1611" t="s">
        <v>91</v>
      </c>
      <c r="BU1611" t="s">
        <v>91</v>
      </c>
      <c r="BW1611" s="1" t="s">
        <v>90</v>
      </c>
    </row>
    <row r="1612" spans="1:75" hidden="1" x14ac:dyDescent="0.35">
      <c r="A1612">
        <v>117522</v>
      </c>
      <c r="B1612" s="1" t="s">
        <v>75</v>
      </c>
      <c r="C1612">
        <v>80</v>
      </c>
      <c r="D1612">
        <v>11121004</v>
      </c>
      <c r="E1612">
        <v>121004</v>
      </c>
      <c r="F1612" s="1" t="s">
        <v>6867</v>
      </c>
      <c r="G1612" s="1" t="s">
        <v>8652</v>
      </c>
      <c r="H1612">
        <v>0</v>
      </c>
      <c r="I1612" s="1" t="s">
        <v>78</v>
      </c>
      <c r="J1612" s="1" t="s">
        <v>8653</v>
      </c>
      <c r="K1612" s="1" t="s">
        <v>8654</v>
      </c>
      <c r="L1612" t="s">
        <v>91</v>
      </c>
      <c r="M1612" t="s">
        <v>91</v>
      </c>
      <c r="N1612" s="1" t="s">
        <v>8655</v>
      </c>
      <c r="O1612" t="s">
        <v>91</v>
      </c>
      <c r="P1612" s="1" t="s">
        <v>7000</v>
      </c>
      <c r="Q1612" s="1" t="s">
        <v>3304</v>
      </c>
      <c r="R1612" s="1" t="s">
        <v>245</v>
      </c>
      <c r="S1612">
        <v>1260</v>
      </c>
      <c r="T1612">
        <v>88200000</v>
      </c>
      <c r="U1612" s="1" t="s">
        <v>108</v>
      </c>
      <c r="V1612" s="1" t="s">
        <v>6906</v>
      </c>
      <c r="W1612" s="1" t="s">
        <v>87</v>
      </c>
      <c r="X1612">
        <v>48</v>
      </c>
      <c r="Y1612">
        <v>32635941</v>
      </c>
      <c r="Z1612" t="s">
        <v>91</v>
      </c>
      <c r="AA1612" t="s">
        <v>91</v>
      </c>
      <c r="AB1612" t="s">
        <v>91</v>
      </c>
      <c r="AC1612" t="s">
        <v>91</v>
      </c>
      <c r="AD1612" t="s">
        <v>91</v>
      </c>
      <c r="AE1612" t="s">
        <v>91</v>
      </c>
      <c r="AF1612" t="s">
        <v>91</v>
      </c>
      <c r="AG1612" s="1" t="s">
        <v>91</v>
      </c>
      <c r="AH1612" s="1" t="s">
        <v>91</v>
      </c>
      <c r="AI1612" t="s">
        <v>91</v>
      </c>
      <c r="AJ1612">
        <v>0</v>
      </c>
      <c r="AK1612">
        <v>0</v>
      </c>
      <c r="AL1612">
        <v>0</v>
      </c>
      <c r="AM1612" t="s">
        <v>91</v>
      </c>
      <c r="AN1612" t="s">
        <v>91</v>
      </c>
      <c r="AO1612" t="s">
        <v>91</v>
      </c>
      <c r="AP1612" t="s">
        <v>91</v>
      </c>
      <c r="AQ1612" s="1" t="s">
        <v>91</v>
      </c>
      <c r="AR1612" s="1" t="s">
        <v>91</v>
      </c>
      <c r="AS1612" s="1" t="s">
        <v>91</v>
      </c>
      <c r="AT1612" s="1" t="s">
        <v>91</v>
      </c>
      <c r="AU1612" s="1" t="s">
        <v>91</v>
      </c>
      <c r="AV1612" t="s">
        <v>91</v>
      </c>
      <c r="AW1612" t="s">
        <v>91</v>
      </c>
      <c r="AX1612" t="s">
        <v>91</v>
      </c>
      <c r="AY1612" t="s">
        <v>91</v>
      </c>
      <c r="AZ1612" t="s">
        <v>91</v>
      </c>
      <c r="BA1612" t="s">
        <v>91</v>
      </c>
      <c r="BB1612" s="2">
        <v>44034.350266203706</v>
      </c>
      <c r="BC1612" s="2"/>
      <c r="BD1612" t="s">
        <v>91</v>
      </c>
      <c r="BF1612" s="1" t="s">
        <v>75</v>
      </c>
      <c r="BG1612">
        <v>0</v>
      </c>
      <c r="BH1612">
        <v>0</v>
      </c>
      <c r="BI1612" s="1" t="s">
        <v>88</v>
      </c>
      <c r="BJ1612">
        <v>1</v>
      </c>
      <c r="BK1612" s="1" t="s">
        <v>89</v>
      </c>
      <c r="BL1612" t="s">
        <v>91</v>
      </c>
      <c r="BM1612" s="1" t="s">
        <v>109</v>
      </c>
      <c r="BN1612" s="1" t="s">
        <v>110</v>
      </c>
      <c r="BO1612" s="1" t="s">
        <v>111</v>
      </c>
      <c r="BP1612" s="1" t="s">
        <v>91</v>
      </c>
      <c r="BQ1612" t="s">
        <v>91</v>
      </c>
      <c r="BR1612" s="3">
        <v>44034</v>
      </c>
      <c r="BS1612" s="3"/>
      <c r="BT1612" t="s">
        <v>91</v>
      </c>
      <c r="BU1612" t="s">
        <v>91</v>
      </c>
      <c r="BV1612">
        <v>9</v>
      </c>
      <c r="BW1612" s="1" t="s">
        <v>665</v>
      </c>
    </row>
    <row r="1613" spans="1:75" hidden="1" x14ac:dyDescent="0.35">
      <c r="A1613">
        <v>157046</v>
      </c>
      <c r="B1613" s="1" t="s">
        <v>75</v>
      </c>
      <c r="C1613">
        <v>80</v>
      </c>
      <c r="D1613">
        <v>11121004</v>
      </c>
      <c r="E1613">
        <v>121004</v>
      </c>
      <c r="F1613" s="1" t="s">
        <v>6867</v>
      </c>
      <c r="G1613" s="1" t="s">
        <v>8656</v>
      </c>
      <c r="H1613">
        <v>0</v>
      </c>
      <c r="I1613" s="1" t="s">
        <v>78</v>
      </c>
      <c r="J1613" s="1" t="s">
        <v>8657</v>
      </c>
      <c r="K1613" s="1" t="s">
        <v>8658</v>
      </c>
      <c r="L1613" t="s">
        <v>91</v>
      </c>
      <c r="M1613" t="s">
        <v>91</v>
      </c>
      <c r="N1613" s="1" t="s">
        <v>8659</v>
      </c>
      <c r="O1613" t="s">
        <v>91</v>
      </c>
      <c r="P1613" s="1" t="s">
        <v>8660</v>
      </c>
      <c r="Q1613" s="1" t="s">
        <v>924</v>
      </c>
      <c r="R1613" s="1" t="s">
        <v>370</v>
      </c>
      <c r="T1613">
        <v>89066600</v>
      </c>
      <c r="U1613" s="1" t="s">
        <v>7086</v>
      </c>
      <c r="V1613" s="1" t="s">
        <v>3571</v>
      </c>
      <c r="W1613" s="1" t="s">
        <v>87</v>
      </c>
      <c r="X1613">
        <v>47</v>
      </c>
      <c r="Y1613">
        <v>988956724</v>
      </c>
      <c r="Z1613" t="s">
        <v>91</v>
      </c>
      <c r="AA1613" t="s">
        <v>91</v>
      </c>
      <c r="AB1613" t="s">
        <v>91</v>
      </c>
      <c r="AC1613" t="s">
        <v>91</v>
      </c>
      <c r="AD1613" t="s">
        <v>91</v>
      </c>
      <c r="AE1613" t="s">
        <v>91</v>
      </c>
      <c r="AF1613" t="s">
        <v>91</v>
      </c>
      <c r="AG1613" s="1" t="s">
        <v>91</v>
      </c>
      <c r="AH1613" s="1" t="s">
        <v>91</v>
      </c>
      <c r="AI1613" t="s">
        <v>91</v>
      </c>
      <c r="AM1613" t="s">
        <v>91</v>
      </c>
      <c r="AN1613" t="s">
        <v>91</v>
      </c>
      <c r="AO1613" t="s">
        <v>91</v>
      </c>
      <c r="AP1613" t="s">
        <v>91</v>
      </c>
      <c r="AQ1613" s="1" t="s">
        <v>91</v>
      </c>
      <c r="AR1613" s="1" t="s">
        <v>91</v>
      </c>
      <c r="AS1613" s="1" t="s">
        <v>91</v>
      </c>
      <c r="AT1613" s="1" t="s">
        <v>91</v>
      </c>
      <c r="AU1613" s="1" t="s">
        <v>91</v>
      </c>
      <c r="AV1613" t="s">
        <v>91</v>
      </c>
      <c r="AW1613" t="s">
        <v>91</v>
      </c>
      <c r="AX1613" t="s">
        <v>91</v>
      </c>
      <c r="AY1613" t="s">
        <v>91</v>
      </c>
      <c r="AZ1613" t="s">
        <v>91</v>
      </c>
      <c r="BA1613" t="s">
        <v>91</v>
      </c>
      <c r="BB1613" s="2">
        <v>45113.505416666667</v>
      </c>
      <c r="BC1613" s="2"/>
      <c r="BD1613" t="s">
        <v>91</v>
      </c>
      <c r="BF1613" s="1" t="s">
        <v>75</v>
      </c>
      <c r="BI1613" s="1" t="s">
        <v>88</v>
      </c>
      <c r="BJ1613">
        <v>1</v>
      </c>
      <c r="BK1613" s="1" t="s">
        <v>89</v>
      </c>
      <c r="BL1613" t="s">
        <v>91</v>
      </c>
      <c r="BM1613" s="1" t="s">
        <v>91</v>
      </c>
      <c r="BN1613" s="1" t="s">
        <v>91</v>
      </c>
      <c r="BO1613" s="1" t="s">
        <v>91</v>
      </c>
      <c r="BP1613" s="1" t="s">
        <v>91</v>
      </c>
      <c r="BQ1613" t="s">
        <v>91</v>
      </c>
      <c r="BR1613" s="3">
        <v>45113</v>
      </c>
      <c r="BS1613" s="3"/>
      <c r="BT1613" t="s">
        <v>91</v>
      </c>
      <c r="BU1613" t="s">
        <v>91</v>
      </c>
      <c r="BW1613" s="1" t="s">
        <v>90</v>
      </c>
    </row>
    <row r="1614" spans="1:75" hidden="1" x14ac:dyDescent="0.35">
      <c r="A1614">
        <v>158715</v>
      </c>
      <c r="B1614" s="1" t="s">
        <v>75</v>
      </c>
      <c r="C1614">
        <v>80</v>
      </c>
      <c r="D1614">
        <v>11121004</v>
      </c>
      <c r="E1614">
        <v>121004</v>
      </c>
      <c r="F1614" s="1" t="s">
        <v>6867</v>
      </c>
      <c r="G1614" s="1" t="s">
        <v>8661</v>
      </c>
      <c r="I1614" s="1" t="s">
        <v>78</v>
      </c>
      <c r="J1614" s="1" t="s">
        <v>8662</v>
      </c>
      <c r="K1614" s="1" t="s">
        <v>8663</v>
      </c>
      <c r="L1614" t="s">
        <v>91</v>
      </c>
      <c r="M1614" t="s">
        <v>91</v>
      </c>
      <c r="N1614" s="1" t="s">
        <v>8664</v>
      </c>
      <c r="O1614" t="s">
        <v>91</v>
      </c>
      <c r="P1614" s="1" t="s">
        <v>8665</v>
      </c>
      <c r="Q1614" s="1" t="s">
        <v>8666</v>
      </c>
      <c r="R1614" s="1" t="s">
        <v>8667</v>
      </c>
      <c r="T1614">
        <v>88352501</v>
      </c>
      <c r="U1614" s="1" t="s">
        <v>8668</v>
      </c>
      <c r="V1614" s="1" t="s">
        <v>6936</v>
      </c>
      <c r="W1614" s="1" t="s">
        <v>87</v>
      </c>
      <c r="X1614">
        <v>47</v>
      </c>
      <c r="Y1614">
        <v>32556000</v>
      </c>
      <c r="Z1614" t="s">
        <v>91</v>
      </c>
      <c r="AA1614" t="s">
        <v>91</v>
      </c>
      <c r="AB1614" t="s">
        <v>91</v>
      </c>
      <c r="AC1614" t="s">
        <v>91</v>
      </c>
      <c r="AD1614" t="s">
        <v>91</v>
      </c>
      <c r="AE1614" t="s">
        <v>91</v>
      </c>
      <c r="AF1614" t="s">
        <v>91</v>
      </c>
      <c r="AG1614" s="1" t="s">
        <v>91</v>
      </c>
      <c r="AH1614" s="1" t="s">
        <v>91</v>
      </c>
      <c r="AI1614" t="s">
        <v>91</v>
      </c>
      <c r="AM1614" t="s">
        <v>91</v>
      </c>
      <c r="AN1614" t="s">
        <v>91</v>
      </c>
      <c r="AO1614" t="s">
        <v>91</v>
      </c>
      <c r="AP1614" t="s">
        <v>91</v>
      </c>
      <c r="AQ1614" s="1" t="s">
        <v>91</v>
      </c>
      <c r="AR1614" s="1" t="s">
        <v>91</v>
      </c>
      <c r="AS1614" s="1" t="s">
        <v>91</v>
      </c>
      <c r="AT1614" s="1" t="s">
        <v>91</v>
      </c>
      <c r="AU1614" s="1" t="s">
        <v>91</v>
      </c>
      <c r="AV1614" t="s">
        <v>91</v>
      </c>
      <c r="AW1614" t="s">
        <v>91</v>
      </c>
      <c r="AX1614" t="s">
        <v>91</v>
      </c>
      <c r="AY1614" t="s">
        <v>91</v>
      </c>
      <c r="AZ1614" t="s">
        <v>91</v>
      </c>
      <c r="BA1614" t="s">
        <v>91</v>
      </c>
      <c r="BB1614" s="2">
        <v>45155.700069444443</v>
      </c>
      <c r="BC1614" s="2"/>
      <c r="BD1614" t="s">
        <v>91</v>
      </c>
      <c r="BF1614" s="1" t="s">
        <v>75</v>
      </c>
      <c r="BI1614" s="1" t="s">
        <v>88</v>
      </c>
      <c r="BJ1614">
        <v>1</v>
      </c>
      <c r="BK1614" s="1" t="s">
        <v>89</v>
      </c>
      <c r="BL1614" t="s">
        <v>91</v>
      </c>
      <c r="BM1614" s="1" t="s">
        <v>91</v>
      </c>
      <c r="BN1614" s="1" t="s">
        <v>91</v>
      </c>
      <c r="BO1614" s="1" t="s">
        <v>91</v>
      </c>
      <c r="BP1614" s="1" t="s">
        <v>91</v>
      </c>
      <c r="BQ1614" t="s">
        <v>91</v>
      </c>
      <c r="BR1614" s="3">
        <v>45155</v>
      </c>
      <c r="BS1614" s="3"/>
      <c r="BT1614" t="s">
        <v>91</v>
      </c>
      <c r="BU1614" t="s">
        <v>91</v>
      </c>
      <c r="BW1614" s="1" t="s">
        <v>3002</v>
      </c>
    </row>
    <row r="1615" spans="1:75" hidden="1" x14ac:dyDescent="0.35">
      <c r="A1615">
        <v>137828</v>
      </c>
      <c r="B1615" s="1" t="s">
        <v>75</v>
      </c>
      <c r="C1615">
        <v>80</v>
      </c>
      <c r="D1615">
        <v>11121004</v>
      </c>
      <c r="E1615">
        <v>121004</v>
      </c>
      <c r="F1615" s="1" t="s">
        <v>6867</v>
      </c>
      <c r="G1615" s="1" t="s">
        <v>8669</v>
      </c>
      <c r="H1615">
        <v>0</v>
      </c>
      <c r="I1615" s="1" t="s">
        <v>78</v>
      </c>
      <c r="J1615" s="1" t="s">
        <v>8670</v>
      </c>
      <c r="K1615" s="1" t="s">
        <v>8671</v>
      </c>
      <c r="L1615" t="s">
        <v>91</v>
      </c>
      <c r="M1615" t="s">
        <v>91</v>
      </c>
      <c r="N1615" s="1" t="s">
        <v>8672</v>
      </c>
      <c r="O1615" t="s">
        <v>91</v>
      </c>
      <c r="P1615" s="1" t="s">
        <v>7985</v>
      </c>
      <c r="Q1615" s="1" t="s">
        <v>8673</v>
      </c>
      <c r="R1615" s="1" t="s">
        <v>370</v>
      </c>
      <c r="S1615">
        <v>1273</v>
      </c>
      <c r="T1615">
        <v>89046000</v>
      </c>
      <c r="U1615" s="1" t="s">
        <v>7654</v>
      </c>
      <c r="V1615" s="1" t="s">
        <v>3571</v>
      </c>
      <c r="W1615" s="1" t="s">
        <v>87</v>
      </c>
      <c r="X1615">
        <v>47</v>
      </c>
      <c r="Y1615">
        <v>33285627</v>
      </c>
      <c r="Z1615" t="s">
        <v>91</v>
      </c>
      <c r="AA1615" t="s">
        <v>91</v>
      </c>
      <c r="AB1615" t="s">
        <v>91</v>
      </c>
      <c r="AC1615" t="s">
        <v>91</v>
      </c>
      <c r="AD1615" t="s">
        <v>91</v>
      </c>
      <c r="AE1615" t="s">
        <v>91</v>
      </c>
      <c r="AF1615" t="s">
        <v>91</v>
      </c>
      <c r="AG1615" s="1" t="s">
        <v>146</v>
      </c>
      <c r="AH1615" s="1" t="s">
        <v>91</v>
      </c>
      <c r="AI1615" t="s">
        <v>91</v>
      </c>
      <c r="AM1615" t="s">
        <v>91</v>
      </c>
      <c r="AN1615" t="s">
        <v>91</v>
      </c>
      <c r="AO1615" t="s">
        <v>91</v>
      </c>
      <c r="AP1615" t="s">
        <v>91</v>
      </c>
      <c r="AQ1615" s="1" t="s">
        <v>147</v>
      </c>
      <c r="AR1615" s="1" t="s">
        <v>147</v>
      </c>
      <c r="AS1615" s="1" t="s">
        <v>147</v>
      </c>
      <c r="AT1615" s="1" t="s">
        <v>147</v>
      </c>
      <c r="AU1615" s="1" t="s">
        <v>147</v>
      </c>
      <c r="AV1615" t="s">
        <v>91</v>
      </c>
      <c r="AW1615" t="s">
        <v>91</v>
      </c>
      <c r="AX1615" t="s">
        <v>91</v>
      </c>
      <c r="AY1615" t="s">
        <v>91</v>
      </c>
      <c r="AZ1615" t="s">
        <v>91</v>
      </c>
      <c r="BA1615" t="s">
        <v>91</v>
      </c>
      <c r="BB1615" s="2">
        <v>44378.578518518516</v>
      </c>
      <c r="BC1615" s="2">
        <v>44761.721365740741</v>
      </c>
      <c r="BD1615" t="s">
        <v>91</v>
      </c>
      <c r="BF1615" s="1" t="s">
        <v>75</v>
      </c>
      <c r="BH1615">
        <v>0</v>
      </c>
      <c r="BI1615" s="1" t="s">
        <v>88</v>
      </c>
      <c r="BJ1615">
        <v>1</v>
      </c>
      <c r="BK1615" s="1" t="s">
        <v>89</v>
      </c>
      <c r="BL1615" t="s">
        <v>91</v>
      </c>
      <c r="BM1615" s="1" t="s">
        <v>109</v>
      </c>
      <c r="BN1615" s="1" t="s">
        <v>110</v>
      </c>
      <c r="BO1615" s="1" t="s">
        <v>128</v>
      </c>
      <c r="BP1615" s="1" t="s">
        <v>91</v>
      </c>
      <c r="BQ1615" t="s">
        <v>91</v>
      </c>
      <c r="BR1615" s="3">
        <v>44378</v>
      </c>
      <c r="BS1615" s="3">
        <v>44761</v>
      </c>
      <c r="BT1615" t="s">
        <v>91</v>
      </c>
      <c r="BU1615" t="s">
        <v>91</v>
      </c>
      <c r="BW1615" s="1" t="s">
        <v>390</v>
      </c>
    </row>
    <row r="1616" spans="1:75" hidden="1" x14ac:dyDescent="0.35">
      <c r="A1616">
        <v>1242</v>
      </c>
      <c r="B1616" s="1" t="s">
        <v>75</v>
      </c>
      <c r="C1616">
        <v>80</v>
      </c>
      <c r="D1616">
        <v>11121004</v>
      </c>
      <c r="E1616">
        <v>121004</v>
      </c>
      <c r="F1616" s="1" t="s">
        <v>6867</v>
      </c>
      <c r="G1616" s="1" t="s">
        <v>8674</v>
      </c>
      <c r="I1616" s="1" t="s">
        <v>78</v>
      </c>
      <c r="J1616" s="1" t="s">
        <v>8675</v>
      </c>
      <c r="K1616" s="1" t="s">
        <v>8676</v>
      </c>
      <c r="L1616" t="s">
        <v>91</v>
      </c>
      <c r="M1616" t="s">
        <v>91</v>
      </c>
      <c r="N1616" s="1" t="s">
        <v>8677</v>
      </c>
      <c r="O1616" t="s">
        <v>91</v>
      </c>
      <c r="P1616" s="1" t="s">
        <v>8678</v>
      </c>
      <c r="Q1616" s="1" t="s">
        <v>8679</v>
      </c>
      <c r="R1616" s="1" t="s">
        <v>91</v>
      </c>
      <c r="S1616">
        <v>1275</v>
      </c>
      <c r="T1616">
        <v>89130000</v>
      </c>
      <c r="U1616" s="1" t="s">
        <v>7530</v>
      </c>
      <c r="V1616" s="1" t="s">
        <v>7659</v>
      </c>
      <c r="W1616" s="1" t="s">
        <v>87</v>
      </c>
      <c r="X1616">
        <v>47</v>
      </c>
      <c r="Y1616">
        <v>33335800</v>
      </c>
      <c r="Z1616" t="s">
        <v>91</v>
      </c>
      <c r="AA1616" t="s">
        <v>91</v>
      </c>
      <c r="AB1616" t="s">
        <v>91</v>
      </c>
      <c r="AC1616" t="s">
        <v>91</v>
      </c>
      <c r="AD1616" t="s">
        <v>91</v>
      </c>
      <c r="AE1616" t="s">
        <v>91</v>
      </c>
      <c r="AF1616" t="s">
        <v>91</v>
      </c>
      <c r="AG1616" s="1" t="s">
        <v>91</v>
      </c>
      <c r="AH1616" s="1" t="s">
        <v>91</v>
      </c>
      <c r="AI1616" t="s">
        <v>91</v>
      </c>
      <c r="AJ1616">
        <v>0</v>
      </c>
      <c r="AK1616">
        <v>0</v>
      </c>
      <c r="AL1616">
        <v>0</v>
      </c>
      <c r="AM1616" t="s">
        <v>91</v>
      </c>
      <c r="AN1616" t="s">
        <v>91</v>
      </c>
      <c r="AO1616" t="s">
        <v>91</v>
      </c>
      <c r="AP1616" t="s">
        <v>91</v>
      </c>
      <c r="AQ1616" s="1" t="s">
        <v>91</v>
      </c>
      <c r="AR1616" s="1" t="s">
        <v>91</v>
      </c>
      <c r="AS1616" s="1" t="s">
        <v>91</v>
      </c>
      <c r="AT1616" s="1" t="s">
        <v>91</v>
      </c>
      <c r="AU1616" s="1" t="s">
        <v>91</v>
      </c>
      <c r="AV1616" t="s">
        <v>91</v>
      </c>
      <c r="AW1616" t="s">
        <v>91</v>
      </c>
      <c r="AX1616" t="s">
        <v>91</v>
      </c>
      <c r="AY1616" t="s">
        <v>91</v>
      </c>
      <c r="AZ1616" t="s">
        <v>91</v>
      </c>
      <c r="BA1616" t="s">
        <v>91</v>
      </c>
      <c r="BB1616" s="2">
        <v>43308.393182870372</v>
      </c>
      <c r="BC1616" s="2"/>
      <c r="BD1616" t="s">
        <v>91</v>
      </c>
      <c r="BE1616">
        <v>1242</v>
      </c>
      <c r="BF1616" s="1" t="s">
        <v>75</v>
      </c>
      <c r="BG1616">
        <v>0</v>
      </c>
      <c r="BH1616">
        <v>0</v>
      </c>
      <c r="BI1616" s="1" t="s">
        <v>88</v>
      </c>
      <c r="BJ1616">
        <v>1</v>
      </c>
      <c r="BK1616" s="1" t="s">
        <v>89</v>
      </c>
      <c r="BL1616" t="s">
        <v>91</v>
      </c>
      <c r="BM1616" s="1" t="s">
        <v>109</v>
      </c>
      <c r="BN1616" s="1" t="s">
        <v>110</v>
      </c>
      <c r="BO1616" s="1" t="s">
        <v>165</v>
      </c>
      <c r="BP1616" s="1" t="s">
        <v>91</v>
      </c>
      <c r="BQ1616" t="s">
        <v>91</v>
      </c>
      <c r="BR1616" s="3">
        <v>43308</v>
      </c>
      <c r="BS1616" s="3"/>
      <c r="BT1616" t="s">
        <v>91</v>
      </c>
      <c r="BU1616" t="s">
        <v>91</v>
      </c>
      <c r="BV1616">
        <v>5</v>
      </c>
      <c r="BW1616" s="1" t="s">
        <v>1260</v>
      </c>
    </row>
    <row r="1617" spans="1:75" hidden="1" x14ac:dyDescent="0.35">
      <c r="A1617">
        <v>1257</v>
      </c>
      <c r="B1617" s="1" t="s">
        <v>75</v>
      </c>
      <c r="C1617">
        <v>80</v>
      </c>
      <c r="D1617">
        <v>11121004</v>
      </c>
      <c r="E1617">
        <v>121004</v>
      </c>
      <c r="F1617" s="1" t="s">
        <v>6867</v>
      </c>
      <c r="G1617" s="1" t="s">
        <v>8680</v>
      </c>
      <c r="I1617" s="1" t="s">
        <v>78</v>
      </c>
      <c r="J1617" s="1" t="s">
        <v>8681</v>
      </c>
      <c r="K1617" s="1" t="s">
        <v>8682</v>
      </c>
      <c r="L1617" t="s">
        <v>91</v>
      </c>
      <c r="M1617" t="s">
        <v>91</v>
      </c>
      <c r="N1617" s="1" t="s">
        <v>8683</v>
      </c>
      <c r="O1617" t="s">
        <v>91</v>
      </c>
      <c r="P1617" s="1" t="s">
        <v>7441</v>
      </c>
      <c r="Q1617" s="1" t="s">
        <v>7750</v>
      </c>
      <c r="R1617" s="1" t="s">
        <v>91</v>
      </c>
      <c r="S1617">
        <v>1273</v>
      </c>
      <c r="T1617">
        <v>89056000</v>
      </c>
      <c r="U1617" s="1" t="s">
        <v>7443</v>
      </c>
      <c r="V1617" s="1" t="s">
        <v>3571</v>
      </c>
      <c r="W1617" s="1" t="s">
        <v>87</v>
      </c>
      <c r="X1617">
        <v>47</v>
      </c>
      <c r="Y1617">
        <v>33392871</v>
      </c>
      <c r="Z1617" t="s">
        <v>91</v>
      </c>
      <c r="AA1617" t="s">
        <v>91</v>
      </c>
      <c r="AB1617" t="s">
        <v>91</v>
      </c>
      <c r="AC1617" t="s">
        <v>91</v>
      </c>
      <c r="AD1617" t="s">
        <v>91</v>
      </c>
      <c r="AE1617" t="s">
        <v>91</v>
      </c>
      <c r="AF1617" t="s">
        <v>91</v>
      </c>
      <c r="AG1617" s="1" t="s">
        <v>91</v>
      </c>
      <c r="AH1617" s="1" t="s">
        <v>91</v>
      </c>
      <c r="AI1617" t="s">
        <v>91</v>
      </c>
      <c r="AJ1617">
        <v>0</v>
      </c>
      <c r="AK1617">
        <v>0</v>
      </c>
      <c r="AL1617">
        <v>0</v>
      </c>
      <c r="AM1617" t="s">
        <v>91</v>
      </c>
      <c r="AN1617" t="s">
        <v>91</v>
      </c>
      <c r="AO1617" t="s">
        <v>91</v>
      </c>
      <c r="AP1617" t="s">
        <v>91</v>
      </c>
      <c r="AQ1617" s="1" t="s">
        <v>91</v>
      </c>
      <c r="AR1617" s="1" t="s">
        <v>91</v>
      </c>
      <c r="AS1617" s="1" t="s">
        <v>91</v>
      </c>
      <c r="AT1617" s="1" t="s">
        <v>91</v>
      </c>
      <c r="AU1617" s="1" t="s">
        <v>91</v>
      </c>
      <c r="AV1617" t="s">
        <v>91</v>
      </c>
      <c r="AW1617" t="s">
        <v>91</v>
      </c>
      <c r="AX1617" t="s">
        <v>91</v>
      </c>
      <c r="AY1617" t="s">
        <v>91</v>
      </c>
      <c r="AZ1617" t="s">
        <v>91</v>
      </c>
      <c r="BA1617" t="s">
        <v>91</v>
      </c>
      <c r="BB1617" s="2">
        <v>43308.393194444441</v>
      </c>
      <c r="BC1617" s="2"/>
      <c r="BD1617" t="s">
        <v>91</v>
      </c>
      <c r="BE1617">
        <v>1257</v>
      </c>
      <c r="BF1617" s="1" t="s">
        <v>75</v>
      </c>
      <c r="BG1617">
        <v>0</v>
      </c>
      <c r="BH1617">
        <v>0</v>
      </c>
      <c r="BI1617" s="1" t="s">
        <v>88</v>
      </c>
      <c r="BJ1617">
        <v>1</v>
      </c>
      <c r="BK1617" s="1" t="s">
        <v>89</v>
      </c>
      <c r="BL1617" t="s">
        <v>91</v>
      </c>
      <c r="BM1617" s="1" t="s">
        <v>109</v>
      </c>
      <c r="BN1617" s="1" t="s">
        <v>110</v>
      </c>
      <c r="BO1617" s="1" t="s">
        <v>128</v>
      </c>
      <c r="BP1617" s="1" t="s">
        <v>91</v>
      </c>
      <c r="BQ1617" t="s">
        <v>91</v>
      </c>
      <c r="BR1617" s="3">
        <v>43308</v>
      </c>
      <c r="BS1617" s="3"/>
      <c r="BT1617" t="s">
        <v>91</v>
      </c>
      <c r="BU1617" t="s">
        <v>91</v>
      </c>
      <c r="BV1617">
        <v>5</v>
      </c>
      <c r="BW1617" s="1" t="s">
        <v>238</v>
      </c>
    </row>
    <row r="1618" spans="1:75" hidden="1" x14ac:dyDescent="0.35">
      <c r="A1618">
        <v>157112</v>
      </c>
      <c r="B1618" s="1" t="s">
        <v>75</v>
      </c>
      <c r="C1618">
        <v>80</v>
      </c>
      <c r="D1618">
        <v>11121004</v>
      </c>
      <c r="E1618">
        <v>121004</v>
      </c>
      <c r="F1618" s="1" t="s">
        <v>6867</v>
      </c>
      <c r="G1618" s="1" t="s">
        <v>8684</v>
      </c>
      <c r="H1618">
        <v>0</v>
      </c>
      <c r="I1618" s="1" t="s">
        <v>78</v>
      </c>
      <c r="J1618" s="1" t="s">
        <v>8685</v>
      </c>
      <c r="K1618" s="1" t="s">
        <v>8686</v>
      </c>
      <c r="L1618" t="s">
        <v>91</v>
      </c>
      <c r="M1618" t="s">
        <v>91</v>
      </c>
      <c r="N1618" s="1" t="s">
        <v>8687</v>
      </c>
      <c r="O1618" t="s">
        <v>91</v>
      </c>
      <c r="P1618" s="1" t="s">
        <v>8688</v>
      </c>
      <c r="Q1618" s="1" t="s">
        <v>6976</v>
      </c>
      <c r="R1618" s="1" t="s">
        <v>173</v>
      </c>
      <c r="T1618">
        <v>88330095</v>
      </c>
      <c r="U1618" s="1" t="s">
        <v>108</v>
      </c>
      <c r="V1618" s="1" t="s">
        <v>5871</v>
      </c>
      <c r="W1618" s="1" t="s">
        <v>87</v>
      </c>
      <c r="X1618">
        <v>47</v>
      </c>
      <c r="Y1618">
        <v>999778993</v>
      </c>
      <c r="Z1618" t="s">
        <v>91</v>
      </c>
      <c r="AA1618" t="s">
        <v>91</v>
      </c>
      <c r="AB1618" t="s">
        <v>91</v>
      </c>
      <c r="AC1618" t="s">
        <v>91</v>
      </c>
      <c r="AD1618" t="s">
        <v>91</v>
      </c>
      <c r="AE1618" t="s">
        <v>91</v>
      </c>
      <c r="AF1618" t="s">
        <v>91</v>
      </c>
      <c r="AG1618" s="1" t="s">
        <v>91</v>
      </c>
      <c r="AH1618" s="1" t="s">
        <v>91</v>
      </c>
      <c r="AI1618" t="s">
        <v>91</v>
      </c>
      <c r="AM1618" t="s">
        <v>91</v>
      </c>
      <c r="AN1618" t="s">
        <v>91</v>
      </c>
      <c r="AO1618" t="s">
        <v>91</v>
      </c>
      <c r="AP1618" t="s">
        <v>91</v>
      </c>
      <c r="AQ1618" s="1" t="s">
        <v>91</v>
      </c>
      <c r="AR1618" s="1" t="s">
        <v>91</v>
      </c>
      <c r="AS1618" s="1" t="s">
        <v>91</v>
      </c>
      <c r="AT1618" s="1" t="s">
        <v>91</v>
      </c>
      <c r="AU1618" s="1" t="s">
        <v>91</v>
      </c>
      <c r="AV1618" t="s">
        <v>91</v>
      </c>
      <c r="AW1618" t="s">
        <v>91</v>
      </c>
      <c r="AX1618" t="s">
        <v>91</v>
      </c>
      <c r="AY1618" t="s">
        <v>91</v>
      </c>
      <c r="AZ1618" t="s">
        <v>91</v>
      </c>
      <c r="BA1618" t="s">
        <v>91</v>
      </c>
      <c r="BB1618" s="2">
        <v>45113.505416666667</v>
      </c>
      <c r="BC1618" s="2"/>
      <c r="BD1618" t="s">
        <v>91</v>
      </c>
      <c r="BF1618" s="1" t="s">
        <v>75</v>
      </c>
      <c r="BI1618" s="1" t="s">
        <v>88</v>
      </c>
      <c r="BJ1618">
        <v>1</v>
      </c>
      <c r="BK1618" s="1" t="s">
        <v>89</v>
      </c>
      <c r="BL1618" t="s">
        <v>91</v>
      </c>
      <c r="BM1618" s="1" t="s">
        <v>91</v>
      </c>
      <c r="BN1618" s="1" t="s">
        <v>91</v>
      </c>
      <c r="BO1618" s="1" t="s">
        <v>91</v>
      </c>
      <c r="BP1618" s="1" t="s">
        <v>91</v>
      </c>
      <c r="BQ1618" t="s">
        <v>91</v>
      </c>
      <c r="BR1618" s="3">
        <v>45113</v>
      </c>
      <c r="BS1618" s="3"/>
      <c r="BT1618" t="s">
        <v>91</v>
      </c>
      <c r="BU1618" t="s">
        <v>91</v>
      </c>
      <c r="BW1618" s="1" t="s">
        <v>120</v>
      </c>
    </row>
    <row r="1619" spans="1:75" hidden="1" x14ac:dyDescent="0.35">
      <c r="A1619">
        <v>157099</v>
      </c>
      <c r="B1619" s="1" t="s">
        <v>75</v>
      </c>
      <c r="C1619">
        <v>80</v>
      </c>
      <c r="D1619">
        <v>11121004</v>
      </c>
      <c r="E1619">
        <v>121004</v>
      </c>
      <c r="F1619" s="1" t="s">
        <v>6867</v>
      </c>
      <c r="G1619" s="1" t="s">
        <v>8689</v>
      </c>
      <c r="H1619">
        <v>0</v>
      </c>
      <c r="I1619" s="1" t="s">
        <v>78</v>
      </c>
      <c r="J1619" s="1" t="s">
        <v>8690</v>
      </c>
      <c r="K1619" s="1" t="s">
        <v>8691</v>
      </c>
      <c r="L1619" t="s">
        <v>91</v>
      </c>
      <c r="M1619" t="s">
        <v>91</v>
      </c>
      <c r="N1619" s="1" t="s">
        <v>8692</v>
      </c>
      <c r="O1619" t="s">
        <v>91</v>
      </c>
      <c r="P1619" s="1" t="s">
        <v>8693</v>
      </c>
      <c r="Q1619" s="1" t="s">
        <v>3546</v>
      </c>
      <c r="R1619" s="1" t="s">
        <v>91</v>
      </c>
      <c r="T1619">
        <v>88309411</v>
      </c>
      <c r="U1619" s="1" t="s">
        <v>7235</v>
      </c>
      <c r="V1619" s="1" t="s">
        <v>6874</v>
      </c>
      <c r="W1619" s="1" t="s">
        <v>87</v>
      </c>
      <c r="X1619">
        <v>47</v>
      </c>
      <c r="Y1619">
        <v>32691867</v>
      </c>
      <c r="Z1619" t="s">
        <v>91</v>
      </c>
      <c r="AA1619" t="s">
        <v>91</v>
      </c>
      <c r="AB1619" t="s">
        <v>91</v>
      </c>
      <c r="AC1619" t="s">
        <v>91</v>
      </c>
      <c r="AD1619" t="s">
        <v>91</v>
      </c>
      <c r="AE1619" t="s">
        <v>91</v>
      </c>
      <c r="AF1619" t="s">
        <v>91</v>
      </c>
      <c r="AG1619" s="1" t="s">
        <v>146</v>
      </c>
      <c r="AH1619" s="1" t="s">
        <v>91</v>
      </c>
      <c r="AI1619" t="s">
        <v>91</v>
      </c>
      <c r="AM1619" t="s">
        <v>91</v>
      </c>
      <c r="AN1619" t="s">
        <v>91</v>
      </c>
      <c r="AO1619" t="s">
        <v>91</v>
      </c>
      <c r="AP1619" t="s">
        <v>91</v>
      </c>
      <c r="AQ1619" s="1" t="s">
        <v>147</v>
      </c>
      <c r="AR1619" s="1" t="s">
        <v>147</v>
      </c>
      <c r="AS1619" s="1" t="s">
        <v>147</v>
      </c>
      <c r="AT1619" s="1" t="s">
        <v>147</v>
      </c>
      <c r="AU1619" s="1" t="s">
        <v>147</v>
      </c>
      <c r="AV1619" t="s">
        <v>91</v>
      </c>
      <c r="AW1619" t="s">
        <v>91</v>
      </c>
      <c r="AX1619" t="s">
        <v>91</v>
      </c>
      <c r="AY1619" t="s">
        <v>91</v>
      </c>
      <c r="AZ1619" t="s">
        <v>91</v>
      </c>
      <c r="BA1619" t="s">
        <v>91</v>
      </c>
      <c r="BB1619" s="2">
        <v>45113.505416666667</v>
      </c>
      <c r="BC1619" s="2">
        <v>45114.700555555559</v>
      </c>
      <c r="BD1619" t="s">
        <v>91</v>
      </c>
      <c r="BF1619" s="1" t="s">
        <v>75</v>
      </c>
      <c r="BH1619">
        <v>0</v>
      </c>
      <c r="BI1619" s="1" t="s">
        <v>88</v>
      </c>
      <c r="BJ1619">
        <v>1</v>
      </c>
      <c r="BK1619" s="1" t="s">
        <v>89</v>
      </c>
      <c r="BL1619" t="s">
        <v>91</v>
      </c>
      <c r="BM1619" s="1" t="s">
        <v>91</v>
      </c>
      <c r="BN1619" s="1" t="s">
        <v>91</v>
      </c>
      <c r="BO1619" s="1" t="s">
        <v>91</v>
      </c>
      <c r="BP1619" s="1" t="s">
        <v>91</v>
      </c>
      <c r="BQ1619" t="s">
        <v>91</v>
      </c>
      <c r="BR1619" s="3">
        <v>45113</v>
      </c>
      <c r="BS1619" s="3">
        <v>45114</v>
      </c>
      <c r="BT1619" t="s">
        <v>91</v>
      </c>
      <c r="BU1619" t="s">
        <v>91</v>
      </c>
      <c r="BW1619" s="1" t="s">
        <v>189</v>
      </c>
    </row>
    <row r="1620" spans="1:75" hidden="1" x14ac:dyDescent="0.35">
      <c r="A1620">
        <v>157757</v>
      </c>
      <c r="B1620" s="1" t="s">
        <v>75</v>
      </c>
      <c r="C1620">
        <v>80</v>
      </c>
      <c r="D1620">
        <v>11121004</v>
      </c>
      <c r="E1620">
        <v>121004</v>
      </c>
      <c r="F1620" s="1" t="s">
        <v>6867</v>
      </c>
      <c r="G1620" s="1" t="s">
        <v>8694</v>
      </c>
      <c r="H1620">
        <v>0</v>
      </c>
      <c r="I1620" s="1" t="s">
        <v>78</v>
      </c>
      <c r="J1620" s="1" t="s">
        <v>5858</v>
      </c>
      <c r="K1620" s="1" t="s">
        <v>8695</v>
      </c>
      <c r="L1620" t="s">
        <v>91</v>
      </c>
      <c r="M1620" t="s">
        <v>91</v>
      </c>
      <c r="N1620" s="1" t="s">
        <v>8696</v>
      </c>
      <c r="O1620" t="s">
        <v>91</v>
      </c>
      <c r="P1620" s="1" t="s">
        <v>8697</v>
      </c>
      <c r="Q1620" s="1" t="s">
        <v>7950</v>
      </c>
      <c r="R1620" s="1" t="s">
        <v>8698</v>
      </c>
      <c r="S1620">
        <v>1273</v>
      </c>
      <c r="T1620">
        <v>89052381</v>
      </c>
      <c r="U1620" s="1" t="s">
        <v>7877</v>
      </c>
      <c r="V1620" s="1" t="s">
        <v>3571</v>
      </c>
      <c r="W1620" s="1" t="s">
        <v>87</v>
      </c>
      <c r="X1620">
        <v>47</v>
      </c>
      <c r="Y1620">
        <v>33977875</v>
      </c>
      <c r="Z1620" t="s">
        <v>91</v>
      </c>
      <c r="AA1620" t="s">
        <v>91</v>
      </c>
      <c r="AB1620" t="s">
        <v>91</v>
      </c>
      <c r="AC1620" t="s">
        <v>91</v>
      </c>
      <c r="AD1620" t="s">
        <v>91</v>
      </c>
      <c r="AE1620" t="s">
        <v>91</v>
      </c>
      <c r="AF1620" t="s">
        <v>91</v>
      </c>
      <c r="AG1620" s="1" t="s">
        <v>91</v>
      </c>
      <c r="AH1620" s="1" t="s">
        <v>91</v>
      </c>
      <c r="AI1620" t="s">
        <v>91</v>
      </c>
      <c r="AM1620" t="s">
        <v>91</v>
      </c>
      <c r="AN1620" t="s">
        <v>91</v>
      </c>
      <c r="AO1620" t="s">
        <v>91</v>
      </c>
      <c r="AP1620" t="s">
        <v>91</v>
      </c>
      <c r="AQ1620" s="1" t="s">
        <v>91</v>
      </c>
      <c r="AR1620" s="1" t="s">
        <v>91</v>
      </c>
      <c r="AS1620" s="1" t="s">
        <v>91</v>
      </c>
      <c r="AT1620" s="1" t="s">
        <v>91</v>
      </c>
      <c r="AU1620" s="1" t="s">
        <v>91</v>
      </c>
      <c r="AV1620" t="s">
        <v>91</v>
      </c>
      <c r="AW1620" t="s">
        <v>91</v>
      </c>
      <c r="AX1620" t="s">
        <v>91</v>
      </c>
      <c r="AY1620" t="s">
        <v>91</v>
      </c>
      <c r="AZ1620" t="s">
        <v>91</v>
      </c>
      <c r="BA1620" t="s">
        <v>91</v>
      </c>
      <c r="BB1620" s="2">
        <v>45118.101759259262</v>
      </c>
      <c r="BC1620" s="2"/>
      <c r="BD1620" t="s">
        <v>91</v>
      </c>
      <c r="BF1620" s="1" t="s">
        <v>75</v>
      </c>
      <c r="BI1620" s="1" t="s">
        <v>88</v>
      </c>
      <c r="BJ1620">
        <v>1</v>
      </c>
      <c r="BK1620" s="1" t="s">
        <v>89</v>
      </c>
      <c r="BL1620" t="s">
        <v>91</v>
      </c>
      <c r="BM1620" s="1" t="s">
        <v>91</v>
      </c>
      <c r="BN1620" s="1" t="s">
        <v>91</v>
      </c>
      <c r="BO1620" s="1" t="s">
        <v>91</v>
      </c>
      <c r="BP1620" s="1" t="s">
        <v>91</v>
      </c>
      <c r="BQ1620" t="s">
        <v>91</v>
      </c>
      <c r="BR1620" s="3">
        <v>45118</v>
      </c>
      <c r="BS1620" s="3"/>
      <c r="BT1620" t="s">
        <v>91</v>
      </c>
      <c r="BU1620" t="s">
        <v>91</v>
      </c>
      <c r="BW1620" s="1" t="s">
        <v>90</v>
      </c>
    </row>
    <row r="1621" spans="1:75" hidden="1" x14ac:dyDescent="0.35">
      <c r="A1621">
        <v>157042</v>
      </c>
      <c r="B1621" s="1" t="s">
        <v>75</v>
      </c>
      <c r="C1621">
        <v>80</v>
      </c>
      <c r="D1621">
        <v>11121004</v>
      </c>
      <c r="E1621">
        <v>121004</v>
      </c>
      <c r="F1621" s="1" t="s">
        <v>6867</v>
      </c>
      <c r="G1621" s="1" t="s">
        <v>8699</v>
      </c>
      <c r="H1621">
        <v>0</v>
      </c>
      <c r="I1621" s="1" t="s">
        <v>78</v>
      </c>
      <c r="J1621" s="1" t="s">
        <v>8700</v>
      </c>
      <c r="K1621" s="1" t="s">
        <v>8701</v>
      </c>
      <c r="L1621" t="s">
        <v>91</v>
      </c>
      <c r="M1621" t="s">
        <v>91</v>
      </c>
      <c r="N1621" s="1" t="s">
        <v>8702</v>
      </c>
      <c r="O1621" t="s">
        <v>91</v>
      </c>
      <c r="P1621" s="1" t="s">
        <v>8703</v>
      </c>
      <c r="Q1621" s="1" t="s">
        <v>8704</v>
      </c>
      <c r="R1621" s="1" t="s">
        <v>91</v>
      </c>
      <c r="S1621">
        <v>1275</v>
      </c>
      <c r="T1621">
        <v>89136000</v>
      </c>
      <c r="U1621" s="1" t="s">
        <v>108</v>
      </c>
      <c r="V1621" s="1" t="s">
        <v>7302</v>
      </c>
      <c r="W1621" s="1" t="s">
        <v>87</v>
      </c>
      <c r="X1621">
        <v>47</v>
      </c>
      <c r="Y1621">
        <v>33045162</v>
      </c>
      <c r="Z1621" t="s">
        <v>91</v>
      </c>
      <c r="AA1621" t="s">
        <v>91</v>
      </c>
      <c r="AB1621" t="s">
        <v>91</v>
      </c>
      <c r="AC1621" t="s">
        <v>91</v>
      </c>
      <c r="AD1621" t="s">
        <v>91</v>
      </c>
      <c r="AE1621" t="s">
        <v>91</v>
      </c>
      <c r="AF1621" t="s">
        <v>91</v>
      </c>
      <c r="AG1621" s="1" t="s">
        <v>91</v>
      </c>
      <c r="AH1621" s="1" t="s">
        <v>91</v>
      </c>
      <c r="AI1621" t="s">
        <v>91</v>
      </c>
      <c r="AM1621" t="s">
        <v>91</v>
      </c>
      <c r="AN1621" t="s">
        <v>91</v>
      </c>
      <c r="AO1621" t="s">
        <v>91</v>
      </c>
      <c r="AP1621" t="s">
        <v>91</v>
      </c>
      <c r="AQ1621" s="1" t="s">
        <v>91</v>
      </c>
      <c r="AR1621" s="1" t="s">
        <v>91</v>
      </c>
      <c r="AS1621" s="1" t="s">
        <v>91</v>
      </c>
      <c r="AT1621" s="1" t="s">
        <v>91</v>
      </c>
      <c r="AU1621" s="1" t="s">
        <v>91</v>
      </c>
      <c r="AV1621" t="s">
        <v>91</v>
      </c>
      <c r="AW1621" t="s">
        <v>91</v>
      </c>
      <c r="AX1621" t="s">
        <v>91</v>
      </c>
      <c r="AY1621" t="s">
        <v>91</v>
      </c>
      <c r="AZ1621" t="s">
        <v>91</v>
      </c>
      <c r="BA1621" t="s">
        <v>91</v>
      </c>
      <c r="BB1621" s="2">
        <v>45113.505416666667</v>
      </c>
      <c r="BC1621" s="2"/>
      <c r="BD1621" t="s">
        <v>91</v>
      </c>
      <c r="BF1621" s="1" t="s">
        <v>75</v>
      </c>
      <c r="BI1621" s="1" t="s">
        <v>88</v>
      </c>
      <c r="BJ1621">
        <v>1</v>
      </c>
      <c r="BK1621" s="1" t="s">
        <v>89</v>
      </c>
      <c r="BL1621" t="s">
        <v>91</v>
      </c>
      <c r="BM1621" s="1" t="s">
        <v>91</v>
      </c>
      <c r="BN1621" s="1" t="s">
        <v>91</v>
      </c>
      <c r="BO1621" s="1" t="s">
        <v>91</v>
      </c>
      <c r="BP1621" s="1" t="s">
        <v>91</v>
      </c>
      <c r="BQ1621" t="s">
        <v>91</v>
      </c>
      <c r="BR1621" s="3">
        <v>45113</v>
      </c>
      <c r="BS1621" s="3"/>
      <c r="BT1621" t="s">
        <v>91</v>
      </c>
      <c r="BU1621" t="s">
        <v>91</v>
      </c>
      <c r="BW1621" s="1" t="s">
        <v>90</v>
      </c>
    </row>
    <row r="1622" spans="1:75" hidden="1" x14ac:dyDescent="0.35">
      <c r="A1622">
        <v>157043</v>
      </c>
      <c r="B1622" s="1" t="s">
        <v>75</v>
      </c>
      <c r="C1622">
        <v>80</v>
      </c>
      <c r="D1622">
        <v>11121004</v>
      </c>
      <c r="E1622">
        <v>121004</v>
      </c>
      <c r="F1622" s="1" t="s">
        <v>6867</v>
      </c>
      <c r="G1622" s="1" t="s">
        <v>8705</v>
      </c>
      <c r="H1622">
        <v>0</v>
      </c>
      <c r="I1622" s="1" t="s">
        <v>78</v>
      </c>
      <c r="J1622" s="1" t="s">
        <v>8700</v>
      </c>
      <c r="K1622" s="1" t="s">
        <v>8706</v>
      </c>
      <c r="L1622" t="s">
        <v>91</v>
      </c>
      <c r="M1622" t="s">
        <v>91</v>
      </c>
      <c r="N1622" s="1" t="s">
        <v>8707</v>
      </c>
      <c r="O1622" t="s">
        <v>91</v>
      </c>
      <c r="P1622" s="1" t="s">
        <v>8708</v>
      </c>
      <c r="Q1622" s="1" t="s">
        <v>5217</v>
      </c>
      <c r="R1622" s="1" t="s">
        <v>1317</v>
      </c>
      <c r="T1622">
        <v>89082115</v>
      </c>
      <c r="U1622" s="1" t="s">
        <v>4032</v>
      </c>
      <c r="V1622" s="1" t="s">
        <v>7659</v>
      </c>
      <c r="W1622" s="1" t="s">
        <v>87</v>
      </c>
      <c r="X1622">
        <v>47</v>
      </c>
      <c r="Y1622">
        <v>30192121</v>
      </c>
      <c r="Z1622" t="s">
        <v>91</v>
      </c>
      <c r="AA1622" t="s">
        <v>91</v>
      </c>
      <c r="AB1622" t="s">
        <v>91</v>
      </c>
      <c r="AC1622" t="s">
        <v>91</v>
      </c>
      <c r="AD1622" t="s">
        <v>91</v>
      </c>
      <c r="AE1622" t="s">
        <v>91</v>
      </c>
      <c r="AF1622" t="s">
        <v>91</v>
      </c>
      <c r="AG1622" s="1" t="s">
        <v>91</v>
      </c>
      <c r="AH1622" s="1" t="s">
        <v>91</v>
      </c>
      <c r="AI1622" t="s">
        <v>91</v>
      </c>
      <c r="AM1622" t="s">
        <v>91</v>
      </c>
      <c r="AN1622" t="s">
        <v>91</v>
      </c>
      <c r="AO1622" t="s">
        <v>91</v>
      </c>
      <c r="AP1622" t="s">
        <v>91</v>
      </c>
      <c r="AQ1622" s="1" t="s">
        <v>91</v>
      </c>
      <c r="AR1622" s="1" t="s">
        <v>91</v>
      </c>
      <c r="AS1622" s="1" t="s">
        <v>91</v>
      </c>
      <c r="AT1622" s="1" t="s">
        <v>91</v>
      </c>
      <c r="AU1622" s="1" t="s">
        <v>91</v>
      </c>
      <c r="AV1622" t="s">
        <v>91</v>
      </c>
      <c r="AW1622" t="s">
        <v>91</v>
      </c>
      <c r="AX1622" t="s">
        <v>91</v>
      </c>
      <c r="AY1622" t="s">
        <v>91</v>
      </c>
      <c r="AZ1622" t="s">
        <v>91</v>
      </c>
      <c r="BA1622" t="s">
        <v>91</v>
      </c>
      <c r="BB1622" s="2">
        <v>45113.505416666667</v>
      </c>
      <c r="BC1622" s="2"/>
      <c r="BD1622" t="s">
        <v>91</v>
      </c>
      <c r="BF1622" s="1" t="s">
        <v>75</v>
      </c>
      <c r="BI1622" s="1" t="s">
        <v>88</v>
      </c>
      <c r="BJ1622">
        <v>1</v>
      </c>
      <c r="BK1622" s="1" t="s">
        <v>89</v>
      </c>
      <c r="BL1622" t="s">
        <v>91</v>
      </c>
      <c r="BM1622" s="1" t="s">
        <v>91</v>
      </c>
      <c r="BN1622" s="1" t="s">
        <v>91</v>
      </c>
      <c r="BO1622" s="1" t="s">
        <v>91</v>
      </c>
      <c r="BP1622" s="1" t="s">
        <v>91</v>
      </c>
      <c r="BQ1622" t="s">
        <v>91</v>
      </c>
      <c r="BR1622" s="3">
        <v>45113</v>
      </c>
      <c r="BS1622" s="3"/>
      <c r="BT1622" t="s">
        <v>91</v>
      </c>
      <c r="BU1622" t="s">
        <v>91</v>
      </c>
      <c r="BW1622" s="1" t="s">
        <v>90</v>
      </c>
    </row>
    <row r="1623" spans="1:75" hidden="1" x14ac:dyDescent="0.35">
      <c r="A1623">
        <v>157050</v>
      </c>
      <c r="B1623" s="1" t="s">
        <v>75</v>
      </c>
      <c r="C1623">
        <v>80</v>
      </c>
      <c r="D1623">
        <v>11121004</v>
      </c>
      <c r="E1623">
        <v>121004</v>
      </c>
      <c r="F1623" s="1" t="s">
        <v>6867</v>
      </c>
      <c r="G1623" s="1" t="s">
        <v>8709</v>
      </c>
      <c r="H1623">
        <v>0</v>
      </c>
      <c r="I1623" s="1" t="s">
        <v>78</v>
      </c>
      <c r="J1623" s="1" t="s">
        <v>8700</v>
      </c>
      <c r="K1623" s="1" t="s">
        <v>8710</v>
      </c>
      <c r="L1623" t="s">
        <v>91</v>
      </c>
      <c r="M1623" t="s">
        <v>91</v>
      </c>
      <c r="N1623" s="1" t="s">
        <v>8711</v>
      </c>
      <c r="O1623" t="s">
        <v>91</v>
      </c>
      <c r="P1623" s="1" t="s">
        <v>6945</v>
      </c>
      <c r="Q1623" s="1" t="s">
        <v>3406</v>
      </c>
      <c r="R1623" s="1" t="s">
        <v>8712</v>
      </c>
      <c r="S1623">
        <v>1276</v>
      </c>
      <c r="T1623">
        <v>89160043</v>
      </c>
      <c r="U1623" s="1" t="s">
        <v>108</v>
      </c>
      <c r="V1623" s="1" t="s">
        <v>6927</v>
      </c>
      <c r="W1623" s="1" t="s">
        <v>87</v>
      </c>
      <c r="X1623">
        <v>47</v>
      </c>
      <c r="Y1623">
        <v>35210227</v>
      </c>
      <c r="Z1623" t="s">
        <v>91</v>
      </c>
      <c r="AA1623" t="s">
        <v>91</v>
      </c>
      <c r="AB1623" t="s">
        <v>91</v>
      </c>
      <c r="AC1623" t="s">
        <v>91</v>
      </c>
      <c r="AD1623" t="s">
        <v>91</v>
      </c>
      <c r="AE1623" t="s">
        <v>91</v>
      </c>
      <c r="AF1623" t="s">
        <v>91</v>
      </c>
      <c r="AG1623" s="1" t="s">
        <v>91</v>
      </c>
      <c r="AH1623" s="1" t="s">
        <v>91</v>
      </c>
      <c r="AI1623" t="s">
        <v>91</v>
      </c>
      <c r="AM1623" t="s">
        <v>91</v>
      </c>
      <c r="AN1623" t="s">
        <v>91</v>
      </c>
      <c r="AO1623" t="s">
        <v>91</v>
      </c>
      <c r="AP1623" t="s">
        <v>91</v>
      </c>
      <c r="AQ1623" s="1" t="s">
        <v>91</v>
      </c>
      <c r="AR1623" s="1" t="s">
        <v>91</v>
      </c>
      <c r="AS1623" s="1" t="s">
        <v>91</v>
      </c>
      <c r="AT1623" s="1" t="s">
        <v>91</v>
      </c>
      <c r="AU1623" s="1" t="s">
        <v>91</v>
      </c>
      <c r="AV1623" t="s">
        <v>91</v>
      </c>
      <c r="AW1623" t="s">
        <v>91</v>
      </c>
      <c r="AX1623" t="s">
        <v>91</v>
      </c>
      <c r="AY1623" t="s">
        <v>91</v>
      </c>
      <c r="AZ1623" t="s">
        <v>91</v>
      </c>
      <c r="BA1623" t="s">
        <v>91</v>
      </c>
      <c r="BB1623" s="2">
        <v>45113.505416666667</v>
      </c>
      <c r="BC1623" s="2"/>
      <c r="BD1623" t="s">
        <v>91</v>
      </c>
      <c r="BF1623" s="1" t="s">
        <v>75</v>
      </c>
      <c r="BI1623" s="1" t="s">
        <v>88</v>
      </c>
      <c r="BJ1623">
        <v>1</v>
      </c>
      <c r="BK1623" s="1" t="s">
        <v>89</v>
      </c>
      <c r="BL1623" t="s">
        <v>91</v>
      </c>
      <c r="BM1623" s="1" t="s">
        <v>91</v>
      </c>
      <c r="BN1623" s="1" t="s">
        <v>91</v>
      </c>
      <c r="BO1623" s="1" t="s">
        <v>91</v>
      </c>
      <c r="BP1623" s="1" t="s">
        <v>91</v>
      </c>
      <c r="BQ1623" t="s">
        <v>91</v>
      </c>
      <c r="BR1623" s="3">
        <v>45113</v>
      </c>
      <c r="BS1623" s="3"/>
      <c r="BT1623" t="s">
        <v>91</v>
      </c>
      <c r="BU1623" t="s">
        <v>91</v>
      </c>
      <c r="BW1623" s="1" t="s">
        <v>90</v>
      </c>
    </row>
    <row r="1624" spans="1:75" hidden="1" x14ac:dyDescent="0.35">
      <c r="A1624">
        <v>157061</v>
      </c>
      <c r="B1624" s="1" t="s">
        <v>75</v>
      </c>
      <c r="C1624">
        <v>80</v>
      </c>
      <c r="D1624">
        <v>11121004</v>
      </c>
      <c r="E1624">
        <v>121004</v>
      </c>
      <c r="F1624" s="1" t="s">
        <v>6867</v>
      </c>
      <c r="G1624" s="1" t="s">
        <v>8713</v>
      </c>
      <c r="H1624">
        <v>0</v>
      </c>
      <c r="I1624" s="1" t="s">
        <v>78</v>
      </c>
      <c r="J1624" s="1" t="s">
        <v>8714</v>
      </c>
      <c r="K1624" s="1" t="s">
        <v>8715</v>
      </c>
      <c r="L1624" t="s">
        <v>91</v>
      </c>
      <c r="M1624" t="s">
        <v>91</v>
      </c>
      <c r="N1624" s="1" t="s">
        <v>8716</v>
      </c>
      <c r="O1624" t="s">
        <v>91</v>
      </c>
      <c r="P1624" s="1" t="s">
        <v>1501</v>
      </c>
      <c r="Q1624" s="1" t="s">
        <v>7680</v>
      </c>
      <c r="R1624" s="1" t="s">
        <v>434</v>
      </c>
      <c r="T1624">
        <v>89037500</v>
      </c>
      <c r="U1624" s="1" t="s">
        <v>8717</v>
      </c>
      <c r="V1624" s="1" t="s">
        <v>3571</v>
      </c>
      <c r="W1624" s="1" t="s">
        <v>87</v>
      </c>
      <c r="X1624">
        <v>47</v>
      </c>
      <c r="Y1624">
        <v>992845380</v>
      </c>
      <c r="Z1624" t="s">
        <v>91</v>
      </c>
      <c r="AA1624" t="s">
        <v>91</v>
      </c>
      <c r="AB1624" t="s">
        <v>91</v>
      </c>
      <c r="AC1624" t="s">
        <v>91</v>
      </c>
      <c r="AD1624" t="s">
        <v>91</v>
      </c>
      <c r="AE1624" t="s">
        <v>91</v>
      </c>
      <c r="AF1624" t="s">
        <v>91</v>
      </c>
      <c r="AG1624" s="1" t="s">
        <v>91</v>
      </c>
      <c r="AH1624" s="1" t="s">
        <v>91</v>
      </c>
      <c r="AI1624" t="s">
        <v>91</v>
      </c>
      <c r="AM1624" t="s">
        <v>91</v>
      </c>
      <c r="AN1624" t="s">
        <v>91</v>
      </c>
      <c r="AO1624" t="s">
        <v>91</v>
      </c>
      <c r="AP1624" t="s">
        <v>91</v>
      </c>
      <c r="AQ1624" s="1" t="s">
        <v>91</v>
      </c>
      <c r="AR1624" s="1" t="s">
        <v>91</v>
      </c>
      <c r="AS1624" s="1" t="s">
        <v>91</v>
      </c>
      <c r="AT1624" s="1" t="s">
        <v>91</v>
      </c>
      <c r="AU1624" s="1" t="s">
        <v>91</v>
      </c>
      <c r="AV1624" t="s">
        <v>91</v>
      </c>
      <c r="AW1624" t="s">
        <v>91</v>
      </c>
      <c r="AX1624" t="s">
        <v>91</v>
      </c>
      <c r="AY1624" t="s">
        <v>91</v>
      </c>
      <c r="AZ1624" t="s">
        <v>91</v>
      </c>
      <c r="BA1624" t="s">
        <v>91</v>
      </c>
      <c r="BB1624" s="2">
        <v>45113.505416666667</v>
      </c>
      <c r="BC1624" s="2"/>
      <c r="BD1624" t="s">
        <v>91</v>
      </c>
      <c r="BF1624" s="1" t="s">
        <v>75</v>
      </c>
      <c r="BI1624" s="1" t="s">
        <v>88</v>
      </c>
      <c r="BJ1624">
        <v>1</v>
      </c>
      <c r="BK1624" s="1" t="s">
        <v>89</v>
      </c>
      <c r="BL1624" t="s">
        <v>91</v>
      </c>
      <c r="BM1624" s="1" t="s">
        <v>91</v>
      </c>
      <c r="BN1624" s="1" t="s">
        <v>91</v>
      </c>
      <c r="BO1624" s="1" t="s">
        <v>91</v>
      </c>
      <c r="BP1624" s="1" t="s">
        <v>91</v>
      </c>
      <c r="BQ1624" t="s">
        <v>91</v>
      </c>
      <c r="BR1624" s="3">
        <v>45113</v>
      </c>
      <c r="BS1624" s="3"/>
      <c r="BT1624" t="s">
        <v>91</v>
      </c>
      <c r="BU1624" t="s">
        <v>91</v>
      </c>
      <c r="BW1624" s="1" t="s">
        <v>4315</v>
      </c>
    </row>
    <row r="1625" spans="1:75" hidden="1" x14ac:dyDescent="0.35">
      <c r="A1625">
        <v>157062</v>
      </c>
      <c r="B1625" s="1" t="s">
        <v>75</v>
      </c>
      <c r="C1625">
        <v>80</v>
      </c>
      <c r="D1625">
        <v>11121004</v>
      </c>
      <c r="E1625">
        <v>121004</v>
      </c>
      <c r="F1625" s="1" t="s">
        <v>6867</v>
      </c>
      <c r="G1625" s="1" t="s">
        <v>8718</v>
      </c>
      <c r="H1625">
        <v>0</v>
      </c>
      <c r="I1625" s="1" t="s">
        <v>78</v>
      </c>
      <c r="J1625" s="1" t="s">
        <v>8714</v>
      </c>
      <c r="K1625" s="1" t="s">
        <v>8719</v>
      </c>
      <c r="L1625" t="s">
        <v>91</v>
      </c>
      <c r="M1625" t="s">
        <v>91</v>
      </c>
      <c r="N1625" s="1" t="s">
        <v>8716</v>
      </c>
      <c r="O1625" t="s">
        <v>91</v>
      </c>
      <c r="P1625" s="1" t="s">
        <v>7000</v>
      </c>
      <c r="Q1625" s="1" t="s">
        <v>8720</v>
      </c>
      <c r="R1625" s="1" t="s">
        <v>370</v>
      </c>
      <c r="S1625">
        <v>1263</v>
      </c>
      <c r="T1625">
        <v>88353501</v>
      </c>
      <c r="U1625" s="1" t="s">
        <v>8721</v>
      </c>
      <c r="V1625" s="1" t="s">
        <v>6936</v>
      </c>
      <c r="W1625" s="1" t="s">
        <v>87</v>
      </c>
      <c r="X1625">
        <v>17</v>
      </c>
      <c r="Y1625">
        <v>992845380</v>
      </c>
      <c r="Z1625" t="s">
        <v>91</v>
      </c>
      <c r="AA1625" t="s">
        <v>91</v>
      </c>
      <c r="AB1625" t="s">
        <v>91</v>
      </c>
      <c r="AC1625" t="s">
        <v>91</v>
      </c>
      <c r="AD1625" t="s">
        <v>91</v>
      </c>
      <c r="AE1625" t="s">
        <v>91</v>
      </c>
      <c r="AF1625" t="s">
        <v>91</v>
      </c>
      <c r="AG1625" s="1" t="s">
        <v>146</v>
      </c>
      <c r="AH1625" s="1" t="s">
        <v>91</v>
      </c>
      <c r="AI1625" t="s">
        <v>91</v>
      </c>
      <c r="AM1625" t="s">
        <v>91</v>
      </c>
      <c r="AN1625" t="s">
        <v>91</v>
      </c>
      <c r="AO1625" t="s">
        <v>91</v>
      </c>
      <c r="AP1625" t="s">
        <v>91</v>
      </c>
      <c r="AQ1625" s="1" t="s">
        <v>147</v>
      </c>
      <c r="AR1625" s="1" t="s">
        <v>147</v>
      </c>
      <c r="AS1625" s="1" t="s">
        <v>147</v>
      </c>
      <c r="AT1625" s="1" t="s">
        <v>147</v>
      </c>
      <c r="AU1625" s="1" t="s">
        <v>147</v>
      </c>
      <c r="AV1625" t="s">
        <v>91</v>
      </c>
      <c r="AW1625" t="s">
        <v>91</v>
      </c>
      <c r="AX1625" t="s">
        <v>91</v>
      </c>
      <c r="AY1625" t="s">
        <v>91</v>
      </c>
      <c r="AZ1625" t="s">
        <v>91</v>
      </c>
      <c r="BA1625" t="s">
        <v>91</v>
      </c>
      <c r="BB1625" s="2">
        <v>45113.505416666667</v>
      </c>
      <c r="BC1625" s="2">
        <v>45124.69636574074</v>
      </c>
      <c r="BD1625" t="s">
        <v>91</v>
      </c>
      <c r="BF1625" s="1" t="s">
        <v>75</v>
      </c>
      <c r="BH1625">
        <v>0</v>
      </c>
      <c r="BI1625" s="1" t="s">
        <v>721</v>
      </c>
      <c r="BJ1625">
        <v>1</v>
      </c>
      <c r="BK1625" s="1" t="s">
        <v>89</v>
      </c>
      <c r="BL1625" t="s">
        <v>91</v>
      </c>
      <c r="BM1625" s="1" t="s">
        <v>91</v>
      </c>
      <c r="BN1625" s="1" t="s">
        <v>91</v>
      </c>
      <c r="BO1625" s="1" t="s">
        <v>91</v>
      </c>
      <c r="BP1625" s="1" t="s">
        <v>91</v>
      </c>
      <c r="BQ1625" t="s">
        <v>91</v>
      </c>
      <c r="BR1625" s="3">
        <v>45113</v>
      </c>
      <c r="BS1625" s="3">
        <v>45124</v>
      </c>
      <c r="BT1625" t="s">
        <v>91</v>
      </c>
      <c r="BU1625" t="s">
        <v>91</v>
      </c>
      <c r="BW1625" s="1" t="s">
        <v>912</v>
      </c>
    </row>
    <row r="1626" spans="1:75" hidden="1" x14ac:dyDescent="0.35">
      <c r="A1626">
        <v>157121</v>
      </c>
      <c r="B1626" s="1" t="s">
        <v>75</v>
      </c>
      <c r="C1626">
        <v>80</v>
      </c>
      <c r="D1626">
        <v>11121004</v>
      </c>
      <c r="E1626">
        <v>121004</v>
      </c>
      <c r="F1626" s="1" t="s">
        <v>6867</v>
      </c>
      <c r="G1626" s="1" t="s">
        <v>8722</v>
      </c>
      <c r="H1626">
        <v>0</v>
      </c>
      <c r="I1626" s="1" t="s">
        <v>78</v>
      </c>
      <c r="J1626" s="1" t="s">
        <v>8723</v>
      </c>
      <c r="K1626" s="1" t="s">
        <v>8724</v>
      </c>
      <c r="L1626" t="s">
        <v>91</v>
      </c>
      <c r="M1626" t="s">
        <v>91</v>
      </c>
      <c r="N1626" s="1" t="s">
        <v>8716</v>
      </c>
      <c r="O1626" t="s">
        <v>91</v>
      </c>
      <c r="P1626" s="1" t="s">
        <v>8072</v>
      </c>
      <c r="Q1626" s="1" t="s">
        <v>8725</v>
      </c>
      <c r="R1626" s="1" t="s">
        <v>370</v>
      </c>
      <c r="S1626">
        <v>1263</v>
      </c>
      <c r="T1626">
        <v>88375000</v>
      </c>
      <c r="U1626" s="1" t="s">
        <v>8726</v>
      </c>
      <c r="V1626" s="1" t="s">
        <v>7127</v>
      </c>
      <c r="W1626" s="1" t="s">
        <v>87</v>
      </c>
      <c r="X1626">
        <v>47</v>
      </c>
      <c r="Y1626">
        <v>33260482</v>
      </c>
      <c r="Z1626" t="s">
        <v>91</v>
      </c>
      <c r="AA1626" t="s">
        <v>91</v>
      </c>
      <c r="AB1626" t="s">
        <v>91</v>
      </c>
      <c r="AC1626" t="s">
        <v>91</v>
      </c>
      <c r="AD1626" t="s">
        <v>91</v>
      </c>
      <c r="AE1626" t="s">
        <v>91</v>
      </c>
      <c r="AF1626" t="s">
        <v>91</v>
      </c>
      <c r="AG1626" s="1" t="s">
        <v>146</v>
      </c>
      <c r="AH1626" s="1" t="s">
        <v>91</v>
      </c>
      <c r="AI1626" t="s">
        <v>91</v>
      </c>
      <c r="AM1626" t="s">
        <v>91</v>
      </c>
      <c r="AN1626" t="s">
        <v>91</v>
      </c>
      <c r="AO1626" t="s">
        <v>91</v>
      </c>
      <c r="AP1626" t="s">
        <v>91</v>
      </c>
      <c r="AQ1626" s="1" t="s">
        <v>147</v>
      </c>
      <c r="AR1626" s="1" t="s">
        <v>147</v>
      </c>
      <c r="AS1626" s="1" t="s">
        <v>147</v>
      </c>
      <c r="AT1626" s="1" t="s">
        <v>147</v>
      </c>
      <c r="AU1626" s="1" t="s">
        <v>147</v>
      </c>
      <c r="AV1626" t="s">
        <v>91</v>
      </c>
      <c r="AW1626" t="s">
        <v>91</v>
      </c>
      <c r="AX1626" t="s">
        <v>91</v>
      </c>
      <c r="AY1626" t="s">
        <v>91</v>
      </c>
      <c r="AZ1626" t="s">
        <v>91</v>
      </c>
      <c r="BA1626" t="s">
        <v>91</v>
      </c>
      <c r="BB1626" s="2">
        <v>45113.505416666667</v>
      </c>
      <c r="BC1626" s="2">
        <v>45124.695092592592</v>
      </c>
      <c r="BD1626" t="s">
        <v>91</v>
      </c>
      <c r="BF1626" s="1" t="s">
        <v>75</v>
      </c>
      <c r="BH1626">
        <v>0</v>
      </c>
      <c r="BI1626" s="1" t="s">
        <v>721</v>
      </c>
      <c r="BJ1626">
        <v>1</v>
      </c>
      <c r="BK1626" s="1" t="s">
        <v>89</v>
      </c>
      <c r="BL1626" t="s">
        <v>91</v>
      </c>
      <c r="BM1626" s="1" t="s">
        <v>91</v>
      </c>
      <c r="BN1626" s="1" t="s">
        <v>91</v>
      </c>
      <c r="BO1626" s="1" t="s">
        <v>91</v>
      </c>
      <c r="BP1626" s="1" t="s">
        <v>91</v>
      </c>
      <c r="BQ1626" t="s">
        <v>91</v>
      </c>
      <c r="BR1626" s="3">
        <v>45113</v>
      </c>
      <c r="BS1626" s="3">
        <v>45124</v>
      </c>
      <c r="BT1626" t="s">
        <v>91</v>
      </c>
      <c r="BU1626" t="s">
        <v>91</v>
      </c>
      <c r="BW1626" s="1" t="s">
        <v>419</v>
      </c>
    </row>
    <row r="1627" spans="1:75" hidden="1" x14ac:dyDescent="0.35">
      <c r="A1627">
        <v>157123</v>
      </c>
      <c r="B1627" s="1" t="s">
        <v>75</v>
      </c>
      <c r="C1627">
        <v>80</v>
      </c>
      <c r="D1627">
        <v>11121004</v>
      </c>
      <c r="E1627">
        <v>121004</v>
      </c>
      <c r="F1627" s="1" t="s">
        <v>6867</v>
      </c>
      <c r="G1627" s="1" t="s">
        <v>8727</v>
      </c>
      <c r="H1627">
        <v>0</v>
      </c>
      <c r="I1627" s="1" t="s">
        <v>78</v>
      </c>
      <c r="J1627" s="1" t="s">
        <v>8728</v>
      </c>
      <c r="K1627" s="1" t="s">
        <v>8729</v>
      </c>
      <c r="L1627" t="s">
        <v>91</v>
      </c>
      <c r="M1627" t="s">
        <v>91</v>
      </c>
      <c r="N1627" s="1" t="s">
        <v>8730</v>
      </c>
      <c r="O1627" t="s">
        <v>91</v>
      </c>
      <c r="P1627" s="1" t="s">
        <v>8731</v>
      </c>
      <c r="Q1627" s="1" t="s">
        <v>2177</v>
      </c>
      <c r="R1627" s="1" t="s">
        <v>236</v>
      </c>
      <c r="S1627">
        <v>1263</v>
      </c>
      <c r="T1627">
        <v>88375000</v>
      </c>
      <c r="U1627" s="1" t="s">
        <v>108</v>
      </c>
      <c r="V1627" s="1" t="s">
        <v>7127</v>
      </c>
      <c r="W1627" s="1" t="s">
        <v>87</v>
      </c>
      <c r="X1627">
        <v>47</v>
      </c>
      <c r="Y1627">
        <v>33194993</v>
      </c>
      <c r="Z1627" t="s">
        <v>91</v>
      </c>
      <c r="AA1627" t="s">
        <v>91</v>
      </c>
      <c r="AB1627" t="s">
        <v>91</v>
      </c>
      <c r="AC1627" t="s">
        <v>91</v>
      </c>
      <c r="AD1627" t="s">
        <v>91</v>
      </c>
      <c r="AE1627" t="s">
        <v>91</v>
      </c>
      <c r="AF1627" t="s">
        <v>91</v>
      </c>
      <c r="AG1627" s="1" t="s">
        <v>91</v>
      </c>
      <c r="AH1627" s="1" t="s">
        <v>91</v>
      </c>
      <c r="AI1627" t="s">
        <v>91</v>
      </c>
      <c r="AM1627" t="s">
        <v>91</v>
      </c>
      <c r="AN1627" t="s">
        <v>91</v>
      </c>
      <c r="AO1627" t="s">
        <v>91</v>
      </c>
      <c r="AP1627" t="s">
        <v>91</v>
      </c>
      <c r="AQ1627" s="1" t="s">
        <v>91</v>
      </c>
      <c r="AR1627" s="1" t="s">
        <v>91</v>
      </c>
      <c r="AS1627" s="1" t="s">
        <v>91</v>
      </c>
      <c r="AT1627" s="1" t="s">
        <v>91</v>
      </c>
      <c r="AU1627" s="1" t="s">
        <v>91</v>
      </c>
      <c r="AV1627" t="s">
        <v>91</v>
      </c>
      <c r="AW1627" t="s">
        <v>91</v>
      </c>
      <c r="AX1627" t="s">
        <v>91</v>
      </c>
      <c r="AY1627" t="s">
        <v>91</v>
      </c>
      <c r="AZ1627" t="s">
        <v>91</v>
      </c>
      <c r="BA1627" t="s">
        <v>91</v>
      </c>
      <c r="BB1627" s="2">
        <v>45113.505416666667</v>
      </c>
      <c r="BC1627" s="2"/>
      <c r="BD1627" t="s">
        <v>91</v>
      </c>
      <c r="BF1627" s="1" t="s">
        <v>75</v>
      </c>
      <c r="BI1627" s="1" t="s">
        <v>88</v>
      </c>
      <c r="BJ1627">
        <v>1</v>
      </c>
      <c r="BK1627" s="1" t="s">
        <v>89</v>
      </c>
      <c r="BL1627" t="s">
        <v>91</v>
      </c>
      <c r="BM1627" s="1" t="s">
        <v>91</v>
      </c>
      <c r="BN1627" s="1" t="s">
        <v>91</v>
      </c>
      <c r="BO1627" s="1" t="s">
        <v>91</v>
      </c>
      <c r="BP1627" s="1" t="s">
        <v>91</v>
      </c>
      <c r="BQ1627" t="s">
        <v>91</v>
      </c>
      <c r="BR1627" s="3">
        <v>45113</v>
      </c>
      <c r="BS1627" s="3"/>
      <c r="BT1627" t="s">
        <v>91</v>
      </c>
      <c r="BU1627" t="s">
        <v>91</v>
      </c>
      <c r="BW1627" s="1" t="s">
        <v>3000</v>
      </c>
    </row>
    <row r="1628" spans="1:75" hidden="1" x14ac:dyDescent="0.35">
      <c r="A1628">
        <v>137834</v>
      </c>
      <c r="B1628" s="1" t="s">
        <v>75</v>
      </c>
      <c r="C1628">
        <v>80</v>
      </c>
      <c r="D1628">
        <v>11121004</v>
      </c>
      <c r="E1628">
        <v>121004</v>
      </c>
      <c r="F1628" s="1" t="s">
        <v>6867</v>
      </c>
      <c r="G1628" s="1" t="s">
        <v>8732</v>
      </c>
      <c r="H1628">
        <v>0</v>
      </c>
      <c r="I1628" s="1" t="s">
        <v>78</v>
      </c>
      <c r="J1628" s="1" t="s">
        <v>8728</v>
      </c>
      <c r="K1628" s="1" t="s">
        <v>8733</v>
      </c>
      <c r="L1628" t="s">
        <v>91</v>
      </c>
      <c r="M1628" t="s">
        <v>91</v>
      </c>
      <c r="N1628" s="1" t="s">
        <v>8730</v>
      </c>
      <c r="O1628" t="s">
        <v>91</v>
      </c>
      <c r="P1628" s="1" t="s">
        <v>8734</v>
      </c>
      <c r="Q1628" s="1" t="s">
        <v>8735</v>
      </c>
      <c r="R1628" s="1" t="s">
        <v>434</v>
      </c>
      <c r="S1628">
        <v>1273</v>
      </c>
      <c r="T1628">
        <v>89070400</v>
      </c>
      <c r="U1628" s="1" t="s">
        <v>7079</v>
      </c>
      <c r="V1628" s="1" t="s">
        <v>3571</v>
      </c>
      <c r="W1628" s="1" t="s">
        <v>87</v>
      </c>
      <c r="X1628">
        <v>47</v>
      </c>
      <c r="Y1628">
        <v>33396548</v>
      </c>
      <c r="Z1628" t="s">
        <v>91</v>
      </c>
      <c r="AA1628" t="s">
        <v>91</v>
      </c>
      <c r="AB1628" t="s">
        <v>91</v>
      </c>
      <c r="AC1628" t="s">
        <v>91</v>
      </c>
      <c r="AD1628" t="s">
        <v>91</v>
      </c>
      <c r="AE1628" t="s">
        <v>91</v>
      </c>
      <c r="AF1628" t="s">
        <v>91</v>
      </c>
      <c r="AG1628" s="1" t="s">
        <v>91</v>
      </c>
      <c r="AH1628" s="1" t="s">
        <v>91</v>
      </c>
      <c r="AI1628" t="s">
        <v>91</v>
      </c>
      <c r="AM1628" t="s">
        <v>91</v>
      </c>
      <c r="AN1628" t="s">
        <v>91</v>
      </c>
      <c r="AO1628" t="s">
        <v>91</v>
      </c>
      <c r="AP1628" t="s">
        <v>91</v>
      </c>
      <c r="AQ1628" s="1" t="s">
        <v>91</v>
      </c>
      <c r="AR1628" s="1" t="s">
        <v>91</v>
      </c>
      <c r="AS1628" s="1" t="s">
        <v>91</v>
      </c>
      <c r="AT1628" s="1" t="s">
        <v>91</v>
      </c>
      <c r="AU1628" s="1" t="s">
        <v>91</v>
      </c>
      <c r="AV1628" t="s">
        <v>91</v>
      </c>
      <c r="AW1628" t="s">
        <v>91</v>
      </c>
      <c r="AX1628" t="s">
        <v>91</v>
      </c>
      <c r="AY1628" t="s">
        <v>91</v>
      </c>
      <c r="AZ1628" t="s">
        <v>91</v>
      </c>
      <c r="BA1628" t="s">
        <v>91</v>
      </c>
      <c r="BB1628" s="2">
        <v>44378.578518518516</v>
      </c>
      <c r="BC1628" s="2"/>
      <c r="BD1628" t="s">
        <v>91</v>
      </c>
      <c r="BF1628" s="1" t="s">
        <v>75</v>
      </c>
      <c r="BI1628" s="1" t="s">
        <v>88</v>
      </c>
      <c r="BJ1628">
        <v>1</v>
      </c>
      <c r="BK1628" s="1" t="s">
        <v>89</v>
      </c>
      <c r="BL1628" t="s">
        <v>91</v>
      </c>
      <c r="BM1628" s="1" t="s">
        <v>109</v>
      </c>
      <c r="BN1628" s="1" t="s">
        <v>110</v>
      </c>
      <c r="BO1628" s="1" t="s">
        <v>180</v>
      </c>
      <c r="BP1628" s="1" t="s">
        <v>91</v>
      </c>
      <c r="BQ1628" t="s">
        <v>91</v>
      </c>
      <c r="BR1628" s="3">
        <v>44378</v>
      </c>
      <c r="BS1628" s="3"/>
      <c r="BT1628" t="s">
        <v>91</v>
      </c>
      <c r="BU1628" t="s">
        <v>91</v>
      </c>
      <c r="BW1628" s="1" t="s">
        <v>8673</v>
      </c>
    </row>
    <row r="1629" spans="1:75" hidden="1" x14ac:dyDescent="0.35">
      <c r="A1629">
        <v>137835</v>
      </c>
      <c r="B1629" s="1" t="s">
        <v>75</v>
      </c>
      <c r="C1629">
        <v>80</v>
      </c>
      <c r="D1629">
        <v>11121004</v>
      </c>
      <c r="E1629">
        <v>121004</v>
      </c>
      <c r="F1629" s="1" t="s">
        <v>6867</v>
      </c>
      <c r="G1629" s="1" t="s">
        <v>8736</v>
      </c>
      <c r="H1629">
        <v>0</v>
      </c>
      <c r="I1629" s="1" t="s">
        <v>78</v>
      </c>
      <c r="J1629" s="1" t="s">
        <v>8737</v>
      </c>
      <c r="K1629" s="1" t="s">
        <v>8738</v>
      </c>
      <c r="L1629" t="s">
        <v>91</v>
      </c>
      <c r="M1629" t="s">
        <v>91</v>
      </c>
      <c r="N1629" s="1" t="s">
        <v>8730</v>
      </c>
      <c r="O1629" t="s">
        <v>91</v>
      </c>
      <c r="P1629" s="1" t="s">
        <v>682</v>
      </c>
      <c r="Q1629" s="1" t="s">
        <v>8739</v>
      </c>
      <c r="R1629" s="1" t="s">
        <v>91</v>
      </c>
      <c r="S1629">
        <v>1271</v>
      </c>
      <c r="T1629">
        <v>89010201</v>
      </c>
      <c r="U1629" s="1" t="s">
        <v>108</v>
      </c>
      <c r="V1629" s="1" t="s">
        <v>3571</v>
      </c>
      <c r="W1629" s="1" t="s">
        <v>87</v>
      </c>
      <c r="X1629">
        <v>47</v>
      </c>
      <c r="Y1629">
        <v>33260768</v>
      </c>
      <c r="Z1629" t="s">
        <v>91</v>
      </c>
      <c r="AA1629" t="s">
        <v>91</v>
      </c>
      <c r="AB1629" t="s">
        <v>91</v>
      </c>
      <c r="AC1629" t="s">
        <v>91</v>
      </c>
      <c r="AD1629" t="s">
        <v>91</v>
      </c>
      <c r="AE1629" t="s">
        <v>91</v>
      </c>
      <c r="AF1629" t="s">
        <v>91</v>
      </c>
      <c r="AG1629" s="1" t="s">
        <v>146</v>
      </c>
      <c r="AH1629" s="1" t="s">
        <v>91</v>
      </c>
      <c r="AI1629" t="s">
        <v>91</v>
      </c>
      <c r="AM1629" t="s">
        <v>91</v>
      </c>
      <c r="AN1629" t="s">
        <v>91</v>
      </c>
      <c r="AO1629" t="s">
        <v>91</v>
      </c>
      <c r="AP1629" t="s">
        <v>91</v>
      </c>
      <c r="AQ1629" s="1" t="s">
        <v>147</v>
      </c>
      <c r="AR1629" s="1" t="s">
        <v>147</v>
      </c>
      <c r="AS1629" s="1" t="s">
        <v>147</v>
      </c>
      <c r="AT1629" s="1" t="s">
        <v>147</v>
      </c>
      <c r="AU1629" s="1" t="s">
        <v>147</v>
      </c>
      <c r="AV1629" t="s">
        <v>91</v>
      </c>
      <c r="AW1629" t="s">
        <v>91</v>
      </c>
      <c r="AX1629" t="s">
        <v>91</v>
      </c>
      <c r="AY1629" t="s">
        <v>91</v>
      </c>
      <c r="AZ1629" t="s">
        <v>91</v>
      </c>
      <c r="BA1629" t="s">
        <v>91</v>
      </c>
      <c r="BB1629" s="2">
        <v>44378.578518518516</v>
      </c>
      <c r="BC1629" s="2">
        <v>44641.519282407404</v>
      </c>
      <c r="BD1629" t="s">
        <v>91</v>
      </c>
      <c r="BF1629" s="1" t="s">
        <v>75</v>
      </c>
      <c r="BH1629">
        <v>0</v>
      </c>
      <c r="BI1629" s="1" t="s">
        <v>88</v>
      </c>
      <c r="BJ1629">
        <v>1</v>
      </c>
      <c r="BK1629" s="1" t="s">
        <v>89</v>
      </c>
      <c r="BL1629" t="s">
        <v>91</v>
      </c>
      <c r="BM1629" s="1" t="s">
        <v>109</v>
      </c>
      <c r="BN1629" s="1" t="s">
        <v>110</v>
      </c>
      <c r="BO1629" s="1" t="s">
        <v>91</v>
      </c>
      <c r="BP1629" s="1" t="s">
        <v>91</v>
      </c>
      <c r="BQ1629" t="s">
        <v>91</v>
      </c>
      <c r="BR1629" s="3">
        <v>44378</v>
      </c>
      <c r="BS1629" s="3">
        <v>44641</v>
      </c>
      <c r="BT1629" t="s">
        <v>91</v>
      </c>
      <c r="BU1629" t="s">
        <v>91</v>
      </c>
      <c r="BW1629" s="1" t="s">
        <v>1254</v>
      </c>
    </row>
    <row r="1630" spans="1:75" hidden="1" x14ac:dyDescent="0.35">
      <c r="A1630">
        <v>137836</v>
      </c>
      <c r="B1630" s="1" t="s">
        <v>75</v>
      </c>
      <c r="C1630">
        <v>80</v>
      </c>
      <c r="D1630">
        <v>11121004</v>
      </c>
      <c r="E1630">
        <v>121004</v>
      </c>
      <c r="F1630" s="1" t="s">
        <v>6867</v>
      </c>
      <c r="G1630" s="1" t="s">
        <v>8740</v>
      </c>
      <c r="H1630">
        <v>0</v>
      </c>
      <c r="I1630" s="1" t="s">
        <v>78</v>
      </c>
      <c r="J1630" s="1" t="s">
        <v>8737</v>
      </c>
      <c r="K1630" s="1" t="s">
        <v>8741</v>
      </c>
      <c r="L1630" t="s">
        <v>91</v>
      </c>
      <c r="M1630" t="s">
        <v>91</v>
      </c>
      <c r="N1630" s="1" t="s">
        <v>8730</v>
      </c>
      <c r="O1630" t="s">
        <v>91</v>
      </c>
      <c r="P1630" s="1" t="s">
        <v>1094</v>
      </c>
      <c r="Q1630" s="1" t="s">
        <v>8742</v>
      </c>
      <c r="R1630" s="1" t="s">
        <v>434</v>
      </c>
      <c r="S1630">
        <v>1263</v>
      </c>
      <c r="T1630">
        <v>88385000</v>
      </c>
      <c r="U1630" s="1" t="s">
        <v>108</v>
      </c>
      <c r="V1630" s="1" t="s">
        <v>7872</v>
      </c>
      <c r="W1630" s="1" t="s">
        <v>87</v>
      </c>
      <c r="X1630">
        <v>47</v>
      </c>
      <c r="Y1630">
        <v>33452102</v>
      </c>
      <c r="Z1630" t="s">
        <v>91</v>
      </c>
      <c r="AA1630" t="s">
        <v>91</v>
      </c>
      <c r="AB1630" t="s">
        <v>91</v>
      </c>
      <c r="AC1630" t="s">
        <v>91</v>
      </c>
      <c r="AD1630" t="s">
        <v>91</v>
      </c>
      <c r="AE1630" t="s">
        <v>91</v>
      </c>
      <c r="AF1630" t="s">
        <v>91</v>
      </c>
      <c r="AG1630" s="1" t="s">
        <v>146</v>
      </c>
      <c r="AH1630" s="1" t="s">
        <v>91</v>
      </c>
      <c r="AI1630" t="s">
        <v>91</v>
      </c>
      <c r="AM1630" t="s">
        <v>91</v>
      </c>
      <c r="AN1630" t="s">
        <v>91</v>
      </c>
      <c r="AO1630" t="s">
        <v>91</v>
      </c>
      <c r="AP1630" t="s">
        <v>91</v>
      </c>
      <c r="AQ1630" s="1" t="s">
        <v>147</v>
      </c>
      <c r="AR1630" s="1" t="s">
        <v>147</v>
      </c>
      <c r="AS1630" s="1" t="s">
        <v>147</v>
      </c>
      <c r="AT1630" s="1" t="s">
        <v>147</v>
      </c>
      <c r="AU1630" s="1" t="s">
        <v>147</v>
      </c>
      <c r="AV1630" t="s">
        <v>91</v>
      </c>
      <c r="AW1630" t="s">
        <v>91</v>
      </c>
      <c r="AX1630" t="s">
        <v>91</v>
      </c>
      <c r="AY1630" t="s">
        <v>91</v>
      </c>
      <c r="AZ1630" t="s">
        <v>91</v>
      </c>
      <c r="BA1630" t="s">
        <v>91</v>
      </c>
      <c r="BB1630" s="2">
        <v>44378.578518518516</v>
      </c>
      <c r="BC1630" s="2">
        <v>44858.706261574072</v>
      </c>
      <c r="BD1630" t="s">
        <v>91</v>
      </c>
      <c r="BF1630" s="1" t="s">
        <v>75</v>
      </c>
      <c r="BH1630">
        <v>0</v>
      </c>
      <c r="BI1630" s="1" t="s">
        <v>88</v>
      </c>
      <c r="BJ1630">
        <v>1</v>
      </c>
      <c r="BK1630" s="1" t="s">
        <v>89</v>
      </c>
      <c r="BL1630" t="s">
        <v>91</v>
      </c>
      <c r="BM1630" s="1" t="s">
        <v>109</v>
      </c>
      <c r="BN1630" s="1" t="s">
        <v>110</v>
      </c>
      <c r="BO1630" s="1" t="s">
        <v>180</v>
      </c>
      <c r="BP1630" s="1" t="s">
        <v>91</v>
      </c>
      <c r="BQ1630" t="s">
        <v>91</v>
      </c>
      <c r="BR1630" s="3">
        <v>44378</v>
      </c>
      <c r="BS1630" s="3">
        <v>44858</v>
      </c>
      <c r="BT1630" t="s">
        <v>91</v>
      </c>
      <c r="BU1630" t="s">
        <v>91</v>
      </c>
      <c r="BW1630" s="1" t="s">
        <v>3039</v>
      </c>
    </row>
    <row r="1631" spans="1:75" hidden="1" x14ac:dyDescent="0.35">
      <c r="A1631">
        <v>137837</v>
      </c>
      <c r="B1631" s="1" t="s">
        <v>75</v>
      </c>
      <c r="C1631">
        <v>80</v>
      </c>
      <c r="D1631">
        <v>11121004</v>
      </c>
      <c r="E1631">
        <v>121004</v>
      </c>
      <c r="F1631" s="1" t="s">
        <v>6867</v>
      </c>
      <c r="G1631" s="1" t="s">
        <v>8743</v>
      </c>
      <c r="H1631">
        <v>0</v>
      </c>
      <c r="I1631" s="1" t="s">
        <v>78</v>
      </c>
      <c r="J1631" s="1" t="s">
        <v>8744</v>
      </c>
      <c r="K1631" s="1" t="s">
        <v>8745</v>
      </c>
      <c r="L1631" t="s">
        <v>91</v>
      </c>
      <c r="M1631" t="s">
        <v>91</v>
      </c>
      <c r="N1631" s="1" t="s">
        <v>8746</v>
      </c>
      <c r="O1631" t="s">
        <v>91</v>
      </c>
      <c r="P1631" s="1" t="s">
        <v>860</v>
      </c>
      <c r="Q1631" s="1" t="s">
        <v>8747</v>
      </c>
      <c r="R1631" s="1" t="s">
        <v>370</v>
      </c>
      <c r="S1631">
        <v>1262</v>
      </c>
      <c r="T1631">
        <v>88330050</v>
      </c>
      <c r="U1631" s="1" t="s">
        <v>108</v>
      </c>
      <c r="V1631" s="1" t="s">
        <v>5871</v>
      </c>
      <c r="W1631" s="1" t="s">
        <v>87</v>
      </c>
      <c r="X1631">
        <v>46</v>
      </c>
      <c r="Y1631">
        <v>991158784</v>
      </c>
      <c r="Z1631" t="s">
        <v>91</v>
      </c>
      <c r="AA1631" t="s">
        <v>91</v>
      </c>
      <c r="AB1631" t="s">
        <v>91</v>
      </c>
      <c r="AC1631" t="s">
        <v>91</v>
      </c>
      <c r="AD1631" t="s">
        <v>91</v>
      </c>
      <c r="AE1631" t="s">
        <v>91</v>
      </c>
      <c r="AF1631" t="s">
        <v>91</v>
      </c>
      <c r="AG1631" s="1" t="s">
        <v>91</v>
      </c>
      <c r="AH1631" s="1" t="s">
        <v>91</v>
      </c>
      <c r="AI1631" t="s">
        <v>91</v>
      </c>
      <c r="AM1631" t="s">
        <v>91</v>
      </c>
      <c r="AN1631" t="s">
        <v>91</v>
      </c>
      <c r="AO1631" t="s">
        <v>91</v>
      </c>
      <c r="AP1631" t="s">
        <v>91</v>
      </c>
      <c r="AQ1631" s="1" t="s">
        <v>91</v>
      </c>
      <c r="AR1631" s="1" t="s">
        <v>91</v>
      </c>
      <c r="AS1631" s="1" t="s">
        <v>91</v>
      </c>
      <c r="AT1631" s="1" t="s">
        <v>91</v>
      </c>
      <c r="AU1631" s="1" t="s">
        <v>91</v>
      </c>
      <c r="AV1631" t="s">
        <v>91</v>
      </c>
      <c r="AW1631" t="s">
        <v>91</v>
      </c>
      <c r="AX1631" t="s">
        <v>91</v>
      </c>
      <c r="AY1631" t="s">
        <v>91</v>
      </c>
      <c r="AZ1631" t="s">
        <v>91</v>
      </c>
      <c r="BA1631" t="s">
        <v>91</v>
      </c>
      <c r="BB1631" s="2">
        <v>44378.578518518516</v>
      </c>
      <c r="BC1631" s="2"/>
      <c r="BD1631" t="s">
        <v>91</v>
      </c>
      <c r="BF1631" s="1" t="s">
        <v>75</v>
      </c>
      <c r="BI1631" s="1" t="s">
        <v>88</v>
      </c>
      <c r="BJ1631">
        <v>1</v>
      </c>
      <c r="BK1631" s="1" t="s">
        <v>89</v>
      </c>
      <c r="BL1631" t="s">
        <v>91</v>
      </c>
      <c r="BM1631" s="1" t="s">
        <v>109</v>
      </c>
      <c r="BN1631" s="1" t="s">
        <v>110</v>
      </c>
      <c r="BO1631" s="1" t="s">
        <v>165</v>
      </c>
      <c r="BP1631" s="1" t="s">
        <v>91</v>
      </c>
      <c r="BQ1631" t="s">
        <v>91</v>
      </c>
      <c r="BR1631" s="3">
        <v>44378</v>
      </c>
      <c r="BS1631" s="3"/>
      <c r="BT1631" t="s">
        <v>91</v>
      </c>
      <c r="BU1631" t="s">
        <v>91</v>
      </c>
      <c r="BW1631" s="1" t="s">
        <v>90</v>
      </c>
    </row>
    <row r="1632" spans="1:75" hidden="1" x14ac:dyDescent="0.35">
      <c r="A1632">
        <v>137838</v>
      </c>
      <c r="B1632" s="1" t="s">
        <v>75</v>
      </c>
      <c r="C1632">
        <v>80</v>
      </c>
      <c r="D1632">
        <v>11121004</v>
      </c>
      <c r="E1632">
        <v>121004</v>
      </c>
      <c r="F1632" s="1" t="s">
        <v>6867</v>
      </c>
      <c r="G1632" s="1" t="s">
        <v>8748</v>
      </c>
      <c r="H1632">
        <v>0</v>
      </c>
      <c r="I1632" s="1" t="s">
        <v>78</v>
      </c>
      <c r="J1632" s="1" t="s">
        <v>8749</v>
      </c>
      <c r="K1632" s="1" t="s">
        <v>8750</v>
      </c>
      <c r="L1632" t="s">
        <v>91</v>
      </c>
      <c r="M1632" t="s">
        <v>91</v>
      </c>
      <c r="N1632" s="1" t="s">
        <v>8751</v>
      </c>
      <c r="O1632" t="s">
        <v>91</v>
      </c>
      <c r="P1632" s="1" t="s">
        <v>8752</v>
      </c>
      <c r="Q1632" s="1" t="s">
        <v>97</v>
      </c>
      <c r="R1632" s="1" t="s">
        <v>320</v>
      </c>
      <c r="S1632">
        <v>1273</v>
      </c>
      <c r="T1632">
        <v>89052600</v>
      </c>
      <c r="U1632" s="1" t="s">
        <v>7877</v>
      </c>
      <c r="V1632" s="1" t="s">
        <v>3571</v>
      </c>
      <c r="W1632" s="1" t="s">
        <v>87</v>
      </c>
      <c r="X1632">
        <v>47</v>
      </c>
      <c r="Y1632">
        <v>30352025</v>
      </c>
      <c r="Z1632" t="s">
        <v>91</v>
      </c>
      <c r="AA1632" t="s">
        <v>91</v>
      </c>
      <c r="AB1632" t="s">
        <v>91</v>
      </c>
      <c r="AC1632" t="s">
        <v>91</v>
      </c>
      <c r="AD1632" t="s">
        <v>91</v>
      </c>
      <c r="AE1632" t="s">
        <v>91</v>
      </c>
      <c r="AF1632" t="s">
        <v>91</v>
      </c>
      <c r="AG1632" s="1" t="s">
        <v>146</v>
      </c>
      <c r="AH1632" s="1" t="s">
        <v>91</v>
      </c>
      <c r="AI1632" t="s">
        <v>91</v>
      </c>
      <c r="AM1632" t="s">
        <v>91</v>
      </c>
      <c r="AN1632" t="s">
        <v>91</v>
      </c>
      <c r="AO1632" t="s">
        <v>91</v>
      </c>
      <c r="AP1632" t="s">
        <v>91</v>
      </c>
      <c r="AQ1632" s="1" t="s">
        <v>147</v>
      </c>
      <c r="AR1632" s="1" t="s">
        <v>147</v>
      </c>
      <c r="AS1632" s="1" t="s">
        <v>147</v>
      </c>
      <c r="AT1632" s="1" t="s">
        <v>147</v>
      </c>
      <c r="AU1632" s="1" t="s">
        <v>147</v>
      </c>
      <c r="AV1632" t="s">
        <v>91</v>
      </c>
      <c r="AW1632" t="s">
        <v>91</v>
      </c>
      <c r="AX1632" t="s">
        <v>91</v>
      </c>
      <c r="AY1632" t="s">
        <v>91</v>
      </c>
      <c r="AZ1632" t="s">
        <v>91</v>
      </c>
      <c r="BA1632" t="s">
        <v>91</v>
      </c>
      <c r="BB1632" s="2">
        <v>44378.578518518516</v>
      </c>
      <c r="BC1632" s="2">
        <v>45126.637835648151</v>
      </c>
      <c r="BD1632" t="s">
        <v>91</v>
      </c>
      <c r="BF1632" s="1" t="s">
        <v>75</v>
      </c>
      <c r="BH1632">
        <v>0</v>
      </c>
      <c r="BI1632" s="1" t="s">
        <v>721</v>
      </c>
      <c r="BJ1632">
        <v>1</v>
      </c>
      <c r="BK1632" s="1" t="s">
        <v>89</v>
      </c>
      <c r="BL1632" t="s">
        <v>91</v>
      </c>
      <c r="BM1632" s="1" t="s">
        <v>109</v>
      </c>
      <c r="BN1632" s="1" t="s">
        <v>148</v>
      </c>
      <c r="BO1632" s="1" t="s">
        <v>91</v>
      </c>
      <c r="BP1632" s="1" t="s">
        <v>91</v>
      </c>
      <c r="BQ1632" t="s">
        <v>91</v>
      </c>
      <c r="BR1632" s="3">
        <v>44378</v>
      </c>
      <c r="BS1632" s="3">
        <v>45126</v>
      </c>
      <c r="BT1632" t="s">
        <v>91</v>
      </c>
      <c r="BU1632" t="s">
        <v>91</v>
      </c>
      <c r="BW1632" s="1" t="s">
        <v>255</v>
      </c>
    </row>
    <row r="1633" spans="1:75" hidden="1" x14ac:dyDescent="0.35">
      <c r="A1633">
        <v>137840</v>
      </c>
      <c r="B1633" s="1" t="s">
        <v>75</v>
      </c>
      <c r="C1633">
        <v>80</v>
      </c>
      <c r="D1633">
        <v>11121004</v>
      </c>
      <c r="E1633">
        <v>121004</v>
      </c>
      <c r="F1633" s="1" t="s">
        <v>6867</v>
      </c>
      <c r="G1633" s="1" t="s">
        <v>8753</v>
      </c>
      <c r="H1633">
        <v>0</v>
      </c>
      <c r="I1633" s="1" t="s">
        <v>78</v>
      </c>
      <c r="J1633" s="1" t="s">
        <v>8754</v>
      </c>
      <c r="K1633" s="1" t="s">
        <v>8755</v>
      </c>
      <c r="L1633" t="s">
        <v>91</v>
      </c>
      <c r="M1633" t="s">
        <v>91</v>
      </c>
      <c r="N1633" s="1" t="s">
        <v>7306</v>
      </c>
      <c r="O1633" t="s">
        <v>91</v>
      </c>
      <c r="P1633" s="1" t="s">
        <v>860</v>
      </c>
      <c r="Q1633" s="1" t="s">
        <v>1299</v>
      </c>
      <c r="R1633" s="1" t="s">
        <v>236</v>
      </c>
      <c r="S1633">
        <v>1262</v>
      </c>
      <c r="T1633">
        <v>88330050</v>
      </c>
      <c r="U1633" s="1" t="s">
        <v>108</v>
      </c>
      <c r="V1633" s="1" t="s">
        <v>5871</v>
      </c>
      <c r="W1633" s="1" t="s">
        <v>87</v>
      </c>
      <c r="X1633">
        <v>47</v>
      </c>
      <c r="Y1633">
        <v>33981459</v>
      </c>
      <c r="Z1633" t="s">
        <v>91</v>
      </c>
      <c r="AA1633" t="s">
        <v>91</v>
      </c>
      <c r="AB1633" t="s">
        <v>91</v>
      </c>
      <c r="AC1633" t="s">
        <v>91</v>
      </c>
      <c r="AD1633" t="s">
        <v>91</v>
      </c>
      <c r="AE1633" t="s">
        <v>91</v>
      </c>
      <c r="AF1633" t="s">
        <v>91</v>
      </c>
      <c r="AG1633" s="1" t="s">
        <v>91</v>
      </c>
      <c r="AH1633" s="1" t="s">
        <v>91</v>
      </c>
      <c r="AI1633" t="s">
        <v>91</v>
      </c>
      <c r="AM1633" t="s">
        <v>91</v>
      </c>
      <c r="AN1633" t="s">
        <v>91</v>
      </c>
      <c r="AO1633" t="s">
        <v>91</v>
      </c>
      <c r="AP1633" t="s">
        <v>91</v>
      </c>
      <c r="AQ1633" s="1" t="s">
        <v>91</v>
      </c>
      <c r="AR1633" s="1" t="s">
        <v>91</v>
      </c>
      <c r="AS1633" s="1" t="s">
        <v>91</v>
      </c>
      <c r="AT1633" s="1" t="s">
        <v>91</v>
      </c>
      <c r="AU1633" s="1" t="s">
        <v>91</v>
      </c>
      <c r="AV1633" t="s">
        <v>91</v>
      </c>
      <c r="AW1633" t="s">
        <v>91</v>
      </c>
      <c r="AX1633" t="s">
        <v>91</v>
      </c>
      <c r="AY1633" t="s">
        <v>91</v>
      </c>
      <c r="AZ1633" t="s">
        <v>91</v>
      </c>
      <c r="BA1633" t="s">
        <v>91</v>
      </c>
      <c r="BB1633" s="2">
        <v>44378.578518518516</v>
      </c>
      <c r="BC1633" s="2"/>
      <c r="BD1633" t="s">
        <v>91</v>
      </c>
      <c r="BF1633" s="1" t="s">
        <v>75</v>
      </c>
      <c r="BI1633" s="1" t="s">
        <v>88</v>
      </c>
      <c r="BJ1633">
        <v>1</v>
      </c>
      <c r="BK1633" s="1" t="s">
        <v>89</v>
      </c>
      <c r="BL1633" t="s">
        <v>91</v>
      </c>
      <c r="BM1633" s="1" t="s">
        <v>109</v>
      </c>
      <c r="BN1633" s="1" t="s">
        <v>110</v>
      </c>
      <c r="BO1633" s="1" t="s">
        <v>128</v>
      </c>
      <c r="BP1633" s="1" t="s">
        <v>91</v>
      </c>
      <c r="BQ1633" t="s">
        <v>91</v>
      </c>
      <c r="BR1633" s="3">
        <v>44378</v>
      </c>
      <c r="BS1633" s="3"/>
      <c r="BT1633" t="s">
        <v>91</v>
      </c>
      <c r="BU1633" t="s">
        <v>91</v>
      </c>
      <c r="BW1633" s="1" t="s">
        <v>90</v>
      </c>
    </row>
    <row r="1634" spans="1:75" hidden="1" x14ac:dyDescent="0.35">
      <c r="A1634">
        <v>137842</v>
      </c>
      <c r="B1634" s="1" t="s">
        <v>75</v>
      </c>
      <c r="C1634">
        <v>80</v>
      </c>
      <c r="D1634">
        <v>11121004</v>
      </c>
      <c r="E1634">
        <v>121004</v>
      </c>
      <c r="F1634" s="1" t="s">
        <v>6867</v>
      </c>
      <c r="G1634" s="1" t="s">
        <v>8756</v>
      </c>
      <c r="H1634">
        <v>0</v>
      </c>
      <c r="I1634" s="1" t="s">
        <v>78</v>
      </c>
      <c r="J1634" s="1" t="s">
        <v>8757</v>
      </c>
      <c r="K1634" s="1" t="s">
        <v>8758</v>
      </c>
      <c r="L1634" t="s">
        <v>91</v>
      </c>
      <c r="M1634" t="s">
        <v>91</v>
      </c>
      <c r="N1634" s="1" t="s">
        <v>7306</v>
      </c>
      <c r="O1634" t="s">
        <v>91</v>
      </c>
      <c r="P1634" s="1" t="s">
        <v>8505</v>
      </c>
      <c r="Q1634" s="1" t="s">
        <v>3224</v>
      </c>
      <c r="R1634" s="1" t="s">
        <v>173</v>
      </c>
      <c r="S1634">
        <v>1262</v>
      </c>
      <c r="T1634">
        <v>88330526</v>
      </c>
      <c r="U1634" s="1" t="s">
        <v>108</v>
      </c>
      <c r="V1634" s="1" t="s">
        <v>5871</v>
      </c>
      <c r="W1634" s="1" t="s">
        <v>87</v>
      </c>
      <c r="X1634">
        <v>47</v>
      </c>
      <c r="Y1634">
        <v>33661705</v>
      </c>
      <c r="Z1634" t="s">
        <v>91</v>
      </c>
      <c r="AA1634" t="s">
        <v>91</v>
      </c>
      <c r="AB1634" t="s">
        <v>91</v>
      </c>
      <c r="AC1634" t="s">
        <v>91</v>
      </c>
      <c r="AD1634" t="s">
        <v>91</v>
      </c>
      <c r="AE1634" t="s">
        <v>91</v>
      </c>
      <c r="AF1634" t="s">
        <v>91</v>
      </c>
      <c r="AG1634" s="1" t="s">
        <v>91</v>
      </c>
      <c r="AH1634" s="1" t="s">
        <v>91</v>
      </c>
      <c r="AI1634" t="s">
        <v>91</v>
      </c>
      <c r="AM1634" t="s">
        <v>91</v>
      </c>
      <c r="AN1634" t="s">
        <v>91</v>
      </c>
      <c r="AO1634" t="s">
        <v>91</v>
      </c>
      <c r="AP1634" t="s">
        <v>91</v>
      </c>
      <c r="AQ1634" s="1" t="s">
        <v>91</v>
      </c>
      <c r="AR1634" s="1" t="s">
        <v>91</v>
      </c>
      <c r="AS1634" s="1" t="s">
        <v>91</v>
      </c>
      <c r="AT1634" s="1" t="s">
        <v>91</v>
      </c>
      <c r="AU1634" s="1" t="s">
        <v>91</v>
      </c>
      <c r="AV1634" t="s">
        <v>91</v>
      </c>
      <c r="AW1634" t="s">
        <v>91</v>
      </c>
      <c r="AX1634" t="s">
        <v>91</v>
      </c>
      <c r="AY1634" t="s">
        <v>91</v>
      </c>
      <c r="AZ1634" t="s">
        <v>91</v>
      </c>
      <c r="BA1634" t="s">
        <v>91</v>
      </c>
      <c r="BB1634" s="2">
        <v>44378.578518518516</v>
      </c>
      <c r="BC1634" s="2"/>
      <c r="BD1634" t="s">
        <v>91</v>
      </c>
      <c r="BF1634" s="1" t="s">
        <v>75</v>
      </c>
      <c r="BI1634" s="1" t="s">
        <v>88</v>
      </c>
      <c r="BJ1634">
        <v>1</v>
      </c>
      <c r="BK1634" s="1" t="s">
        <v>89</v>
      </c>
      <c r="BL1634" t="s">
        <v>91</v>
      </c>
      <c r="BM1634" s="1" t="s">
        <v>109</v>
      </c>
      <c r="BN1634" s="1" t="s">
        <v>110</v>
      </c>
      <c r="BO1634" s="1" t="s">
        <v>128</v>
      </c>
      <c r="BP1634" s="1" t="s">
        <v>91</v>
      </c>
      <c r="BQ1634" t="s">
        <v>91</v>
      </c>
      <c r="BR1634" s="3">
        <v>44378</v>
      </c>
      <c r="BS1634" s="3"/>
      <c r="BT1634" t="s">
        <v>91</v>
      </c>
      <c r="BU1634" t="s">
        <v>91</v>
      </c>
      <c r="BW1634" s="1" t="s">
        <v>419</v>
      </c>
    </row>
    <row r="1635" spans="1:75" hidden="1" x14ac:dyDescent="0.35">
      <c r="A1635">
        <v>127574</v>
      </c>
      <c r="B1635" s="1" t="s">
        <v>75</v>
      </c>
      <c r="C1635">
        <v>80</v>
      </c>
      <c r="D1635">
        <v>11121004</v>
      </c>
      <c r="E1635">
        <v>121004</v>
      </c>
      <c r="F1635" s="1" t="s">
        <v>6867</v>
      </c>
      <c r="G1635" s="1" t="s">
        <v>8759</v>
      </c>
      <c r="H1635">
        <v>0</v>
      </c>
      <c r="I1635" s="1" t="s">
        <v>78</v>
      </c>
      <c r="J1635" s="1" t="s">
        <v>8760</v>
      </c>
      <c r="K1635" s="1" t="s">
        <v>8761</v>
      </c>
      <c r="L1635" t="s">
        <v>91</v>
      </c>
      <c r="M1635" t="s">
        <v>91</v>
      </c>
      <c r="N1635" s="1" t="s">
        <v>8762</v>
      </c>
      <c r="O1635" t="s">
        <v>91</v>
      </c>
      <c r="P1635" s="1" t="s">
        <v>3970</v>
      </c>
      <c r="Q1635" s="1" t="s">
        <v>1437</v>
      </c>
      <c r="R1635" s="1" t="s">
        <v>370</v>
      </c>
      <c r="S1635">
        <v>1260</v>
      </c>
      <c r="T1635">
        <v>88220000</v>
      </c>
      <c r="U1635" s="1" t="s">
        <v>108</v>
      </c>
      <c r="V1635" s="1" t="s">
        <v>7015</v>
      </c>
      <c r="W1635" s="1" t="s">
        <v>87</v>
      </c>
      <c r="X1635">
        <v>47</v>
      </c>
      <c r="Y1635">
        <v>33681615</v>
      </c>
      <c r="Z1635" t="s">
        <v>91</v>
      </c>
      <c r="AA1635" t="s">
        <v>91</v>
      </c>
      <c r="AB1635" t="s">
        <v>91</v>
      </c>
      <c r="AC1635" t="s">
        <v>91</v>
      </c>
      <c r="AD1635" t="s">
        <v>91</v>
      </c>
      <c r="AE1635" t="s">
        <v>91</v>
      </c>
      <c r="AF1635" t="s">
        <v>91</v>
      </c>
      <c r="AG1635" s="1" t="s">
        <v>91</v>
      </c>
      <c r="AH1635" s="1" t="s">
        <v>91</v>
      </c>
      <c r="AI1635" t="s">
        <v>91</v>
      </c>
      <c r="AJ1635">
        <v>0</v>
      </c>
      <c r="AK1635">
        <v>0</v>
      </c>
      <c r="AL1635">
        <v>0</v>
      </c>
      <c r="AM1635" t="s">
        <v>91</v>
      </c>
      <c r="AN1635" t="s">
        <v>91</v>
      </c>
      <c r="AO1635" t="s">
        <v>91</v>
      </c>
      <c r="AP1635" t="s">
        <v>91</v>
      </c>
      <c r="AQ1635" s="1" t="s">
        <v>91</v>
      </c>
      <c r="AR1635" s="1" t="s">
        <v>91</v>
      </c>
      <c r="AS1635" s="1" t="s">
        <v>91</v>
      </c>
      <c r="AT1635" s="1" t="s">
        <v>91</v>
      </c>
      <c r="AU1635" s="1" t="s">
        <v>91</v>
      </c>
      <c r="AV1635" t="s">
        <v>91</v>
      </c>
      <c r="AW1635" t="s">
        <v>91</v>
      </c>
      <c r="AX1635" t="s">
        <v>91</v>
      </c>
      <c r="AY1635" t="s">
        <v>91</v>
      </c>
      <c r="AZ1635" t="s">
        <v>91</v>
      </c>
      <c r="BA1635" t="s">
        <v>91</v>
      </c>
      <c r="BB1635" s="2">
        <v>44111.380995370368</v>
      </c>
      <c r="BC1635" s="2"/>
      <c r="BD1635" t="s">
        <v>91</v>
      </c>
      <c r="BF1635" s="1" t="s">
        <v>75</v>
      </c>
      <c r="BG1635">
        <v>0</v>
      </c>
      <c r="BH1635">
        <v>0</v>
      </c>
      <c r="BI1635" s="1" t="s">
        <v>88</v>
      </c>
      <c r="BJ1635">
        <v>1</v>
      </c>
      <c r="BK1635" s="1" t="s">
        <v>89</v>
      </c>
      <c r="BL1635" t="s">
        <v>91</v>
      </c>
      <c r="BM1635" s="1" t="s">
        <v>109</v>
      </c>
      <c r="BN1635" s="1" t="s">
        <v>110</v>
      </c>
      <c r="BO1635" s="1" t="s">
        <v>128</v>
      </c>
      <c r="BP1635" s="1" t="s">
        <v>91</v>
      </c>
      <c r="BQ1635" t="s">
        <v>91</v>
      </c>
      <c r="BR1635" s="3">
        <v>44111</v>
      </c>
      <c r="BS1635" s="3"/>
      <c r="BT1635" t="s">
        <v>91</v>
      </c>
      <c r="BU1635" t="s">
        <v>91</v>
      </c>
      <c r="BV1635">
        <v>7</v>
      </c>
      <c r="BW1635" s="1" t="s">
        <v>1048</v>
      </c>
    </row>
    <row r="1636" spans="1:75" hidden="1" x14ac:dyDescent="0.35">
      <c r="A1636">
        <v>157807</v>
      </c>
      <c r="B1636" s="1" t="s">
        <v>75</v>
      </c>
      <c r="C1636">
        <v>80</v>
      </c>
      <c r="D1636">
        <v>11121004</v>
      </c>
      <c r="E1636">
        <v>121004</v>
      </c>
      <c r="F1636" s="1" t="s">
        <v>6867</v>
      </c>
      <c r="G1636" s="1" t="s">
        <v>8763</v>
      </c>
      <c r="H1636">
        <v>0</v>
      </c>
      <c r="I1636" s="1" t="s">
        <v>78</v>
      </c>
      <c r="J1636" s="1" t="s">
        <v>8764</v>
      </c>
      <c r="K1636" s="1" t="s">
        <v>8765</v>
      </c>
      <c r="L1636" t="s">
        <v>91</v>
      </c>
      <c r="M1636" t="s">
        <v>91</v>
      </c>
      <c r="N1636" s="1" t="s">
        <v>8766</v>
      </c>
      <c r="O1636" t="s">
        <v>91</v>
      </c>
      <c r="P1636" s="1" t="s">
        <v>8767</v>
      </c>
      <c r="Q1636" s="1" t="s">
        <v>3588</v>
      </c>
      <c r="R1636" s="1" t="s">
        <v>370</v>
      </c>
      <c r="S1636">
        <v>1262</v>
      </c>
      <c r="T1636">
        <v>88330110</v>
      </c>
      <c r="U1636" s="1" t="s">
        <v>108</v>
      </c>
      <c r="V1636" s="1" t="s">
        <v>5871</v>
      </c>
      <c r="W1636" s="1" t="s">
        <v>87</v>
      </c>
      <c r="X1636">
        <v>47</v>
      </c>
      <c r="Y1636">
        <v>33676130</v>
      </c>
      <c r="Z1636" t="s">
        <v>91</v>
      </c>
      <c r="AA1636" t="s">
        <v>91</v>
      </c>
      <c r="AB1636" t="s">
        <v>91</v>
      </c>
      <c r="AC1636" t="s">
        <v>91</v>
      </c>
      <c r="AD1636" t="s">
        <v>91</v>
      </c>
      <c r="AE1636" t="s">
        <v>91</v>
      </c>
      <c r="AF1636" t="s">
        <v>91</v>
      </c>
      <c r="AG1636" s="1" t="s">
        <v>91</v>
      </c>
      <c r="AH1636" s="1" t="s">
        <v>91</v>
      </c>
      <c r="AI1636" t="s">
        <v>91</v>
      </c>
      <c r="AM1636" t="s">
        <v>91</v>
      </c>
      <c r="AN1636" t="s">
        <v>91</v>
      </c>
      <c r="AO1636" t="s">
        <v>91</v>
      </c>
      <c r="AP1636" t="s">
        <v>91</v>
      </c>
      <c r="AQ1636" s="1" t="s">
        <v>91</v>
      </c>
      <c r="AR1636" s="1" t="s">
        <v>91</v>
      </c>
      <c r="AS1636" s="1" t="s">
        <v>91</v>
      </c>
      <c r="AT1636" s="1" t="s">
        <v>91</v>
      </c>
      <c r="AU1636" s="1" t="s">
        <v>91</v>
      </c>
      <c r="AV1636" t="s">
        <v>91</v>
      </c>
      <c r="AW1636" t="s">
        <v>91</v>
      </c>
      <c r="AX1636" t="s">
        <v>91</v>
      </c>
      <c r="AY1636" t="s">
        <v>91</v>
      </c>
      <c r="AZ1636" t="s">
        <v>91</v>
      </c>
      <c r="BA1636" t="s">
        <v>91</v>
      </c>
      <c r="BB1636" s="2">
        <v>45118.101759259262</v>
      </c>
      <c r="BC1636" s="2"/>
      <c r="BD1636" t="s">
        <v>91</v>
      </c>
      <c r="BF1636" s="1" t="s">
        <v>75</v>
      </c>
      <c r="BI1636" s="1" t="s">
        <v>88</v>
      </c>
      <c r="BJ1636">
        <v>1</v>
      </c>
      <c r="BK1636" s="1" t="s">
        <v>89</v>
      </c>
      <c r="BL1636" t="s">
        <v>91</v>
      </c>
      <c r="BM1636" s="1" t="s">
        <v>91</v>
      </c>
      <c r="BN1636" s="1" t="s">
        <v>91</v>
      </c>
      <c r="BO1636" s="1" t="s">
        <v>91</v>
      </c>
      <c r="BP1636" s="1" t="s">
        <v>91</v>
      </c>
      <c r="BQ1636" t="s">
        <v>91</v>
      </c>
      <c r="BR1636" s="3">
        <v>45118</v>
      </c>
      <c r="BS1636" s="3"/>
      <c r="BT1636" t="s">
        <v>91</v>
      </c>
      <c r="BU1636" t="s">
        <v>91</v>
      </c>
      <c r="BW1636" s="1" t="s">
        <v>90</v>
      </c>
    </row>
    <row r="1637" spans="1:75" hidden="1" x14ac:dyDescent="0.35">
      <c r="A1637">
        <v>157105</v>
      </c>
      <c r="B1637" s="1" t="s">
        <v>75</v>
      </c>
      <c r="C1637">
        <v>80</v>
      </c>
      <c r="D1637">
        <v>11121004</v>
      </c>
      <c r="E1637">
        <v>121004</v>
      </c>
      <c r="F1637" s="1" t="s">
        <v>6867</v>
      </c>
      <c r="G1637" s="1" t="s">
        <v>8768</v>
      </c>
      <c r="H1637">
        <v>0</v>
      </c>
      <c r="I1637" s="1" t="s">
        <v>78</v>
      </c>
      <c r="J1637" s="1" t="s">
        <v>8769</v>
      </c>
      <c r="K1637" s="1" t="s">
        <v>8770</v>
      </c>
      <c r="L1637" t="s">
        <v>91</v>
      </c>
      <c r="M1637" t="s">
        <v>91</v>
      </c>
      <c r="N1637" s="1" t="s">
        <v>8771</v>
      </c>
      <c r="O1637" t="s">
        <v>91</v>
      </c>
      <c r="P1637" s="1" t="s">
        <v>7253</v>
      </c>
      <c r="Q1637" s="1" t="s">
        <v>1082</v>
      </c>
      <c r="R1637" s="1" t="s">
        <v>245</v>
      </c>
      <c r="S1637">
        <v>1261</v>
      </c>
      <c r="T1637">
        <v>88301350</v>
      </c>
      <c r="U1637" s="1" t="s">
        <v>108</v>
      </c>
      <c r="V1637" s="1" t="s">
        <v>6881</v>
      </c>
      <c r="W1637" s="1" t="s">
        <v>87</v>
      </c>
      <c r="X1637">
        <v>47</v>
      </c>
      <c r="Y1637">
        <v>21251283</v>
      </c>
      <c r="Z1637" t="s">
        <v>91</v>
      </c>
      <c r="AA1637" t="s">
        <v>91</v>
      </c>
      <c r="AB1637" t="s">
        <v>91</v>
      </c>
      <c r="AC1637" t="s">
        <v>91</v>
      </c>
      <c r="AD1637" t="s">
        <v>91</v>
      </c>
      <c r="AE1637" t="s">
        <v>91</v>
      </c>
      <c r="AF1637" t="s">
        <v>91</v>
      </c>
      <c r="AG1637" s="1" t="s">
        <v>91</v>
      </c>
      <c r="AH1637" s="1" t="s">
        <v>91</v>
      </c>
      <c r="AI1637" t="s">
        <v>91</v>
      </c>
      <c r="AM1637" t="s">
        <v>91</v>
      </c>
      <c r="AN1637" t="s">
        <v>91</v>
      </c>
      <c r="AO1637" t="s">
        <v>91</v>
      </c>
      <c r="AP1637" t="s">
        <v>91</v>
      </c>
      <c r="AQ1637" s="1" t="s">
        <v>91</v>
      </c>
      <c r="AR1637" s="1" t="s">
        <v>91</v>
      </c>
      <c r="AS1637" s="1" t="s">
        <v>91</v>
      </c>
      <c r="AT1637" s="1" t="s">
        <v>91</v>
      </c>
      <c r="AU1637" s="1" t="s">
        <v>91</v>
      </c>
      <c r="AV1637" t="s">
        <v>91</v>
      </c>
      <c r="AW1637" t="s">
        <v>91</v>
      </c>
      <c r="AX1637" t="s">
        <v>91</v>
      </c>
      <c r="AY1637" t="s">
        <v>91</v>
      </c>
      <c r="AZ1637" t="s">
        <v>91</v>
      </c>
      <c r="BA1637" t="s">
        <v>91</v>
      </c>
      <c r="BB1637" s="2">
        <v>45113.505416666667</v>
      </c>
      <c r="BC1637" s="2"/>
      <c r="BD1637" t="s">
        <v>91</v>
      </c>
      <c r="BF1637" s="1" t="s">
        <v>75</v>
      </c>
      <c r="BI1637" s="1" t="s">
        <v>88</v>
      </c>
      <c r="BJ1637">
        <v>1</v>
      </c>
      <c r="BK1637" s="1" t="s">
        <v>89</v>
      </c>
      <c r="BL1637" t="s">
        <v>91</v>
      </c>
      <c r="BM1637" s="1" t="s">
        <v>91</v>
      </c>
      <c r="BN1637" s="1" t="s">
        <v>91</v>
      </c>
      <c r="BO1637" s="1" t="s">
        <v>91</v>
      </c>
      <c r="BP1637" s="1" t="s">
        <v>91</v>
      </c>
      <c r="BQ1637" t="s">
        <v>91</v>
      </c>
      <c r="BR1637" s="3">
        <v>45113</v>
      </c>
      <c r="BS1637" s="3"/>
      <c r="BT1637" t="s">
        <v>91</v>
      </c>
      <c r="BU1637" t="s">
        <v>91</v>
      </c>
      <c r="BW1637" s="1" t="s">
        <v>90</v>
      </c>
    </row>
    <row r="1638" spans="1:75" hidden="1" x14ac:dyDescent="0.35">
      <c r="A1638">
        <v>137847</v>
      </c>
      <c r="B1638" s="1" t="s">
        <v>75</v>
      </c>
      <c r="C1638">
        <v>80</v>
      </c>
      <c r="D1638">
        <v>11121004</v>
      </c>
      <c r="E1638">
        <v>121004</v>
      </c>
      <c r="F1638" s="1" t="s">
        <v>6867</v>
      </c>
      <c r="G1638" s="1" t="s">
        <v>8772</v>
      </c>
      <c r="H1638">
        <v>0</v>
      </c>
      <c r="I1638" s="1" t="s">
        <v>78</v>
      </c>
      <c r="J1638" s="1" t="s">
        <v>8773</v>
      </c>
      <c r="K1638" s="1" t="s">
        <v>8774</v>
      </c>
      <c r="L1638" t="s">
        <v>91</v>
      </c>
      <c r="M1638" t="s">
        <v>91</v>
      </c>
      <c r="N1638" s="1" t="s">
        <v>8775</v>
      </c>
      <c r="O1638" t="s">
        <v>91</v>
      </c>
      <c r="P1638" s="1" t="s">
        <v>8776</v>
      </c>
      <c r="Q1638" s="1" t="s">
        <v>8003</v>
      </c>
      <c r="R1638" s="1" t="s">
        <v>8777</v>
      </c>
      <c r="S1638">
        <v>1261</v>
      </c>
      <c r="T1638">
        <v>88301302</v>
      </c>
      <c r="U1638" s="1" t="s">
        <v>108</v>
      </c>
      <c r="V1638" s="1" t="s">
        <v>6874</v>
      </c>
      <c r="W1638" s="1" t="s">
        <v>87</v>
      </c>
      <c r="X1638">
        <v>47</v>
      </c>
      <c r="Y1638">
        <v>33497663</v>
      </c>
      <c r="Z1638" t="s">
        <v>91</v>
      </c>
      <c r="AA1638" t="s">
        <v>91</v>
      </c>
      <c r="AB1638" t="s">
        <v>91</v>
      </c>
      <c r="AC1638" t="s">
        <v>91</v>
      </c>
      <c r="AD1638" t="s">
        <v>91</v>
      </c>
      <c r="AE1638" t="s">
        <v>91</v>
      </c>
      <c r="AF1638" t="s">
        <v>91</v>
      </c>
      <c r="AG1638" s="1" t="s">
        <v>146</v>
      </c>
      <c r="AH1638" s="1" t="s">
        <v>91</v>
      </c>
      <c r="AI1638" t="s">
        <v>91</v>
      </c>
      <c r="AM1638" t="s">
        <v>91</v>
      </c>
      <c r="AN1638" t="s">
        <v>91</v>
      </c>
      <c r="AO1638" t="s">
        <v>91</v>
      </c>
      <c r="AP1638" t="s">
        <v>91</v>
      </c>
      <c r="AQ1638" s="1" t="s">
        <v>147</v>
      </c>
      <c r="AR1638" s="1" t="s">
        <v>147</v>
      </c>
      <c r="AS1638" s="1" t="s">
        <v>147</v>
      </c>
      <c r="AT1638" s="1" t="s">
        <v>147</v>
      </c>
      <c r="AU1638" s="1" t="s">
        <v>147</v>
      </c>
      <c r="AV1638" t="s">
        <v>91</v>
      </c>
      <c r="AW1638" t="s">
        <v>91</v>
      </c>
      <c r="AX1638" t="s">
        <v>91</v>
      </c>
      <c r="AY1638" t="s">
        <v>91</v>
      </c>
      <c r="AZ1638" t="s">
        <v>91</v>
      </c>
      <c r="BA1638" t="s">
        <v>91</v>
      </c>
      <c r="BB1638" s="2">
        <v>44378.578518518516</v>
      </c>
      <c r="BC1638" s="2">
        <v>44820.7425</v>
      </c>
      <c r="BD1638" t="s">
        <v>91</v>
      </c>
      <c r="BF1638" s="1" t="s">
        <v>75</v>
      </c>
      <c r="BH1638">
        <v>0</v>
      </c>
      <c r="BI1638" s="1" t="s">
        <v>88</v>
      </c>
      <c r="BJ1638">
        <v>1</v>
      </c>
      <c r="BK1638" s="1" t="s">
        <v>89</v>
      </c>
      <c r="BL1638" t="s">
        <v>91</v>
      </c>
      <c r="BM1638" s="1" t="s">
        <v>329</v>
      </c>
      <c r="BN1638" s="1" t="s">
        <v>110</v>
      </c>
      <c r="BO1638" s="1" t="s">
        <v>165</v>
      </c>
      <c r="BP1638" s="1" t="s">
        <v>91</v>
      </c>
      <c r="BQ1638" t="s">
        <v>91</v>
      </c>
      <c r="BR1638" s="3">
        <v>44378</v>
      </c>
      <c r="BS1638" s="3">
        <v>44820</v>
      </c>
      <c r="BT1638" t="s">
        <v>91</v>
      </c>
      <c r="BU1638" t="s">
        <v>91</v>
      </c>
      <c r="BW1638" s="1" t="s">
        <v>8123</v>
      </c>
    </row>
    <row r="1639" spans="1:75" hidden="1" x14ac:dyDescent="0.35">
      <c r="A1639">
        <v>137848</v>
      </c>
      <c r="B1639" s="1" t="s">
        <v>75</v>
      </c>
      <c r="C1639">
        <v>80</v>
      </c>
      <c r="D1639">
        <v>11121004</v>
      </c>
      <c r="E1639">
        <v>121004</v>
      </c>
      <c r="F1639" s="1" t="s">
        <v>6867</v>
      </c>
      <c r="G1639" s="1" t="s">
        <v>8778</v>
      </c>
      <c r="H1639">
        <v>0</v>
      </c>
      <c r="I1639" s="1" t="s">
        <v>78</v>
      </c>
      <c r="J1639" s="1" t="s">
        <v>8779</v>
      </c>
      <c r="K1639" s="1" t="s">
        <v>8780</v>
      </c>
      <c r="L1639" t="s">
        <v>91</v>
      </c>
      <c r="M1639" t="s">
        <v>91</v>
      </c>
      <c r="N1639" s="1" t="s">
        <v>8781</v>
      </c>
      <c r="O1639" t="s">
        <v>91</v>
      </c>
      <c r="P1639" s="1" t="s">
        <v>8782</v>
      </c>
      <c r="Q1639" s="1" t="s">
        <v>5217</v>
      </c>
      <c r="R1639" s="1" t="s">
        <v>4538</v>
      </c>
      <c r="T1639">
        <v>89082115</v>
      </c>
      <c r="U1639" s="1" t="s">
        <v>7530</v>
      </c>
      <c r="V1639" s="1" t="s">
        <v>7659</v>
      </c>
      <c r="W1639" s="1" t="s">
        <v>87</v>
      </c>
      <c r="X1639">
        <v>47</v>
      </c>
      <c r="Y1639">
        <v>30192121</v>
      </c>
      <c r="Z1639" t="s">
        <v>91</v>
      </c>
      <c r="AA1639" t="s">
        <v>91</v>
      </c>
      <c r="AB1639" t="s">
        <v>91</v>
      </c>
      <c r="AC1639" t="s">
        <v>91</v>
      </c>
      <c r="AD1639" t="s">
        <v>91</v>
      </c>
      <c r="AE1639" t="s">
        <v>91</v>
      </c>
      <c r="AF1639" t="s">
        <v>91</v>
      </c>
      <c r="AG1639" s="1" t="s">
        <v>91</v>
      </c>
      <c r="AH1639" s="1" t="s">
        <v>91</v>
      </c>
      <c r="AI1639" t="s">
        <v>91</v>
      </c>
      <c r="AM1639" t="s">
        <v>91</v>
      </c>
      <c r="AN1639" t="s">
        <v>91</v>
      </c>
      <c r="AO1639" t="s">
        <v>91</v>
      </c>
      <c r="AP1639" t="s">
        <v>91</v>
      </c>
      <c r="AQ1639" s="1" t="s">
        <v>91</v>
      </c>
      <c r="AR1639" s="1" t="s">
        <v>91</v>
      </c>
      <c r="AS1639" s="1" t="s">
        <v>91</v>
      </c>
      <c r="AT1639" s="1" t="s">
        <v>91</v>
      </c>
      <c r="AU1639" s="1" t="s">
        <v>91</v>
      </c>
      <c r="AV1639" t="s">
        <v>91</v>
      </c>
      <c r="AW1639" t="s">
        <v>91</v>
      </c>
      <c r="AX1639" t="s">
        <v>91</v>
      </c>
      <c r="AY1639" t="s">
        <v>91</v>
      </c>
      <c r="AZ1639" t="s">
        <v>91</v>
      </c>
      <c r="BA1639" t="s">
        <v>91</v>
      </c>
      <c r="BB1639" s="2">
        <v>44378.578518518516</v>
      </c>
      <c r="BC1639" s="2"/>
      <c r="BD1639" t="s">
        <v>91</v>
      </c>
      <c r="BF1639" s="1" t="s">
        <v>75</v>
      </c>
      <c r="BI1639" s="1" t="s">
        <v>88</v>
      </c>
      <c r="BJ1639">
        <v>1</v>
      </c>
      <c r="BK1639" s="1" t="s">
        <v>89</v>
      </c>
      <c r="BL1639" t="s">
        <v>91</v>
      </c>
      <c r="BM1639" s="1" t="s">
        <v>109</v>
      </c>
      <c r="BN1639" s="1" t="s">
        <v>110</v>
      </c>
      <c r="BO1639" s="1" t="s">
        <v>180</v>
      </c>
      <c r="BP1639" s="1" t="s">
        <v>91</v>
      </c>
      <c r="BQ1639" t="s">
        <v>91</v>
      </c>
      <c r="BR1639" s="3">
        <v>44378</v>
      </c>
      <c r="BS1639" s="3"/>
      <c r="BT1639" t="s">
        <v>91</v>
      </c>
      <c r="BU1639" t="s">
        <v>91</v>
      </c>
      <c r="BW1639" s="1" t="s">
        <v>90</v>
      </c>
    </row>
    <row r="1640" spans="1:75" hidden="1" x14ac:dyDescent="0.35">
      <c r="A1640">
        <v>137849</v>
      </c>
      <c r="B1640" s="1" t="s">
        <v>75</v>
      </c>
      <c r="C1640">
        <v>80</v>
      </c>
      <c r="D1640">
        <v>11121004</v>
      </c>
      <c r="E1640">
        <v>121004</v>
      </c>
      <c r="F1640" s="1" t="s">
        <v>6867</v>
      </c>
      <c r="G1640" s="1" t="s">
        <v>8783</v>
      </c>
      <c r="H1640">
        <v>0</v>
      </c>
      <c r="I1640" s="1" t="s">
        <v>78</v>
      </c>
      <c r="J1640" s="1" t="s">
        <v>8779</v>
      </c>
      <c r="K1640" s="1" t="s">
        <v>8784</v>
      </c>
      <c r="L1640" t="s">
        <v>91</v>
      </c>
      <c r="M1640" t="s">
        <v>91</v>
      </c>
      <c r="N1640" s="1" t="s">
        <v>8702</v>
      </c>
      <c r="O1640" t="s">
        <v>91</v>
      </c>
      <c r="P1640" s="1" t="s">
        <v>8785</v>
      </c>
      <c r="Q1640" s="1" t="s">
        <v>8786</v>
      </c>
      <c r="R1640" s="1" t="s">
        <v>820</v>
      </c>
      <c r="T1640">
        <v>89080063</v>
      </c>
      <c r="U1640" s="1" t="s">
        <v>108</v>
      </c>
      <c r="V1640" s="1" t="s">
        <v>7659</v>
      </c>
      <c r="W1640" s="1" t="s">
        <v>87</v>
      </c>
      <c r="X1640">
        <v>47</v>
      </c>
      <c r="Y1640">
        <v>30193575</v>
      </c>
      <c r="Z1640" t="s">
        <v>91</v>
      </c>
      <c r="AA1640" t="s">
        <v>91</v>
      </c>
      <c r="AB1640" t="s">
        <v>91</v>
      </c>
      <c r="AC1640" t="s">
        <v>91</v>
      </c>
      <c r="AD1640" t="s">
        <v>91</v>
      </c>
      <c r="AE1640" t="s">
        <v>91</v>
      </c>
      <c r="AF1640" t="s">
        <v>91</v>
      </c>
      <c r="AG1640" s="1" t="s">
        <v>146</v>
      </c>
      <c r="AH1640" s="1" t="s">
        <v>91</v>
      </c>
      <c r="AI1640" t="s">
        <v>91</v>
      </c>
      <c r="AM1640" t="s">
        <v>91</v>
      </c>
      <c r="AN1640" t="s">
        <v>91</v>
      </c>
      <c r="AO1640" t="s">
        <v>91</v>
      </c>
      <c r="AP1640" t="s">
        <v>91</v>
      </c>
      <c r="AQ1640" s="1" t="s">
        <v>147</v>
      </c>
      <c r="AR1640" s="1" t="s">
        <v>147</v>
      </c>
      <c r="AS1640" s="1" t="s">
        <v>147</v>
      </c>
      <c r="AT1640" s="1" t="s">
        <v>147</v>
      </c>
      <c r="AU1640" s="1" t="s">
        <v>147</v>
      </c>
      <c r="AV1640" t="s">
        <v>91</v>
      </c>
      <c r="AW1640" t="s">
        <v>91</v>
      </c>
      <c r="AX1640" t="s">
        <v>91</v>
      </c>
      <c r="AY1640" t="s">
        <v>91</v>
      </c>
      <c r="AZ1640" t="s">
        <v>91</v>
      </c>
      <c r="BA1640" t="s">
        <v>91</v>
      </c>
      <c r="BB1640" s="2">
        <v>44378.578518518516</v>
      </c>
      <c r="BC1640" s="2">
        <v>44508.539895833332</v>
      </c>
      <c r="BD1640" t="s">
        <v>91</v>
      </c>
      <c r="BF1640" s="1" t="s">
        <v>75</v>
      </c>
      <c r="BH1640">
        <v>0</v>
      </c>
      <c r="BI1640" s="1" t="s">
        <v>88</v>
      </c>
      <c r="BJ1640">
        <v>1</v>
      </c>
      <c r="BK1640" s="1" t="s">
        <v>89</v>
      </c>
      <c r="BL1640" t="s">
        <v>91</v>
      </c>
      <c r="BM1640" s="1" t="s">
        <v>109</v>
      </c>
      <c r="BN1640" s="1" t="s">
        <v>110</v>
      </c>
      <c r="BO1640" s="1" t="s">
        <v>91</v>
      </c>
      <c r="BP1640" s="1" t="s">
        <v>91</v>
      </c>
      <c r="BQ1640" t="s">
        <v>91</v>
      </c>
      <c r="BR1640" s="3">
        <v>44378</v>
      </c>
      <c r="BS1640" s="3">
        <v>44508</v>
      </c>
      <c r="BT1640" t="s">
        <v>91</v>
      </c>
      <c r="BU1640" t="s">
        <v>91</v>
      </c>
      <c r="BW1640" s="1" t="s">
        <v>3397</v>
      </c>
    </row>
    <row r="1641" spans="1:75" hidden="1" x14ac:dyDescent="0.35">
      <c r="A1641">
        <v>157743</v>
      </c>
      <c r="B1641" s="1" t="s">
        <v>75</v>
      </c>
      <c r="C1641">
        <v>80</v>
      </c>
      <c r="D1641">
        <v>11121004</v>
      </c>
      <c r="E1641">
        <v>121004</v>
      </c>
      <c r="F1641" s="1" t="s">
        <v>6867</v>
      </c>
      <c r="G1641" s="1" t="s">
        <v>8787</v>
      </c>
      <c r="H1641">
        <v>0</v>
      </c>
      <c r="I1641" s="1" t="s">
        <v>78</v>
      </c>
      <c r="J1641" s="1" t="s">
        <v>8788</v>
      </c>
      <c r="K1641" s="1" t="s">
        <v>8789</v>
      </c>
      <c r="L1641" t="s">
        <v>91</v>
      </c>
      <c r="M1641" t="s">
        <v>91</v>
      </c>
      <c r="N1641" s="1" t="s">
        <v>8790</v>
      </c>
      <c r="O1641" t="s">
        <v>91</v>
      </c>
      <c r="P1641" s="1" t="s">
        <v>8457</v>
      </c>
      <c r="Q1641" s="1" t="s">
        <v>8013</v>
      </c>
      <c r="R1641" s="1" t="s">
        <v>8791</v>
      </c>
      <c r="S1641">
        <v>1275</v>
      </c>
      <c r="T1641">
        <v>89150000</v>
      </c>
      <c r="U1641" s="1" t="s">
        <v>108</v>
      </c>
      <c r="V1641" s="1" t="s">
        <v>8792</v>
      </c>
      <c r="W1641" s="1" t="s">
        <v>87</v>
      </c>
      <c r="X1641">
        <v>47</v>
      </c>
      <c r="Y1641">
        <v>33522114</v>
      </c>
      <c r="Z1641" t="s">
        <v>91</v>
      </c>
      <c r="AA1641" t="s">
        <v>91</v>
      </c>
      <c r="AB1641" t="s">
        <v>91</v>
      </c>
      <c r="AC1641" t="s">
        <v>91</v>
      </c>
      <c r="AD1641" t="s">
        <v>91</v>
      </c>
      <c r="AE1641" t="s">
        <v>91</v>
      </c>
      <c r="AF1641" t="s">
        <v>91</v>
      </c>
      <c r="AG1641" s="1" t="s">
        <v>91</v>
      </c>
      <c r="AH1641" s="1" t="s">
        <v>91</v>
      </c>
      <c r="AI1641" t="s">
        <v>91</v>
      </c>
      <c r="AM1641" t="s">
        <v>91</v>
      </c>
      <c r="AN1641" t="s">
        <v>91</v>
      </c>
      <c r="AO1641" t="s">
        <v>91</v>
      </c>
      <c r="AP1641" t="s">
        <v>91</v>
      </c>
      <c r="AQ1641" s="1" t="s">
        <v>91</v>
      </c>
      <c r="AR1641" s="1" t="s">
        <v>91</v>
      </c>
      <c r="AS1641" s="1" t="s">
        <v>91</v>
      </c>
      <c r="AT1641" s="1" t="s">
        <v>91</v>
      </c>
      <c r="AU1641" s="1" t="s">
        <v>91</v>
      </c>
      <c r="AV1641" t="s">
        <v>91</v>
      </c>
      <c r="AW1641" t="s">
        <v>91</v>
      </c>
      <c r="AX1641" t="s">
        <v>91</v>
      </c>
      <c r="AY1641" t="s">
        <v>91</v>
      </c>
      <c r="AZ1641" t="s">
        <v>91</v>
      </c>
      <c r="BA1641" t="s">
        <v>91</v>
      </c>
      <c r="BB1641" s="2">
        <v>45118.101759259262</v>
      </c>
      <c r="BC1641" s="2"/>
      <c r="BD1641" t="s">
        <v>91</v>
      </c>
      <c r="BF1641" s="1" t="s">
        <v>75</v>
      </c>
      <c r="BI1641" s="1" t="s">
        <v>88</v>
      </c>
      <c r="BJ1641">
        <v>1</v>
      </c>
      <c r="BK1641" s="1" t="s">
        <v>89</v>
      </c>
      <c r="BL1641" t="s">
        <v>91</v>
      </c>
      <c r="BM1641" s="1" t="s">
        <v>91</v>
      </c>
      <c r="BN1641" s="1" t="s">
        <v>91</v>
      </c>
      <c r="BO1641" s="1" t="s">
        <v>91</v>
      </c>
      <c r="BP1641" s="1" t="s">
        <v>91</v>
      </c>
      <c r="BQ1641" t="s">
        <v>91</v>
      </c>
      <c r="BR1641" s="3">
        <v>45118</v>
      </c>
      <c r="BS1641" s="3"/>
      <c r="BT1641" t="s">
        <v>91</v>
      </c>
      <c r="BU1641" t="s">
        <v>91</v>
      </c>
      <c r="BW1641" s="1" t="s">
        <v>90</v>
      </c>
    </row>
    <row r="1642" spans="1:75" hidden="1" x14ac:dyDescent="0.35">
      <c r="A1642">
        <v>1319</v>
      </c>
      <c r="B1642" s="1" t="s">
        <v>75</v>
      </c>
      <c r="C1642">
        <v>80</v>
      </c>
      <c r="D1642">
        <v>11121004</v>
      </c>
      <c r="E1642">
        <v>121004</v>
      </c>
      <c r="F1642" s="1" t="s">
        <v>6867</v>
      </c>
      <c r="G1642" s="1" t="s">
        <v>8793</v>
      </c>
      <c r="I1642" s="1" t="s">
        <v>78</v>
      </c>
      <c r="J1642" s="1" t="s">
        <v>8794</v>
      </c>
      <c r="K1642" s="1" t="s">
        <v>8795</v>
      </c>
      <c r="L1642" t="s">
        <v>91</v>
      </c>
      <c r="M1642" t="s">
        <v>91</v>
      </c>
      <c r="N1642" s="1" t="s">
        <v>8796</v>
      </c>
      <c r="O1642" t="s">
        <v>91</v>
      </c>
      <c r="P1642" s="1" t="s">
        <v>8797</v>
      </c>
      <c r="Q1642" s="1" t="s">
        <v>1437</v>
      </c>
      <c r="R1642" s="1" t="s">
        <v>91</v>
      </c>
      <c r="S1642">
        <v>1275</v>
      </c>
      <c r="T1642">
        <v>89130000</v>
      </c>
      <c r="U1642" s="1" t="s">
        <v>108</v>
      </c>
      <c r="V1642" s="1" t="s">
        <v>7659</v>
      </c>
      <c r="W1642" s="1" t="s">
        <v>87</v>
      </c>
      <c r="X1642">
        <v>47</v>
      </c>
      <c r="Y1642">
        <v>33330195</v>
      </c>
      <c r="Z1642" t="s">
        <v>91</v>
      </c>
      <c r="AA1642" t="s">
        <v>91</v>
      </c>
      <c r="AB1642" t="s">
        <v>91</v>
      </c>
      <c r="AC1642" t="s">
        <v>91</v>
      </c>
      <c r="AD1642" t="s">
        <v>91</v>
      </c>
      <c r="AE1642" t="s">
        <v>91</v>
      </c>
      <c r="AF1642" t="s">
        <v>91</v>
      </c>
      <c r="AG1642" s="1" t="s">
        <v>146</v>
      </c>
      <c r="AH1642" s="1" t="s">
        <v>91</v>
      </c>
      <c r="AI1642" t="s">
        <v>91</v>
      </c>
      <c r="AJ1642">
        <v>0</v>
      </c>
      <c r="AK1642">
        <v>0</v>
      </c>
      <c r="AL1642">
        <v>0</v>
      </c>
      <c r="AM1642" t="s">
        <v>91</v>
      </c>
      <c r="AN1642" t="s">
        <v>91</v>
      </c>
      <c r="AO1642" t="s">
        <v>91</v>
      </c>
      <c r="AP1642" t="s">
        <v>91</v>
      </c>
      <c r="AQ1642" s="1" t="s">
        <v>147</v>
      </c>
      <c r="AR1642" s="1" t="s">
        <v>147</v>
      </c>
      <c r="AS1642" s="1" t="s">
        <v>147</v>
      </c>
      <c r="AT1642" s="1" t="s">
        <v>147</v>
      </c>
      <c r="AU1642" s="1" t="s">
        <v>147</v>
      </c>
      <c r="AV1642" t="s">
        <v>91</v>
      </c>
      <c r="AW1642" t="s">
        <v>91</v>
      </c>
      <c r="AX1642" t="s">
        <v>91</v>
      </c>
      <c r="AY1642" t="s">
        <v>91</v>
      </c>
      <c r="AZ1642" t="s">
        <v>91</v>
      </c>
      <c r="BA1642" t="s">
        <v>91</v>
      </c>
      <c r="BB1642" s="2">
        <v>43308.393217592595</v>
      </c>
      <c r="BC1642" s="2">
        <v>45132.690254629626</v>
      </c>
      <c r="BD1642" t="s">
        <v>91</v>
      </c>
      <c r="BE1642">
        <v>1319</v>
      </c>
      <c r="BF1642" s="1" t="s">
        <v>75</v>
      </c>
      <c r="BG1642">
        <v>0</v>
      </c>
      <c r="BH1642">
        <v>0</v>
      </c>
      <c r="BI1642" s="1" t="s">
        <v>721</v>
      </c>
      <c r="BJ1642">
        <v>1</v>
      </c>
      <c r="BK1642" s="1" t="s">
        <v>89</v>
      </c>
      <c r="BL1642" t="s">
        <v>91</v>
      </c>
      <c r="BM1642" s="1" t="s">
        <v>109</v>
      </c>
      <c r="BN1642" s="1" t="s">
        <v>110</v>
      </c>
      <c r="BO1642" s="1" t="s">
        <v>111</v>
      </c>
      <c r="BP1642" s="1" t="s">
        <v>91</v>
      </c>
      <c r="BQ1642" t="s">
        <v>91</v>
      </c>
      <c r="BR1642" s="3">
        <v>43308</v>
      </c>
      <c r="BS1642" s="3">
        <v>45132</v>
      </c>
      <c r="BT1642" t="s">
        <v>91</v>
      </c>
      <c r="BU1642" t="s">
        <v>91</v>
      </c>
      <c r="BV1642">
        <v>6</v>
      </c>
      <c r="BW1642" s="1" t="s">
        <v>83</v>
      </c>
    </row>
    <row r="1643" spans="1:75" hidden="1" x14ac:dyDescent="0.35">
      <c r="A1643">
        <v>127627</v>
      </c>
      <c r="B1643" s="1" t="s">
        <v>75</v>
      </c>
      <c r="C1643">
        <v>80</v>
      </c>
      <c r="D1643">
        <v>11121004</v>
      </c>
      <c r="E1643">
        <v>121004</v>
      </c>
      <c r="F1643" s="1" t="s">
        <v>6867</v>
      </c>
      <c r="G1643" s="1" t="s">
        <v>8798</v>
      </c>
      <c r="H1643">
        <v>0</v>
      </c>
      <c r="I1643" s="1" t="s">
        <v>78</v>
      </c>
      <c r="J1643" s="1" t="s">
        <v>8799</v>
      </c>
      <c r="K1643" s="1" t="s">
        <v>8800</v>
      </c>
      <c r="L1643" t="s">
        <v>91</v>
      </c>
      <c r="M1643" t="s">
        <v>91</v>
      </c>
      <c r="N1643" s="1" t="s">
        <v>8801</v>
      </c>
      <c r="O1643" t="s">
        <v>91</v>
      </c>
      <c r="P1643" s="1" t="s">
        <v>7669</v>
      </c>
      <c r="Q1643" s="1" t="s">
        <v>5116</v>
      </c>
      <c r="R1643" s="1" t="s">
        <v>91</v>
      </c>
      <c r="S1643">
        <v>1263</v>
      </c>
      <c r="T1643">
        <v>88360000</v>
      </c>
      <c r="U1643" s="1" t="s">
        <v>108</v>
      </c>
      <c r="V1643" s="1" t="s">
        <v>8463</v>
      </c>
      <c r="W1643" s="1" t="s">
        <v>87</v>
      </c>
      <c r="X1643">
        <v>47</v>
      </c>
      <c r="Y1643">
        <v>33542691</v>
      </c>
      <c r="Z1643" t="s">
        <v>91</v>
      </c>
      <c r="AA1643" t="s">
        <v>91</v>
      </c>
      <c r="AB1643" t="s">
        <v>91</v>
      </c>
      <c r="AC1643" t="s">
        <v>91</v>
      </c>
      <c r="AD1643" t="s">
        <v>91</v>
      </c>
      <c r="AE1643" t="s">
        <v>91</v>
      </c>
      <c r="AF1643" t="s">
        <v>91</v>
      </c>
      <c r="AG1643" s="1" t="s">
        <v>91</v>
      </c>
      <c r="AH1643" s="1" t="s">
        <v>91</v>
      </c>
      <c r="AI1643" t="s">
        <v>91</v>
      </c>
      <c r="AJ1643">
        <v>0</v>
      </c>
      <c r="AK1643">
        <v>0</v>
      </c>
      <c r="AL1643">
        <v>0</v>
      </c>
      <c r="AM1643" t="s">
        <v>91</v>
      </c>
      <c r="AN1643" t="s">
        <v>91</v>
      </c>
      <c r="AO1643" t="s">
        <v>91</v>
      </c>
      <c r="AP1643" t="s">
        <v>91</v>
      </c>
      <c r="AQ1643" s="1" t="s">
        <v>91</v>
      </c>
      <c r="AR1643" s="1" t="s">
        <v>91</v>
      </c>
      <c r="AS1643" s="1" t="s">
        <v>91</v>
      </c>
      <c r="AT1643" s="1" t="s">
        <v>91</v>
      </c>
      <c r="AU1643" s="1" t="s">
        <v>91</v>
      </c>
      <c r="AV1643" t="s">
        <v>91</v>
      </c>
      <c r="AW1643" t="s">
        <v>91</v>
      </c>
      <c r="AX1643" t="s">
        <v>91</v>
      </c>
      <c r="AY1643" t="s">
        <v>91</v>
      </c>
      <c r="AZ1643" t="s">
        <v>91</v>
      </c>
      <c r="BA1643" t="s">
        <v>91</v>
      </c>
      <c r="BB1643" s="2">
        <v>44111.380995370368</v>
      </c>
      <c r="BC1643" s="2"/>
      <c r="BD1643" t="s">
        <v>91</v>
      </c>
      <c r="BF1643" s="1" t="s">
        <v>75</v>
      </c>
      <c r="BG1643">
        <v>0</v>
      </c>
      <c r="BH1643">
        <v>0</v>
      </c>
      <c r="BI1643" s="1" t="s">
        <v>88</v>
      </c>
      <c r="BJ1643">
        <v>1</v>
      </c>
      <c r="BK1643" s="1" t="s">
        <v>89</v>
      </c>
      <c r="BL1643" t="s">
        <v>91</v>
      </c>
      <c r="BM1643" s="1" t="s">
        <v>109</v>
      </c>
      <c r="BN1643" s="1" t="s">
        <v>110</v>
      </c>
      <c r="BO1643" s="1" t="s">
        <v>180</v>
      </c>
      <c r="BP1643" s="1" t="s">
        <v>91</v>
      </c>
      <c r="BQ1643" t="s">
        <v>91</v>
      </c>
      <c r="BR1643" s="3">
        <v>44111</v>
      </c>
      <c r="BS1643" s="3"/>
      <c r="BT1643" t="s">
        <v>91</v>
      </c>
      <c r="BU1643" t="s">
        <v>91</v>
      </c>
      <c r="BV1643">
        <v>9</v>
      </c>
      <c r="BW1643" s="1" t="s">
        <v>90</v>
      </c>
    </row>
    <row r="1644" spans="1:75" hidden="1" x14ac:dyDescent="0.35">
      <c r="A1644">
        <v>127628</v>
      </c>
      <c r="B1644" s="1" t="s">
        <v>75</v>
      </c>
      <c r="C1644">
        <v>80</v>
      </c>
      <c r="D1644">
        <v>11121004</v>
      </c>
      <c r="E1644">
        <v>121004</v>
      </c>
      <c r="F1644" s="1" t="s">
        <v>6867</v>
      </c>
      <c r="G1644" s="1" t="s">
        <v>8802</v>
      </c>
      <c r="H1644">
        <v>0</v>
      </c>
      <c r="I1644" s="1" t="s">
        <v>78</v>
      </c>
      <c r="J1644" s="1" t="s">
        <v>8799</v>
      </c>
      <c r="K1644" s="1" t="s">
        <v>8803</v>
      </c>
      <c r="L1644" t="s">
        <v>91</v>
      </c>
      <c r="M1644" t="s">
        <v>91</v>
      </c>
      <c r="N1644" s="1" t="s">
        <v>8801</v>
      </c>
      <c r="O1644" t="s">
        <v>91</v>
      </c>
      <c r="P1644" s="1" t="s">
        <v>8804</v>
      </c>
      <c r="Q1644" s="1" t="s">
        <v>5282</v>
      </c>
      <c r="R1644" s="1" t="s">
        <v>236</v>
      </c>
      <c r="S1644">
        <v>1263</v>
      </c>
      <c r="T1644">
        <v>88352000</v>
      </c>
      <c r="U1644" s="1" t="s">
        <v>8805</v>
      </c>
      <c r="V1644" s="1" t="s">
        <v>6936</v>
      </c>
      <c r="W1644" s="1" t="s">
        <v>87</v>
      </c>
      <c r="X1644">
        <v>47</v>
      </c>
      <c r="Y1644">
        <v>33960797</v>
      </c>
      <c r="Z1644" t="s">
        <v>91</v>
      </c>
      <c r="AA1644" t="s">
        <v>91</v>
      </c>
      <c r="AB1644" t="s">
        <v>91</v>
      </c>
      <c r="AC1644" t="s">
        <v>91</v>
      </c>
      <c r="AD1644" t="s">
        <v>91</v>
      </c>
      <c r="AE1644" t="s">
        <v>91</v>
      </c>
      <c r="AF1644" t="s">
        <v>91</v>
      </c>
      <c r="AG1644" s="1" t="s">
        <v>91</v>
      </c>
      <c r="AH1644" s="1" t="s">
        <v>91</v>
      </c>
      <c r="AI1644" t="s">
        <v>91</v>
      </c>
      <c r="AJ1644">
        <v>0</v>
      </c>
      <c r="AK1644">
        <v>0</v>
      </c>
      <c r="AL1644">
        <v>0</v>
      </c>
      <c r="AM1644" t="s">
        <v>91</v>
      </c>
      <c r="AN1644" t="s">
        <v>91</v>
      </c>
      <c r="AO1644" t="s">
        <v>91</v>
      </c>
      <c r="AP1644" t="s">
        <v>91</v>
      </c>
      <c r="AQ1644" s="1" t="s">
        <v>91</v>
      </c>
      <c r="AR1644" s="1" t="s">
        <v>91</v>
      </c>
      <c r="AS1644" s="1" t="s">
        <v>91</v>
      </c>
      <c r="AT1644" s="1" t="s">
        <v>91</v>
      </c>
      <c r="AU1644" s="1" t="s">
        <v>91</v>
      </c>
      <c r="AV1644" t="s">
        <v>91</v>
      </c>
      <c r="AW1644" t="s">
        <v>91</v>
      </c>
      <c r="AX1644" t="s">
        <v>91</v>
      </c>
      <c r="AY1644" t="s">
        <v>91</v>
      </c>
      <c r="AZ1644" t="s">
        <v>91</v>
      </c>
      <c r="BA1644" t="s">
        <v>91</v>
      </c>
      <c r="BB1644" s="2">
        <v>44111.380995370368</v>
      </c>
      <c r="BC1644" s="2"/>
      <c r="BD1644" t="s">
        <v>91</v>
      </c>
      <c r="BF1644" s="1" t="s">
        <v>75</v>
      </c>
      <c r="BG1644">
        <v>0</v>
      </c>
      <c r="BH1644">
        <v>0</v>
      </c>
      <c r="BI1644" s="1" t="s">
        <v>88</v>
      </c>
      <c r="BJ1644">
        <v>1</v>
      </c>
      <c r="BK1644" s="1" t="s">
        <v>89</v>
      </c>
      <c r="BL1644" t="s">
        <v>91</v>
      </c>
      <c r="BM1644" s="1" t="s">
        <v>109</v>
      </c>
      <c r="BN1644" s="1" t="s">
        <v>110</v>
      </c>
      <c r="BO1644" s="1" t="s">
        <v>180</v>
      </c>
      <c r="BP1644" s="1" t="s">
        <v>91</v>
      </c>
      <c r="BQ1644" t="s">
        <v>91</v>
      </c>
      <c r="BR1644" s="3">
        <v>44111</v>
      </c>
      <c r="BS1644" s="3"/>
      <c r="BT1644" t="s">
        <v>91</v>
      </c>
      <c r="BU1644" t="s">
        <v>91</v>
      </c>
      <c r="BV1644">
        <v>9</v>
      </c>
      <c r="BW1644" s="1" t="s">
        <v>90</v>
      </c>
    </row>
    <row r="1645" spans="1:75" hidden="1" x14ac:dyDescent="0.35">
      <c r="A1645">
        <v>137854</v>
      </c>
      <c r="B1645" s="1" t="s">
        <v>75</v>
      </c>
      <c r="C1645">
        <v>80</v>
      </c>
      <c r="D1645">
        <v>11121004</v>
      </c>
      <c r="E1645">
        <v>121004</v>
      </c>
      <c r="F1645" s="1" t="s">
        <v>6867</v>
      </c>
      <c r="G1645" s="1" t="s">
        <v>8806</v>
      </c>
      <c r="H1645">
        <v>0</v>
      </c>
      <c r="I1645" s="1" t="s">
        <v>78</v>
      </c>
      <c r="J1645" s="1" t="s">
        <v>8807</v>
      </c>
      <c r="K1645" s="1" t="s">
        <v>8808</v>
      </c>
      <c r="L1645" t="s">
        <v>91</v>
      </c>
      <c r="M1645" t="s">
        <v>91</v>
      </c>
      <c r="N1645" s="1" t="s">
        <v>8809</v>
      </c>
      <c r="O1645" t="s">
        <v>91</v>
      </c>
      <c r="P1645" s="1" t="s">
        <v>8810</v>
      </c>
      <c r="Q1645" s="1" t="s">
        <v>8811</v>
      </c>
      <c r="R1645" s="1" t="s">
        <v>236</v>
      </c>
      <c r="T1645">
        <v>88372506</v>
      </c>
      <c r="U1645" s="1" t="s">
        <v>8074</v>
      </c>
      <c r="V1645" s="1" t="s">
        <v>7127</v>
      </c>
      <c r="W1645" s="1" t="s">
        <v>87</v>
      </c>
      <c r="X1645">
        <v>47</v>
      </c>
      <c r="Y1645">
        <v>999939100</v>
      </c>
      <c r="Z1645" t="s">
        <v>91</v>
      </c>
      <c r="AA1645" t="s">
        <v>91</v>
      </c>
      <c r="AB1645" t="s">
        <v>91</v>
      </c>
      <c r="AC1645" t="s">
        <v>91</v>
      </c>
      <c r="AD1645" t="s">
        <v>91</v>
      </c>
      <c r="AE1645" t="s">
        <v>91</v>
      </c>
      <c r="AF1645" t="s">
        <v>91</v>
      </c>
      <c r="AG1645" s="1" t="s">
        <v>146</v>
      </c>
      <c r="AH1645" s="1" t="s">
        <v>91</v>
      </c>
      <c r="AI1645" t="s">
        <v>91</v>
      </c>
      <c r="AM1645" t="s">
        <v>91</v>
      </c>
      <c r="AN1645" t="s">
        <v>91</v>
      </c>
      <c r="AO1645" t="s">
        <v>91</v>
      </c>
      <c r="AP1645" t="s">
        <v>91</v>
      </c>
      <c r="AQ1645" s="1" t="s">
        <v>147</v>
      </c>
      <c r="AR1645" s="1" t="s">
        <v>147</v>
      </c>
      <c r="AS1645" s="1" t="s">
        <v>147</v>
      </c>
      <c r="AT1645" s="1" t="s">
        <v>147</v>
      </c>
      <c r="AU1645" s="1" t="s">
        <v>147</v>
      </c>
      <c r="AV1645" t="s">
        <v>91</v>
      </c>
      <c r="AW1645" t="s">
        <v>91</v>
      </c>
      <c r="AX1645" t="s">
        <v>91</v>
      </c>
      <c r="AY1645" t="s">
        <v>91</v>
      </c>
      <c r="AZ1645" t="s">
        <v>91</v>
      </c>
      <c r="BA1645" t="s">
        <v>91</v>
      </c>
      <c r="BB1645" s="2">
        <v>44378.578518518516</v>
      </c>
      <c r="BC1645" s="2">
        <v>44771.707303240742</v>
      </c>
      <c r="BD1645" t="s">
        <v>91</v>
      </c>
      <c r="BF1645" s="1" t="s">
        <v>75</v>
      </c>
      <c r="BH1645">
        <v>0</v>
      </c>
      <c r="BI1645" s="1" t="s">
        <v>88</v>
      </c>
      <c r="BJ1645">
        <v>1</v>
      </c>
      <c r="BK1645" s="1" t="s">
        <v>89</v>
      </c>
      <c r="BL1645" t="s">
        <v>91</v>
      </c>
      <c r="BM1645" s="1" t="s">
        <v>109</v>
      </c>
      <c r="BN1645" s="1" t="s">
        <v>110</v>
      </c>
      <c r="BO1645" s="1" t="s">
        <v>1040</v>
      </c>
      <c r="BP1645" s="1" t="s">
        <v>91</v>
      </c>
      <c r="BQ1645" t="s">
        <v>91</v>
      </c>
      <c r="BR1645" s="3">
        <v>44378</v>
      </c>
      <c r="BS1645" s="3">
        <v>44771</v>
      </c>
      <c r="BT1645" t="s">
        <v>91</v>
      </c>
      <c r="BU1645" t="s">
        <v>91</v>
      </c>
      <c r="BW1645" s="1" t="s">
        <v>1254</v>
      </c>
    </row>
    <row r="1646" spans="1:75" hidden="1" x14ac:dyDescent="0.35">
      <c r="A1646">
        <v>127556</v>
      </c>
      <c r="B1646" s="1" t="s">
        <v>75</v>
      </c>
      <c r="C1646">
        <v>80</v>
      </c>
      <c r="D1646">
        <v>11121004</v>
      </c>
      <c r="E1646">
        <v>121004</v>
      </c>
      <c r="F1646" s="1" t="s">
        <v>6867</v>
      </c>
      <c r="G1646" s="1" t="s">
        <v>8812</v>
      </c>
      <c r="H1646">
        <v>0</v>
      </c>
      <c r="I1646" s="1" t="s">
        <v>78</v>
      </c>
      <c r="J1646" s="1" t="s">
        <v>8813</v>
      </c>
      <c r="K1646" s="1" t="s">
        <v>8814</v>
      </c>
      <c r="L1646" t="s">
        <v>91</v>
      </c>
      <c r="M1646" t="s">
        <v>91</v>
      </c>
      <c r="N1646" s="1" t="s">
        <v>8815</v>
      </c>
      <c r="O1646" t="s">
        <v>91</v>
      </c>
      <c r="P1646" s="1" t="s">
        <v>7749</v>
      </c>
      <c r="Q1646" s="1" t="s">
        <v>228</v>
      </c>
      <c r="R1646" s="1" t="s">
        <v>173</v>
      </c>
      <c r="S1646">
        <v>1261</v>
      </c>
      <c r="T1646">
        <v>88303300</v>
      </c>
      <c r="U1646" s="1" t="s">
        <v>8816</v>
      </c>
      <c r="V1646" s="1" t="s">
        <v>6874</v>
      </c>
      <c r="W1646" s="1" t="s">
        <v>87</v>
      </c>
      <c r="X1646">
        <v>47</v>
      </c>
      <c r="Y1646">
        <v>30453630</v>
      </c>
      <c r="Z1646" t="s">
        <v>91</v>
      </c>
      <c r="AA1646" t="s">
        <v>91</v>
      </c>
      <c r="AB1646" t="s">
        <v>91</v>
      </c>
      <c r="AC1646" t="s">
        <v>91</v>
      </c>
      <c r="AD1646" t="s">
        <v>91</v>
      </c>
      <c r="AE1646" t="s">
        <v>91</v>
      </c>
      <c r="AF1646" t="s">
        <v>91</v>
      </c>
      <c r="AG1646" s="1" t="s">
        <v>146</v>
      </c>
      <c r="AH1646" s="1" t="s">
        <v>91</v>
      </c>
      <c r="AI1646" t="s">
        <v>91</v>
      </c>
      <c r="AJ1646">
        <v>0</v>
      </c>
      <c r="AK1646">
        <v>0</v>
      </c>
      <c r="AL1646">
        <v>0</v>
      </c>
      <c r="AM1646" t="s">
        <v>91</v>
      </c>
      <c r="AN1646" t="s">
        <v>91</v>
      </c>
      <c r="AO1646" t="s">
        <v>91</v>
      </c>
      <c r="AP1646" t="s">
        <v>91</v>
      </c>
      <c r="AQ1646" s="1" t="s">
        <v>147</v>
      </c>
      <c r="AR1646" s="1" t="s">
        <v>147</v>
      </c>
      <c r="AS1646" s="1" t="s">
        <v>147</v>
      </c>
      <c r="AT1646" s="1" t="s">
        <v>147</v>
      </c>
      <c r="AU1646" s="1" t="s">
        <v>147</v>
      </c>
      <c r="AV1646" t="s">
        <v>91</v>
      </c>
      <c r="AW1646" t="s">
        <v>91</v>
      </c>
      <c r="AX1646" t="s">
        <v>91</v>
      </c>
      <c r="AY1646" t="s">
        <v>91</v>
      </c>
      <c r="AZ1646" t="s">
        <v>91</v>
      </c>
      <c r="BA1646" t="s">
        <v>91</v>
      </c>
      <c r="BB1646" s="2">
        <v>44111.380995370368</v>
      </c>
      <c r="BC1646" s="2">
        <v>45127.517500000002</v>
      </c>
      <c r="BD1646" t="s">
        <v>91</v>
      </c>
      <c r="BF1646" s="1" t="s">
        <v>75</v>
      </c>
      <c r="BG1646">
        <v>0</v>
      </c>
      <c r="BH1646">
        <v>0</v>
      </c>
      <c r="BI1646" s="1" t="s">
        <v>721</v>
      </c>
      <c r="BJ1646">
        <v>1</v>
      </c>
      <c r="BK1646" s="1" t="s">
        <v>89</v>
      </c>
      <c r="BL1646" t="s">
        <v>91</v>
      </c>
      <c r="BM1646" s="1" t="s">
        <v>109</v>
      </c>
      <c r="BN1646" s="1" t="s">
        <v>110</v>
      </c>
      <c r="BO1646" s="1" t="s">
        <v>180</v>
      </c>
      <c r="BP1646" s="1" t="s">
        <v>91</v>
      </c>
      <c r="BQ1646" t="s">
        <v>91</v>
      </c>
      <c r="BR1646" s="3">
        <v>44111</v>
      </c>
      <c r="BS1646" s="3">
        <v>45127</v>
      </c>
      <c r="BT1646" t="s">
        <v>91</v>
      </c>
      <c r="BU1646" t="s">
        <v>91</v>
      </c>
      <c r="BV1646">
        <v>9</v>
      </c>
      <c r="BW1646" s="1" t="s">
        <v>512</v>
      </c>
    </row>
    <row r="1647" spans="1:75" hidden="1" x14ac:dyDescent="0.35">
      <c r="A1647">
        <v>157769</v>
      </c>
      <c r="B1647" s="1" t="s">
        <v>75</v>
      </c>
      <c r="C1647">
        <v>80</v>
      </c>
      <c r="D1647">
        <v>11121004</v>
      </c>
      <c r="E1647">
        <v>121004</v>
      </c>
      <c r="F1647" s="1" t="s">
        <v>6867</v>
      </c>
      <c r="G1647" s="1" t="s">
        <v>8817</v>
      </c>
      <c r="H1647">
        <v>0</v>
      </c>
      <c r="I1647" s="1" t="s">
        <v>78</v>
      </c>
      <c r="J1647" s="1" t="s">
        <v>8818</v>
      </c>
      <c r="K1647" s="1" t="s">
        <v>8819</v>
      </c>
      <c r="L1647" t="s">
        <v>91</v>
      </c>
      <c r="M1647" t="s">
        <v>91</v>
      </c>
      <c r="N1647" s="1" t="s">
        <v>8820</v>
      </c>
      <c r="O1647" t="s">
        <v>91</v>
      </c>
      <c r="P1647" s="1" t="s">
        <v>5870</v>
      </c>
      <c r="Q1647" s="1" t="s">
        <v>601</v>
      </c>
      <c r="R1647" s="1" t="s">
        <v>275</v>
      </c>
      <c r="T1647">
        <v>88330635</v>
      </c>
      <c r="U1647" s="1" t="s">
        <v>108</v>
      </c>
      <c r="V1647" s="1" t="s">
        <v>5871</v>
      </c>
      <c r="W1647" s="1" t="s">
        <v>87</v>
      </c>
      <c r="X1647">
        <v>47</v>
      </c>
      <c r="Y1647">
        <v>988550392</v>
      </c>
      <c r="Z1647" t="s">
        <v>91</v>
      </c>
      <c r="AA1647" t="s">
        <v>91</v>
      </c>
      <c r="AB1647" t="s">
        <v>91</v>
      </c>
      <c r="AC1647" t="s">
        <v>91</v>
      </c>
      <c r="AD1647" t="s">
        <v>91</v>
      </c>
      <c r="AE1647" t="s">
        <v>91</v>
      </c>
      <c r="AF1647" t="s">
        <v>91</v>
      </c>
      <c r="AG1647" s="1" t="s">
        <v>91</v>
      </c>
      <c r="AH1647" s="1" t="s">
        <v>91</v>
      </c>
      <c r="AI1647" t="s">
        <v>91</v>
      </c>
      <c r="AM1647" t="s">
        <v>91</v>
      </c>
      <c r="AN1647" t="s">
        <v>91</v>
      </c>
      <c r="AO1647" t="s">
        <v>91</v>
      </c>
      <c r="AP1647" t="s">
        <v>91</v>
      </c>
      <c r="AQ1647" s="1" t="s">
        <v>91</v>
      </c>
      <c r="AR1647" s="1" t="s">
        <v>91</v>
      </c>
      <c r="AS1647" s="1" t="s">
        <v>91</v>
      </c>
      <c r="AT1647" s="1" t="s">
        <v>91</v>
      </c>
      <c r="AU1647" s="1" t="s">
        <v>91</v>
      </c>
      <c r="AV1647" t="s">
        <v>91</v>
      </c>
      <c r="AW1647" t="s">
        <v>91</v>
      </c>
      <c r="AX1647" t="s">
        <v>91</v>
      </c>
      <c r="AY1647" t="s">
        <v>91</v>
      </c>
      <c r="AZ1647" t="s">
        <v>91</v>
      </c>
      <c r="BA1647" t="s">
        <v>91</v>
      </c>
      <c r="BB1647" s="2">
        <v>45118.101759259262</v>
      </c>
      <c r="BC1647" s="2"/>
      <c r="BD1647" t="s">
        <v>91</v>
      </c>
      <c r="BF1647" s="1" t="s">
        <v>75</v>
      </c>
      <c r="BI1647" s="1" t="s">
        <v>88</v>
      </c>
      <c r="BJ1647">
        <v>1</v>
      </c>
      <c r="BK1647" s="1" t="s">
        <v>89</v>
      </c>
      <c r="BL1647" t="s">
        <v>91</v>
      </c>
      <c r="BM1647" s="1" t="s">
        <v>91</v>
      </c>
      <c r="BN1647" s="1" t="s">
        <v>91</v>
      </c>
      <c r="BO1647" s="1" t="s">
        <v>91</v>
      </c>
      <c r="BP1647" s="1" t="s">
        <v>91</v>
      </c>
      <c r="BQ1647" t="s">
        <v>91</v>
      </c>
      <c r="BR1647" s="3">
        <v>45118</v>
      </c>
      <c r="BS1647" s="3"/>
      <c r="BT1647" t="s">
        <v>91</v>
      </c>
      <c r="BU1647" t="s">
        <v>91</v>
      </c>
      <c r="BW1647" s="1" t="s">
        <v>90</v>
      </c>
    </row>
    <row r="1648" spans="1:75" hidden="1" x14ac:dyDescent="0.35">
      <c r="A1648">
        <v>157067</v>
      </c>
      <c r="B1648" s="1" t="s">
        <v>75</v>
      </c>
      <c r="C1648">
        <v>80</v>
      </c>
      <c r="D1648">
        <v>11121004</v>
      </c>
      <c r="E1648">
        <v>121004</v>
      </c>
      <c r="F1648" s="1" t="s">
        <v>6867</v>
      </c>
      <c r="G1648" s="1" t="s">
        <v>8821</v>
      </c>
      <c r="H1648">
        <v>0</v>
      </c>
      <c r="I1648" s="1" t="s">
        <v>78</v>
      </c>
      <c r="J1648" s="1" t="s">
        <v>8822</v>
      </c>
      <c r="K1648" s="1" t="s">
        <v>8823</v>
      </c>
      <c r="L1648" t="s">
        <v>91</v>
      </c>
      <c r="M1648" t="s">
        <v>91</v>
      </c>
      <c r="N1648" s="1" t="s">
        <v>8824</v>
      </c>
      <c r="O1648" t="s">
        <v>91</v>
      </c>
      <c r="P1648" s="1" t="s">
        <v>8825</v>
      </c>
      <c r="Q1648" s="1" t="s">
        <v>2172</v>
      </c>
      <c r="R1648" s="1" t="s">
        <v>91</v>
      </c>
      <c r="S1648">
        <v>1264</v>
      </c>
      <c r="T1648">
        <v>88400000</v>
      </c>
      <c r="U1648" s="1" t="s">
        <v>108</v>
      </c>
      <c r="V1648" s="1" t="s">
        <v>7470</v>
      </c>
      <c r="W1648" s="1" t="s">
        <v>87</v>
      </c>
      <c r="X1648">
        <v>47</v>
      </c>
      <c r="Y1648">
        <v>35334666</v>
      </c>
      <c r="Z1648" t="s">
        <v>91</v>
      </c>
      <c r="AA1648" t="s">
        <v>91</v>
      </c>
      <c r="AB1648" t="s">
        <v>91</v>
      </c>
      <c r="AC1648" t="s">
        <v>91</v>
      </c>
      <c r="AD1648" t="s">
        <v>91</v>
      </c>
      <c r="AE1648" t="s">
        <v>91</v>
      </c>
      <c r="AF1648" t="s">
        <v>91</v>
      </c>
      <c r="AG1648" s="1" t="s">
        <v>91</v>
      </c>
      <c r="AH1648" s="1" t="s">
        <v>91</v>
      </c>
      <c r="AI1648" t="s">
        <v>91</v>
      </c>
      <c r="AM1648" t="s">
        <v>91</v>
      </c>
      <c r="AN1648" t="s">
        <v>91</v>
      </c>
      <c r="AO1648" t="s">
        <v>91</v>
      </c>
      <c r="AP1648" t="s">
        <v>91</v>
      </c>
      <c r="AQ1648" s="1" t="s">
        <v>91</v>
      </c>
      <c r="AR1648" s="1" t="s">
        <v>91</v>
      </c>
      <c r="AS1648" s="1" t="s">
        <v>91</v>
      </c>
      <c r="AT1648" s="1" t="s">
        <v>91</v>
      </c>
      <c r="AU1648" s="1" t="s">
        <v>91</v>
      </c>
      <c r="AV1648" t="s">
        <v>91</v>
      </c>
      <c r="AW1648" t="s">
        <v>91</v>
      </c>
      <c r="AX1648" t="s">
        <v>91</v>
      </c>
      <c r="AY1648" t="s">
        <v>91</v>
      </c>
      <c r="AZ1648" t="s">
        <v>91</v>
      </c>
      <c r="BA1648" t="s">
        <v>91</v>
      </c>
      <c r="BB1648" s="2">
        <v>45113.505416666667</v>
      </c>
      <c r="BC1648" s="2"/>
      <c r="BD1648" t="s">
        <v>91</v>
      </c>
      <c r="BF1648" s="1" t="s">
        <v>75</v>
      </c>
      <c r="BI1648" s="1" t="s">
        <v>88</v>
      </c>
      <c r="BJ1648">
        <v>1</v>
      </c>
      <c r="BK1648" s="1" t="s">
        <v>89</v>
      </c>
      <c r="BL1648" t="s">
        <v>91</v>
      </c>
      <c r="BM1648" s="1" t="s">
        <v>91</v>
      </c>
      <c r="BN1648" s="1" t="s">
        <v>91</v>
      </c>
      <c r="BO1648" s="1" t="s">
        <v>91</v>
      </c>
      <c r="BP1648" s="1" t="s">
        <v>91</v>
      </c>
      <c r="BQ1648" t="s">
        <v>91</v>
      </c>
      <c r="BR1648" s="3">
        <v>45113</v>
      </c>
      <c r="BS1648" s="3"/>
      <c r="BT1648" t="s">
        <v>91</v>
      </c>
      <c r="BU1648" t="s">
        <v>91</v>
      </c>
      <c r="BW1648" s="1" t="s">
        <v>255</v>
      </c>
    </row>
    <row r="1649" spans="1:75" hidden="1" x14ac:dyDescent="0.35">
      <c r="A1649">
        <v>127571</v>
      </c>
      <c r="B1649" s="1" t="s">
        <v>75</v>
      </c>
      <c r="C1649">
        <v>80</v>
      </c>
      <c r="D1649">
        <v>11121004</v>
      </c>
      <c r="E1649">
        <v>121004</v>
      </c>
      <c r="F1649" s="1" t="s">
        <v>6867</v>
      </c>
      <c r="G1649" s="1" t="s">
        <v>8826</v>
      </c>
      <c r="H1649">
        <v>0</v>
      </c>
      <c r="I1649" s="1" t="s">
        <v>78</v>
      </c>
      <c r="J1649" s="1" t="s">
        <v>8827</v>
      </c>
      <c r="K1649" s="1" t="s">
        <v>8828</v>
      </c>
      <c r="L1649" t="s">
        <v>91</v>
      </c>
      <c r="M1649" t="s">
        <v>91</v>
      </c>
      <c r="N1649" s="1" t="s">
        <v>8829</v>
      </c>
      <c r="O1649" t="s">
        <v>91</v>
      </c>
      <c r="P1649" s="1" t="s">
        <v>8830</v>
      </c>
      <c r="Q1649" s="1" t="s">
        <v>589</v>
      </c>
      <c r="R1649" s="1" t="s">
        <v>91</v>
      </c>
      <c r="T1649">
        <v>88304350</v>
      </c>
      <c r="U1649" s="1" t="s">
        <v>2910</v>
      </c>
      <c r="V1649" s="1" t="s">
        <v>6881</v>
      </c>
      <c r="W1649" s="1" t="s">
        <v>87</v>
      </c>
      <c r="X1649">
        <v>47</v>
      </c>
      <c r="Y1649">
        <v>33485290</v>
      </c>
      <c r="Z1649" t="s">
        <v>91</v>
      </c>
      <c r="AA1649" t="s">
        <v>91</v>
      </c>
      <c r="AB1649" t="s">
        <v>91</v>
      </c>
      <c r="AC1649" t="s">
        <v>91</v>
      </c>
      <c r="AD1649" t="s">
        <v>91</v>
      </c>
      <c r="AE1649" t="s">
        <v>91</v>
      </c>
      <c r="AF1649" t="s">
        <v>91</v>
      </c>
      <c r="AG1649" s="1" t="s">
        <v>91</v>
      </c>
      <c r="AH1649" s="1" t="s">
        <v>91</v>
      </c>
      <c r="AI1649" t="s">
        <v>91</v>
      </c>
      <c r="AM1649" t="s">
        <v>91</v>
      </c>
      <c r="AN1649" t="s">
        <v>91</v>
      </c>
      <c r="AO1649" t="s">
        <v>91</v>
      </c>
      <c r="AP1649" t="s">
        <v>91</v>
      </c>
      <c r="AQ1649" s="1" t="s">
        <v>91</v>
      </c>
      <c r="AR1649" s="1" t="s">
        <v>91</v>
      </c>
      <c r="AS1649" s="1" t="s">
        <v>91</v>
      </c>
      <c r="AT1649" s="1" t="s">
        <v>91</v>
      </c>
      <c r="AU1649" s="1" t="s">
        <v>91</v>
      </c>
      <c r="AV1649" t="s">
        <v>91</v>
      </c>
      <c r="AW1649" t="s">
        <v>91</v>
      </c>
      <c r="AX1649" t="s">
        <v>91</v>
      </c>
      <c r="AY1649" t="s">
        <v>91</v>
      </c>
      <c r="AZ1649" t="s">
        <v>91</v>
      </c>
      <c r="BA1649" t="s">
        <v>91</v>
      </c>
      <c r="BB1649" s="2">
        <v>44111.380995370368</v>
      </c>
      <c r="BC1649" s="2"/>
      <c r="BD1649" t="s">
        <v>91</v>
      </c>
      <c r="BF1649" s="1" t="s">
        <v>75</v>
      </c>
      <c r="BI1649" s="1" t="s">
        <v>88</v>
      </c>
      <c r="BJ1649">
        <v>1</v>
      </c>
      <c r="BK1649" s="1" t="s">
        <v>89</v>
      </c>
      <c r="BL1649" t="s">
        <v>91</v>
      </c>
      <c r="BM1649" s="1" t="s">
        <v>109</v>
      </c>
      <c r="BN1649" s="1" t="s">
        <v>110</v>
      </c>
      <c r="BO1649" s="1" t="s">
        <v>180</v>
      </c>
      <c r="BP1649" s="1" t="s">
        <v>91</v>
      </c>
      <c r="BQ1649" t="s">
        <v>91</v>
      </c>
      <c r="BR1649" s="3">
        <v>44111</v>
      </c>
      <c r="BS1649" s="3"/>
      <c r="BT1649" t="s">
        <v>91</v>
      </c>
      <c r="BU1649" t="s">
        <v>91</v>
      </c>
      <c r="BV1649">
        <v>9</v>
      </c>
      <c r="BW1649" s="1" t="s">
        <v>735</v>
      </c>
    </row>
    <row r="1650" spans="1:75" hidden="1" x14ac:dyDescent="0.35">
      <c r="A1650">
        <v>127572</v>
      </c>
      <c r="B1650" s="1" t="s">
        <v>75</v>
      </c>
      <c r="C1650">
        <v>80</v>
      </c>
      <c r="D1650">
        <v>11121004</v>
      </c>
      <c r="E1650">
        <v>121004</v>
      </c>
      <c r="F1650" s="1" t="s">
        <v>6867</v>
      </c>
      <c r="G1650" s="1" t="s">
        <v>8831</v>
      </c>
      <c r="H1650">
        <v>0</v>
      </c>
      <c r="I1650" s="1" t="s">
        <v>78</v>
      </c>
      <c r="J1650" s="1" t="s">
        <v>8827</v>
      </c>
      <c r="K1650" s="1" t="s">
        <v>8832</v>
      </c>
      <c r="L1650" t="s">
        <v>91</v>
      </c>
      <c r="M1650" t="s">
        <v>91</v>
      </c>
      <c r="N1650" s="1" t="s">
        <v>8829</v>
      </c>
      <c r="O1650" t="s">
        <v>91</v>
      </c>
      <c r="P1650" s="1" t="s">
        <v>8833</v>
      </c>
      <c r="Q1650" s="1" t="s">
        <v>2526</v>
      </c>
      <c r="R1650" s="1" t="s">
        <v>833</v>
      </c>
      <c r="S1650">
        <v>1263</v>
      </c>
      <c r="T1650">
        <v>88370406</v>
      </c>
      <c r="U1650" s="1" t="s">
        <v>108</v>
      </c>
      <c r="V1650" s="1" t="s">
        <v>7127</v>
      </c>
      <c r="W1650" s="1" t="s">
        <v>87</v>
      </c>
      <c r="X1650">
        <v>47</v>
      </c>
      <c r="Y1650">
        <v>30655093</v>
      </c>
      <c r="Z1650" t="s">
        <v>91</v>
      </c>
      <c r="AA1650" t="s">
        <v>91</v>
      </c>
      <c r="AB1650" t="s">
        <v>91</v>
      </c>
      <c r="AC1650" t="s">
        <v>91</v>
      </c>
      <c r="AD1650" t="s">
        <v>91</v>
      </c>
      <c r="AE1650" t="s">
        <v>91</v>
      </c>
      <c r="AF1650" t="s">
        <v>91</v>
      </c>
      <c r="AG1650" s="1" t="s">
        <v>91</v>
      </c>
      <c r="AH1650" s="1" t="s">
        <v>91</v>
      </c>
      <c r="AI1650" t="s">
        <v>91</v>
      </c>
      <c r="AM1650" t="s">
        <v>91</v>
      </c>
      <c r="AN1650" t="s">
        <v>91</v>
      </c>
      <c r="AO1650" t="s">
        <v>91</v>
      </c>
      <c r="AP1650" t="s">
        <v>91</v>
      </c>
      <c r="AQ1650" s="1" t="s">
        <v>91</v>
      </c>
      <c r="AR1650" s="1" t="s">
        <v>91</v>
      </c>
      <c r="AS1650" s="1" t="s">
        <v>91</v>
      </c>
      <c r="AT1650" s="1" t="s">
        <v>91</v>
      </c>
      <c r="AU1650" s="1" t="s">
        <v>91</v>
      </c>
      <c r="AV1650" t="s">
        <v>91</v>
      </c>
      <c r="AW1650" t="s">
        <v>91</v>
      </c>
      <c r="AX1650" t="s">
        <v>91</v>
      </c>
      <c r="AY1650" t="s">
        <v>91</v>
      </c>
      <c r="AZ1650" t="s">
        <v>91</v>
      </c>
      <c r="BA1650" t="s">
        <v>91</v>
      </c>
      <c r="BB1650" s="2">
        <v>44111.380995370368</v>
      </c>
      <c r="BC1650" s="2"/>
      <c r="BD1650" t="s">
        <v>91</v>
      </c>
      <c r="BF1650" s="1" t="s">
        <v>75</v>
      </c>
      <c r="BI1650" s="1" t="s">
        <v>88</v>
      </c>
      <c r="BJ1650">
        <v>1</v>
      </c>
      <c r="BK1650" s="1" t="s">
        <v>89</v>
      </c>
      <c r="BL1650" t="s">
        <v>91</v>
      </c>
      <c r="BM1650" s="1" t="s">
        <v>109</v>
      </c>
      <c r="BN1650" s="1" t="s">
        <v>110</v>
      </c>
      <c r="BO1650" s="1" t="s">
        <v>180</v>
      </c>
      <c r="BP1650" s="1" t="s">
        <v>91</v>
      </c>
      <c r="BQ1650" t="s">
        <v>91</v>
      </c>
      <c r="BR1650" s="3">
        <v>44111</v>
      </c>
      <c r="BS1650" s="3"/>
      <c r="BT1650" t="s">
        <v>91</v>
      </c>
      <c r="BU1650" t="s">
        <v>91</v>
      </c>
      <c r="BV1650">
        <v>9</v>
      </c>
      <c r="BW1650" s="1" t="s">
        <v>90</v>
      </c>
    </row>
    <row r="1651" spans="1:75" hidden="1" x14ac:dyDescent="0.35">
      <c r="A1651">
        <v>137859</v>
      </c>
      <c r="B1651" s="1" t="s">
        <v>75</v>
      </c>
      <c r="C1651">
        <v>80</v>
      </c>
      <c r="D1651">
        <v>11121004</v>
      </c>
      <c r="E1651">
        <v>121004</v>
      </c>
      <c r="F1651" s="1" t="s">
        <v>6867</v>
      </c>
      <c r="G1651" s="1" t="s">
        <v>8834</v>
      </c>
      <c r="H1651">
        <v>0</v>
      </c>
      <c r="I1651" s="1" t="s">
        <v>78</v>
      </c>
      <c r="J1651" s="1" t="s">
        <v>8835</v>
      </c>
      <c r="K1651" s="1" t="s">
        <v>8836</v>
      </c>
      <c r="L1651" t="s">
        <v>91</v>
      </c>
      <c r="M1651" t="s">
        <v>91</v>
      </c>
      <c r="N1651" s="1" t="s">
        <v>8837</v>
      </c>
      <c r="O1651" t="s">
        <v>91</v>
      </c>
      <c r="P1651" s="1" t="s">
        <v>8838</v>
      </c>
      <c r="Q1651" s="1" t="s">
        <v>1778</v>
      </c>
      <c r="R1651" s="1" t="s">
        <v>370</v>
      </c>
      <c r="T1651">
        <v>88330540</v>
      </c>
      <c r="U1651" s="1" t="s">
        <v>108</v>
      </c>
      <c r="V1651" s="1" t="s">
        <v>6898</v>
      </c>
      <c r="W1651" s="1" t="s">
        <v>87</v>
      </c>
      <c r="X1651">
        <v>47</v>
      </c>
      <c r="Y1651">
        <v>35146976</v>
      </c>
      <c r="Z1651" t="s">
        <v>91</v>
      </c>
      <c r="AA1651" t="s">
        <v>91</v>
      </c>
      <c r="AB1651" t="s">
        <v>91</v>
      </c>
      <c r="AC1651" t="s">
        <v>91</v>
      </c>
      <c r="AD1651" t="s">
        <v>91</v>
      </c>
      <c r="AE1651" t="s">
        <v>91</v>
      </c>
      <c r="AF1651" t="s">
        <v>91</v>
      </c>
      <c r="AG1651" s="1" t="s">
        <v>146</v>
      </c>
      <c r="AH1651" s="1" t="s">
        <v>91</v>
      </c>
      <c r="AI1651" t="s">
        <v>91</v>
      </c>
      <c r="AM1651" t="s">
        <v>91</v>
      </c>
      <c r="AN1651" t="s">
        <v>91</v>
      </c>
      <c r="AO1651" t="s">
        <v>91</v>
      </c>
      <c r="AP1651" t="s">
        <v>91</v>
      </c>
      <c r="AQ1651" s="1" t="s">
        <v>147</v>
      </c>
      <c r="AR1651" s="1" t="s">
        <v>147</v>
      </c>
      <c r="AS1651" s="1" t="s">
        <v>147</v>
      </c>
      <c r="AT1651" s="1" t="s">
        <v>147</v>
      </c>
      <c r="AU1651" s="1" t="s">
        <v>147</v>
      </c>
      <c r="AV1651" t="s">
        <v>91</v>
      </c>
      <c r="AW1651" t="s">
        <v>91</v>
      </c>
      <c r="AX1651" t="s">
        <v>91</v>
      </c>
      <c r="AY1651" t="s">
        <v>91</v>
      </c>
      <c r="AZ1651" t="s">
        <v>91</v>
      </c>
      <c r="BA1651" t="s">
        <v>91</v>
      </c>
      <c r="BB1651" s="2">
        <v>44378.578518518516</v>
      </c>
      <c r="BC1651" s="2">
        <v>44670.745289351849</v>
      </c>
      <c r="BD1651" t="s">
        <v>91</v>
      </c>
      <c r="BF1651" s="1" t="s">
        <v>75</v>
      </c>
      <c r="BH1651">
        <v>0</v>
      </c>
      <c r="BI1651" s="1" t="s">
        <v>88</v>
      </c>
      <c r="BJ1651">
        <v>1</v>
      </c>
      <c r="BK1651" s="1" t="s">
        <v>89</v>
      </c>
      <c r="BL1651" t="s">
        <v>91</v>
      </c>
      <c r="BM1651" s="1" t="s">
        <v>109</v>
      </c>
      <c r="BN1651" s="1" t="s">
        <v>110</v>
      </c>
      <c r="BO1651" s="1" t="s">
        <v>180</v>
      </c>
      <c r="BP1651" s="1" t="s">
        <v>91</v>
      </c>
      <c r="BQ1651" t="s">
        <v>91</v>
      </c>
      <c r="BR1651" s="3">
        <v>44378</v>
      </c>
      <c r="BS1651" s="3">
        <v>44670</v>
      </c>
      <c r="BT1651" t="s">
        <v>91</v>
      </c>
      <c r="BU1651" t="s">
        <v>91</v>
      </c>
      <c r="BW1651" s="1" t="s">
        <v>747</v>
      </c>
    </row>
    <row r="1652" spans="1:75" hidden="1" x14ac:dyDescent="0.35">
      <c r="A1652">
        <v>157767</v>
      </c>
      <c r="B1652" s="1" t="s">
        <v>75</v>
      </c>
      <c r="C1652">
        <v>80</v>
      </c>
      <c r="D1652">
        <v>11121004</v>
      </c>
      <c r="E1652">
        <v>121004</v>
      </c>
      <c r="F1652" s="1" t="s">
        <v>6867</v>
      </c>
      <c r="G1652" s="1" t="s">
        <v>8839</v>
      </c>
      <c r="H1652">
        <v>0</v>
      </c>
      <c r="I1652" s="1" t="s">
        <v>78</v>
      </c>
      <c r="J1652" s="1" t="s">
        <v>8840</v>
      </c>
      <c r="K1652" s="1" t="s">
        <v>8841</v>
      </c>
      <c r="L1652" t="s">
        <v>91</v>
      </c>
      <c r="M1652" t="s">
        <v>91</v>
      </c>
      <c r="N1652" s="1" t="s">
        <v>8842</v>
      </c>
      <c r="O1652" t="s">
        <v>91</v>
      </c>
      <c r="P1652" s="1" t="s">
        <v>8833</v>
      </c>
      <c r="Q1652" s="1" t="s">
        <v>2526</v>
      </c>
      <c r="R1652" s="1" t="s">
        <v>236</v>
      </c>
      <c r="S1652">
        <v>1263</v>
      </c>
      <c r="T1652">
        <v>88370406</v>
      </c>
      <c r="U1652" s="1" t="s">
        <v>108</v>
      </c>
      <c r="V1652" s="1" t="s">
        <v>7127</v>
      </c>
      <c r="W1652" s="1" t="s">
        <v>87</v>
      </c>
      <c r="X1652">
        <v>47</v>
      </c>
      <c r="Y1652">
        <v>30655093</v>
      </c>
      <c r="Z1652" t="s">
        <v>91</v>
      </c>
      <c r="AA1652" t="s">
        <v>91</v>
      </c>
      <c r="AB1652" t="s">
        <v>91</v>
      </c>
      <c r="AC1652" t="s">
        <v>91</v>
      </c>
      <c r="AD1652" t="s">
        <v>91</v>
      </c>
      <c r="AE1652" t="s">
        <v>91</v>
      </c>
      <c r="AF1652" t="s">
        <v>91</v>
      </c>
      <c r="AG1652" s="1" t="s">
        <v>91</v>
      </c>
      <c r="AH1652" s="1" t="s">
        <v>91</v>
      </c>
      <c r="AI1652" t="s">
        <v>91</v>
      </c>
      <c r="AM1652" t="s">
        <v>91</v>
      </c>
      <c r="AN1652" t="s">
        <v>91</v>
      </c>
      <c r="AO1652" t="s">
        <v>91</v>
      </c>
      <c r="AP1652" t="s">
        <v>91</v>
      </c>
      <c r="AQ1652" s="1" t="s">
        <v>91</v>
      </c>
      <c r="AR1652" s="1" t="s">
        <v>91</v>
      </c>
      <c r="AS1652" s="1" t="s">
        <v>91</v>
      </c>
      <c r="AT1652" s="1" t="s">
        <v>91</v>
      </c>
      <c r="AU1652" s="1" t="s">
        <v>91</v>
      </c>
      <c r="AV1652" t="s">
        <v>91</v>
      </c>
      <c r="AW1652" t="s">
        <v>91</v>
      </c>
      <c r="AX1652" t="s">
        <v>91</v>
      </c>
      <c r="AY1652" t="s">
        <v>91</v>
      </c>
      <c r="AZ1652" t="s">
        <v>91</v>
      </c>
      <c r="BA1652" t="s">
        <v>91</v>
      </c>
      <c r="BB1652" s="2">
        <v>45118.101759259262</v>
      </c>
      <c r="BC1652" s="2"/>
      <c r="BD1652" t="s">
        <v>91</v>
      </c>
      <c r="BF1652" s="1" t="s">
        <v>75</v>
      </c>
      <c r="BI1652" s="1" t="s">
        <v>88</v>
      </c>
      <c r="BJ1652">
        <v>1</v>
      </c>
      <c r="BK1652" s="1" t="s">
        <v>89</v>
      </c>
      <c r="BL1652" t="s">
        <v>91</v>
      </c>
      <c r="BM1652" s="1" t="s">
        <v>91</v>
      </c>
      <c r="BN1652" s="1" t="s">
        <v>91</v>
      </c>
      <c r="BO1652" s="1" t="s">
        <v>91</v>
      </c>
      <c r="BP1652" s="1" t="s">
        <v>91</v>
      </c>
      <c r="BQ1652" t="s">
        <v>91</v>
      </c>
      <c r="BR1652" s="3">
        <v>45118</v>
      </c>
      <c r="BS1652" s="3"/>
      <c r="BT1652" t="s">
        <v>91</v>
      </c>
      <c r="BU1652" t="s">
        <v>91</v>
      </c>
      <c r="BW1652" s="1" t="s">
        <v>90</v>
      </c>
    </row>
    <row r="1653" spans="1:75" hidden="1" x14ac:dyDescent="0.35">
      <c r="A1653">
        <v>137860</v>
      </c>
      <c r="B1653" s="1" t="s">
        <v>75</v>
      </c>
      <c r="C1653">
        <v>80</v>
      </c>
      <c r="D1653">
        <v>11121004</v>
      </c>
      <c r="E1653">
        <v>121004</v>
      </c>
      <c r="F1653" s="1" t="s">
        <v>6867</v>
      </c>
      <c r="G1653" s="1" t="s">
        <v>8843</v>
      </c>
      <c r="H1653">
        <v>0</v>
      </c>
      <c r="I1653" s="1" t="s">
        <v>78</v>
      </c>
      <c r="J1653" s="1" t="s">
        <v>8844</v>
      </c>
      <c r="K1653" s="1" t="s">
        <v>8845</v>
      </c>
      <c r="L1653" t="s">
        <v>91</v>
      </c>
      <c r="M1653" t="s">
        <v>91</v>
      </c>
      <c r="N1653" s="1" t="s">
        <v>8846</v>
      </c>
      <c r="O1653" t="s">
        <v>91</v>
      </c>
      <c r="P1653" s="1" t="s">
        <v>3970</v>
      </c>
      <c r="Q1653" s="1" t="s">
        <v>8847</v>
      </c>
      <c r="R1653" s="1" t="s">
        <v>173</v>
      </c>
      <c r="S1653">
        <v>1260</v>
      </c>
      <c r="T1653">
        <v>88220000</v>
      </c>
      <c r="U1653" s="1" t="s">
        <v>108</v>
      </c>
      <c r="V1653" s="1" t="s">
        <v>7015</v>
      </c>
      <c r="W1653" s="1" t="s">
        <v>87</v>
      </c>
      <c r="X1653">
        <v>47</v>
      </c>
      <c r="Y1653">
        <v>32686592</v>
      </c>
      <c r="Z1653" t="s">
        <v>91</v>
      </c>
      <c r="AA1653" t="s">
        <v>91</v>
      </c>
      <c r="AB1653" t="s">
        <v>91</v>
      </c>
      <c r="AC1653" t="s">
        <v>91</v>
      </c>
      <c r="AD1653" t="s">
        <v>91</v>
      </c>
      <c r="AE1653" t="s">
        <v>91</v>
      </c>
      <c r="AF1653" t="s">
        <v>91</v>
      </c>
      <c r="AG1653" s="1" t="s">
        <v>146</v>
      </c>
      <c r="AH1653" s="1" t="s">
        <v>91</v>
      </c>
      <c r="AI1653" t="s">
        <v>91</v>
      </c>
      <c r="AM1653" t="s">
        <v>91</v>
      </c>
      <c r="AN1653" t="s">
        <v>91</v>
      </c>
      <c r="AO1653" t="s">
        <v>91</v>
      </c>
      <c r="AP1653" t="s">
        <v>91</v>
      </c>
      <c r="AQ1653" s="1" t="s">
        <v>147</v>
      </c>
      <c r="AR1653" s="1" t="s">
        <v>147</v>
      </c>
      <c r="AS1653" s="1" t="s">
        <v>147</v>
      </c>
      <c r="AT1653" s="1" t="s">
        <v>147</v>
      </c>
      <c r="AU1653" s="1" t="s">
        <v>147</v>
      </c>
      <c r="AV1653" t="s">
        <v>91</v>
      </c>
      <c r="AW1653" t="s">
        <v>91</v>
      </c>
      <c r="AX1653" t="s">
        <v>91</v>
      </c>
      <c r="AY1653" t="s">
        <v>91</v>
      </c>
      <c r="AZ1653" t="s">
        <v>91</v>
      </c>
      <c r="BA1653" t="s">
        <v>91</v>
      </c>
      <c r="BB1653" s="2">
        <v>44378.578518518516</v>
      </c>
      <c r="BC1653" s="2">
        <v>45117.423449074071</v>
      </c>
      <c r="BD1653" t="s">
        <v>91</v>
      </c>
      <c r="BF1653" s="1" t="s">
        <v>75</v>
      </c>
      <c r="BH1653">
        <v>0</v>
      </c>
      <c r="BI1653" s="1" t="s">
        <v>88</v>
      </c>
      <c r="BJ1653">
        <v>1</v>
      </c>
      <c r="BK1653" s="1" t="s">
        <v>89</v>
      </c>
      <c r="BL1653" t="s">
        <v>91</v>
      </c>
      <c r="BM1653" s="1" t="s">
        <v>109</v>
      </c>
      <c r="BN1653" s="1" t="s">
        <v>148</v>
      </c>
      <c r="BO1653" s="1" t="s">
        <v>165</v>
      </c>
      <c r="BP1653" s="1" t="s">
        <v>91</v>
      </c>
      <c r="BQ1653" t="s">
        <v>91</v>
      </c>
      <c r="BR1653" s="3">
        <v>44378</v>
      </c>
      <c r="BS1653" s="3">
        <v>45117</v>
      </c>
      <c r="BT1653" t="s">
        <v>91</v>
      </c>
      <c r="BU1653" t="s">
        <v>91</v>
      </c>
      <c r="BW1653" s="1" t="s">
        <v>1211</v>
      </c>
    </row>
    <row r="1654" spans="1:75" hidden="1" x14ac:dyDescent="0.35">
      <c r="A1654">
        <v>137862</v>
      </c>
      <c r="B1654" s="1" t="s">
        <v>75</v>
      </c>
      <c r="C1654">
        <v>80</v>
      </c>
      <c r="D1654">
        <v>11121004</v>
      </c>
      <c r="E1654">
        <v>121004</v>
      </c>
      <c r="F1654" s="1" t="s">
        <v>6867</v>
      </c>
      <c r="G1654" s="1" t="s">
        <v>8848</v>
      </c>
      <c r="H1654">
        <v>0</v>
      </c>
      <c r="I1654" s="1" t="s">
        <v>78</v>
      </c>
      <c r="J1654" s="1" t="s">
        <v>8849</v>
      </c>
      <c r="K1654" s="1" t="s">
        <v>8850</v>
      </c>
      <c r="L1654" t="s">
        <v>91</v>
      </c>
      <c r="M1654" t="s">
        <v>91</v>
      </c>
      <c r="N1654" s="1" t="s">
        <v>8851</v>
      </c>
      <c r="O1654" t="s">
        <v>91</v>
      </c>
      <c r="P1654" s="1" t="s">
        <v>6925</v>
      </c>
      <c r="Q1654" s="1" t="s">
        <v>532</v>
      </c>
      <c r="R1654" s="1" t="s">
        <v>8852</v>
      </c>
      <c r="S1654">
        <v>1276</v>
      </c>
      <c r="T1654">
        <v>89160051</v>
      </c>
      <c r="U1654" s="1" t="s">
        <v>108</v>
      </c>
      <c r="V1654" s="1" t="s">
        <v>6927</v>
      </c>
      <c r="W1654" s="1" t="s">
        <v>87</v>
      </c>
      <c r="X1654">
        <v>47</v>
      </c>
      <c r="Y1654">
        <v>35211761</v>
      </c>
      <c r="Z1654" t="s">
        <v>91</v>
      </c>
      <c r="AA1654" t="s">
        <v>91</v>
      </c>
      <c r="AB1654" t="s">
        <v>91</v>
      </c>
      <c r="AC1654" t="s">
        <v>91</v>
      </c>
      <c r="AD1654" t="s">
        <v>91</v>
      </c>
      <c r="AE1654" t="s">
        <v>91</v>
      </c>
      <c r="AF1654" t="s">
        <v>91</v>
      </c>
      <c r="AG1654" s="1" t="s">
        <v>146</v>
      </c>
      <c r="AH1654" s="1" t="s">
        <v>91</v>
      </c>
      <c r="AI1654" t="s">
        <v>91</v>
      </c>
      <c r="AM1654" t="s">
        <v>91</v>
      </c>
      <c r="AN1654" t="s">
        <v>91</v>
      </c>
      <c r="AO1654" t="s">
        <v>91</v>
      </c>
      <c r="AP1654" t="s">
        <v>91</v>
      </c>
      <c r="AQ1654" s="1" t="s">
        <v>147</v>
      </c>
      <c r="AR1654" s="1" t="s">
        <v>147</v>
      </c>
      <c r="AS1654" s="1" t="s">
        <v>147</v>
      </c>
      <c r="AT1654" s="1" t="s">
        <v>147</v>
      </c>
      <c r="AU1654" s="1" t="s">
        <v>147</v>
      </c>
      <c r="AV1654" t="s">
        <v>91</v>
      </c>
      <c r="AW1654" t="s">
        <v>91</v>
      </c>
      <c r="AX1654" t="s">
        <v>91</v>
      </c>
      <c r="AY1654" t="s">
        <v>91</v>
      </c>
      <c r="AZ1654" t="s">
        <v>91</v>
      </c>
      <c r="BA1654" t="s">
        <v>91</v>
      </c>
      <c r="BB1654" s="2">
        <v>44378.578518518516</v>
      </c>
      <c r="BC1654" s="2">
        <v>45128.718425925923</v>
      </c>
      <c r="BD1654" t="s">
        <v>91</v>
      </c>
      <c r="BF1654" s="1" t="s">
        <v>75</v>
      </c>
      <c r="BH1654">
        <v>0</v>
      </c>
      <c r="BI1654" s="1" t="s">
        <v>721</v>
      </c>
      <c r="BJ1654">
        <v>1</v>
      </c>
      <c r="BK1654" s="1" t="s">
        <v>89</v>
      </c>
      <c r="BL1654" t="s">
        <v>91</v>
      </c>
      <c r="BM1654" s="1" t="s">
        <v>164</v>
      </c>
      <c r="BN1654" s="1" t="s">
        <v>110</v>
      </c>
      <c r="BO1654" s="1" t="s">
        <v>165</v>
      </c>
      <c r="BP1654" s="1" t="s">
        <v>91</v>
      </c>
      <c r="BQ1654" t="s">
        <v>91</v>
      </c>
      <c r="BR1654" s="3">
        <v>44378</v>
      </c>
      <c r="BS1654" s="3">
        <v>45128</v>
      </c>
      <c r="BT1654" t="s">
        <v>91</v>
      </c>
      <c r="BU1654" t="s">
        <v>91</v>
      </c>
      <c r="BW1654" s="1" t="s">
        <v>120</v>
      </c>
    </row>
    <row r="1655" spans="1:75" hidden="1" x14ac:dyDescent="0.35">
      <c r="A1655">
        <v>137863</v>
      </c>
      <c r="B1655" s="1" t="s">
        <v>75</v>
      </c>
      <c r="C1655">
        <v>80</v>
      </c>
      <c r="D1655">
        <v>11121004</v>
      </c>
      <c r="E1655">
        <v>121004</v>
      </c>
      <c r="F1655" s="1" t="s">
        <v>6867</v>
      </c>
      <c r="G1655" s="1" t="s">
        <v>8853</v>
      </c>
      <c r="H1655">
        <v>0</v>
      </c>
      <c r="I1655" s="1" t="s">
        <v>78</v>
      </c>
      <c r="J1655" s="1" t="s">
        <v>8854</v>
      </c>
      <c r="K1655" s="1" t="s">
        <v>8855</v>
      </c>
      <c r="L1655" t="s">
        <v>91</v>
      </c>
      <c r="M1655" t="s">
        <v>91</v>
      </c>
      <c r="N1655" s="1" t="s">
        <v>8856</v>
      </c>
      <c r="O1655" t="s">
        <v>91</v>
      </c>
      <c r="P1655" s="1" t="s">
        <v>8522</v>
      </c>
      <c r="Q1655" s="1" t="s">
        <v>8857</v>
      </c>
      <c r="R1655" s="1" t="s">
        <v>3754</v>
      </c>
      <c r="S1655">
        <v>1273</v>
      </c>
      <c r="T1655">
        <v>89040003</v>
      </c>
      <c r="U1655" s="1" t="s">
        <v>8858</v>
      </c>
      <c r="V1655" s="1" t="s">
        <v>3571</v>
      </c>
      <c r="W1655" s="1" t="s">
        <v>87</v>
      </c>
      <c r="X1655">
        <v>47</v>
      </c>
      <c r="Y1655">
        <v>33280192</v>
      </c>
      <c r="Z1655" t="s">
        <v>91</v>
      </c>
      <c r="AA1655" t="s">
        <v>91</v>
      </c>
      <c r="AB1655" t="s">
        <v>91</v>
      </c>
      <c r="AC1655" t="s">
        <v>91</v>
      </c>
      <c r="AD1655" t="s">
        <v>91</v>
      </c>
      <c r="AE1655" t="s">
        <v>91</v>
      </c>
      <c r="AF1655" t="s">
        <v>91</v>
      </c>
      <c r="AG1655" s="1" t="s">
        <v>146</v>
      </c>
      <c r="AH1655" s="1" t="s">
        <v>91</v>
      </c>
      <c r="AI1655" t="s">
        <v>91</v>
      </c>
      <c r="AM1655" t="s">
        <v>91</v>
      </c>
      <c r="AN1655" t="s">
        <v>91</v>
      </c>
      <c r="AO1655" t="s">
        <v>91</v>
      </c>
      <c r="AP1655" t="s">
        <v>91</v>
      </c>
      <c r="AQ1655" s="1" t="s">
        <v>147</v>
      </c>
      <c r="AR1655" s="1" t="s">
        <v>147</v>
      </c>
      <c r="AS1655" s="1" t="s">
        <v>147</v>
      </c>
      <c r="AT1655" s="1" t="s">
        <v>147</v>
      </c>
      <c r="AU1655" s="1" t="s">
        <v>147</v>
      </c>
      <c r="AV1655" t="s">
        <v>91</v>
      </c>
      <c r="AW1655" t="s">
        <v>91</v>
      </c>
      <c r="AX1655" t="s">
        <v>91</v>
      </c>
      <c r="AY1655" t="s">
        <v>91</v>
      </c>
      <c r="AZ1655" t="s">
        <v>91</v>
      </c>
      <c r="BA1655" t="s">
        <v>91</v>
      </c>
      <c r="BB1655" s="2">
        <v>44378.578518518516</v>
      </c>
      <c r="BC1655" s="2">
        <v>44858.711863425924</v>
      </c>
      <c r="BD1655" t="s">
        <v>91</v>
      </c>
      <c r="BF1655" s="1" t="s">
        <v>75</v>
      </c>
      <c r="BH1655">
        <v>0</v>
      </c>
      <c r="BI1655" s="1" t="s">
        <v>88</v>
      </c>
      <c r="BJ1655">
        <v>1</v>
      </c>
      <c r="BK1655" s="1" t="s">
        <v>89</v>
      </c>
      <c r="BL1655" t="s">
        <v>91</v>
      </c>
      <c r="BM1655" s="1" t="s">
        <v>109</v>
      </c>
      <c r="BN1655" s="1" t="s">
        <v>110</v>
      </c>
      <c r="BO1655" s="1" t="s">
        <v>180</v>
      </c>
      <c r="BP1655" s="1" t="s">
        <v>91</v>
      </c>
      <c r="BQ1655" t="s">
        <v>91</v>
      </c>
      <c r="BR1655" s="3">
        <v>44378</v>
      </c>
      <c r="BS1655" s="3">
        <v>44858</v>
      </c>
      <c r="BT1655" t="s">
        <v>91</v>
      </c>
      <c r="BU1655" t="s">
        <v>91</v>
      </c>
      <c r="BW1655" s="1" t="s">
        <v>155</v>
      </c>
    </row>
    <row r="1656" spans="1:75" hidden="1" x14ac:dyDescent="0.35">
      <c r="A1656">
        <v>137864</v>
      </c>
      <c r="B1656" s="1" t="s">
        <v>75</v>
      </c>
      <c r="C1656">
        <v>80</v>
      </c>
      <c r="D1656">
        <v>11121004</v>
      </c>
      <c r="E1656">
        <v>121004</v>
      </c>
      <c r="F1656" s="1" t="s">
        <v>6867</v>
      </c>
      <c r="G1656" s="1" t="s">
        <v>8859</v>
      </c>
      <c r="H1656">
        <v>0</v>
      </c>
      <c r="I1656" s="1" t="s">
        <v>78</v>
      </c>
      <c r="J1656" s="1" t="s">
        <v>8860</v>
      </c>
      <c r="K1656" s="1" t="s">
        <v>8861</v>
      </c>
      <c r="L1656" t="s">
        <v>91</v>
      </c>
      <c r="M1656" t="s">
        <v>91</v>
      </c>
      <c r="N1656" s="1" t="s">
        <v>8862</v>
      </c>
      <c r="O1656" t="s">
        <v>91</v>
      </c>
      <c r="P1656" s="1" t="s">
        <v>8863</v>
      </c>
      <c r="Q1656" s="1" t="s">
        <v>862</v>
      </c>
      <c r="R1656" s="1" t="s">
        <v>236</v>
      </c>
      <c r="S1656">
        <v>1260</v>
      </c>
      <c r="T1656">
        <v>88220000</v>
      </c>
      <c r="U1656" s="1" t="s">
        <v>7195</v>
      </c>
      <c r="V1656" s="1" t="s">
        <v>7015</v>
      </c>
      <c r="W1656" s="1" t="s">
        <v>87</v>
      </c>
      <c r="X1656">
        <v>47</v>
      </c>
      <c r="Y1656">
        <v>33685963</v>
      </c>
      <c r="Z1656" t="s">
        <v>91</v>
      </c>
      <c r="AA1656" t="s">
        <v>91</v>
      </c>
      <c r="AB1656" t="s">
        <v>91</v>
      </c>
      <c r="AC1656" t="s">
        <v>91</v>
      </c>
      <c r="AD1656" t="s">
        <v>91</v>
      </c>
      <c r="AE1656" t="s">
        <v>91</v>
      </c>
      <c r="AF1656" t="s">
        <v>91</v>
      </c>
      <c r="AG1656" s="1" t="s">
        <v>146</v>
      </c>
      <c r="AH1656" s="1" t="s">
        <v>91</v>
      </c>
      <c r="AI1656" t="s">
        <v>91</v>
      </c>
      <c r="AM1656" t="s">
        <v>91</v>
      </c>
      <c r="AN1656" t="s">
        <v>91</v>
      </c>
      <c r="AO1656" t="s">
        <v>91</v>
      </c>
      <c r="AP1656" t="s">
        <v>91</v>
      </c>
      <c r="AQ1656" s="1" t="s">
        <v>147</v>
      </c>
      <c r="AR1656" s="1" t="s">
        <v>147</v>
      </c>
      <c r="AS1656" s="1" t="s">
        <v>147</v>
      </c>
      <c r="AT1656" s="1" t="s">
        <v>147</v>
      </c>
      <c r="AU1656" s="1" t="s">
        <v>147</v>
      </c>
      <c r="AV1656" t="s">
        <v>91</v>
      </c>
      <c r="AW1656" t="s">
        <v>91</v>
      </c>
      <c r="AX1656" t="s">
        <v>91</v>
      </c>
      <c r="AY1656" t="s">
        <v>91</v>
      </c>
      <c r="AZ1656" t="s">
        <v>91</v>
      </c>
      <c r="BA1656" t="s">
        <v>91</v>
      </c>
      <c r="BB1656" s="2">
        <v>44378.578518518516</v>
      </c>
      <c r="BC1656" s="2">
        <v>44537.621400462966</v>
      </c>
      <c r="BD1656" t="s">
        <v>91</v>
      </c>
      <c r="BF1656" s="1" t="s">
        <v>75</v>
      </c>
      <c r="BH1656">
        <v>0</v>
      </c>
      <c r="BI1656" s="1" t="s">
        <v>88</v>
      </c>
      <c r="BJ1656">
        <v>1</v>
      </c>
      <c r="BK1656" s="1" t="s">
        <v>89</v>
      </c>
      <c r="BL1656" t="s">
        <v>91</v>
      </c>
      <c r="BM1656" s="1" t="s">
        <v>329</v>
      </c>
      <c r="BN1656" s="1" t="s">
        <v>110</v>
      </c>
      <c r="BO1656" s="1" t="s">
        <v>165</v>
      </c>
      <c r="BP1656" s="1" t="s">
        <v>91</v>
      </c>
      <c r="BQ1656" t="s">
        <v>91</v>
      </c>
      <c r="BR1656" s="3">
        <v>44378</v>
      </c>
      <c r="BS1656" s="3">
        <v>44537</v>
      </c>
      <c r="BT1656" t="s">
        <v>91</v>
      </c>
      <c r="BU1656" t="s">
        <v>91</v>
      </c>
      <c r="BW1656" s="1" t="s">
        <v>149</v>
      </c>
    </row>
    <row r="1657" spans="1:75" hidden="1" x14ac:dyDescent="0.35">
      <c r="A1657">
        <v>157808</v>
      </c>
      <c r="B1657" s="1" t="s">
        <v>75</v>
      </c>
      <c r="C1657">
        <v>80</v>
      </c>
      <c r="D1657">
        <v>11121004</v>
      </c>
      <c r="E1657">
        <v>121004</v>
      </c>
      <c r="F1657" s="1" t="s">
        <v>6867</v>
      </c>
      <c r="G1657" s="1" t="s">
        <v>8864</v>
      </c>
      <c r="H1657">
        <v>0</v>
      </c>
      <c r="I1657" s="1" t="s">
        <v>78</v>
      </c>
      <c r="J1657" s="1" t="s">
        <v>8865</v>
      </c>
      <c r="K1657" s="1" t="s">
        <v>8866</v>
      </c>
      <c r="L1657" t="s">
        <v>91</v>
      </c>
      <c r="M1657" t="s">
        <v>91</v>
      </c>
      <c r="N1657" s="1" t="s">
        <v>8867</v>
      </c>
      <c r="O1657" t="s">
        <v>91</v>
      </c>
      <c r="P1657" s="1" t="s">
        <v>8050</v>
      </c>
      <c r="Q1657" s="1" t="s">
        <v>3096</v>
      </c>
      <c r="R1657" s="1" t="s">
        <v>820</v>
      </c>
      <c r="S1657">
        <v>1261</v>
      </c>
      <c r="T1657">
        <v>88301425</v>
      </c>
      <c r="U1657" s="1" t="s">
        <v>108</v>
      </c>
      <c r="V1657" s="1" t="s">
        <v>6881</v>
      </c>
      <c r="W1657" s="1" t="s">
        <v>87</v>
      </c>
      <c r="X1657">
        <v>47</v>
      </c>
      <c r="Y1657">
        <v>33481974</v>
      </c>
      <c r="Z1657" t="s">
        <v>91</v>
      </c>
      <c r="AA1657" t="s">
        <v>91</v>
      </c>
      <c r="AB1657" t="s">
        <v>91</v>
      </c>
      <c r="AC1657" t="s">
        <v>91</v>
      </c>
      <c r="AD1657" t="s">
        <v>91</v>
      </c>
      <c r="AE1657" t="s">
        <v>91</v>
      </c>
      <c r="AF1657" t="s">
        <v>91</v>
      </c>
      <c r="AG1657" s="1" t="s">
        <v>91</v>
      </c>
      <c r="AH1657" s="1" t="s">
        <v>91</v>
      </c>
      <c r="AI1657" t="s">
        <v>91</v>
      </c>
      <c r="AM1657" t="s">
        <v>91</v>
      </c>
      <c r="AN1657" t="s">
        <v>91</v>
      </c>
      <c r="AO1657" t="s">
        <v>91</v>
      </c>
      <c r="AP1657" t="s">
        <v>91</v>
      </c>
      <c r="AQ1657" s="1" t="s">
        <v>91</v>
      </c>
      <c r="AR1657" s="1" t="s">
        <v>91</v>
      </c>
      <c r="AS1657" s="1" t="s">
        <v>91</v>
      </c>
      <c r="AT1657" s="1" t="s">
        <v>91</v>
      </c>
      <c r="AU1657" s="1" t="s">
        <v>91</v>
      </c>
      <c r="AV1657" t="s">
        <v>91</v>
      </c>
      <c r="AW1657" t="s">
        <v>91</v>
      </c>
      <c r="AX1657" t="s">
        <v>91</v>
      </c>
      <c r="AY1657" t="s">
        <v>91</v>
      </c>
      <c r="AZ1657" t="s">
        <v>91</v>
      </c>
      <c r="BA1657" t="s">
        <v>91</v>
      </c>
      <c r="BB1657" s="2">
        <v>45118.101759259262</v>
      </c>
      <c r="BC1657" s="2"/>
      <c r="BD1657" t="s">
        <v>91</v>
      </c>
      <c r="BF1657" s="1" t="s">
        <v>75</v>
      </c>
      <c r="BI1657" s="1" t="s">
        <v>88</v>
      </c>
      <c r="BJ1657">
        <v>1</v>
      </c>
      <c r="BK1657" s="1" t="s">
        <v>89</v>
      </c>
      <c r="BL1657" t="s">
        <v>91</v>
      </c>
      <c r="BM1657" s="1" t="s">
        <v>91</v>
      </c>
      <c r="BN1657" s="1" t="s">
        <v>91</v>
      </c>
      <c r="BO1657" s="1" t="s">
        <v>91</v>
      </c>
      <c r="BP1657" s="1" t="s">
        <v>91</v>
      </c>
      <c r="BQ1657" t="s">
        <v>91</v>
      </c>
      <c r="BR1657" s="3">
        <v>45118</v>
      </c>
      <c r="BS1657" s="3"/>
      <c r="BT1657" t="s">
        <v>91</v>
      </c>
      <c r="BU1657" t="s">
        <v>91</v>
      </c>
      <c r="BW1657" s="1" t="s">
        <v>90</v>
      </c>
    </row>
    <row r="1658" spans="1:75" hidden="1" x14ac:dyDescent="0.35">
      <c r="A1658">
        <v>138847</v>
      </c>
      <c r="B1658" s="1" t="s">
        <v>75</v>
      </c>
      <c r="C1658">
        <v>80</v>
      </c>
      <c r="D1658">
        <v>11121004</v>
      </c>
      <c r="E1658">
        <v>121004</v>
      </c>
      <c r="F1658" s="1" t="s">
        <v>6867</v>
      </c>
      <c r="G1658" s="1" t="s">
        <v>8868</v>
      </c>
      <c r="H1658">
        <v>0</v>
      </c>
      <c r="I1658" s="1" t="s">
        <v>78</v>
      </c>
      <c r="J1658" s="1" t="s">
        <v>8869</v>
      </c>
      <c r="K1658" s="1" t="s">
        <v>8870</v>
      </c>
      <c r="L1658" t="s">
        <v>91</v>
      </c>
      <c r="M1658" t="s">
        <v>91</v>
      </c>
      <c r="N1658" s="1" t="s">
        <v>8871</v>
      </c>
      <c r="O1658" t="s">
        <v>91</v>
      </c>
      <c r="P1658" s="1" t="s">
        <v>8457</v>
      </c>
      <c r="Q1658" s="1" t="s">
        <v>1018</v>
      </c>
      <c r="R1658" s="1" t="s">
        <v>91</v>
      </c>
      <c r="S1658">
        <v>1275</v>
      </c>
      <c r="T1658">
        <v>89150000</v>
      </c>
      <c r="U1658" s="1" t="s">
        <v>108</v>
      </c>
      <c r="V1658" s="1" t="s">
        <v>8274</v>
      </c>
      <c r="W1658" s="1" t="s">
        <v>87</v>
      </c>
      <c r="X1658">
        <v>47</v>
      </c>
      <c r="Y1658">
        <v>984361122</v>
      </c>
      <c r="Z1658" t="s">
        <v>91</v>
      </c>
      <c r="AA1658" t="s">
        <v>91</v>
      </c>
      <c r="AB1658" t="s">
        <v>91</v>
      </c>
      <c r="AC1658" t="s">
        <v>91</v>
      </c>
      <c r="AD1658" t="s">
        <v>91</v>
      </c>
      <c r="AE1658" t="s">
        <v>91</v>
      </c>
      <c r="AF1658" t="s">
        <v>91</v>
      </c>
      <c r="AG1658" s="1" t="s">
        <v>91</v>
      </c>
      <c r="AH1658" s="1" t="s">
        <v>91</v>
      </c>
      <c r="AI1658" t="s">
        <v>91</v>
      </c>
      <c r="AJ1658">
        <v>0</v>
      </c>
      <c r="AK1658">
        <v>0</v>
      </c>
      <c r="AL1658">
        <v>0</v>
      </c>
      <c r="AM1658" t="s">
        <v>91</v>
      </c>
      <c r="AN1658" t="s">
        <v>91</v>
      </c>
      <c r="AO1658" t="s">
        <v>91</v>
      </c>
      <c r="AP1658" t="s">
        <v>91</v>
      </c>
      <c r="AQ1658" s="1" t="s">
        <v>91</v>
      </c>
      <c r="AR1658" s="1" t="s">
        <v>91</v>
      </c>
      <c r="AS1658" s="1" t="s">
        <v>91</v>
      </c>
      <c r="AT1658" s="1" t="s">
        <v>91</v>
      </c>
      <c r="AU1658" s="1" t="s">
        <v>91</v>
      </c>
      <c r="AV1658" t="s">
        <v>91</v>
      </c>
      <c r="AW1658" t="s">
        <v>91</v>
      </c>
      <c r="AX1658" t="s">
        <v>91</v>
      </c>
      <c r="AY1658" t="s">
        <v>91</v>
      </c>
      <c r="AZ1658" t="s">
        <v>91</v>
      </c>
      <c r="BA1658" t="s">
        <v>91</v>
      </c>
      <c r="BB1658" s="2">
        <v>44392.456759259258</v>
      </c>
      <c r="BC1658" s="2"/>
      <c r="BD1658" t="s">
        <v>91</v>
      </c>
      <c r="BF1658" s="1" t="s">
        <v>75</v>
      </c>
      <c r="BG1658">
        <v>0</v>
      </c>
      <c r="BH1658">
        <v>0</v>
      </c>
      <c r="BI1658" s="1" t="s">
        <v>88</v>
      </c>
      <c r="BJ1658">
        <v>1</v>
      </c>
      <c r="BK1658" s="1" t="s">
        <v>89</v>
      </c>
      <c r="BL1658" t="s">
        <v>91</v>
      </c>
      <c r="BM1658" s="1" t="s">
        <v>109</v>
      </c>
      <c r="BN1658" s="1" t="s">
        <v>110</v>
      </c>
      <c r="BO1658" s="1" t="s">
        <v>180</v>
      </c>
      <c r="BP1658" s="1" t="s">
        <v>91</v>
      </c>
      <c r="BQ1658" t="s">
        <v>91</v>
      </c>
      <c r="BR1658" s="3">
        <v>44392</v>
      </c>
      <c r="BS1658" s="3"/>
      <c r="BT1658" t="s">
        <v>91</v>
      </c>
      <c r="BU1658" t="s">
        <v>91</v>
      </c>
      <c r="BW1658" s="1" t="s">
        <v>90</v>
      </c>
    </row>
    <row r="1659" spans="1:75" hidden="1" x14ac:dyDescent="0.35">
      <c r="A1659">
        <v>1250</v>
      </c>
      <c r="B1659" s="1" t="s">
        <v>75</v>
      </c>
      <c r="C1659">
        <v>80</v>
      </c>
      <c r="D1659">
        <v>11121004</v>
      </c>
      <c r="E1659">
        <v>121004</v>
      </c>
      <c r="F1659" s="1" t="s">
        <v>6867</v>
      </c>
      <c r="G1659" s="1" t="s">
        <v>8872</v>
      </c>
      <c r="I1659" s="1" t="s">
        <v>78</v>
      </c>
      <c r="J1659" s="1" t="s">
        <v>8873</v>
      </c>
      <c r="K1659" s="1" t="s">
        <v>8874</v>
      </c>
      <c r="L1659" t="s">
        <v>91</v>
      </c>
      <c r="M1659" t="s">
        <v>91</v>
      </c>
      <c r="N1659" s="1" t="s">
        <v>8871</v>
      </c>
      <c r="O1659" t="s">
        <v>91</v>
      </c>
      <c r="P1659" s="1" t="s">
        <v>8217</v>
      </c>
      <c r="Q1659" s="1" t="s">
        <v>8875</v>
      </c>
      <c r="R1659" s="1" t="s">
        <v>4005</v>
      </c>
      <c r="S1659">
        <v>1275</v>
      </c>
      <c r="T1659">
        <v>89140000</v>
      </c>
      <c r="U1659" s="1" t="s">
        <v>108</v>
      </c>
      <c r="V1659" s="1" t="s">
        <v>8218</v>
      </c>
      <c r="W1659" s="1" t="s">
        <v>87</v>
      </c>
      <c r="X1659">
        <v>47</v>
      </c>
      <c r="Y1659">
        <v>33575333</v>
      </c>
      <c r="Z1659" t="s">
        <v>91</v>
      </c>
      <c r="AA1659" t="s">
        <v>91</v>
      </c>
      <c r="AB1659" t="s">
        <v>91</v>
      </c>
      <c r="AC1659" t="s">
        <v>91</v>
      </c>
      <c r="AD1659" t="s">
        <v>91</v>
      </c>
      <c r="AE1659" t="s">
        <v>91</v>
      </c>
      <c r="AF1659" t="s">
        <v>91</v>
      </c>
      <c r="AG1659" s="1" t="s">
        <v>91</v>
      </c>
      <c r="AH1659" s="1" t="s">
        <v>91</v>
      </c>
      <c r="AI1659" t="s">
        <v>91</v>
      </c>
      <c r="AJ1659">
        <v>0</v>
      </c>
      <c r="AK1659">
        <v>0</v>
      </c>
      <c r="AL1659">
        <v>0</v>
      </c>
      <c r="AM1659" t="s">
        <v>91</v>
      </c>
      <c r="AN1659" t="s">
        <v>91</v>
      </c>
      <c r="AO1659" t="s">
        <v>91</v>
      </c>
      <c r="AP1659" t="s">
        <v>91</v>
      </c>
      <c r="AQ1659" s="1" t="s">
        <v>91</v>
      </c>
      <c r="AR1659" s="1" t="s">
        <v>91</v>
      </c>
      <c r="AS1659" s="1" t="s">
        <v>91</v>
      </c>
      <c r="AT1659" s="1" t="s">
        <v>91</v>
      </c>
      <c r="AU1659" s="1" t="s">
        <v>91</v>
      </c>
      <c r="AV1659" t="s">
        <v>91</v>
      </c>
      <c r="AW1659" t="s">
        <v>91</v>
      </c>
      <c r="AX1659" t="s">
        <v>91</v>
      </c>
      <c r="AY1659" t="s">
        <v>91</v>
      </c>
      <c r="AZ1659" t="s">
        <v>91</v>
      </c>
      <c r="BA1659" t="s">
        <v>91</v>
      </c>
      <c r="BB1659" s="2">
        <v>43308.393182870372</v>
      </c>
      <c r="BC1659" s="2"/>
      <c r="BD1659" t="s">
        <v>91</v>
      </c>
      <c r="BE1659">
        <v>1250</v>
      </c>
      <c r="BF1659" s="1" t="s">
        <v>75</v>
      </c>
      <c r="BG1659">
        <v>0</v>
      </c>
      <c r="BH1659">
        <v>0</v>
      </c>
      <c r="BI1659" s="1" t="s">
        <v>88</v>
      </c>
      <c r="BJ1659">
        <v>1</v>
      </c>
      <c r="BK1659" s="1" t="s">
        <v>89</v>
      </c>
      <c r="BL1659" t="s">
        <v>91</v>
      </c>
      <c r="BM1659" s="1" t="s">
        <v>109</v>
      </c>
      <c r="BN1659" s="1" t="s">
        <v>110</v>
      </c>
      <c r="BO1659" s="1" t="s">
        <v>165</v>
      </c>
      <c r="BP1659" s="1" t="s">
        <v>91</v>
      </c>
      <c r="BQ1659" t="s">
        <v>91</v>
      </c>
      <c r="BR1659" s="3">
        <v>43308</v>
      </c>
      <c r="BS1659" s="3"/>
      <c r="BT1659" t="s">
        <v>91</v>
      </c>
      <c r="BU1659" t="s">
        <v>91</v>
      </c>
      <c r="BV1659">
        <v>5</v>
      </c>
      <c r="BW1659" s="1" t="s">
        <v>912</v>
      </c>
    </row>
    <row r="1660" spans="1:75" hidden="1" x14ac:dyDescent="0.35">
      <c r="A1660">
        <v>1259</v>
      </c>
      <c r="B1660" s="1" t="s">
        <v>75</v>
      </c>
      <c r="C1660">
        <v>80</v>
      </c>
      <c r="D1660">
        <v>11121004</v>
      </c>
      <c r="E1660">
        <v>121004</v>
      </c>
      <c r="F1660" s="1" t="s">
        <v>6867</v>
      </c>
      <c r="G1660" s="1" t="s">
        <v>8876</v>
      </c>
      <c r="I1660" s="1" t="s">
        <v>78</v>
      </c>
      <c r="J1660" s="1" t="s">
        <v>8877</v>
      </c>
      <c r="K1660" s="1" t="s">
        <v>8878</v>
      </c>
      <c r="L1660" t="s">
        <v>91</v>
      </c>
      <c r="M1660" t="s">
        <v>91</v>
      </c>
      <c r="N1660" s="1" t="s">
        <v>8879</v>
      </c>
      <c r="O1660" t="s">
        <v>91</v>
      </c>
      <c r="P1660" s="1" t="s">
        <v>7053</v>
      </c>
      <c r="Q1660" s="1" t="s">
        <v>8880</v>
      </c>
      <c r="R1660" s="1" t="s">
        <v>1695</v>
      </c>
      <c r="S1660">
        <v>1273</v>
      </c>
      <c r="T1660">
        <v>89022002</v>
      </c>
      <c r="U1660" s="1" t="s">
        <v>7055</v>
      </c>
      <c r="V1660" s="1" t="s">
        <v>3571</v>
      </c>
      <c r="W1660" s="1" t="s">
        <v>87</v>
      </c>
      <c r="X1660">
        <v>47</v>
      </c>
      <c r="Y1660">
        <v>33242667</v>
      </c>
      <c r="Z1660" t="s">
        <v>91</v>
      </c>
      <c r="AA1660" t="s">
        <v>91</v>
      </c>
      <c r="AB1660" t="s">
        <v>91</v>
      </c>
      <c r="AC1660" t="s">
        <v>91</v>
      </c>
      <c r="AD1660" t="s">
        <v>91</v>
      </c>
      <c r="AE1660" t="s">
        <v>91</v>
      </c>
      <c r="AF1660" t="s">
        <v>91</v>
      </c>
      <c r="AG1660" s="1" t="s">
        <v>91</v>
      </c>
      <c r="AH1660" s="1" t="s">
        <v>91</v>
      </c>
      <c r="AI1660" t="s">
        <v>91</v>
      </c>
      <c r="AJ1660">
        <v>0</v>
      </c>
      <c r="AK1660">
        <v>0</v>
      </c>
      <c r="AL1660">
        <v>0</v>
      </c>
      <c r="AM1660" t="s">
        <v>91</v>
      </c>
      <c r="AN1660" t="s">
        <v>91</v>
      </c>
      <c r="AO1660" t="s">
        <v>91</v>
      </c>
      <c r="AP1660" t="s">
        <v>91</v>
      </c>
      <c r="AQ1660" s="1" t="s">
        <v>91</v>
      </c>
      <c r="AR1660" s="1" t="s">
        <v>91</v>
      </c>
      <c r="AS1660" s="1" t="s">
        <v>91</v>
      </c>
      <c r="AT1660" s="1" t="s">
        <v>91</v>
      </c>
      <c r="AU1660" s="1" t="s">
        <v>91</v>
      </c>
      <c r="AV1660" t="s">
        <v>91</v>
      </c>
      <c r="AW1660" t="s">
        <v>91</v>
      </c>
      <c r="AX1660" t="s">
        <v>91</v>
      </c>
      <c r="AY1660" t="s">
        <v>91</v>
      </c>
      <c r="AZ1660" t="s">
        <v>91</v>
      </c>
      <c r="BA1660" t="s">
        <v>91</v>
      </c>
      <c r="BB1660" s="2">
        <v>43308.393194444441</v>
      </c>
      <c r="BC1660" s="2"/>
      <c r="BD1660" t="s">
        <v>91</v>
      </c>
      <c r="BE1660">
        <v>1259</v>
      </c>
      <c r="BF1660" s="1" t="s">
        <v>75</v>
      </c>
      <c r="BG1660">
        <v>0</v>
      </c>
      <c r="BH1660">
        <v>0</v>
      </c>
      <c r="BI1660" s="1" t="s">
        <v>88</v>
      </c>
      <c r="BJ1660">
        <v>1</v>
      </c>
      <c r="BK1660" s="1" t="s">
        <v>89</v>
      </c>
      <c r="BL1660" t="s">
        <v>91</v>
      </c>
      <c r="BM1660" s="1" t="s">
        <v>164</v>
      </c>
      <c r="BN1660" s="1" t="s">
        <v>110</v>
      </c>
      <c r="BO1660" s="1" t="s">
        <v>165</v>
      </c>
      <c r="BP1660" s="1" t="s">
        <v>91</v>
      </c>
      <c r="BQ1660" t="s">
        <v>91</v>
      </c>
      <c r="BR1660" s="3">
        <v>43308</v>
      </c>
      <c r="BS1660" s="3"/>
      <c r="BT1660" t="s">
        <v>91</v>
      </c>
      <c r="BU1660" t="s">
        <v>91</v>
      </c>
      <c r="BV1660">
        <v>5</v>
      </c>
      <c r="BW1660" s="1" t="s">
        <v>228</v>
      </c>
    </row>
    <row r="1661" spans="1:75" hidden="1" x14ac:dyDescent="0.35">
      <c r="A1661">
        <v>127546</v>
      </c>
      <c r="B1661" s="1" t="s">
        <v>75</v>
      </c>
      <c r="C1661">
        <v>80</v>
      </c>
      <c r="D1661">
        <v>11121004</v>
      </c>
      <c r="E1661">
        <v>121004</v>
      </c>
      <c r="F1661" s="1" t="s">
        <v>6867</v>
      </c>
      <c r="G1661" s="1" t="s">
        <v>8881</v>
      </c>
      <c r="H1661">
        <v>0</v>
      </c>
      <c r="I1661" s="1" t="s">
        <v>78</v>
      </c>
      <c r="J1661" s="1" t="s">
        <v>8882</v>
      </c>
      <c r="K1661" s="1" t="s">
        <v>8883</v>
      </c>
      <c r="L1661" t="s">
        <v>91</v>
      </c>
      <c r="M1661" t="s">
        <v>91</v>
      </c>
      <c r="N1661" s="1" t="s">
        <v>8884</v>
      </c>
      <c r="O1661" t="s">
        <v>91</v>
      </c>
      <c r="P1661" s="1" t="s">
        <v>3970</v>
      </c>
      <c r="Q1661" s="1" t="s">
        <v>776</v>
      </c>
      <c r="R1661" s="1" t="s">
        <v>236</v>
      </c>
      <c r="S1661">
        <v>1263</v>
      </c>
      <c r="T1661">
        <v>88380000</v>
      </c>
      <c r="U1661" s="1" t="s">
        <v>343</v>
      </c>
      <c r="V1661" s="1" t="s">
        <v>7523</v>
      </c>
      <c r="W1661" s="1" t="s">
        <v>87</v>
      </c>
      <c r="X1661">
        <v>47</v>
      </c>
      <c r="Y1661">
        <v>33452768</v>
      </c>
      <c r="Z1661" t="s">
        <v>91</v>
      </c>
      <c r="AA1661" t="s">
        <v>91</v>
      </c>
      <c r="AB1661" t="s">
        <v>91</v>
      </c>
      <c r="AC1661" t="s">
        <v>91</v>
      </c>
      <c r="AD1661" t="s">
        <v>91</v>
      </c>
      <c r="AE1661" t="s">
        <v>91</v>
      </c>
      <c r="AF1661" t="s">
        <v>91</v>
      </c>
      <c r="AG1661" s="1" t="s">
        <v>91</v>
      </c>
      <c r="AH1661" s="1" t="s">
        <v>91</v>
      </c>
      <c r="AI1661" t="s">
        <v>91</v>
      </c>
      <c r="AJ1661">
        <v>0</v>
      </c>
      <c r="AK1661">
        <v>0</v>
      </c>
      <c r="AL1661">
        <v>0</v>
      </c>
      <c r="AM1661" t="s">
        <v>91</v>
      </c>
      <c r="AN1661" t="s">
        <v>91</v>
      </c>
      <c r="AO1661" t="s">
        <v>91</v>
      </c>
      <c r="AP1661" t="s">
        <v>91</v>
      </c>
      <c r="AQ1661" s="1" t="s">
        <v>91</v>
      </c>
      <c r="AR1661" s="1" t="s">
        <v>91</v>
      </c>
      <c r="AS1661" s="1" t="s">
        <v>91</v>
      </c>
      <c r="AT1661" s="1" t="s">
        <v>91</v>
      </c>
      <c r="AU1661" s="1" t="s">
        <v>91</v>
      </c>
      <c r="AV1661" t="s">
        <v>91</v>
      </c>
      <c r="AW1661" t="s">
        <v>91</v>
      </c>
      <c r="AX1661" t="s">
        <v>91</v>
      </c>
      <c r="AY1661" t="s">
        <v>91</v>
      </c>
      <c r="AZ1661" t="s">
        <v>91</v>
      </c>
      <c r="BA1661" t="s">
        <v>91</v>
      </c>
      <c r="BB1661" s="2">
        <v>44111.380995370368</v>
      </c>
      <c r="BC1661" s="2"/>
      <c r="BD1661" t="s">
        <v>91</v>
      </c>
      <c r="BF1661" s="1" t="s">
        <v>75</v>
      </c>
      <c r="BG1661">
        <v>0</v>
      </c>
      <c r="BH1661">
        <v>0</v>
      </c>
      <c r="BI1661" s="1" t="s">
        <v>88</v>
      </c>
      <c r="BJ1661">
        <v>1</v>
      </c>
      <c r="BK1661" s="1" t="s">
        <v>89</v>
      </c>
      <c r="BL1661" t="s">
        <v>91</v>
      </c>
      <c r="BM1661" s="1" t="s">
        <v>109</v>
      </c>
      <c r="BN1661" s="1" t="s">
        <v>110</v>
      </c>
      <c r="BO1661" s="1" t="s">
        <v>128</v>
      </c>
      <c r="BP1661" s="1" t="s">
        <v>91</v>
      </c>
      <c r="BQ1661" t="s">
        <v>91</v>
      </c>
      <c r="BR1661" s="3">
        <v>44111</v>
      </c>
      <c r="BS1661" s="3"/>
      <c r="BT1661" t="s">
        <v>91</v>
      </c>
      <c r="BU1661" t="s">
        <v>91</v>
      </c>
      <c r="BV1661">
        <v>7</v>
      </c>
      <c r="BW1661" s="1" t="s">
        <v>90</v>
      </c>
    </row>
    <row r="1662" spans="1:75" hidden="1" x14ac:dyDescent="0.35">
      <c r="A1662">
        <v>137870</v>
      </c>
      <c r="B1662" s="1" t="s">
        <v>75</v>
      </c>
      <c r="C1662">
        <v>80</v>
      </c>
      <c r="D1662">
        <v>11121004</v>
      </c>
      <c r="E1662">
        <v>121004</v>
      </c>
      <c r="F1662" s="1" t="s">
        <v>6867</v>
      </c>
      <c r="G1662" s="1" t="s">
        <v>8885</v>
      </c>
      <c r="H1662">
        <v>0</v>
      </c>
      <c r="I1662" s="1" t="s">
        <v>78</v>
      </c>
      <c r="J1662" s="1" t="s">
        <v>8886</v>
      </c>
      <c r="K1662" s="1" t="s">
        <v>8887</v>
      </c>
      <c r="L1662" t="s">
        <v>91</v>
      </c>
      <c r="M1662" t="s">
        <v>91</v>
      </c>
      <c r="N1662" s="1" t="s">
        <v>8888</v>
      </c>
      <c r="O1662" t="s">
        <v>91</v>
      </c>
      <c r="P1662" s="1" t="s">
        <v>7569</v>
      </c>
      <c r="Q1662" s="1" t="s">
        <v>8889</v>
      </c>
      <c r="R1662" s="1" t="s">
        <v>91</v>
      </c>
      <c r="S1662">
        <v>1276</v>
      </c>
      <c r="T1662">
        <v>89190000</v>
      </c>
      <c r="U1662" s="1" t="s">
        <v>108</v>
      </c>
      <c r="V1662" s="1" t="s">
        <v>7570</v>
      </c>
      <c r="W1662" s="1" t="s">
        <v>87</v>
      </c>
      <c r="X1662">
        <v>47</v>
      </c>
      <c r="Y1662">
        <v>35620489</v>
      </c>
      <c r="Z1662" t="s">
        <v>91</v>
      </c>
      <c r="AA1662" t="s">
        <v>91</v>
      </c>
      <c r="AB1662" t="s">
        <v>91</v>
      </c>
      <c r="AC1662" t="s">
        <v>91</v>
      </c>
      <c r="AD1662" t="s">
        <v>91</v>
      </c>
      <c r="AE1662" t="s">
        <v>91</v>
      </c>
      <c r="AF1662" t="s">
        <v>91</v>
      </c>
      <c r="AG1662" s="1" t="s">
        <v>146</v>
      </c>
      <c r="AH1662" s="1" t="s">
        <v>91</v>
      </c>
      <c r="AI1662" t="s">
        <v>91</v>
      </c>
      <c r="AM1662" t="s">
        <v>91</v>
      </c>
      <c r="AN1662" t="s">
        <v>91</v>
      </c>
      <c r="AO1662" t="s">
        <v>91</v>
      </c>
      <c r="AP1662" t="s">
        <v>91</v>
      </c>
      <c r="AQ1662" s="1" t="s">
        <v>147</v>
      </c>
      <c r="AR1662" s="1" t="s">
        <v>147</v>
      </c>
      <c r="AS1662" s="1" t="s">
        <v>147</v>
      </c>
      <c r="AT1662" s="1" t="s">
        <v>147</v>
      </c>
      <c r="AU1662" s="1" t="s">
        <v>147</v>
      </c>
      <c r="AV1662" t="s">
        <v>91</v>
      </c>
      <c r="AW1662" t="s">
        <v>91</v>
      </c>
      <c r="AX1662" t="s">
        <v>91</v>
      </c>
      <c r="AY1662" t="s">
        <v>91</v>
      </c>
      <c r="AZ1662" t="s">
        <v>91</v>
      </c>
      <c r="BA1662" t="s">
        <v>91</v>
      </c>
      <c r="BB1662" s="2">
        <v>44378.578518518516</v>
      </c>
      <c r="BC1662" s="2">
        <v>45118.685601851852</v>
      </c>
      <c r="BD1662" t="s">
        <v>91</v>
      </c>
      <c r="BF1662" s="1" t="s">
        <v>75</v>
      </c>
      <c r="BH1662">
        <v>0</v>
      </c>
      <c r="BI1662" s="1" t="s">
        <v>721</v>
      </c>
      <c r="BJ1662">
        <v>1</v>
      </c>
      <c r="BK1662" s="1" t="s">
        <v>89</v>
      </c>
      <c r="BL1662" t="s">
        <v>91</v>
      </c>
      <c r="BM1662" s="1" t="s">
        <v>197</v>
      </c>
      <c r="BN1662" s="1" t="s">
        <v>148</v>
      </c>
      <c r="BO1662" s="1" t="s">
        <v>165</v>
      </c>
      <c r="BP1662" s="1" t="s">
        <v>91</v>
      </c>
      <c r="BQ1662" t="s">
        <v>91</v>
      </c>
      <c r="BR1662" s="3">
        <v>44378</v>
      </c>
      <c r="BS1662" s="3">
        <v>45118</v>
      </c>
      <c r="BT1662" t="s">
        <v>91</v>
      </c>
      <c r="BU1662" t="s">
        <v>91</v>
      </c>
      <c r="BW1662" s="1" t="s">
        <v>1211</v>
      </c>
    </row>
    <row r="1663" spans="1:75" hidden="1" x14ac:dyDescent="0.35">
      <c r="A1663">
        <v>137871</v>
      </c>
      <c r="B1663" s="1" t="s">
        <v>75</v>
      </c>
      <c r="C1663">
        <v>80</v>
      </c>
      <c r="D1663">
        <v>11121004</v>
      </c>
      <c r="E1663">
        <v>121004</v>
      </c>
      <c r="F1663" s="1" t="s">
        <v>6867</v>
      </c>
      <c r="G1663" s="1" t="s">
        <v>8890</v>
      </c>
      <c r="H1663">
        <v>0</v>
      </c>
      <c r="I1663" s="1" t="s">
        <v>78</v>
      </c>
      <c r="J1663" s="1" t="s">
        <v>8891</v>
      </c>
      <c r="K1663" s="1" t="s">
        <v>8892</v>
      </c>
      <c r="L1663" t="s">
        <v>91</v>
      </c>
      <c r="M1663" t="s">
        <v>91</v>
      </c>
      <c r="N1663" s="1" t="s">
        <v>8893</v>
      </c>
      <c r="O1663" t="s">
        <v>91</v>
      </c>
      <c r="P1663" s="1" t="s">
        <v>7060</v>
      </c>
      <c r="Q1663" s="1" t="s">
        <v>8123</v>
      </c>
      <c r="R1663" s="1" t="s">
        <v>91</v>
      </c>
      <c r="S1663">
        <v>1274</v>
      </c>
      <c r="T1663">
        <v>89114442</v>
      </c>
      <c r="U1663" s="1" t="s">
        <v>108</v>
      </c>
      <c r="V1663" s="1" t="s">
        <v>7008</v>
      </c>
      <c r="W1663" s="1" t="s">
        <v>87</v>
      </c>
      <c r="X1663">
        <v>47</v>
      </c>
      <c r="Y1663">
        <v>33322192</v>
      </c>
      <c r="Z1663" t="s">
        <v>91</v>
      </c>
      <c r="AA1663" t="s">
        <v>91</v>
      </c>
      <c r="AB1663" t="s">
        <v>91</v>
      </c>
      <c r="AC1663" t="s">
        <v>91</v>
      </c>
      <c r="AD1663" t="s">
        <v>91</v>
      </c>
      <c r="AE1663" t="s">
        <v>91</v>
      </c>
      <c r="AF1663" t="s">
        <v>91</v>
      </c>
      <c r="AG1663" s="1" t="s">
        <v>146</v>
      </c>
      <c r="AH1663" s="1" t="s">
        <v>91</v>
      </c>
      <c r="AI1663" t="s">
        <v>91</v>
      </c>
      <c r="AM1663" t="s">
        <v>91</v>
      </c>
      <c r="AN1663" t="s">
        <v>91</v>
      </c>
      <c r="AO1663" t="s">
        <v>91</v>
      </c>
      <c r="AP1663" t="s">
        <v>91</v>
      </c>
      <c r="AQ1663" s="1" t="s">
        <v>147</v>
      </c>
      <c r="AR1663" s="1" t="s">
        <v>147</v>
      </c>
      <c r="AS1663" s="1" t="s">
        <v>147</v>
      </c>
      <c r="AT1663" s="1" t="s">
        <v>147</v>
      </c>
      <c r="AU1663" s="1" t="s">
        <v>147</v>
      </c>
      <c r="AV1663" t="s">
        <v>91</v>
      </c>
      <c r="AW1663" t="s">
        <v>91</v>
      </c>
      <c r="AX1663" t="s">
        <v>91</v>
      </c>
      <c r="AY1663" t="s">
        <v>91</v>
      </c>
      <c r="AZ1663" t="s">
        <v>91</v>
      </c>
      <c r="BA1663" t="s">
        <v>91</v>
      </c>
      <c r="BB1663" s="2">
        <v>44378.578518518516</v>
      </c>
      <c r="BC1663" s="2">
        <v>44669.704525462963</v>
      </c>
      <c r="BD1663" t="s">
        <v>91</v>
      </c>
      <c r="BF1663" s="1" t="s">
        <v>75</v>
      </c>
      <c r="BH1663">
        <v>0</v>
      </c>
      <c r="BI1663" s="1" t="s">
        <v>88</v>
      </c>
      <c r="BJ1663">
        <v>1</v>
      </c>
      <c r="BK1663" s="1" t="s">
        <v>89</v>
      </c>
      <c r="BL1663" t="s">
        <v>91</v>
      </c>
      <c r="BM1663" s="1" t="s">
        <v>197</v>
      </c>
      <c r="BN1663" s="1" t="s">
        <v>148</v>
      </c>
      <c r="BO1663" s="1" t="s">
        <v>165</v>
      </c>
      <c r="BP1663" s="1" t="s">
        <v>91</v>
      </c>
      <c r="BQ1663" t="s">
        <v>91</v>
      </c>
      <c r="BR1663" s="3">
        <v>44378</v>
      </c>
      <c r="BS1663" s="3">
        <v>44669</v>
      </c>
      <c r="BT1663" t="s">
        <v>91</v>
      </c>
      <c r="BU1663" t="s">
        <v>91</v>
      </c>
      <c r="BW1663" s="1" t="s">
        <v>8123</v>
      </c>
    </row>
    <row r="1664" spans="1:75" hidden="1" x14ac:dyDescent="0.35">
      <c r="A1664">
        <v>157080</v>
      </c>
      <c r="B1664" s="1" t="s">
        <v>75</v>
      </c>
      <c r="C1664">
        <v>80</v>
      </c>
      <c r="D1664">
        <v>11121004</v>
      </c>
      <c r="E1664">
        <v>121004</v>
      </c>
      <c r="F1664" s="1" t="s">
        <v>6867</v>
      </c>
      <c r="G1664" s="1" t="s">
        <v>8894</v>
      </c>
      <c r="H1664">
        <v>0</v>
      </c>
      <c r="I1664" s="1" t="s">
        <v>78</v>
      </c>
      <c r="J1664" s="1" t="s">
        <v>8895</v>
      </c>
      <c r="K1664" s="1" t="s">
        <v>8896</v>
      </c>
      <c r="L1664" t="s">
        <v>91</v>
      </c>
      <c r="M1664" t="s">
        <v>91</v>
      </c>
      <c r="N1664" s="1" t="s">
        <v>8897</v>
      </c>
      <c r="O1664" t="s">
        <v>91</v>
      </c>
      <c r="P1664" s="1" t="s">
        <v>5397</v>
      </c>
      <c r="Q1664" s="1" t="s">
        <v>8898</v>
      </c>
      <c r="R1664" s="1" t="s">
        <v>1192</v>
      </c>
      <c r="S1664">
        <v>1275</v>
      </c>
      <c r="T1664">
        <v>89124000</v>
      </c>
      <c r="U1664" s="1" t="s">
        <v>343</v>
      </c>
      <c r="V1664" s="1" t="s">
        <v>8899</v>
      </c>
      <c r="W1664" s="1" t="s">
        <v>87</v>
      </c>
      <c r="X1664">
        <v>47</v>
      </c>
      <c r="Y1664">
        <v>33850373</v>
      </c>
      <c r="Z1664" t="s">
        <v>91</v>
      </c>
      <c r="AA1664" t="s">
        <v>91</v>
      </c>
      <c r="AB1664" t="s">
        <v>91</v>
      </c>
      <c r="AC1664" t="s">
        <v>91</v>
      </c>
      <c r="AD1664" t="s">
        <v>91</v>
      </c>
      <c r="AE1664" t="s">
        <v>91</v>
      </c>
      <c r="AF1664" t="s">
        <v>91</v>
      </c>
      <c r="AG1664" s="1" t="s">
        <v>91</v>
      </c>
      <c r="AH1664" s="1" t="s">
        <v>91</v>
      </c>
      <c r="AI1664" t="s">
        <v>91</v>
      </c>
      <c r="AM1664" t="s">
        <v>91</v>
      </c>
      <c r="AN1664" t="s">
        <v>91</v>
      </c>
      <c r="AO1664" t="s">
        <v>91</v>
      </c>
      <c r="AP1664" t="s">
        <v>91</v>
      </c>
      <c r="AQ1664" s="1" t="s">
        <v>91</v>
      </c>
      <c r="AR1664" s="1" t="s">
        <v>91</v>
      </c>
      <c r="AS1664" s="1" t="s">
        <v>91</v>
      </c>
      <c r="AT1664" s="1" t="s">
        <v>91</v>
      </c>
      <c r="AU1664" s="1" t="s">
        <v>91</v>
      </c>
      <c r="AV1664" t="s">
        <v>91</v>
      </c>
      <c r="AW1664" t="s">
        <v>91</v>
      </c>
      <c r="AX1664" t="s">
        <v>91</v>
      </c>
      <c r="AY1664" t="s">
        <v>91</v>
      </c>
      <c r="AZ1664" t="s">
        <v>91</v>
      </c>
      <c r="BA1664" t="s">
        <v>91</v>
      </c>
      <c r="BB1664" s="2">
        <v>45113.505416666667</v>
      </c>
      <c r="BC1664" s="2"/>
      <c r="BD1664" t="s">
        <v>91</v>
      </c>
      <c r="BF1664" s="1" t="s">
        <v>75</v>
      </c>
      <c r="BI1664" s="1" t="s">
        <v>88</v>
      </c>
      <c r="BJ1664">
        <v>1</v>
      </c>
      <c r="BK1664" s="1" t="s">
        <v>89</v>
      </c>
      <c r="BL1664" t="s">
        <v>91</v>
      </c>
      <c r="BM1664" s="1" t="s">
        <v>91</v>
      </c>
      <c r="BN1664" s="1" t="s">
        <v>91</v>
      </c>
      <c r="BO1664" s="1" t="s">
        <v>91</v>
      </c>
      <c r="BP1664" s="1" t="s">
        <v>91</v>
      </c>
      <c r="BQ1664" t="s">
        <v>91</v>
      </c>
      <c r="BR1664" s="3">
        <v>45113</v>
      </c>
      <c r="BS1664" s="3"/>
      <c r="BT1664" t="s">
        <v>91</v>
      </c>
      <c r="BU1664" t="s">
        <v>91</v>
      </c>
      <c r="BW1664" s="1" t="s">
        <v>90</v>
      </c>
    </row>
    <row r="1665" spans="1:75" hidden="1" x14ac:dyDescent="0.35">
      <c r="A1665">
        <v>137873</v>
      </c>
      <c r="B1665" s="1" t="s">
        <v>75</v>
      </c>
      <c r="C1665">
        <v>80</v>
      </c>
      <c r="D1665">
        <v>11121004</v>
      </c>
      <c r="E1665">
        <v>121004</v>
      </c>
      <c r="F1665" s="1" t="s">
        <v>6867</v>
      </c>
      <c r="G1665" s="1" t="s">
        <v>8900</v>
      </c>
      <c r="H1665">
        <v>0</v>
      </c>
      <c r="I1665" s="1" t="s">
        <v>78</v>
      </c>
      <c r="J1665" s="1" t="s">
        <v>8901</v>
      </c>
      <c r="K1665" s="1" t="s">
        <v>8902</v>
      </c>
      <c r="L1665" t="s">
        <v>91</v>
      </c>
      <c r="M1665" t="s">
        <v>91</v>
      </c>
      <c r="N1665" s="1" t="s">
        <v>8903</v>
      </c>
      <c r="O1665" t="s">
        <v>91</v>
      </c>
      <c r="P1665" s="1" t="s">
        <v>8346</v>
      </c>
      <c r="Q1665" s="1" t="s">
        <v>8904</v>
      </c>
      <c r="R1665" s="1" t="s">
        <v>5916</v>
      </c>
      <c r="S1665">
        <v>1260</v>
      </c>
      <c r="T1665">
        <v>88210000</v>
      </c>
      <c r="U1665" s="1" t="s">
        <v>108</v>
      </c>
      <c r="V1665" s="1" t="s">
        <v>6987</v>
      </c>
      <c r="W1665" s="1" t="s">
        <v>87</v>
      </c>
      <c r="X1665">
        <v>47</v>
      </c>
      <c r="Y1665">
        <v>33694206</v>
      </c>
      <c r="Z1665" t="s">
        <v>91</v>
      </c>
      <c r="AA1665" t="s">
        <v>91</v>
      </c>
      <c r="AB1665" t="s">
        <v>91</v>
      </c>
      <c r="AC1665" t="s">
        <v>91</v>
      </c>
      <c r="AD1665" t="s">
        <v>91</v>
      </c>
      <c r="AE1665" t="s">
        <v>91</v>
      </c>
      <c r="AF1665" t="s">
        <v>91</v>
      </c>
      <c r="AG1665" s="1" t="s">
        <v>146</v>
      </c>
      <c r="AH1665" s="1" t="s">
        <v>91</v>
      </c>
      <c r="AI1665" t="s">
        <v>91</v>
      </c>
      <c r="AM1665" t="s">
        <v>91</v>
      </c>
      <c r="AN1665" t="s">
        <v>91</v>
      </c>
      <c r="AO1665" t="s">
        <v>91</v>
      </c>
      <c r="AP1665" t="s">
        <v>91</v>
      </c>
      <c r="AQ1665" s="1" t="s">
        <v>147</v>
      </c>
      <c r="AR1665" s="1" t="s">
        <v>147</v>
      </c>
      <c r="AS1665" s="1" t="s">
        <v>147</v>
      </c>
      <c r="AT1665" s="1" t="s">
        <v>147</v>
      </c>
      <c r="AU1665" s="1" t="s">
        <v>147</v>
      </c>
      <c r="AV1665" t="s">
        <v>91</v>
      </c>
      <c r="AW1665" t="s">
        <v>91</v>
      </c>
      <c r="AX1665" t="s">
        <v>91</v>
      </c>
      <c r="AY1665" t="s">
        <v>91</v>
      </c>
      <c r="AZ1665" t="s">
        <v>91</v>
      </c>
      <c r="BA1665" t="s">
        <v>91</v>
      </c>
      <c r="BB1665" s="2">
        <v>44378.578518518516</v>
      </c>
      <c r="BC1665" s="2">
        <v>44656.655312499999</v>
      </c>
      <c r="BD1665" t="s">
        <v>91</v>
      </c>
      <c r="BF1665" s="1" t="s">
        <v>75</v>
      </c>
      <c r="BH1665">
        <v>0</v>
      </c>
      <c r="BI1665" s="1" t="s">
        <v>88</v>
      </c>
      <c r="BJ1665">
        <v>1</v>
      </c>
      <c r="BK1665" s="1" t="s">
        <v>89</v>
      </c>
      <c r="BL1665" t="s">
        <v>91</v>
      </c>
      <c r="BM1665" s="1" t="s">
        <v>109</v>
      </c>
      <c r="BN1665" s="1" t="s">
        <v>110</v>
      </c>
      <c r="BO1665" s="1" t="s">
        <v>128</v>
      </c>
      <c r="BP1665" s="1" t="s">
        <v>91</v>
      </c>
      <c r="BQ1665" t="s">
        <v>91</v>
      </c>
      <c r="BR1665" s="3">
        <v>44378</v>
      </c>
      <c r="BS1665" s="3">
        <v>44656</v>
      </c>
      <c r="BT1665" t="s">
        <v>91</v>
      </c>
      <c r="BU1665" t="s">
        <v>91</v>
      </c>
      <c r="BW1665" s="1" t="s">
        <v>6933</v>
      </c>
    </row>
    <row r="1666" spans="1:75" hidden="1" x14ac:dyDescent="0.35">
      <c r="A1666">
        <v>132272</v>
      </c>
      <c r="B1666" s="1" t="s">
        <v>75</v>
      </c>
      <c r="C1666">
        <v>80</v>
      </c>
      <c r="D1666">
        <v>11121004</v>
      </c>
      <c r="E1666">
        <v>121004</v>
      </c>
      <c r="F1666" s="1" t="s">
        <v>6867</v>
      </c>
      <c r="G1666" s="1" t="s">
        <v>8905</v>
      </c>
      <c r="H1666">
        <v>0</v>
      </c>
      <c r="I1666" s="1" t="s">
        <v>78</v>
      </c>
      <c r="J1666" s="1" t="s">
        <v>8906</v>
      </c>
      <c r="K1666" s="1" t="s">
        <v>8907</v>
      </c>
      <c r="L1666" t="s">
        <v>91</v>
      </c>
      <c r="M1666" t="s">
        <v>91</v>
      </c>
      <c r="N1666" s="1" t="s">
        <v>8908</v>
      </c>
      <c r="O1666" t="s">
        <v>91</v>
      </c>
      <c r="P1666" s="1" t="s">
        <v>1501</v>
      </c>
      <c r="Q1666" s="1" t="s">
        <v>8909</v>
      </c>
      <c r="R1666" s="1" t="s">
        <v>173</v>
      </c>
      <c r="T1666">
        <v>89035100</v>
      </c>
      <c r="U1666" s="1" t="s">
        <v>688</v>
      </c>
      <c r="V1666" s="1" t="s">
        <v>3571</v>
      </c>
      <c r="W1666" s="1" t="s">
        <v>87</v>
      </c>
      <c r="X1666">
        <v>47</v>
      </c>
      <c r="Y1666">
        <v>33277166</v>
      </c>
      <c r="Z1666" t="s">
        <v>91</v>
      </c>
      <c r="AA1666" t="s">
        <v>91</v>
      </c>
      <c r="AB1666" t="s">
        <v>91</v>
      </c>
      <c r="AC1666" t="s">
        <v>91</v>
      </c>
      <c r="AD1666" t="s">
        <v>91</v>
      </c>
      <c r="AE1666" t="s">
        <v>91</v>
      </c>
      <c r="AF1666" t="s">
        <v>91</v>
      </c>
      <c r="AG1666" s="1" t="s">
        <v>91</v>
      </c>
      <c r="AH1666" s="1" t="s">
        <v>91</v>
      </c>
      <c r="AI1666" t="s">
        <v>91</v>
      </c>
      <c r="AJ1666">
        <v>0</v>
      </c>
      <c r="AK1666">
        <v>0</v>
      </c>
      <c r="AL1666">
        <v>0</v>
      </c>
      <c r="AM1666" t="s">
        <v>91</v>
      </c>
      <c r="AN1666" t="s">
        <v>91</v>
      </c>
      <c r="AO1666" t="s">
        <v>91</v>
      </c>
      <c r="AP1666" t="s">
        <v>91</v>
      </c>
      <c r="AQ1666" s="1" t="s">
        <v>91</v>
      </c>
      <c r="AR1666" s="1" t="s">
        <v>91</v>
      </c>
      <c r="AS1666" s="1" t="s">
        <v>91</v>
      </c>
      <c r="AT1666" s="1" t="s">
        <v>91</v>
      </c>
      <c r="AU1666" s="1" t="s">
        <v>91</v>
      </c>
      <c r="AV1666" t="s">
        <v>91</v>
      </c>
      <c r="AW1666" t="s">
        <v>91</v>
      </c>
      <c r="AX1666" t="s">
        <v>91</v>
      </c>
      <c r="AY1666" t="s">
        <v>91</v>
      </c>
      <c r="AZ1666" t="s">
        <v>91</v>
      </c>
      <c r="BA1666" t="s">
        <v>91</v>
      </c>
      <c r="BB1666" s="2">
        <v>44138.816782407404</v>
      </c>
      <c r="BC1666" s="2"/>
      <c r="BD1666" t="s">
        <v>91</v>
      </c>
      <c r="BF1666" s="1" t="s">
        <v>75</v>
      </c>
      <c r="BG1666">
        <v>0</v>
      </c>
      <c r="BH1666">
        <v>0</v>
      </c>
      <c r="BI1666" s="1" t="s">
        <v>88</v>
      </c>
      <c r="BJ1666">
        <v>1</v>
      </c>
      <c r="BK1666" s="1" t="s">
        <v>89</v>
      </c>
      <c r="BL1666" t="s">
        <v>91</v>
      </c>
      <c r="BM1666" s="1" t="s">
        <v>109</v>
      </c>
      <c r="BN1666" s="1" t="s">
        <v>110</v>
      </c>
      <c r="BO1666" s="1" t="s">
        <v>128</v>
      </c>
      <c r="BP1666" s="1" t="s">
        <v>91</v>
      </c>
      <c r="BQ1666" t="s">
        <v>91</v>
      </c>
      <c r="BR1666" s="3">
        <v>44138</v>
      </c>
      <c r="BS1666" s="3"/>
      <c r="BT1666" t="s">
        <v>91</v>
      </c>
      <c r="BU1666" t="s">
        <v>91</v>
      </c>
      <c r="BV1666">
        <v>9</v>
      </c>
      <c r="BW1666" s="1" t="s">
        <v>90</v>
      </c>
    </row>
    <row r="1667" spans="1:75" hidden="1" x14ac:dyDescent="0.35">
      <c r="A1667">
        <v>1313</v>
      </c>
      <c r="B1667" s="1" t="s">
        <v>75</v>
      </c>
      <c r="C1667">
        <v>80</v>
      </c>
      <c r="D1667">
        <v>11121004</v>
      </c>
      <c r="E1667">
        <v>121004</v>
      </c>
      <c r="F1667" s="1" t="s">
        <v>6867</v>
      </c>
      <c r="G1667" s="1" t="s">
        <v>8910</v>
      </c>
      <c r="I1667" s="1" t="s">
        <v>78</v>
      </c>
      <c r="J1667" s="1" t="s">
        <v>8911</v>
      </c>
      <c r="K1667" s="1" t="s">
        <v>8912</v>
      </c>
      <c r="L1667" t="s">
        <v>91</v>
      </c>
      <c r="M1667" t="s">
        <v>91</v>
      </c>
      <c r="N1667" s="1" t="s">
        <v>8913</v>
      </c>
      <c r="O1667" t="s">
        <v>91</v>
      </c>
      <c r="P1667" s="1" t="s">
        <v>1501</v>
      </c>
      <c r="Q1667" s="1" t="s">
        <v>6623</v>
      </c>
      <c r="R1667" s="1" t="s">
        <v>91</v>
      </c>
      <c r="S1667">
        <v>1273</v>
      </c>
      <c r="T1667">
        <v>89031200</v>
      </c>
      <c r="U1667" s="1" t="s">
        <v>8914</v>
      </c>
      <c r="V1667" s="1" t="s">
        <v>3571</v>
      </c>
      <c r="W1667" s="1" t="s">
        <v>87</v>
      </c>
      <c r="X1667">
        <v>47</v>
      </c>
      <c r="Y1667">
        <v>33270398</v>
      </c>
      <c r="Z1667" t="s">
        <v>91</v>
      </c>
      <c r="AA1667" t="s">
        <v>91</v>
      </c>
      <c r="AB1667" t="s">
        <v>91</v>
      </c>
      <c r="AC1667" t="s">
        <v>91</v>
      </c>
      <c r="AD1667" t="s">
        <v>91</v>
      </c>
      <c r="AE1667" t="s">
        <v>91</v>
      </c>
      <c r="AF1667" t="s">
        <v>91</v>
      </c>
      <c r="AG1667" s="1" t="s">
        <v>91</v>
      </c>
      <c r="AH1667" s="1" t="s">
        <v>91</v>
      </c>
      <c r="AI1667" t="s">
        <v>91</v>
      </c>
      <c r="AJ1667">
        <v>0</v>
      </c>
      <c r="AK1667">
        <v>0</v>
      </c>
      <c r="AL1667">
        <v>0</v>
      </c>
      <c r="AM1667" t="s">
        <v>91</v>
      </c>
      <c r="AN1667" t="s">
        <v>91</v>
      </c>
      <c r="AO1667" t="s">
        <v>91</v>
      </c>
      <c r="AP1667" t="s">
        <v>91</v>
      </c>
      <c r="AQ1667" s="1" t="s">
        <v>91</v>
      </c>
      <c r="AR1667" s="1" t="s">
        <v>91</v>
      </c>
      <c r="AS1667" s="1" t="s">
        <v>91</v>
      </c>
      <c r="AT1667" s="1" t="s">
        <v>91</v>
      </c>
      <c r="AU1667" s="1" t="s">
        <v>91</v>
      </c>
      <c r="AV1667" t="s">
        <v>91</v>
      </c>
      <c r="AW1667" t="s">
        <v>91</v>
      </c>
      <c r="AX1667" t="s">
        <v>91</v>
      </c>
      <c r="AY1667" t="s">
        <v>91</v>
      </c>
      <c r="AZ1667" t="s">
        <v>91</v>
      </c>
      <c r="BA1667" t="s">
        <v>91</v>
      </c>
      <c r="BB1667" s="2">
        <v>43308.393217592595</v>
      </c>
      <c r="BC1667" s="2"/>
      <c r="BD1667" t="s">
        <v>91</v>
      </c>
      <c r="BE1667">
        <v>1313</v>
      </c>
      <c r="BF1667" s="1" t="s">
        <v>75</v>
      </c>
      <c r="BG1667">
        <v>0</v>
      </c>
      <c r="BH1667">
        <v>0</v>
      </c>
      <c r="BI1667" s="1" t="s">
        <v>88</v>
      </c>
      <c r="BJ1667">
        <v>1</v>
      </c>
      <c r="BK1667" s="1" t="s">
        <v>89</v>
      </c>
      <c r="BL1667" t="s">
        <v>91</v>
      </c>
      <c r="BM1667" s="1" t="s">
        <v>329</v>
      </c>
      <c r="BN1667" s="1" t="s">
        <v>110</v>
      </c>
      <c r="BO1667" s="1" t="s">
        <v>128</v>
      </c>
      <c r="BP1667" s="1" t="s">
        <v>91</v>
      </c>
      <c r="BQ1667" t="s">
        <v>91</v>
      </c>
      <c r="BR1667" s="3">
        <v>43308</v>
      </c>
      <c r="BS1667" s="3"/>
      <c r="BT1667" t="s">
        <v>91</v>
      </c>
      <c r="BU1667" t="s">
        <v>91</v>
      </c>
      <c r="BV1667">
        <v>5</v>
      </c>
      <c r="BW1667" s="1" t="s">
        <v>419</v>
      </c>
    </row>
    <row r="1668" spans="1:75" hidden="1" x14ac:dyDescent="0.35">
      <c r="A1668">
        <v>1247</v>
      </c>
      <c r="B1668" s="1" t="s">
        <v>75</v>
      </c>
      <c r="C1668">
        <v>80</v>
      </c>
      <c r="D1668">
        <v>11121004</v>
      </c>
      <c r="E1668">
        <v>121004</v>
      </c>
      <c r="F1668" s="1" t="s">
        <v>6867</v>
      </c>
      <c r="G1668" s="1" t="s">
        <v>8915</v>
      </c>
      <c r="I1668" s="1" t="s">
        <v>78</v>
      </c>
      <c r="J1668" s="1" t="s">
        <v>8916</v>
      </c>
      <c r="K1668" s="1" t="s">
        <v>8917</v>
      </c>
      <c r="L1668" t="s">
        <v>91</v>
      </c>
      <c r="M1668" t="s">
        <v>91</v>
      </c>
      <c r="N1668" s="1" t="s">
        <v>7689</v>
      </c>
      <c r="O1668" t="s">
        <v>91</v>
      </c>
      <c r="P1668" s="1" t="s">
        <v>7736</v>
      </c>
      <c r="Q1668" s="1" t="s">
        <v>1032</v>
      </c>
      <c r="R1668" s="1" t="s">
        <v>91</v>
      </c>
      <c r="S1668">
        <v>1273</v>
      </c>
      <c r="T1668">
        <v>89107000</v>
      </c>
      <c r="U1668" s="1" t="s">
        <v>108</v>
      </c>
      <c r="V1668" s="1" t="s">
        <v>7483</v>
      </c>
      <c r="W1668" s="1" t="s">
        <v>87</v>
      </c>
      <c r="X1668">
        <v>47</v>
      </c>
      <c r="Y1668">
        <v>33870902</v>
      </c>
      <c r="Z1668" t="s">
        <v>91</v>
      </c>
      <c r="AA1668" t="s">
        <v>91</v>
      </c>
      <c r="AB1668" t="s">
        <v>91</v>
      </c>
      <c r="AC1668" t="s">
        <v>91</v>
      </c>
      <c r="AD1668" t="s">
        <v>91</v>
      </c>
      <c r="AE1668" t="s">
        <v>91</v>
      </c>
      <c r="AF1668" t="s">
        <v>91</v>
      </c>
      <c r="AG1668" s="1" t="s">
        <v>146</v>
      </c>
      <c r="AH1668" s="1" t="s">
        <v>91</v>
      </c>
      <c r="AI1668" t="s">
        <v>91</v>
      </c>
      <c r="AJ1668">
        <v>0</v>
      </c>
      <c r="AK1668">
        <v>0</v>
      </c>
      <c r="AL1668">
        <v>0</v>
      </c>
      <c r="AM1668" t="s">
        <v>91</v>
      </c>
      <c r="AN1668" t="s">
        <v>91</v>
      </c>
      <c r="AO1668" t="s">
        <v>91</v>
      </c>
      <c r="AP1668" t="s">
        <v>91</v>
      </c>
      <c r="AQ1668" s="1" t="s">
        <v>147</v>
      </c>
      <c r="AR1668" s="1" t="s">
        <v>147</v>
      </c>
      <c r="AS1668" s="1" t="s">
        <v>147</v>
      </c>
      <c r="AT1668" s="1" t="s">
        <v>147</v>
      </c>
      <c r="AU1668" s="1" t="s">
        <v>147</v>
      </c>
      <c r="AV1668" t="s">
        <v>91</v>
      </c>
      <c r="AW1668" t="s">
        <v>91</v>
      </c>
      <c r="AX1668" t="s">
        <v>91</v>
      </c>
      <c r="AY1668" t="s">
        <v>91</v>
      </c>
      <c r="AZ1668" t="s">
        <v>91</v>
      </c>
      <c r="BA1668" t="s">
        <v>91</v>
      </c>
      <c r="BB1668" s="2">
        <v>43308.393182870372</v>
      </c>
      <c r="BC1668" s="2">
        <v>45128.428726851853</v>
      </c>
      <c r="BD1668" t="s">
        <v>91</v>
      </c>
      <c r="BE1668">
        <v>1247</v>
      </c>
      <c r="BF1668" s="1" t="s">
        <v>75</v>
      </c>
      <c r="BG1668">
        <v>0</v>
      </c>
      <c r="BH1668">
        <v>0</v>
      </c>
      <c r="BI1668" s="1" t="s">
        <v>721</v>
      </c>
      <c r="BJ1668">
        <v>1</v>
      </c>
      <c r="BK1668" s="1" t="s">
        <v>89</v>
      </c>
      <c r="BL1668" t="s">
        <v>91</v>
      </c>
      <c r="BM1668" s="1" t="s">
        <v>109</v>
      </c>
      <c r="BN1668" s="1" t="s">
        <v>110</v>
      </c>
      <c r="BO1668" s="1" t="s">
        <v>165</v>
      </c>
      <c r="BP1668" s="1" t="s">
        <v>91</v>
      </c>
      <c r="BQ1668" t="s">
        <v>91</v>
      </c>
      <c r="BR1668" s="3">
        <v>43308</v>
      </c>
      <c r="BS1668" s="3">
        <v>45128</v>
      </c>
      <c r="BT1668" t="s">
        <v>91</v>
      </c>
      <c r="BU1668" t="s">
        <v>91</v>
      </c>
      <c r="BV1668">
        <v>5</v>
      </c>
      <c r="BW1668" s="1" t="s">
        <v>601</v>
      </c>
    </row>
    <row r="1669" spans="1:75" hidden="1" x14ac:dyDescent="0.35">
      <c r="A1669">
        <v>137877</v>
      </c>
      <c r="B1669" s="1" t="s">
        <v>75</v>
      </c>
      <c r="C1669">
        <v>80</v>
      </c>
      <c r="D1669">
        <v>11121004</v>
      </c>
      <c r="E1669">
        <v>121004</v>
      </c>
      <c r="F1669" s="1" t="s">
        <v>6867</v>
      </c>
      <c r="G1669" s="1" t="s">
        <v>8918</v>
      </c>
      <c r="H1669">
        <v>0</v>
      </c>
      <c r="I1669" s="1" t="s">
        <v>78</v>
      </c>
      <c r="J1669" s="1" t="s">
        <v>8919</v>
      </c>
      <c r="K1669" s="1" t="s">
        <v>8920</v>
      </c>
      <c r="L1669" t="s">
        <v>91</v>
      </c>
      <c r="M1669" t="s">
        <v>91</v>
      </c>
      <c r="N1669" s="1" t="s">
        <v>91</v>
      </c>
      <c r="O1669" t="s">
        <v>91</v>
      </c>
      <c r="P1669" s="1" t="s">
        <v>3357</v>
      </c>
      <c r="Q1669" s="1" t="s">
        <v>665</v>
      </c>
      <c r="R1669" s="1" t="s">
        <v>236</v>
      </c>
      <c r="S1669">
        <v>1262</v>
      </c>
      <c r="T1669">
        <v>88340281</v>
      </c>
      <c r="U1669" s="1" t="s">
        <v>108</v>
      </c>
      <c r="V1669" s="1" t="s">
        <v>7223</v>
      </c>
      <c r="W1669" s="1" t="s">
        <v>87</v>
      </c>
      <c r="X1669">
        <v>47</v>
      </c>
      <c r="Y1669">
        <v>33652996</v>
      </c>
      <c r="Z1669" t="s">
        <v>91</v>
      </c>
      <c r="AA1669" t="s">
        <v>91</v>
      </c>
      <c r="AB1669" t="s">
        <v>91</v>
      </c>
      <c r="AC1669" t="s">
        <v>91</v>
      </c>
      <c r="AD1669" t="s">
        <v>91</v>
      </c>
      <c r="AE1669" t="s">
        <v>91</v>
      </c>
      <c r="AF1669" t="s">
        <v>91</v>
      </c>
      <c r="AG1669" s="1" t="s">
        <v>146</v>
      </c>
      <c r="AH1669" s="1" t="s">
        <v>91</v>
      </c>
      <c r="AI1669" t="s">
        <v>91</v>
      </c>
      <c r="AM1669" t="s">
        <v>91</v>
      </c>
      <c r="AN1669" t="s">
        <v>91</v>
      </c>
      <c r="AO1669" t="s">
        <v>91</v>
      </c>
      <c r="AP1669" t="s">
        <v>91</v>
      </c>
      <c r="AQ1669" s="1" t="s">
        <v>147</v>
      </c>
      <c r="AR1669" s="1" t="s">
        <v>147</v>
      </c>
      <c r="AS1669" s="1" t="s">
        <v>147</v>
      </c>
      <c r="AT1669" s="1" t="s">
        <v>147</v>
      </c>
      <c r="AU1669" s="1" t="s">
        <v>147</v>
      </c>
      <c r="AV1669" t="s">
        <v>91</v>
      </c>
      <c r="AW1669" t="s">
        <v>91</v>
      </c>
      <c r="AX1669" t="s">
        <v>91</v>
      </c>
      <c r="AY1669" t="s">
        <v>91</v>
      </c>
      <c r="AZ1669" t="s">
        <v>91</v>
      </c>
      <c r="BA1669" t="s">
        <v>91</v>
      </c>
      <c r="BB1669" s="2">
        <v>44378.578518518516</v>
      </c>
      <c r="BC1669" s="2">
        <v>44624.691284722219</v>
      </c>
      <c r="BD1669" t="s">
        <v>91</v>
      </c>
      <c r="BF1669" s="1" t="s">
        <v>75</v>
      </c>
      <c r="BH1669">
        <v>0</v>
      </c>
      <c r="BI1669" s="1" t="s">
        <v>88</v>
      </c>
      <c r="BJ1669">
        <v>1</v>
      </c>
      <c r="BK1669" s="1" t="s">
        <v>89</v>
      </c>
      <c r="BL1669" t="s">
        <v>91</v>
      </c>
      <c r="BM1669" s="1" t="s">
        <v>109</v>
      </c>
      <c r="BN1669" s="1" t="s">
        <v>110</v>
      </c>
      <c r="BO1669" s="1" t="s">
        <v>111</v>
      </c>
      <c r="BP1669" s="1" t="s">
        <v>91</v>
      </c>
      <c r="BQ1669" t="s">
        <v>91</v>
      </c>
      <c r="BR1669" s="3">
        <v>44378</v>
      </c>
      <c r="BS1669" s="3">
        <v>44624</v>
      </c>
      <c r="BT1669" t="s">
        <v>91</v>
      </c>
      <c r="BU1669" t="s">
        <v>91</v>
      </c>
      <c r="BW1669" s="1" t="s">
        <v>1650</v>
      </c>
    </row>
    <row r="1670" spans="1:75" hidden="1" x14ac:dyDescent="0.35">
      <c r="A1670">
        <v>1265</v>
      </c>
      <c r="B1670" s="1" t="s">
        <v>75</v>
      </c>
      <c r="C1670">
        <v>80</v>
      </c>
      <c r="D1670">
        <v>11121004</v>
      </c>
      <c r="E1670">
        <v>121004</v>
      </c>
      <c r="F1670" s="1" t="s">
        <v>6867</v>
      </c>
      <c r="G1670" s="1" t="s">
        <v>8921</v>
      </c>
      <c r="I1670" s="1" t="s">
        <v>78</v>
      </c>
      <c r="J1670" s="1" t="s">
        <v>8922</v>
      </c>
      <c r="K1670" s="1" t="s">
        <v>8923</v>
      </c>
      <c r="L1670" t="s">
        <v>91</v>
      </c>
      <c r="M1670" t="s">
        <v>91</v>
      </c>
      <c r="N1670" s="1" t="s">
        <v>8924</v>
      </c>
      <c r="O1670" t="s">
        <v>91</v>
      </c>
      <c r="P1670" s="1" t="s">
        <v>8151</v>
      </c>
      <c r="Q1670" s="1" t="s">
        <v>8925</v>
      </c>
      <c r="R1670" s="1" t="s">
        <v>91</v>
      </c>
      <c r="S1670">
        <v>1273</v>
      </c>
      <c r="T1670">
        <v>89035402</v>
      </c>
      <c r="U1670" s="1" t="s">
        <v>688</v>
      </c>
      <c r="V1670" s="1" t="s">
        <v>3571</v>
      </c>
      <c r="W1670" s="1" t="s">
        <v>87</v>
      </c>
      <c r="X1670">
        <v>47</v>
      </c>
      <c r="Y1670">
        <v>33270526</v>
      </c>
      <c r="Z1670" t="s">
        <v>91</v>
      </c>
      <c r="AA1670" t="s">
        <v>91</v>
      </c>
      <c r="AB1670" t="s">
        <v>91</v>
      </c>
      <c r="AC1670" t="s">
        <v>91</v>
      </c>
      <c r="AD1670" t="s">
        <v>91</v>
      </c>
      <c r="AE1670" t="s">
        <v>91</v>
      </c>
      <c r="AF1670" t="s">
        <v>91</v>
      </c>
      <c r="AG1670" s="1" t="s">
        <v>146</v>
      </c>
      <c r="AH1670" s="1" t="s">
        <v>91</v>
      </c>
      <c r="AI1670" t="s">
        <v>91</v>
      </c>
      <c r="AJ1670">
        <v>0</v>
      </c>
      <c r="AK1670">
        <v>0</v>
      </c>
      <c r="AL1670">
        <v>0</v>
      </c>
      <c r="AM1670" t="s">
        <v>91</v>
      </c>
      <c r="AN1670" t="s">
        <v>91</v>
      </c>
      <c r="AO1670" t="s">
        <v>91</v>
      </c>
      <c r="AP1670" t="s">
        <v>91</v>
      </c>
      <c r="AQ1670" s="1" t="s">
        <v>147</v>
      </c>
      <c r="AR1670" s="1" t="s">
        <v>147</v>
      </c>
      <c r="AS1670" s="1" t="s">
        <v>147</v>
      </c>
      <c r="AT1670" s="1" t="s">
        <v>147</v>
      </c>
      <c r="AU1670" s="1" t="s">
        <v>147</v>
      </c>
      <c r="AV1670" t="s">
        <v>91</v>
      </c>
      <c r="AW1670" t="s">
        <v>91</v>
      </c>
      <c r="AX1670" t="s">
        <v>91</v>
      </c>
      <c r="AY1670" t="s">
        <v>91</v>
      </c>
      <c r="AZ1670" t="s">
        <v>91</v>
      </c>
      <c r="BA1670" t="s">
        <v>91</v>
      </c>
      <c r="BB1670" s="2">
        <v>43308.393194444441</v>
      </c>
      <c r="BC1670" s="2">
        <v>45132.520752314813</v>
      </c>
      <c r="BD1670" t="s">
        <v>91</v>
      </c>
      <c r="BE1670">
        <v>1265</v>
      </c>
      <c r="BF1670" s="1" t="s">
        <v>75</v>
      </c>
      <c r="BG1670">
        <v>0</v>
      </c>
      <c r="BH1670">
        <v>0</v>
      </c>
      <c r="BI1670" s="1" t="s">
        <v>721</v>
      </c>
      <c r="BJ1670">
        <v>1</v>
      </c>
      <c r="BK1670" s="1" t="s">
        <v>89</v>
      </c>
      <c r="BL1670" t="s">
        <v>91</v>
      </c>
      <c r="BM1670" s="1" t="s">
        <v>109</v>
      </c>
      <c r="BN1670" s="1" t="s">
        <v>110</v>
      </c>
      <c r="BO1670" s="1" t="s">
        <v>1040</v>
      </c>
      <c r="BP1670" s="1" t="s">
        <v>91</v>
      </c>
      <c r="BQ1670" t="s">
        <v>91</v>
      </c>
      <c r="BR1670" s="3">
        <v>43308</v>
      </c>
      <c r="BS1670" s="3">
        <v>45132</v>
      </c>
      <c r="BT1670" t="s">
        <v>91</v>
      </c>
      <c r="BU1670" t="s">
        <v>91</v>
      </c>
      <c r="BV1670">
        <v>6</v>
      </c>
      <c r="BW1670" s="1" t="s">
        <v>540</v>
      </c>
    </row>
    <row r="1671" spans="1:75" hidden="1" x14ac:dyDescent="0.35">
      <c r="A1671">
        <v>137879</v>
      </c>
      <c r="B1671" s="1" t="s">
        <v>75</v>
      </c>
      <c r="C1671">
        <v>80</v>
      </c>
      <c r="D1671">
        <v>11121004</v>
      </c>
      <c r="E1671">
        <v>121004</v>
      </c>
      <c r="F1671" s="1" t="s">
        <v>6867</v>
      </c>
      <c r="G1671" s="1" t="s">
        <v>8926</v>
      </c>
      <c r="H1671">
        <v>0</v>
      </c>
      <c r="I1671" s="1" t="s">
        <v>78</v>
      </c>
      <c r="J1671" s="1" t="s">
        <v>8927</v>
      </c>
      <c r="K1671" s="1" t="s">
        <v>8928</v>
      </c>
      <c r="L1671" t="s">
        <v>91</v>
      </c>
      <c r="M1671" t="s">
        <v>91</v>
      </c>
      <c r="N1671" s="1" t="s">
        <v>8929</v>
      </c>
      <c r="O1671" t="s">
        <v>91</v>
      </c>
      <c r="P1671" s="1" t="s">
        <v>1794</v>
      </c>
      <c r="Q1671" s="1" t="s">
        <v>8930</v>
      </c>
      <c r="R1671" s="1" t="s">
        <v>91</v>
      </c>
      <c r="S1671">
        <v>1273</v>
      </c>
      <c r="T1671">
        <v>89036001</v>
      </c>
      <c r="U1671" s="1" t="s">
        <v>7654</v>
      </c>
      <c r="V1671" s="1" t="s">
        <v>3571</v>
      </c>
      <c r="W1671" s="1" t="s">
        <v>87</v>
      </c>
      <c r="X1671">
        <v>47</v>
      </c>
      <c r="Y1671">
        <v>33290674</v>
      </c>
      <c r="Z1671" t="s">
        <v>91</v>
      </c>
      <c r="AA1671" t="s">
        <v>91</v>
      </c>
      <c r="AB1671" t="s">
        <v>91</v>
      </c>
      <c r="AC1671" t="s">
        <v>91</v>
      </c>
      <c r="AD1671" t="s">
        <v>91</v>
      </c>
      <c r="AE1671" t="s">
        <v>91</v>
      </c>
      <c r="AF1671" t="s">
        <v>91</v>
      </c>
      <c r="AG1671" s="1" t="s">
        <v>146</v>
      </c>
      <c r="AH1671" s="1" t="s">
        <v>91</v>
      </c>
      <c r="AI1671" t="s">
        <v>91</v>
      </c>
      <c r="AM1671" t="s">
        <v>91</v>
      </c>
      <c r="AN1671" t="s">
        <v>91</v>
      </c>
      <c r="AO1671" t="s">
        <v>91</v>
      </c>
      <c r="AP1671" t="s">
        <v>91</v>
      </c>
      <c r="AQ1671" s="1" t="s">
        <v>147</v>
      </c>
      <c r="AR1671" s="1" t="s">
        <v>147</v>
      </c>
      <c r="AS1671" s="1" t="s">
        <v>147</v>
      </c>
      <c r="AT1671" s="1" t="s">
        <v>147</v>
      </c>
      <c r="AU1671" s="1" t="s">
        <v>147</v>
      </c>
      <c r="AV1671" t="s">
        <v>91</v>
      </c>
      <c r="AW1671" t="s">
        <v>91</v>
      </c>
      <c r="AX1671" t="s">
        <v>91</v>
      </c>
      <c r="AY1671" t="s">
        <v>91</v>
      </c>
      <c r="AZ1671" t="s">
        <v>91</v>
      </c>
      <c r="BA1671" t="s">
        <v>91</v>
      </c>
      <c r="BB1671" s="2">
        <v>44378.578518518516</v>
      </c>
      <c r="BC1671" s="2">
        <v>44589.490277777775</v>
      </c>
      <c r="BD1671" t="s">
        <v>91</v>
      </c>
      <c r="BF1671" s="1" t="s">
        <v>75</v>
      </c>
      <c r="BH1671">
        <v>0</v>
      </c>
      <c r="BI1671" s="1" t="s">
        <v>88</v>
      </c>
      <c r="BJ1671">
        <v>1</v>
      </c>
      <c r="BK1671" s="1" t="s">
        <v>89</v>
      </c>
      <c r="BL1671" t="s">
        <v>91</v>
      </c>
      <c r="BM1671" s="1" t="s">
        <v>109</v>
      </c>
      <c r="BN1671" s="1" t="s">
        <v>110</v>
      </c>
      <c r="BO1671" s="1" t="s">
        <v>165</v>
      </c>
      <c r="BP1671" s="1" t="s">
        <v>91</v>
      </c>
      <c r="BQ1671" t="s">
        <v>91</v>
      </c>
      <c r="BR1671" s="3">
        <v>44378</v>
      </c>
      <c r="BS1671" s="3">
        <v>44589</v>
      </c>
      <c r="BT1671" t="s">
        <v>91</v>
      </c>
      <c r="BU1671" t="s">
        <v>91</v>
      </c>
      <c r="BW1671" s="1" t="s">
        <v>735</v>
      </c>
    </row>
    <row r="1672" spans="1:75" hidden="1" x14ac:dyDescent="0.35">
      <c r="A1672">
        <v>137880</v>
      </c>
      <c r="B1672" s="1" t="s">
        <v>75</v>
      </c>
      <c r="C1672">
        <v>80</v>
      </c>
      <c r="D1672">
        <v>11121004</v>
      </c>
      <c r="E1672">
        <v>121004</v>
      </c>
      <c r="F1672" s="1" t="s">
        <v>6867</v>
      </c>
      <c r="G1672" s="1" t="s">
        <v>8931</v>
      </c>
      <c r="H1672">
        <v>0</v>
      </c>
      <c r="I1672" s="1" t="s">
        <v>78</v>
      </c>
      <c r="J1672" s="1" t="s">
        <v>8932</v>
      </c>
      <c r="K1672" s="1" t="s">
        <v>8933</v>
      </c>
      <c r="L1672" t="s">
        <v>91</v>
      </c>
      <c r="M1672" t="s">
        <v>91</v>
      </c>
      <c r="N1672" s="1" t="s">
        <v>8934</v>
      </c>
      <c r="O1672" t="s">
        <v>91</v>
      </c>
      <c r="P1672" s="1" t="s">
        <v>7232</v>
      </c>
      <c r="Q1672" s="1" t="s">
        <v>7233</v>
      </c>
      <c r="R1672" s="1" t="s">
        <v>91</v>
      </c>
      <c r="S1672">
        <v>1261</v>
      </c>
      <c r="T1672">
        <v>88309101</v>
      </c>
      <c r="U1672" s="1" t="s">
        <v>7235</v>
      </c>
      <c r="V1672" s="1" t="s">
        <v>6874</v>
      </c>
      <c r="W1672" s="1" t="s">
        <v>87</v>
      </c>
      <c r="X1672">
        <v>47</v>
      </c>
      <c r="Y1672">
        <v>32480138</v>
      </c>
      <c r="Z1672" t="s">
        <v>91</v>
      </c>
      <c r="AA1672" t="s">
        <v>91</v>
      </c>
      <c r="AB1672" t="s">
        <v>91</v>
      </c>
      <c r="AC1672" t="s">
        <v>91</v>
      </c>
      <c r="AD1672" t="s">
        <v>91</v>
      </c>
      <c r="AE1672" t="s">
        <v>91</v>
      </c>
      <c r="AF1672" t="s">
        <v>91</v>
      </c>
      <c r="AG1672" s="1" t="s">
        <v>146</v>
      </c>
      <c r="AH1672" s="1" t="s">
        <v>91</v>
      </c>
      <c r="AI1672" t="s">
        <v>91</v>
      </c>
      <c r="AM1672" t="s">
        <v>91</v>
      </c>
      <c r="AN1672" t="s">
        <v>91</v>
      </c>
      <c r="AO1672" t="s">
        <v>91</v>
      </c>
      <c r="AP1672" t="s">
        <v>91</v>
      </c>
      <c r="AQ1672" s="1" t="s">
        <v>147</v>
      </c>
      <c r="AR1672" s="1" t="s">
        <v>147</v>
      </c>
      <c r="AS1672" s="1" t="s">
        <v>147</v>
      </c>
      <c r="AT1672" s="1" t="s">
        <v>147</v>
      </c>
      <c r="AU1672" s="1" t="s">
        <v>147</v>
      </c>
      <c r="AV1672" t="s">
        <v>91</v>
      </c>
      <c r="AW1672" t="s">
        <v>91</v>
      </c>
      <c r="AX1672" t="s">
        <v>91</v>
      </c>
      <c r="AY1672" t="s">
        <v>91</v>
      </c>
      <c r="AZ1672" t="s">
        <v>91</v>
      </c>
      <c r="BA1672" t="s">
        <v>91</v>
      </c>
      <c r="BB1672" s="2">
        <v>44378.578518518516</v>
      </c>
      <c r="BC1672" s="2">
        <v>44624.720717592594</v>
      </c>
      <c r="BD1672" t="s">
        <v>91</v>
      </c>
      <c r="BF1672" s="1" t="s">
        <v>75</v>
      </c>
      <c r="BH1672">
        <v>0</v>
      </c>
      <c r="BI1672" s="1" t="s">
        <v>88</v>
      </c>
      <c r="BJ1672">
        <v>1</v>
      </c>
      <c r="BK1672" s="1" t="s">
        <v>89</v>
      </c>
      <c r="BL1672" t="s">
        <v>91</v>
      </c>
      <c r="BM1672" s="1" t="s">
        <v>329</v>
      </c>
      <c r="BN1672" s="1" t="s">
        <v>110</v>
      </c>
      <c r="BO1672" s="1" t="s">
        <v>165</v>
      </c>
      <c r="BP1672" s="1" t="s">
        <v>91</v>
      </c>
      <c r="BQ1672" t="s">
        <v>91</v>
      </c>
      <c r="BR1672" s="3">
        <v>44378</v>
      </c>
      <c r="BS1672" s="3">
        <v>44624</v>
      </c>
      <c r="BT1672" t="s">
        <v>91</v>
      </c>
      <c r="BU1672" t="s">
        <v>91</v>
      </c>
      <c r="BW1672" s="1" t="s">
        <v>589</v>
      </c>
    </row>
    <row r="1673" spans="1:75" hidden="1" x14ac:dyDescent="0.35">
      <c r="A1673">
        <v>137881</v>
      </c>
      <c r="B1673" s="1" t="s">
        <v>75</v>
      </c>
      <c r="C1673">
        <v>80</v>
      </c>
      <c r="D1673">
        <v>11121004</v>
      </c>
      <c r="E1673">
        <v>121004</v>
      </c>
      <c r="F1673" s="1" t="s">
        <v>6867</v>
      </c>
      <c r="G1673" s="1" t="s">
        <v>8935</v>
      </c>
      <c r="H1673">
        <v>0</v>
      </c>
      <c r="I1673" s="1" t="s">
        <v>78</v>
      </c>
      <c r="J1673" s="1" t="s">
        <v>8936</v>
      </c>
      <c r="K1673" s="1" t="s">
        <v>8937</v>
      </c>
      <c r="L1673" t="s">
        <v>91</v>
      </c>
      <c r="M1673" t="s">
        <v>91</v>
      </c>
      <c r="N1673" s="1" t="s">
        <v>8938</v>
      </c>
      <c r="O1673" t="s">
        <v>91</v>
      </c>
      <c r="P1673" s="1" t="s">
        <v>1094</v>
      </c>
      <c r="Q1673" s="1" t="s">
        <v>2249</v>
      </c>
      <c r="R1673" s="1" t="s">
        <v>8939</v>
      </c>
      <c r="S1673">
        <v>1263</v>
      </c>
      <c r="T1673">
        <v>88380000</v>
      </c>
      <c r="U1673" s="1" t="s">
        <v>108</v>
      </c>
      <c r="V1673" s="1" t="s">
        <v>7523</v>
      </c>
      <c r="W1673" s="1" t="s">
        <v>87</v>
      </c>
      <c r="X1673">
        <v>47</v>
      </c>
      <c r="Y1673">
        <v>33470982</v>
      </c>
      <c r="Z1673" t="s">
        <v>91</v>
      </c>
      <c r="AA1673" t="s">
        <v>91</v>
      </c>
      <c r="AB1673" t="s">
        <v>91</v>
      </c>
      <c r="AC1673" t="s">
        <v>91</v>
      </c>
      <c r="AD1673" t="s">
        <v>91</v>
      </c>
      <c r="AE1673" t="s">
        <v>91</v>
      </c>
      <c r="AF1673" t="s">
        <v>91</v>
      </c>
      <c r="AG1673" s="1" t="s">
        <v>146</v>
      </c>
      <c r="AH1673" s="1" t="s">
        <v>91</v>
      </c>
      <c r="AI1673" t="s">
        <v>91</v>
      </c>
      <c r="AM1673" t="s">
        <v>91</v>
      </c>
      <c r="AN1673" t="s">
        <v>91</v>
      </c>
      <c r="AO1673" t="s">
        <v>91</v>
      </c>
      <c r="AP1673" t="s">
        <v>91</v>
      </c>
      <c r="AQ1673" s="1" t="s">
        <v>147</v>
      </c>
      <c r="AR1673" s="1" t="s">
        <v>147</v>
      </c>
      <c r="AS1673" s="1" t="s">
        <v>147</v>
      </c>
      <c r="AT1673" s="1" t="s">
        <v>147</v>
      </c>
      <c r="AU1673" s="1" t="s">
        <v>147</v>
      </c>
      <c r="AV1673" t="s">
        <v>91</v>
      </c>
      <c r="AW1673" t="s">
        <v>91</v>
      </c>
      <c r="AX1673" t="s">
        <v>91</v>
      </c>
      <c r="AY1673" t="s">
        <v>91</v>
      </c>
      <c r="AZ1673" t="s">
        <v>91</v>
      </c>
      <c r="BA1673" t="s">
        <v>91</v>
      </c>
      <c r="BB1673" s="2">
        <v>44378.578518518516</v>
      </c>
      <c r="BC1673" s="2">
        <v>44497.725405092591</v>
      </c>
      <c r="BD1673" t="s">
        <v>91</v>
      </c>
      <c r="BF1673" s="1" t="s">
        <v>75</v>
      </c>
      <c r="BH1673">
        <v>0</v>
      </c>
      <c r="BI1673" s="1" t="s">
        <v>88</v>
      </c>
      <c r="BJ1673">
        <v>1</v>
      </c>
      <c r="BK1673" s="1" t="s">
        <v>89</v>
      </c>
      <c r="BL1673" t="s">
        <v>91</v>
      </c>
      <c r="BM1673" s="1" t="s">
        <v>109</v>
      </c>
      <c r="BN1673" s="1" t="s">
        <v>110</v>
      </c>
      <c r="BO1673" s="1" t="s">
        <v>165</v>
      </c>
      <c r="BP1673" s="1" t="s">
        <v>91</v>
      </c>
      <c r="BQ1673" t="s">
        <v>91</v>
      </c>
      <c r="BR1673" s="3">
        <v>44378</v>
      </c>
      <c r="BS1673" s="3">
        <v>44497</v>
      </c>
      <c r="BT1673" t="s">
        <v>91</v>
      </c>
      <c r="BU1673" t="s">
        <v>91</v>
      </c>
      <c r="BW1673" s="1" t="s">
        <v>419</v>
      </c>
    </row>
    <row r="1674" spans="1:75" hidden="1" x14ac:dyDescent="0.35">
      <c r="A1674">
        <v>117524</v>
      </c>
      <c r="B1674" s="1" t="s">
        <v>75</v>
      </c>
      <c r="C1674">
        <v>80</v>
      </c>
      <c r="D1674">
        <v>11121004</v>
      </c>
      <c r="E1674">
        <v>121004</v>
      </c>
      <c r="F1674" s="1" t="s">
        <v>6867</v>
      </c>
      <c r="G1674" s="1" t="s">
        <v>8940</v>
      </c>
      <c r="H1674">
        <v>0</v>
      </c>
      <c r="I1674" s="1" t="s">
        <v>78</v>
      </c>
      <c r="J1674" s="1" t="s">
        <v>8941</v>
      </c>
      <c r="K1674" s="1" t="s">
        <v>8942</v>
      </c>
      <c r="L1674" t="s">
        <v>91</v>
      </c>
      <c r="M1674" t="s">
        <v>91</v>
      </c>
      <c r="N1674" s="1" t="s">
        <v>8943</v>
      </c>
      <c r="O1674" t="s">
        <v>91</v>
      </c>
      <c r="P1674" s="1" t="s">
        <v>7613</v>
      </c>
      <c r="Q1674" s="1" t="s">
        <v>8138</v>
      </c>
      <c r="R1674" s="1" t="s">
        <v>820</v>
      </c>
      <c r="S1674">
        <v>1260</v>
      </c>
      <c r="T1674">
        <v>88215000</v>
      </c>
      <c r="U1674" s="1" t="s">
        <v>7615</v>
      </c>
      <c r="V1674" s="1" t="s">
        <v>7458</v>
      </c>
      <c r="W1674" s="1" t="s">
        <v>87</v>
      </c>
      <c r="X1674">
        <v>47</v>
      </c>
      <c r="Y1674">
        <v>33936930</v>
      </c>
      <c r="Z1674" t="s">
        <v>91</v>
      </c>
      <c r="AA1674" t="s">
        <v>91</v>
      </c>
      <c r="AB1674" t="s">
        <v>91</v>
      </c>
      <c r="AC1674" t="s">
        <v>91</v>
      </c>
      <c r="AD1674" t="s">
        <v>91</v>
      </c>
      <c r="AE1674" t="s">
        <v>91</v>
      </c>
      <c r="AF1674" t="s">
        <v>91</v>
      </c>
      <c r="AG1674" s="1" t="s">
        <v>91</v>
      </c>
      <c r="AH1674" s="1" t="s">
        <v>91</v>
      </c>
      <c r="AI1674" t="s">
        <v>91</v>
      </c>
      <c r="AJ1674">
        <v>0</v>
      </c>
      <c r="AK1674">
        <v>0</v>
      </c>
      <c r="AL1674">
        <v>0</v>
      </c>
      <c r="AM1674" t="s">
        <v>91</v>
      </c>
      <c r="AN1674" t="s">
        <v>91</v>
      </c>
      <c r="AO1674" t="s">
        <v>91</v>
      </c>
      <c r="AP1674" t="s">
        <v>91</v>
      </c>
      <c r="AQ1674" s="1" t="s">
        <v>91</v>
      </c>
      <c r="AR1674" s="1" t="s">
        <v>91</v>
      </c>
      <c r="AS1674" s="1" t="s">
        <v>91</v>
      </c>
      <c r="AT1674" s="1" t="s">
        <v>91</v>
      </c>
      <c r="AU1674" s="1" t="s">
        <v>91</v>
      </c>
      <c r="AV1674" t="s">
        <v>91</v>
      </c>
      <c r="AW1674" t="s">
        <v>91</v>
      </c>
      <c r="AX1674" t="s">
        <v>91</v>
      </c>
      <c r="AY1674" t="s">
        <v>91</v>
      </c>
      <c r="AZ1674" t="s">
        <v>91</v>
      </c>
      <c r="BA1674" t="s">
        <v>91</v>
      </c>
      <c r="BB1674" s="2">
        <v>44034.350266203706</v>
      </c>
      <c r="BC1674" s="2"/>
      <c r="BD1674" t="s">
        <v>91</v>
      </c>
      <c r="BF1674" s="1" t="s">
        <v>75</v>
      </c>
      <c r="BG1674">
        <v>0</v>
      </c>
      <c r="BH1674">
        <v>0</v>
      </c>
      <c r="BI1674" s="1" t="s">
        <v>88</v>
      </c>
      <c r="BJ1674">
        <v>1</v>
      </c>
      <c r="BK1674" s="1" t="s">
        <v>89</v>
      </c>
      <c r="BL1674" t="s">
        <v>91</v>
      </c>
      <c r="BM1674" s="1" t="s">
        <v>109</v>
      </c>
      <c r="BN1674" s="1" t="s">
        <v>110</v>
      </c>
      <c r="BO1674" s="1" t="s">
        <v>1040</v>
      </c>
      <c r="BP1674" s="1" t="s">
        <v>91</v>
      </c>
      <c r="BQ1674" t="s">
        <v>91</v>
      </c>
      <c r="BR1674" s="3">
        <v>44034</v>
      </c>
      <c r="BS1674" s="3"/>
      <c r="BT1674" t="s">
        <v>91</v>
      </c>
      <c r="BU1674" t="s">
        <v>91</v>
      </c>
      <c r="BV1674">
        <v>6</v>
      </c>
      <c r="BW1674" s="1" t="s">
        <v>90</v>
      </c>
    </row>
    <row r="1675" spans="1:75" hidden="1" x14ac:dyDescent="0.35">
      <c r="A1675">
        <v>157762</v>
      </c>
      <c r="B1675" s="1" t="s">
        <v>75</v>
      </c>
      <c r="C1675">
        <v>80</v>
      </c>
      <c r="D1675">
        <v>11121004</v>
      </c>
      <c r="E1675">
        <v>121004</v>
      </c>
      <c r="F1675" s="1" t="s">
        <v>6867</v>
      </c>
      <c r="G1675" s="1" t="s">
        <v>8944</v>
      </c>
      <c r="H1675">
        <v>0</v>
      </c>
      <c r="I1675" s="1" t="s">
        <v>78</v>
      </c>
      <c r="J1675" s="1" t="s">
        <v>8945</v>
      </c>
      <c r="K1675" s="1" t="s">
        <v>8946</v>
      </c>
      <c r="L1675" t="s">
        <v>91</v>
      </c>
      <c r="M1675" t="s">
        <v>91</v>
      </c>
      <c r="N1675" s="1" t="s">
        <v>91</v>
      </c>
      <c r="O1675" t="s">
        <v>91</v>
      </c>
      <c r="P1675" s="1" t="s">
        <v>611</v>
      </c>
      <c r="Q1675" s="1" t="s">
        <v>8947</v>
      </c>
      <c r="R1675" s="1" t="s">
        <v>91</v>
      </c>
      <c r="S1675">
        <v>1271</v>
      </c>
      <c r="T1675">
        <v>89010003</v>
      </c>
      <c r="U1675" s="1" t="s">
        <v>108</v>
      </c>
      <c r="V1675" s="1" t="s">
        <v>3571</v>
      </c>
      <c r="W1675" s="1" t="s">
        <v>87</v>
      </c>
      <c r="X1675">
        <v>47</v>
      </c>
      <c r="Y1675">
        <v>33228989</v>
      </c>
      <c r="Z1675" t="s">
        <v>91</v>
      </c>
      <c r="AA1675" t="s">
        <v>91</v>
      </c>
      <c r="AB1675" t="s">
        <v>91</v>
      </c>
      <c r="AC1675" t="s">
        <v>91</v>
      </c>
      <c r="AD1675" t="s">
        <v>91</v>
      </c>
      <c r="AE1675" t="s">
        <v>91</v>
      </c>
      <c r="AF1675" t="s">
        <v>91</v>
      </c>
      <c r="AG1675" s="1" t="s">
        <v>91</v>
      </c>
      <c r="AH1675" s="1" t="s">
        <v>91</v>
      </c>
      <c r="AI1675" t="s">
        <v>91</v>
      </c>
      <c r="AM1675" t="s">
        <v>91</v>
      </c>
      <c r="AN1675" t="s">
        <v>91</v>
      </c>
      <c r="AO1675" t="s">
        <v>91</v>
      </c>
      <c r="AP1675" t="s">
        <v>91</v>
      </c>
      <c r="AQ1675" s="1" t="s">
        <v>91</v>
      </c>
      <c r="AR1675" s="1" t="s">
        <v>91</v>
      </c>
      <c r="AS1675" s="1" t="s">
        <v>91</v>
      </c>
      <c r="AT1675" s="1" t="s">
        <v>91</v>
      </c>
      <c r="AU1675" s="1" t="s">
        <v>91</v>
      </c>
      <c r="AV1675" t="s">
        <v>91</v>
      </c>
      <c r="AW1675" t="s">
        <v>91</v>
      </c>
      <c r="AX1675" t="s">
        <v>91</v>
      </c>
      <c r="AY1675" t="s">
        <v>91</v>
      </c>
      <c r="AZ1675" t="s">
        <v>91</v>
      </c>
      <c r="BA1675" t="s">
        <v>91</v>
      </c>
      <c r="BB1675" s="2">
        <v>45118.101759259262</v>
      </c>
      <c r="BC1675" s="2"/>
      <c r="BD1675" t="s">
        <v>91</v>
      </c>
      <c r="BF1675" s="1" t="s">
        <v>75</v>
      </c>
      <c r="BI1675" s="1" t="s">
        <v>88</v>
      </c>
      <c r="BJ1675">
        <v>1</v>
      </c>
      <c r="BK1675" s="1" t="s">
        <v>89</v>
      </c>
      <c r="BL1675" t="s">
        <v>91</v>
      </c>
      <c r="BM1675" s="1" t="s">
        <v>91</v>
      </c>
      <c r="BN1675" s="1" t="s">
        <v>91</v>
      </c>
      <c r="BO1675" s="1" t="s">
        <v>91</v>
      </c>
      <c r="BP1675" s="1" t="s">
        <v>91</v>
      </c>
      <c r="BQ1675" t="s">
        <v>91</v>
      </c>
      <c r="BR1675" s="3">
        <v>45118</v>
      </c>
      <c r="BS1675" s="3"/>
      <c r="BT1675" t="s">
        <v>91</v>
      </c>
      <c r="BU1675" t="s">
        <v>91</v>
      </c>
      <c r="BW1675" s="1" t="s">
        <v>90</v>
      </c>
    </row>
    <row r="1676" spans="1:75" hidden="1" x14ac:dyDescent="0.35">
      <c r="A1676">
        <v>137884</v>
      </c>
      <c r="B1676" s="1" t="s">
        <v>75</v>
      </c>
      <c r="C1676">
        <v>80</v>
      </c>
      <c r="D1676">
        <v>11121004</v>
      </c>
      <c r="E1676">
        <v>121004</v>
      </c>
      <c r="F1676" s="1" t="s">
        <v>6867</v>
      </c>
      <c r="G1676" s="1" t="s">
        <v>8948</v>
      </c>
      <c r="H1676">
        <v>0</v>
      </c>
      <c r="I1676" s="1" t="s">
        <v>78</v>
      </c>
      <c r="J1676" s="1" t="s">
        <v>8949</v>
      </c>
      <c r="K1676" s="1" t="s">
        <v>8950</v>
      </c>
      <c r="L1676" t="s">
        <v>91</v>
      </c>
      <c r="M1676" t="s">
        <v>91</v>
      </c>
      <c r="N1676" s="1" t="s">
        <v>8951</v>
      </c>
      <c r="O1676" t="s">
        <v>91</v>
      </c>
      <c r="P1676" s="1" t="s">
        <v>7053</v>
      </c>
      <c r="Q1676" s="1" t="s">
        <v>8952</v>
      </c>
      <c r="R1676" s="1" t="s">
        <v>91</v>
      </c>
      <c r="S1676">
        <v>1273</v>
      </c>
      <c r="T1676">
        <v>89022000</v>
      </c>
      <c r="U1676" s="1" t="s">
        <v>7055</v>
      </c>
      <c r="V1676" s="1" t="s">
        <v>3571</v>
      </c>
      <c r="W1676" s="1" t="s">
        <v>87</v>
      </c>
      <c r="X1676">
        <v>47</v>
      </c>
      <c r="Y1676">
        <v>33240166</v>
      </c>
      <c r="Z1676" t="s">
        <v>91</v>
      </c>
      <c r="AA1676" t="s">
        <v>91</v>
      </c>
      <c r="AB1676" t="s">
        <v>91</v>
      </c>
      <c r="AC1676" t="s">
        <v>91</v>
      </c>
      <c r="AD1676" t="s">
        <v>91</v>
      </c>
      <c r="AE1676" t="s">
        <v>91</v>
      </c>
      <c r="AF1676" t="s">
        <v>91</v>
      </c>
      <c r="AG1676" s="1" t="s">
        <v>146</v>
      </c>
      <c r="AH1676" s="1" t="s">
        <v>91</v>
      </c>
      <c r="AI1676" t="s">
        <v>91</v>
      </c>
      <c r="AM1676" t="s">
        <v>91</v>
      </c>
      <c r="AN1676" t="s">
        <v>91</v>
      </c>
      <c r="AO1676" t="s">
        <v>91</v>
      </c>
      <c r="AP1676" t="s">
        <v>91</v>
      </c>
      <c r="AQ1676" s="1" t="s">
        <v>147</v>
      </c>
      <c r="AR1676" s="1" t="s">
        <v>147</v>
      </c>
      <c r="AS1676" s="1" t="s">
        <v>147</v>
      </c>
      <c r="AT1676" s="1" t="s">
        <v>147</v>
      </c>
      <c r="AU1676" s="1" t="s">
        <v>147</v>
      </c>
      <c r="AV1676" t="s">
        <v>91</v>
      </c>
      <c r="AW1676" t="s">
        <v>91</v>
      </c>
      <c r="AX1676" t="s">
        <v>91</v>
      </c>
      <c r="AY1676" t="s">
        <v>91</v>
      </c>
      <c r="AZ1676" t="s">
        <v>91</v>
      </c>
      <c r="BA1676" t="s">
        <v>91</v>
      </c>
      <c r="BB1676" s="2">
        <v>44378.578518518516</v>
      </c>
      <c r="BC1676" s="2">
        <v>44599.725173611114</v>
      </c>
      <c r="BD1676" t="s">
        <v>91</v>
      </c>
      <c r="BF1676" s="1" t="s">
        <v>75</v>
      </c>
      <c r="BH1676">
        <v>0</v>
      </c>
      <c r="BI1676" s="1" t="s">
        <v>88</v>
      </c>
      <c r="BJ1676">
        <v>1</v>
      </c>
      <c r="BK1676" s="1" t="s">
        <v>89</v>
      </c>
      <c r="BL1676" t="s">
        <v>91</v>
      </c>
      <c r="BM1676" s="1" t="s">
        <v>109</v>
      </c>
      <c r="BN1676" s="1" t="s">
        <v>110</v>
      </c>
      <c r="BO1676" s="1" t="s">
        <v>128</v>
      </c>
      <c r="BP1676" s="1" t="s">
        <v>91</v>
      </c>
      <c r="BQ1676" t="s">
        <v>91</v>
      </c>
      <c r="BR1676" s="3">
        <v>44378</v>
      </c>
      <c r="BS1676" s="3">
        <v>44599</v>
      </c>
      <c r="BT1676" t="s">
        <v>91</v>
      </c>
      <c r="BU1676" t="s">
        <v>91</v>
      </c>
      <c r="BW1676" s="1" t="s">
        <v>3002</v>
      </c>
    </row>
    <row r="1677" spans="1:75" hidden="1" x14ac:dyDescent="0.35">
      <c r="A1677">
        <v>157747</v>
      </c>
      <c r="B1677" s="1" t="s">
        <v>75</v>
      </c>
      <c r="C1677">
        <v>80</v>
      </c>
      <c r="D1677">
        <v>11121004</v>
      </c>
      <c r="E1677">
        <v>121004</v>
      </c>
      <c r="F1677" s="1" t="s">
        <v>6867</v>
      </c>
      <c r="G1677" s="1" t="s">
        <v>8953</v>
      </c>
      <c r="H1677">
        <v>0</v>
      </c>
      <c r="I1677" s="1" t="s">
        <v>78</v>
      </c>
      <c r="J1677" s="1" t="s">
        <v>8954</v>
      </c>
      <c r="K1677" s="1" t="s">
        <v>8955</v>
      </c>
      <c r="L1677" t="s">
        <v>91</v>
      </c>
      <c r="M1677" t="s">
        <v>91</v>
      </c>
      <c r="N1677" s="1" t="s">
        <v>8956</v>
      </c>
      <c r="O1677" t="s">
        <v>91</v>
      </c>
      <c r="P1677" s="1" t="s">
        <v>8957</v>
      </c>
      <c r="Q1677" s="1" t="s">
        <v>7827</v>
      </c>
      <c r="R1677" s="1" t="s">
        <v>820</v>
      </c>
      <c r="S1677">
        <v>1273</v>
      </c>
      <c r="T1677">
        <v>89025300</v>
      </c>
      <c r="U1677" s="1" t="s">
        <v>2251</v>
      </c>
      <c r="V1677" s="1" t="s">
        <v>3571</v>
      </c>
      <c r="W1677" s="1" t="s">
        <v>87</v>
      </c>
      <c r="X1677">
        <v>47</v>
      </c>
      <c r="Y1677">
        <v>33360024</v>
      </c>
      <c r="Z1677" t="s">
        <v>91</v>
      </c>
      <c r="AA1677" t="s">
        <v>91</v>
      </c>
      <c r="AB1677" t="s">
        <v>91</v>
      </c>
      <c r="AC1677" t="s">
        <v>91</v>
      </c>
      <c r="AD1677" t="s">
        <v>91</v>
      </c>
      <c r="AE1677" t="s">
        <v>91</v>
      </c>
      <c r="AF1677" t="s">
        <v>91</v>
      </c>
      <c r="AG1677" s="1" t="s">
        <v>91</v>
      </c>
      <c r="AH1677" s="1" t="s">
        <v>91</v>
      </c>
      <c r="AI1677" t="s">
        <v>91</v>
      </c>
      <c r="AM1677" t="s">
        <v>91</v>
      </c>
      <c r="AN1677" t="s">
        <v>91</v>
      </c>
      <c r="AO1677" t="s">
        <v>91</v>
      </c>
      <c r="AP1677" t="s">
        <v>91</v>
      </c>
      <c r="AQ1677" s="1" t="s">
        <v>91</v>
      </c>
      <c r="AR1677" s="1" t="s">
        <v>91</v>
      </c>
      <c r="AS1677" s="1" t="s">
        <v>91</v>
      </c>
      <c r="AT1677" s="1" t="s">
        <v>91</v>
      </c>
      <c r="AU1677" s="1" t="s">
        <v>91</v>
      </c>
      <c r="AV1677" t="s">
        <v>91</v>
      </c>
      <c r="AW1677" t="s">
        <v>91</v>
      </c>
      <c r="AX1677" t="s">
        <v>91</v>
      </c>
      <c r="AY1677" t="s">
        <v>91</v>
      </c>
      <c r="AZ1677" t="s">
        <v>91</v>
      </c>
      <c r="BA1677" t="s">
        <v>91</v>
      </c>
      <c r="BB1677" s="2">
        <v>45118.101759259262</v>
      </c>
      <c r="BC1677" s="2"/>
      <c r="BD1677" t="s">
        <v>91</v>
      </c>
      <c r="BF1677" s="1" t="s">
        <v>75</v>
      </c>
      <c r="BI1677" s="1" t="s">
        <v>88</v>
      </c>
      <c r="BJ1677">
        <v>1</v>
      </c>
      <c r="BK1677" s="1" t="s">
        <v>89</v>
      </c>
      <c r="BL1677" t="s">
        <v>91</v>
      </c>
      <c r="BM1677" s="1" t="s">
        <v>91</v>
      </c>
      <c r="BN1677" s="1" t="s">
        <v>91</v>
      </c>
      <c r="BO1677" s="1" t="s">
        <v>91</v>
      </c>
      <c r="BP1677" s="1" t="s">
        <v>91</v>
      </c>
      <c r="BQ1677" t="s">
        <v>91</v>
      </c>
      <c r="BR1677" s="3">
        <v>45118</v>
      </c>
      <c r="BS1677" s="3"/>
      <c r="BT1677" t="s">
        <v>91</v>
      </c>
      <c r="BU1677" t="s">
        <v>91</v>
      </c>
      <c r="BW1677" s="1" t="s">
        <v>90</v>
      </c>
    </row>
    <row r="1678" spans="1:75" hidden="1" x14ac:dyDescent="0.35">
      <c r="A1678">
        <v>137886</v>
      </c>
      <c r="B1678" s="1" t="s">
        <v>75</v>
      </c>
      <c r="C1678">
        <v>80</v>
      </c>
      <c r="D1678">
        <v>11121004</v>
      </c>
      <c r="E1678">
        <v>121004</v>
      </c>
      <c r="F1678" s="1" t="s">
        <v>6867</v>
      </c>
      <c r="G1678" s="1" t="s">
        <v>8958</v>
      </c>
      <c r="H1678">
        <v>0</v>
      </c>
      <c r="I1678" s="1" t="s">
        <v>78</v>
      </c>
      <c r="J1678" s="1" t="s">
        <v>8959</v>
      </c>
      <c r="K1678" s="1" t="s">
        <v>8960</v>
      </c>
      <c r="L1678" t="s">
        <v>91</v>
      </c>
      <c r="M1678" t="s">
        <v>91</v>
      </c>
      <c r="N1678" s="1" t="s">
        <v>8961</v>
      </c>
      <c r="O1678" t="s">
        <v>91</v>
      </c>
      <c r="P1678" s="1" t="s">
        <v>611</v>
      </c>
      <c r="Q1678" s="1" t="s">
        <v>8962</v>
      </c>
      <c r="R1678" s="1" t="s">
        <v>91</v>
      </c>
      <c r="S1678">
        <v>1271</v>
      </c>
      <c r="T1678">
        <v>89010003</v>
      </c>
      <c r="U1678" s="1" t="s">
        <v>108</v>
      </c>
      <c r="V1678" s="1" t="s">
        <v>3571</v>
      </c>
      <c r="W1678" s="1" t="s">
        <v>87</v>
      </c>
      <c r="X1678">
        <v>47</v>
      </c>
      <c r="Y1678">
        <v>31443577</v>
      </c>
      <c r="Z1678" t="s">
        <v>91</v>
      </c>
      <c r="AA1678" t="s">
        <v>91</v>
      </c>
      <c r="AB1678" t="s">
        <v>91</v>
      </c>
      <c r="AC1678" t="s">
        <v>91</v>
      </c>
      <c r="AD1678" t="s">
        <v>91</v>
      </c>
      <c r="AE1678" t="s">
        <v>91</v>
      </c>
      <c r="AF1678" t="s">
        <v>91</v>
      </c>
      <c r="AG1678" s="1" t="s">
        <v>146</v>
      </c>
      <c r="AH1678" s="1" t="s">
        <v>91</v>
      </c>
      <c r="AI1678" t="s">
        <v>91</v>
      </c>
      <c r="AM1678" t="s">
        <v>91</v>
      </c>
      <c r="AN1678" t="s">
        <v>91</v>
      </c>
      <c r="AO1678" t="s">
        <v>91</v>
      </c>
      <c r="AP1678" t="s">
        <v>91</v>
      </c>
      <c r="AQ1678" s="1" t="s">
        <v>147</v>
      </c>
      <c r="AR1678" s="1" t="s">
        <v>147</v>
      </c>
      <c r="AS1678" s="1" t="s">
        <v>147</v>
      </c>
      <c r="AT1678" s="1" t="s">
        <v>147</v>
      </c>
      <c r="AU1678" s="1" t="s">
        <v>147</v>
      </c>
      <c r="AV1678" t="s">
        <v>91</v>
      </c>
      <c r="AW1678" t="s">
        <v>91</v>
      </c>
      <c r="AX1678" t="s">
        <v>91</v>
      </c>
      <c r="AY1678" t="s">
        <v>91</v>
      </c>
      <c r="AZ1678" t="s">
        <v>91</v>
      </c>
      <c r="BA1678" t="s">
        <v>91</v>
      </c>
      <c r="BB1678" s="2">
        <v>44378.578518518516</v>
      </c>
      <c r="BC1678" s="2">
        <v>44461.727280092593</v>
      </c>
      <c r="BD1678" t="s">
        <v>91</v>
      </c>
      <c r="BF1678" s="1" t="s">
        <v>75</v>
      </c>
      <c r="BH1678">
        <v>0</v>
      </c>
      <c r="BI1678" s="1" t="s">
        <v>88</v>
      </c>
      <c r="BJ1678">
        <v>1</v>
      </c>
      <c r="BK1678" s="1" t="s">
        <v>89</v>
      </c>
      <c r="BL1678" t="s">
        <v>91</v>
      </c>
      <c r="BM1678" s="1" t="s">
        <v>639</v>
      </c>
      <c r="BN1678" s="1" t="s">
        <v>110</v>
      </c>
      <c r="BO1678" s="1" t="s">
        <v>165</v>
      </c>
      <c r="BP1678" s="1" t="s">
        <v>91</v>
      </c>
      <c r="BQ1678" t="s">
        <v>91</v>
      </c>
      <c r="BR1678" s="3">
        <v>44378</v>
      </c>
      <c r="BS1678" s="3">
        <v>44461</v>
      </c>
      <c r="BT1678" t="s">
        <v>91</v>
      </c>
      <c r="BU1678" t="s">
        <v>91</v>
      </c>
      <c r="BW1678" s="1" t="s">
        <v>1254</v>
      </c>
    </row>
    <row r="1679" spans="1:75" hidden="1" x14ac:dyDescent="0.35">
      <c r="A1679">
        <v>1263</v>
      </c>
      <c r="B1679" s="1" t="s">
        <v>75</v>
      </c>
      <c r="C1679">
        <v>80</v>
      </c>
      <c r="D1679">
        <v>11121004</v>
      </c>
      <c r="E1679">
        <v>121004</v>
      </c>
      <c r="F1679" s="1" t="s">
        <v>6867</v>
      </c>
      <c r="G1679" s="1" t="s">
        <v>8963</v>
      </c>
      <c r="I1679" s="1" t="s">
        <v>78</v>
      </c>
      <c r="J1679" s="1" t="s">
        <v>8964</v>
      </c>
      <c r="K1679" s="1" t="s">
        <v>8965</v>
      </c>
      <c r="L1679" t="s">
        <v>91</v>
      </c>
      <c r="M1679" t="s">
        <v>91</v>
      </c>
      <c r="N1679" s="1" t="s">
        <v>8966</v>
      </c>
      <c r="O1679" t="s">
        <v>91</v>
      </c>
      <c r="P1679" s="1" t="s">
        <v>8967</v>
      </c>
      <c r="Q1679" s="1" t="s">
        <v>4814</v>
      </c>
      <c r="R1679" s="1" t="s">
        <v>370</v>
      </c>
      <c r="S1679">
        <v>1264</v>
      </c>
      <c r="T1679">
        <v>88400000</v>
      </c>
      <c r="U1679" s="1" t="s">
        <v>108</v>
      </c>
      <c r="V1679" s="1" t="s">
        <v>7470</v>
      </c>
      <c r="W1679" s="1" t="s">
        <v>87</v>
      </c>
      <c r="X1679">
        <v>47</v>
      </c>
      <c r="Y1679">
        <v>35333232</v>
      </c>
      <c r="Z1679" t="s">
        <v>91</v>
      </c>
      <c r="AA1679" t="s">
        <v>91</v>
      </c>
      <c r="AB1679" t="s">
        <v>91</v>
      </c>
      <c r="AC1679" t="s">
        <v>91</v>
      </c>
      <c r="AD1679" t="s">
        <v>91</v>
      </c>
      <c r="AE1679" t="s">
        <v>91</v>
      </c>
      <c r="AF1679" t="s">
        <v>91</v>
      </c>
      <c r="AG1679" s="1" t="s">
        <v>91</v>
      </c>
      <c r="AH1679" s="1" t="s">
        <v>91</v>
      </c>
      <c r="AI1679" t="s">
        <v>91</v>
      </c>
      <c r="AJ1679">
        <v>0</v>
      </c>
      <c r="AK1679">
        <v>0</v>
      </c>
      <c r="AL1679">
        <v>0</v>
      </c>
      <c r="AM1679" t="s">
        <v>91</v>
      </c>
      <c r="AN1679" t="s">
        <v>91</v>
      </c>
      <c r="AO1679" t="s">
        <v>91</v>
      </c>
      <c r="AP1679" t="s">
        <v>91</v>
      </c>
      <c r="AQ1679" s="1" t="s">
        <v>91</v>
      </c>
      <c r="AR1679" s="1" t="s">
        <v>91</v>
      </c>
      <c r="AS1679" s="1" t="s">
        <v>91</v>
      </c>
      <c r="AT1679" s="1" t="s">
        <v>91</v>
      </c>
      <c r="AU1679" s="1" t="s">
        <v>91</v>
      </c>
      <c r="AV1679" t="s">
        <v>91</v>
      </c>
      <c r="AW1679" t="s">
        <v>91</v>
      </c>
      <c r="AX1679" t="s">
        <v>91</v>
      </c>
      <c r="AY1679" t="s">
        <v>91</v>
      </c>
      <c r="AZ1679" t="s">
        <v>91</v>
      </c>
      <c r="BA1679" t="s">
        <v>91</v>
      </c>
      <c r="BB1679" s="2">
        <v>43308.393194444441</v>
      </c>
      <c r="BC1679" s="2"/>
      <c r="BD1679" t="s">
        <v>91</v>
      </c>
      <c r="BE1679">
        <v>1263</v>
      </c>
      <c r="BF1679" s="1" t="s">
        <v>75</v>
      </c>
      <c r="BG1679">
        <v>0</v>
      </c>
      <c r="BH1679">
        <v>0</v>
      </c>
      <c r="BI1679" s="1" t="s">
        <v>88</v>
      </c>
      <c r="BJ1679">
        <v>1</v>
      </c>
      <c r="BK1679" s="1" t="s">
        <v>89</v>
      </c>
      <c r="BL1679" t="s">
        <v>91</v>
      </c>
      <c r="BM1679" s="1" t="s">
        <v>329</v>
      </c>
      <c r="BN1679" s="1" t="s">
        <v>110</v>
      </c>
      <c r="BO1679" s="1" t="s">
        <v>165</v>
      </c>
      <c r="BP1679" s="1" t="s">
        <v>91</v>
      </c>
      <c r="BQ1679" t="s">
        <v>91</v>
      </c>
      <c r="BR1679" s="3">
        <v>43308</v>
      </c>
      <c r="BS1679" s="3"/>
      <c r="BT1679" t="s">
        <v>91</v>
      </c>
      <c r="BU1679" t="s">
        <v>91</v>
      </c>
      <c r="BV1679">
        <v>5</v>
      </c>
      <c r="BW1679" s="1" t="s">
        <v>728</v>
      </c>
    </row>
    <row r="1680" spans="1:75" hidden="1" x14ac:dyDescent="0.35">
      <c r="A1680">
        <v>137888</v>
      </c>
      <c r="B1680" s="1" t="s">
        <v>75</v>
      </c>
      <c r="C1680">
        <v>80</v>
      </c>
      <c r="D1680">
        <v>11121004</v>
      </c>
      <c r="E1680">
        <v>121004</v>
      </c>
      <c r="F1680" s="1" t="s">
        <v>6867</v>
      </c>
      <c r="G1680" s="1" t="s">
        <v>8968</v>
      </c>
      <c r="H1680">
        <v>0</v>
      </c>
      <c r="I1680" s="1" t="s">
        <v>78</v>
      </c>
      <c r="J1680" s="1" t="s">
        <v>8969</v>
      </c>
      <c r="K1680" s="1" t="s">
        <v>8970</v>
      </c>
      <c r="L1680" t="s">
        <v>91</v>
      </c>
      <c r="M1680" t="s">
        <v>91</v>
      </c>
      <c r="N1680" s="1" t="s">
        <v>8971</v>
      </c>
      <c r="O1680" t="s">
        <v>91</v>
      </c>
      <c r="P1680" s="1" t="s">
        <v>7108</v>
      </c>
      <c r="Q1680" s="1" t="s">
        <v>8972</v>
      </c>
      <c r="R1680" s="1" t="s">
        <v>91</v>
      </c>
      <c r="S1680">
        <v>1260</v>
      </c>
      <c r="T1680">
        <v>88270000</v>
      </c>
      <c r="U1680" s="1" t="s">
        <v>108</v>
      </c>
      <c r="V1680" s="1" t="s">
        <v>7110</v>
      </c>
      <c r="W1680" s="1" t="s">
        <v>87</v>
      </c>
      <c r="X1680">
        <v>48</v>
      </c>
      <c r="Y1680">
        <v>32670205</v>
      </c>
      <c r="Z1680" t="s">
        <v>91</v>
      </c>
      <c r="AA1680" t="s">
        <v>91</v>
      </c>
      <c r="AB1680" t="s">
        <v>91</v>
      </c>
      <c r="AC1680" t="s">
        <v>91</v>
      </c>
      <c r="AD1680" t="s">
        <v>91</v>
      </c>
      <c r="AE1680" t="s">
        <v>91</v>
      </c>
      <c r="AF1680" t="s">
        <v>91</v>
      </c>
      <c r="AG1680" s="1" t="s">
        <v>146</v>
      </c>
      <c r="AH1680" s="1" t="s">
        <v>91</v>
      </c>
      <c r="AI1680" t="s">
        <v>91</v>
      </c>
      <c r="AM1680" t="s">
        <v>91</v>
      </c>
      <c r="AN1680" t="s">
        <v>91</v>
      </c>
      <c r="AO1680" t="s">
        <v>91</v>
      </c>
      <c r="AP1680" t="s">
        <v>91</v>
      </c>
      <c r="AQ1680" s="1" t="s">
        <v>147</v>
      </c>
      <c r="AR1680" s="1" t="s">
        <v>147</v>
      </c>
      <c r="AS1680" s="1" t="s">
        <v>147</v>
      </c>
      <c r="AT1680" s="1" t="s">
        <v>147</v>
      </c>
      <c r="AU1680" s="1" t="s">
        <v>147</v>
      </c>
      <c r="AV1680" t="s">
        <v>91</v>
      </c>
      <c r="AW1680" t="s">
        <v>91</v>
      </c>
      <c r="AX1680" t="s">
        <v>91</v>
      </c>
      <c r="AY1680" t="s">
        <v>91</v>
      </c>
      <c r="AZ1680" t="s">
        <v>91</v>
      </c>
      <c r="BA1680" t="s">
        <v>91</v>
      </c>
      <c r="BB1680" s="2">
        <v>44378.578518518516</v>
      </c>
      <c r="BC1680" s="2">
        <v>44656.673946759256</v>
      </c>
      <c r="BD1680" t="s">
        <v>91</v>
      </c>
      <c r="BF1680" s="1" t="s">
        <v>75</v>
      </c>
      <c r="BH1680">
        <v>0</v>
      </c>
      <c r="BI1680" s="1" t="s">
        <v>88</v>
      </c>
      <c r="BJ1680">
        <v>1</v>
      </c>
      <c r="BK1680" s="1" t="s">
        <v>89</v>
      </c>
      <c r="BL1680" t="s">
        <v>91</v>
      </c>
      <c r="BM1680" s="1" t="s">
        <v>109</v>
      </c>
      <c r="BN1680" s="1" t="s">
        <v>110</v>
      </c>
      <c r="BO1680" s="1" t="s">
        <v>111</v>
      </c>
      <c r="BP1680" s="1" t="s">
        <v>91</v>
      </c>
      <c r="BQ1680" t="s">
        <v>91</v>
      </c>
      <c r="BR1680" s="3">
        <v>44378</v>
      </c>
      <c r="BS1680" s="3">
        <v>44656</v>
      </c>
      <c r="BT1680" t="s">
        <v>91</v>
      </c>
      <c r="BU1680" t="s">
        <v>91</v>
      </c>
      <c r="BW1680" s="1" t="s">
        <v>3600</v>
      </c>
    </row>
    <row r="1681" spans="1:75" hidden="1" x14ac:dyDescent="0.35">
      <c r="A1681">
        <v>137889</v>
      </c>
      <c r="B1681" s="1" t="s">
        <v>75</v>
      </c>
      <c r="C1681">
        <v>80</v>
      </c>
      <c r="D1681">
        <v>11121004</v>
      </c>
      <c r="E1681">
        <v>121004</v>
      </c>
      <c r="F1681" s="1" t="s">
        <v>6867</v>
      </c>
      <c r="G1681" s="1" t="s">
        <v>8973</v>
      </c>
      <c r="H1681">
        <v>0</v>
      </c>
      <c r="I1681" s="1" t="s">
        <v>78</v>
      </c>
      <c r="J1681" s="1" t="s">
        <v>8974</v>
      </c>
      <c r="K1681" s="1" t="s">
        <v>8975</v>
      </c>
      <c r="L1681" t="s">
        <v>91</v>
      </c>
      <c r="M1681" t="s">
        <v>91</v>
      </c>
      <c r="N1681" s="1" t="s">
        <v>8976</v>
      </c>
      <c r="O1681" t="s">
        <v>91</v>
      </c>
      <c r="P1681" s="1" t="s">
        <v>3083</v>
      </c>
      <c r="Q1681" s="1" t="s">
        <v>861</v>
      </c>
      <c r="R1681" s="1" t="s">
        <v>91</v>
      </c>
      <c r="S1681">
        <v>1261</v>
      </c>
      <c r="T1681">
        <v>88301001</v>
      </c>
      <c r="U1681" s="1" t="s">
        <v>108</v>
      </c>
      <c r="V1681" s="1" t="s">
        <v>6881</v>
      </c>
      <c r="W1681" s="1" t="s">
        <v>87</v>
      </c>
      <c r="X1681">
        <v>47</v>
      </c>
      <c r="Y1681">
        <v>33443327</v>
      </c>
      <c r="Z1681" t="s">
        <v>91</v>
      </c>
      <c r="AA1681" t="s">
        <v>91</v>
      </c>
      <c r="AB1681" t="s">
        <v>91</v>
      </c>
      <c r="AC1681" t="s">
        <v>91</v>
      </c>
      <c r="AD1681" t="s">
        <v>91</v>
      </c>
      <c r="AE1681" t="s">
        <v>91</v>
      </c>
      <c r="AF1681" t="s">
        <v>91</v>
      </c>
      <c r="AG1681" s="1" t="s">
        <v>91</v>
      </c>
      <c r="AH1681" s="1" t="s">
        <v>91</v>
      </c>
      <c r="AI1681" t="s">
        <v>91</v>
      </c>
      <c r="AM1681" t="s">
        <v>91</v>
      </c>
      <c r="AN1681" t="s">
        <v>91</v>
      </c>
      <c r="AO1681" t="s">
        <v>91</v>
      </c>
      <c r="AP1681" t="s">
        <v>91</v>
      </c>
      <c r="AQ1681" s="1" t="s">
        <v>91</v>
      </c>
      <c r="AR1681" s="1" t="s">
        <v>91</v>
      </c>
      <c r="AS1681" s="1" t="s">
        <v>91</v>
      </c>
      <c r="AT1681" s="1" t="s">
        <v>91</v>
      </c>
      <c r="AU1681" s="1" t="s">
        <v>91</v>
      </c>
      <c r="AV1681" t="s">
        <v>91</v>
      </c>
      <c r="AW1681" t="s">
        <v>91</v>
      </c>
      <c r="AX1681" t="s">
        <v>91</v>
      </c>
      <c r="AY1681" t="s">
        <v>91</v>
      </c>
      <c r="AZ1681" t="s">
        <v>91</v>
      </c>
      <c r="BA1681" t="s">
        <v>91</v>
      </c>
      <c r="BB1681" s="2">
        <v>44378.578518518516</v>
      </c>
      <c r="BC1681" s="2"/>
      <c r="BD1681" t="s">
        <v>91</v>
      </c>
      <c r="BF1681" s="1" t="s">
        <v>75</v>
      </c>
      <c r="BI1681" s="1" t="s">
        <v>88</v>
      </c>
      <c r="BJ1681">
        <v>1</v>
      </c>
      <c r="BK1681" s="1" t="s">
        <v>89</v>
      </c>
      <c r="BL1681" t="s">
        <v>91</v>
      </c>
      <c r="BM1681" s="1" t="s">
        <v>109</v>
      </c>
      <c r="BN1681" s="1" t="s">
        <v>148</v>
      </c>
      <c r="BO1681" s="1" t="s">
        <v>180</v>
      </c>
      <c r="BP1681" s="1" t="s">
        <v>91</v>
      </c>
      <c r="BQ1681" t="s">
        <v>91</v>
      </c>
      <c r="BR1681" s="3">
        <v>44378</v>
      </c>
      <c r="BS1681" s="3"/>
      <c r="BT1681" t="s">
        <v>91</v>
      </c>
      <c r="BU1681" t="s">
        <v>91</v>
      </c>
      <c r="BW1681" s="1" t="s">
        <v>90</v>
      </c>
    </row>
    <row r="1682" spans="1:75" hidden="1" x14ac:dyDescent="0.35">
      <c r="A1682">
        <v>157793</v>
      </c>
      <c r="B1682" s="1" t="s">
        <v>75</v>
      </c>
      <c r="C1682">
        <v>80</v>
      </c>
      <c r="D1682">
        <v>11121004</v>
      </c>
      <c r="E1682">
        <v>121004</v>
      </c>
      <c r="F1682" s="1" t="s">
        <v>6867</v>
      </c>
      <c r="G1682" s="1" t="s">
        <v>8977</v>
      </c>
      <c r="H1682">
        <v>0</v>
      </c>
      <c r="I1682" s="1" t="s">
        <v>78</v>
      </c>
      <c r="J1682" s="1" t="s">
        <v>8978</v>
      </c>
      <c r="K1682" s="1" t="s">
        <v>8979</v>
      </c>
      <c r="L1682" t="s">
        <v>91</v>
      </c>
      <c r="M1682" t="s">
        <v>91</v>
      </c>
      <c r="N1682" s="1" t="s">
        <v>8980</v>
      </c>
      <c r="O1682" t="s">
        <v>91</v>
      </c>
      <c r="P1682" s="1" t="s">
        <v>1094</v>
      </c>
      <c r="Q1682" s="1" t="s">
        <v>1912</v>
      </c>
      <c r="R1682" s="1" t="s">
        <v>518</v>
      </c>
      <c r="S1682">
        <v>1260</v>
      </c>
      <c r="T1682">
        <v>88240000</v>
      </c>
      <c r="U1682" s="1" t="s">
        <v>108</v>
      </c>
      <c r="V1682" s="1" t="s">
        <v>8981</v>
      </c>
      <c r="W1682" s="1" t="s">
        <v>87</v>
      </c>
      <c r="X1682">
        <v>48</v>
      </c>
      <c r="Y1682">
        <v>32652525</v>
      </c>
      <c r="Z1682" t="s">
        <v>91</v>
      </c>
      <c r="AA1682" t="s">
        <v>91</v>
      </c>
      <c r="AB1682" t="s">
        <v>91</v>
      </c>
      <c r="AC1682" t="s">
        <v>91</v>
      </c>
      <c r="AD1682" t="s">
        <v>91</v>
      </c>
      <c r="AE1682" t="s">
        <v>91</v>
      </c>
      <c r="AF1682" t="s">
        <v>91</v>
      </c>
      <c r="AG1682" s="1" t="s">
        <v>91</v>
      </c>
      <c r="AH1682" s="1" t="s">
        <v>91</v>
      </c>
      <c r="AI1682" t="s">
        <v>91</v>
      </c>
      <c r="AM1682" t="s">
        <v>91</v>
      </c>
      <c r="AN1682" t="s">
        <v>91</v>
      </c>
      <c r="AO1682" t="s">
        <v>91</v>
      </c>
      <c r="AP1682" t="s">
        <v>91</v>
      </c>
      <c r="AQ1682" s="1" t="s">
        <v>91</v>
      </c>
      <c r="AR1682" s="1" t="s">
        <v>91</v>
      </c>
      <c r="AS1682" s="1" t="s">
        <v>91</v>
      </c>
      <c r="AT1682" s="1" t="s">
        <v>91</v>
      </c>
      <c r="AU1682" s="1" t="s">
        <v>91</v>
      </c>
      <c r="AV1682" t="s">
        <v>91</v>
      </c>
      <c r="AW1682" t="s">
        <v>91</v>
      </c>
      <c r="AX1682" t="s">
        <v>91</v>
      </c>
      <c r="AY1682" t="s">
        <v>91</v>
      </c>
      <c r="AZ1682" t="s">
        <v>91</v>
      </c>
      <c r="BA1682" t="s">
        <v>91</v>
      </c>
      <c r="BB1682" s="2">
        <v>45118.101759259262</v>
      </c>
      <c r="BC1682" s="2"/>
      <c r="BD1682" t="s">
        <v>91</v>
      </c>
      <c r="BF1682" s="1" t="s">
        <v>75</v>
      </c>
      <c r="BI1682" s="1" t="s">
        <v>88</v>
      </c>
      <c r="BJ1682">
        <v>1</v>
      </c>
      <c r="BK1682" s="1" t="s">
        <v>89</v>
      </c>
      <c r="BL1682" t="s">
        <v>91</v>
      </c>
      <c r="BM1682" s="1" t="s">
        <v>91</v>
      </c>
      <c r="BN1682" s="1" t="s">
        <v>91</v>
      </c>
      <c r="BO1682" s="1" t="s">
        <v>91</v>
      </c>
      <c r="BP1682" s="1" t="s">
        <v>91</v>
      </c>
      <c r="BQ1682" t="s">
        <v>91</v>
      </c>
      <c r="BR1682" s="3">
        <v>45118</v>
      </c>
      <c r="BS1682" s="3"/>
      <c r="BT1682" t="s">
        <v>91</v>
      </c>
      <c r="BU1682" t="s">
        <v>91</v>
      </c>
      <c r="BW1682" s="1" t="s">
        <v>90</v>
      </c>
    </row>
    <row r="1683" spans="1:75" hidden="1" x14ac:dyDescent="0.35">
      <c r="A1683">
        <v>117448</v>
      </c>
      <c r="B1683" s="1" t="s">
        <v>75</v>
      </c>
      <c r="C1683">
        <v>80</v>
      </c>
      <c r="D1683">
        <v>11121004</v>
      </c>
      <c r="E1683">
        <v>121004</v>
      </c>
      <c r="F1683" s="1" t="s">
        <v>6867</v>
      </c>
      <c r="G1683" s="1" t="s">
        <v>8982</v>
      </c>
      <c r="H1683">
        <v>0</v>
      </c>
      <c r="I1683" s="1" t="s">
        <v>78</v>
      </c>
      <c r="J1683" s="1" t="s">
        <v>8983</v>
      </c>
      <c r="K1683" s="1" t="s">
        <v>8984</v>
      </c>
      <c r="L1683" t="s">
        <v>91</v>
      </c>
      <c r="M1683" t="s">
        <v>91</v>
      </c>
      <c r="N1683" s="1" t="s">
        <v>8985</v>
      </c>
      <c r="O1683" t="s">
        <v>91</v>
      </c>
      <c r="P1683" s="1" t="s">
        <v>8986</v>
      </c>
      <c r="Q1683" s="1" t="s">
        <v>783</v>
      </c>
      <c r="R1683" s="1" t="s">
        <v>91</v>
      </c>
      <c r="S1683">
        <v>1263</v>
      </c>
      <c r="T1683">
        <v>88359321</v>
      </c>
      <c r="U1683" s="1" t="s">
        <v>6935</v>
      </c>
      <c r="V1683" s="1" t="s">
        <v>6936</v>
      </c>
      <c r="W1683" s="1" t="s">
        <v>87</v>
      </c>
      <c r="X1683">
        <v>47</v>
      </c>
      <c r="Y1683">
        <v>30194947</v>
      </c>
      <c r="Z1683" t="s">
        <v>91</v>
      </c>
      <c r="AA1683" t="s">
        <v>91</v>
      </c>
      <c r="AB1683" t="s">
        <v>91</v>
      </c>
      <c r="AC1683" t="s">
        <v>91</v>
      </c>
      <c r="AD1683" t="s">
        <v>91</v>
      </c>
      <c r="AE1683" t="s">
        <v>91</v>
      </c>
      <c r="AF1683" t="s">
        <v>91</v>
      </c>
      <c r="AG1683" s="1" t="s">
        <v>91</v>
      </c>
      <c r="AH1683" s="1" t="s">
        <v>91</v>
      </c>
      <c r="AI1683" t="s">
        <v>91</v>
      </c>
      <c r="AJ1683">
        <v>0</v>
      </c>
      <c r="AK1683">
        <v>0</v>
      </c>
      <c r="AL1683">
        <v>0</v>
      </c>
      <c r="AM1683" t="s">
        <v>91</v>
      </c>
      <c r="AN1683" t="s">
        <v>91</v>
      </c>
      <c r="AO1683" t="s">
        <v>91</v>
      </c>
      <c r="AP1683" t="s">
        <v>91</v>
      </c>
      <c r="AQ1683" s="1" t="s">
        <v>91</v>
      </c>
      <c r="AR1683" s="1" t="s">
        <v>91</v>
      </c>
      <c r="AS1683" s="1" t="s">
        <v>91</v>
      </c>
      <c r="AT1683" s="1" t="s">
        <v>91</v>
      </c>
      <c r="AU1683" s="1" t="s">
        <v>91</v>
      </c>
      <c r="AV1683" t="s">
        <v>91</v>
      </c>
      <c r="AW1683" t="s">
        <v>91</v>
      </c>
      <c r="AX1683" t="s">
        <v>91</v>
      </c>
      <c r="AY1683" t="s">
        <v>91</v>
      </c>
      <c r="AZ1683" t="s">
        <v>91</v>
      </c>
      <c r="BA1683" t="s">
        <v>91</v>
      </c>
      <c r="BB1683" s="2">
        <v>44034.350266203706</v>
      </c>
      <c r="BC1683" s="2"/>
      <c r="BD1683" t="s">
        <v>91</v>
      </c>
      <c r="BF1683" s="1" t="s">
        <v>75</v>
      </c>
      <c r="BG1683">
        <v>0</v>
      </c>
      <c r="BH1683">
        <v>0</v>
      </c>
      <c r="BI1683" s="1" t="s">
        <v>88</v>
      </c>
      <c r="BJ1683">
        <v>1</v>
      </c>
      <c r="BK1683" s="1" t="s">
        <v>89</v>
      </c>
      <c r="BL1683" t="s">
        <v>91</v>
      </c>
      <c r="BM1683" s="1" t="s">
        <v>109</v>
      </c>
      <c r="BN1683" s="1" t="s">
        <v>110</v>
      </c>
      <c r="BO1683" s="1" t="s">
        <v>128</v>
      </c>
      <c r="BP1683" s="1" t="s">
        <v>91</v>
      </c>
      <c r="BQ1683" t="s">
        <v>91</v>
      </c>
      <c r="BR1683" s="3">
        <v>44034</v>
      </c>
      <c r="BS1683" s="3"/>
      <c r="BT1683" t="s">
        <v>91</v>
      </c>
      <c r="BU1683" t="s">
        <v>91</v>
      </c>
      <c r="BV1683">
        <v>5</v>
      </c>
      <c r="BW1683" s="1" t="s">
        <v>3002</v>
      </c>
    </row>
    <row r="1684" spans="1:75" hidden="1" x14ac:dyDescent="0.35">
      <c r="A1684">
        <v>137892</v>
      </c>
      <c r="B1684" s="1" t="s">
        <v>75</v>
      </c>
      <c r="C1684">
        <v>80</v>
      </c>
      <c r="D1684">
        <v>11121004</v>
      </c>
      <c r="E1684">
        <v>121004</v>
      </c>
      <c r="F1684" s="1" t="s">
        <v>6867</v>
      </c>
      <c r="G1684" s="1" t="s">
        <v>8987</v>
      </c>
      <c r="H1684">
        <v>0</v>
      </c>
      <c r="I1684" s="1" t="s">
        <v>78</v>
      </c>
      <c r="J1684" s="1" t="s">
        <v>8988</v>
      </c>
      <c r="K1684" s="1" t="s">
        <v>8989</v>
      </c>
      <c r="L1684" t="s">
        <v>91</v>
      </c>
      <c r="M1684" t="s">
        <v>91</v>
      </c>
      <c r="N1684" s="1" t="s">
        <v>8990</v>
      </c>
      <c r="O1684" t="s">
        <v>91</v>
      </c>
      <c r="P1684" s="1" t="s">
        <v>8144</v>
      </c>
      <c r="Q1684" s="1" t="s">
        <v>8991</v>
      </c>
      <c r="R1684" s="1" t="s">
        <v>91</v>
      </c>
      <c r="S1684">
        <v>1273</v>
      </c>
      <c r="T1684">
        <v>89068001</v>
      </c>
      <c r="U1684" s="1" t="s">
        <v>8146</v>
      </c>
      <c r="V1684" s="1" t="s">
        <v>3571</v>
      </c>
      <c r="W1684" s="1" t="s">
        <v>87</v>
      </c>
      <c r="X1684">
        <v>47</v>
      </c>
      <c r="Y1684">
        <v>33371607</v>
      </c>
      <c r="Z1684" t="s">
        <v>91</v>
      </c>
      <c r="AA1684" t="s">
        <v>91</v>
      </c>
      <c r="AB1684" t="s">
        <v>91</v>
      </c>
      <c r="AC1684" t="s">
        <v>91</v>
      </c>
      <c r="AD1684" t="s">
        <v>91</v>
      </c>
      <c r="AE1684" t="s">
        <v>91</v>
      </c>
      <c r="AF1684" t="s">
        <v>91</v>
      </c>
      <c r="AG1684" s="1" t="s">
        <v>146</v>
      </c>
      <c r="AH1684" s="1" t="s">
        <v>91</v>
      </c>
      <c r="AI1684" t="s">
        <v>91</v>
      </c>
      <c r="AM1684" t="s">
        <v>91</v>
      </c>
      <c r="AN1684" t="s">
        <v>91</v>
      </c>
      <c r="AO1684" t="s">
        <v>91</v>
      </c>
      <c r="AP1684" t="s">
        <v>91</v>
      </c>
      <c r="AQ1684" s="1" t="s">
        <v>147</v>
      </c>
      <c r="AR1684" s="1" t="s">
        <v>147</v>
      </c>
      <c r="AS1684" s="1" t="s">
        <v>147</v>
      </c>
      <c r="AT1684" s="1" t="s">
        <v>147</v>
      </c>
      <c r="AU1684" s="1" t="s">
        <v>147</v>
      </c>
      <c r="AV1684" t="s">
        <v>91</v>
      </c>
      <c r="AW1684" t="s">
        <v>91</v>
      </c>
      <c r="AX1684" t="s">
        <v>91</v>
      </c>
      <c r="AY1684" t="s">
        <v>91</v>
      </c>
      <c r="AZ1684" t="s">
        <v>91</v>
      </c>
      <c r="BA1684" t="s">
        <v>91</v>
      </c>
      <c r="BB1684" s="2">
        <v>44378.578518518516</v>
      </c>
      <c r="BC1684" s="2">
        <v>45132.657314814816</v>
      </c>
      <c r="BD1684" t="s">
        <v>91</v>
      </c>
      <c r="BF1684" s="1" t="s">
        <v>75</v>
      </c>
      <c r="BH1684">
        <v>0</v>
      </c>
      <c r="BI1684" s="1" t="s">
        <v>721</v>
      </c>
      <c r="BJ1684">
        <v>1</v>
      </c>
      <c r="BK1684" s="1" t="s">
        <v>89</v>
      </c>
      <c r="BL1684" t="s">
        <v>91</v>
      </c>
      <c r="BM1684" s="1" t="s">
        <v>329</v>
      </c>
      <c r="BN1684" s="1" t="s">
        <v>110</v>
      </c>
      <c r="BO1684" s="1" t="s">
        <v>165</v>
      </c>
      <c r="BP1684" s="1" t="s">
        <v>91</v>
      </c>
      <c r="BQ1684" t="s">
        <v>91</v>
      </c>
      <c r="BR1684" s="3">
        <v>44378</v>
      </c>
      <c r="BS1684" s="3">
        <v>45132</v>
      </c>
      <c r="BT1684" t="s">
        <v>91</v>
      </c>
      <c r="BU1684" t="s">
        <v>91</v>
      </c>
      <c r="BW1684" s="1" t="s">
        <v>1254</v>
      </c>
    </row>
    <row r="1685" spans="1:75" hidden="1" x14ac:dyDescent="0.35">
      <c r="A1685">
        <v>137893</v>
      </c>
      <c r="B1685" s="1" t="s">
        <v>75</v>
      </c>
      <c r="C1685">
        <v>80</v>
      </c>
      <c r="D1685">
        <v>11121004</v>
      </c>
      <c r="E1685">
        <v>121004</v>
      </c>
      <c r="F1685" s="1" t="s">
        <v>6867</v>
      </c>
      <c r="G1685" s="1" t="s">
        <v>8992</v>
      </c>
      <c r="H1685">
        <v>0</v>
      </c>
      <c r="I1685" s="1" t="s">
        <v>78</v>
      </c>
      <c r="J1685" s="1" t="s">
        <v>8993</v>
      </c>
      <c r="K1685" s="1" t="s">
        <v>8994</v>
      </c>
      <c r="L1685" t="s">
        <v>91</v>
      </c>
      <c r="M1685" t="s">
        <v>91</v>
      </c>
      <c r="N1685" s="1" t="s">
        <v>91</v>
      </c>
      <c r="O1685" t="s">
        <v>91</v>
      </c>
      <c r="P1685" s="1" t="s">
        <v>8995</v>
      </c>
      <c r="Q1685" s="1" t="s">
        <v>8996</v>
      </c>
      <c r="R1685" s="1" t="s">
        <v>1695</v>
      </c>
      <c r="S1685">
        <v>1263</v>
      </c>
      <c r="T1685">
        <v>88390000</v>
      </c>
      <c r="U1685" s="1" t="s">
        <v>7048</v>
      </c>
      <c r="V1685" s="1" t="s">
        <v>6913</v>
      </c>
      <c r="W1685" s="1" t="s">
        <v>87</v>
      </c>
      <c r="X1685">
        <v>47</v>
      </c>
      <c r="Y1685">
        <v>992166026</v>
      </c>
      <c r="Z1685" t="s">
        <v>91</v>
      </c>
      <c r="AA1685" t="s">
        <v>91</v>
      </c>
      <c r="AB1685" t="s">
        <v>91</v>
      </c>
      <c r="AC1685" t="s">
        <v>91</v>
      </c>
      <c r="AD1685" t="s">
        <v>91</v>
      </c>
      <c r="AE1685" t="s">
        <v>91</v>
      </c>
      <c r="AF1685" t="s">
        <v>91</v>
      </c>
      <c r="AG1685" s="1" t="s">
        <v>146</v>
      </c>
      <c r="AH1685" s="1" t="s">
        <v>91</v>
      </c>
      <c r="AI1685" t="s">
        <v>91</v>
      </c>
      <c r="AM1685" t="s">
        <v>91</v>
      </c>
      <c r="AN1685" t="s">
        <v>91</v>
      </c>
      <c r="AO1685" t="s">
        <v>91</v>
      </c>
      <c r="AP1685" t="s">
        <v>91</v>
      </c>
      <c r="AQ1685" s="1" t="s">
        <v>147</v>
      </c>
      <c r="AR1685" s="1" t="s">
        <v>147</v>
      </c>
      <c r="AS1685" s="1" t="s">
        <v>147</v>
      </c>
      <c r="AT1685" s="1" t="s">
        <v>147</v>
      </c>
      <c r="AU1685" s="1" t="s">
        <v>147</v>
      </c>
      <c r="AV1685" t="s">
        <v>91</v>
      </c>
      <c r="AW1685" t="s">
        <v>91</v>
      </c>
      <c r="AX1685" t="s">
        <v>91</v>
      </c>
      <c r="AY1685" t="s">
        <v>91</v>
      </c>
      <c r="AZ1685" t="s">
        <v>91</v>
      </c>
      <c r="BA1685" t="s">
        <v>91</v>
      </c>
      <c r="BB1685" s="2">
        <v>44378.578518518516</v>
      </c>
      <c r="BC1685" s="2">
        <v>44628.369733796295</v>
      </c>
      <c r="BD1685" t="s">
        <v>91</v>
      </c>
      <c r="BF1685" s="1" t="s">
        <v>75</v>
      </c>
      <c r="BH1685">
        <v>0</v>
      </c>
      <c r="BI1685" s="1" t="s">
        <v>88</v>
      </c>
      <c r="BJ1685">
        <v>1</v>
      </c>
      <c r="BK1685" s="1" t="s">
        <v>89</v>
      </c>
      <c r="BL1685" t="s">
        <v>91</v>
      </c>
      <c r="BM1685" s="1" t="s">
        <v>109</v>
      </c>
      <c r="BN1685" s="1" t="s">
        <v>110</v>
      </c>
      <c r="BO1685" s="1" t="s">
        <v>165</v>
      </c>
      <c r="BP1685" s="1" t="s">
        <v>91</v>
      </c>
      <c r="BQ1685" t="s">
        <v>91</v>
      </c>
      <c r="BR1685" s="3">
        <v>44378</v>
      </c>
      <c r="BS1685" s="3">
        <v>44628</v>
      </c>
      <c r="BT1685" t="s">
        <v>91</v>
      </c>
      <c r="BU1685" t="s">
        <v>91</v>
      </c>
      <c r="BW1685" s="1" t="s">
        <v>512</v>
      </c>
    </row>
    <row r="1686" spans="1:75" hidden="1" x14ac:dyDescent="0.35">
      <c r="A1686">
        <v>157761</v>
      </c>
      <c r="B1686" s="1" t="s">
        <v>75</v>
      </c>
      <c r="C1686">
        <v>80</v>
      </c>
      <c r="D1686">
        <v>11121004</v>
      </c>
      <c r="E1686">
        <v>121004</v>
      </c>
      <c r="F1686" s="1" t="s">
        <v>6867</v>
      </c>
      <c r="G1686" s="1" t="s">
        <v>8997</v>
      </c>
      <c r="H1686">
        <v>0</v>
      </c>
      <c r="I1686" s="1" t="s">
        <v>78</v>
      </c>
      <c r="J1686" s="1" t="s">
        <v>8998</v>
      </c>
      <c r="K1686" s="1" t="s">
        <v>8999</v>
      </c>
      <c r="L1686" t="s">
        <v>91</v>
      </c>
      <c r="M1686" t="s">
        <v>91</v>
      </c>
      <c r="N1686" s="1" t="s">
        <v>9000</v>
      </c>
      <c r="O1686" t="s">
        <v>91</v>
      </c>
      <c r="P1686" s="1" t="s">
        <v>7606</v>
      </c>
      <c r="Q1686" s="1" t="s">
        <v>3578</v>
      </c>
      <c r="R1686" s="1" t="s">
        <v>370</v>
      </c>
      <c r="S1686">
        <v>1275</v>
      </c>
      <c r="T1686">
        <v>89120000</v>
      </c>
      <c r="U1686" s="1" t="s">
        <v>108</v>
      </c>
      <c r="V1686" s="1" t="s">
        <v>7608</v>
      </c>
      <c r="W1686" s="1" t="s">
        <v>87</v>
      </c>
      <c r="X1686">
        <v>47</v>
      </c>
      <c r="Y1686">
        <v>33820880</v>
      </c>
      <c r="Z1686" t="s">
        <v>91</v>
      </c>
      <c r="AA1686" t="s">
        <v>91</v>
      </c>
      <c r="AB1686" t="s">
        <v>91</v>
      </c>
      <c r="AC1686" t="s">
        <v>91</v>
      </c>
      <c r="AD1686" t="s">
        <v>91</v>
      </c>
      <c r="AE1686" t="s">
        <v>91</v>
      </c>
      <c r="AF1686" t="s">
        <v>91</v>
      </c>
      <c r="AG1686" s="1" t="s">
        <v>91</v>
      </c>
      <c r="AH1686" s="1" t="s">
        <v>91</v>
      </c>
      <c r="AI1686" t="s">
        <v>91</v>
      </c>
      <c r="AM1686" t="s">
        <v>91</v>
      </c>
      <c r="AN1686" t="s">
        <v>91</v>
      </c>
      <c r="AO1686" t="s">
        <v>91</v>
      </c>
      <c r="AP1686" t="s">
        <v>91</v>
      </c>
      <c r="AQ1686" s="1" t="s">
        <v>91</v>
      </c>
      <c r="AR1686" s="1" t="s">
        <v>91</v>
      </c>
      <c r="AS1686" s="1" t="s">
        <v>91</v>
      </c>
      <c r="AT1686" s="1" t="s">
        <v>91</v>
      </c>
      <c r="AU1686" s="1" t="s">
        <v>91</v>
      </c>
      <c r="AV1686" t="s">
        <v>91</v>
      </c>
      <c r="AW1686" t="s">
        <v>91</v>
      </c>
      <c r="AX1686" t="s">
        <v>91</v>
      </c>
      <c r="AY1686" t="s">
        <v>91</v>
      </c>
      <c r="AZ1686" t="s">
        <v>91</v>
      </c>
      <c r="BA1686" t="s">
        <v>91</v>
      </c>
      <c r="BB1686" s="2">
        <v>45118.101759259262</v>
      </c>
      <c r="BC1686" s="2"/>
      <c r="BD1686" t="s">
        <v>91</v>
      </c>
      <c r="BF1686" s="1" t="s">
        <v>75</v>
      </c>
      <c r="BI1686" s="1" t="s">
        <v>88</v>
      </c>
      <c r="BJ1686">
        <v>1</v>
      </c>
      <c r="BK1686" s="1" t="s">
        <v>89</v>
      </c>
      <c r="BL1686" t="s">
        <v>91</v>
      </c>
      <c r="BM1686" s="1" t="s">
        <v>91</v>
      </c>
      <c r="BN1686" s="1" t="s">
        <v>91</v>
      </c>
      <c r="BO1686" s="1" t="s">
        <v>91</v>
      </c>
      <c r="BP1686" s="1" t="s">
        <v>91</v>
      </c>
      <c r="BQ1686" t="s">
        <v>91</v>
      </c>
      <c r="BR1686" s="3">
        <v>45118</v>
      </c>
      <c r="BS1686" s="3"/>
      <c r="BT1686" t="s">
        <v>91</v>
      </c>
      <c r="BU1686" t="s">
        <v>91</v>
      </c>
      <c r="BW1686" s="1" t="s">
        <v>90</v>
      </c>
    </row>
    <row r="1687" spans="1:75" hidden="1" x14ac:dyDescent="0.35">
      <c r="A1687">
        <v>158716</v>
      </c>
      <c r="B1687" s="1" t="s">
        <v>75</v>
      </c>
      <c r="C1687">
        <v>80</v>
      </c>
      <c r="D1687">
        <v>11121004</v>
      </c>
      <c r="E1687">
        <v>121004</v>
      </c>
      <c r="F1687" s="1" t="s">
        <v>6867</v>
      </c>
      <c r="G1687" s="1" t="s">
        <v>9001</v>
      </c>
      <c r="I1687" s="1" t="s">
        <v>78</v>
      </c>
      <c r="J1687" s="1" t="s">
        <v>9002</v>
      </c>
      <c r="K1687" s="1" t="s">
        <v>9003</v>
      </c>
      <c r="L1687" t="s">
        <v>91</v>
      </c>
      <c r="M1687" t="s">
        <v>91</v>
      </c>
      <c r="N1687" s="1" t="s">
        <v>9004</v>
      </c>
      <c r="O1687" t="s">
        <v>91</v>
      </c>
      <c r="P1687" s="1" t="s">
        <v>9005</v>
      </c>
      <c r="Q1687" s="1" t="s">
        <v>419</v>
      </c>
      <c r="R1687" s="1" t="s">
        <v>91</v>
      </c>
      <c r="T1687">
        <v>89160149</v>
      </c>
      <c r="U1687" s="1" t="s">
        <v>108</v>
      </c>
      <c r="V1687" s="1" t="s">
        <v>6927</v>
      </c>
      <c r="W1687" s="1" t="s">
        <v>87</v>
      </c>
      <c r="X1687">
        <v>47</v>
      </c>
      <c r="Y1687">
        <v>35213311</v>
      </c>
      <c r="Z1687" t="s">
        <v>91</v>
      </c>
      <c r="AA1687" t="s">
        <v>91</v>
      </c>
      <c r="AB1687" t="s">
        <v>91</v>
      </c>
      <c r="AC1687" t="s">
        <v>91</v>
      </c>
      <c r="AD1687" t="s">
        <v>91</v>
      </c>
      <c r="AE1687" t="s">
        <v>91</v>
      </c>
      <c r="AF1687" t="s">
        <v>91</v>
      </c>
      <c r="AG1687" s="1" t="s">
        <v>91</v>
      </c>
      <c r="AH1687" s="1" t="s">
        <v>91</v>
      </c>
      <c r="AI1687" t="s">
        <v>91</v>
      </c>
      <c r="AM1687" t="s">
        <v>91</v>
      </c>
      <c r="AN1687" t="s">
        <v>91</v>
      </c>
      <c r="AO1687" t="s">
        <v>91</v>
      </c>
      <c r="AP1687" t="s">
        <v>91</v>
      </c>
      <c r="AQ1687" s="1" t="s">
        <v>91</v>
      </c>
      <c r="AR1687" s="1" t="s">
        <v>91</v>
      </c>
      <c r="AS1687" s="1" t="s">
        <v>91</v>
      </c>
      <c r="AT1687" s="1" t="s">
        <v>91</v>
      </c>
      <c r="AU1687" s="1" t="s">
        <v>91</v>
      </c>
      <c r="AV1687" t="s">
        <v>91</v>
      </c>
      <c r="AW1687" t="s">
        <v>91</v>
      </c>
      <c r="AX1687" t="s">
        <v>91</v>
      </c>
      <c r="AY1687" t="s">
        <v>91</v>
      </c>
      <c r="AZ1687" t="s">
        <v>91</v>
      </c>
      <c r="BA1687" t="s">
        <v>91</v>
      </c>
      <c r="BB1687" s="2">
        <v>45155.700069444443</v>
      </c>
      <c r="BC1687" s="2"/>
      <c r="BD1687" t="s">
        <v>91</v>
      </c>
      <c r="BF1687" s="1" t="s">
        <v>75</v>
      </c>
      <c r="BI1687" s="1" t="s">
        <v>88</v>
      </c>
      <c r="BJ1687">
        <v>1</v>
      </c>
      <c r="BK1687" s="1" t="s">
        <v>89</v>
      </c>
      <c r="BL1687" t="s">
        <v>91</v>
      </c>
      <c r="BM1687" s="1" t="s">
        <v>91</v>
      </c>
      <c r="BN1687" s="1" t="s">
        <v>91</v>
      </c>
      <c r="BO1687" s="1" t="s">
        <v>91</v>
      </c>
      <c r="BP1687" s="1" t="s">
        <v>91</v>
      </c>
      <c r="BQ1687" t="s">
        <v>91</v>
      </c>
      <c r="BR1687" s="3">
        <v>45155</v>
      </c>
      <c r="BS1687" s="3"/>
      <c r="BT1687" t="s">
        <v>91</v>
      </c>
      <c r="BU1687" t="s">
        <v>91</v>
      </c>
      <c r="BW1687" s="1" t="s">
        <v>90</v>
      </c>
    </row>
    <row r="1688" spans="1:75" hidden="1" x14ac:dyDescent="0.35">
      <c r="A1688">
        <v>157752</v>
      </c>
      <c r="B1688" s="1" t="s">
        <v>75</v>
      </c>
      <c r="C1688">
        <v>80</v>
      </c>
      <c r="D1688">
        <v>11121004</v>
      </c>
      <c r="E1688">
        <v>121004</v>
      </c>
      <c r="F1688" s="1" t="s">
        <v>6867</v>
      </c>
      <c r="G1688" s="1" t="s">
        <v>9006</v>
      </c>
      <c r="H1688">
        <v>0</v>
      </c>
      <c r="I1688" s="1" t="s">
        <v>78</v>
      </c>
      <c r="J1688" s="1" t="s">
        <v>9007</v>
      </c>
      <c r="K1688" s="1" t="s">
        <v>9008</v>
      </c>
      <c r="L1688" t="s">
        <v>91</v>
      </c>
      <c r="M1688" t="s">
        <v>91</v>
      </c>
      <c r="N1688" s="1" t="s">
        <v>9009</v>
      </c>
      <c r="O1688" t="s">
        <v>91</v>
      </c>
      <c r="P1688" s="1" t="s">
        <v>9010</v>
      </c>
      <c r="Q1688" s="1" t="s">
        <v>8152</v>
      </c>
      <c r="R1688" s="1" t="s">
        <v>820</v>
      </c>
      <c r="S1688">
        <v>1273</v>
      </c>
      <c r="T1688">
        <v>89035402</v>
      </c>
      <c r="U1688" s="1" t="s">
        <v>688</v>
      </c>
      <c r="V1688" s="1" t="s">
        <v>3571</v>
      </c>
      <c r="W1688" s="1" t="s">
        <v>87</v>
      </c>
      <c r="X1688">
        <v>47</v>
      </c>
      <c r="Y1688">
        <v>30376232</v>
      </c>
      <c r="Z1688" t="s">
        <v>91</v>
      </c>
      <c r="AA1688" t="s">
        <v>91</v>
      </c>
      <c r="AB1688" t="s">
        <v>91</v>
      </c>
      <c r="AC1688" t="s">
        <v>91</v>
      </c>
      <c r="AD1688" t="s">
        <v>91</v>
      </c>
      <c r="AE1688" t="s">
        <v>91</v>
      </c>
      <c r="AF1688" t="s">
        <v>91</v>
      </c>
      <c r="AG1688" s="1" t="s">
        <v>91</v>
      </c>
      <c r="AH1688" s="1" t="s">
        <v>91</v>
      </c>
      <c r="AI1688" t="s">
        <v>91</v>
      </c>
      <c r="AM1688" t="s">
        <v>91</v>
      </c>
      <c r="AN1688" t="s">
        <v>91</v>
      </c>
      <c r="AO1688" t="s">
        <v>91</v>
      </c>
      <c r="AP1688" t="s">
        <v>91</v>
      </c>
      <c r="AQ1688" s="1" t="s">
        <v>91</v>
      </c>
      <c r="AR1688" s="1" t="s">
        <v>91</v>
      </c>
      <c r="AS1688" s="1" t="s">
        <v>91</v>
      </c>
      <c r="AT1688" s="1" t="s">
        <v>91</v>
      </c>
      <c r="AU1688" s="1" t="s">
        <v>91</v>
      </c>
      <c r="AV1688" t="s">
        <v>91</v>
      </c>
      <c r="AW1688" t="s">
        <v>91</v>
      </c>
      <c r="AX1688" t="s">
        <v>91</v>
      </c>
      <c r="AY1688" t="s">
        <v>91</v>
      </c>
      <c r="AZ1688" t="s">
        <v>91</v>
      </c>
      <c r="BA1688" t="s">
        <v>91</v>
      </c>
      <c r="BB1688" s="2">
        <v>45118.101759259262</v>
      </c>
      <c r="BC1688" s="2"/>
      <c r="BD1688" t="s">
        <v>91</v>
      </c>
      <c r="BF1688" s="1" t="s">
        <v>75</v>
      </c>
      <c r="BI1688" s="1" t="s">
        <v>88</v>
      </c>
      <c r="BJ1688">
        <v>1</v>
      </c>
      <c r="BK1688" s="1" t="s">
        <v>89</v>
      </c>
      <c r="BL1688" t="s">
        <v>91</v>
      </c>
      <c r="BM1688" s="1" t="s">
        <v>91</v>
      </c>
      <c r="BN1688" s="1" t="s">
        <v>91</v>
      </c>
      <c r="BO1688" s="1" t="s">
        <v>91</v>
      </c>
      <c r="BP1688" s="1" t="s">
        <v>91</v>
      </c>
      <c r="BQ1688" t="s">
        <v>91</v>
      </c>
      <c r="BR1688" s="3">
        <v>45118</v>
      </c>
      <c r="BS1688" s="3"/>
      <c r="BT1688" t="s">
        <v>91</v>
      </c>
      <c r="BU1688" t="s">
        <v>91</v>
      </c>
      <c r="BW1688" s="1" t="s">
        <v>90</v>
      </c>
    </row>
    <row r="1689" spans="1:75" hidden="1" x14ac:dyDescent="0.35">
      <c r="A1689">
        <v>157739</v>
      </c>
      <c r="B1689" s="1" t="s">
        <v>75</v>
      </c>
      <c r="C1689">
        <v>80</v>
      </c>
      <c r="D1689">
        <v>11121004</v>
      </c>
      <c r="E1689">
        <v>121004</v>
      </c>
      <c r="F1689" s="1" t="s">
        <v>6867</v>
      </c>
      <c r="G1689" s="1" t="s">
        <v>9011</v>
      </c>
      <c r="H1689">
        <v>0</v>
      </c>
      <c r="I1689" s="1" t="s">
        <v>78</v>
      </c>
      <c r="J1689" s="1" t="s">
        <v>9012</v>
      </c>
      <c r="K1689" s="1" t="s">
        <v>9013</v>
      </c>
      <c r="L1689" t="s">
        <v>91</v>
      </c>
      <c r="M1689" t="s">
        <v>91</v>
      </c>
      <c r="N1689" s="1" t="s">
        <v>91</v>
      </c>
      <c r="O1689" t="s">
        <v>91</v>
      </c>
      <c r="P1689" s="1" t="s">
        <v>7409</v>
      </c>
      <c r="Q1689" s="1" t="s">
        <v>7065</v>
      </c>
      <c r="R1689" s="1" t="s">
        <v>9014</v>
      </c>
      <c r="S1689">
        <v>1273</v>
      </c>
      <c r="T1689">
        <v>89065800</v>
      </c>
      <c r="U1689" s="1" t="s">
        <v>7067</v>
      </c>
      <c r="V1689" s="1" t="s">
        <v>3571</v>
      </c>
      <c r="W1689" s="1" t="s">
        <v>87</v>
      </c>
      <c r="X1689">
        <v>47</v>
      </c>
      <c r="Y1689">
        <v>30572282</v>
      </c>
      <c r="Z1689" t="s">
        <v>91</v>
      </c>
      <c r="AA1689" t="s">
        <v>91</v>
      </c>
      <c r="AB1689" t="s">
        <v>91</v>
      </c>
      <c r="AC1689" t="s">
        <v>91</v>
      </c>
      <c r="AD1689" t="s">
        <v>91</v>
      </c>
      <c r="AE1689" t="s">
        <v>91</v>
      </c>
      <c r="AF1689" t="s">
        <v>91</v>
      </c>
      <c r="AG1689" s="1" t="s">
        <v>91</v>
      </c>
      <c r="AH1689" s="1" t="s">
        <v>91</v>
      </c>
      <c r="AI1689" t="s">
        <v>91</v>
      </c>
      <c r="AM1689" t="s">
        <v>91</v>
      </c>
      <c r="AN1689" t="s">
        <v>91</v>
      </c>
      <c r="AO1689" t="s">
        <v>91</v>
      </c>
      <c r="AP1689" t="s">
        <v>91</v>
      </c>
      <c r="AQ1689" s="1" t="s">
        <v>91</v>
      </c>
      <c r="AR1689" s="1" t="s">
        <v>91</v>
      </c>
      <c r="AS1689" s="1" t="s">
        <v>91</v>
      </c>
      <c r="AT1689" s="1" t="s">
        <v>91</v>
      </c>
      <c r="AU1689" s="1" t="s">
        <v>91</v>
      </c>
      <c r="AV1689" t="s">
        <v>91</v>
      </c>
      <c r="AW1689" t="s">
        <v>91</v>
      </c>
      <c r="AX1689" t="s">
        <v>91</v>
      </c>
      <c r="AY1689" t="s">
        <v>91</v>
      </c>
      <c r="AZ1689" t="s">
        <v>91</v>
      </c>
      <c r="BA1689" t="s">
        <v>91</v>
      </c>
      <c r="BB1689" s="2">
        <v>45118.101759259262</v>
      </c>
      <c r="BC1689" s="2"/>
      <c r="BD1689" t="s">
        <v>91</v>
      </c>
      <c r="BF1689" s="1" t="s">
        <v>75</v>
      </c>
      <c r="BI1689" s="1" t="s">
        <v>88</v>
      </c>
      <c r="BJ1689">
        <v>1</v>
      </c>
      <c r="BK1689" s="1" t="s">
        <v>89</v>
      </c>
      <c r="BL1689" t="s">
        <v>91</v>
      </c>
      <c r="BM1689" s="1" t="s">
        <v>91</v>
      </c>
      <c r="BN1689" s="1" t="s">
        <v>91</v>
      </c>
      <c r="BO1689" s="1" t="s">
        <v>91</v>
      </c>
      <c r="BP1689" s="1" t="s">
        <v>91</v>
      </c>
      <c r="BQ1689" t="s">
        <v>91</v>
      </c>
      <c r="BR1689" s="3">
        <v>45118</v>
      </c>
      <c r="BS1689" s="3"/>
      <c r="BT1689" t="s">
        <v>91</v>
      </c>
      <c r="BU1689" t="s">
        <v>91</v>
      </c>
      <c r="BW1689" s="1" t="s">
        <v>90</v>
      </c>
    </row>
    <row r="1690" spans="1:75" hidden="1" x14ac:dyDescent="0.35">
      <c r="A1690">
        <v>1289</v>
      </c>
      <c r="B1690" s="1" t="s">
        <v>75</v>
      </c>
      <c r="C1690">
        <v>80</v>
      </c>
      <c r="D1690">
        <v>11121004</v>
      </c>
      <c r="E1690">
        <v>121004</v>
      </c>
      <c r="F1690" s="1" t="s">
        <v>6867</v>
      </c>
      <c r="G1690" s="1" t="s">
        <v>9015</v>
      </c>
      <c r="I1690" s="1" t="s">
        <v>78</v>
      </c>
      <c r="J1690" s="1" t="s">
        <v>9012</v>
      </c>
      <c r="K1690" s="1" t="s">
        <v>9016</v>
      </c>
      <c r="L1690" t="s">
        <v>91</v>
      </c>
      <c r="M1690" t="s">
        <v>91</v>
      </c>
      <c r="N1690" s="1" t="s">
        <v>9017</v>
      </c>
      <c r="O1690" t="s">
        <v>91</v>
      </c>
      <c r="P1690" s="1" t="s">
        <v>3070</v>
      </c>
      <c r="Q1690" s="1" t="s">
        <v>7178</v>
      </c>
      <c r="R1690" s="1" t="s">
        <v>9018</v>
      </c>
      <c r="S1690">
        <v>1271</v>
      </c>
      <c r="T1690">
        <v>89010203</v>
      </c>
      <c r="U1690" s="1" t="s">
        <v>108</v>
      </c>
      <c r="V1690" s="1" t="s">
        <v>3571</v>
      </c>
      <c r="W1690" s="1" t="s">
        <v>87</v>
      </c>
      <c r="X1690">
        <v>47</v>
      </c>
      <c r="Y1690">
        <v>30411415</v>
      </c>
      <c r="Z1690" t="s">
        <v>91</v>
      </c>
      <c r="AA1690" t="s">
        <v>91</v>
      </c>
      <c r="AB1690" t="s">
        <v>91</v>
      </c>
      <c r="AC1690" t="s">
        <v>91</v>
      </c>
      <c r="AD1690" t="s">
        <v>91</v>
      </c>
      <c r="AE1690" t="s">
        <v>91</v>
      </c>
      <c r="AF1690" t="s">
        <v>91</v>
      </c>
      <c r="AG1690" s="1" t="s">
        <v>91</v>
      </c>
      <c r="AH1690" s="1" t="s">
        <v>91</v>
      </c>
      <c r="AI1690" t="s">
        <v>91</v>
      </c>
      <c r="AJ1690">
        <v>0</v>
      </c>
      <c r="AK1690">
        <v>0</v>
      </c>
      <c r="AL1690">
        <v>0</v>
      </c>
      <c r="AM1690" t="s">
        <v>91</v>
      </c>
      <c r="AN1690" t="s">
        <v>91</v>
      </c>
      <c r="AO1690" t="s">
        <v>91</v>
      </c>
      <c r="AP1690" t="s">
        <v>91</v>
      </c>
      <c r="AQ1690" s="1" t="s">
        <v>91</v>
      </c>
      <c r="AR1690" s="1" t="s">
        <v>91</v>
      </c>
      <c r="AS1690" s="1" t="s">
        <v>91</v>
      </c>
      <c r="AT1690" s="1" t="s">
        <v>91</v>
      </c>
      <c r="AU1690" s="1" t="s">
        <v>91</v>
      </c>
      <c r="AV1690" t="s">
        <v>91</v>
      </c>
      <c r="AW1690" t="s">
        <v>91</v>
      </c>
      <c r="AX1690" t="s">
        <v>91</v>
      </c>
      <c r="AY1690" t="s">
        <v>91</v>
      </c>
      <c r="AZ1690" t="s">
        <v>91</v>
      </c>
      <c r="BA1690" t="s">
        <v>91</v>
      </c>
      <c r="BB1690" s="2">
        <v>43308.393206018518</v>
      </c>
      <c r="BC1690" s="2"/>
      <c r="BD1690" t="s">
        <v>91</v>
      </c>
      <c r="BE1690">
        <v>1289</v>
      </c>
      <c r="BF1690" s="1" t="s">
        <v>75</v>
      </c>
      <c r="BG1690">
        <v>0</v>
      </c>
      <c r="BH1690">
        <v>0</v>
      </c>
      <c r="BI1690" s="1" t="s">
        <v>88</v>
      </c>
      <c r="BJ1690">
        <v>1</v>
      </c>
      <c r="BK1690" s="1" t="s">
        <v>89</v>
      </c>
      <c r="BL1690" t="s">
        <v>91</v>
      </c>
      <c r="BM1690" s="1" t="s">
        <v>109</v>
      </c>
      <c r="BN1690" s="1" t="s">
        <v>148</v>
      </c>
      <c r="BO1690" s="1" t="s">
        <v>165</v>
      </c>
      <c r="BP1690" s="1" t="s">
        <v>91</v>
      </c>
      <c r="BQ1690" t="s">
        <v>91</v>
      </c>
      <c r="BR1690" s="3">
        <v>43308</v>
      </c>
      <c r="BS1690" s="3"/>
      <c r="BT1690" t="s">
        <v>91</v>
      </c>
      <c r="BU1690" t="s">
        <v>91</v>
      </c>
      <c r="BV1690">
        <v>1</v>
      </c>
      <c r="BW1690" s="1" t="s">
        <v>3397</v>
      </c>
    </row>
    <row r="1691" spans="1:75" hidden="1" x14ac:dyDescent="0.35">
      <c r="A1691">
        <v>157800</v>
      </c>
      <c r="B1691" s="1" t="s">
        <v>75</v>
      </c>
      <c r="C1691">
        <v>80</v>
      </c>
      <c r="D1691">
        <v>11121004</v>
      </c>
      <c r="E1691">
        <v>121004</v>
      </c>
      <c r="F1691" s="1" t="s">
        <v>6867</v>
      </c>
      <c r="G1691" s="1" t="s">
        <v>9019</v>
      </c>
      <c r="H1691">
        <v>0</v>
      </c>
      <c r="I1691" s="1" t="s">
        <v>78</v>
      </c>
      <c r="J1691" s="1" t="s">
        <v>9020</v>
      </c>
      <c r="K1691" s="1" t="s">
        <v>9021</v>
      </c>
      <c r="L1691" t="s">
        <v>91</v>
      </c>
      <c r="M1691" t="s">
        <v>91</v>
      </c>
      <c r="N1691" s="1" t="s">
        <v>9022</v>
      </c>
      <c r="O1691" t="s">
        <v>91</v>
      </c>
      <c r="P1691" s="1" t="s">
        <v>6945</v>
      </c>
      <c r="Q1691" s="1" t="s">
        <v>9023</v>
      </c>
      <c r="R1691" s="1" t="s">
        <v>91</v>
      </c>
      <c r="S1691">
        <v>1263</v>
      </c>
      <c r="T1691">
        <v>88380000</v>
      </c>
      <c r="U1691" s="1" t="s">
        <v>108</v>
      </c>
      <c r="V1691" s="1" t="s">
        <v>6946</v>
      </c>
      <c r="W1691" s="1" t="s">
        <v>87</v>
      </c>
      <c r="X1691">
        <v>47</v>
      </c>
      <c r="Y1691">
        <v>33451018</v>
      </c>
      <c r="Z1691" t="s">
        <v>91</v>
      </c>
      <c r="AA1691" t="s">
        <v>91</v>
      </c>
      <c r="AB1691" t="s">
        <v>91</v>
      </c>
      <c r="AC1691" t="s">
        <v>91</v>
      </c>
      <c r="AD1691" t="s">
        <v>91</v>
      </c>
      <c r="AE1691" t="s">
        <v>91</v>
      </c>
      <c r="AF1691" t="s">
        <v>91</v>
      </c>
      <c r="AG1691" s="1" t="s">
        <v>91</v>
      </c>
      <c r="AH1691" s="1" t="s">
        <v>91</v>
      </c>
      <c r="AI1691" t="s">
        <v>91</v>
      </c>
      <c r="AM1691" t="s">
        <v>91</v>
      </c>
      <c r="AN1691" t="s">
        <v>91</v>
      </c>
      <c r="AO1691" t="s">
        <v>91</v>
      </c>
      <c r="AP1691" t="s">
        <v>91</v>
      </c>
      <c r="AQ1691" s="1" t="s">
        <v>91</v>
      </c>
      <c r="AR1691" s="1" t="s">
        <v>91</v>
      </c>
      <c r="AS1691" s="1" t="s">
        <v>91</v>
      </c>
      <c r="AT1691" s="1" t="s">
        <v>91</v>
      </c>
      <c r="AU1691" s="1" t="s">
        <v>91</v>
      </c>
      <c r="AV1691" t="s">
        <v>91</v>
      </c>
      <c r="AW1691" t="s">
        <v>91</v>
      </c>
      <c r="AX1691" t="s">
        <v>91</v>
      </c>
      <c r="AY1691" t="s">
        <v>91</v>
      </c>
      <c r="AZ1691" t="s">
        <v>91</v>
      </c>
      <c r="BA1691" t="s">
        <v>91</v>
      </c>
      <c r="BB1691" s="2">
        <v>45118.101759259262</v>
      </c>
      <c r="BC1691" s="2"/>
      <c r="BD1691" t="s">
        <v>91</v>
      </c>
      <c r="BF1691" s="1" t="s">
        <v>75</v>
      </c>
      <c r="BI1691" s="1" t="s">
        <v>88</v>
      </c>
      <c r="BJ1691">
        <v>1</v>
      </c>
      <c r="BK1691" s="1" t="s">
        <v>89</v>
      </c>
      <c r="BL1691" t="s">
        <v>91</v>
      </c>
      <c r="BM1691" s="1" t="s">
        <v>91</v>
      </c>
      <c r="BN1691" s="1" t="s">
        <v>91</v>
      </c>
      <c r="BO1691" s="1" t="s">
        <v>91</v>
      </c>
      <c r="BP1691" s="1" t="s">
        <v>91</v>
      </c>
      <c r="BQ1691" t="s">
        <v>91</v>
      </c>
      <c r="BR1691" s="3">
        <v>45118</v>
      </c>
      <c r="BS1691" s="3"/>
      <c r="BT1691" t="s">
        <v>91</v>
      </c>
      <c r="BU1691" t="s">
        <v>91</v>
      </c>
      <c r="BW1691" s="1" t="s">
        <v>90</v>
      </c>
    </row>
    <row r="1692" spans="1:75" hidden="1" x14ac:dyDescent="0.35">
      <c r="A1692">
        <v>137901</v>
      </c>
      <c r="B1692" s="1" t="s">
        <v>75</v>
      </c>
      <c r="C1692">
        <v>80</v>
      </c>
      <c r="D1692">
        <v>11121004</v>
      </c>
      <c r="E1692">
        <v>121004</v>
      </c>
      <c r="F1692" s="1" t="s">
        <v>6867</v>
      </c>
      <c r="G1692" s="1" t="s">
        <v>9024</v>
      </c>
      <c r="H1692">
        <v>0</v>
      </c>
      <c r="I1692" s="1" t="s">
        <v>78</v>
      </c>
      <c r="J1692" s="1" t="s">
        <v>9025</v>
      </c>
      <c r="K1692" s="1" t="s">
        <v>9026</v>
      </c>
      <c r="L1692" t="s">
        <v>91</v>
      </c>
      <c r="M1692" t="s">
        <v>91</v>
      </c>
      <c r="N1692" s="1" t="s">
        <v>9027</v>
      </c>
      <c r="O1692" t="s">
        <v>91</v>
      </c>
      <c r="P1692" s="1" t="s">
        <v>8457</v>
      </c>
      <c r="Q1692" s="1" t="s">
        <v>651</v>
      </c>
      <c r="R1692" s="1" t="s">
        <v>3094</v>
      </c>
      <c r="T1692">
        <v>89010030</v>
      </c>
      <c r="U1692" s="1" t="s">
        <v>108</v>
      </c>
      <c r="V1692" s="1" t="s">
        <v>3571</v>
      </c>
      <c r="W1692" s="1" t="s">
        <v>87</v>
      </c>
      <c r="X1692">
        <v>47</v>
      </c>
      <c r="Y1692">
        <v>32853010</v>
      </c>
      <c r="Z1692" t="s">
        <v>91</v>
      </c>
      <c r="AA1692" t="s">
        <v>91</v>
      </c>
      <c r="AB1692" t="s">
        <v>91</v>
      </c>
      <c r="AC1692" t="s">
        <v>91</v>
      </c>
      <c r="AD1692" t="s">
        <v>91</v>
      </c>
      <c r="AE1692" t="s">
        <v>91</v>
      </c>
      <c r="AF1692" t="s">
        <v>91</v>
      </c>
      <c r="AG1692" s="1" t="s">
        <v>146</v>
      </c>
      <c r="AH1692" s="1" t="s">
        <v>91</v>
      </c>
      <c r="AI1692" t="s">
        <v>91</v>
      </c>
      <c r="AM1692" t="s">
        <v>91</v>
      </c>
      <c r="AN1692" t="s">
        <v>91</v>
      </c>
      <c r="AO1692" t="s">
        <v>91</v>
      </c>
      <c r="AP1692" t="s">
        <v>91</v>
      </c>
      <c r="AQ1692" s="1" t="s">
        <v>147</v>
      </c>
      <c r="AR1692" s="1" t="s">
        <v>147</v>
      </c>
      <c r="AS1692" s="1" t="s">
        <v>147</v>
      </c>
      <c r="AT1692" s="1" t="s">
        <v>147</v>
      </c>
      <c r="AU1692" s="1" t="s">
        <v>147</v>
      </c>
      <c r="AV1692" t="s">
        <v>91</v>
      </c>
      <c r="AW1692" t="s">
        <v>91</v>
      </c>
      <c r="AX1692" t="s">
        <v>91</v>
      </c>
      <c r="AY1692" t="s">
        <v>91</v>
      </c>
      <c r="AZ1692" t="s">
        <v>91</v>
      </c>
      <c r="BA1692" t="s">
        <v>91</v>
      </c>
      <c r="BB1692" s="2">
        <v>44378.578518518516</v>
      </c>
      <c r="BC1692" s="2">
        <v>45128.713587962964</v>
      </c>
      <c r="BD1692" t="s">
        <v>91</v>
      </c>
      <c r="BF1692" s="1" t="s">
        <v>75</v>
      </c>
      <c r="BH1692">
        <v>0</v>
      </c>
      <c r="BI1692" s="1" t="s">
        <v>721</v>
      </c>
      <c r="BJ1692">
        <v>1</v>
      </c>
      <c r="BK1692" s="1" t="s">
        <v>89</v>
      </c>
      <c r="BL1692" t="s">
        <v>91</v>
      </c>
      <c r="BM1692" s="1" t="s">
        <v>109</v>
      </c>
      <c r="BN1692" s="1" t="s">
        <v>148</v>
      </c>
      <c r="BO1692" s="1" t="s">
        <v>111</v>
      </c>
      <c r="BP1692" s="1" t="s">
        <v>91</v>
      </c>
      <c r="BQ1692" t="s">
        <v>91</v>
      </c>
      <c r="BR1692" s="3">
        <v>44378</v>
      </c>
      <c r="BS1692" s="3">
        <v>45128</v>
      </c>
      <c r="BT1692" t="s">
        <v>91</v>
      </c>
      <c r="BU1692" t="s">
        <v>91</v>
      </c>
      <c r="BW1692" s="1" t="s">
        <v>120</v>
      </c>
    </row>
    <row r="1693" spans="1:75" hidden="1" x14ac:dyDescent="0.35">
      <c r="A1693">
        <v>137902</v>
      </c>
      <c r="B1693" s="1" t="s">
        <v>75</v>
      </c>
      <c r="C1693">
        <v>80</v>
      </c>
      <c r="D1693">
        <v>11121004</v>
      </c>
      <c r="E1693">
        <v>121004</v>
      </c>
      <c r="F1693" s="1" t="s">
        <v>6867</v>
      </c>
      <c r="G1693" s="1" t="s">
        <v>9028</v>
      </c>
      <c r="H1693">
        <v>0</v>
      </c>
      <c r="I1693" s="1" t="s">
        <v>78</v>
      </c>
      <c r="J1693" s="1" t="s">
        <v>9029</v>
      </c>
      <c r="K1693" s="1" t="s">
        <v>9030</v>
      </c>
      <c r="L1693" t="s">
        <v>91</v>
      </c>
      <c r="M1693" t="s">
        <v>91</v>
      </c>
      <c r="N1693" s="1" t="s">
        <v>9031</v>
      </c>
      <c r="O1693" t="s">
        <v>91</v>
      </c>
      <c r="P1693" s="1" t="s">
        <v>7232</v>
      </c>
      <c r="Q1693" s="1" t="s">
        <v>5714</v>
      </c>
      <c r="R1693" s="1" t="s">
        <v>91</v>
      </c>
      <c r="T1693">
        <v>88309200</v>
      </c>
      <c r="U1693" s="1" t="s">
        <v>7235</v>
      </c>
      <c r="V1693" s="1" t="s">
        <v>6874</v>
      </c>
      <c r="W1693" s="1" t="s">
        <v>87</v>
      </c>
      <c r="X1693">
        <v>47</v>
      </c>
      <c r="Y1693">
        <v>92223800</v>
      </c>
      <c r="Z1693" t="s">
        <v>91</v>
      </c>
      <c r="AA1693" t="s">
        <v>91</v>
      </c>
      <c r="AB1693" t="s">
        <v>91</v>
      </c>
      <c r="AC1693" t="s">
        <v>91</v>
      </c>
      <c r="AD1693" t="s">
        <v>91</v>
      </c>
      <c r="AE1693" t="s">
        <v>91</v>
      </c>
      <c r="AF1693" t="s">
        <v>91</v>
      </c>
      <c r="AG1693" s="1" t="s">
        <v>146</v>
      </c>
      <c r="AH1693" s="1" t="s">
        <v>91</v>
      </c>
      <c r="AI1693" t="s">
        <v>91</v>
      </c>
      <c r="AM1693" t="s">
        <v>91</v>
      </c>
      <c r="AN1693" t="s">
        <v>91</v>
      </c>
      <c r="AO1693" t="s">
        <v>91</v>
      </c>
      <c r="AP1693" t="s">
        <v>91</v>
      </c>
      <c r="AQ1693" s="1" t="s">
        <v>147</v>
      </c>
      <c r="AR1693" s="1" t="s">
        <v>147</v>
      </c>
      <c r="AS1693" s="1" t="s">
        <v>147</v>
      </c>
      <c r="AT1693" s="1" t="s">
        <v>147</v>
      </c>
      <c r="AU1693" s="1" t="s">
        <v>147</v>
      </c>
      <c r="AV1693" t="s">
        <v>91</v>
      </c>
      <c r="AW1693" t="s">
        <v>91</v>
      </c>
      <c r="AX1693" t="s">
        <v>91</v>
      </c>
      <c r="AY1693" t="s">
        <v>91</v>
      </c>
      <c r="AZ1693" t="s">
        <v>91</v>
      </c>
      <c r="BA1693" t="s">
        <v>91</v>
      </c>
      <c r="BB1693" s="2">
        <v>44378.578518518516</v>
      </c>
      <c r="BC1693" s="2">
        <v>44671.722349537034</v>
      </c>
      <c r="BD1693" t="s">
        <v>91</v>
      </c>
      <c r="BF1693" s="1" t="s">
        <v>75</v>
      </c>
      <c r="BH1693">
        <v>0</v>
      </c>
      <c r="BI1693" s="1" t="s">
        <v>88</v>
      </c>
      <c r="BJ1693">
        <v>1</v>
      </c>
      <c r="BK1693" s="1" t="s">
        <v>89</v>
      </c>
      <c r="BL1693" t="s">
        <v>91</v>
      </c>
      <c r="BM1693" s="1" t="s">
        <v>109</v>
      </c>
      <c r="BN1693" s="1" t="s">
        <v>110</v>
      </c>
      <c r="BO1693" s="1" t="s">
        <v>128</v>
      </c>
      <c r="BP1693" s="1" t="s">
        <v>91</v>
      </c>
      <c r="BQ1693" t="s">
        <v>91</v>
      </c>
      <c r="BR1693" s="3">
        <v>44378</v>
      </c>
      <c r="BS1693" s="3">
        <v>44671</v>
      </c>
      <c r="BT1693" t="s">
        <v>91</v>
      </c>
      <c r="BU1693" t="s">
        <v>91</v>
      </c>
      <c r="BW1693" s="1" t="s">
        <v>419</v>
      </c>
    </row>
    <row r="1694" spans="1:75" hidden="1" x14ac:dyDescent="0.35">
      <c r="A1694">
        <v>137903</v>
      </c>
      <c r="B1694" s="1" t="s">
        <v>75</v>
      </c>
      <c r="C1694">
        <v>80</v>
      </c>
      <c r="D1694">
        <v>11121004</v>
      </c>
      <c r="E1694">
        <v>121004</v>
      </c>
      <c r="F1694" s="1" t="s">
        <v>6867</v>
      </c>
      <c r="G1694" s="1" t="s">
        <v>9032</v>
      </c>
      <c r="H1694">
        <v>0</v>
      </c>
      <c r="I1694" s="1" t="s">
        <v>78</v>
      </c>
      <c r="J1694" s="1" t="s">
        <v>9033</v>
      </c>
      <c r="K1694" s="1" t="s">
        <v>9034</v>
      </c>
      <c r="L1694" t="s">
        <v>91</v>
      </c>
      <c r="M1694" t="s">
        <v>91</v>
      </c>
      <c r="N1694" s="1" t="s">
        <v>9035</v>
      </c>
      <c r="O1694" t="s">
        <v>91</v>
      </c>
      <c r="P1694" s="1" t="s">
        <v>3083</v>
      </c>
      <c r="Q1694" s="1" t="s">
        <v>1342</v>
      </c>
      <c r="R1694" s="1" t="s">
        <v>2531</v>
      </c>
      <c r="S1694">
        <v>1261</v>
      </c>
      <c r="T1694">
        <v>88301001</v>
      </c>
      <c r="U1694" s="1" t="s">
        <v>108</v>
      </c>
      <c r="V1694" s="1" t="s">
        <v>6874</v>
      </c>
      <c r="W1694" s="1" t="s">
        <v>87</v>
      </c>
      <c r="X1694">
        <v>47</v>
      </c>
      <c r="Y1694">
        <v>30460574</v>
      </c>
      <c r="Z1694" t="s">
        <v>91</v>
      </c>
      <c r="AA1694" t="s">
        <v>91</v>
      </c>
      <c r="AB1694" t="s">
        <v>91</v>
      </c>
      <c r="AC1694" t="s">
        <v>91</v>
      </c>
      <c r="AD1694" t="s">
        <v>91</v>
      </c>
      <c r="AE1694" t="s">
        <v>91</v>
      </c>
      <c r="AF1694" t="s">
        <v>91</v>
      </c>
      <c r="AG1694" s="1" t="s">
        <v>146</v>
      </c>
      <c r="AH1694" s="1" t="s">
        <v>91</v>
      </c>
      <c r="AI1694" t="s">
        <v>91</v>
      </c>
      <c r="AM1694" t="s">
        <v>91</v>
      </c>
      <c r="AN1694" t="s">
        <v>91</v>
      </c>
      <c r="AO1694" t="s">
        <v>91</v>
      </c>
      <c r="AP1694" t="s">
        <v>91</v>
      </c>
      <c r="AQ1694" s="1" t="s">
        <v>147</v>
      </c>
      <c r="AR1694" s="1" t="s">
        <v>147</v>
      </c>
      <c r="AS1694" s="1" t="s">
        <v>147</v>
      </c>
      <c r="AT1694" s="1" t="s">
        <v>147</v>
      </c>
      <c r="AU1694" s="1" t="s">
        <v>147</v>
      </c>
      <c r="AV1694" t="s">
        <v>91</v>
      </c>
      <c r="AW1694" t="s">
        <v>91</v>
      </c>
      <c r="AX1694" t="s">
        <v>91</v>
      </c>
      <c r="AY1694" t="s">
        <v>91</v>
      </c>
      <c r="AZ1694" t="s">
        <v>91</v>
      </c>
      <c r="BA1694" t="s">
        <v>91</v>
      </c>
      <c r="BB1694" s="2">
        <v>44378.578518518516</v>
      </c>
      <c r="BC1694" s="2">
        <v>44754.675023148149</v>
      </c>
      <c r="BD1694" t="s">
        <v>91</v>
      </c>
      <c r="BF1694" s="1" t="s">
        <v>75</v>
      </c>
      <c r="BH1694">
        <v>0</v>
      </c>
      <c r="BI1694" s="1" t="s">
        <v>88</v>
      </c>
      <c r="BJ1694">
        <v>1</v>
      </c>
      <c r="BK1694" s="1" t="s">
        <v>89</v>
      </c>
      <c r="BL1694" t="s">
        <v>91</v>
      </c>
      <c r="BM1694" s="1" t="s">
        <v>109</v>
      </c>
      <c r="BN1694" s="1" t="s">
        <v>110</v>
      </c>
      <c r="BO1694" s="1" t="s">
        <v>165</v>
      </c>
      <c r="BP1694" s="1" t="s">
        <v>91</v>
      </c>
      <c r="BQ1694" t="s">
        <v>91</v>
      </c>
      <c r="BR1694" s="3">
        <v>44378</v>
      </c>
      <c r="BS1694" s="3">
        <v>44754</v>
      </c>
      <c r="BT1694" t="s">
        <v>91</v>
      </c>
      <c r="BU1694" t="s">
        <v>91</v>
      </c>
      <c r="BW1694" s="1" t="s">
        <v>295</v>
      </c>
    </row>
    <row r="1695" spans="1:75" hidden="1" x14ac:dyDescent="0.35">
      <c r="A1695">
        <v>157755</v>
      </c>
      <c r="B1695" s="1" t="s">
        <v>75</v>
      </c>
      <c r="C1695">
        <v>80</v>
      </c>
      <c r="D1695">
        <v>11121004</v>
      </c>
      <c r="E1695">
        <v>121004</v>
      </c>
      <c r="F1695" s="1" t="s">
        <v>6867</v>
      </c>
      <c r="G1695" s="1" t="s">
        <v>9036</v>
      </c>
      <c r="H1695">
        <v>0</v>
      </c>
      <c r="I1695" s="1" t="s">
        <v>78</v>
      </c>
      <c r="J1695" s="1" t="s">
        <v>9037</v>
      </c>
      <c r="K1695" s="1" t="s">
        <v>9038</v>
      </c>
      <c r="L1695" t="s">
        <v>91</v>
      </c>
      <c r="M1695" t="s">
        <v>91</v>
      </c>
      <c r="N1695" s="1" t="s">
        <v>91</v>
      </c>
      <c r="O1695" t="s">
        <v>91</v>
      </c>
      <c r="P1695" s="1" t="s">
        <v>7949</v>
      </c>
      <c r="Q1695" s="1" t="s">
        <v>7950</v>
      </c>
      <c r="R1695" s="1" t="s">
        <v>9039</v>
      </c>
      <c r="S1695">
        <v>1273</v>
      </c>
      <c r="T1695">
        <v>89052381</v>
      </c>
      <c r="U1695" s="1" t="s">
        <v>7877</v>
      </c>
      <c r="V1695" s="1" t="s">
        <v>3571</v>
      </c>
      <c r="W1695" s="1" t="s">
        <v>87</v>
      </c>
      <c r="X1695">
        <v>47</v>
      </c>
      <c r="Y1695">
        <v>32376495</v>
      </c>
      <c r="Z1695" t="s">
        <v>91</v>
      </c>
      <c r="AA1695" t="s">
        <v>91</v>
      </c>
      <c r="AB1695" t="s">
        <v>91</v>
      </c>
      <c r="AC1695" t="s">
        <v>91</v>
      </c>
      <c r="AD1695" t="s">
        <v>91</v>
      </c>
      <c r="AE1695" t="s">
        <v>91</v>
      </c>
      <c r="AF1695" t="s">
        <v>91</v>
      </c>
      <c r="AG1695" s="1" t="s">
        <v>91</v>
      </c>
      <c r="AH1695" s="1" t="s">
        <v>91</v>
      </c>
      <c r="AI1695" t="s">
        <v>91</v>
      </c>
      <c r="AM1695" t="s">
        <v>91</v>
      </c>
      <c r="AN1695" t="s">
        <v>91</v>
      </c>
      <c r="AO1695" t="s">
        <v>91</v>
      </c>
      <c r="AP1695" t="s">
        <v>91</v>
      </c>
      <c r="AQ1695" s="1" t="s">
        <v>91</v>
      </c>
      <c r="AR1695" s="1" t="s">
        <v>91</v>
      </c>
      <c r="AS1695" s="1" t="s">
        <v>91</v>
      </c>
      <c r="AT1695" s="1" t="s">
        <v>91</v>
      </c>
      <c r="AU1695" s="1" t="s">
        <v>91</v>
      </c>
      <c r="AV1695" t="s">
        <v>91</v>
      </c>
      <c r="AW1695" t="s">
        <v>91</v>
      </c>
      <c r="AX1695" t="s">
        <v>91</v>
      </c>
      <c r="AY1695" t="s">
        <v>91</v>
      </c>
      <c r="AZ1695" t="s">
        <v>91</v>
      </c>
      <c r="BA1695" t="s">
        <v>91</v>
      </c>
      <c r="BB1695" s="2">
        <v>45118.101759259262</v>
      </c>
      <c r="BC1695" s="2"/>
      <c r="BD1695" t="s">
        <v>91</v>
      </c>
      <c r="BF1695" s="1" t="s">
        <v>75</v>
      </c>
      <c r="BI1695" s="1" t="s">
        <v>88</v>
      </c>
      <c r="BJ1695">
        <v>1</v>
      </c>
      <c r="BK1695" s="1" t="s">
        <v>89</v>
      </c>
      <c r="BL1695" t="s">
        <v>91</v>
      </c>
      <c r="BM1695" s="1" t="s">
        <v>91</v>
      </c>
      <c r="BN1695" s="1" t="s">
        <v>91</v>
      </c>
      <c r="BO1695" s="1" t="s">
        <v>91</v>
      </c>
      <c r="BP1695" s="1" t="s">
        <v>91</v>
      </c>
      <c r="BQ1695" t="s">
        <v>91</v>
      </c>
      <c r="BR1695" s="3">
        <v>45118</v>
      </c>
      <c r="BS1695" s="3"/>
      <c r="BT1695" t="s">
        <v>91</v>
      </c>
      <c r="BU1695" t="s">
        <v>91</v>
      </c>
      <c r="BW1695" s="1" t="s">
        <v>90</v>
      </c>
    </row>
    <row r="1696" spans="1:75" hidden="1" x14ac:dyDescent="0.35">
      <c r="A1696">
        <v>117515</v>
      </c>
      <c r="B1696" s="1" t="s">
        <v>75</v>
      </c>
      <c r="C1696">
        <v>80</v>
      </c>
      <c r="D1696">
        <v>11121004</v>
      </c>
      <c r="E1696">
        <v>121004</v>
      </c>
      <c r="F1696" s="1" t="s">
        <v>6867</v>
      </c>
      <c r="G1696" s="1" t="s">
        <v>9040</v>
      </c>
      <c r="H1696">
        <v>0</v>
      </c>
      <c r="I1696" s="1" t="s">
        <v>78</v>
      </c>
      <c r="J1696" s="1" t="s">
        <v>9041</v>
      </c>
      <c r="K1696" s="1" t="s">
        <v>9041</v>
      </c>
      <c r="L1696" t="s">
        <v>91</v>
      </c>
      <c r="M1696" t="s">
        <v>91</v>
      </c>
      <c r="N1696" s="1" t="s">
        <v>91</v>
      </c>
      <c r="O1696" t="s">
        <v>91</v>
      </c>
      <c r="P1696" s="1" t="s">
        <v>8346</v>
      </c>
      <c r="Q1696" s="1" t="s">
        <v>8347</v>
      </c>
      <c r="R1696" s="1" t="s">
        <v>91</v>
      </c>
      <c r="S1696">
        <v>1260</v>
      </c>
      <c r="T1696">
        <v>88210000</v>
      </c>
      <c r="U1696" s="1" t="s">
        <v>108</v>
      </c>
      <c r="V1696" s="1" t="s">
        <v>6987</v>
      </c>
      <c r="W1696" s="1" t="s">
        <v>87</v>
      </c>
      <c r="Z1696" t="s">
        <v>91</v>
      </c>
      <c r="AA1696" t="s">
        <v>91</v>
      </c>
      <c r="AB1696" t="s">
        <v>91</v>
      </c>
      <c r="AC1696" t="s">
        <v>91</v>
      </c>
      <c r="AD1696" t="s">
        <v>91</v>
      </c>
      <c r="AE1696" t="s">
        <v>91</v>
      </c>
      <c r="AF1696" t="s">
        <v>91</v>
      </c>
      <c r="AG1696" s="1" t="s">
        <v>91</v>
      </c>
      <c r="AH1696" s="1" t="s">
        <v>91</v>
      </c>
      <c r="AI1696" t="s">
        <v>91</v>
      </c>
      <c r="AJ1696">
        <v>0</v>
      </c>
      <c r="AK1696">
        <v>0</v>
      </c>
      <c r="AL1696">
        <v>0</v>
      </c>
      <c r="AM1696" t="s">
        <v>91</v>
      </c>
      <c r="AN1696" t="s">
        <v>91</v>
      </c>
      <c r="AO1696" t="s">
        <v>91</v>
      </c>
      <c r="AP1696" t="s">
        <v>91</v>
      </c>
      <c r="AQ1696" s="1" t="s">
        <v>91</v>
      </c>
      <c r="AR1696" s="1" t="s">
        <v>91</v>
      </c>
      <c r="AS1696" s="1" t="s">
        <v>91</v>
      </c>
      <c r="AT1696" s="1" t="s">
        <v>91</v>
      </c>
      <c r="AU1696" s="1" t="s">
        <v>91</v>
      </c>
      <c r="AV1696" t="s">
        <v>91</v>
      </c>
      <c r="AW1696" t="s">
        <v>91</v>
      </c>
      <c r="AX1696" t="s">
        <v>91</v>
      </c>
      <c r="AY1696" t="s">
        <v>91</v>
      </c>
      <c r="AZ1696" t="s">
        <v>91</v>
      </c>
      <c r="BA1696" t="s">
        <v>91</v>
      </c>
      <c r="BB1696" s="2">
        <v>44034.350266203706</v>
      </c>
      <c r="BC1696" s="2"/>
      <c r="BD1696" t="s">
        <v>91</v>
      </c>
      <c r="BF1696" s="1" t="s">
        <v>75</v>
      </c>
      <c r="BG1696">
        <v>0</v>
      </c>
      <c r="BH1696">
        <v>0</v>
      </c>
      <c r="BI1696" s="1" t="s">
        <v>88</v>
      </c>
      <c r="BJ1696">
        <v>1</v>
      </c>
      <c r="BK1696" s="1" t="s">
        <v>89</v>
      </c>
      <c r="BL1696" t="s">
        <v>91</v>
      </c>
      <c r="BM1696" s="1" t="s">
        <v>109</v>
      </c>
      <c r="BN1696" s="1" t="s">
        <v>110</v>
      </c>
      <c r="BO1696" s="1" t="s">
        <v>165</v>
      </c>
      <c r="BP1696" s="1" t="s">
        <v>91</v>
      </c>
      <c r="BQ1696" t="s">
        <v>91</v>
      </c>
      <c r="BR1696" s="3">
        <v>44034</v>
      </c>
      <c r="BS1696" s="3"/>
      <c r="BT1696" t="s">
        <v>91</v>
      </c>
      <c r="BU1696" t="s">
        <v>91</v>
      </c>
      <c r="BV1696">
        <v>9</v>
      </c>
      <c r="BW1696" s="1" t="s">
        <v>90</v>
      </c>
    </row>
    <row r="1697" spans="1:75" hidden="1" x14ac:dyDescent="0.35">
      <c r="A1697">
        <v>157104</v>
      </c>
      <c r="B1697" s="1" t="s">
        <v>75</v>
      </c>
      <c r="C1697">
        <v>80</v>
      </c>
      <c r="D1697">
        <v>11121004</v>
      </c>
      <c r="E1697">
        <v>121004</v>
      </c>
      <c r="F1697" s="1" t="s">
        <v>6867</v>
      </c>
      <c r="G1697" s="1" t="s">
        <v>9042</v>
      </c>
      <c r="H1697">
        <v>0</v>
      </c>
      <c r="I1697" s="1" t="s">
        <v>78</v>
      </c>
      <c r="J1697" s="1" t="s">
        <v>9043</v>
      </c>
      <c r="K1697" s="1" t="s">
        <v>9044</v>
      </c>
      <c r="L1697" t="s">
        <v>91</v>
      </c>
      <c r="M1697" t="s">
        <v>91</v>
      </c>
      <c r="N1697" s="1" t="s">
        <v>3192</v>
      </c>
      <c r="O1697" t="s">
        <v>91</v>
      </c>
      <c r="P1697" s="1" t="s">
        <v>6953</v>
      </c>
      <c r="Q1697" s="1" t="s">
        <v>552</v>
      </c>
      <c r="R1697" s="1" t="s">
        <v>9045</v>
      </c>
      <c r="S1697">
        <v>1261</v>
      </c>
      <c r="T1697">
        <v>88301320</v>
      </c>
      <c r="U1697" s="1" t="s">
        <v>108</v>
      </c>
      <c r="V1697" s="1" t="s">
        <v>6881</v>
      </c>
      <c r="W1697" s="1" t="s">
        <v>87</v>
      </c>
      <c r="X1697">
        <v>48</v>
      </c>
      <c r="Y1697">
        <v>991012525</v>
      </c>
      <c r="Z1697" t="s">
        <v>91</v>
      </c>
      <c r="AA1697" t="s">
        <v>91</v>
      </c>
      <c r="AB1697" t="s">
        <v>91</v>
      </c>
      <c r="AC1697" t="s">
        <v>91</v>
      </c>
      <c r="AD1697" t="s">
        <v>91</v>
      </c>
      <c r="AE1697" t="s">
        <v>91</v>
      </c>
      <c r="AF1697" t="s">
        <v>91</v>
      </c>
      <c r="AG1697" s="1" t="s">
        <v>91</v>
      </c>
      <c r="AH1697" s="1" t="s">
        <v>91</v>
      </c>
      <c r="AI1697" t="s">
        <v>91</v>
      </c>
      <c r="AM1697" t="s">
        <v>91</v>
      </c>
      <c r="AN1697" t="s">
        <v>91</v>
      </c>
      <c r="AO1697" t="s">
        <v>91</v>
      </c>
      <c r="AP1697" t="s">
        <v>91</v>
      </c>
      <c r="AQ1697" s="1" t="s">
        <v>91</v>
      </c>
      <c r="AR1697" s="1" t="s">
        <v>91</v>
      </c>
      <c r="AS1697" s="1" t="s">
        <v>91</v>
      </c>
      <c r="AT1697" s="1" t="s">
        <v>91</v>
      </c>
      <c r="AU1697" s="1" t="s">
        <v>91</v>
      </c>
      <c r="AV1697" t="s">
        <v>91</v>
      </c>
      <c r="AW1697" t="s">
        <v>91</v>
      </c>
      <c r="AX1697" t="s">
        <v>91</v>
      </c>
      <c r="AY1697" t="s">
        <v>91</v>
      </c>
      <c r="AZ1697" t="s">
        <v>91</v>
      </c>
      <c r="BA1697" t="s">
        <v>91</v>
      </c>
      <c r="BB1697" s="2">
        <v>45113.505416666667</v>
      </c>
      <c r="BC1697" s="2"/>
      <c r="BD1697" t="s">
        <v>91</v>
      </c>
      <c r="BF1697" s="1" t="s">
        <v>75</v>
      </c>
      <c r="BI1697" s="1" t="s">
        <v>88</v>
      </c>
      <c r="BJ1697">
        <v>1</v>
      </c>
      <c r="BK1697" s="1" t="s">
        <v>89</v>
      </c>
      <c r="BL1697" t="s">
        <v>91</v>
      </c>
      <c r="BM1697" s="1" t="s">
        <v>91</v>
      </c>
      <c r="BN1697" s="1" t="s">
        <v>91</v>
      </c>
      <c r="BO1697" s="1" t="s">
        <v>91</v>
      </c>
      <c r="BP1697" s="1" t="s">
        <v>91</v>
      </c>
      <c r="BQ1697" t="s">
        <v>91</v>
      </c>
      <c r="BR1697" s="3">
        <v>45113</v>
      </c>
      <c r="BS1697" s="3"/>
      <c r="BT1697" t="s">
        <v>91</v>
      </c>
      <c r="BU1697" t="s">
        <v>91</v>
      </c>
      <c r="BW1697" s="1" t="s">
        <v>90</v>
      </c>
    </row>
    <row r="1698" spans="1:75" hidden="1" x14ac:dyDescent="0.35">
      <c r="A1698">
        <v>157758</v>
      </c>
      <c r="B1698" s="1" t="s">
        <v>75</v>
      </c>
      <c r="C1698">
        <v>80</v>
      </c>
      <c r="D1698">
        <v>11121004</v>
      </c>
      <c r="E1698">
        <v>121004</v>
      </c>
      <c r="F1698" s="1" t="s">
        <v>6867</v>
      </c>
      <c r="G1698" s="1" t="s">
        <v>9046</v>
      </c>
      <c r="H1698">
        <v>0</v>
      </c>
      <c r="I1698" s="1" t="s">
        <v>78</v>
      </c>
      <c r="J1698" s="1" t="s">
        <v>9047</v>
      </c>
      <c r="K1698" s="1" t="s">
        <v>9048</v>
      </c>
      <c r="L1698" t="s">
        <v>91</v>
      </c>
      <c r="M1698" t="s">
        <v>91</v>
      </c>
      <c r="N1698" s="1" t="s">
        <v>91</v>
      </c>
      <c r="O1698" t="s">
        <v>91</v>
      </c>
      <c r="P1698" s="1" t="s">
        <v>611</v>
      </c>
      <c r="Q1698" s="1" t="s">
        <v>9049</v>
      </c>
      <c r="R1698" s="1" t="s">
        <v>1522</v>
      </c>
      <c r="S1698">
        <v>1271</v>
      </c>
      <c r="T1698">
        <v>89010000</v>
      </c>
      <c r="U1698" s="1" t="s">
        <v>108</v>
      </c>
      <c r="V1698" s="1" t="s">
        <v>3571</v>
      </c>
      <c r="W1698" s="1" t="s">
        <v>87</v>
      </c>
      <c r="X1698">
        <v>47</v>
      </c>
      <c r="Y1698">
        <v>30414337</v>
      </c>
      <c r="Z1698" t="s">
        <v>91</v>
      </c>
      <c r="AA1698" t="s">
        <v>91</v>
      </c>
      <c r="AB1698" t="s">
        <v>91</v>
      </c>
      <c r="AC1698" t="s">
        <v>91</v>
      </c>
      <c r="AD1698" t="s">
        <v>91</v>
      </c>
      <c r="AE1698" t="s">
        <v>91</v>
      </c>
      <c r="AF1698" t="s">
        <v>91</v>
      </c>
      <c r="AG1698" s="1" t="s">
        <v>91</v>
      </c>
      <c r="AH1698" s="1" t="s">
        <v>91</v>
      </c>
      <c r="AI1698" t="s">
        <v>91</v>
      </c>
      <c r="AM1698" t="s">
        <v>91</v>
      </c>
      <c r="AN1698" t="s">
        <v>91</v>
      </c>
      <c r="AO1698" t="s">
        <v>91</v>
      </c>
      <c r="AP1698" t="s">
        <v>91</v>
      </c>
      <c r="AQ1698" s="1" t="s">
        <v>91</v>
      </c>
      <c r="AR1698" s="1" t="s">
        <v>91</v>
      </c>
      <c r="AS1698" s="1" t="s">
        <v>91</v>
      </c>
      <c r="AT1698" s="1" t="s">
        <v>91</v>
      </c>
      <c r="AU1698" s="1" t="s">
        <v>91</v>
      </c>
      <c r="AV1698" t="s">
        <v>91</v>
      </c>
      <c r="AW1698" t="s">
        <v>91</v>
      </c>
      <c r="AX1698" t="s">
        <v>91</v>
      </c>
      <c r="AY1698" t="s">
        <v>91</v>
      </c>
      <c r="AZ1698" t="s">
        <v>91</v>
      </c>
      <c r="BA1698" t="s">
        <v>91</v>
      </c>
      <c r="BB1698" s="2">
        <v>45118.101759259262</v>
      </c>
      <c r="BC1698" s="2"/>
      <c r="BD1698" t="s">
        <v>91</v>
      </c>
      <c r="BF1698" s="1" t="s">
        <v>75</v>
      </c>
      <c r="BI1698" s="1" t="s">
        <v>88</v>
      </c>
      <c r="BJ1698">
        <v>1</v>
      </c>
      <c r="BK1698" s="1" t="s">
        <v>89</v>
      </c>
      <c r="BL1698" t="s">
        <v>91</v>
      </c>
      <c r="BM1698" s="1" t="s">
        <v>91</v>
      </c>
      <c r="BN1698" s="1" t="s">
        <v>91</v>
      </c>
      <c r="BO1698" s="1" t="s">
        <v>91</v>
      </c>
      <c r="BP1698" s="1" t="s">
        <v>91</v>
      </c>
      <c r="BQ1698" t="s">
        <v>91</v>
      </c>
      <c r="BR1698" s="3">
        <v>45118</v>
      </c>
      <c r="BS1698" s="3"/>
      <c r="BT1698" t="s">
        <v>91</v>
      </c>
      <c r="BU1698" t="s">
        <v>91</v>
      </c>
      <c r="BW1698" s="1" t="s">
        <v>90</v>
      </c>
    </row>
    <row r="1699" spans="1:75" hidden="1" x14ac:dyDescent="0.35">
      <c r="A1699">
        <v>118738</v>
      </c>
      <c r="B1699" s="1" t="s">
        <v>75</v>
      </c>
      <c r="C1699">
        <v>80</v>
      </c>
      <c r="D1699">
        <v>11121004</v>
      </c>
      <c r="E1699">
        <v>121004</v>
      </c>
      <c r="F1699" s="1" t="s">
        <v>6867</v>
      </c>
      <c r="G1699" s="1" t="s">
        <v>9050</v>
      </c>
      <c r="I1699" s="1" t="s">
        <v>78</v>
      </c>
      <c r="J1699" s="1" t="s">
        <v>9051</v>
      </c>
      <c r="K1699" s="1" t="s">
        <v>9052</v>
      </c>
      <c r="L1699" t="s">
        <v>91</v>
      </c>
      <c r="M1699" t="s">
        <v>91</v>
      </c>
      <c r="N1699" s="1" t="s">
        <v>9053</v>
      </c>
      <c r="O1699" t="s">
        <v>91</v>
      </c>
      <c r="P1699" s="1" t="s">
        <v>9054</v>
      </c>
      <c r="Q1699" s="1" t="s">
        <v>7576</v>
      </c>
      <c r="R1699" s="1" t="s">
        <v>236</v>
      </c>
      <c r="S1699">
        <v>1273</v>
      </c>
      <c r="T1699">
        <v>89074160</v>
      </c>
      <c r="U1699" s="1" t="s">
        <v>9055</v>
      </c>
      <c r="V1699" s="1" t="s">
        <v>3571</v>
      </c>
      <c r="W1699" s="1" t="s">
        <v>87</v>
      </c>
      <c r="X1699">
        <v>47</v>
      </c>
      <c r="Y1699">
        <v>33346226</v>
      </c>
      <c r="Z1699" t="s">
        <v>91</v>
      </c>
      <c r="AA1699" t="s">
        <v>91</v>
      </c>
      <c r="AB1699" t="s">
        <v>91</v>
      </c>
      <c r="AC1699" t="s">
        <v>91</v>
      </c>
      <c r="AD1699" t="s">
        <v>91</v>
      </c>
      <c r="AE1699" t="s">
        <v>91</v>
      </c>
      <c r="AF1699" t="s">
        <v>91</v>
      </c>
      <c r="AG1699" s="1" t="s">
        <v>91</v>
      </c>
      <c r="AH1699" s="1" t="s">
        <v>91</v>
      </c>
      <c r="AI1699" t="s">
        <v>91</v>
      </c>
      <c r="AJ1699">
        <v>0</v>
      </c>
      <c r="AK1699">
        <v>0</v>
      </c>
      <c r="AL1699">
        <v>0</v>
      </c>
      <c r="AM1699" t="s">
        <v>91</v>
      </c>
      <c r="AN1699" t="s">
        <v>91</v>
      </c>
      <c r="AO1699" t="s">
        <v>91</v>
      </c>
      <c r="AP1699" t="s">
        <v>91</v>
      </c>
      <c r="AQ1699" s="1" t="s">
        <v>91</v>
      </c>
      <c r="AR1699" s="1" t="s">
        <v>91</v>
      </c>
      <c r="AS1699" s="1" t="s">
        <v>91</v>
      </c>
      <c r="AT1699" s="1" t="s">
        <v>91</v>
      </c>
      <c r="AU1699" s="1" t="s">
        <v>91</v>
      </c>
      <c r="AV1699" t="s">
        <v>91</v>
      </c>
      <c r="AW1699" t="s">
        <v>91</v>
      </c>
      <c r="AX1699" t="s">
        <v>91</v>
      </c>
      <c r="AY1699" t="s">
        <v>91</v>
      </c>
      <c r="AZ1699" t="s">
        <v>91</v>
      </c>
      <c r="BA1699" t="s">
        <v>91</v>
      </c>
      <c r="BB1699" s="2"/>
      <c r="BC1699" s="2"/>
      <c r="BD1699" t="s">
        <v>91</v>
      </c>
      <c r="BF1699" s="1" t="s">
        <v>75</v>
      </c>
      <c r="BG1699">
        <v>0</v>
      </c>
      <c r="BH1699">
        <v>0</v>
      </c>
      <c r="BI1699" s="1" t="s">
        <v>88</v>
      </c>
      <c r="BJ1699">
        <v>1</v>
      </c>
      <c r="BK1699" s="1" t="s">
        <v>89</v>
      </c>
      <c r="BL1699" t="s">
        <v>91</v>
      </c>
      <c r="BM1699" s="1" t="s">
        <v>109</v>
      </c>
      <c r="BN1699" s="1" t="s">
        <v>110</v>
      </c>
      <c r="BO1699" s="1" t="s">
        <v>128</v>
      </c>
      <c r="BP1699" s="1" t="s">
        <v>91</v>
      </c>
      <c r="BQ1699" t="s">
        <v>91</v>
      </c>
      <c r="BR1699" s="3"/>
      <c r="BS1699" s="3"/>
      <c r="BT1699" t="s">
        <v>91</v>
      </c>
      <c r="BU1699" t="s">
        <v>91</v>
      </c>
      <c r="BV1699">
        <v>9</v>
      </c>
      <c r="BW1699" s="1" t="s">
        <v>90</v>
      </c>
    </row>
    <row r="1700" spans="1:75" hidden="1" x14ac:dyDescent="0.35">
      <c r="A1700">
        <v>157072</v>
      </c>
      <c r="B1700" s="1" t="s">
        <v>75</v>
      </c>
      <c r="C1700">
        <v>80</v>
      </c>
      <c r="D1700">
        <v>11121004</v>
      </c>
      <c r="E1700">
        <v>121004</v>
      </c>
      <c r="F1700" s="1" t="s">
        <v>6867</v>
      </c>
      <c r="G1700" s="1" t="s">
        <v>9056</v>
      </c>
      <c r="H1700">
        <v>0</v>
      </c>
      <c r="I1700" s="1" t="s">
        <v>78</v>
      </c>
      <c r="J1700" s="1" t="s">
        <v>9057</v>
      </c>
      <c r="K1700" s="1" t="s">
        <v>9058</v>
      </c>
      <c r="L1700" t="s">
        <v>91</v>
      </c>
      <c r="M1700" t="s">
        <v>91</v>
      </c>
      <c r="N1700" s="1" t="s">
        <v>9059</v>
      </c>
      <c r="O1700" t="s">
        <v>91</v>
      </c>
      <c r="P1700" s="1" t="s">
        <v>611</v>
      </c>
      <c r="Q1700" s="1" t="s">
        <v>1452</v>
      </c>
      <c r="R1700" s="1" t="s">
        <v>796</v>
      </c>
      <c r="S1700">
        <v>1276</v>
      </c>
      <c r="T1700">
        <v>89170000</v>
      </c>
      <c r="U1700" s="1" t="s">
        <v>108</v>
      </c>
      <c r="V1700" s="1" t="s">
        <v>7329</v>
      </c>
      <c r="W1700" s="1" t="s">
        <v>87</v>
      </c>
      <c r="X1700">
        <v>47</v>
      </c>
      <c r="Y1700">
        <v>35461368</v>
      </c>
      <c r="Z1700" t="s">
        <v>91</v>
      </c>
      <c r="AA1700" t="s">
        <v>91</v>
      </c>
      <c r="AB1700" t="s">
        <v>91</v>
      </c>
      <c r="AC1700" t="s">
        <v>91</v>
      </c>
      <c r="AD1700" t="s">
        <v>91</v>
      </c>
      <c r="AE1700" t="s">
        <v>91</v>
      </c>
      <c r="AF1700" t="s">
        <v>91</v>
      </c>
      <c r="AG1700" s="1" t="s">
        <v>91</v>
      </c>
      <c r="AH1700" s="1" t="s">
        <v>91</v>
      </c>
      <c r="AI1700" t="s">
        <v>91</v>
      </c>
      <c r="AM1700" t="s">
        <v>91</v>
      </c>
      <c r="AN1700" t="s">
        <v>91</v>
      </c>
      <c r="AO1700" t="s">
        <v>91</v>
      </c>
      <c r="AP1700" t="s">
        <v>91</v>
      </c>
      <c r="AQ1700" s="1" t="s">
        <v>91</v>
      </c>
      <c r="AR1700" s="1" t="s">
        <v>91</v>
      </c>
      <c r="AS1700" s="1" t="s">
        <v>91</v>
      </c>
      <c r="AT1700" s="1" t="s">
        <v>91</v>
      </c>
      <c r="AU1700" s="1" t="s">
        <v>91</v>
      </c>
      <c r="AV1700" t="s">
        <v>91</v>
      </c>
      <c r="AW1700" t="s">
        <v>91</v>
      </c>
      <c r="AX1700" t="s">
        <v>91</v>
      </c>
      <c r="AY1700" t="s">
        <v>91</v>
      </c>
      <c r="AZ1700" t="s">
        <v>91</v>
      </c>
      <c r="BA1700" t="s">
        <v>91</v>
      </c>
      <c r="BB1700" s="2">
        <v>45113.505416666667</v>
      </c>
      <c r="BC1700" s="2"/>
      <c r="BD1700" t="s">
        <v>91</v>
      </c>
      <c r="BF1700" s="1" t="s">
        <v>75</v>
      </c>
      <c r="BI1700" s="1" t="s">
        <v>88</v>
      </c>
      <c r="BJ1700">
        <v>1</v>
      </c>
      <c r="BK1700" s="1" t="s">
        <v>89</v>
      </c>
      <c r="BL1700" t="s">
        <v>91</v>
      </c>
      <c r="BM1700" s="1" t="s">
        <v>91</v>
      </c>
      <c r="BN1700" s="1" t="s">
        <v>91</v>
      </c>
      <c r="BO1700" s="1" t="s">
        <v>91</v>
      </c>
      <c r="BP1700" s="1" t="s">
        <v>91</v>
      </c>
      <c r="BQ1700" t="s">
        <v>91</v>
      </c>
      <c r="BR1700" s="3">
        <v>45113</v>
      </c>
      <c r="BS1700" s="3"/>
      <c r="BT1700" t="s">
        <v>91</v>
      </c>
      <c r="BU1700" t="s">
        <v>91</v>
      </c>
      <c r="BW1700" s="1" t="s">
        <v>90</v>
      </c>
    </row>
    <row r="1701" spans="1:75" hidden="1" x14ac:dyDescent="0.35">
      <c r="A1701">
        <v>1277</v>
      </c>
      <c r="B1701" s="1" t="s">
        <v>75</v>
      </c>
      <c r="C1701">
        <v>80</v>
      </c>
      <c r="D1701">
        <v>11121004</v>
      </c>
      <c r="E1701">
        <v>121004</v>
      </c>
      <c r="F1701" s="1" t="s">
        <v>6867</v>
      </c>
      <c r="G1701" s="1" t="s">
        <v>9060</v>
      </c>
      <c r="I1701" s="1" t="s">
        <v>78</v>
      </c>
      <c r="J1701" s="1" t="s">
        <v>9061</v>
      </c>
      <c r="K1701" s="1" t="s">
        <v>9062</v>
      </c>
      <c r="L1701" t="s">
        <v>91</v>
      </c>
      <c r="M1701" t="s">
        <v>91</v>
      </c>
      <c r="N1701" s="1" t="s">
        <v>9063</v>
      </c>
      <c r="O1701" t="s">
        <v>91</v>
      </c>
      <c r="P1701" s="1" t="s">
        <v>682</v>
      </c>
      <c r="Q1701" s="1" t="s">
        <v>7178</v>
      </c>
      <c r="R1701" s="1" t="s">
        <v>9064</v>
      </c>
      <c r="S1701">
        <v>1273</v>
      </c>
      <c r="T1701">
        <v>89010911</v>
      </c>
      <c r="U1701" s="1" t="s">
        <v>108</v>
      </c>
      <c r="V1701" s="1" t="s">
        <v>3571</v>
      </c>
      <c r="W1701" s="1" t="s">
        <v>87</v>
      </c>
      <c r="X1701">
        <v>47</v>
      </c>
      <c r="Y1701">
        <v>33265051</v>
      </c>
      <c r="Z1701" t="s">
        <v>91</v>
      </c>
      <c r="AA1701" t="s">
        <v>91</v>
      </c>
      <c r="AB1701" t="s">
        <v>91</v>
      </c>
      <c r="AC1701" t="s">
        <v>91</v>
      </c>
      <c r="AD1701" t="s">
        <v>91</v>
      </c>
      <c r="AE1701" t="s">
        <v>91</v>
      </c>
      <c r="AF1701" t="s">
        <v>91</v>
      </c>
      <c r="AG1701" s="1" t="s">
        <v>91</v>
      </c>
      <c r="AH1701" s="1" t="s">
        <v>91</v>
      </c>
      <c r="AI1701" t="s">
        <v>91</v>
      </c>
      <c r="AJ1701">
        <v>0</v>
      </c>
      <c r="AK1701">
        <v>0</v>
      </c>
      <c r="AL1701">
        <v>0</v>
      </c>
      <c r="AM1701" t="s">
        <v>91</v>
      </c>
      <c r="AN1701" t="s">
        <v>91</v>
      </c>
      <c r="AO1701" t="s">
        <v>91</v>
      </c>
      <c r="AP1701" t="s">
        <v>91</v>
      </c>
      <c r="AQ1701" s="1" t="s">
        <v>91</v>
      </c>
      <c r="AR1701" s="1" t="s">
        <v>91</v>
      </c>
      <c r="AS1701" s="1" t="s">
        <v>91</v>
      </c>
      <c r="AT1701" s="1" t="s">
        <v>91</v>
      </c>
      <c r="AU1701" s="1" t="s">
        <v>91</v>
      </c>
      <c r="AV1701" t="s">
        <v>91</v>
      </c>
      <c r="AW1701" t="s">
        <v>91</v>
      </c>
      <c r="AX1701" t="s">
        <v>91</v>
      </c>
      <c r="AY1701" t="s">
        <v>91</v>
      </c>
      <c r="AZ1701" t="s">
        <v>91</v>
      </c>
      <c r="BA1701" t="s">
        <v>91</v>
      </c>
      <c r="BB1701" s="2">
        <v>43308.393194444441</v>
      </c>
      <c r="BC1701" s="2"/>
      <c r="BD1701" t="s">
        <v>91</v>
      </c>
      <c r="BE1701">
        <v>1277</v>
      </c>
      <c r="BF1701" s="1" t="s">
        <v>75</v>
      </c>
      <c r="BG1701">
        <v>0</v>
      </c>
      <c r="BH1701">
        <v>0</v>
      </c>
      <c r="BI1701" s="1" t="s">
        <v>88</v>
      </c>
      <c r="BJ1701">
        <v>1</v>
      </c>
      <c r="BK1701" s="1" t="s">
        <v>89</v>
      </c>
      <c r="BL1701" t="s">
        <v>91</v>
      </c>
      <c r="BM1701" s="1" t="s">
        <v>109</v>
      </c>
      <c r="BN1701" s="1" t="s">
        <v>110</v>
      </c>
      <c r="BO1701" s="1" t="s">
        <v>165</v>
      </c>
      <c r="BP1701" s="1" t="s">
        <v>91</v>
      </c>
      <c r="BQ1701" t="s">
        <v>91</v>
      </c>
      <c r="BR1701" s="3">
        <v>43308</v>
      </c>
      <c r="BS1701" s="3"/>
      <c r="BT1701" t="s">
        <v>91</v>
      </c>
      <c r="BU1701" t="s">
        <v>91</v>
      </c>
      <c r="BV1701">
        <v>1</v>
      </c>
      <c r="BW1701" s="1" t="s">
        <v>912</v>
      </c>
    </row>
    <row r="1702" spans="1:75" hidden="1" x14ac:dyDescent="0.35">
      <c r="A1702">
        <v>137911</v>
      </c>
      <c r="B1702" s="1" t="s">
        <v>75</v>
      </c>
      <c r="C1702">
        <v>80</v>
      </c>
      <c r="D1702">
        <v>11121004</v>
      </c>
      <c r="E1702">
        <v>121004</v>
      </c>
      <c r="F1702" s="1" t="s">
        <v>6867</v>
      </c>
      <c r="G1702" s="1" t="s">
        <v>9065</v>
      </c>
      <c r="H1702">
        <v>0</v>
      </c>
      <c r="I1702" s="1" t="s">
        <v>78</v>
      </c>
      <c r="J1702" s="1" t="s">
        <v>9066</v>
      </c>
      <c r="K1702" s="1" t="s">
        <v>9067</v>
      </c>
      <c r="L1702" t="s">
        <v>91</v>
      </c>
      <c r="M1702" t="s">
        <v>91</v>
      </c>
      <c r="N1702" s="1" t="s">
        <v>9068</v>
      </c>
      <c r="O1702" t="s">
        <v>91</v>
      </c>
      <c r="P1702" s="1" t="s">
        <v>682</v>
      </c>
      <c r="Q1702" s="1" t="s">
        <v>714</v>
      </c>
      <c r="R1702" s="1" t="s">
        <v>9069</v>
      </c>
      <c r="S1702">
        <v>1261</v>
      </c>
      <c r="T1702">
        <v>88301205</v>
      </c>
      <c r="U1702" s="1" t="s">
        <v>7002</v>
      </c>
      <c r="V1702" s="1" t="s">
        <v>6874</v>
      </c>
      <c r="W1702" s="1" t="s">
        <v>87</v>
      </c>
      <c r="X1702">
        <v>47</v>
      </c>
      <c r="Y1702">
        <v>30451137</v>
      </c>
      <c r="Z1702" t="s">
        <v>91</v>
      </c>
      <c r="AA1702" t="s">
        <v>91</v>
      </c>
      <c r="AB1702" t="s">
        <v>91</v>
      </c>
      <c r="AC1702" t="s">
        <v>91</v>
      </c>
      <c r="AD1702" t="s">
        <v>91</v>
      </c>
      <c r="AE1702" t="s">
        <v>91</v>
      </c>
      <c r="AF1702" t="s">
        <v>91</v>
      </c>
      <c r="AG1702" s="1" t="s">
        <v>146</v>
      </c>
      <c r="AH1702" s="1" t="s">
        <v>91</v>
      </c>
      <c r="AI1702" t="s">
        <v>91</v>
      </c>
      <c r="AM1702" t="s">
        <v>91</v>
      </c>
      <c r="AN1702" t="s">
        <v>91</v>
      </c>
      <c r="AO1702" t="s">
        <v>91</v>
      </c>
      <c r="AP1702" t="s">
        <v>91</v>
      </c>
      <c r="AQ1702" s="1" t="s">
        <v>147</v>
      </c>
      <c r="AR1702" s="1" t="s">
        <v>147</v>
      </c>
      <c r="AS1702" s="1" t="s">
        <v>147</v>
      </c>
      <c r="AT1702" s="1" t="s">
        <v>147</v>
      </c>
      <c r="AU1702" s="1" t="s">
        <v>147</v>
      </c>
      <c r="AV1702" t="s">
        <v>91</v>
      </c>
      <c r="AW1702" t="s">
        <v>91</v>
      </c>
      <c r="AX1702" t="s">
        <v>91</v>
      </c>
      <c r="AY1702" t="s">
        <v>91</v>
      </c>
      <c r="AZ1702" t="s">
        <v>91</v>
      </c>
      <c r="BA1702" t="s">
        <v>91</v>
      </c>
      <c r="BB1702" s="2">
        <v>44378.578518518516</v>
      </c>
      <c r="BC1702" s="2">
        <v>44680.680914351855</v>
      </c>
      <c r="BD1702" t="s">
        <v>91</v>
      </c>
      <c r="BF1702" s="1" t="s">
        <v>75</v>
      </c>
      <c r="BH1702">
        <v>0</v>
      </c>
      <c r="BI1702" s="1" t="s">
        <v>88</v>
      </c>
      <c r="BJ1702">
        <v>1</v>
      </c>
      <c r="BK1702" s="1" t="s">
        <v>89</v>
      </c>
      <c r="BL1702" t="s">
        <v>91</v>
      </c>
      <c r="BM1702" s="1" t="s">
        <v>109</v>
      </c>
      <c r="BN1702" s="1" t="s">
        <v>110</v>
      </c>
      <c r="BO1702" s="1" t="s">
        <v>180</v>
      </c>
      <c r="BP1702" s="1" t="s">
        <v>91</v>
      </c>
      <c r="BQ1702" t="s">
        <v>91</v>
      </c>
      <c r="BR1702" s="3">
        <v>44378</v>
      </c>
      <c r="BS1702" s="3">
        <v>44680</v>
      </c>
      <c r="BT1702" t="s">
        <v>91</v>
      </c>
      <c r="BU1702" t="s">
        <v>91</v>
      </c>
      <c r="BW1702" s="1" t="s">
        <v>1048</v>
      </c>
    </row>
    <row r="1703" spans="1:75" hidden="1" x14ac:dyDescent="0.35">
      <c r="A1703">
        <v>157779</v>
      </c>
      <c r="B1703" s="1" t="s">
        <v>75</v>
      </c>
      <c r="C1703">
        <v>80</v>
      </c>
      <c r="D1703">
        <v>11121004</v>
      </c>
      <c r="E1703">
        <v>121004</v>
      </c>
      <c r="F1703" s="1" t="s">
        <v>6867</v>
      </c>
      <c r="G1703" s="1" t="s">
        <v>9070</v>
      </c>
      <c r="H1703">
        <v>0</v>
      </c>
      <c r="I1703" s="1" t="s">
        <v>78</v>
      </c>
      <c r="J1703" s="1" t="s">
        <v>9071</v>
      </c>
      <c r="K1703" s="1" t="s">
        <v>9072</v>
      </c>
      <c r="L1703" t="s">
        <v>91</v>
      </c>
      <c r="M1703" t="s">
        <v>91</v>
      </c>
      <c r="N1703" s="1" t="s">
        <v>9073</v>
      </c>
      <c r="O1703" t="s">
        <v>91</v>
      </c>
      <c r="P1703" s="1" t="s">
        <v>8612</v>
      </c>
      <c r="Q1703" s="1" t="s">
        <v>1469</v>
      </c>
      <c r="R1703" s="1" t="s">
        <v>796</v>
      </c>
      <c r="S1703">
        <v>1261</v>
      </c>
      <c r="T1703">
        <v>88303024</v>
      </c>
      <c r="U1703" s="1" t="s">
        <v>108</v>
      </c>
      <c r="V1703" s="1" t="s">
        <v>6881</v>
      </c>
      <c r="W1703" s="1" t="s">
        <v>87</v>
      </c>
      <c r="X1703">
        <v>47</v>
      </c>
      <c r="Y1703">
        <v>33481260</v>
      </c>
      <c r="Z1703" t="s">
        <v>91</v>
      </c>
      <c r="AA1703" t="s">
        <v>91</v>
      </c>
      <c r="AB1703" t="s">
        <v>91</v>
      </c>
      <c r="AC1703" t="s">
        <v>91</v>
      </c>
      <c r="AD1703" t="s">
        <v>91</v>
      </c>
      <c r="AE1703" t="s">
        <v>91</v>
      </c>
      <c r="AF1703" t="s">
        <v>91</v>
      </c>
      <c r="AG1703" s="1" t="s">
        <v>91</v>
      </c>
      <c r="AH1703" s="1" t="s">
        <v>91</v>
      </c>
      <c r="AI1703" t="s">
        <v>91</v>
      </c>
      <c r="AM1703" t="s">
        <v>91</v>
      </c>
      <c r="AN1703" t="s">
        <v>91</v>
      </c>
      <c r="AO1703" t="s">
        <v>91</v>
      </c>
      <c r="AP1703" t="s">
        <v>91</v>
      </c>
      <c r="AQ1703" s="1" t="s">
        <v>91</v>
      </c>
      <c r="AR1703" s="1" t="s">
        <v>91</v>
      </c>
      <c r="AS1703" s="1" t="s">
        <v>91</v>
      </c>
      <c r="AT1703" s="1" t="s">
        <v>91</v>
      </c>
      <c r="AU1703" s="1" t="s">
        <v>91</v>
      </c>
      <c r="AV1703" t="s">
        <v>91</v>
      </c>
      <c r="AW1703" t="s">
        <v>91</v>
      </c>
      <c r="AX1703" t="s">
        <v>91</v>
      </c>
      <c r="AY1703" t="s">
        <v>91</v>
      </c>
      <c r="AZ1703" t="s">
        <v>91</v>
      </c>
      <c r="BA1703" t="s">
        <v>91</v>
      </c>
      <c r="BB1703" s="2">
        <v>45118.101759259262</v>
      </c>
      <c r="BC1703" s="2"/>
      <c r="BD1703" t="s">
        <v>91</v>
      </c>
      <c r="BF1703" s="1" t="s">
        <v>75</v>
      </c>
      <c r="BI1703" s="1" t="s">
        <v>88</v>
      </c>
      <c r="BJ1703">
        <v>1</v>
      </c>
      <c r="BK1703" s="1" t="s">
        <v>89</v>
      </c>
      <c r="BL1703" t="s">
        <v>91</v>
      </c>
      <c r="BM1703" s="1" t="s">
        <v>91</v>
      </c>
      <c r="BN1703" s="1" t="s">
        <v>91</v>
      </c>
      <c r="BO1703" s="1" t="s">
        <v>91</v>
      </c>
      <c r="BP1703" s="1" t="s">
        <v>91</v>
      </c>
      <c r="BQ1703" t="s">
        <v>91</v>
      </c>
      <c r="BR1703" s="3">
        <v>45118</v>
      </c>
      <c r="BS1703" s="3"/>
      <c r="BT1703" t="s">
        <v>91</v>
      </c>
      <c r="BU1703" t="s">
        <v>91</v>
      </c>
      <c r="BW1703" s="1" t="s">
        <v>5452</v>
      </c>
    </row>
    <row r="1704" spans="1:75" hidden="1" x14ac:dyDescent="0.35">
      <c r="A1704">
        <v>127801</v>
      </c>
      <c r="B1704" s="1" t="s">
        <v>75</v>
      </c>
      <c r="C1704">
        <v>80</v>
      </c>
      <c r="D1704">
        <v>11121004</v>
      </c>
      <c r="E1704">
        <v>121004</v>
      </c>
      <c r="F1704" s="1" t="s">
        <v>6867</v>
      </c>
      <c r="G1704" s="1" t="s">
        <v>9074</v>
      </c>
      <c r="H1704">
        <v>0</v>
      </c>
      <c r="I1704" s="1" t="s">
        <v>78</v>
      </c>
      <c r="J1704" s="1" t="s">
        <v>9075</v>
      </c>
      <c r="K1704" s="1" t="s">
        <v>9076</v>
      </c>
      <c r="L1704" t="s">
        <v>91</v>
      </c>
      <c r="M1704" t="s">
        <v>91</v>
      </c>
      <c r="N1704" s="1" t="s">
        <v>8132</v>
      </c>
      <c r="O1704" t="s">
        <v>91</v>
      </c>
      <c r="P1704" s="1" t="s">
        <v>7257</v>
      </c>
      <c r="Q1704" s="1" t="s">
        <v>2652</v>
      </c>
      <c r="R1704" s="1" t="s">
        <v>370</v>
      </c>
      <c r="S1704">
        <v>1275</v>
      </c>
      <c r="T1704">
        <v>89135000</v>
      </c>
      <c r="U1704" s="1" t="s">
        <v>108</v>
      </c>
      <c r="V1704" s="1" t="s">
        <v>7258</v>
      </c>
      <c r="W1704" s="1" t="s">
        <v>87</v>
      </c>
      <c r="X1704">
        <v>47</v>
      </c>
      <c r="Y1704">
        <v>33530003</v>
      </c>
      <c r="Z1704" t="s">
        <v>91</v>
      </c>
      <c r="AA1704" t="s">
        <v>91</v>
      </c>
      <c r="AB1704" t="s">
        <v>91</v>
      </c>
      <c r="AC1704" t="s">
        <v>91</v>
      </c>
      <c r="AD1704" t="s">
        <v>91</v>
      </c>
      <c r="AE1704" t="s">
        <v>91</v>
      </c>
      <c r="AF1704" t="s">
        <v>91</v>
      </c>
      <c r="AG1704" s="1" t="s">
        <v>91</v>
      </c>
      <c r="AH1704" s="1" t="s">
        <v>91</v>
      </c>
      <c r="AI1704" t="s">
        <v>91</v>
      </c>
      <c r="AM1704" t="s">
        <v>91</v>
      </c>
      <c r="AN1704" t="s">
        <v>91</v>
      </c>
      <c r="AO1704" t="s">
        <v>91</v>
      </c>
      <c r="AP1704" t="s">
        <v>91</v>
      </c>
      <c r="AQ1704" s="1" t="s">
        <v>91</v>
      </c>
      <c r="AR1704" s="1" t="s">
        <v>91</v>
      </c>
      <c r="AS1704" s="1" t="s">
        <v>91</v>
      </c>
      <c r="AT1704" s="1" t="s">
        <v>91</v>
      </c>
      <c r="AU1704" s="1" t="s">
        <v>91</v>
      </c>
      <c r="AV1704" t="s">
        <v>91</v>
      </c>
      <c r="AW1704" t="s">
        <v>91</v>
      </c>
      <c r="AX1704" t="s">
        <v>91</v>
      </c>
      <c r="AY1704" t="s">
        <v>91</v>
      </c>
      <c r="AZ1704" t="s">
        <v>91</v>
      </c>
      <c r="BA1704" t="s">
        <v>91</v>
      </c>
      <c r="BB1704" s="2">
        <v>44111.380995370368</v>
      </c>
      <c r="BC1704" s="2"/>
      <c r="BD1704" t="s">
        <v>91</v>
      </c>
      <c r="BF1704" s="1" t="s">
        <v>75</v>
      </c>
      <c r="BI1704" s="1" t="s">
        <v>88</v>
      </c>
      <c r="BJ1704">
        <v>1</v>
      </c>
      <c r="BK1704" s="1" t="s">
        <v>89</v>
      </c>
      <c r="BL1704" t="s">
        <v>91</v>
      </c>
      <c r="BM1704" s="1" t="s">
        <v>109</v>
      </c>
      <c r="BN1704" s="1" t="s">
        <v>110</v>
      </c>
      <c r="BO1704" s="1" t="s">
        <v>180</v>
      </c>
      <c r="BP1704" s="1" t="s">
        <v>91</v>
      </c>
      <c r="BQ1704" t="s">
        <v>91</v>
      </c>
      <c r="BR1704" s="3">
        <v>44111</v>
      </c>
      <c r="BS1704" s="3"/>
      <c r="BT1704" t="s">
        <v>91</v>
      </c>
      <c r="BU1704" t="s">
        <v>91</v>
      </c>
      <c r="BV1704">
        <v>9</v>
      </c>
      <c r="BW1704" s="1" t="s">
        <v>90</v>
      </c>
    </row>
    <row r="1705" spans="1:75" hidden="1" x14ac:dyDescent="0.35">
      <c r="A1705">
        <v>137914</v>
      </c>
      <c r="B1705" s="1" t="s">
        <v>75</v>
      </c>
      <c r="C1705">
        <v>80</v>
      </c>
      <c r="D1705">
        <v>11121004</v>
      </c>
      <c r="E1705">
        <v>121004</v>
      </c>
      <c r="F1705" s="1" t="s">
        <v>6867</v>
      </c>
      <c r="G1705" s="1" t="s">
        <v>9077</v>
      </c>
      <c r="H1705">
        <v>0</v>
      </c>
      <c r="I1705" s="1" t="s">
        <v>78</v>
      </c>
      <c r="J1705" s="1" t="s">
        <v>9078</v>
      </c>
      <c r="K1705" s="1" t="s">
        <v>9079</v>
      </c>
      <c r="L1705" t="s">
        <v>91</v>
      </c>
      <c r="M1705" t="s">
        <v>91</v>
      </c>
      <c r="N1705" s="1" t="s">
        <v>9080</v>
      </c>
      <c r="O1705" t="s">
        <v>91</v>
      </c>
      <c r="P1705" s="1" t="s">
        <v>6925</v>
      </c>
      <c r="Q1705" s="1" t="s">
        <v>532</v>
      </c>
      <c r="R1705" s="1" t="s">
        <v>954</v>
      </c>
      <c r="S1705">
        <v>1276</v>
      </c>
      <c r="T1705">
        <v>89160051</v>
      </c>
      <c r="U1705" s="1" t="s">
        <v>108</v>
      </c>
      <c r="V1705" s="1" t="s">
        <v>6927</v>
      </c>
      <c r="W1705" s="1" t="s">
        <v>87</v>
      </c>
      <c r="X1705">
        <v>47</v>
      </c>
      <c r="Y1705">
        <v>35212403</v>
      </c>
      <c r="Z1705" t="s">
        <v>91</v>
      </c>
      <c r="AA1705" t="s">
        <v>91</v>
      </c>
      <c r="AB1705" t="s">
        <v>91</v>
      </c>
      <c r="AC1705" t="s">
        <v>91</v>
      </c>
      <c r="AD1705" t="s">
        <v>91</v>
      </c>
      <c r="AE1705" t="s">
        <v>91</v>
      </c>
      <c r="AF1705" t="s">
        <v>91</v>
      </c>
      <c r="AG1705" s="1" t="s">
        <v>146</v>
      </c>
      <c r="AH1705" s="1" t="s">
        <v>91</v>
      </c>
      <c r="AI1705" t="s">
        <v>91</v>
      </c>
      <c r="AM1705" t="s">
        <v>91</v>
      </c>
      <c r="AN1705" t="s">
        <v>91</v>
      </c>
      <c r="AO1705" t="s">
        <v>91</v>
      </c>
      <c r="AP1705" t="s">
        <v>91</v>
      </c>
      <c r="AQ1705" s="1" t="s">
        <v>147</v>
      </c>
      <c r="AR1705" s="1" t="s">
        <v>147</v>
      </c>
      <c r="AS1705" s="1" t="s">
        <v>147</v>
      </c>
      <c r="AT1705" s="1" t="s">
        <v>147</v>
      </c>
      <c r="AU1705" s="1" t="s">
        <v>147</v>
      </c>
      <c r="AV1705" t="s">
        <v>91</v>
      </c>
      <c r="AW1705" t="s">
        <v>91</v>
      </c>
      <c r="AX1705" t="s">
        <v>91</v>
      </c>
      <c r="AY1705" t="s">
        <v>91</v>
      </c>
      <c r="AZ1705" t="s">
        <v>91</v>
      </c>
      <c r="BA1705" t="s">
        <v>91</v>
      </c>
      <c r="BB1705" s="2">
        <v>44378.578518518516</v>
      </c>
      <c r="BC1705" s="2">
        <v>44680.686944444446</v>
      </c>
      <c r="BD1705" t="s">
        <v>91</v>
      </c>
      <c r="BF1705" s="1" t="s">
        <v>75</v>
      </c>
      <c r="BH1705">
        <v>0</v>
      </c>
      <c r="BI1705" s="1" t="s">
        <v>88</v>
      </c>
      <c r="BJ1705">
        <v>1</v>
      </c>
      <c r="BK1705" s="1" t="s">
        <v>89</v>
      </c>
      <c r="BL1705" t="s">
        <v>91</v>
      </c>
      <c r="BM1705" s="1" t="s">
        <v>329</v>
      </c>
      <c r="BN1705" s="1" t="s">
        <v>110</v>
      </c>
      <c r="BO1705" s="1" t="s">
        <v>165</v>
      </c>
      <c r="BP1705" s="1" t="s">
        <v>91</v>
      </c>
      <c r="BQ1705" t="s">
        <v>91</v>
      </c>
      <c r="BR1705" s="3">
        <v>44378</v>
      </c>
      <c r="BS1705" s="3">
        <v>44680</v>
      </c>
      <c r="BT1705" t="s">
        <v>91</v>
      </c>
      <c r="BU1705" t="s">
        <v>91</v>
      </c>
      <c r="BW1705" s="1" t="s">
        <v>912</v>
      </c>
    </row>
    <row r="1706" spans="1:75" hidden="1" x14ac:dyDescent="0.35">
      <c r="A1706">
        <v>117451</v>
      </c>
      <c r="B1706" s="1" t="s">
        <v>75</v>
      </c>
      <c r="C1706">
        <v>80</v>
      </c>
      <c r="D1706">
        <v>11121004</v>
      </c>
      <c r="E1706">
        <v>121004</v>
      </c>
      <c r="F1706" s="1" t="s">
        <v>6867</v>
      </c>
      <c r="G1706" s="1" t="s">
        <v>9081</v>
      </c>
      <c r="H1706">
        <v>0</v>
      </c>
      <c r="I1706" s="1" t="s">
        <v>78</v>
      </c>
      <c r="J1706" s="1" t="s">
        <v>9082</v>
      </c>
      <c r="K1706" s="1" t="s">
        <v>9083</v>
      </c>
      <c r="L1706" t="s">
        <v>91</v>
      </c>
      <c r="M1706" t="s">
        <v>91</v>
      </c>
      <c r="N1706" s="1" t="s">
        <v>91</v>
      </c>
      <c r="O1706" t="s">
        <v>91</v>
      </c>
      <c r="P1706" s="1" t="s">
        <v>7669</v>
      </c>
      <c r="Q1706" s="1" t="s">
        <v>862</v>
      </c>
      <c r="R1706" s="1" t="s">
        <v>9084</v>
      </c>
      <c r="T1706">
        <v>88360970</v>
      </c>
      <c r="U1706" s="1" t="s">
        <v>108</v>
      </c>
      <c r="V1706" s="1" t="s">
        <v>8463</v>
      </c>
      <c r="W1706" s="1" t="s">
        <v>87</v>
      </c>
      <c r="X1706">
        <v>47</v>
      </c>
      <c r="Y1706">
        <v>32510780</v>
      </c>
      <c r="Z1706" t="s">
        <v>91</v>
      </c>
      <c r="AA1706" t="s">
        <v>91</v>
      </c>
      <c r="AB1706" t="s">
        <v>91</v>
      </c>
      <c r="AC1706" t="s">
        <v>91</v>
      </c>
      <c r="AD1706" t="s">
        <v>91</v>
      </c>
      <c r="AE1706" t="s">
        <v>91</v>
      </c>
      <c r="AF1706" t="s">
        <v>91</v>
      </c>
      <c r="AG1706" s="1" t="s">
        <v>91</v>
      </c>
      <c r="AH1706" s="1" t="s">
        <v>91</v>
      </c>
      <c r="AI1706" t="s">
        <v>91</v>
      </c>
      <c r="AJ1706">
        <v>0</v>
      </c>
      <c r="AK1706">
        <v>0</v>
      </c>
      <c r="AL1706">
        <v>0</v>
      </c>
      <c r="AM1706" t="s">
        <v>91</v>
      </c>
      <c r="AN1706" t="s">
        <v>91</v>
      </c>
      <c r="AO1706" t="s">
        <v>91</v>
      </c>
      <c r="AP1706" t="s">
        <v>91</v>
      </c>
      <c r="AQ1706" s="1" t="s">
        <v>91</v>
      </c>
      <c r="AR1706" s="1" t="s">
        <v>91</v>
      </c>
      <c r="AS1706" s="1" t="s">
        <v>91</v>
      </c>
      <c r="AT1706" s="1" t="s">
        <v>91</v>
      </c>
      <c r="AU1706" s="1" t="s">
        <v>91</v>
      </c>
      <c r="AV1706" t="s">
        <v>91</v>
      </c>
      <c r="AW1706" t="s">
        <v>91</v>
      </c>
      <c r="AX1706" t="s">
        <v>91</v>
      </c>
      <c r="AY1706" t="s">
        <v>91</v>
      </c>
      <c r="AZ1706" t="s">
        <v>91</v>
      </c>
      <c r="BA1706" t="s">
        <v>91</v>
      </c>
      <c r="BB1706" s="2">
        <v>44034.350266203706</v>
      </c>
      <c r="BC1706" s="2"/>
      <c r="BD1706" t="s">
        <v>91</v>
      </c>
      <c r="BF1706" s="1" t="s">
        <v>75</v>
      </c>
      <c r="BG1706">
        <v>0</v>
      </c>
      <c r="BH1706">
        <v>0</v>
      </c>
      <c r="BI1706" s="1" t="s">
        <v>88</v>
      </c>
      <c r="BJ1706">
        <v>1</v>
      </c>
      <c r="BK1706" s="1" t="s">
        <v>89</v>
      </c>
      <c r="BL1706" t="s">
        <v>91</v>
      </c>
      <c r="BM1706" s="1" t="s">
        <v>109</v>
      </c>
      <c r="BN1706" s="1" t="s">
        <v>148</v>
      </c>
      <c r="BO1706" s="1" t="s">
        <v>165</v>
      </c>
      <c r="BP1706" s="1" t="s">
        <v>91</v>
      </c>
      <c r="BQ1706" t="s">
        <v>91</v>
      </c>
      <c r="BR1706" s="3">
        <v>44034</v>
      </c>
      <c r="BS1706" s="3"/>
      <c r="BT1706" t="s">
        <v>91</v>
      </c>
      <c r="BU1706" t="s">
        <v>91</v>
      </c>
      <c r="BV1706">
        <v>9</v>
      </c>
      <c r="BW1706" s="1" t="s">
        <v>1575</v>
      </c>
    </row>
    <row r="1707" spans="1:75" hidden="1" x14ac:dyDescent="0.35">
      <c r="A1707">
        <v>117450</v>
      </c>
      <c r="B1707" s="1" t="s">
        <v>75</v>
      </c>
      <c r="C1707">
        <v>80</v>
      </c>
      <c r="D1707">
        <v>11121004</v>
      </c>
      <c r="E1707">
        <v>121004</v>
      </c>
      <c r="F1707" s="1" t="s">
        <v>6867</v>
      </c>
      <c r="G1707" s="1" t="s">
        <v>9085</v>
      </c>
      <c r="H1707">
        <v>0</v>
      </c>
      <c r="I1707" s="1" t="s">
        <v>78</v>
      </c>
      <c r="J1707" s="1" t="s">
        <v>9086</v>
      </c>
      <c r="K1707" s="1" t="s">
        <v>9087</v>
      </c>
      <c r="L1707" t="s">
        <v>91</v>
      </c>
      <c r="M1707" t="s">
        <v>91</v>
      </c>
      <c r="N1707" s="1" t="s">
        <v>7107</v>
      </c>
      <c r="O1707" t="s">
        <v>91</v>
      </c>
      <c r="P1707" s="1" t="s">
        <v>7372</v>
      </c>
      <c r="Q1707" s="1" t="s">
        <v>504</v>
      </c>
      <c r="R1707" s="1" t="s">
        <v>9088</v>
      </c>
      <c r="S1707">
        <v>1263</v>
      </c>
      <c r="T1707">
        <v>88350002</v>
      </c>
      <c r="U1707" s="1" t="s">
        <v>108</v>
      </c>
      <c r="V1707" s="1" t="s">
        <v>6936</v>
      </c>
      <c r="W1707" s="1" t="s">
        <v>87</v>
      </c>
      <c r="X1707">
        <v>47</v>
      </c>
      <c r="Y1707">
        <v>32510790</v>
      </c>
      <c r="Z1707" t="s">
        <v>91</v>
      </c>
      <c r="AA1707" t="s">
        <v>91</v>
      </c>
      <c r="AB1707" t="s">
        <v>91</v>
      </c>
      <c r="AC1707" t="s">
        <v>91</v>
      </c>
      <c r="AD1707" t="s">
        <v>91</v>
      </c>
      <c r="AE1707" t="s">
        <v>91</v>
      </c>
      <c r="AF1707" t="s">
        <v>91</v>
      </c>
      <c r="AG1707" s="1" t="s">
        <v>91</v>
      </c>
      <c r="AH1707" s="1" t="s">
        <v>91</v>
      </c>
      <c r="AI1707" t="s">
        <v>91</v>
      </c>
      <c r="AM1707" t="s">
        <v>91</v>
      </c>
      <c r="AN1707" t="s">
        <v>91</v>
      </c>
      <c r="AO1707" t="s">
        <v>91</v>
      </c>
      <c r="AP1707" t="s">
        <v>91</v>
      </c>
      <c r="AQ1707" s="1" t="s">
        <v>91</v>
      </c>
      <c r="AR1707" s="1" t="s">
        <v>91</v>
      </c>
      <c r="AS1707" s="1" t="s">
        <v>91</v>
      </c>
      <c r="AT1707" s="1" t="s">
        <v>91</v>
      </c>
      <c r="AU1707" s="1" t="s">
        <v>91</v>
      </c>
      <c r="AV1707" t="s">
        <v>91</v>
      </c>
      <c r="AW1707" t="s">
        <v>91</v>
      </c>
      <c r="AX1707" t="s">
        <v>91</v>
      </c>
      <c r="AY1707" t="s">
        <v>91</v>
      </c>
      <c r="AZ1707" t="s">
        <v>91</v>
      </c>
      <c r="BA1707" t="s">
        <v>91</v>
      </c>
      <c r="BB1707" s="2">
        <v>44034.350266203706</v>
      </c>
      <c r="BC1707" s="2"/>
      <c r="BD1707" t="s">
        <v>91</v>
      </c>
      <c r="BF1707" s="1" t="s">
        <v>75</v>
      </c>
      <c r="BI1707" s="1" t="s">
        <v>88</v>
      </c>
      <c r="BJ1707">
        <v>1</v>
      </c>
      <c r="BK1707" s="1" t="s">
        <v>89</v>
      </c>
      <c r="BL1707" t="s">
        <v>91</v>
      </c>
      <c r="BM1707" s="1" t="s">
        <v>109</v>
      </c>
      <c r="BN1707" s="1" t="s">
        <v>148</v>
      </c>
      <c r="BO1707" s="1" t="s">
        <v>165</v>
      </c>
      <c r="BP1707" s="1" t="s">
        <v>91</v>
      </c>
      <c r="BQ1707" t="s">
        <v>91</v>
      </c>
      <c r="BR1707" s="3">
        <v>44034</v>
      </c>
      <c r="BS1707" s="3"/>
      <c r="BT1707" t="s">
        <v>91</v>
      </c>
      <c r="BU1707" t="s">
        <v>91</v>
      </c>
      <c r="BV1707">
        <v>1</v>
      </c>
      <c r="BW1707" s="1" t="s">
        <v>1260</v>
      </c>
    </row>
    <row r="1708" spans="1:75" hidden="1" x14ac:dyDescent="0.35">
      <c r="A1708">
        <v>137917</v>
      </c>
      <c r="B1708" s="1" t="s">
        <v>75</v>
      </c>
      <c r="C1708">
        <v>80</v>
      </c>
      <c r="D1708">
        <v>11121004</v>
      </c>
      <c r="E1708">
        <v>121004</v>
      </c>
      <c r="F1708" s="1" t="s">
        <v>6867</v>
      </c>
      <c r="G1708" s="1" t="s">
        <v>9089</v>
      </c>
      <c r="H1708">
        <v>0</v>
      </c>
      <c r="I1708" s="1" t="s">
        <v>78</v>
      </c>
      <c r="J1708" s="1" t="s">
        <v>9090</v>
      </c>
      <c r="K1708" s="1" t="s">
        <v>9091</v>
      </c>
      <c r="L1708" t="s">
        <v>91</v>
      </c>
      <c r="M1708" t="s">
        <v>91</v>
      </c>
      <c r="N1708" s="1" t="s">
        <v>9092</v>
      </c>
      <c r="O1708" t="s">
        <v>91</v>
      </c>
      <c r="P1708" s="1" t="s">
        <v>7372</v>
      </c>
      <c r="Q1708" s="1" t="s">
        <v>9093</v>
      </c>
      <c r="R1708" s="1" t="s">
        <v>9094</v>
      </c>
      <c r="S1708">
        <v>1263</v>
      </c>
      <c r="T1708">
        <v>88350001</v>
      </c>
      <c r="U1708" s="1" t="s">
        <v>108</v>
      </c>
      <c r="V1708" s="1" t="s">
        <v>6936</v>
      </c>
      <c r="W1708" s="1" t="s">
        <v>87</v>
      </c>
      <c r="X1708">
        <v>47</v>
      </c>
      <c r="Y1708">
        <v>33512669</v>
      </c>
      <c r="Z1708" t="s">
        <v>91</v>
      </c>
      <c r="AA1708" t="s">
        <v>91</v>
      </c>
      <c r="AB1708" t="s">
        <v>91</v>
      </c>
      <c r="AC1708" t="s">
        <v>91</v>
      </c>
      <c r="AD1708" t="s">
        <v>91</v>
      </c>
      <c r="AE1708" t="s">
        <v>91</v>
      </c>
      <c r="AF1708" t="s">
        <v>91</v>
      </c>
      <c r="AG1708" s="1" t="s">
        <v>146</v>
      </c>
      <c r="AH1708" s="1" t="s">
        <v>91</v>
      </c>
      <c r="AI1708" t="s">
        <v>91</v>
      </c>
      <c r="AM1708" t="s">
        <v>91</v>
      </c>
      <c r="AN1708" t="s">
        <v>91</v>
      </c>
      <c r="AO1708" t="s">
        <v>91</v>
      </c>
      <c r="AP1708" t="s">
        <v>91</v>
      </c>
      <c r="AQ1708" s="1" t="s">
        <v>147</v>
      </c>
      <c r="AR1708" s="1" t="s">
        <v>147</v>
      </c>
      <c r="AS1708" s="1" t="s">
        <v>147</v>
      </c>
      <c r="AT1708" s="1" t="s">
        <v>147</v>
      </c>
      <c r="AU1708" s="1" t="s">
        <v>147</v>
      </c>
      <c r="AV1708" t="s">
        <v>91</v>
      </c>
      <c r="AW1708" t="s">
        <v>91</v>
      </c>
      <c r="AX1708" t="s">
        <v>91</v>
      </c>
      <c r="AY1708" t="s">
        <v>91</v>
      </c>
      <c r="AZ1708" t="s">
        <v>91</v>
      </c>
      <c r="BA1708" t="s">
        <v>91</v>
      </c>
      <c r="BB1708" s="2">
        <v>44378.578518518516</v>
      </c>
      <c r="BC1708" s="2">
        <v>44508.461805555555</v>
      </c>
      <c r="BD1708" t="s">
        <v>91</v>
      </c>
      <c r="BF1708" s="1" t="s">
        <v>75</v>
      </c>
      <c r="BH1708">
        <v>0</v>
      </c>
      <c r="BI1708" s="1" t="s">
        <v>88</v>
      </c>
      <c r="BJ1708">
        <v>1</v>
      </c>
      <c r="BK1708" s="1" t="s">
        <v>89</v>
      </c>
      <c r="BL1708" t="s">
        <v>91</v>
      </c>
      <c r="BM1708" s="1" t="s">
        <v>109</v>
      </c>
      <c r="BN1708" s="1" t="s">
        <v>148</v>
      </c>
      <c r="BO1708" s="1" t="s">
        <v>165</v>
      </c>
      <c r="BP1708" s="1" t="s">
        <v>91</v>
      </c>
      <c r="BQ1708" t="s">
        <v>91</v>
      </c>
      <c r="BR1708" s="3">
        <v>44378</v>
      </c>
      <c r="BS1708" s="3">
        <v>44508</v>
      </c>
      <c r="BT1708" t="s">
        <v>91</v>
      </c>
      <c r="BU1708" t="s">
        <v>91</v>
      </c>
      <c r="BW1708" s="1" t="s">
        <v>1211</v>
      </c>
    </row>
    <row r="1709" spans="1:75" hidden="1" x14ac:dyDescent="0.35">
      <c r="A1709">
        <v>137918</v>
      </c>
      <c r="B1709" s="1" t="s">
        <v>75</v>
      </c>
      <c r="C1709">
        <v>80</v>
      </c>
      <c r="D1709">
        <v>11121004</v>
      </c>
      <c r="E1709">
        <v>121004</v>
      </c>
      <c r="F1709" s="1" t="s">
        <v>6867</v>
      </c>
      <c r="G1709" s="1" t="s">
        <v>9095</v>
      </c>
      <c r="H1709">
        <v>0</v>
      </c>
      <c r="I1709" s="1" t="s">
        <v>78</v>
      </c>
      <c r="J1709" s="1" t="s">
        <v>9096</v>
      </c>
      <c r="K1709" s="1" t="s">
        <v>9097</v>
      </c>
      <c r="L1709" t="s">
        <v>91</v>
      </c>
      <c r="M1709" t="s">
        <v>91</v>
      </c>
      <c r="N1709" s="1" t="s">
        <v>9098</v>
      </c>
      <c r="O1709" t="s">
        <v>91</v>
      </c>
      <c r="P1709" s="1" t="s">
        <v>1210</v>
      </c>
      <c r="Q1709" s="1" t="s">
        <v>504</v>
      </c>
      <c r="R1709" s="1" t="s">
        <v>91</v>
      </c>
      <c r="S1709">
        <v>1272</v>
      </c>
      <c r="T1709">
        <v>89010500</v>
      </c>
      <c r="U1709" s="1" t="s">
        <v>108</v>
      </c>
      <c r="V1709" s="1" t="s">
        <v>3571</v>
      </c>
      <c r="W1709" s="1" t="s">
        <v>87</v>
      </c>
      <c r="X1709">
        <v>47</v>
      </c>
      <c r="Y1709">
        <v>33262533</v>
      </c>
      <c r="Z1709" t="s">
        <v>91</v>
      </c>
      <c r="AA1709" t="s">
        <v>91</v>
      </c>
      <c r="AB1709" t="s">
        <v>91</v>
      </c>
      <c r="AC1709" t="s">
        <v>91</v>
      </c>
      <c r="AD1709" t="s">
        <v>91</v>
      </c>
      <c r="AE1709" t="s">
        <v>91</v>
      </c>
      <c r="AF1709" t="s">
        <v>91</v>
      </c>
      <c r="AG1709" s="1" t="s">
        <v>146</v>
      </c>
      <c r="AH1709" s="1" t="s">
        <v>91</v>
      </c>
      <c r="AI1709" t="s">
        <v>91</v>
      </c>
      <c r="AM1709" t="s">
        <v>91</v>
      </c>
      <c r="AN1709" t="s">
        <v>91</v>
      </c>
      <c r="AO1709" t="s">
        <v>91</v>
      </c>
      <c r="AP1709" t="s">
        <v>91</v>
      </c>
      <c r="AQ1709" s="1" t="s">
        <v>147</v>
      </c>
      <c r="AR1709" s="1" t="s">
        <v>147</v>
      </c>
      <c r="AS1709" s="1" t="s">
        <v>147</v>
      </c>
      <c r="AT1709" s="1" t="s">
        <v>147</v>
      </c>
      <c r="AU1709" s="1" t="s">
        <v>147</v>
      </c>
      <c r="AV1709" t="s">
        <v>91</v>
      </c>
      <c r="AW1709" t="s">
        <v>91</v>
      </c>
      <c r="AX1709" t="s">
        <v>91</v>
      </c>
      <c r="AY1709" t="s">
        <v>91</v>
      </c>
      <c r="AZ1709" t="s">
        <v>91</v>
      </c>
      <c r="BA1709" t="s">
        <v>91</v>
      </c>
      <c r="BB1709" s="2">
        <v>44378.578518518516</v>
      </c>
      <c r="BC1709" s="2">
        <v>44599.369212962964</v>
      </c>
      <c r="BD1709" t="s">
        <v>91</v>
      </c>
      <c r="BF1709" s="1" t="s">
        <v>75</v>
      </c>
      <c r="BH1709">
        <v>0</v>
      </c>
      <c r="BI1709" s="1" t="s">
        <v>88</v>
      </c>
      <c r="BJ1709">
        <v>1</v>
      </c>
      <c r="BK1709" s="1" t="s">
        <v>89</v>
      </c>
      <c r="BL1709" t="s">
        <v>91</v>
      </c>
      <c r="BM1709" s="1" t="s">
        <v>329</v>
      </c>
      <c r="BN1709" s="1" t="s">
        <v>110</v>
      </c>
      <c r="BO1709" s="1" t="s">
        <v>165</v>
      </c>
      <c r="BP1709" s="1" t="s">
        <v>91</v>
      </c>
      <c r="BQ1709" t="s">
        <v>91</v>
      </c>
      <c r="BR1709" s="3">
        <v>44378</v>
      </c>
      <c r="BS1709" s="3">
        <v>44599</v>
      </c>
      <c r="BT1709" t="s">
        <v>91</v>
      </c>
      <c r="BU1709" t="s">
        <v>91</v>
      </c>
      <c r="BW1709" s="1" t="s">
        <v>1077</v>
      </c>
    </row>
    <row r="1710" spans="1:75" hidden="1" x14ac:dyDescent="0.35">
      <c r="A1710">
        <v>158718</v>
      </c>
      <c r="B1710" s="1" t="s">
        <v>75</v>
      </c>
      <c r="C1710">
        <v>80</v>
      </c>
      <c r="D1710">
        <v>11121004</v>
      </c>
      <c r="E1710">
        <v>121004</v>
      </c>
      <c r="F1710" s="1" t="s">
        <v>6867</v>
      </c>
      <c r="G1710" s="1" t="s">
        <v>9099</v>
      </c>
      <c r="I1710" s="1" t="s">
        <v>78</v>
      </c>
      <c r="J1710" s="1" t="s">
        <v>9100</v>
      </c>
      <c r="K1710" s="1" t="s">
        <v>9101</v>
      </c>
      <c r="L1710" t="s">
        <v>91</v>
      </c>
      <c r="M1710" t="s">
        <v>91</v>
      </c>
      <c r="N1710" s="1" t="s">
        <v>9102</v>
      </c>
      <c r="O1710" t="s">
        <v>91</v>
      </c>
      <c r="P1710" s="1" t="s">
        <v>9103</v>
      </c>
      <c r="Q1710" s="1" t="s">
        <v>512</v>
      </c>
      <c r="R1710" s="1" t="s">
        <v>236</v>
      </c>
      <c r="T1710">
        <v>89128000</v>
      </c>
      <c r="U1710" s="1" t="s">
        <v>8541</v>
      </c>
      <c r="V1710" s="1" t="s">
        <v>8542</v>
      </c>
      <c r="W1710" s="1" t="s">
        <v>87</v>
      </c>
      <c r="X1710">
        <v>47</v>
      </c>
      <c r="Y1710">
        <v>30911080</v>
      </c>
      <c r="Z1710" t="s">
        <v>91</v>
      </c>
      <c r="AA1710" t="s">
        <v>91</v>
      </c>
      <c r="AB1710" t="s">
        <v>91</v>
      </c>
      <c r="AC1710" t="s">
        <v>91</v>
      </c>
      <c r="AD1710" t="s">
        <v>91</v>
      </c>
      <c r="AE1710" t="s">
        <v>91</v>
      </c>
      <c r="AF1710" t="s">
        <v>91</v>
      </c>
      <c r="AG1710" s="1" t="s">
        <v>91</v>
      </c>
      <c r="AH1710" s="1" t="s">
        <v>91</v>
      </c>
      <c r="AI1710" t="s">
        <v>91</v>
      </c>
      <c r="AM1710" t="s">
        <v>91</v>
      </c>
      <c r="AN1710" t="s">
        <v>91</v>
      </c>
      <c r="AO1710" t="s">
        <v>91</v>
      </c>
      <c r="AP1710" t="s">
        <v>91</v>
      </c>
      <c r="AQ1710" s="1" t="s">
        <v>91</v>
      </c>
      <c r="AR1710" s="1" t="s">
        <v>91</v>
      </c>
      <c r="AS1710" s="1" t="s">
        <v>91</v>
      </c>
      <c r="AT1710" s="1" t="s">
        <v>91</v>
      </c>
      <c r="AU1710" s="1" t="s">
        <v>91</v>
      </c>
      <c r="AV1710" t="s">
        <v>91</v>
      </c>
      <c r="AW1710" t="s">
        <v>91</v>
      </c>
      <c r="AX1710" t="s">
        <v>91</v>
      </c>
      <c r="AY1710" t="s">
        <v>91</v>
      </c>
      <c r="AZ1710" t="s">
        <v>91</v>
      </c>
      <c r="BA1710" t="s">
        <v>91</v>
      </c>
      <c r="BB1710" s="2">
        <v>45155.700069444443</v>
      </c>
      <c r="BC1710" s="2"/>
      <c r="BD1710" t="s">
        <v>91</v>
      </c>
      <c r="BF1710" s="1" t="s">
        <v>75</v>
      </c>
      <c r="BI1710" s="1" t="s">
        <v>88</v>
      </c>
      <c r="BJ1710">
        <v>1</v>
      </c>
      <c r="BK1710" s="1" t="s">
        <v>89</v>
      </c>
      <c r="BL1710" t="s">
        <v>91</v>
      </c>
      <c r="BM1710" s="1" t="s">
        <v>91</v>
      </c>
      <c r="BN1710" s="1" t="s">
        <v>91</v>
      </c>
      <c r="BO1710" s="1" t="s">
        <v>91</v>
      </c>
      <c r="BP1710" s="1" t="s">
        <v>91</v>
      </c>
      <c r="BQ1710" t="s">
        <v>91</v>
      </c>
      <c r="BR1710" s="3">
        <v>45155</v>
      </c>
      <c r="BS1710" s="3"/>
      <c r="BT1710" t="s">
        <v>91</v>
      </c>
      <c r="BU1710" t="s">
        <v>91</v>
      </c>
      <c r="BW1710" s="1" t="s">
        <v>90</v>
      </c>
    </row>
    <row r="1711" spans="1:75" hidden="1" x14ac:dyDescent="0.35">
      <c r="A1711">
        <v>137919</v>
      </c>
      <c r="B1711" s="1" t="s">
        <v>75</v>
      </c>
      <c r="C1711">
        <v>80</v>
      </c>
      <c r="D1711">
        <v>11121004</v>
      </c>
      <c r="E1711">
        <v>121004</v>
      </c>
      <c r="F1711" s="1" t="s">
        <v>6867</v>
      </c>
      <c r="G1711" s="1" t="s">
        <v>9104</v>
      </c>
      <c r="H1711">
        <v>0</v>
      </c>
      <c r="I1711" s="1" t="s">
        <v>78</v>
      </c>
      <c r="J1711" s="1" t="s">
        <v>9105</v>
      </c>
      <c r="K1711" s="1" t="s">
        <v>9106</v>
      </c>
      <c r="L1711" t="s">
        <v>91</v>
      </c>
      <c r="M1711" t="s">
        <v>91</v>
      </c>
      <c r="N1711" s="1" t="s">
        <v>91</v>
      </c>
      <c r="O1711" t="s">
        <v>91</v>
      </c>
      <c r="P1711" s="1" t="s">
        <v>9107</v>
      </c>
      <c r="Q1711" s="1" t="s">
        <v>126</v>
      </c>
      <c r="R1711" s="1" t="s">
        <v>9108</v>
      </c>
      <c r="T1711">
        <v>88331005</v>
      </c>
      <c r="U1711" s="1" t="s">
        <v>7510</v>
      </c>
      <c r="V1711" s="1" t="s">
        <v>5871</v>
      </c>
      <c r="W1711" s="1" t="s">
        <v>87</v>
      </c>
      <c r="X1711">
        <v>47</v>
      </c>
      <c r="Y1711">
        <v>33632369</v>
      </c>
      <c r="Z1711" t="s">
        <v>91</v>
      </c>
      <c r="AA1711" t="s">
        <v>91</v>
      </c>
      <c r="AB1711" t="s">
        <v>91</v>
      </c>
      <c r="AC1711" t="s">
        <v>91</v>
      </c>
      <c r="AD1711" t="s">
        <v>91</v>
      </c>
      <c r="AE1711" t="s">
        <v>91</v>
      </c>
      <c r="AF1711" t="s">
        <v>91</v>
      </c>
      <c r="AG1711" s="1" t="s">
        <v>91</v>
      </c>
      <c r="AH1711" s="1" t="s">
        <v>91</v>
      </c>
      <c r="AI1711" t="s">
        <v>91</v>
      </c>
      <c r="AM1711" t="s">
        <v>91</v>
      </c>
      <c r="AN1711" t="s">
        <v>91</v>
      </c>
      <c r="AO1711" t="s">
        <v>91</v>
      </c>
      <c r="AP1711" t="s">
        <v>91</v>
      </c>
      <c r="AQ1711" s="1" t="s">
        <v>91</v>
      </c>
      <c r="AR1711" s="1" t="s">
        <v>91</v>
      </c>
      <c r="AS1711" s="1" t="s">
        <v>91</v>
      </c>
      <c r="AT1711" s="1" t="s">
        <v>91</v>
      </c>
      <c r="AU1711" s="1" t="s">
        <v>91</v>
      </c>
      <c r="AV1711" t="s">
        <v>91</v>
      </c>
      <c r="AW1711" t="s">
        <v>91</v>
      </c>
      <c r="AX1711" t="s">
        <v>91</v>
      </c>
      <c r="AY1711" t="s">
        <v>91</v>
      </c>
      <c r="AZ1711" t="s">
        <v>91</v>
      </c>
      <c r="BA1711" t="s">
        <v>91</v>
      </c>
      <c r="BB1711" s="2">
        <v>44378.578518518516</v>
      </c>
      <c r="BC1711" s="2"/>
      <c r="BD1711" t="s">
        <v>91</v>
      </c>
      <c r="BF1711" s="1" t="s">
        <v>75</v>
      </c>
      <c r="BI1711" s="1" t="s">
        <v>88</v>
      </c>
      <c r="BJ1711">
        <v>1</v>
      </c>
      <c r="BK1711" s="1" t="s">
        <v>89</v>
      </c>
      <c r="BL1711" t="s">
        <v>91</v>
      </c>
      <c r="BM1711" s="1" t="s">
        <v>109</v>
      </c>
      <c r="BN1711" s="1" t="s">
        <v>148</v>
      </c>
      <c r="BO1711" s="1" t="s">
        <v>165</v>
      </c>
      <c r="BP1711" s="1" t="s">
        <v>91</v>
      </c>
      <c r="BQ1711" t="s">
        <v>91</v>
      </c>
      <c r="BR1711" s="3">
        <v>44378</v>
      </c>
      <c r="BS1711" s="3"/>
      <c r="BT1711" t="s">
        <v>91</v>
      </c>
      <c r="BU1711" t="s">
        <v>91</v>
      </c>
      <c r="BW1711" s="1" t="s">
        <v>7001</v>
      </c>
    </row>
    <row r="1712" spans="1:75" hidden="1" x14ac:dyDescent="0.35">
      <c r="A1712">
        <v>137920</v>
      </c>
      <c r="B1712" s="1" t="s">
        <v>75</v>
      </c>
      <c r="C1712">
        <v>80</v>
      </c>
      <c r="D1712">
        <v>11121004</v>
      </c>
      <c r="E1712">
        <v>121004</v>
      </c>
      <c r="F1712" s="1" t="s">
        <v>6867</v>
      </c>
      <c r="G1712" s="1" t="s">
        <v>9109</v>
      </c>
      <c r="H1712">
        <v>0</v>
      </c>
      <c r="I1712" s="1" t="s">
        <v>78</v>
      </c>
      <c r="J1712" s="1" t="s">
        <v>9110</v>
      </c>
      <c r="K1712" s="1" t="s">
        <v>9111</v>
      </c>
      <c r="L1712" t="s">
        <v>91</v>
      </c>
      <c r="M1712" t="s">
        <v>91</v>
      </c>
      <c r="N1712" s="1" t="s">
        <v>9112</v>
      </c>
      <c r="O1712" t="s">
        <v>91</v>
      </c>
      <c r="P1712" s="1" t="s">
        <v>9113</v>
      </c>
      <c r="Q1712" s="1" t="s">
        <v>8747</v>
      </c>
      <c r="R1712" s="1" t="s">
        <v>833</v>
      </c>
      <c r="S1712">
        <v>1262</v>
      </c>
      <c r="T1712">
        <v>88330050</v>
      </c>
      <c r="U1712" s="1" t="s">
        <v>108</v>
      </c>
      <c r="V1712" s="1" t="s">
        <v>6898</v>
      </c>
      <c r="W1712" s="1" t="s">
        <v>87</v>
      </c>
      <c r="X1712">
        <v>47</v>
      </c>
      <c r="Y1712">
        <v>30560776</v>
      </c>
      <c r="Z1712" t="s">
        <v>91</v>
      </c>
      <c r="AA1712" t="s">
        <v>91</v>
      </c>
      <c r="AB1712" t="s">
        <v>91</v>
      </c>
      <c r="AC1712" t="s">
        <v>91</v>
      </c>
      <c r="AD1712" t="s">
        <v>91</v>
      </c>
      <c r="AE1712" t="s">
        <v>91</v>
      </c>
      <c r="AF1712" t="s">
        <v>91</v>
      </c>
      <c r="AG1712" s="1" t="s">
        <v>146</v>
      </c>
      <c r="AH1712" s="1" t="s">
        <v>91</v>
      </c>
      <c r="AI1712" t="s">
        <v>91</v>
      </c>
      <c r="AM1712" t="s">
        <v>91</v>
      </c>
      <c r="AN1712" t="s">
        <v>91</v>
      </c>
      <c r="AO1712" t="s">
        <v>91</v>
      </c>
      <c r="AP1712" t="s">
        <v>91</v>
      </c>
      <c r="AQ1712" s="1" t="s">
        <v>147</v>
      </c>
      <c r="AR1712" s="1" t="s">
        <v>147</v>
      </c>
      <c r="AS1712" s="1" t="s">
        <v>147</v>
      </c>
      <c r="AT1712" s="1" t="s">
        <v>147</v>
      </c>
      <c r="AU1712" s="1" t="s">
        <v>147</v>
      </c>
      <c r="AV1712" t="s">
        <v>91</v>
      </c>
      <c r="AW1712" t="s">
        <v>91</v>
      </c>
      <c r="AX1712" t="s">
        <v>91</v>
      </c>
      <c r="AY1712" t="s">
        <v>91</v>
      </c>
      <c r="AZ1712" t="s">
        <v>91</v>
      </c>
      <c r="BA1712" t="s">
        <v>91</v>
      </c>
      <c r="BB1712" s="2">
        <v>44378.578518518516</v>
      </c>
      <c r="BC1712" s="2">
        <v>45114.745138888888</v>
      </c>
      <c r="BD1712" t="s">
        <v>91</v>
      </c>
      <c r="BF1712" s="1" t="s">
        <v>75</v>
      </c>
      <c r="BH1712">
        <v>0</v>
      </c>
      <c r="BI1712" s="1" t="s">
        <v>88</v>
      </c>
      <c r="BJ1712">
        <v>1</v>
      </c>
      <c r="BK1712" s="1" t="s">
        <v>89</v>
      </c>
      <c r="BL1712" t="s">
        <v>91</v>
      </c>
      <c r="BM1712" s="1" t="s">
        <v>164</v>
      </c>
      <c r="BN1712" s="1" t="s">
        <v>110</v>
      </c>
      <c r="BO1712" s="1" t="s">
        <v>165</v>
      </c>
      <c r="BP1712" s="1" t="s">
        <v>91</v>
      </c>
      <c r="BQ1712" t="s">
        <v>91</v>
      </c>
      <c r="BR1712" s="3">
        <v>44378</v>
      </c>
      <c r="BS1712" s="3">
        <v>45114</v>
      </c>
      <c r="BT1712" t="s">
        <v>91</v>
      </c>
      <c r="BU1712" t="s">
        <v>91</v>
      </c>
      <c r="BW1712" s="1" t="s">
        <v>5452</v>
      </c>
    </row>
    <row r="1713" spans="1:75" hidden="1" x14ac:dyDescent="0.35">
      <c r="A1713">
        <v>137921</v>
      </c>
      <c r="B1713" s="1" t="s">
        <v>75</v>
      </c>
      <c r="C1713">
        <v>80</v>
      </c>
      <c r="D1713">
        <v>11121004</v>
      </c>
      <c r="E1713">
        <v>121004</v>
      </c>
      <c r="F1713" s="1" t="s">
        <v>6867</v>
      </c>
      <c r="G1713" s="1" t="s">
        <v>9114</v>
      </c>
      <c r="H1713">
        <v>0</v>
      </c>
      <c r="I1713" s="1" t="s">
        <v>78</v>
      </c>
      <c r="J1713" s="1" t="s">
        <v>9115</v>
      </c>
      <c r="K1713" s="1" t="s">
        <v>9116</v>
      </c>
      <c r="L1713" t="s">
        <v>91</v>
      </c>
      <c r="M1713" t="s">
        <v>91</v>
      </c>
      <c r="N1713" s="1" t="s">
        <v>9117</v>
      </c>
      <c r="O1713" t="s">
        <v>91</v>
      </c>
      <c r="P1713" s="1" t="s">
        <v>8957</v>
      </c>
      <c r="Q1713" s="1" t="s">
        <v>330</v>
      </c>
      <c r="R1713" s="1" t="s">
        <v>370</v>
      </c>
      <c r="T1713">
        <v>89025303</v>
      </c>
      <c r="U1713" s="1" t="s">
        <v>2251</v>
      </c>
      <c r="V1713" s="1" t="s">
        <v>3571</v>
      </c>
      <c r="W1713" s="1" t="s">
        <v>87</v>
      </c>
      <c r="X1713">
        <v>47</v>
      </c>
      <c r="Y1713">
        <v>32099542</v>
      </c>
      <c r="Z1713" t="s">
        <v>91</v>
      </c>
      <c r="AA1713" t="s">
        <v>91</v>
      </c>
      <c r="AB1713" t="s">
        <v>91</v>
      </c>
      <c r="AC1713" t="s">
        <v>91</v>
      </c>
      <c r="AD1713" t="s">
        <v>91</v>
      </c>
      <c r="AE1713" t="s">
        <v>91</v>
      </c>
      <c r="AF1713" t="s">
        <v>91</v>
      </c>
      <c r="AG1713" s="1" t="s">
        <v>146</v>
      </c>
      <c r="AH1713" s="1" t="s">
        <v>91</v>
      </c>
      <c r="AI1713" t="s">
        <v>91</v>
      </c>
      <c r="AM1713" t="s">
        <v>91</v>
      </c>
      <c r="AN1713" t="s">
        <v>91</v>
      </c>
      <c r="AO1713" t="s">
        <v>91</v>
      </c>
      <c r="AP1713" t="s">
        <v>91</v>
      </c>
      <c r="AQ1713" s="1" t="s">
        <v>147</v>
      </c>
      <c r="AR1713" s="1" t="s">
        <v>147</v>
      </c>
      <c r="AS1713" s="1" t="s">
        <v>147</v>
      </c>
      <c r="AT1713" s="1" t="s">
        <v>147</v>
      </c>
      <c r="AU1713" s="1" t="s">
        <v>147</v>
      </c>
      <c r="AV1713" t="s">
        <v>91</v>
      </c>
      <c r="AW1713" t="s">
        <v>91</v>
      </c>
      <c r="AX1713" t="s">
        <v>91</v>
      </c>
      <c r="AY1713" t="s">
        <v>91</v>
      </c>
      <c r="AZ1713" t="s">
        <v>91</v>
      </c>
      <c r="BA1713" t="s">
        <v>91</v>
      </c>
      <c r="BB1713" s="2">
        <v>44378.578518518516</v>
      </c>
      <c r="BC1713" s="2">
        <v>45121.642488425925</v>
      </c>
      <c r="BD1713" t="s">
        <v>91</v>
      </c>
      <c r="BF1713" s="1" t="s">
        <v>75</v>
      </c>
      <c r="BH1713">
        <v>0</v>
      </c>
      <c r="BI1713" s="1" t="s">
        <v>721</v>
      </c>
      <c r="BJ1713">
        <v>1</v>
      </c>
      <c r="BK1713" s="1" t="s">
        <v>89</v>
      </c>
      <c r="BL1713" t="s">
        <v>91</v>
      </c>
      <c r="BM1713" s="1" t="s">
        <v>109</v>
      </c>
      <c r="BN1713" s="1" t="s">
        <v>110</v>
      </c>
      <c r="BO1713" s="1" t="s">
        <v>128</v>
      </c>
      <c r="BP1713" s="1" t="s">
        <v>91</v>
      </c>
      <c r="BQ1713" t="s">
        <v>91</v>
      </c>
      <c r="BR1713" s="3">
        <v>44378</v>
      </c>
      <c r="BS1713" s="3">
        <v>45121</v>
      </c>
      <c r="BT1713" t="s">
        <v>91</v>
      </c>
      <c r="BU1713" t="s">
        <v>91</v>
      </c>
      <c r="BW1713" s="1" t="s">
        <v>120</v>
      </c>
    </row>
    <row r="1714" spans="1:75" hidden="1" x14ac:dyDescent="0.35">
      <c r="A1714">
        <v>137922</v>
      </c>
      <c r="B1714" s="1" t="s">
        <v>75</v>
      </c>
      <c r="C1714">
        <v>80</v>
      </c>
      <c r="D1714">
        <v>11121004</v>
      </c>
      <c r="E1714">
        <v>121004</v>
      </c>
      <c r="F1714" s="1" t="s">
        <v>6867</v>
      </c>
      <c r="G1714" s="1" t="s">
        <v>9118</v>
      </c>
      <c r="H1714">
        <v>0</v>
      </c>
      <c r="I1714" s="1" t="s">
        <v>78</v>
      </c>
      <c r="J1714" s="1" t="s">
        <v>9119</v>
      </c>
      <c r="K1714" s="1" t="s">
        <v>9120</v>
      </c>
      <c r="L1714" t="s">
        <v>91</v>
      </c>
      <c r="M1714" t="s">
        <v>91</v>
      </c>
      <c r="N1714" s="1" t="s">
        <v>9121</v>
      </c>
      <c r="O1714" t="s">
        <v>91</v>
      </c>
      <c r="P1714" s="1" t="s">
        <v>1094</v>
      </c>
      <c r="Q1714" s="1" t="s">
        <v>9122</v>
      </c>
      <c r="R1714" s="1" t="s">
        <v>91</v>
      </c>
      <c r="S1714">
        <v>1260</v>
      </c>
      <c r="T1714">
        <v>88220000</v>
      </c>
      <c r="U1714" s="1" t="s">
        <v>7195</v>
      </c>
      <c r="V1714" s="1" t="s">
        <v>7015</v>
      </c>
      <c r="W1714" s="1" t="s">
        <v>87</v>
      </c>
      <c r="X1714">
        <v>48</v>
      </c>
      <c r="Y1714">
        <v>988211202</v>
      </c>
      <c r="Z1714" t="s">
        <v>91</v>
      </c>
      <c r="AA1714" t="s">
        <v>91</v>
      </c>
      <c r="AB1714" t="s">
        <v>91</v>
      </c>
      <c r="AC1714" t="s">
        <v>91</v>
      </c>
      <c r="AD1714" t="s">
        <v>91</v>
      </c>
      <c r="AE1714" t="s">
        <v>91</v>
      </c>
      <c r="AF1714" t="s">
        <v>91</v>
      </c>
      <c r="AG1714" s="1" t="s">
        <v>146</v>
      </c>
      <c r="AH1714" s="1" t="s">
        <v>91</v>
      </c>
      <c r="AI1714" t="s">
        <v>91</v>
      </c>
      <c r="AM1714" t="s">
        <v>91</v>
      </c>
      <c r="AN1714" t="s">
        <v>91</v>
      </c>
      <c r="AO1714" t="s">
        <v>91</v>
      </c>
      <c r="AP1714" t="s">
        <v>91</v>
      </c>
      <c r="AQ1714" s="1" t="s">
        <v>147</v>
      </c>
      <c r="AR1714" s="1" t="s">
        <v>147</v>
      </c>
      <c r="AS1714" s="1" t="s">
        <v>147</v>
      </c>
      <c r="AT1714" s="1" t="s">
        <v>147</v>
      </c>
      <c r="AU1714" s="1" t="s">
        <v>147</v>
      </c>
      <c r="AV1714" t="s">
        <v>91</v>
      </c>
      <c r="AW1714" t="s">
        <v>91</v>
      </c>
      <c r="AX1714" t="s">
        <v>91</v>
      </c>
      <c r="AY1714" t="s">
        <v>91</v>
      </c>
      <c r="AZ1714" t="s">
        <v>91</v>
      </c>
      <c r="BA1714" t="s">
        <v>91</v>
      </c>
      <c r="BB1714" s="2">
        <v>44378.578518518516</v>
      </c>
      <c r="BC1714" s="2">
        <v>44623.627939814818</v>
      </c>
      <c r="BD1714" t="s">
        <v>91</v>
      </c>
      <c r="BF1714" s="1" t="s">
        <v>75</v>
      </c>
      <c r="BH1714">
        <v>0</v>
      </c>
      <c r="BI1714" s="1" t="s">
        <v>88</v>
      </c>
      <c r="BJ1714">
        <v>1</v>
      </c>
      <c r="BK1714" s="1" t="s">
        <v>89</v>
      </c>
      <c r="BL1714" t="s">
        <v>91</v>
      </c>
      <c r="BM1714" s="1" t="s">
        <v>109</v>
      </c>
      <c r="BN1714" s="1" t="s">
        <v>110</v>
      </c>
      <c r="BO1714" s="1" t="s">
        <v>165</v>
      </c>
      <c r="BP1714" s="1" t="s">
        <v>91</v>
      </c>
      <c r="BQ1714" t="s">
        <v>91</v>
      </c>
      <c r="BR1714" s="3">
        <v>44378</v>
      </c>
      <c r="BS1714" s="3">
        <v>44623</v>
      </c>
      <c r="BT1714" t="s">
        <v>91</v>
      </c>
      <c r="BU1714" t="s">
        <v>91</v>
      </c>
      <c r="BW1714" s="1" t="s">
        <v>1324</v>
      </c>
    </row>
    <row r="1715" spans="1:75" hidden="1" x14ac:dyDescent="0.35">
      <c r="A1715">
        <v>157803</v>
      </c>
      <c r="B1715" s="1" t="s">
        <v>75</v>
      </c>
      <c r="C1715">
        <v>80</v>
      </c>
      <c r="D1715">
        <v>11121004</v>
      </c>
      <c r="E1715">
        <v>121004</v>
      </c>
      <c r="F1715" s="1" t="s">
        <v>6867</v>
      </c>
      <c r="G1715" s="1" t="s">
        <v>9123</v>
      </c>
      <c r="H1715">
        <v>0</v>
      </c>
      <c r="I1715" s="1" t="s">
        <v>78</v>
      </c>
      <c r="J1715" s="1" t="s">
        <v>9124</v>
      </c>
      <c r="K1715" s="1" t="s">
        <v>9125</v>
      </c>
      <c r="L1715" t="s">
        <v>91</v>
      </c>
      <c r="M1715" t="s">
        <v>91</v>
      </c>
      <c r="N1715" s="1" t="s">
        <v>91</v>
      </c>
      <c r="O1715" t="s">
        <v>91</v>
      </c>
      <c r="P1715" s="1" t="s">
        <v>3083</v>
      </c>
      <c r="Q1715" s="1" t="s">
        <v>5554</v>
      </c>
      <c r="R1715" s="1" t="s">
        <v>91</v>
      </c>
      <c r="S1715">
        <v>1261</v>
      </c>
      <c r="T1715">
        <v>88301001</v>
      </c>
      <c r="U1715" s="1" t="s">
        <v>108</v>
      </c>
      <c r="V1715" s="1" t="s">
        <v>6881</v>
      </c>
      <c r="W1715" s="1" t="s">
        <v>87</v>
      </c>
      <c r="X1715">
        <v>47</v>
      </c>
      <c r="Y1715">
        <v>30456839</v>
      </c>
      <c r="Z1715" t="s">
        <v>91</v>
      </c>
      <c r="AA1715" t="s">
        <v>91</v>
      </c>
      <c r="AB1715" t="s">
        <v>91</v>
      </c>
      <c r="AC1715" t="s">
        <v>91</v>
      </c>
      <c r="AD1715" t="s">
        <v>91</v>
      </c>
      <c r="AE1715" t="s">
        <v>91</v>
      </c>
      <c r="AF1715" t="s">
        <v>91</v>
      </c>
      <c r="AG1715" s="1" t="s">
        <v>91</v>
      </c>
      <c r="AH1715" s="1" t="s">
        <v>91</v>
      </c>
      <c r="AI1715" t="s">
        <v>91</v>
      </c>
      <c r="AM1715" t="s">
        <v>91</v>
      </c>
      <c r="AN1715" t="s">
        <v>91</v>
      </c>
      <c r="AO1715" t="s">
        <v>91</v>
      </c>
      <c r="AP1715" t="s">
        <v>91</v>
      </c>
      <c r="AQ1715" s="1" t="s">
        <v>91</v>
      </c>
      <c r="AR1715" s="1" t="s">
        <v>91</v>
      </c>
      <c r="AS1715" s="1" t="s">
        <v>91</v>
      </c>
      <c r="AT1715" s="1" t="s">
        <v>91</v>
      </c>
      <c r="AU1715" s="1" t="s">
        <v>91</v>
      </c>
      <c r="AV1715" t="s">
        <v>91</v>
      </c>
      <c r="AW1715" t="s">
        <v>91</v>
      </c>
      <c r="AX1715" t="s">
        <v>91</v>
      </c>
      <c r="AY1715" t="s">
        <v>91</v>
      </c>
      <c r="AZ1715" t="s">
        <v>91</v>
      </c>
      <c r="BA1715" t="s">
        <v>91</v>
      </c>
      <c r="BB1715" s="2">
        <v>45118.101759259262</v>
      </c>
      <c r="BC1715" s="2"/>
      <c r="BD1715" t="s">
        <v>91</v>
      </c>
      <c r="BF1715" s="1" t="s">
        <v>75</v>
      </c>
      <c r="BI1715" s="1" t="s">
        <v>88</v>
      </c>
      <c r="BJ1715">
        <v>1</v>
      </c>
      <c r="BK1715" s="1" t="s">
        <v>89</v>
      </c>
      <c r="BL1715" t="s">
        <v>91</v>
      </c>
      <c r="BM1715" s="1" t="s">
        <v>91</v>
      </c>
      <c r="BN1715" s="1" t="s">
        <v>91</v>
      </c>
      <c r="BO1715" s="1" t="s">
        <v>91</v>
      </c>
      <c r="BP1715" s="1" t="s">
        <v>91</v>
      </c>
      <c r="BQ1715" t="s">
        <v>91</v>
      </c>
      <c r="BR1715" s="3">
        <v>45118</v>
      </c>
      <c r="BS1715" s="3"/>
      <c r="BT1715" t="s">
        <v>91</v>
      </c>
      <c r="BU1715" t="s">
        <v>91</v>
      </c>
      <c r="BW1715" s="1" t="s">
        <v>90</v>
      </c>
    </row>
    <row r="1716" spans="1:75" hidden="1" x14ac:dyDescent="0.35">
      <c r="A1716">
        <v>157092</v>
      </c>
      <c r="B1716" s="1" t="s">
        <v>75</v>
      </c>
      <c r="C1716">
        <v>80</v>
      </c>
      <c r="D1716">
        <v>11121004</v>
      </c>
      <c r="E1716">
        <v>121004</v>
      </c>
      <c r="F1716" s="1" t="s">
        <v>6867</v>
      </c>
      <c r="G1716" s="1" t="s">
        <v>9126</v>
      </c>
      <c r="H1716">
        <v>0</v>
      </c>
      <c r="I1716" s="1" t="s">
        <v>78</v>
      </c>
      <c r="J1716" s="1" t="s">
        <v>9127</v>
      </c>
      <c r="K1716" s="1" t="s">
        <v>9128</v>
      </c>
      <c r="L1716" t="s">
        <v>91</v>
      </c>
      <c r="M1716" t="s">
        <v>91</v>
      </c>
      <c r="N1716" s="1" t="s">
        <v>9129</v>
      </c>
      <c r="O1716" t="s">
        <v>91</v>
      </c>
      <c r="P1716" s="1" t="s">
        <v>9130</v>
      </c>
      <c r="Q1716" s="1" t="s">
        <v>2903</v>
      </c>
      <c r="R1716" s="1" t="s">
        <v>370</v>
      </c>
      <c r="S1716">
        <v>1261</v>
      </c>
      <c r="T1716">
        <v>88303300</v>
      </c>
      <c r="U1716" s="1" t="s">
        <v>8816</v>
      </c>
      <c r="V1716" s="1" t="s">
        <v>6881</v>
      </c>
      <c r="W1716" s="1" t="s">
        <v>87</v>
      </c>
      <c r="X1716">
        <v>47</v>
      </c>
      <c r="Y1716">
        <v>999423156</v>
      </c>
      <c r="Z1716" t="s">
        <v>91</v>
      </c>
      <c r="AA1716" t="s">
        <v>91</v>
      </c>
      <c r="AB1716" t="s">
        <v>91</v>
      </c>
      <c r="AC1716" t="s">
        <v>91</v>
      </c>
      <c r="AD1716" t="s">
        <v>91</v>
      </c>
      <c r="AE1716" t="s">
        <v>91</v>
      </c>
      <c r="AF1716" t="s">
        <v>91</v>
      </c>
      <c r="AG1716" s="1" t="s">
        <v>91</v>
      </c>
      <c r="AH1716" s="1" t="s">
        <v>91</v>
      </c>
      <c r="AI1716" t="s">
        <v>91</v>
      </c>
      <c r="AM1716" t="s">
        <v>91</v>
      </c>
      <c r="AN1716" t="s">
        <v>91</v>
      </c>
      <c r="AO1716" t="s">
        <v>91</v>
      </c>
      <c r="AP1716" t="s">
        <v>91</v>
      </c>
      <c r="AQ1716" s="1" t="s">
        <v>91</v>
      </c>
      <c r="AR1716" s="1" t="s">
        <v>91</v>
      </c>
      <c r="AS1716" s="1" t="s">
        <v>91</v>
      </c>
      <c r="AT1716" s="1" t="s">
        <v>91</v>
      </c>
      <c r="AU1716" s="1" t="s">
        <v>91</v>
      </c>
      <c r="AV1716" t="s">
        <v>91</v>
      </c>
      <c r="AW1716" t="s">
        <v>91</v>
      </c>
      <c r="AX1716" t="s">
        <v>91</v>
      </c>
      <c r="AY1716" t="s">
        <v>91</v>
      </c>
      <c r="AZ1716" t="s">
        <v>91</v>
      </c>
      <c r="BA1716" t="s">
        <v>91</v>
      </c>
      <c r="BB1716" s="2">
        <v>45113.505416666667</v>
      </c>
      <c r="BC1716" s="2"/>
      <c r="BD1716" t="s">
        <v>91</v>
      </c>
      <c r="BF1716" s="1" t="s">
        <v>75</v>
      </c>
      <c r="BI1716" s="1" t="s">
        <v>88</v>
      </c>
      <c r="BJ1716">
        <v>1</v>
      </c>
      <c r="BK1716" s="1" t="s">
        <v>89</v>
      </c>
      <c r="BL1716" t="s">
        <v>91</v>
      </c>
      <c r="BM1716" s="1" t="s">
        <v>91</v>
      </c>
      <c r="BN1716" s="1" t="s">
        <v>91</v>
      </c>
      <c r="BO1716" s="1" t="s">
        <v>91</v>
      </c>
      <c r="BP1716" s="1" t="s">
        <v>91</v>
      </c>
      <c r="BQ1716" t="s">
        <v>91</v>
      </c>
      <c r="BR1716" s="3">
        <v>45113</v>
      </c>
      <c r="BS1716" s="3"/>
      <c r="BT1716" t="s">
        <v>91</v>
      </c>
      <c r="BU1716" t="s">
        <v>91</v>
      </c>
      <c r="BW1716" s="1" t="s">
        <v>2106</v>
      </c>
    </row>
    <row r="1717" spans="1:75" hidden="1" x14ac:dyDescent="0.35">
      <c r="A1717">
        <v>157780</v>
      </c>
      <c r="B1717" s="1" t="s">
        <v>75</v>
      </c>
      <c r="C1717">
        <v>80</v>
      </c>
      <c r="D1717">
        <v>11121004</v>
      </c>
      <c r="E1717">
        <v>121004</v>
      </c>
      <c r="F1717" s="1" t="s">
        <v>6867</v>
      </c>
      <c r="G1717" s="1" t="s">
        <v>9131</v>
      </c>
      <c r="H1717">
        <v>0</v>
      </c>
      <c r="I1717" s="1" t="s">
        <v>78</v>
      </c>
      <c r="J1717" s="1" t="s">
        <v>9132</v>
      </c>
      <c r="K1717" s="1" t="s">
        <v>9133</v>
      </c>
      <c r="L1717" t="s">
        <v>91</v>
      </c>
      <c r="M1717" t="s">
        <v>91</v>
      </c>
      <c r="N1717" s="1" t="s">
        <v>9134</v>
      </c>
      <c r="O1717" t="s">
        <v>91</v>
      </c>
      <c r="P1717" s="1" t="s">
        <v>8505</v>
      </c>
      <c r="Q1717" s="1" t="s">
        <v>1564</v>
      </c>
      <c r="R1717" s="1" t="s">
        <v>91</v>
      </c>
      <c r="S1717">
        <v>1262</v>
      </c>
      <c r="T1717">
        <v>88330524</v>
      </c>
      <c r="U1717" s="1" t="s">
        <v>108</v>
      </c>
      <c r="V1717" s="1" t="s">
        <v>5871</v>
      </c>
      <c r="W1717" s="1" t="s">
        <v>87</v>
      </c>
      <c r="X1717">
        <v>47</v>
      </c>
      <c r="Y1717">
        <v>33110084</v>
      </c>
      <c r="Z1717" t="s">
        <v>91</v>
      </c>
      <c r="AA1717" t="s">
        <v>91</v>
      </c>
      <c r="AB1717" t="s">
        <v>91</v>
      </c>
      <c r="AC1717" t="s">
        <v>91</v>
      </c>
      <c r="AD1717" t="s">
        <v>91</v>
      </c>
      <c r="AE1717" t="s">
        <v>91</v>
      </c>
      <c r="AF1717" t="s">
        <v>91</v>
      </c>
      <c r="AG1717" s="1" t="s">
        <v>91</v>
      </c>
      <c r="AH1717" s="1" t="s">
        <v>91</v>
      </c>
      <c r="AI1717" t="s">
        <v>91</v>
      </c>
      <c r="AM1717" t="s">
        <v>91</v>
      </c>
      <c r="AN1717" t="s">
        <v>91</v>
      </c>
      <c r="AO1717" t="s">
        <v>91</v>
      </c>
      <c r="AP1717" t="s">
        <v>91</v>
      </c>
      <c r="AQ1717" s="1" t="s">
        <v>91</v>
      </c>
      <c r="AR1717" s="1" t="s">
        <v>91</v>
      </c>
      <c r="AS1717" s="1" t="s">
        <v>91</v>
      </c>
      <c r="AT1717" s="1" t="s">
        <v>91</v>
      </c>
      <c r="AU1717" s="1" t="s">
        <v>91</v>
      </c>
      <c r="AV1717" t="s">
        <v>91</v>
      </c>
      <c r="AW1717" t="s">
        <v>91</v>
      </c>
      <c r="AX1717" t="s">
        <v>91</v>
      </c>
      <c r="AY1717" t="s">
        <v>91</v>
      </c>
      <c r="AZ1717" t="s">
        <v>91</v>
      </c>
      <c r="BA1717" t="s">
        <v>91</v>
      </c>
      <c r="BB1717" s="2">
        <v>45118.101759259262</v>
      </c>
      <c r="BC1717" s="2"/>
      <c r="BD1717" t="s">
        <v>91</v>
      </c>
      <c r="BF1717" s="1" t="s">
        <v>75</v>
      </c>
      <c r="BI1717" s="1" t="s">
        <v>88</v>
      </c>
      <c r="BJ1717">
        <v>1</v>
      </c>
      <c r="BK1717" s="1" t="s">
        <v>89</v>
      </c>
      <c r="BL1717" t="s">
        <v>91</v>
      </c>
      <c r="BM1717" s="1" t="s">
        <v>91</v>
      </c>
      <c r="BN1717" s="1" t="s">
        <v>91</v>
      </c>
      <c r="BO1717" s="1" t="s">
        <v>91</v>
      </c>
      <c r="BP1717" s="1" t="s">
        <v>91</v>
      </c>
      <c r="BQ1717" t="s">
        <v>91</v>
      </c>
      <c r="BR1717" s="3">
        <v>45118</v>
      </c>
      <c r="BS1717" s="3"/>
      <c r="BT1717" t="s">
        <v>91</v>
      </c>
      <c r="BU1717" t="s">
        <v>91</v>
      </c>
      <c r="BW1717" s="1" t="s">
        <v>90</v>
      </c>
    </row>
    <row r="1718" spans="1:75" hidden="1" x14ac:dyDescent="0.35">
      <c r="A1718">
        <v>137928</v>
      </c>
      <c r="B1718" s="1" t="s">
        <v>75</v>
      </c>
      <c r="C1718">
        <v>80</v>
      </c>
      <c r="D1718">
        <v>11121004</v>
      </c>
      <c r="E1718">
        <v>121004</v>
      </c>
      <c r="F1718" s="1" t="s">
        <v>6867</v>
      </c>
      <c r="G1718" s="1" t="s">
        <v>9135</v>
      </c>
      <c r="H1718">
        <v>0</v>
      </c>
      <c r="I1718" s="1" t="s">
        <v>78</v>
      </c>
      <c r="J1718" s="1" t="s">
        <v>9136</v>
      </c>
      <c r="K1718" s="1" t="s">
        <v>9137</v>
      </c>
      <c r="L1718" t="s">
        <v>91</v>
      </c>
      <c r="M1718" t="s">
        <v>91</v>
      </c>
      <c r="N1718" s="1" t="s">
        <v>9138</v>
      </c>
      <c r="O1718" t="s">
        <v>91</v>
      </c>
      <c r="P1718" s="1" t="s">
        <v>3357</v>
      </c>
      <c r="Q1718" s="1" t="s">
        <v>3096</v>
      </c>
      <c r="R1718" s="1" t="s">
        <v>91</v>
      </c>
      <c r="S1718">
        <v>1262</v>
      </c>
      <c r="T1718">
        <v>88340281</v>
      </c>
      <c r="U1718" s="1" t="s">
        <v>108</v>
      </c>
      <c r="V1718" s="1" t="s">
        <v>7223</v>
      </c>
      <c r="W1718" s="1" t="s">
        <v>87</v>
      </c>
      <c r="X1718">
        <v>47</v>
      </c>
      <c r="Y1718">
        <v>988294509</v>
      </c>
      <c r="Z1718" t="s">
        <v>91</v>
      </c>
      <c r="AA1718" t="s">
        <v>91</v>
      </c>
      <c r="AB1718" t="s">
        <v>91</v>
      </c>
      <c r="AC1718" t="s">
        <v>91</v>
      </c>
      <c r="AD1718" t="s">
        <v>91</v>
      </c>
      <c r="AE1718" t="s">
        <v>91</v>
      </c>
      <c r="AF1718" t="s">
        <v>91</v>
      </c>
      <c r="AG1718" s="1" t="s">
        <v>146</v>
      </c>
      <c r="AH1718" s="1" t="s">
        <v>91</v>
      </c>
      <c r="AI1718" t="s">
        <v>91</v>
      </c>
      <c r="AM1718" t="s">
        <v>91</v>
      </c>
      <c r="AN1718" t="s">
        <v>91</v>
      </c>
      <c r="AO1718" t="s">
        <v>91</v>
      </c>
      <c r="AP1718" t="s">
        <v>91</v>
      </c>
      <c r="AQ1718" s="1" t="s">
        <v>147</v>
      </c>
      <c r="AR1718" s="1" t="s">
        <v>147</v>
      </c>
      <c r="AS1718" s="1" t="s">
        <v>147</v>
      </c>
      <c r="AT1718" s="1" t="s">
        <v>147</v>
      </c>
      <c r="AU1718" s="1" t="s">
        <v>147</v>
      </c>
      <c r="AV1718" t="s">
        <v>91</v>
      </c>
      <c r="AW1718" t="s">
        <v>91</v>
      </c>
      <c r="AX1718" t="s">
        <v>91</v>
      </c>
      <c r="AY1718" t="s">
        <v>91</v>
      </c>
      <c r="AZ1718" t="s">
        <v>91</v>
      </c>
      <c r="BA1718" t="s">
        <v>91</v>
      </c>
      <c r="BB1718" s="2">
        <v>44378.578518518516</v>
      </c>
      <c r="BC1718" s="2">
        <v>44866.362719907411</v>
      </c>
      <c r="BD1718" t="s">
        <v>91</v>
      </c>
      <c r="BF1718" s="1" t="s">
        <v>75</v>
      </c>
      <c r="BH1718">
        <v>0</v>
      </c>
      <c r="BI1718" s="1" t="s">
        <v>88</v>
      </c>
      <c r="BJ1718">
        <v>1</v>
      </c>
      <c r="BK1718" s="1" t="s">
        <v>89</v>
      </c>
      <c r="BL1718" t="s">
        <v>91</v>
      </c>
      <c r="BM1718" s="1" t="s">
        <v>109</v>
      </c>
      <c r="BN1718" s="1" t="s">
        <v>110</v>
      </c>
      <c r="BO1718" s="1" t="s">
        <v>128</v>
      </c>
      <c r="BP1718" s="1" t="s">
        <v>91</v>
      </c>
      <c r="BQ1718" t="s">
        <v>91</v>
      </c>
      <c r="BR1718" s="3">
        <v>44378</v>
      </c>
      <c r="BS1718" s="3">
        <v>44866</v>
      </c>
      <c r="BT1718" t="s">
        <v>91</v>
      </c>
      <c r="BU1718" t="s">
        <v>91</v>
      </c>
      <c r="BW1718" s="1" t="s">
        <v>9139</v>
      </c>
    </row>
    <row r="1719" spans="1:75" hidden="1" x14ac:dyDescent="0.35">
      <c r="A1719">
        <v>137929</v>
      </c>
      <c r="B1719" s="1" t="s">
        <v>75</v>
      </c>
      <c r="C1719">
        <v>80</v>
      </c>
      <c r="D1719">
        <v>11121004</v>
      </c>
      <c r="E1719">
        <v>121004</v>
      </c>
      <c r="F1719" s="1" t="s">
        <v>6867</v>
      </c>
      <c r="G1719" s="1" t="s">
        <v>9140</v>
      </c>
      <c r="H1719">
        <v>0</v>
      </c>
      <c r="I1719" s="1" t="s">
        <v>78</v>
      </c>
      <c r="J1719" s="1" t="s">
        <v>9141</v>
      </c>
      <c r="K1719" s="1" t="s">
        <v>9142</v>
      </c>
      <c r="L1719" t="s">
        <v>91</v>
      </c>
      <c r="M1719" t="s">
        <v>91</v>
      </c>
      <c r="N1719" s="1" t="s">
        <v>9143</v>
      </c>
      <c r="O1719" t="s">
        <v>91</v>
      </c>
      <c r="P1719" s="1" t="s">
        <v>8171</v>
      </c>
      <c r="Q1719" s="1" t="s">
        <v>9144</v>
      </c>
      <c r="R1719" s="1" t="s">
        <v>9145</v>
      </c>
      <c r="T1719">
        <v>89052003</v>
      </c>
      <c r="U1719" s="1" t="s">
        <v>7877</v>
      </c>
      <c r="V1719" s="1" t="s">
        <v>3571</v>
      </c>
      <c r="W1719" s="1" t="s">
        <v>87</v>
      </c>
      <c r="X1719">
        <v>47</v>
      </c>
      <c r="Y1719">
        <v>33214606</v>
      </c>
      <c r="Z1719" t="s">
        <v>91</v>
      </c>
      <c r="AA1719" t="s">
        <v>91</v>
      </c>
      <c r="AB1719" t="s">
        <v>91</v>
      </c>
      <c r="AC1719" t="s">
        <v>91</v>
      </c>
      <c r="AD1719" t="s">
        <v>91</v>
      </c>
      <c r="AE1719" t="s">
        <v>91</v>
      </c>
      <c r="AF1719" t="s">
        <v>91</v>
      </c>
      <c r="AG1719" s="1" t="s">
        <v>91</v>
      </c>
      <c r="AH1719" s="1" t="s">
        <v>91</v>
      </c>
      <c r="AI1719" t="s">
        <v>91</v>
      </c>
      <c r="AM1719" t="s">
        <v>91</v>
      </c>
      <c r="AN1719" t="s">
        <v>91</v>
      </c>
      <c r="AO1719" t="s">
        <v>91</v>
      </c>
      <c r="AP1719" t="s">
        <v>91</v>
      </c>
      <c r="AQ1719" s="1" t="s">
        <v>91</v>
      </c>
      <c r="AR1719" s="1" t="s">
        <v>91</v>
      </c>
      <c r="AS1719" s="1" t="s">
        <v>91</v>
      </c>
      <c r="AT1719" s="1" t="s">
        <v>91</v>
      </c>
      <c r="AU1719" s="1" t="s">
        <v>91</v>
      </c>
      <c r="AV1719" t="s">
        <v>91</v>
      </c>
      <c r="AW1719" t="s">
        <v>91</v>
      </c>
      <c r="AX1719" t="s">
        <v>91</v>
      </c>
      <c r="AY1719" t="s">
        <v>91</v>
      </c>
      <c r="AZ1719" t="s">
        <v>91</v>
      </c>
      <c r="BA1719" t="s">
        <v>91</v>
      </c>
      <c r="BB1719" s="2">
        <v>44378.578518518516</v>
      </c>
      <c r="BC1719" s="2"/>
      <c r="BD1719" t="s">
        <v>91</v>
      </c>
      <c r="BF1719" s="1" t="s">
        <v>75</v>
      </c>
      <c r="BI1719" s="1" t="s">
        <v>88</v>
      </c>
      <c r="BJ1719">
        <v>1</v>
      </c>
      <c r="BK1719" s="1" t="s">
        <v>89</v>
      </c>
      <c r="BL1719" t="s">
        <v>91</v>
      </c>
      <c r="BM1719" s="1" t="s">
        <v>109</v>
      </c>
      <c r="BN1719" s="1" t="s">
        <v>110</v>
      </c>
      <c r="BO1719" s="1" t="s">
        <v>91</v>
      </c>
      <c r="BP1719" s="1" t="s">
        <v>91</v>
      </c>
      <c r="BQ1719" t="s">
        <v>91</v>
      </c>
      <c r="BR1719" s="3">
        <v>44378</v>
      </c>
      <c r="BS1719" s="3"/>
      <c r="BT1719" t="s">
        <v>91</v>
      </c>
      <c r="BU1719" t="s">
        <v>91</v>
      </c>
      <c r="BW1719" s="1" t="s">
        <v>90</v>
      </c>
    </row>
    <row r="1720" spans="1:75" hidden="1" x14ac:dyDescent="0.35">
      <c r="A1720">
        <v>137930</v>
      </c>
      <c r="B1720" s="1" t="s">
        <v>75</v>
      </c>
      <c r="C1720">
        <v>80</v>
      </c>
      <c r="D1720">
        <v>11121004</v>
      </c>
      <c r="E1720">
        <v>121004</v>
      </c>
      <c r="F1720" s="1" t="s">
        <v>6867</v>
      </c>
      <c r="G1720" s="1" t="s">
        <v>9146</v>
      </c>
      <c r="H1720">
        <v>0</v>
      </c>
      <c r="I1720" s="1" t="s">
        <v>78</v>
      </c>
      <c r="J1720" s="1" t="s">
        <v>9147</v>
      </c>
      <c r="K1720" s="1" t="s">
        <v>9148</v>
      </c>
      <c r="L1720" t="s">
        <v>91</v>
      </c>
      <c r="M1720" t="s">
        <v>91</v>
      </c>
      <c r="N1720" s="1" t="s">
        <v>9143</v>
      </c>
      <c r="O1720" t="s">
        <v>91</v>
      </c>
      <c r="P1720" s="1" t="s">
        <v>611</v>
      </c>
      <c r="Q1720" s="1" t="s">
        <v>8128</v>
      </c>
      <c r="R1720" s="1" t="s">
        <v>91</v>
      </c>
      <c r="S1720">
        <v>1271</v>
      </c>
      <c r="T1720">
        <v>89010002</v>
      </c>
      <c r="U1720" s="1" t="s">
        <v>108</v>
      </c>
      <c r="V1720" s="1" t="s">
        <v>3571</v>
      </c>
      <c r="W1720" s="1" t="s">
        <v>87</v>
      </c>
      <c r="X1720">
        <v>47</v>
      </c>
      <c r="Y1720">
        <v>996953710</v>
      </c>
      <c r="Z1720" t="s">
        <v>91</v>
      </c>
      <c r="AA1720" t="s">
        <v>91</v>
      </c>
      <c r="AB1720" t="s">
        <v>91</v>
      </c>
      <c r="AC1720" t="s">
        <v>91</v>
      </c>
      <c r="AD1720" t="s">
        <v>91</v>
      </c>
      <c r="AE1720" t="s">
        <v>91</v>
      </c>
      <c r="AF1720" t="s">
        <v>91</v>
      </c>
      <c r="AG1720" s="1" t="s">
        <v>146</v>
      </c>
      <c r="AH1720" s="1" t="s">
        <v>91</v>
      </c>
      <c r="AI1720" t="s">
        <v>91</v>
      </c>
      <c r="AM1720" t="s">
        <v>91</v>
      </c>
      <c r="AN1720" t="s">
        <v>91</v>
      </c>
      <c r="AO1720" t="s">
        <v>91</v>
      </c>
      <c r="AP1720" t="s">
        <v>91</v>
      </c>
      <c r="AQ1720" s="1" t="s">
        <v>147</v>
      </c>
      <c r="AR1720" s="1" t="s">
        <v>147</v>
      </c>
      <c r="AS1720" s="1" t="s">
        <v>147</v>
      </c>
      <c r="AT1720" s="1" t="s">
        <v>147</v>
      </c>
      <c r="AU1720" s="1" t="s">
        <v>147</v>
      </c>
      <c r="AV1720" t="s">
        <v>91</v>
      </c>
      <c r="AW1720" t="s">
        <v>91</v>
      </c>
      <c r="AX1720" t="s">
        <v>91</v>
      </c>
      <c r="AY1720" t="s">
        <v>91</v>
      </c>
      <c r="AZ1720" t="s">
        <v>91</v>
      </c>
      <c r="BA1720" t="s">
        <v>91</v>
      </c>
      <c r="BB1720" s="2">
        <v>44378.578518518516</v>
      </c>
      <c r="BC1720" s="2">
        <v>44454.613807870373</v>
      </c>
      <c r="BD1720" t="s">
        <v>91</v>
      </c>
      <c r="BF1720" s="1" t="s">
        <v>75</v>
      </c>
      <c r="BH1720">
        <v>0</v>
      </c>
      <c r="BI1720" s="1" t="s">
        <v>88</v>
      </c>
      <c r="BJ1720">
        <v>1</v>
      </c>
      <c r="BK1720" s="1" t="s">
        <v>89</v>
      </c>
      <c r="BL1720" t="s">
        <v>91</v>
      </c>
      <c r="BM1720" s="1" t="s">
        <v>109</v>
      </c>
      <c r="BN1720" s="1" t="s">
        <v>110</v>
      </c>
      <c r="BO1720" s="1" t="s">
        <v>165</v>
      </c>
      <c r="BP1720" s="1" t="s">
        <v>91</v>
      </c>
      <c r="BQ1720" t="s">
        <v>91</v>
      </c>
      <c r="BR1720" s="3">
        <v>44378</v>
      </c>
      <c r="BS1720" s="3">
        <v>44454</v>
      </c>
      <c r="BT1720" t="s">
        <v>91</v>
      </c>
      <c r="BU1720" t="s">
        <v>91</v>
      </c>
      <c r="BW1720" s="1" t="s">
        <v>741</v>
      </c>
    </row>
    <row r="1721" spans="1:75" hidden="1" x14ac:dyDescent="0.35">
      <c r="A1721">
        <v>137931</v>
      </c>
      <c r="B1721" s="1" t="s">
        <v>75</v>
      </c>
      <c r="C1721">
        <v>80</v>
      </c>
      <c r="D1721">
        <v>11121004</v>
      </c>
      <c r="E1721">
        <v>121004</v>
      </c>
      <c r="F1721" s="1" t="s">
        <v>6867</v>
      </c>
      <c r="G1721" s="1" t="s">
        <v>9149</v>
      </c>
      <c r="H1721">
        <v>0</v>
      </c>
      <c r="I1721" s="1" t="s">
        <v>78</v>
      </c>
      <c r="J1721" s="1" t="s">
        <v>9150</v>
      </c>
      <c r="K1721" s="1" t="s">
        <v>9151</v>
      </c>
      <c r="L1721" t="s">
        <v>91</v>
      </c>
      <c r="M1721" t="s">
        <v>91</v>
      </c>
      <c r="N1721" s="1" t="s">
        <v>9152</v>
      </c>
      <c r="O1721" t="s">
        <v>91</v>
      </c>
      <c r="P1721" s="1" t="s">
        <v>9153</v>
      </c>
      <c r="Q1721" s="1" t="s">
        <v>3406</v>
      </c>
      <c r="R1721" s="1" t="s">
        <v>91</v>
      </c>
      <c r="S1721">
        <v>1276</v>
      </c>
      <c r="T1721">
        <v>89182000</v>
      </c>
      <c r="U1721" s="1" t="s">
        <v>108</v>
      </c>
      <c r="V1721" s="1" t="s">
        <v>9154</v>
      </c>
      <c r="W1721" s="1" t="s">
        <v>87</v>
      </c>
      <c r="X1721">
        <v>47</v>
      </c>
      <c r="Y1721">
        <v>33003099</v>
      </c>
      <c r="Z1721" t="s">
        <v>91</v>
      </c>
      <c r="AA1721" t="s">
        <v>91</v>
      </c>
      <c r="AB1721" t="s">
        <v>91</v>
      </c>
      <c r="AC1721" t="s">
        <v>91</v>
      </c>
      <c r="AD1721" t="s">
        <v>91</v>
      </c>
      <c r="AE1721" t="s">
        <v>91</v>
      </c>
      <c r="AF1721" t="s">
        <v>91</v>
      </c>
      <c r="AG1721" s="1" t="s">
        <v>146</v>
      </c>
      <c r="AH1721" s="1" t="s">
        <v>91</v>
      </c>
      <c r="AI1721" t="s">
        <v>91</v>
      </c>
      <c r="AM1721" t="s">
        <v>91</v>
      </c>
      <c r="AN1721" t="s">
        <v>91</v>
      </c>
      <c r="AO1721" t="s">
        <v>91</v>
      </c>
      <c r="AP1721" t="s">
        <v>91</v>
      </c>
      <c r="AQ1721" s="1" t="s">
        <v>147</v>
      </c>
      <c r="AR1721" s="1" t="s">
        <v>147</v>
      </c>
      <c r="AS1721" s="1" t="s">
        <v>147</v>
      </c>
      <c r="AT1721" s="1" t="s">
        <v>147</v>
      </c>
      <c r="AU1721" s="1" t="s">
        <v>147</v>
      </c>
      <c r="AV1721" t="s">
        <v>91</v>
      </c>
      <c r="AW1721" t="s">
        <v>91</v>
      </c>
      <c r="AX1721" t="s">
        <v>91</v>
      </c>
      <c r="AY1721" t="s">
        <v>91</v>
      </c>
      <c r="AZ1721" t="s">
        <v>91</v>
      </c>
      <c r="BA1721" t="s">
        <v>91</v>
      </c>
      <c r="BB1721" s="2">
        <v>44378.578518518516</v>
      </c>
      <c r="BC1721" s="2">
        <v>44761.721736111111</v>
      </c>
      <c r="BD1721" t="s">
        <v>91</v>
      </c>
      <c r="BF1721" s="1" t="s">
        <v>75</v>
      </c>
      <c r="BH1721">
        <v>0</v>
      </c>
      <c r="BI1721" s="1" t="s">
        <v>88</v>
      </c>
      <c r="BJ1721">
        <v>1</v>
      </c>
      <c r="BK1721" s="1" t="s">
        <v>89</v>
      </c>
      <c r="BL1721" t="s">
        <v>91</v>
      </c>
      <c r="BM1721" s="1" t="s">
        <v>109</v>
      </c>
      <c r="BN1721" s="1" t="s">
        <v>110</v>
      </c>
      <c r="BO1721" s="1" t="s">
        <v>180</v>
      </c>
      <c r="BP1721" s="1" t="s">
        <v>91</v>
      </c>
      <c r="BQ1721" t="s">
        <v>91</v>
      </c>
      <c r="BR1721" s="3">
        <v>44378</v>
      </c>
      <c r="BS1721" s="3">
        <v>44761</v>
      </c>
      <c r="BT1721" t="s">
        <v>91</v>
      </c>
      <c r="BU1721" t="s">
        <v>91</v>
      </c>
      <c r="BW1721" s="1" t="s">
        <v>9155</v>
      </c>
    </row>
    <row r="1722" spans="1:75" hidden="1" x14ac:dyDescent="0.35">
      <c r="A1722">
        <v>159591</v>
      </c>
      <c r="B1722" s="1" t="s">
        <v>75</v>
      </c>
      <c r="C1722">
        <v>80</v>
      </c>
      <c r="D1722">
        <v>11121004</v>
      </c>
      <c r="E1722">
        <v>121004</v>
      </c>
      <c r="F1722" s="1" t="s">
        <v>6867</v>
      </c>
      <c r="G1722" s="1" t="s">
        <v>9156</v>
      </c>
      <c r="I1722" s="1" t="s">
        <v>78</v>
      </c>
      <c r="J1722" s="1" t="s">
        <v>9157</v>
      </c>
      <c r="K1722" s="1" t="s">
        <v>9158</v>
      </c>
      <c r="L1722" t="s">
        <v>91</v>
      </c>
      <c r="M1722" t="s">
        <v>91</v>
      </c>
      <c r="N1722" s="1" t="s">
        <v>9159</v>
      </c>
      <c r="O1722" t="s">
        <v>91</v>
      </c>
      <c r="P1722" s="1" t="s">
        <v>9160</v>
      </c>
      <c r="Q1722" s="1" t="s">
        <v>9161</v>
      </c>
      <c r="R1722" s="1" t="s">
        <v>236</v>
      </c>
      <c r="S1722">
        <v>1260</v>
      </c>
      <c r="T1722">
        <v>88215000</v>
      </c>
      <c r="U1722" s="1" t="s">
        <v>7615</v>
      </c>
      <c r="V1722" s="1" t="s">
        <v>7458</v>
      </c>
      <c r="W1722" s="1" t="s">
        <v>87</v>
      </c>
      <c r="X1722">
        <v>48</v>
      </c>
      <c r="Y1722">
        <v>991502857</v>
      </c>
      <c r="Z1722" t="s">
        <v>91</v>
      </c>
      <c r="AA1722" t="s">
        <v>91</v>
      </c>
      <c r="AB1722" t="s">
        <v>91</v>
      </c>
      <c r="AC1722" t="s">
        <v>91</v>
      </c>
      <c r="AD1722" t="s">
        <v>91</v>
      </c>
      <c r="AE1722" t="s">
        <v>91</v>
      </c>
      <c r="AF1722" t="s">
        <v>91</v>
      </c>
      <c r="AG1722" s="1" t="s">
        <v>91</v>
      </c>
      <c r="AH1722" s="1" t="s">
        <v>91</v>
      </c>
      <c r="AI1722" t="s">
        <v>91</v>
      </c>
      <c r="AM1722" t="s">
        <v>91</v>
      </c>
      <c r="AN1722" t="s">
        <v>91</v>
      </c>
      <c r="AO1722" t="s">
        <v>91</v>
      </c>
      <c r="AP1722" t="s">
        <v>91</v>
      </c>
      <c r="AQ1722" s="1" t="s">
        <v>91</v>
      </c>
      <c r="AR1722" s="1" t="s">
        <v>91</v>
      </c>
      <c r="AS1722" s="1" t="s">
        <v>91</v>
      </c>
      <c r="AT1722" s="1" t="s">
        <v>91</v>
      </c>
      <c r="AU1722" s="1" t="s">
        <v>91</v>
      </c>
      <c r="AV1722" t="s">
        <v>91</v>
      </c>
      <c r="AW1722" t="s">
        <v>91</v>
      </c>
      <c r="AX1722" t="s">
        <v>91</v>
      </c>
      <c r="AY1722" t="s">
        <v>91</v>
      </c>
      <c r="AZ1722" t="s">
        <v>91</v>
      </c>
      <c r="BA1722" t="s">
        <v>91</v>
      </c>
      <c r="BB1722" s="2">
        <v>45194.491122685184</v>
      </c>
      <c r="BC1722" s="2"/>
      <c r="BD1722" t="s">
        <v>91</v>
      </c>
      <c r="BF1722" s="1" t="s">
        <v>75</v>
      </c>
      <c r="BI1722" s="1" t="s">
        <v>88</v>
      </c>
      <c r="BJ1722">
        <v>1</v>
      </c>
      <c r="BK1722" s="1" t="s">
        <v>89</v>
      </c>
      <c r="BL1722" t="s">
        <v>91</v>
      </c>
      <c r="BM1722" s="1" t="s">
        <v>91</v>
      </c>
      <c r="BN1722" s="1" t="s">
        <v>91</v>
      </c>
      <c r="BO1722" s="1" t="s">
        <v>91</v>
      </c>
      <c r="BP1722" s="1" t="s">
        <v>91</v>
      </c>
      <c r="BQ1722" t="s">
        <v>91</v>
      </c>
      <c r="BR1722" s="3">
        <v>45194</v>
      </c>
      <c r="BS1722" s="3"/>
      <c r="BT1722" t="s">
        <v>91</v>
      </c>
      <c r="BU1722" t="s">
        <v>91</v>
      </c>
      <c r="BW1722" s="1" t="s">
        <v>90</v>
      </c>
    </row>
    <row r="1723" spans="1:75" hidden="1" x14ac:dyDescent="0.35">
      <c r="A1723">
        <v>157096</v>
      </c>
      <c r="B1723" s="1" t="s">
        <v>75</v>
      </c>
      <c r="C1723">
        <v>80</v>
      </c>
      <c r="D1723">
        <v>11121004</v>
      </c>
      <c r="E1723">
        <v>121004</v>
      </c>
      <c r="F1723" s="1" t="s">
        <v>6867</v>
      </c>
      <c r="G1723" s="1" t="s">
        <v>9162</v>
      </c>
      <c r="H1723">
        <v>0</v>
      </c>
      <c r="I1723" s="1" t="s">
        <v>78</v>
      </c>
      <c r="J1723" s="1" t="s">
        <v>9163</v>
      </c>
      <c r="K1723" s="1" t="s">
        <v>9164</v>
      </c>
      <c r="L1723" t="s">
        <v>91</v>
      </c>
      <c r="M1723" t="s">
        <v>91</v>
      </c>
      <c r="N1723" s="1" t="s">
        <v>9165</v>
      </c>
      <c r="O1723" t="s">
        <v>91</v>
      </c>
      <c r="P1723" s="1" t="s">
        <v>9166</v>
      </c>
      <c r="Q1723" s="1" t="s">
        <v>2864</v>
      </c>
      <c r="R1723" s="1" t="s">
        <v>9167</v>
      </c>
      <c r="S1723">
        <v>1260</v>
      </c>
      <c r="T1723">
        <v>88210000</v>
      </c>
      <c r="U1723" s="1" t="s">
        <v>5649</v>
      </c>
      <c r="V1723" s="1" t="s">
        <v>6987</v>
      </c>
      <c r="W1723" s="1" t="s">
        <v>87</v>
      </c>
      <c r="X1723">
        <v>48</v>
      </c>
      <c r="Y1723">
        <v>30550246</v>
      </c>
      <c r="Z1723" t="s">
        <v>91</v>
      </c>
      <c r="AA1723" t="s">
        <v>91</v>
      </c>
      <c r="AB1723" t="s">
        <v>91</v>
      </c>
      <c r="AC1723" t="s">
        <v>91</v>
      </c>
      <c r="AD1723" t="s">
        <v>91</v>
      </c>
      <c r="AE1723" t="s">
        <v>91</v>
      </c>
      <c r="AF1723" t="s">
        <v>91</v>
      </c>
      <c r="AG1723" s="1" t="s">
        <v>91</v>
      </c>
      <c r="AH1723" s="1" t="s">
        <v>91</v>
      </c>
      <c r="AI1723" t="s">
        <v>91</v>
      </c>
      <c r="AM1723" t="s">
        <v>91</v>
      </c>
      <c r="AN1723" t="s">
        <v>91</v>
      </c>
      <c r="AO1723" t="s">
        <v>91</v>
      </c>
      <c r="AP1723" t="s">
        <v>91</v>
      </c>
      <c r="AQ1723" s="1" t="s">
        <v>91</v>
      </c>
      <c r="AR1723" s="1" t="s">
        <v>91</v>
      </c>
      <c r="AS1723" s="1" t="s">
        <v>91</v>
      </c>
      <c r="AT1723" s="1" t="s">
        <v>91</v>
      </c>
      <c r="AU1723" s="1" t="s">
        <v>91</v>
      </c>
      <c r="AV1723" t="s">
        <v>91</v>
      </c>
      <c r="AW1723" t="s">
        <v>91</v>
      </c>
      <c r="AX1723" t="s">
        <v>91</v>
      </c>
      <c r="AY1723" t="s">
        <v>91</v>
      </c>
      <c r="AZ1723" t="s">
        <v>91</v>
      </c>
      <c r="BA1723" t="s">
        <v>91</v>
      </c>
      <c r="BB1723" s="2">
        <v>45113.505416666667</v>
      </c>
      <c r="BC1723" s="2"/>
      <c r="BD1723" t="s">
        <v>91</v>
      </c>
      <c r="BF1723" s="1" t="s">
        <v>75</v>
      </c>
      <c r="BI1723" s="1" t="s">
        <v>88</v>
      </c>
      <c r="BJ1723">
        <v>1</v>
      </c>
      <c r="BK1723" s="1" t="s">
        <v>89</v>
      </c>
      <c r="BL1723" t="s">
        <v>91</v>
      </c>
      <c r="BM1723" s="1" t="s">
        <v>91</v>
      </c>
      <c r="BN1723" s="1" t="s">
        <v>91</v>
      </c>
      <c r="BO1723" s="1" t="s">
        <v>91</v>
      </c>
      <c r="BP1723" s="1" t="s">
        <v>91</v>
      </c>
      <c r="BQ1723" t="s">
        <v>91</v>
      </c>
      <c r="BR1723" s="3">
        <v>45113</v>
      </c>
      <c r="BS1723" s="3"/>
      <c r="BT1723" t="s">
        <v>91</v>
      </c>
      <c r="BU1723" t="s">
        <v>91</v>
      </c>
      <c r="BW1723" s="1" t="s">
        <v>90</v>
      </c>
    </row>
    <row r="1724" spans="1:75" hidden="1" x14ac:dyDescent="0.35">
      <c r="A1724">
        <v>157088</v>
      </c>
      <c r="B1724" s="1" t="s">
        <v>75</v>
      </c>
      <c r="C1724">
        <v>80</v>
      </c>
      <c r="D1724">
        <v>11121004</v>
      </c>
      <c r="E1724">
        <v>121004</v>
      </c>
      <c r="F1724" s="1" t="s">
        <v>6867</v>
      </c>
      <c r="G1724" s="1" t="s">
        <v>9168</v>
      </c>
      <c r="H1724">
        <v>0</v>
      </c>
      <c r="I1724" s="1" t="s">
        <v>78</v>
      </c>
      <c r="J1724" s="1" t="s">
        <v>9163</v>
      </c>
      <c r="K1724" s="1" t="s">
        <v>9169</v>
      </c>
      <c r="L1724" t="s">
        <v>91</v>
      </c>
      <c r="M1724" t="s">
        <v>91</v>
      </c>
      <c r="N1724" s="1" t="s">
        <v>9170</v>
      </c>
      <c r="O1724" t="s">
        <v>91</v>
      </c>
      <c r="P1724" s="1" t="s">
        <v>9166</v>
      </c>
      <c r="Q1724" s="1" t="s">
        <v>3653</v>
      </c>
      <c r="R1724" s="1" t="s">
        <v>9171</v>
      </c>
      <c r="S1724">
        <v>1260</v>
      </c>
      <c r="T1724">
        <v>88200000</v>
      </c>
      <c r="U1724" s="1" t="s">
        <v>9172</v>
      </c>
      <c r="V1724" s="1" t="s">
        <v>6906</v>
      </c>
      <c r="W1724" s="1" t="s">
        <v>87</v>
      </c>
      <c r="X1724">
        <v>47</v>
      </c>
      <c r="Y1724">
        <v>997714766</v>
      </c>
      <c r="Z1724" t="s">
        <v>91</v>
      </c>
      <c r="AA1724" t="s">
        <v>91</v>
      </c>
      <c r="AB1724" t="s">
        <v>91</v>
      </c>
      <c r="AC1724" t="s">
        <v>91</v>
      </c>
      <c r="AD1724" t="s">
        <v>91</v>
      </c>
      <c r="AE1724" t="s">
        <v>91</v>
      </c>
      <c r="AF1724" t="s">
        <v>91</v>
      </c>
      <c r="AG1724" s="1" t="s">
        <v>91</v>
      </c>
      <c r="AH1724" s="1" t="s">
        <v>91</v>
      </c>
      <c r="AI1724" t="s">
        <v>91</v>
      </c>
      <c r="AM1724" t="s">
        <v>91</v>
      </c>
      <c r="AN1724" t="s">
        <v>91</v>
      </c>
      <c r="AO1724" t="s">
        <v>91</v>
      </c>
      <c r="AP1724" t="s">
        <v>91</v>
      </c>
      <c r="AQ1724" s="1" t="s">
        <v>91</v>
      </c>
      <c r="AR1724" s="1" t="s">
        <v>91</v>
      </c>
      <c r="AS1724" s="1" t="s">
        <v>91</v>
      </c>
      <c r="AT1724" s="1" t="s">
        <v>91</v>
      </c>
      <c r="AU1724" s="1" t="s">
        <v>91</v>
      </c>
      <c r="AV1724" t="s">
        <v>91</v>
      </c>
      <c r="AW1724" t="s">
        <v>91</v>
      </c>
      <c r="AX1724" t="s">
        <v>91</v>
      </c>
      <c r="AY1724" t="s">
        <v>91</v>
      </c>
      <c r="AZ1724" t="s">
        <v>91</v>
      </c>
      <c r="BA1724" t="s">
        <v>91</v>
      </c>
      <c r="BB1724" s="2">
        <v>45113.505416666667</v>
      </c>
      <c r="BC1724" s="2"/>
      <c r="BD1724" t="s">
        <v>91</v>
      </c>
      <c r="BF1724" s="1" t="s">
        <v>75</v>
      </c>
      <c r="BI1724" s="1" t="s">
        <v>88</v>
      </c>
      <c r="BJ1724">
        <v>1</v>
      </c>
      <c r="BK1724" s="1" t="s">
        <v>89</v>
      </c>
      <c r="BL1724" t="s">
        <v>91</v>
      </c>
      <c r="BM1724" s="1" t="s">
        <v>91</v>
      </c>
      <c r="BN1724" s="1" t="s">
        <v>91</v>
      </c>
      <c r="BO1724" s="1" t="s">
        <v>91</v>
      </c>
      <c r="BP1724" s="1" t="s">
        <v>91</v>
      </c>
      <c r="BQ1724" t="s">
        <v>91</v>
      </c>
      <c r="BR1724" s="3">
        <v>45113</v>
      </c>
      <c r="BS1724" s="3"/>
      <c r="BT1724" t="s">
        <v>91</v>
      </c>
      <c r="BU1724" t="s">
        <v>91</v>
      </c>
      <c r="BW1724" s="1" t="s">
        <v>90</v>
      </c>
    </row>
    <row r="1725" spans="1:75" hidden="1" x14ac:dyDescent="0.35">
      <c r="A1725">
        <v>137935</v>
      </c>
      <c r="B1725" s="1" t="s">
        <v>75</v>
      </c>
      <c r="C1725">
        <v>80</v>
      </c>
      <c r="D1725">
        <v>11121004</v>
      </c>
      <c r="E1725">
        <v>121004</v>
      </c>
      <c r="F1725" s="1" t="s">
        <v>6867</v>
      </c>
      <c r="G1725" s="1" t="s">
        <v>9173</v>
      </c>
      <c r="H1725">
        <v>0</v>
      </c>
      <c r="I1725" s="1" t="s">
        <v>78</v>
      </c>
      <c r="J1725" s="1" t="s">
        <v>9174</v>
      </c>
      <c r="K1725" s="1" t="s">
        <v>9175</v>
      </c>
      <c r="L1725" t="s">
        <v>91</v>
      </c>
      <c r="M1725" t="s">
        <v>91</v>
      </c>
      <c r="N1725" s="1" t="s">
        <v>3992</v>
      </c>
      <c r="O1725" t="s">
        <v>91</v>
      </c>
      <c r="P1725" s="1" t="s">
        <v>6953</v>
      </c>
      <c r="Q1725" s="1" t="s">
        <v>552</v>
      </c>
      <c r="R1725" s="1" t="s">
        <v>9176</v>
      </c>
      <c r="S1725">
        <v>1261</v>
      </c>
      <c r="T1725">
        <v>88301320</v>
      </c>
      <c r="U1725" s="1" t="s">
        <v>108</v>
      </c>
      <c r="V1725" s="1" t="s">
        <v>6881</v>
      </c>
      <c r="W1725" s="1" t="s">
        <v>87</v>
      </c>
      <c r="X1725">
        <v>47</v>
      </c>
      <c r="Y1725">
        <v>30839213</v>
      </c>
      <c r="Z1725" t="s">
        <v>91</v>
      </c>
      <c r="AA1725" t="s">
        <v>91</v>
      </c>
      <c r="AB1725" t="s">
        <v>91</v>
      </c>
      <c r="AC1725" t="s">
        <v>91</v>
      </c>
      <c r="AD1725" t="s">
        <v>91</v>
      </c>
      <c r="AE1725" t="s">
        <v>91</v>
      </c>
      <c r="AF1725" t="s">
        <v>91</v>
      </c>
      <c r="AG1725" s="1" t="s">
        <v>91</v>
      </c>
      <c r="AH1725" s="1" t="s">
        <v>91</v>
      </c>
      <c r="AI1725" t="s">
        <v>91</v>
      </c>
      <c r="AM1725" t="s">
        <v>91</v>
      </c>
      <c r="AN1725" t="s">
        <v>91</v>
      </c>
      <c r="AO1725" t="s">
        <v>91</v>
      </c>
      <c r="AP1725" t="s">
        <v>91</v>
      </c>
      <c r="AQ1725" s="1" t="s">
        <v>91</v>
      </c>
      <c r="AR1725" s="1" t="s">
        <v>91</v>
      </c>
      <c r="AS1725" s="1" t="s">
        <v>91</v>
      </c>
      <c r="AT1725" s="1" t="s">
        <v>91</v>
      </c>
      <c r="AU1725" s="1" t="s">
        <v>91</v>
      </c>
      <c r="AV1725" t="s">
        <v>91</v>
      </c>
      <c r="AW1725" t="s">
        <v>91</v>
      </c>
      <c r="AX1725" t="s">
        <v>91</v>
      </c>
      <c r="AY1725" t="s">
        <v>91</v>
      </c>
      <c r="AZ1725" t="s">
        <v>91</v>
      </c>
      <c r="BA1725" t="s">
        <v>91</v>
      </c>
      <c r="BB1725" s="2">
        <v>44378.578518518516</v>
      </c>
      <c r="BC1725" s="2"/>
      <c r="BD1725" t="s">
        <v>91</v>
      </c>
      <c r="BF1725" s="1" t="s">
        <v>75</v>
      </c>
      <c r="BI1725" s="1" t="s">
        <v>88</v>
      </c>
      <c r="BJ1725">
        <v>1</v>
      </c>
      <c r="BK1725" s="1" t="s">
        <v>89</v>
      </c>
      <c r="BL1725" t="s">
        <v>91</v>
      </c>
      <c r="BM1725" s="1" t="s">
        <v>109</v>
      </c>
      <c r="BN1725" s="1" t="s">
        <v>110</v>
      </c>
      <c r="BO1725" s="1" t="s">
        <v>128</v>
      </c>
      <c r="BP1725" s="1" t="s">
        <v>91</v>
      </c>
      <c r="BQ1725" t="s">
        <v>91</v>
      </c>
      <c r="BR1725" s="3">
        <v>44378</v>
      </c>
      <c r="BS1725" s="3"/>
      <c r="BT1725" t="s">
        <v>91</v>
      </c>
      <c r="BU1725" t="s">
        <v>91</v>
      </c>
      <c r="BW1725" s="1" t="s">
        <v>90</v>
      </c>
    </row>
    <row r="1726" spans="1:75" hidden="1" x14ac:dyDescent="0.35">
      <c r="A1726">
        <v>157781</v>
      </c>
      <c r="B1726" s="1" t="s">
        <v>75</v>
      </c>
      <c r="C1726">
        <v>80</v>
      </c>
      <c r="D1726">
        <v>11121004</v>
      </c>
      <c r="E1726">
        <v>121004</v>
      </c>
      <c r="F1726" s="1" t="s">
        <v>6867</v>
      </c>
      <c r="G1726" s="1" t="s">
        <v>9177</v>
      </c>
      <c r="H1726">
        <v>0</v>
      </c>
      <c r="I1726" s="1" t="s">
        <v>78</v>
      </c>
      <c r="J1726" s="1" t="s">
        <v>9178</v>
      </c>
      <c r="K1726" s="1" t="s">
        <v>9179</v>
      </c>
      <c r="L1726" t="s">
        <v>91</v>
      </c>
      <c r="M1726" t="s">
        <v>91</v>
      </c>
      <c r="N1726" s="1" t="s">
        <v>9180</v>
      </c>
      <c r="O1726" t="s">
        <v>91</v>
      </c>
      <c r="P1726" s="1" t="s">
        <v>6975</v>
      </c>
      <c r="Q1726" s="1" t="s">
        <v>9181</v>
      </c>
      <c r="R1726" s="1" t="s">
        <v>245</v>
      </c>
      <c r="S1726">
        <v>1260</v>
      </c>
      <c r="T1726">
        <v>88200000</v>
      </c>
      <c r="U1726" s="1" t="s">
        <v>108</v>
      </c>
      <c r="V1726" s="1" t="s">
        <v>6906</v>
      </c>
      <c r="W1726" s="1" t="s">
        <v>87</v>
      </c>
      <c r="X1726">
        <v>48</v>
      </c>
      <c r="Y1726">
        <v>32630580</v>
      </c>
      <c r="Z1726" t="s">
        <v>91</v>
      </c>
      <c r="AA1726" t="s">
        <v>91</v>
      </c>
      <c r="AB1726" t="s">
        <v>91</v>
      </c>
      <c r="AC1726" t="s">
        <v>91</v>
      </c>
      <c r="AD1726" t="s">
        <v>91</v>
      </c>
      <c r="AE1726" t="s">
        <v>91</v>
      </c>
      <c r="AF1726" t="s">
        <v>91</v>
      </c>
      <c r="AG1726" s="1" t="s">
        <v>91</v>
      </c>
      <c r="AH1726" s="1" t="s">
        <v>91</v>
      </c>
      <c r="AI1726" t="s">
        <v>91</v>
      </c>
      <c r="AM1726" t="s">
        <v>91</v>
      </c>
      <c r="AN1726" t="s">
        <v>91</v>
      </c>
      <c r="AO1726" t="s">
        <v>91</v>
      </c>
      <c r="AP1726" t="s">
        <v>91</v>
      </c>
      <c r="AQ1726" s="1" t="s">
        <v>91</v>
      </c>
      <c r="AR1726" s="1" t="s">
        <v>91</v>
      </c>
      <c r="AS1726" s="1" t="s">
        <v>91</v>
      </c>
      <c r="AT1726" s="1" t="s">
        <v>91</v>
      </c>
      <c r="AU1726" s="1" t="s">
        <v>91</v>
      </c>
      <c r="AV1726" t="s">
        <v>91</v>
      </c>
      <c r="AW1726" t="s">
        <v>91</v>
      </c>
      <c r="AX1726" t="s">
        <v>91</v>
      </c>
      <c r="AY1726" t="s">
        <v>91</v>
      </c>
      <c r="AZ1726" t="s">
        <v>91</v>
      </c>
      <c r="BA1726" t="s">
        <v>91</v>
      </c>
      <c r="BB1726" s="2">
        <v>45118.101759259262</v>
      </c>
      <c r="BC1726" s="2"/>
      <c r="BD1726" t="s">
        <v>91</v>
      </c>
      <c r="BF1726" s="1" t="s">
        <v>75</v>
      </c>
      <c r="BI1726" s="1" t="s">
        <v>88</v>
      </c>
      <c r="BJ1726">
        <v>1</v>
      </c>
      <c r="BK1726" s="1" t="s">
        <v>89</v>
      </c>
      <c r="BL1726" t="s">
        <v>91</v>
      </c>
      <c r="BM1726" s="1" t="s">
        <v>91</v>
      </c>
      <c r="BN1726" s="1" t="s">
        <v>91</v>
      </c>
      <c r="BO1726" s="1" t="s">
        <v>91</v>
      </c>
      <c r="BP1726" s="1" t="s">
        <v>91</v>
      </c>
      <c r="BQ1726" t="s">
        <v>91</v>
      </c>
      <c r="BR1726" s="3">
        <v>45118</v>
      </c>
      <c r="BS1726" s="3"/>
      <c r="BT1726" t="s">
        <v>91</v>
      </c>
      <c r="BU1726" t="s">
        <v>91</v>
      </c>
      <c r="BW1726" s="1" t="s">
        <v>90</v>
      </c>
    </row>
    <row r="1727" spans="1:75" hidden="1" x14ac:dyDescent="0.35">
      <c r="A1727">
        <v>157044</v>
      </c>
      <c r="B1727" s="1" t="s">
        <v>75</v>
      </c>
      <c r="C1727">
        <v>80</v>
      </c>
      <c r="D1727">
        <v>11121004</v>
      </c>
      <c r="E1727">
        <v>121004</v>
      </c>
      <c r="F1727" s="1" t="s">
        <v>6867</v>
      </c>
      <c r="G1727" s="1" t="s">
        <v>9182</v>
      </c>
      <c r="H1727">
        <v>0</v>
      </c>
      <c r="I1727" s="1" t="s">
        <v>78</v>
      </c>
      <c r="J1727" s="1" t="s">
        <v>9183</v>
      </c>
      <c r="K1727" s="1" t="s">
        <v>9184</v>
      </c>
      <c r="L1727" t="s">
        <v>91</v>
      </c>
      <c r="M1727" t="s">
        <v>91</v>
      </c>
      <c r="N1727" s="1" t="s">
        <v>9185</v>
      </c>
      <c r="O1727" t="s">
        <v>91</v>
      </c>
      <c r="P1727" s="1" t="s">
        <v>4689</v>
      </c>
      <c r="Q1727" s="1" t="s">
        <v>478</v>
      </c>
      <c r="R1727" s="1" t="s">
        <v>236</v>
      </c>
      <c r="T1727">
        <v>89160139</v>
      </c>
      <c r="U1727" s="1" t="s">
        <v>108</v>
      </c>
      <c r="V1727" s="1" t="s">
        <v>6927</v>
      </c>
      <c r="W1727" s="1" t="s">
        <v>87</v>
      </c>
      <c r="X1727">
        <v>47</v>
      </c>
      <c r="Y1727">
        <v>988707282</v>
      </c>
      <c r="Z1727" t="s">
        <v>91</v>
      </c>
      <c r="AA1727" t="s">
        <v>91</v>
      </c>
      <c r="AB1727" t="s">
        <v>91</v>
      </c>
      <c r="AC1727" t="s">
        <v>91</v>
      </c>
      <c r="AD1727" t="s">
        <v>91</v>
      </c>
      <c r="AE1727" t="s">
        <v>91</v>
      </c>
      <c r="AF1727" t="s">
        <v>91</v>
      </c>
      <c r="AG1727" s="1" t="s">
        <v>146</v>
      </c>
      <c r="AH1727" s="1" t="s">
        <v>91</v>
      </c>
      <c r="AI1727" t="s">
        <v>91</v>
      </c>
      <c r="AM1727" t="s">
        <v>91</v>
      </c>
      <c r="AN1727" t="s">
        <v>91</v>
      </c>
      <c r="AO1727" t="s">
        <v>91</v>
      </c>
      <c r="AP1727" t="s">
        <v>91</v>
      </c>
      <c r="AQ1727" s="1" t="s">
        <v>147</v>
      </c>
      <c r="AR1727" s="1" t="s">
        <v>147</v>
      </c>
      <c r="AS1727" s="1" t="s">
        <v>147</v>
      </c>
      <c r="AT1727" s="1" t="s">
        <v>147</v>
      </c>
      <c r="AU1727" s="1" t="s">
        <v>147</v>
      </c>
      <c r="AV1727" t="s">
        <v>91</v>
      </c>
      <c r="AW1727" t="s">
        <v>91</v>
      </c>
      <c r="AX1727" t="s">
        <v>91</v>
      </c>
      <c r="AY1727" t="s">
        <v>91</v>
      </c>
      <c r="AZ1727" t="s">
        <v>91</v>
      </c>
      <c r="BA1727" t="s">
        <v>91</v>
      </c>
      <c r="BB1727" s="2">
        <v>45113.505416666667</v>
      </c>
      <c r="BC1727" s="2">
        <v>45195.639236111114</v>
      </c>
      <c r="BD1727" t="s">
        <v>91</v>
      </c>
      <c r="BF1727" s="1" t="s">
        <v>75</v>
      </c>
      <c r="BH1727">
        <v>0</v>
      </c>
      <c r="BI1727" s="1" t="s">
        <v>88</v>
      </c>
      <c r="BJ1727">
        <v>1</v>
      </c>
      <c r="BK1727" s="1" t="s">
        <v>89</v>
      </c>
      <c r="BL1727" t="s">
        <v>91</v>
      </c>
      <c r="BM1727" s="1" t="s">
        <v>91</v>
      </c>
      <c r="BN1727" s="1" t="s">
        <v>91</v>
      </c>
      <c r="BO1727" s="1" t="s">
        <v>91</v>
      </c>
      <c r="BP1727" s="1" t="s">
        <v>91</v>
      </c>
      <c r="BQ1727" t="s">
        <v>91</v>
      </c>
      <c r="BR1727" s="3">
        <v>45113</v>
      </c>
      <c r="BS1727" s="3">
        <v>45195</v>
      </c>
      <c r="BT1727" t="s">
        <v>91</v>
      </c>
      <c r="BU1727" t="s">
        <v>91</v>
      </c>
      <c r="BW1727" s="1" t="s">
        <v>1452</v>
      </c>
    </row>
    <row r="1728" spans="1:75" hidden="1" x14ac:dyDescent="0.35">
      <c r="A1728">
        <v>157103</v>
      </c>
      <c r="B1728" s="1" t="s">
        <v>75</v>
      </c>
      <c r="C1728">
        <v>80</v>
      </c>
      <c r="D1728">
        <v>11121004</v>
      </c>
      <c r="E1728">
        <v>121004</v>
      </c>
      <c r="F1728" s="1" t="s">
        <v>6867</v>
      </c>
      <c r="G1728" s="1" t="s">
        <v>9186</v>
      </c>
      <c r="H1728">
        <v>0</v>
      </c>
      <c r="I1728" s="1" t="s">
        <v>78</v>
      </c>
      <c r="J1728" s="1" t="s">
        <v>9187</v>
      </c>
      <c r="K1728" s="1" t="s">
        <v>9188</v>
      </c>
      <c r="L1728" t="s">
        <v>91</v>
      </c>
      <c r="M1728" t="s">
        <v>91</v>
      </c>
      <c r="N1728" s="1" t="s">
        <v>9189</v>
      </c>
      <c r="O1728" t="s">
        <v>91</v>
      </c>
      <c r="P1728" s="1" t="s">
        <v>3083</v>
      </c>
      <c r="Q1728" s="1" t="s">
        <v>5554</v>
      </c>
      <c r="R1728" s="1" t="s">
        <v>434</v>
      </c>
      <c r="S1728">
        <v>1261</v>
      </c>
      <c r="T1728">
        <v>88301001</v>
      </c>
      <c r="U1728" s="1" t="s">
        <v>108</v>
      </c>
      <c r="V1728" s="1" t="s">
        <v>6881</v>
      </c>
      <c r="W1728" s="1" t="s">
        <v>87</v>
      </c>
      <c r="X1728">
        <v>47</v>
      </c>
      <c r="Y1728">
        <v>30453333</v>
      </c>
      <c r="Z1728" t="s">
        <v>91</v>
      </c>
      <c r="AA1728" t="s">
        <v>91</v>
      </c>
      <c r="AB1728" t="s">
        <v>91</v>
      </c>
      <c r="AC1728" t="s">
        <v>91</v>
      </c>
      <c r="AD1728" t="s">
        <v>91</v>
      </c>
      <c r="AE1728" t="s">
        <v>91</v>
      </c>
      <c r="AF1728" t="s">
        <v>91</v>
      </c>
      <c r="AG1728" s="1" t="s">
        <v>91</v>
      </c>
      <c r="AH1728" s="1" t="s">
        <v>91</v>
      </c>
      <c r="AI1728" t="s">
        <v>91</v>
      </c>
      <c r="AM1728" t="s">
        <v>91</v>
      </c>
      <c r="AN1728" t="s">
        <v>91</v>
      </c>
      <c r="AO1728" t="s">
        <v>91</v>
      </c>
      <c r="AP1728" t="s">
        <v>91</v>
      </c>
      <c r="AQ1728" s="1" t="s">
        <v>91</v>
      </c>
      <c r="AR1728" s="1" t="s">
        <v>91</v>
      </c>
      <c r="AS1728" s="1" t="s">
        <v>91</v>
      </c>
      <c r="AT1728" s="1" t="s">
        <v>91</v>
      </c>
      <c r="AU1728" s="1" t="s">
        <v>91</v>
      </c>
      <c r="AV1728" t="s">
        <v>91</v>
      </c>
      <c r="AW1728" t="s">
        <v>91</v>
      </c>
      <c r="AX1728" t="s">
        <v>91</v>
      </c>
      <c r="AY1728" t="s">
        <v>91</v>
      </c>
      <c r="AZ1728" t="s">
        <v>91</v>
      </c>
      <c r="BA1728" t="s">
        <v>91</v>
      </c>
      <c r="BB1728" s="2">
        <v>45113.505416666667</v>
      </c>
      <c r="BC1728" s="2"/>
      <c r="BD1728" t="s">
        <v>91</v>
      </c>
      <c r="BF1728" s="1" t="s">
        <v>75</v>
      </c>
      <c r="BI1728" s="1" t="s">
        <v>88</v>
      </c>
      <c r="BJ1728">
        <v>1</v>
      </c>
      <c r="BK1728" s="1" t="s">
        <v>89</v>
      </c>
      <c r="BL1728" t="s">
        <v>91</v>
      </c>
      <c r="BM1728" s="1" t="s">
        <v>91</v>
      </c>
      <c r="BN1728" s="1" t="s">
        <v>91</v>
      </c>
      <c r="BO1728" s="1" t="s">
        <v>91</v>
      </c>
      <c r="BP1728" s="1" t="s">
        <v>91</v>
      </c>
      <c r="BQ1728" t="s">
        <v>91</v>
      </c>
      <c r="BR1728" s="3">
        <v>45113</v>
      </c>
      <c r="BS1728" s="3"/>
      <c r="BT1728" t="s">
        <v>91</v>
      </c>
      <c r="BU1728" t="s">
        <v>91</v>
      </c>
      <c r="BW1728" s="1" t="s">
        <v>728</v>
      </c>
    </row>
    <row r="1729" spans="1:75" hidden="1" x14ac:dyDescent="0.35">
      <c r="A1729">
        <v>157056</v>
      </c>
      <c r="B1729" s="1" t="s">
        <v>75</v>
      </c>
      <c r="C1729">
        <v>80</v>
      </c>
      <c r="D1729">
        <v>11121004</v>
      </c>
      <c r="E1729">
        <v>121004</v>
      </c>
      <c r="F1729" s="1" t="s">
        <v>6867</v>
      </c>
      <c r="G1729" s="1" t="s">
        <v>9190</v>
      </c>
      <c r="H1729">
        <v>0</v>
      </c>
      <c r="I1729" s="1" t="s">
        <v>78</v>
      </c>
      <c r="J1729" s="1" t="s">
        <v>9191</v>
      </c>
      <c r="K1729" s="1" t="s">
        <v>9192</v>
      </c>
      <c r="L1729" t="s">
        <v>91</v>
      </c>
      <c r="M1729" t="s">
        <v>91</v>
      </c>
      <c r="N1729" s="1" t="s">
        <v>9193</v>
      </c>
      <c r="O1729" t="s">
        <v>91</v>
      </c>
      <c r="P1729" s="1" t="s">
        <v>8457</v>
      </c>
      <c r="Q1729" s="1" t="s">
        <v>9194</v>
      </c>
      <c r="R1729" s="1" t="s">
        <v>1384</v>
      </c>
      <c r="T1729">
        <v>89010030</v>
      </c>
      <c r="U1729" s="1" t="s">
        <v>108</v>
      </c>
      <c r="V1729" s="1" t="s">
        <v>3571</v>
      </c>
      <c r="W1729" s="1" t="s">
        <v>87</v>
      </c>
      <c r="X1729">
        <v>47</v>
      </c>
      <c r="Y1729">
        <v>30353324</v>
      </c>
      <c r="Z1729" t="s">
        <v>91</v>
      </c>
      <c r="AA1729" t="s">
        <v>91</v>
      </c>
      <c r="AB1729" t="s">
        <v>91</v>
      </c>
      <c r="AC1729" t="s">
        <v>91</v>
      </c>
      <c r="AD1729" t="s">
        <v>91</v>
      </c>
      <c r="AE1729" t="s">
        <v>91</v>
      </c>
      <c r="AF1729" t="s">
        <v>91</v>
      </c>
      <c r="AG1729" s="1" t="s">
        <v>91</v>
      </c>
      <c r="AH1729" s="1" t="s">
        <v>91</v>
      </c>
      <c r="AI1729" t="s">
        <v>91</v>
      </c>
      <c r="AM1729" t="s">
        <v>91</v>
      </c>
      <c r="AN1729" t="s">
        <v>91</v>
      </c>
      <c r="AO1729" t="s">
        <v>91</v>
      </c>
      <c r="AP1729" t="s">
        <v>91</v>
      </c>
      <c r="AQ1729" s="1" t="s">
        <v>91</v>
      </c>
      <c r="AR1729" s="1" t="s">
        <v>91</v>
      </c>
      <c r="AS1729" s="1" t="s">
        <v>91</v>
      </c>
      <c r="AT1729" s="1" t="s">
        <v>91</v>
      </c>
      <c r="AU1729" s="1" t="s">
        <v>91</v>
      </c>
      <c r="AV1729" t="s">
        <v>91</v>
      </c>
      <c r="AW1729" t="s">
        <v>91</v>
      </c>
      <c r="AX1729" t="s">
        <v>91</v>
      </c>
      <c r="AY1729" t="s">
        <v>91</v>
      </c>
      <c r="AZ1729" t="s">
        <v>91</v>
      </c>
      <c r="BA1729" t="s">
        <v>91</v>
      </c>
      <c r="BB1729" s="2">
        <v>45113.505416666667</v>
      </c>
      <c r="BC1729" s="2"/>
      <c r="BD1729" t="s">
        <v>91</v>
      </c>
      <c r="BF1729" s="1" t="s">
        <v>75</v>
      </c>
      <c r="BI1729" s="1" t="s">
        <v>88</v>
      </c>
      <c r="BJ1729">
        <v>1</v>
      </c>
      <c r="BK1729" s="1" t="s">
        <v>89</v>
      </c>
      <c r="BL1729" t="s">
        <v>91</v>
      </c>
      <c r="BM1729" s="1" t="s">
        <v>91</v>
      </c>
      <c r="BN1729" s="1" t="s">
        <v>91</v>
      </c>
      <c r="BO1729" s="1" t="s">
        <v>91</v>
      </c>
      <c r="BP1729" s="1" t="s">
        <v>91</v>
      </c>
      <c r="BQ1729" t="s">
        <v>91</v>
      </c>
      <c r="BR1729" s="3">
        <v>45113</v>
      </c>
      <c r="BS1729" s="3"/>
      <c r="BT1729" t="s">
        <v>91</v>
      </c>
      <c r="BU1729" t="s">
        <v>91</v>
      </c>
      <c r="BW1729" s="1" t="s">
        <v>1469</v>
      </c>
    </row>
    <row r="1730" spans="1:75" hidden="1" x14ac:dyDescent="0.35">
      <c r="A1730">
        <v>157790</v>
      </c>
      <c r="B1730" s="1" t="s">
        <v>75</v>
      </c>
      <c r="C1730">
        <v>80</v>
      </c>
      <c r="D1730">
        <v>11121004</v>
      </c>
      <c r="E1730">
        <v>121004</v>
      </c>
      <c r="F1730" s="1" t="s">
        <v>6867</v>
      </c>
      <c r="G1730" s="1" t="s">
        <v>9195</v>
      </c>
      <c r="H1730">
        <v>0</v>
      </c>
      <c r="I1730" s="1" t="s">
        <v>78</v>
      </c>
      <c r="J1730" s="1" t="s">
        <v>9196</v>
      </c>
      <c r="K1730" s="1" t="s">
        <v>9197</v>
      </c>
      <c r="L1730" t="s">
        <v>91</v>
      </c>
      <c r="M1730" t="s">
        <v>91</v>
      </c>
      <c r="N1730" s="1" t="s">
        <v>91</v>
      </c>
      <c r="O1730" t="s">
        <v>91</v>
      </c>
      <c r="P1730" s="1" t="s">
        <v>860</v>
      </c>
      <c r="Q1730" s="1" t="s">
        <v>8747</v>
      </c>
      <c r="R1730" s="1" t="s">
        <v>954</v>
      </c>
      <c r="S1730">
        <v>1262</v>
      </c>
      <c r="T1730">
        <v>88330050</v>
      </c>
      <c r="U1730" s="1" t="s">
        <v>108</v>
      </c>
      <c r="V1730" s="1" t="s">
        <v>5871</v>
      </c>
      <c r="W1730" s="1" t="s">
        <v>87</v>
      </c>
      <c r="X1730">
        <v>47</v>
      </c>
      <c r="Y1730">
        <v>33668953</v>
      </c>
      <c r="Z1730" t="s">
        <v>91</v>
      </c>
      <c r="AA1730" t="s">
        <v>91</v>
      </c>
      <c r="AB1730" t="s">
        <v>91</v>
      </c>
      <c r="AC1730" t="s">
        <v>91</v>
      </c>
      <c r="AD1730" t="s">
        <v>91</v>
      </c>
      <c r="AE1730" t="s">
        <v>91</v>
      </c>
      <c r="AF1730" t="s">
        <v>91</v>
      </c>
      <c r="AG1730" s="1" t="s">
        <v>91</v>
      </c>
      <c r="AH1730" s="1" t="s">
        <v>91</v>
      </c>
      <c r="AI1730" t="s">
        <v>91</v>
      </c>
      <c r="AM1730" t="s">
        <v>91</v>
      </c>
      <c r="AN1730" t="s">
        <v>91</v>
      </c>
      <c r="AO1730" t="s">
        <v>91</v>
      </c>
      <c r="AP1730" t="s">
        <v>91</v>
      </c>
      <c r="AQ1730" s="1" t="s">
        <v>91</v>
      </c>
      <c r="AR1730" s="1" t="s">
        <v>91</v>
      </c>
      <c r="AS1730" s="1" t="s">
        <v>91</v>
      </c>
      <c r="AT1730" s="1" t="s">
        <v>91</v>
      </c>
      <c r="AU1730" s="1" t="s">
        <v>91</v>
      </c>
      <c r="AV1730" t="s">
        <v>91</v>
      </c>
      <c r="AW1730" t="s">
        <v>91</v>
      </c>
      <c r="AX1730" t="s">
        <v>91</v>
      </c>
      <c r="AY1730" t="s">
        <v>91</v>
      </c>
      <c r="AZ1730" t="s">
        <v>91</v>
      </c>
      <c r="BA1730" t="s">
        <v>91</v>
      </c>
      <c r="BB1730" s="2">
        <v>45118.101759259262</v>
      </c>
      <c r="BC1730" s="2"/>
      <c r="BD1730" t="s">
        <v>91</v>
      </c>
      <c r="BF1730" s="1" t="s">
        <v>75</v>
      </c>
      <c r="BI1730" s="1" t="s">
        <v>88</v>
      </c>
      <c r="BJ1730">
        <v>1</v>
      </c>
      <c r="BK1730" s="1" t="s">
        <v>89</v>
      </c>
      <c r="BL1730" t="s">
        <v>91</v>
      </c>
      <c r="BM1730" s="1" t="s">
        <v>91</v>
      </c>
      <c r="BN1730" s="1" t="s">
        <v>91</v>
      </c>
      <c r="BO1730" s="1" t="s">
        <v>91</v>
      </c>
      <c r="BP1730" s="1" t="s">
        <v>91</v>
      </c>
      <c r="BQ1730" t="s">
        <v>91</v>
      </c>
      <c r="BR1730" s="3">
        <v>45118</v>
      </c>
      <c r="BS1730" s="3"/>
      <c r="BT1730" t="s">
        <v>91</v>
      </c>
      <c r="BU1730" t="s">
        <v>91</v>
      </c>
      <c r="BW1730" s="1" t="s">
        <v>90</v>
      </c>
    </row>
    <row r="1731" spans="1:75" hidden="1" x14ac:dyDescent="0.35">
      <c r="A1731">
        <v>137939</v>
      </c>
      <c r="B1731" s="1" t="s">
        <v>75</v>
      </c>
      <c r="C1731">
        <v>80</v>
      </c>
      <c r="D1731">
        <v>11121004</v>
      </c>
      <c r="E1731">
        <v>121004</v>
      </c>
      <c r="F1731" s="1" t="s">
        <v>6867</v>
      </c>
      <c r="G1731" s="1" t="s">
        <v>9198</v>
      </c>
      <c r="H1731">
        <v>0</v>
      </c>
      <c r="I1731" s="1" t="s">
        <v>78</v>
      </c>
      <c r="J1731" s="1" t="s">
        <v>9199</v>
      </c>
      <c r="K1731" s="1" t="s">
        <v>9200</v>
      </c>
      <c r="L1731" t="s">
        <v>91</v>
      </c>
      <c r="M1731" t="s">
        <v>91</v>
      </c>
      <c r="N1731" s="1" t="s">
        <v>9201</v>
      </c>
      <c r="O1731" t="s">
        <v>91</v>
      </c>
      <c r="P1731" s="1" t="s">
        <v>7669</v>
      </c>
      <c r="Q1731" s="1" t="s">
        <v>862</v>
      </c>
      <c r="R1731" s="1" t="s">
        <v>91</v>
      </c>
      <c r="S1731">
        <v>1261</v>
      </c>
      <c r="T1731">
        <v>88303001</v>
      </c>
      <c r="U1731" s="1" t="s">
        <v>108</v>
      </c>
      <c r="V1731" s="1" t="s">
        <v>6874</v>
      </c>
      <c r="W1731" s="1" t="s">
        <v>87</v>
      </c>
      <c r="X1731">
        <v>47</v>
      </c>
      <c r="Y1731">
        <v>33484804</v>
      </c>
      <c r="Z1731" t="s">
        <v>91</v>
      </c>
      <c r="AA1731" t="s">
        <v>91</v>
      </c>
      <c r="AB1731" t="s">
        <v>91</v>
      </c>
      <c r="AC1731" t="s">
        <v>91</v>
      </c>
      <c r="AD1731" t="s">
        <v>91</v>
      </c>
      <c r="AE1731" t="s">
        <v>91</v>
      </c>
      <c r="AF1731" t="s">
        <v>91</v>
      </c>
      <c r="AG1731" s="1" t="s">
        <v>146</v>
      </c>
      <c r="AH1731" s="1" t="s">
        <v>91</v>
      </c>
      <c r="AI1731" t="s">
        <v>91</v>
      </c>
      <c r="AM1731" t="s">
        <v>91</v>
      </c>
      <c r="AN1731" t="s">
        <v>91</v>
      </c>
      <c r="AO1731" t="s">
        <v>91</v>
      </c>
      <c r="AP1731" t="s">
        <v>91</v>
      </c>
      <c r="AQ1731" s="1" t="s">
        <v>147</v>
      </c>
      <c r="AR1731" s="1" t="s">
        <v>147</v>
      </c>
      <c r="AS1731" s="1" t="s">
        <v>147</v>
      </c>
      <c r="AT1731" s="1" t="s">
        <v>147</v>
      </c>
      <c r="AU1731" s="1" t="s">
        <v>147</v>
      </c>
      <c r="AV1731" t="s">
        <v>91</v>
      </c>
      <c r="AW1731" t="s">
        <v>91</v>
      </c>
      <c r="AX1731" t="s">
        <v>91</v>
      </c>
      <c r="AY1731" t="s">
        <v>91</v>
      </c>
      <c r="AZ1731" t="s">
        <v>91</v>
      </c>
      <c r="BA1731" t="s">
        <v>91</v>
      </c>
      <c r="BB1731" s="2">
        <v>44378.578518518516</v>
      </c>
      <c r="BC1731" s="2">
        <v>44600.693368055552</v>
      </c>
      <c r="BD1731" t="s">
        <v>91</v>
      </c>
      <c r="BF1731" s="1" t="s">
        <v>75</v>
      </c>
      <c r="BH1731">
        <v>0</v>
      </c>
      <c r="BI1731" s="1" t="s">
        <v>88</v>
      </c>
      <c r="BJ1731">
        <v>1</v>
      </c>
      <c r="BK1731" s="1" t="s">
        <v>89</v>
      </c>
      <c r="BL1731" t="s">
        <v>91</v>
      </c>
      <c r="BM1731" s="1" t="s">
        <v>329</v>
      </c>
      <c r="BN1731" s="1" t="s">
        <v>110</v>
      </c>
      <c r="BO1731" s="1" t="s">
        <v>165</v>
      </c>
      <c r="BP1731" s="1" t="s">
        <v>91</v>
      </c>
      <c r="BQ1731" t="s">
        <v>91</v>
      </c>
      <c r="BR1731" s="3">
        <v>44378</v>
      </c>
      <c r="BS1731" s="3">
        <v>44600</v>
      </c>
      <c r="BT1731" t="s">
        <v>91</v>
      </c>
      <c r="BU1731" t="s">
        <v>91</v>
      </c>
      <c r="BW1731" s="1" t="s">
        <v>589</v>
      </c>
    </row>
    <row r="1732" spans="1:75" hidden="1" x14ac:dyDescent="0.35">
      <c r="A1732">
        <v>157116</v>
      </c>
      <c r="B1732" s="1" t="s">
        <v>75</v>
      </c>
      <c r="C1732">
        <v>80</v>
      </c>
      <c r="D1732">
        <v>11121004</v>
      </c>
      <c r="E1732">
        <v>121004</v>
      </c>
      <c r="F1732" s="1" t="s">
        <v>6867</v>
      </c>
      <c r="G1732" s="1" t="s">
        <v>9202</v>
      </c>
      <c r="H1732">
        <v>0</v>
      </c>
      <c r="I1732" s="1" t="s">
        <v>78</v>
      </c>
      <c r="J1732" s="1" t="s">
        <v>9203</v>
      </c>
      <c r="K1732" s="1" t="s">
        <v>9204</v>
      </c>
      <c r="L1732" t="s">
        <v>91</v>
      </c>
      <c r="M1732" t="s">
        <v>91</v>
      </c>
      <c r="N1732" s="1" t="s">
        <v>9205</v>
      </c>
      <c r="O1732" t="s">
        <v>91</v>
      </c>
      <c r="P1732" s="1" t="s">
        <v>9206</v>
      </c>
      <c r="Q1732" s="1" t="s">
        <v>9207</v>
      </c>
      <c r="R1732" s="1" t="s">
        <v>434</v>
      </c>
      <c r="S1732">
        <v>1260</v>
      </c>
      <c r="T1732">
        <v>88200000</v>
      </c>
      <c r="U1732" s="1" t="s">
        <v>108</v>
      </c>
      <c r="V1732" s="1" t="s">
        <v>6906</v>
      </c>
      <c r="W1732" s="1" t="s">
        <v>87</v>
      </c>
      <c r="X1732">
        <v>48</v>
      </c>
      <c r="Y1732">
        <v>96232051</v>
      </c>
      <c r="Z1732" t="s">
        <v>91</v>
      </c>
      <c r="AA1732" t="s">
        <v>91</v>
      </c>
      <c r="AB1732" t="s">
        <v>91</v>
      </c>
      <c r="AC1732" t="s">
        <v>91</v>
      </c>
      <c r="AD1732" t="s">
        <v>91</v>
      </c>
      <c r="AE1732" t="s">
        <v>91</v>
      </c>
      <c r="AF1732" t="s">
        <v>91</v>
      </c>
      <c r="AG1732" s="1" t="s">
        <v>91</v>
      </c>
      <c r="AH1732" s="1" t="s">
        <v>91</v>
      </c>
      <c r="AI1732" t="s">
        <v>91</v>
      </c>
      <c r="AM1732" t="s">
        <v>91</v>
      </c>
      <c r="AN1732" t="s">
        <v>91</v>
      </c>
      <c r="AO1732" t="s">
        <v>91</v>
      </c>
      <c r="AP1732" t="s">
        <v>91</v>
      </c>
      <c r="AQ1732" s="1" t="s">
        <v>91</v>
      </c>
      <c r="AR1732" s="1" t="s">
        <v>91</v>
      </c>
      <c r="AS1732" s="1" t="s">
        <v>91</v>
      </c>
      <c r="AT1732" s="1" t="s">
        <v>91</v>
      </c>
      <c r="AU1732" s="1" t="s">
        <v>91</v>
      </c>
      <c r="AV1732" t="s">
        <v>91</v>
      </c>
      <c r="AW1732" t="s">
        <v>91</v>
      </c>
      <c r="AX1732" t="s">
        <v>91</v>
      </c>
      <c r="AY1732" t="s">
        <v>91</v>
      </c>
      <c r="AZ1732" t="s">
        <v>91</v>
      </c>
      <c r="BA1732" t="s">
        <v>91</v>
      </c>
      <c r="BB1732" s="2">
        <v>45113.505416666667</v>
      </c>
      <c r="BC1732" s="2"/>
      <c r="BD1732" t="s">
        <v>91</v>
      </c>
      <c r="BF1732" s="1" t="s">
        <v>75</v>
      </c>
      <c r="BI1732" s="1" t="s">
        <v>88</v>
      </c>
      <c r="BJ1732">
        <v>1</v>
      </c>
      <c r="BK1732" s="1" t="s">
        <v>89</v>
      </c>
      <c r="BL1732" t="s">
        <v>91</v>
      </c>
      <c r="BM1732" s="1" t="s">
        <v>91</v>
      </c>
      <c r="BN1732" s="1" t="s">
        <v>91</v>
      </c>
      <c r="BO1732" s="1" t="s">
        <v>91</v>
      </c>
      <c r="BP1732" s="1" t="s">
        <v>91</v>
      </c>
      <c r="BQ1732" t="s">
        <v>91</v>
      </c>
      <c r="BR1732" s="3">
        <v>45113</v>
      </c>
      <c r="BS1732" s="3"/>
      <c r="BT1732" t="s">
        <v>91</v>
      </c>
      <c r="BU1732" t="s">
        <v>91</v>
      </c>
      <c r="BW1732" s="1" t="s">
        <v>90</v>
      </c>
    </row>
    <row r="1733" spans="1:75" hidden="1" x14ac:dyDescent="0.35">
      <c r="A1733">
        <v>117446</v>
      </c>
      <c r="B1733" s="1" t="s">
        <v>75</v>
      </c>
      <c r="C1733">
        <v>80</v>
      </c>
      <c r="D1733">
        <v>11121004</v>
      </c>
      <c r="E1733">
        <v>121004</v>
      </c>
      <c r="F1733" s="1" t="s">
        <v>6867</v>
      </c>
      <c r="G1733" s="1" t="s">
        <v>9208</v>
      </c>
      <c r="H1733">
        <v>0</v>
      </c>
      <c r="I1733" s="1" t="s">
        <v>78</v>
      </c>
      <c r="J1733" s="1" t="s">
        <v>9209</v>
      </c>
      <c r="K1733" s="1" t="s">
        <v>9210</v>
      </c>
      <c r="L1733" t="s">
        <v>91</v>
      </c>
      <c r="M1733" t="s">
        <v>91</v>
      </c>
      <c r="N1733" s="1" t="s">
        <v>7679</v>
      </c>
      <c r="O1733" t="s">
        <v>91</v>
      </c>
      <c r="P1733" s="1" t="s">
        <v>475</v>
      </c>
      <c r="Q1733" s="1" t="s">
        <v>9211</v>
      </c>
      <c r="R1733" s="1" t="s">
        <v>91</v>
      </c>
      <c r="S1733">
        <v>1269</v>
      </c>
      <c r="T1733">
        <v>88830330</v>
      </c>
      <c r="U1733" s="1" t="s">
        <v>108</v>
      </c>
      <c r="V1733" s="1" t="s">
        <v>5871</v>
      </c>
      <c r="W1733" s="1" t="s">
        <v>87</v>
      </c>
      <c r="X1733">
        <v>47</v>
      </c>
      <c r="Y1733">
        <v>33670938</v>
      </c>
      <c r="Z1733" t="s">
        <v>91</v>
      </c>
      <c r="AA1733" t="s">
        <v>91</v>
      </c>
      <c r="AB1733" t="s">
        <v>91</v>
      </c>
      <c r="AC1733" t="s">
        <v>91</v>
      </c>
      <c r="AD1733" t="s">
        <v>91</v>
      </c>
      <c r="AE1733" t="s">
        <v>91</v>
      </c>
      <c r="AF1733" t="s">
        <v>91</v>
      </c>
      <c r="AG1733" s="1" t="s">
        <v>91</v>
      </c>
      <c r="AH1733" s="1" t="s">
        <v>91</v>
      </c>
      <c r="AI1733" t="s">
        <v>91</v>
      </c>
      <c r="AJ1733">
        <v>0</v>
      </c>
      <c r="AK1733">
        <v>0</v>
      </c>
      <c r="AL1733">
        <v>0</v>
      </c>
      <c r="AM1733" t="s">
        <v>91</v>
      </c>
      <c r="AN1733" t="s">
        <v>91</v>
      </c>
      <c r="AO1733" t="s">
        <v>91</v>
      </c>
      <c r="AP1733" t="s">
        <v>91</v>
      </c>
      <c r="AQ1733" s="1" t="s">
        <v>91</v>
      </c>
      <c r="AR1733" s="1" t="s">
        <v>91</v>
      </c>
      <c r="AS1733" s="1" t="s">
        <v>91</v>
      </c>
      <c r="AT1733" s="1" t="s">
        <v>91</v>
      </c>
      <c r="AU1733" s="1" t="s">
        <v>91</v>
      </c>
      <c r="AV1733" t="s">
        <v>91</v>
      </c>
      <c r="AW1733" t="s">
        <v>91</v>
      </c>
      <c r="AX1733" t="s">
        <v>91</v>
      </c>
      <c r="AY1733" t="s">
        <v>91</v>
      </c>
      <c r="AZ1733" t="s">
        <v>91</v>
      </c>
      <c r="BA1733" t="s">
        <v>91</v>
      </c>
      <c r="BB1733" s="2">
        <v>44034.350266203706</v>
      </c>
      <c r="BC1733" s="2"/>
      <c r="BD1733" t="s">
        <v>91</v>
      </c>
      <c r="BF1733" s="1" t="s">
        <v>75</v>
      </c>
      <c r="BG1733">
        <v>0</v>
      </c>
      <c r="BH1733">
        <v>0</v>
      </c>
      <c r="BI1733" s="1" t="s">
        <v>88</v>
      </c>
      <c r="BJ1733">
        <v>1</v>
      </c>
      <c r="BK1733" s="1" t="s">
        <v>89</v>
      </c>
      <c r="BL1733" t="s">
        <v>91</v>
      </c>
      <c r="BM1733" s="1" t="s">
        <v>109</v>
      </c>
      <c r="BN1733" s="1" t="s">
        <v>110</v>
      </c>
      <c r="BO1733" s="1" t="s">
        <v>165</v>
      </c>
      <c r="BP1733" s="1" t="s">
        <v>91</v>
      </c>
      <c r="BQ1733" t="s">
        <v>91</v>
      </c>
      <c r="BR1733" s="3">
        <v>44034</v>
      </c>
      <c r="BS1733" s="3"/>
      <c r="BT1733" t="s">
        <v>91</v>
      </c>
      <c r="BU1733" t="s">
        <v>91</v>
      </c>
      <c r="BV1733">
        <v>1</v>
      </c>
      <c r="BW1733" s="1" t="s">
        <v>3738</v>
      </c>
    </row>
    <row r="1734" spans="1:75" hidden="1" x14ac:dyDescent="0.35">
      <c r="A1734">
        <v>157794</v>
      </c>
      <c r="B1734" s="1" t="s">
        <v>75</v>
      </c>
      <c r="C1734">
        <v>80</v>
      </c>
      <c r="D1734">
        <v>11121004</v>
      </c>
      <c r="E1734">
        <v>121004</v>
      </c>
      <c r="F1734" s="1" t="s">
        <v>6867</v>
      </c>
      <c r="G1734" s="1" t="s">
        <v>9212</v>
      </c>
      <c r="H1734">
        <v>0</v>
      </c>
      <c r="I1734" s="1" t="s">
        <v>78</v>
      </c>
      <c r="J1734" s="1" t="s">
        <v>9213</v>
      </c>
      <c r="K1734" s="1" t="s">
        <v>9214</v>
      </c>
      <c r="L1734" t="s">
        <v>91</v>
      </c>
      <c r="M1734" t="s">
        <v>91</v>
      </c>
      <c r="N1734" s="1" t="s">
        <v>7580</v>
      </c>
      <c r="O1734" t="s">
        <v>91</v>
      </c>
      <c r="P1734" s="1" t="s">
        <v>9215</v>
      </c>
      <c r="Q1734" s="1" t="s">
        <v>3148</v>
      </c>
      <c r="R1734" s="1" t="s">
        <v>91</v>
      </c>
      <c r="S1734">
        <v>1263</v>
      </c>
      <c r="T1734">
        <v>88370436</v>
      </c>
      <c r="U1734" s="1" t="s">
        <v>108</v>
      </c>
      <c r="V1734" s="1" t="s">
        <v>7127</v>
      </c>
      <c r="W1734" s="1" t="s">
        <v>87</v>
      </c>
      <c r="X1734">
        <v>47</v>
      </c>
      <c r="Y1734">
        <v>33196358</v>
      </c>
      <c r="Z1734" t="s">
        <v>91</v>
      </c>
      <c r="AA1734" t="s">
        <v>91</v>
      </c>
      <c r="AB1734" t="s">
        <v>91</v>
      </c>
      <c r="AC1734" t="s">
        <v>91</v>
      </c>
      <c r="AD1734" t="s">
        <v>91</v>
      </c>
      <c r="AE1734" t="s">
        <v>91</v>
      </c>
      <c r="AF1734" t="s">
        <v>91</v>
      </c>
      <c r="AG1734" s="1" t="s">
        <v>91</v>
      </c>
      <c r="AH1734" s="1" t="s">
        <v>91</v>
      </c>
      <c r="AI1734" t="s">
        <v>91</v>
      </c>
      <c r="AM1734" t="s">
        <v>91</v>
      </c>
      <c r="AN1734" t="s">
        <v>91</v>
      </c>
      <c r="AO1734" t="s">
        <v>91</v>
      </c>
      <c r="AP1734" t="s">
        <v>91</v>
      </c>
      <c r="AQ1734" s="1" t="s">
        <v>91</v>
      </c>
      <c r="AR1734" s="1" t="s">
        <v>91</v>
      </c>
      <c r="AS1734" s="1" t="s">
        <v>91</v>
      </c>
      <c r="AT1734" s="1" t="s">
        <v>91</v>
      </c>
      <c r="AU1734" s="1" t="s">
        <v>91</v>
      </c>
      <c r="AV1734" t="s">
        <v>91</v>
      </c>
      <c r="AW1734" t="s">
        <v>91</v>
      </c>
      <c r="AX1734" t="s">
        <v>91</v>
      </c>
      <c r="AY1734" t="s">
        <v>91</v>
      </c>
      <c r="AZ1734" t="s">
        <v>91</v>
      </c>
      <c r="BA1734" t="s">
        <v>91</v>
      </c>
      <c r="BB1734" s="2">
        <v>45118.101759259262</v>
      </c>
      <c r="BC1734" s="2"/>
      <c r="BD1734" t="s">
        <v>91</v>
      </c>
      <c r="BF1734" s="1" t="s">
        <v>75</v>
      </c>
      <c r="BI1734" s="1" t="s">
        <v>88</v>
      </c>
      <c r="BJ1734">
        <v>1</v>
      </c>
      <c r="BK1734" s="1" t="s">
        <v>89</v>
      </c>
      <c r="BL1734" t="s">
        <v>91</v>
      </c>
      <c r="BM1734" s="1" t="s">
        <v>91</v>
      </c>
      <c r="BN1734" s="1" t="s">
        <v>91</v>
      </c>
      <c r="BO1734" s="1" t="s">
        <v>91</v>
      </c>
      <c r="BP1734" s="1" t="s">
        <v>91</v>
      </c>
      <c r="BQ1734" t="s">
        <v>91</v>
      </c>
      <c r="BR1734" s="3">
        <v>45118</v>
      </c>
      <c r="BS1734" s="3"/>
      <c r="BT1734" t="s">
        <v>91</v>
      </c>
      <c r="BU1734" t="s">
        <v>91</v>
      </c>
      <c r="BW1734" s="1" t="s">
        <v>90</v>
      </c>
    </row>
    <row r="1735" spans="1:75" hidden="1" x14ac:dyDescent="0.35">
      <c r="A1735">
        <v>157133</v>
      </c>
      <c r="B1735" s="1" t="s">
        <v>75</v>
      </c>
      <c r="C1735">
        <v>80</v>
      </c>
      <c r="D1735">
        <v>11121004</v>
      </c>
      <c r="E1735">
        <v>121004</v>
      </c>
      <c r="F1735" s="1" t="s">
        <v>6867</v>
      </c>
      <c r="G1735" s="1" t="s">
        <v>9216</v>
      </c>
      <c r="H1735">
        <v>0</v>
      </c>
      <c r="I1735" s="1" t="s">
        <v>78</v>
      </c>
      <c r="J1735" s="1" t="s">
        <v>9217</v>
      </c>
      <c r="K1735" s="1" t="s">
        <v>9218</v>
      </c>
      <c r="L1735" t="s">
        <v>91</v>
      </c>
      <c r="M1735" t="s">
        <v>91</v>
      </c>
      <c r="N1735" s="1" t="s">
        <v>7580</v>
      </c>
      <c r="O1735" t="s">
        <v>91</v>
      </c>
      <c r="P1735" s="1" t="s">
        <v>6890</v>
      </c>
      <c r="Q1735" s="1" t="s">
        <v>83</v>
      </c>
      <c r="R1735" s="1" t="s">
        <v>9219</v>
      </c>
      <c r="S1735">
        <v>1261</v>
      </c>
      <c r="T1735">
        <v>88301100</v>
      </c>
      <c r="U1735" s="1" t="s">
        <v>108</v>
      </c>
      <c r="V1735" s="1" t="s">
        <v>6881</v>
      </c>
      <c r="W1735" s="1" t="s">
        <v>87</v>
      </c>
      <c r="X1735">
        <v>47</v>
      </c>
      <c r="Y1735">
        <v>33481260</v>
      </c>
      <c r="Z1735" t="s">
        <v>91</v>
      </c>
      <c r="AA1735" t="s">
        <v>91</v>
      </c>
      <c r="AB1735" t="s">
        <v>91</v>
      </c>
      <c r="AC1735" t="s">
        <v>91</v>
      </c>
      <c r="AD1735" t="s">
        <v>91</v>
      </c>
      <c r="AE1735" t="s">
        <v>91</v>
      </c>
      <c r="AF1735" t="s">
        <v>91</v>
      </c>
      <c r="AG1735" s="1" t="s">
        <v>91</v>
      </c>
      <c r="AH1735" s="1" t="s">
        <v>91</v>
      </c>
      <c r="AI1735" t="s">
        <v>91</v>
      </c>
      <c r="AM1735" t="s">
        <v>91</v>
      </c>
      <c r="AN1735" t="s">
        <v>91</v>
      </c>
      <c r="AO1735" t="s">
        <v>91</v>
      </c>
      <c r="AP1735" t="s">
        <v>91</v>
      </c>
      <c r="AQ1735" s="1" t="s">
        <v>91</v>
      </c>
      <c r="AR1735" s="1" t="s">
        <v>91</v>
      </c>
      <c r="AS1735" s="1" t="s">
        <v>91</v>
      </c>
      <c r="AT1735" s="1" t="s">
        <v>91</v>
      </c>
      <c r="AU1735" s="1" t="s">
        <v>91</v>
      </c>
      <c r="AV1735" t="s">
        <v>91</v>
      </c>
      <c r="AW1735" t="s">
        <v>91</v>
      </c>
      <c r="AX1735" t="s">
        <v>91</v>
      </c>
      <c r="AY1735" t="s">
        <v>91</v>
      </c>
      <c r="AZ1735" t="s">
        <v>91</v>
      </c>
      <c r="BA1735" t="s">
        <v>91</v>
      </c>
      <c r="BB1735" s="2">
        <v>45113.505416666667</v>
      </c>
      <c r="BC1735" s="2"/>
      <c r="BD1735" t="s">
        <v>91</v>
      </c>
      <c r="BF1735" s="1" t="s">
        <v>75</v>
      </c>
      <c r="BI1735" s="1" t="s">
        <v>88</v>
      </c>
      <c r="BJ1735">
        <v>1</v>
      </c>
      <c r="BK1735" s="1" t="s">
        <v>89</v>
      </c>
      <c r="BL1735" t="s">
        <v>91</v>
      </c>
      <c r="BM1735" s="1" t="s">
        <v>91</v>
      </c>
      <c r="BN1735" s="1" t="s">
        <v>91</v>
      </c>
      <c r="BO1735" s="1" t="s">
        <v>91</v>
      </c>
      <c r="BP1735" s="1" t="s">
        <v>91</v>
      </c>
      <c r="BQ1735" t="s">
        <v>91</v>
      </c>
      <c r="BR1735" s="3">
        <v>45113</v>
      </c>
      <c r="BS1735" s="3"/>
      <c r="BT1735" t="s">
        <v>91</v>
      </c>
      <c r="BU1735" t="s">
        <v>91</v>
      </c>
      <c r="BW1735" s="1" t="s">
        <v>90</v>
      </c>
    </row>
    <row r="1736" spans="1:75" hidden="1" x14ac:dyDescent="0.35">
      <c r="A1736">
        <v>137944</v>
      </c>
      <c r="B1736" s="1" t="s">
        <v>75</v>
      </c>
      <c r="C1736">
        <v>80</v>
      </c>
      <c r="D1736">
        <v>11121004</v>
      </c>
      <c r="E1736">
        <v>121004</v>
      </c>
      <c r="F1736" s="1" t="s">
        <v>6867</v>
      </c>
      <c r="G1736" s="1" t="s">
        <v>9220</v>
      </c>
      <c r="H1736">
        <v>0</v>
      </c>
      <c r="I1736" s="1" t="s">
        <v>78</v>
      </c>
      <c r="J1736" s="1" t="s">
        <v>9221</v>
      </c>
      <c r="K1736" s="1" t="s">
        <v>9222</v>
      </c>
      <c r="L1736" t="s">
        <v>91</v>
      </c>
      <c r="M1736" t="s">
        <v>91</v>
      </c>
      <c r="N1736" s="1" t="s">
        <v>9223</v>
      </c>
      <c r="O1736" t="s">
        <v>91</v>
      </c>
      <c r="P1736" s="1" t="s">
        <v>475</v>
      </c>
      <c r="Q1736" s="1" t="s">
        <v>1299</v>
      </c>
      <c r="R1736" s="1" t="s">
        <v>91</v>
      </c>
      <c r="S1736">
        <v>1262</v>
      </c>
      <c r="T1736">
        <v>88330657</v>
      </c>
      <c r="U1736" s="1" t="s">
        <v>108</v>
      </c>
      <c r="V1736" s="1" t="s">
        <v>6898</v>
      </c>
      <c r="W1736" s="1" t="s">
        <v>87</v>
      </c>
      <c r="X1736">
        <v>47</v>
      </c>
      <c r="Y1736">
        <v>33675264</v>
      </c>
      <c r="Z1736" t="s">
        <v>91</v>
      </c>
      <c r="AA1736" t="s">
        <v>91</v>
      </c>
      <c r="AB1736" t="s">
        <v>91</v>
      </c>
      <c r="AC1736" t="s">
        <v>91</v>
      </c>
      <c r="AD1736" t="s">
        <v>91</v>
      </c>
      <c r="AE1736" t="s">
        <v>91</v>
      </c>
      <c r="AF1736" t="s">
        <v>91</v>
      </c>
      <c r="AG1736" s="1" t="s">
        <v>146</v>
      </c>
      <c r="AH1736" s="1" t="s">
        <v>91</v>
      </c>
      <c r="AI1736" t="s">
        <v>91</v>
      </c>
      <c r="AM1736" t="s">
        <v>91</v>
      </c>
      <c r="AN1736" t="s">
        <v>91</v>
      </c>
      <c r="AO1736" t="s">
        <v>91</v>
      </c>
      <c r="AP1736" t="s">
        <v>91</v>
      </c>
      <c r="AQ1736" s="1" t="s">
        <v>147</v>
      </c>
      <c r="AR1736" s="1" t="s">
        <v>147</v>
      </c>
      <c r="AS1736" s="1" t="s">
        <v>147</v>
      </c>
      <c r="AT1736" s="1" t="s">
        <v>147</v>
      </c>
      <c r="AU1736" s="1" t="s">
        <v>147</v>
      </c>
      <c r="AV1736" t="s">
        <v>91</v>
      </c>
      <c r="AW1736" t="s">
        <v>91</v>
      </c>
      <c r="AX1736" t="s">
        <v>91</v>
      </c>
      <c r="AY1736" t="s">
        <v>91</v>
      </c>
      <c r="AZ1736" t="s">
        <v>91</v>
      </c>
      <c r="BA1736" t="s">
        <v>91</v>
      </c>
      <c r="BB1736" s="2">
        <v>44378.578518518516</v>
      </c>
      <c r="BC1736" s="2">
        <v>45126.725185185183</v>
      </c>
      <c r="BD1736" t="s">
        <v>91</v>
      </c>
      <c r="BF1736" s="1" t="s">
        <v>75</v>
      </c>
      <c r="BH1736">
        <v>0</v>
      </c>
      <c r="BI1736" s="1" t="s">
        <v>721</v>
      </c>
      <c r="BJ1736">
        <v>1</v>
      </c>
      <c r="BK1736" s="1" t="s">
        <v>89</v>
      </c>
      <c r="BL1736" t="s">
        <v>91</v>
      </c>
      <c r="BM1736" s="1" t="s">
        <v>329</v>
      </c>
      <c r="BN1736" s="1" t="s">
        <v>110</v>
      </c>
      <c r="BO1736" s="1" t="s">
        <v>165</v>
      </c>
      <c r="BP1736" s="1" t="s">
        <v>91</v>
      </c>
      <c r="BQ1736" t="s">
        <v>91</v>
      </c>
      <c r="BR1736" s="3">
        <v>44378</v>
      </c>
      <c r="BS1736" s="3">
        <v>45126</v>
      </c>
      <c r="BT1736" t="s">
        <v>91</v>
      </c>
      <c r="BU1736" t="s">
        <v>91</v>
      </c>
      <c r="BW1736" s="1" t="s">
        <v>589</v>
      </c>
    </row>
    <row r="1737" spans="1:75" hidden="1" x14ac:dyDescent="0.35">
      <c r="A1737">
        <v>158711</v>
      </c>
      <c r="B1737" s="1" t="s">
        <v>75</v>
      </c>
      <c r="C1737">
        <v>80</v>
      </c>
      <c r="D1737">
        <v>11121004</v>
      </c>
      <c r="E1737">
        <v>121004</v>
      </c>
      <c r="F1737" s="1" t="s">
        <v>6867</v>
      </c>
      <c r="G1737" s="1" t="s">
        <v>9224</v>
      </c>
      <c r="I1737" s="1" t="s">
        <v>78</v>
      </c>
      <c r="J1737" s="1" t="s">
        <v>9225</v>
      </c>
      <c r="K1737" s="1" t="s">
        <v>9226</v>
      </c>
      <c r="L1737" t="s">
        <v>91</v>
      </c>
      <c r="M1737" t="s">
        <v>91</v>
      </c>
      <c r="N1737" s="1" t="s">
        <v>9227</v>
      </c>
      <c r="O1737" t="s">
        <v>91</v>
      </c>
      <c r="P1737" s="1" t="s">
        <v>2705</v>
      </c>
      <c r="Q1737" s="1" t="s">
        <v>6885</v>
      </c>
      <c r="R1737" s="1" t="s">
        <v>91</v>
      </c>
      <c r="S1737">
        <v>1271</v>
      </c>
      <c r="T1737">
        <v>89010003</v>
      </c>
      <c r="U1737" s="1" t="s">
        <v>108</v>
      </c>
      <c r="V1737" s="1" t="s">
        <v>3571</v>
      </c>
      <c r="W1737" s="1" t="s">
        <v>87</v>
      </c>
      <c r="X1737">
        <v>47</v>
      </c>
      <c r="Y1737">
        <v>92085825</v>
      </c>
      <c r="Z1737" t="s">
        <v>91</v>
      </c>
      <c r="AA1737" t="s">
        <v>91</v>
      </c>
      <c r="AB1737" t="s">
        <v>91</v>
      </c>
      <c r="AC1737" t="s">
        <v>91</v>
      </c>
      <c r="AD1737" t="s">
        <v>91</v>
      </c>
      <c r="AE1737" t="s">
        <v>91</v>
      </c>
      <c r="AF1737" t="s">
        <v>91</v>
      </c>
      <c r="AG1737" s="1" t="s">
        <v>91</v>
      </c>
      <c r="AH1737" s="1" t="s">
        <v>91</v>
      </c>
      <c r="AI1737" t="s">
        <v>91</v>
      </c>
      <c r="AM1737" t="s">
        <v>91</v>
      </c>
      <c r="AN1737" t="s">
        <v>91</v>
      </c>
      <c r="AO1737" t="s">
        <v>91</v>
      </c>
      <c r="AP1737" t="s">
        <v>91</v>
      </c>
      <c r="AQ1737" s="1" t="s">
        <v>91</v>
      </c>
      <c r="AR1737" s="1" t="s">
        <v>91</v>
      </c>
      <c r="AS1737" s="1" t="s">
        <v>91</v>
      </c>
      <c r="AT1737" s="1" t="s">
        <v>91</v>
      </c>
      <c r="AU1737" s="1" t="s">
        <v>91</v>
      </c>
      <c r="AV1737" t="s">
        <v>91</v>
      </c>
      <c r="AW1737" t="s">
        <v>91</v>
      </c>
      <c r="AX1737" t="s">
        <v>91</v>
      </c>
      <c r="AY1737" t="s">
        <v>91</v>
      </c>
      <c r="AZ1737" t="s">
        <v>91</v>
      </c>
      <c r="BA1737" t="s">
        <v>91</v>
      </c>
      <c r="BB1737" s="2">
        <v>45155.700069444443</v>
      </c>
      <c r="BC1737" s="2"/>
      <c r="BD1737" t="s">
        <v>91</v>
      </c>
      <c r="BF1737" s="1" t="s">
        <v>75</v>
      </c>
      <c r="BI1737" s="1" t="s">
        <v>88</v>
      </c>
      <c r="BJ1737">
        <v>1</v>
      </c>
      <c r="BK1737" s="1" t="s">
        <v>89</v>
      </c>
      <c r="BL1737" t="s">
        <v>91</v>
      </c>
      <c r="BM1737" s="1" t="s">
        <v>91</v>
      </c>
      <c r="BN1737" s="1" t="s">
        <v>91</v>
      </c>
      <c r="BO1737" s="1" t="s">
        <v>91</v>
      </c>
      <c r="BP1737" s="1" t="s">
        <v>91</v>
      </c>
      <c r="BQ1737" t="s">
        <v>91</v>
      </c>
      <c r="BR1737" s="3">
        <v>45155</v>
      </c>
      <c r="BS1737" s="3"/>
      <c r="BT1737" t="s">
        <v>91</v>
      </c>
      <c r="BU1737" t="s">
        <v>91</v>
      </c>
      <c r="BW1737" s="1" t="s">
        <v>90</v>
      </c>
    </row>
    <row r="1738" spans="1:75" hidden="1" x14ac:dyDescent="0.35">
      <c r="A1738">
        <v>137945</v>
      </c>
      <c r="B1738" s="1" t="s">
        <v>75</v>
      </c>
      <c r="C1738">
        <v>80</v>
      </c>
      <c r="D1738">
        <v>11121004</v>
      </c>
      <c r="E1738">
        <v>121004</v>
      </c>
      <c r="F1738" s="1" t="s">
        <v>6867</v>
      </c>
      <c r="G1738" s="1" t="s">
        <v>9228</v>
      </c>
      <c r="H1738">
        <v>0</v>
      </c>
      <c r="I1738" s="1" t="s">
        <v>78</v>
      </c>
      <c r="J1738" s="1" t="s">
        <v>9229</v>
      </c>
      <c r="K1738" s="1" t="s">
        <v>9230</v>
      </c>
      <c r="L1738" t="s">
        <v>91</v>
      </c>
      <c r="M1738" t="s">
        <v>91</v>
      </c>
      <c r="N1738" s="1" t="s">
        <v>9231</v>
      </c>
      <c r="O1738" t="s">
        <v>91</v>
      </c>
      <c r="P1738" s="1" t="s">
        <v>2705</v>
      </c>
      <c r="Q1738" s="1" t="s">
        <v>9232</v>
      </c>
      <c r="R1738" s="1" t="s">
        <v>91</v>
      </c>
      <c r="S1738">
        <v>1271</v>
      </c>
      <c r="T1738">
        <v>89010003</v>
      </c>
      <c r="U1738" s="1" t="s">
        <v>108</v>
      </c>
      <c r="V1738" s="1" t="s">
        <v>3571</v>
      </c>
      <c r="W1738" s="1" t="s">
        <v>87</v>
      </c>
      <c r="X1738">
        <v>47</v>
      </c>
      <c r="Y1738">
        <v>33224259</v>
      </c>
      <c r="Z1738" t="s">
        <v>91</v>
      </c>
      <c r="AA1738" t="s">
        <v>91</v>
      </c>
      <c r="AB1738" t="s">
        <v>91</v>
      </c>
      <c r="AC1738" t="s">
        <v>91</v>
      </c>
      <c r="AD1738" t="s">
        <v>91</v>
      </c>
      <c r="AE1738" t="s">
        <v>91</v>
      </c>
      <c r="AF1738" t="s">
        <v>91</v>
      </c>
      <c r="AG1738" s="1" t="s">
        <v>146</v>
      </c>
      <c r="AH1738" s="1" t="s">
        <v>91</v>
      </c>
      <c r="AI1738" t="s">
        <v>91</v>
      </c>
      <c r="AM1738" t="s">
        <v>91</v>
      </c>
      <c r="AN1738" t="s">
        <v>91</v>
      </c>
      <c r="AO1738" t="s">
        <v>91</v>
      </c>
      <c r="AP1738" t="s">
        <v>91</v>
      </c>
      <c r="AQ1738" s="1" t="s">
        <v>147</v>
      </c>
      <c r="AR1738" s="1" t="s">
        <v>147</v>
      </c>
      <c r="AS1738" s="1" t="s">
        <v>147</v>
      </c>
      <c r="AT1738" s="1" t="s">
        <v>147</v>
      </c>
      <c r="AU1738" s="1" t="s">
        <v>147</v>
      </c>
      <c r="AV1738" t="s">
        <v>91</v>
      </c>
      <c r="AW1738" t="s">
        <v>91</v>
      </c>
      <c r="AX1738" t="s">
        <v>91</v>
      </c>
      <c r="AY1738" t="s">
        <v>91</v>
      </c>
      <c r="AZ1738" t="s">
        <v>91</v>
      </c>
      <c r="BA1738" t="s">
        <v>91</v>
      </c>
      <c r="BB1738" s="2">
        <v>44378.578518518516</v>
      </c>
      <c r="BC1738" s="2">
        <v>44631.616446759261</v>
      </c>
      <c r="BD1738" t="s">
        <v>91</v>
      </c>
      <c r="BF1738" s="1" t="s">
        <v>75</v>
      </c>
      <c r="BH1738">
        <v>0</v>
      </c>
      <c r="BI1738" s="1" t="s">
        <v>88</v>
      </c>
      <c r="BJ1738">
        <v>1</v>
      </c>
      <c r="BK1738" s="1" t="s">
        <v>89</v>
      </c>
      <c r="BL1738" t="s">
        <v>91</v>
      </c>
      <c r="BM1738" s="1" t="s">
        <v>329</v>
      </c>
      <c r="BN1738" s="1" t="s">
        <v>110</v>
      </c>
      <c r="BO1738" s="1" t="s">
        <v>165</v>
      </c>
      <c r="BP1738" s="1" t="s">
        <v>91</v>
      </c>
      <c r="BQ1738" t="s">
        <v>91</v>
      </c>
      <c r="BR1738" s="3">
        <v>44378</v>
      </c>
      <c r="BS1738" s="3">
        <v>44631</v>
      </c>
      <c r="BT1738" t="s">
        <v>91</v>
      </c>
      <c r="BU1738" t="s">
        <v>91</v>
      </c>
      <c r="BW1738" s="1" t="s">
        <v>1254</v>
      </c>
    </row>
    <row r="1739" spans="1:75" hidden="1" x14ac:dyDescent="0.35">
      <c r="A1739">
        <v>157057</v>
      </c>
      <c r="B1739" s="1" t="s">
        <v>75</v>
      </c>
      <c r="C1739">
        <v>80</v>
      </c>
      <c r="D1739">
        <v>11121004</v>
      </c>
      <c r="E1739">
        <v>121004</v>
      </c>
      <c r="F1739" s="1" t="s">
        <v>6867</v>
      </c>
      <c r="G1739" s="1" t="s">
        <v>9233</v>
      </c>
      <c r="H1739">
        <v>0</v>
      </c>
      <c r="I1739" s="1" t="s">
        <v>78</v>
      </c>
      <c r="J1739" s="1" t="s">
        <v>9234</v>
      </c>
      <c r="K1739" s="1" t="s">
        <v>9235</v>
      </c>
      <c r="L1739" t="s">
        <v>91</v>
      </c>
      <c r="M1739" t="s">
        <v>91</v>
      </c>
      <c r="N1739" s="1" t="s">
        <v>9236</v>
      </c>
      <c r="O1739" t="s">
        <v>91</v>
      </c>
      <c r="P1739" s="1" t="s">
        <v>9237</v>
      </c>
      <c r="Q1739" s="1" t="s">
        <v>3713</v>
      </c>
      <c r="R1739" s="1" t="s">
        <v>9238</v>
      </c>
      <c r="S1739">
        <v>1275</v>
      </c>
      <c r="T1739">
        <v>89121000</v>
      </c>
      <c r="U1739" s="1" t="s">
        <v>108</v>
      </c>
      <c r="V1739" s="1" t="s">
        <v>7921</v>
      </c>
      <c r="W1739" s="1" t="s">
        <v>87</v>
      </c>
      <c r="X1739">
        <v>47</v>
      </c>
      <c r="Y1739">
        <v>33269167</v>
      </c>
      <c r="Z1739" t="s">
        <v>91</v>
      </c>
      <c r="AA1739" t="s">
        <v>91</v>
      </c>
      <c r="AB1739" t="s">
        <v>91</v>
      </c>
      <c r="AC1739" t="s">
        <v>91</v>
      </c>
      <c r="AD1739" t="s">
        <v>91</v>
      </c>
      <c r="AE1739" t="s">
        <v>91</v>
      </c>
      <c r="AF1739" t="s">
        <v>91</v>
      </c>
      <c r="AG1739" s="1" t="s">
        <v>91</v>
      </c>
      <c r="AH1739" s="1" t="s">
        <v>91</v>
      </c>
      <c r="AI1739" t="s">
        <v>91</v>
      </c>
      <c r="AM1739" t="s">
        <v>91</v>
      </c>
      <c r="AN1739" t="s">
        <v>91</v>
      </c>
      <c r="AO1739" t="s">
        <v>91</v>
      </c>
      <c r="AP1739" t="s">
        <v>91</v>
      </c>
      <c r="AQ1739" s="1" t="s">
        <v>91</v>
      </c>
      <c r="AR1739" s="1" t="s">
        <v>91</v>
      </c>
      <c r="AS1739" s="1" t="s">
        <v>91</v>
      </c>
      <c r="AT1739" s="1" t="s">
        <v>91</v>
      </c>
      <c r="AU1739" s="1" t="s">
        <v>91</v>
      </c>
      <c r="AV1739" t="s">
        <v>91</v>
      </c>
      <c r="AW1739" t="s">
        <v>91</v>
      </c>
      <c r="AX1739" t="s">
        <v>91</v>
      </c>
      <c r="AY1739" t="s">
        <v>91</v>
      </c>
      <c r="AZ1739" t="s">
        <v>91</v>
      </c>
      <c r="BA1739" t="s">
        <v>91</v>
      </c>
      <c r="BB1739" s="2">
        <v>45113.505416666667</v>
      </c>
      <c r="BC1739" s="2"/>
      <c r="BD1739" t="s">
        <v>91</v>
      </c>
      <c r="BF1739" s="1" t="s">
        <v>75</v>
      </c>
      <c r="BI1739" s="1" t="s">
        <v>88</v>
      </c>
      <c r="BJ1739">
        <v>1</v>
      </c>
      <c r="BK1739" s="1" t="s">
        <v>89</v>
      </c>
      <c r="BL1739" t="s">
        <v>91</v>
      </c>
      <c r="BM1739" s="1" t="s">
        <v>91</v>
      </c>
      <c r="BN1739" s="1" t="s">
        <v>91</v>
      </c>
      <c r="BO1739" s="1" t="s">
        <v>91</v>
      </c>
      <c r="BP1739" s="1" t="s">
        <v>91</v>
      </c>
      <c r="BQ1739" t="s">
        <v>91</v>
      </c>
      <c r="BR1739" s="3">
        <v>45113</v>
      </c>
      <c r="BS1739" s="3"/>
      <c r="BT1739" t="s">
        <v>91</v>
      </c>
      <c r="BU1739" t="s">
        <v>91</v>
      </c>
      <c r="BW1739" s="1" t="s">
        <v>708</v>
      </c>
    </row>
    <row r="1740" spans="1:75" hidden="1" x14ac:dyDescent="0.35">
      <c r="A1740">
        <v>137946</v>
      </c>
      <c r="B1740" s="1" t="s">
        <v>75</v>
      </c>
      <c r="C1740">
        <v>80</v>
      </c>
      <c r="D1740">
        <v>11121004</v>
      </c>
      <c r="E1740">
        <v>121004</v>
      </c>
      <c r="F1740" s="1" t="s">
        <v>6867</v>
      </c>
      <c r="G1740" s="1" t="s">
        <v>9239</v>
      </c>
      <c r="H1740">
        <v>0</v>
      </c>
      <c r="I1740" s="1" t="s">
        <v>78</v>
      </c>
      <c r="J1740" s="1" t="s">
        <v>9240</v>
      </c>
      <c r="K1740" s="1" t="s">
        <v>9241</v>
      </c>
      <c r="L1740" t="s">
        <v>91</v>
      </c>
      <c r="M1740" t="s">
        <v>91</v>
      </c>
      <c r="N1740" s="1" t="s">
        <v>9242</v>
      </c>
      <c r="O1740" t="s">
        <v>91</v>
      </c>
      <c r="P1740" s="1" t="s">
        <v>8176</v>
      </c>
      <c r="Q1740" s="1" t="s">
        <v>589</v>
      </c>
      <c r="R1740" s="1" t="s">
        <v>91</v>
      </c>
      <c r="S1740">
        <v>1271</v>
      </c>
      <c r="T1740">
        <v>89010080</v>
      </c>
      <c r="U1740" s="1" t="s">
        <v>108</v>
      </c>
      <c r="V1740" s="1" t="s">
        <v>3571</v>
      </c>
      <c r="W1740" s="1" t="s">
        <v>87</v>
      </c>
      <c r="X1740">
        <v>47</v>
      </c>
      <c r="Y1740">
        <v>33408042</v>
      </c>
      <c r="Z1740" t="s">
        <v>91</v>
      </c>
      <c r="AA1740" t="s">
        <v>91</v>
      </c>
      <c r="AB1740" t="s">
        <v>91</v>
      </c>
      <c r="AC1740" t="s">
        <v>91</v>
      </c>
      <c r="AD1740" t="s">
        <v>91</v>
      </c>
      <c r="AE1740" t="s">
        <v>91</v>
      </c>
      <c r="AF1740" t="s">
        <v>91</v>
      </c>
      <c r="AG1740" s="1" t="s">
        <v>146</v>
      </c>
      <c r="AH1740" s="1" t="s">
        <v>91</v>
      </c>
      <c r="AI1740" t="s">
        <v>91</v>
      </c>
      <c r="AM1740" t="s">
        <v>91</v>
      </c>
      <c r="AN1740" t="s">
        <v>91</v>
      </c>
      <c r="AO1740" t="s">
        <v>91</v>
      </c>
      <c r="AP1740" t="s">
        <v>91</v>
      </c>
      <c r="AQ1740" s="1" t="s">
        <v>147</v>
      </c>
      <c r="AR1740" s="1" t="s">
        <v>147</v>
      </c>
      <c r="AS1740" s="1" t="s">
        <v>147</v>
      </c>
      <c r="AT1740" s="1" t="s">
        <v>147</v>
      </c>
      <c r="AU1740" s="1" t="s">
        <v>147</v>
      </c>
      <c r="AV1740" t="s">
        <v>91</v>
      </c>
      <c r="AW1740" t="s">
        <v>91</v>
      </c>
      <c r="AX1740" t="s">
        <v>91</v>
      </c>
      <c r="AY1740" t="s">
        <v>91</v>
      </c>
      <c r="AZ1740" t="s">
        <v>91</v>
      </c>
      <c r="BA1740" t="s">
        <v>91</v>
      </c>
      <c r="BB1740" s="2">
        <v>44378.578518518516</v>
      </c>
      <c r="BC1740" s="2">
        <v>44656.694201388891</v>
      </c>
      <c r="BD1740" t="s">
        <v>91</v>
      </c>
      <c r="BF1740" s="1" t="s">
        <v>75</v>
      </c>
      <c r="BH1740">
        <v>0</v>
      </c>
      <c r="BI1740" s="1" t="s">
        <v>88</v>
      </c>
      <c r="BJ1740">
        <v>1</v>
      </c>
      <c r="BK1740" s="1" t="s">
        <v>89</v>
      </c>
      <c r="BL1740" t="s">
        <v>91</v>
      </c>
      <c r="BM1740" s="1" t="s">
        <v>164</v>
      </c>
      <c r="BN1740" s="1" t="s">
        <v>110</v>
      </c>
      <c r="BO1740" s="1" t="s">
        <v>165</v>
      </c>
      <c r="BP1740" s="1" t="s">
        <v>91</v>
      </c>
      <c r="BQ1740" t="s">
        <v>91</v>
      </c>
      <c r="BR1740" s="3">
        <v>44378</v>
      </c>
      <c r="BS1740" s="3">
        <v>44656</v>
      </c>
      <c r="BT1740" t="s">
        <v>91</v>
      </c>
      <c r="BU1740" t="s">
        <v>91</v>
      </c>
      <c r="BW1740" s="1" t="s">
        <v>1171</v>
      </c>
    </row>
    <row r="1741" spans="1:75" hidden="1" x14ac:dyDescent="0.35">
      <c r="A1741">
        <v>137947</v>
      </c>
      <c r="B1741" s="1" t="s">
        <v>75</v>
      </c>
      <c r="C1741">
        <v>80</v>
      </c>
      <c r="D1741">
        <v>11121004</v>
      </c>
      <c r="E1741">
        <v>121004</v>
      </c>
      <c r="F1741" s="1" t="s">
        <v>6867</v>
      </c>
      <c r="G1741" s="1" t="s">
        <v>9243</v>
      </c>
      <c r="H1741">
        <v>0</v>
      </c>
      <c r="I1741" s="1" t="s">
        <v>78</v>
      </c>
      <c r="J1741" s="1" t="s">
        <v>9244</v>
      </c>
      <c r="K1741" s="1" t="s">
        <v>9245</v>
      </c>
      <c r="L1741" t="s">
        <v>91</v>
      </c>
      <c r="M1741" t="s">
        <v>91</v>
      </c>
      <c r="N1741" s="1" t="s">
        <v>9246</v>
      </c>
      <c r="O1741" t="s">
        <v>91</v>
      </c>
      <c r="P1741" s="1" t="s">
        <v>1210</v>
      </c>
      <c r="Q1741" s="1" t="s">
        <v>1899</v>
      </c>
      <c r="R1741" s="1" t="s">
        <v>9247</v>
      </c>
      <c r="T1741">
        <v>89080024</v>
      </c>
      <c r="U1741" s="1" t="s">
        <v>108</v>
      </c>
      <c r="V1741" s="1" t="s">
        <v>7659</v>
      </c>
      <c r="W1741" s="1" t="s">
        <v>87</v>
      </c>
      <c r="X1741">
        <v>47</v>
      </c>
      <c r="Y1741">
        <v>33942993</v>
      </c>
      <c r="Z1741" t="s">
        <v>91</v>
      </c>
      <c r="AA1741" t="s">
        <v>91</v>
      </c>
      <c r="AB1741" t="s">
        <v>91</v>
      </c>
      <c r="AC1741" t="s">
        <v>91</v>
      </c>
      <c r="AD1741" t="s">
        <v>91</v>
      </c>
      <c r="AE1741" t="s">
        <v>91</v>
      </c>
      <c r="AF1741" t="s">
        <v>91</v>
      </c>
      <c r="AG1741" s="1" t="s">
        <v>146</v>
      </c>
      <c r="AH1741" s="1" t="s">
        <v>91</v>
      </c>
      <c r="AI1741" t="s">
        <v>91</v>
      </c>
      <c r="AM1741" t="s">
        <v>91</v>
      </c>
      <c r="AN1741" t="s">
        <v>91</v>
      </c>
      <c r="AO1741" t="s">
        <v>91</v>
      </c>
      <c r="AP1741" t="s">
        <v>91</v>
      </c>
      <c r="AQ1741" s="1" t="s">
        <v>147</v>
      </c>
      <c r="AR1741" s="1" t="s">
        <v>147</v>
      </c>
      <c r="AS1741" s="1" t="s">
        <v>147</v>
      </c>
      <c r="AT1741" s="1" t="s">
        <v>147</v>
      </c>
      <c r="AU1741" s="1" t="s">
        <v>147</v>
      </c>
      <c r="AV1741" t="s">
        <v>91</v>
      </c>
      <c r="AW1741" t="s">
        <v>91</v>
      </c>
      <c r="AX1741" t="s">
        <v>91</v>
      </c>
      <c r="AY1741" t="s">
        <v>91</v>
      </c>
      <c r="AZ1741" t="s">
        <v>91</v>
      </c>
      <c r="BA1741" t="s">
        <v>91</v>
      </c>
      <c r="BB1741" s="2">
        <v>44378.578518518516</v>
      </c>
      <c r="BC1741" s="2">
        <v>44581.642222222225</v>
      </c>
      <c r="BD1741" t="s">
        <v>91</v>
      </c>
      <c r="BF1741" s="1" t="s">
        <v>75</v>
      </c>
      <c r="BH1741">
        <v>0</v>
      </c>
      <c r="BI1741" s="1" t="s">
        <v>88</v>
      </c>
      <c r="BJ1741">
        <v>1</v>
      </c>
      <c r="BK1741" s="1" t="s">
        <v>89</v>
      </c>
      <c r="BL1741" t="s">
        <v>91</v>
      </c>
      <c r="BM1741" s="1" t="s">
        <v>164</v>
      </c>
      <c r="BN1741" s="1" t="s">
        <v>110</v>
      </c>
      <c r="BO1741" s="1" t="s">
        <v>165</v>
      </c>
      <c r="BP1741" s="1" t="s">
        <v>91</v>
      </c>
      <c r="BQ1741" t="s">
        <v>91</v>
      </c>
      <c r="BR1741" s="3">
        <v>44378</v>
      </c>
      <c r="BS1741" s="3">
        <v>44581</v>
      </c>
      <c r="BT1741" t="s">
        <v>91</v>
      </c>
      <c r="BU1741" t="s">
        <v>91</v>
      </c>
      <c r="BW1741" s="1" t="s">
        <v>1575</v>
      </c>
    </row>
    <row r="1742" spans="1:75" hidden="1" x14ac:dyDescent="0.35">
      <c r="A1742">
        <v>137948</v>
      </c>
      <c r="B1742" s="1" t="s">
        <v>75</v>
      </c>
      <c r="C1742">
        <v>80</v>
      </c>
      <c r="D1742">
        <v>11121004</v>
      </c>
      <c r="E1742">
        <v>121004</v>
      </c>
      <c r="F1742" s="1" t="s">
        <v>6867</v>
      </c>
      <c r="G1742" s="1" t="s">
        <v>9248</v>
      </c>
      <c r="H1742">
        <v>0</v>
      </c>
      <c r="I1742" s="1" t="s">
        <v>78</v>
      </c>
      <c r="J1742" s="1" t="s">
        <v>9249</v>
      </c>
      <c r="K1742" s="1" t="s">
        <v>9250</v>
      </c>
      <c r="L1742" t="s">
        <v>91</v>
      </c>
      <c r="M1742" t="s">
        <v>91</v>
      </c>
      <c r="N1742" s="1" t="s">
        <v>9251</v>
      </c>
      <c r="O1742" t="s">
        <v>91</v>
      </c>
      <c r="P1742" s="1" t="s">
        <v>9252</v>
      </c>
      <c r="Q1742" s="1" t="s">
        <v>3894</v>
      </c>
      <c r="R1742" s="1" t="s">
        <v>91</v>
      </c>
      <c r="S1742">
        <v>1264</v>
      </c>
      <c r="T1742">
        <v>88400970</v>
      </c>
      <c r="U1742" s="1" t="s">
        <v>108</v>
      </c>
      <c r="V1742" s="1" t="s">
        <v>7470</v>
      </c>
      <c r="W1742" s="1" t="s">
        <v>87</v>
      </c>
      <c r="X1742">
        <v>47</v>
      </c>
      <c r="Y1742">
        <v>35331640</v>
      </c>
      <c r="Z1742" t="s">
        <v>91</v>
      </c>
      <c r="AA1742" t="s">
        <v>91</v>
      </c>
      <c r="AB1742" t="s">
        <v>91</v>
      </c>
      <c r="AC1742" t="s">
        <v>91</v>
      </c>
      <c r="AD1742" t="s">
        <v>91</v>
      </c>
      <c r="AE1742" t="s">
        <v>91</v>
      </c>
      <c r="AF1742" t="s">
        <v>91</v>
      </c>
      <c r="AG1742" s="1" t="s">
        <v>146</v>
      </c>
      <c r="AH1742" s="1" t="s">
        <v>91</v>
      </c>
      <c r="AI1742" t="s">
        <v>91</v>
      </c>
      <c r="AM1742" t="s">
        <v>91</v>
      </c>
      <c r="AN1742" t="s">
        <v>91</v>
      </c>
      <c r="AO1742" t="s">
        <v>91</v>
      </c>
      <c r="AP1742" t="s">
        <v>91</v>
      </c>
      <c r="AQ1742" s="1" t="s">
        <v>147</v>
      </c>
      <c r="AR1742" s="1" t="s">
        <v>147</v>
      </c>
      <c r="AS1742" s="1" t="s">
        <v>147</v>
      </c>
      <c r="AT1742" s="1" t="s">
        <v>147</v>
      </c>
      <c r="AU1742" s="1" t="s">
        <v>147</v>
      </c>
      <c r="AV1742" t="s">
        <v>91</v>
      </c>
      <c r="AW1742" t="s">
        <v>91</v>
      </c>
      <c r="AX1742" t="s">
        <v>91</v>
      </c>
      <c r="AY1742" t="s">
        <v>91</v>
      </c>
      <c r="AZ1742" t="s">
        <v>91</v>
      </c>
      <c r="BA1742" t="s">
        <v>91</v>
      </c>
      <c r="BB1742" s="2">
        <v>44378.578518518516</v>
      </c>
      <c r="BC1742" s="2">
        <v>45118.702118055553</v>
      </c>
      <c r="BD1742" t="s">
        <v>91</v>
      </c>
      <c r="BF1742" s="1" t="s">
        <v>75</v>
      </c>
      <c r="BH1742">
        <v>0</v>
      </c>
      <c r="BI1742" s="1" t="s">
        <v>721</v>
      </c>
      <c r="BJ1742">
        <v>1</v>
      </c>
      <c r="BK1742" s="1" t="s">
        <v>89</v>
      </c>
      <c r="BL1742" t="s">
        <v>91</v>
      </c>
      <c r="BM1742" s="1" t="s">
        <v>639</v>
      </c>
      <c r="BN1742" s="1" t="s">
        <v>110</v>
      </c>
      <c r="BO1742" s="1" t="s">
        <v>165</v>
      </c>
      <c r="BP1742" s="1" t="s">
        <v>91</v>
      </c>
      <c r="BQ1742" t="s">
        <v>91</v>
      </c>
      <c r="BR1742" s="3">
        <v>44378</v>
      </c>
      <c r="BS1742" s="3">
        <v>45118</v>
      </c>
      <c r="BT1742" t="s">
        <v>91</v>
      </c>
      <c r="BU1742" t="s">
        <v>91</v>
      </c>
      <c r="BW1742" s="1" t="s">
        <v>295</v>
      </c>
    </row>
    <row r="1743" spans="1:75" hidden="1" x14ac:dyDescent="0.35">
      <c r="A1743">
        <v>157113</v>
      </c>
      <c r="B1743" s="1" t="s">
        <v>75</v>
      </c>
      <c r="C1743">
        <v>80</v>
      </c>
      <c r="D1743">
        <v>11121004</v>
      </c>
      <c r="E1743">
        <v>121004</v>
      </c>
      <c r="F1743" s="1" t="s">
        <v>6867</v>
      </c>
      <c r="G1743" s="1" t="s">
        <v>9253</v>
      </c>
      <c r="H1743">
        <v>0</v>
      </c>
      <c r="I1743" s="1" t="s">
        <v>78</v>
      </c>
      <c r="J1743" s="1" t="s">
        <v>9254</v>
      </c>
      <c r="K1743" s="1" t="s">
        <v>9255</v>
      </c>
      <c r="L1743" t="s">
        <v>91</v>
      </c>
      <c r="M1743" t="s">
        <v>91</v>
      </c>
      <c r="N1743" s="1" t="s">
        <v>9256</v>
      </c>
      <c r="O1743" t="s">
        <v>91</v>
      </c>
      <c r="P1743" s="1" t="s">
        <v>9257</v>
      </c>
      <c r="Q1743" s="1" t="s">
        <v>4966</v>
      </c>
      <c r="R1743" s="1" t="s">
        <v>236</v>
      </c>
      <c r="T1743">
        <v>88309201</v>
      </c>
      <c r="U1743" s="1" t="s">
        <v>7235</v>
      </c>
      <c r="V1743" s="1" t="s">
        <v>6874</v>
      </c>
      <c r="W1743" s="1" t="s">
        <v>87</v>
      </c>
      <c r="X1743">
        <v>47</v>
      </c>
      <c r="Y1743">
        <v>33607625</v>
      </c>
      <c r="Z1743" t="s">
        <v>91</v>
      </c>
      <c r="AA1743" t="s">
        <v>91</v>
      </c>
      <c r="AB1743" t="s">
        <v>91</v>
      </c>
      <c r="AC1743" t="s">
        <v>91</v>
      </c>
      <c r="AD1743" t="s">
        <v>91</v>
      </c>
      <c r="AE1743" t="s">
        <v>91</v>
      </c>
      <c r="AF1743" t="s">
        <v>91</v>
      </c>
      <c r="AG1743" s="1" t="s">
        <v>146</v>
      </c>
      <c r="AH1743" s="1" t="s">
        <v>91</v>
      </c>
      <c r="AI1743" t="s">
        <v>91</v>
      </c>
      <c r="AM1743" t="s">
        <v>91</v>
      </c>
      <c r="AN1743" t="s">
        <v>91</v>
      </c>
      <c r="AO1743" t="s">
        <v>91</v>
      </c>
      <c r="AP1743" t="s">
        <v>91</v>
      </c>
      <c r="AQ1743" s="1" t="s">
        <v>147</v>
      </c>
      <c r="AR1743" s="1" t="s">
        <v>147</v>
      </c>
      <c r="AS1743" s="1" t="s">
        <v>147</v>
      </c>
      <c r="AT1743" s="1" t="s">
        <v>147</v>
      </c>
      <c r="AU1743" s="1" t="s">
        <v>147</v>
      </c>
      <c r="AV1743" t="s">
        <v>91</v>
      </c>
      <c r="AW1743" t="s">
        <v>91</v>
      </c>
      <c r="AX1743" t="s">
        <v>91</v>
      </c>
      <c r="AY1743" t="s">
        <v>91</v>
      </c>
      <c r="AZ1743" t="s">
        <v>91</v>
      </c>
      <c r="BA1743" t="s">
        <v>91</v>
      </c>
      <c r="BB1743" s="2">
        <v>45113.505416666667</v>
      </c>
      <c r="BC1743" s="2">
        <v>45118.700821759259</v>
      </c>
      <c r="BD1743" t="s">
        <v>91</v>
      </c>
      <c r="BF1743" s="1" t="s">
        <v>75</v>
      </c>
      <c r="BH1743">
        <v>0</v>
      </c>
      <c r="BI1743" s="1" t="s">
        <v>721</v>
      </c>
      <c r="BJ1743">
        <v>1</v>
      </c>
      <c r="BK1743" s="1" t="s">
        <v>89</v>
      </c>
      <c r="BL1743" t="s">
        <v>91</v>
      </c>
      <c r="BM1743" s="1" t="s">
        <v>91</v>
      </c>
      <c r="BN1743" s="1" t="s">
        <v>91</v>
      </c>
      <c r="BO1743" s="1" t="s">
        <v>91</v>
      </c>
      <c r="BP1743" s="1" t="s">
        <v>91</v>
      </c>
      <c r="BQ1743" t="s">
        <v>91</v>
      </c>
      <c r="BR1743" s="3">
        <v>45113</v>
      </c>
      <c r="BS1743" s="3">
        <v>45118</v>
      </c>
      <c r="BT1743" t="s">
        <v>91</v>
      </c>
      <c r="BU1743" t="s">
        <v>91</v>
      </c>
      <c r="BW1743" s="1" t="s">
        <v>255</v>
      </c>
    </row>
    <row r="1744" spans="1:75" hidden="1" x14ac:dyDescent="0.35">
      <c r="A1744">
        <v>137950</v>
      </c>
      <c r="B1744" s="1" t="s">
        <v>75</v>
      </c>
      <c r="C1744">
        <v>80</v>
      </c>
      <c r="D1744">
        <v>11121004</v>
      </c>
      <c r="E1744">
        <v>121004</v>
      </c>
      <c r="F1744" s="1" t="s">
        <v>6867</v>
      </c>
      <c r="G1744" s="1" t="s">
        <v>9258</v>
      </c>
      <c r="H1744">
        <v>0</v>
      </c>
      <c r="I1744" s="1" t="s">
        <v>78</v>
      </c>
      <c r="J1744" s="1" t="s">
        <v>9259</v>
      </c>
      <c r="K1744" s="1" t="s">
        <v>9260</v>
      </c>
      <c r="L1744" t="s">
        <v>91</v>
      </c>
      <c r="M1744" t="s">
        <v>91</v>
      </c>
      <c r="N1744" s="1" t="s">
        <v>9261</v>
      </c>
      <c r="O1744" t="s">
        <v>91</v>
      </c>
      <c r="P1744" s="1" t="s">
        <v>9262</v>
      </c>
      <c r="Q1744" s="1" t="s">
        <v>9263</v>
      </c>
      <c r="R1744" s="1" t="s">
        <v>320</v>
      </c>
      <c r="T1744">
        <v>88350070</v>
      </c>
      <c r="U1744" s="1" t="s">
        <v>108</v>
      </c>
      <c r="V1744" s="1" t="s">
        <v>6936</v>
      </c>
      <c r="W1744" s="1" t="s">
        <v>87</v>
      </c>
      <c r="X1744">
        <v>47</v>
      </c>
      <c r="Y1744">
        <v>33506633</v>
      </c>
      <c r="Z1744" t="s">
        <v>91</v>
      </c>
      <c r="AA1744" t="s">
        <v>91</v>
      </c>
      <c r="AB1744" t="s">
        <v>91</v>
      </c>
      <c r="AC1744" t="s">
        <v>91</v>
      </c>
      <c r="AD1744" t="s">
        <v>91</v>
      </c>
      <c r="AE1744" t="s">
        <v>91</v>
      </c>
      <c r="AF1744" t="s">
        <v>91</v>
      </c>
      <c r="AG1744" s="1" t="s">
        <v>146</v>
      </c>
      <c r="AH1744" s="1" t="s">
        <v>91</v>
      </c>
      <c r="AI1744" t="s">
        <v>91</v>
      </c>
      <c r="AM1744" t="s">
        <v>91</v>
      </c>
      <c r="AN1744" t="s">
        <v>91</v>
      </c>
      <c r="AO1744" t="s">
        <v>91</v>
      </c>
      <c r="AP1744" t="s">
        <v>91</v>
      </c>
      <c r="AQ1744" s="1" t="s">
        <v>147</v>
      </c>
      <c r="AR1744" s="1" t="s">
        <v>147</v>
      </c>
      <c r="AS1744" s="1" t="s">
        <v>147</v>
      </c>
      <c r="AT1744" s="1" t="s">
        <v>147</v>
      </c>
      <c r="AU1744" s="1" t="s">
        <v>147</v>
      </c>
      <c r="AV1744" t="s">
        <v>91</v>
      </c>
      <c r="AW1744" t="s">
        <v>91</v>
      </c>
      <c r="AX1744" t="s">
        <v>91</v>
      </c>
      <c r="AY1744" t="s">
        <v>91</v>
      </c>
      <c r="AZ1744" t="s">
        <v>91</v>
      </c>
      <c r="BA1744" t="s">
        <v>91</v>
      </c>
      <c r="BB1744" s="2">
        <v>44378.578518518516</v>
      </c>
      <c r="BC1744" s="2">
        <v>45118.691296296296</v>
      </c>
      <c r="BD1744" t="s">
        <v>91</v>
      </c>
      <c r="BF1744" s="1" t="s">
        <v>75</v>
      </c>
      <c r="BH1744">
        <v>0</v>
      </c>
      <c r="BI1744" s="1" t="s">
        <v>721</v>
      </c>
      <c r="BJ1744">
        <v>1</v>
      </c>
      <c r="BK1744" s="1" t="s">
        <v>89</v>
      </c>
      <c r="BL1744" t="s">
        <v>91</v>
      </c>
      <c r="BM1744" s="1" t="s">
        <v>109</v>
      </c>
      <c r="BN1744" s="1" t="s">
        <v>110</v>
      </c>
      <c r="BO1744" s="1" t="s">
        <v>91</v>
      </c>
      <c r="BP1744" s="1" t="s">
        <v>91</v>
      </c>
      <c r="BQ1744" t="s">
        <v>91</v>
      </c>
      <c r="BR1744" s="3">
        <v>44378</v>
      </c>
      <c r="BS1744" s="3">
        <v>45118</v>
      </c>
      <c r="BT1744" t="s">
        <v>91</v>
      </c>
      <c r="BU1744" t="s">
        <v>91</v>
      </c>
      <c r="BW1744" s="1" t="s">
        <v>589</v>
      </c>
    </row>
  </sheetData>
  <phoneticPr fontId="18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744"/>
  <sheetViews>
    <sheetView tabSelected="1" topLeftCell="A1724" workbookViewId="0">
      <selection activeCell="H1737" sqref="H1737"/>
    </sheetView>
  </sheetViews>
  <sheetFormatPr defaultRowHeight="14.5" x14ac:dyDescent="0.35"/>
  <cols>
    <col min="1" max="1" width="10.81640625" customWidth="1"/>
    <col min="3" max="3" width="9.08984375" customWidth="1"/>
    <col min="4" max="4" width="15.90625" customWidth="1"/>
    <col min="6" max="6" width="14.54296875" customWidth="1"/>
    <col min="8" max="8" width="11.90625" customWidth="1"/>
    <col min="9" max="9" width="18.08984375" customWidth="1"/>
    <col min="10" max="10" width="14.54296875" customWidth="1"/>
    <col min="11" max="11" width="16.36328125" customWidth="1"/>
    <col min="12" max="12" width="13.54296875" customWidth="1"/>
    <col min="13" max="13" width="12.7265625" customWidth="1"/>
    <col min="15" max="15" width="12.54296875" customWidth="1"/>
    <col min="16" max="16" width="11.90625" customWidth="1"/>
    <col min="17" max="17" width="10.54296875" customWidth="1"/>
    <col min="18" max="18" width="8.90625" customWidth="1"/>
    <col min="19" max="19" width="11.90625" customWidth="1"/>
    <col min="21" max="22" width="9.1796875" customWidth="1"/>
    <col min="26" max="26" width="9.81640625" customWidth="1"/>
    <col min="28" max="28" width="9.81640625" customWidth="1"/>
    <col min="30" max="30" width="9.81640625" customWidth="1"/>
    <col min="32" max="32" width="13" customWidth="1"/>
    <col min="33" max="33" width="10.7265625" customWidth="1"/>
    <col min="34" max="34" width="12.6328125" customWidth="1"/>
    <col min="35" max="35" width="11.08984375" customWidth="1"/>
    <col min="36" max="36" width="12.6328125" customWidth="1"/>
    <col min="37" max="37" width="11.453125" customWidth="1"/>
    <col min="38" max="38" width="13.54296875" customWidth="1"/>
    <col min="39" max="39" width="17.26953125" customWidth="1"/>
    <col min="40" max="40" width="12.36328125" customWidth="1"/>
    <col min="41" max="41" width="12.6328125" customWidth="1"/>
    <col min="42" max="42" width="14.36328125" customWidth="1"/>
    <col min="43" max="43" width="12" customWidth="1"/>
    <col min="44" max="44" width="14.54296875" customWidth="1"/>
    <col min="45" max="45" width="13.453125" customWidth="1"/>
    <col min="46" max="46" width="14.08984375" customWidth="1"/>
    <col min="47" max="47" width="15.81640625" customWidth="1"/>
    <col min="48" max="48" width="13.08984375" customWidth="1"/>
    <col min="49" max="49" width="12.81640625" customWidth="1"/>
    <col min="50" max="50" width="11.1796875" customWidth="1"/>
    <col min="52" max="52" width="12.26953125" customWidth="1"/>
    <col min="53" max="53" width="15.7265625" customWidth="1"/>
    <col min="54" max="54" width="10.08984375" customWidth="1"/>
    <col min="55" max="55" width="11.6328125" customWidth="1"/>
    <col min="56" max="56" width="10.7265625" customWidth="1"/>
    <col min="57" max="57" width="15.54296875" customWidth="1"/>
    <col min="58" max="58" width="12.08984375" customWidth="1"/>
    <col min="59" max="59" width="9.7265625" customWidth="1"/>
    <col min="60" max="60" width="10.81640625" customWidth="1"/>
    <col min="61" max="61" width="13.54296875" customWidth="1"/>
    <col min="62" max="62" width="14.54296875" customWidth="1"/>
    <col min="63" max="63" width="12.36328125" customWidth="1"/>
    <col min="64" max="64" width="17.08984375" customWidth="1"/>
    <col min="65" max="65" width="18.90625" customWidth="1"/>
    <col min="66" max="66" width="16.90625" customWidth="1"/>
    <col min="67" max="67" width="17.81640625" customWidth="1"/>
    <col min="68" max="68" width="20.90625" customWidth="1"/>
    <col min="69" max="69" width="24.08984375" customWidth="1"/>
    <col min="70" max="70" width="14.54296875" customWidth="1"/>
    <col min="71" max="71" width="17.90625" customWidth="1"/>
    <col min="72" max="72" width="11.453125" customWidth="1"/>
    <col min="74" max="74" width="19.90625" customWidth="1"/>
    <col min="75" max="75" width="17.7265625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35">
      <c r="A2">
        <v>158725</v>
      </c>
      <c r="B2" t="str">
        <f t="shared" ref="B2:B65" si="0">"A"</f>
        <v>A</v>
      </c>
      <c r="C2" t="str">
        <f t="shared" ref="C2:C65" si="1">"80"</f>
        <v>80</v>
      </c>
      <c r="D2" t="str">
        <f t="shared" ref="D2:D65" si="2">"11121001"</f>
        <v>11121001</v>
      </c>
      <c r="E2" t="str">
        <f t="shared" ref="E2:E65" si="3">"121001"</f>
        <v>121001</v>
      </c>
      <c r="F2" t="str">
        <f t="shared" ref="F2:F65" si="4">"JENIFER SANTOS"</f>
        <v>JENIFER SANTOS</v>
      </c>
      <c r="G2" t="str">
        <f>"17996404000180"</f>
        <v>17996404000180</v>
      </c>
      <c r="H2" t="str">
        <f>""</f>
        <v/>
      </c>
      <c r="I2" t="str">
        <f t="shared" ref="I2:I65" si="5">"CONTA OPTICA"</f>
        <v>CONTA OPTICA</v>
      </c>
      <c r="J2" t="str">
        <f>"17.996.404 ADILIO JOSE PINTO"</f>
        <v>17.996.404 ADILIO JOSE PINTO</v>
      </c>
      <c r="K2" t="str">
        <f>"OTICA BENDITOS OLHOS (4741)"</f>
        <v>OTICA BENDITOS OLHOS (4741)</v>
      </c>
      <c r="L2" t="str">
        <f>""</f>
        <v/>
      </c>
      <c r="M2" t="str">
        <f>""</f>
        <v/>
      </c>
      <c r="N2" t="str">
        <f>"ADILIOJOSEPINTO@GMAIL.COM"</f>
        <v>ADILIOJOSEPINTO@GMAIL.COM</v>
      </c>
      <c r="O2" t="str">
        <f>""</f>
        <v/>
      </c>
      <c r="P2" t="str">
        <f>"RUA PAULO ROBERTO SULZBACH"</f>
        <v>RUA PAULO ROBERTO SULZBACH</v>
      </c>
      <c r="Q2" t="str">
        <f>"30"</f>
        <v>30</v>
      </c>
      <c r="R2" t="str">
        <f>"LETRA E"</f>
        <v>LETRA E</v>
      </c>
      <c r="S2" t="str">
        <f>""</f>
        <v/>
      </c>
      <c r="T2" t="str">
        <f>"89808678"</f>
        <v>89808678</v>
      </c>
      <c r="U2" t="str">
        <f>"AUTODROMO"</f>
        <v>AUTODROMO</v>
      </c>
      <c r="V2" t="str">
        <f>"CHAPECO"</f>
        <v>CHAPECO</v>
      </c>
      <c r="W2" t="str">
        <f>"SC"</f>
        <v>SC</v>
      </c>
      <c r="X2" t="str">
        <f>"49"</f>
        <v>49</v>
      </c>
      <c r="Y2" t="str">
        <f>"998191666"</f>
        <v>998191666</v>
      </c>
      <c r="Z2" t="str">
        <f>""</f>
        <v/>
      </c>
      <c r="AA2" t="str">
        <f>""</f>
        <v/>
      </c>
      <c r="AB2" t="str">
        <f>""</f>
        <v/>
      </c>
      <c r="AC2" t="str">
        <f>""</f>
        <v/>
      </c>
      <c r="AD2" t="str">
        <f>""</f>
        <v/>
      </c>
      <c r="AE2" t="str">
        <f>""</f>
        <v/>
      </c>
      <c r="AF2" t="str">
        <f>""</f>
        <v/>
      </c>
      <c r="AG2" t="str">
        <f>""</f>
        <v/>
      </c>
      <c r="AH2" t="str">
        <f>""</f>
        <v/>
      </c>
      <c r="AI2" t="str">
        <f>""</f>
        <v/>
      </c>
      <c r="AJ2" t="str">
        <f>""</f>
        <v/>
      </c>
      <c r="AK2" t="str">
        <f>""</f>
        <v/>
      </c>
      <c r="AL2" t="str">
        <f>""</f>
        <v/>
      </c>
      <c r="AM2" t="str">
        <f>""</f>
        <v/>
      </c>
      <c r="AN2" t="str">
        <f>""</f>
        <v/>
      </c>
      <c r="AO2" t="str">
        <f>""</f>
        <v/>
      </c>
      <c r="AP2" t="str">
        <f>""</f>
        <v/>
      </c>
      <c r="AQ2" t="str">
        <f>""</f>
        <v/>
      </c>
      <c r="AR2" t="str">
        <f>""</f>
        <v/>
      </c>
      <c r="AS2" t="str">
        <f>""</f>
        <v/>
      </c>
      <c r="AT2" t="str">
        <f>""</f>
        <v/>
      </c>
      <c r="AU2" t="str">
        <f>""</f>
        <v/>
      </c>
      <c r="AV2" t="str">
        <f>""</f>
        <v/>
      </c>
      <c r="AW2" t="str">
        <f>""</f>
        <v/>
      </c>
      <c r="AX2" t="str">
        <f>""</f>
        <v/>
      </c>
      <c r="AY2" t="str">
        <f>""</f>
        <v/>
      </c>
      <c r="AZ2" t="str">
        <f>""</f>
        <v/>
      </c>
      <c r="BA2" t="str">
        <f>""</f>
        <v/>
      </c>
      <c r="BB2" t="str">
        <f>"17/08/2023 16:48:06"</f>
        <v>17/08/2023 16:48:06</v>
      </c>
      <c r="BC2" t="str">
        <f>""</f>
        <v/>
      </c>
      <c r="BD2" t="str">
        <f>""</f>
        <v/>
      </c>
      <c r="BE2" t="str">
        <f>""</f>
        <v/>
      </c>
      <c r="BF2" t="str">
        <f t="shared" ref="BF2:BF65" si="6">"A"</f>
        <v>A</v>
      </c>
      <c r="BG2" t="str">
        <f>""</f>
        <v/>
      </c>
      <c r="BH2" t="str">
        <f>""</f>
        <v/>
      </c>
      <c r="BI2" t="str">
        <f t="shared" ref="BI2:BI33" si="7">"EVENTUAL"</f>
        <v>EVENTUAL</v>
      </c>
      <c r="BJ2" t="str">
        <f t="shared" ref="BJ2:BJ65" si="8">"1"</f>
        <v>1</v>
      </c>
      <c r="BK2" t="str">
        <f t="shared" ref="BK2:BK65" si="9">"Farmacia"</f>
        <v>Farmacia</v>
      </c>
      <c r="BL2" t="str">
        <f>""</f>
        <v/>
      </c>
      <c r="BM2" t="str">
        <f>""</f>
        <v/>
      </c>
      <c r="BN2" t="str">
        <f>""</f>
        <v/>
      </c>
      <c r="BO2" t="str">
        <f>""</f>
        <v/>
      </c>
      <c r="BP2" t="str">
        <f>""</f>
        <v/>
      </c>
      <c r="BQ2" t="str">
        <f>""</f>
        <v/>
      </c>
      <c r="BR2" t="str">
        <f>"17/08/2023"</f>
        <v>17/08/2023</v>
      </c>
      <c r="BS2" t="str">
        <f>""</f>
        <v/>
      </c>
      <c r="BT2" t="str">
        <f>""</f>
        <v/>
      </c>
      <c r="BU2" t="str">
        <f>""</f>
        <v/>
      </c>
      <c r="BV2" t="str">
        <f>""</f>
        <v/>
      </c>
      <c r="BW2" t="str">
        <f>"Não visitado"</f>
        <v>Não visitado</v>
      </c>
    </row>
    <row r="3" spans="1:75" x14ac:dyDescent="0.35">
      <c r="A3">
        <v>156738</v>
      </c>
      <c r="B3" t="str">
        <f t="shared" si="0"/>
        <v>A</v>
      </c>
      <c r="C3" t="str">
        <f t="shared" si="1"/>
        <v>80</v>
      </c>
      <c r="D3" t="str">
        <f t="shared" si="2"/>
        <v>11121001</v>
      </c>
      <c r="E3" t="str">
        <f t="shared" si="3"/>
        <v>121001</v>
      </c>
      <c r="F3" t="str">
        <f t="shared" si="4"/>
        <v>JENIFER SANTOS</v>
      </c>
      <c r="G3" t="str">
        <f>"48919808000101"</f>
        <v>48919808000101</v>
      </c>
      <c r="H3" t="str">
        <f>"0"</f>
        <v>0</v>
      </c>
      <c r="I3" t="str">
        <f t="shared" si="5"/>
        <v>CONTA OPTICA</v>
      </c>
      <c r="J3" t="str">
        <f>"48.919.808 SIMONE SACRAMENTO DE SOUZA"</f>
        <v>48.919.808 SIMONE SACRAMENTO DE SOUZA</v>
      </c>
      <c r="K3" t="str">
        <f>"MONI BECKER OPTICA (4698)"</f>
        <v>MONI BECKER OPTICA (4698)</v>
      </c>
      <c r="L3" t="str">
        <f>""</f>
        <v/>
      </c>
      <c r="M3" t="str">
        <f>""</f>
        <v/>
      </c>
      <c r="N3" t="str">
        <f>"BECKER.OPTICA@GMAIL.COM"</f>
        <v>BECKER.OPTICA@GMAIL.COM</v>
      </c>
      <c r="O3" t="str">
        <f>""</f>
        <v/>
      </c>
      <c r="P3" t="str">
        <f>"RUA DOS AIMORES"</f>
        <v>RUA DOS AIMORES</v>
      </c>
      <c r="Q3" t="str">
        <f>"99"</f>
        <v>99</v>
      </c>
      <c r="R3" t="str">
        <f>"SALA 3"</f>
        <v>SALA 3</v>
      </c>
      <c r="S3" t="str">
        <f>""</f>
        <v/>
      </c>
      <c r="T3" t="str">
        <f>"89208720"</f>
        <v>89208720</v>
      </c>
      <c r="U3" t="str">
        <f>"PETROPOLIS"</f>
        <v>PETROPOLIS</v>
      </c>
      <c r="V3" t="str">
        <f>"JOINVILLE"</f>
        <v>JOINVILLE</v>
      </c>
      <c r="W3" t="str">
        <f>"SC"</f>
        <v>SC</v>
      </c>
      <c r="X3" t="str">
        <f>"47"</f>
        <v>47</v>
      </c>
      <c r="Y3" t="str">
        <f>"997052840"</f>
        <v>997052840</v>
      </c>
      <c r="Z3" t="str">
        <f>""</f>
        <v/>
      </c>
      <c r="AA3" t="str">
        <f>""</f>
        <v/>
      </c>
      <c r="AB3" t="str">
        <f>""</f>
        <v/>
      </c>
      <c r="AC3" t="str">
        <f>""</f>
        <v/>
      </c>
      <c r="AD3" t="str">
        <f>""</f>
        <v/>
      </c>
      <c r="AE3" t="str">
        <f>""</f>
        <v/>
      </c>
      <c r="AF3" t="str">
        <f>""</f>
        <v/>
      </c>
      <c r="AG3" t="str">
        <f>""</f>
        <v/>
      </c>
      <c r="AH3" t="str">
        <f>""</f>
        <v/>
      </c>
      <c r="AI3" t="str">
        <f>""</f>
        <v/>
      </c>
      <c r="AJ3" t="str">
        <f>""</f>
        <v/>
      </c>
      <c r="AK3" t="str">
        <f>""</f>
        <v/>
      </c>
      <c r="AL3" t="str">
        <f>""</f>
        <v/>
      </c>
      <c r="AM3" t="str">
        <f>""</f>
        <v/>
      </c>
      <c r="AN3" t="str">
        <f>""</f>
        <v/>
      </c>
      <c r="AO3" t="str">
        <f>""</f>
        <v/>
      </c>
      <c r="AP3" t="str">
        <f>""</f>
        <v/>
      </c>
      <c r="AQ3" t="str">
        <f>""</f>
        <v/>
      </c>
      <c r="AR3" t="str">
        <f>""</f>
        <v/>
      </c>
      <c r="AS3" t="str">
        <f>""</f>
        <v/>
      </c>
      <c r="AT3" t="str">
        <f>""</f>
        <v/>
      </c>
      <c r="AU3" t="str">
        <f>""</f>
        <v/>
      </c>
      <c r="AV3" t="str">
        <f>""</f>
        <v/>
      </c>
      <c r="AW3" t="str">
        <f>""</f>
        <v/>
      </c>
      <c r="AX3" t="str">
        <f>""</f>
        <v/>
      </c>
      <c r="AY3" t="str">
        <f>""</f>
        <v/>
      </c>
      <c r="AZ3" t="str">
        <f>""</f>
        <v/>
      </c>
      <c r="BA3" t="str">
        <f>""</f>
        <v/>
      </c>
      <c r="BB3" t="str">
        <f>"06/07/2023 12:07:48"</f>
        <v>06/07/2023 12:07:48</v>
      </c>
      <c r="BC3" t="str">
        <f>""</f>
        <v/>
      </c>
      <c r="BD3" t="str">
        <f>""</f>
        <v/>
      </c>
      <c r="BE3" t="str">
        <f>""</f>
        <v/>
      </c>
      <c r="BF3" t="str">
        <f t="shared" si="6"/>
        <v>A</v>
      </c>
      <c r="BG3" t="str">
        <f>""</f>
        <v/>
      </c>
      <c r="BH3" t="str">
        <f>""</f>
        <v/>
      </c>
      <c r="BI3" t="str">
        <f t="shared" si="7"/>
        <v>EVENTUAL</v>
      </c>
      <c r="BJ3" t="str">
        <f t="shared" si="8"/>
        <v>1</v>
      </c>
      <c r="BK3" t="str">
        <f t="shared" si="9"/>
        <v>Farmacia</v>
      </c>
      <c r="BL3" t="str">
        <f>""</f>
        <v/>
      </c>
      <c r="BM3" t="str">
        <f>""</f>
        <v/>
      </c>
      <c r="BN3" t="str">
        <f>""</f>
        <v/>
      </c>
      <c r="BO3" t="str">
        <f>""</f>
        <v/>
      </c>
      <c r="BP3" t="str">
        <f>""</f>
        <v/>
      </c>
      <c r="BQ3" t="str">
        <f>""</f>
        <v/>
      </c>
      <c r="BR3" t="str">
        <f>"06/07/2023"</f>
        <v>06/07/2023</v>
      </c>
      <c r="BS3" t="str">
        <f>""</f>
        <v/>
      </c>
      <c r="BT3" t="str">
        <f>""</f>
        <v/>
      </c>
      <c r="BU3" t="str">
        <f>""</f>
        <v/>
      </c>
      <c r="BV3" t="str">
        <f>""</f>
        <v/>
      </c>
      <c r="BW3" t="str">
        <f>"Não visitado"</f>
        <v>Não visitado</v>
      </c>
    </row>
    <row r="4" spans="1:75" x14ac:dyDescent="0.35">
      <c r="A4">
        <v>127551</v>
      </c>
      <c r="B4" t="str">
        <f t="shared" si="0"/>
        <v>A</v>
      </c>
      <c r="C4" t="str">
        <f t="shared" si="1"/>
        <v>80</v>
      </c>
      <c r="D4" t="str">
        <f t="shared" si="2"/>
        <v>11121001</v>
      </c>
      <c r="E4" t="str">
        <f t="shared" si="3"/>
        <v>121001</v>
      </c>
      <c r="F4" t="str">
        <f t="shared" si="4"/>
        <v>JENIFER SANTOS</v>
      </c>
      <c r="G4" t="str">
        <f>"02274789000102"</f>
        <v>02274789000102</v>
      </c>
      <c r="H4" t="str">
        <f>"0"</f>
        <v>0</v>
      </c>
      <c r="I4" t="str">
        <f t="shared" si="5"/>
        <v>CONTA OPTICA</v>
      </c>
      <c r="J4" t="str">
        <f>"A OCULISTA LTDA ME"</f>
        <v>A OCULISTA LTDA ME</v>
      </c>
      <c r="K4" t="str">
        <f>"SUPER OPTICA SAO JOSE (278)"</f>
        <v>SUPER OPTICA SAO JOSE (278)</v>
      </c>
      <c r="L4" t="str">
        <f>""</f>
        <v/>
      </c>
      <c r="M4" t="str">
        <f>""</f>
        <v/>
      </c>
      <c r="N4" t="str">
        <f>"produtos@oticasaojose.com"</f>
        <v>produtos@oticasaojose.com</v>
      </c>
      <c r="O4" t="str">
        <f>""</f>
        <v/>
      </c>
      <c r="P4" t="str">
        <f>"RUA DO PRINCIPE"</f>
        <v>RUA DO PRINCIPE</v>
      </c>
      <c r="Q4" t="str">
        <f>"523"</f>
        <v>523</v>
      </c>
      <c r="R4" t="str">
        <f>"TERREO"</f>
        <v>TERREO</v>
      </c>
      <c r="S4" t="str">
        <f>"1277"</f>
        <v>1277</v>
      </c>
      <c r="T4" t="str">
        <f>"89201003"</f>
        <v>89201003</v>
      </c>
      <c r="U4" t="str">
        <f>"CENTRO"</f>
        <v>CENTRO</v>
      </c>
      <c r="V4" t="str">
        <f>"JOINVILLE"</f>
        <v>JOINVILLE</v>
      </c>
      <c r="W4" t="str">
        <f>"SC"</f>
        <v>SC</v>
      </c>
      <c r="X4" t="str">
        <f>"47"</f>
        <v>47</v>
      </c>
      <c r="Y4" t="str">
        <f>"30288805"</f>
        <v>30288805</v>
      </c>
      <c r="Z4" t="str">
        <f>""</f>
        <v/>
      </c>
      <c r="AA4" t="str">
        <f>""</f>
        <v/>
      </c>
      <c r="AB4" t="str">
        <f>""</f>
        <v/>
      </c>
      <c r="AC4" t="str">
        <f>""</f>
        <v/>
      </c>
      <c r="AD4" t="str">
        <f>""</f>
        <v/>
      </c>
      <c r="AE4" t="str">
        <f>""</f>
        <v/>
      </c>
      <c r="AF4" t="str">
        <f>""</f>
        <v/>
      </c>
      <c r="AG4" t="str">
        <f>""</f>
        <v/>
      </c>
      <c r="AH4" t="str">
        <f>""</f>
        <v/>
      </c>
      <c r="AI4" t="str">
        <f>""</f>
        <v/>
      </c>
      <c r="AJ4" t="str">
        <f>""</f>
        <v/>
      </c>
      <c r="AK4" t="str">
        <f>""</f>
        <v/>
      </c>
      <c r="AL4" t="str">
        <f>""</f>
        <v/>
      </c>
      <c r="AM4" t="str">
        <f>""</f>
        <v/>
      </c>
      <c r="AN4" t="str">
        <f>""</f>
        <v/>
      </c>
      <c r="AO4" t="str">
        <f>""</f>
        <v/>
      </c>
      <c r="AP4" t="str">
        <f>""</f>
        <v/>
      </c>
      <c r="AQ4" t="str">
        <f>""</f>
        <v/>
      </c>
      <c r="AR4" t="str">
        <f>""</f>
        <v/>
      </c>
      <c r="AS4" t="str">
        <f>""</f>
        <v/>
      </c>
      <c r="AT4" t="str">
        <f>""</f>
        <v/>
      </c>
      <c r="AU4" t="str">
        <f>""</f>
        <v/>
      </c>
      <c r="AV4" t="str">
        <f>""</f>
        <v/>
      </c>
      <c r="AW4" t="str">
        <f>""</f>
        <v/>
      </c>
      <c r="AX4" t="str">
        <f>""</f>
        <v/>
      </c>
      <c r="AY4" t="str">
        <f>""</f>
        <v/>
      </c>
      <c r="AZ4" t="str">
        <f>""</f>
        <v/>
      </c>
      <c r="BA4" t="str">
        <f>""</f>
        <v/>
      </c>
      <c r="BB4" t="str">
        <f>"07/10/2020 09:08:38"</f>
        <v>07/10/2020 09:08:38</v>
      </c>
      <c r="BC4" t="str">
        <f>""</f>
        <v/>
      </c>
      <c r="BD4" t="str">
        <f>""</f>
        <v/>
      </c>
      <c r="BE4" t="str">
        <f>""</f>
        <v/>
      </c>
      <c r="BF4" t="str">
        <f t="shared" si="6"/>
        <v>A</v>
      </c>
      <c r="BG4" t="str">
        <f>""</f>
        <v/>
      </c>
      <c r="BH4" t="str">
        <f>""</f>
        <v/>
      </c>
      <c r="BI4" t="str">
        <f t="shared" si="7"/>
        <v>EVENTUAL</v>
      </c>
      <c r="BJ4" t="str">
        <f t="shared" si="8"/>
        <v>1</v>
      </c>
      <c r="BK4" t="str">
        <f t="shared" si="9"/>
        <v>Farmacia</v>
      </c>
      <c r="BL4" t="str">
        <f>""</f>
        <v/>
      </c>
      <c r="BM4" t="str">
        <f>"NÃO É VARILUX ESPECIALISTA"</f>
        <v>NÃO É VARILUX ESPECIALISTA</v>
      </c>
      <c r="BN4" t="str">
        <f>"NA"</f>
        <v>NA</v>
      </c>
      <c r="BO4" t="str">
        <f>"FOCO KODAK 2"</f>
        <v>FOCO KODAK 2</v>
      </c>
      <c r="BP4" t="str">
        <f>""</f>
        <v/>
      </c>
      <c r="BQ4" t="str">
        <f>""</f>
        <v/>
      </c>
      <c r="BR4" t="str">
        <f>"07/10/2020"</f>
        <v>07/10/2020</v>
      </c>
      <c r="BS4" t="str">
        <f>""</f>
        <v/>
      </c>
      <c r="BT4" t="str">
        <f>""</f>
        <v/>
      </c>
      <c r="BU4" t="str">
        <f>""</f>
        <v/>
      </c>
      <c r="BV4" t="str">
        <f>"4"</f>
        <v>4</v>
      </c>
      <c r="BW4" t="str">
        <f>"Não visitado"</f>
        <v>Não visitado</v>
      </c>
    </row>
    <row r="5" spans="1:75" x14ac:dyDescent="0.35">
      <c r="A5">
        <v>144584</v>
      </c>
      <c r="B5" t="str">
        <f t="shared" si="0"/>
        <v>A</v>
      </c>
      <c r="C5" t="str">
        <f t="shared" si="1"/>
        <v>80</v>
      </c>
      <c r="D5" t="str">
        <f t="shared" si="2"/>
        <v>11121001</v>
      </c>
      <c r="E5" t="str">
        <f t="shared" si="3"/>
        <v>121001</v>
      </c>
      <c r="F5" t="str">
        <f t="shared" si="4"/>
        <v>JENIFER SANTOS</v>
      </c>
      <c r="G5" t="str">
        <f>"34037867000133"</f>
        <v>34037867000133</v>
      </c>
      <c r="H5" t="str">
        <f>""</f>
        <v/>
      </c>
      <c r="I5" t="str">
        <f t="shared" si="5"/>
        <v>CONTA OPTICA</v>
      </c>
      <c r="J5" t="str">
        <f>"A. BHERING GOUVEA"</f>
        <v>A. BHERING GOUVEA</v>
      </c>
      <c r="K5" t="str">
        <f>"OTICA BHERING (4160)"</f>
        <v>OTICA BHERING (4160)</v>
      </c>
      <c r="L5" t="str">
        <f>""</f>
        <v/>
      </c>
      <c r="M5" t="str">
        <f>""</f>
        <v/>
      </c>
      <c r="N5" t="str">
        <f>"dribhering08@gmail.com"</f>
        <v>dribhering08@gmail.com</v>
      </c>
      <c r="O5" t="str">
        <f>""</f>
        <v/>
      </c>
      <c r="P5" t="str">
        <f>"RUA ANA MARIA RODRIGUES DE FREITAS"</f>
        <v>RUA ANA MARIA RODRIGUES DE FREITAS</v>
      </c>
      <c r="Q5" t="str">
        <f>"556"</f>
        <v>556</v>
      </c>
      <c r="R5" t="str">
        <f>""</f>
        <v/>
      </c>
      <c r="S5" t="str">
        <f>"1280"</f>
        <v>1280</v>
      </c>
      <c r="T5" t="str">
        <f>"89249000"</f>
        <v>89249000</v>
      </c>
      <c r="U5" t="str">
        <f>"NOSSA SENHORA APARECIDA"</f>
        <v>NOSSA SENHORA APARECIDA</v>
      </c>
      <c r="V5" t="str">
        <f>"ITAPOÁ"</f>
        <v>ITAPOÁ</v>
      </c>
      <c r="W5" t="str">
        <f>"SC"</f>
        <v>SC</v>
      </c>
      <c r="X5" t="str">
        <f>"47"</f>
        <v>47</v>
      </c>
      <c r="Y5" t="str">
        <f>"34430706"</f>
        <v>34430706</v>
      </c>
      <c r="Z5" t="str">
        <f>""</f>
        <v/>
      </c>
      <c r="AA5" t="str">
        <f>""</f>
        <v/>
      </c>
      <c r="AB5" t="str">
        <f>""</f>
        <v/>
      </c>
      <c r="AC5" t="str">
        <f>""</f>
        <v/>
      </c>
      <c r="AD5" t="str">
        <f>""</f>
        <v/>
      </c>
      <c r="AE5" t="str">
        <f>""</f>
        <v/>
      </c>
      <c r="AF5" t="str">
        <f>""</f>
        <v/>
      </c>
      <c r="AG5" t="str">
        <f>""</f>
        <v/>
      </c>
      <c r="AH5" t="str">
        <f>""</f>
        <v/>
      </c>
      <c r="AI5" t="str">
        <f>""</f>
        <v/>
      </c>
      <c r="AJ5" t="str">
        <f t="shared" ref="AJ5:AL7" si="10">"0"</f>
        <v>0</v>
      </c>
      <c r="AK5" t="str">
        <f t="shared" si="10"/>
        <v>0</v>
      </c>
      <c r="AL5" t="str">
        <f t="shared" si="10"/>
        <v>0</v>
      </c>
      <c r="AM5" t="str">
        <f>""</f>
        <v/>
      </c>
      <c r="AN5" t="str">
        <f>""</f>
        <v/>
      </c>
      <c r="AO5" t="str">
        <f>""</f>
        <v/>
      </c>
      <c r="AP5" t="str">
        <f>""</f>
        <v/>
      </c>
      <c r="AQ5" t="str">
        <f>""</f>
        <v/>
      </c>
      <c r="AR5" t="str">
        <f>""</f>
        <v/>
      </c>
      <c r="AS5" t="str">
        <f>""</f>
        <v/>
      </c>
      <c r="AT5" t="str">
        <f>""</f>
        <v/>
      </c>
      <c r="AU5" t="str">
        <f>""</f>
        <v/>
      </c>
      <c r="AV5" t="str">
        <f>""</f>
        <v/>
      </c>
      <c r="AW5" t="str">
        <f>""</f>
        <v/>
      </c>
      <c r="AX5" t="str">
        <f>""</f>
        <v/>
      </c>
      <c r="AY5" t="str">
        <f>""</f>
        <v/>
      </c>
      <c r="AZ5" t="str">
        <f>""</f>
        <v/>
      </c>
      <c r="BA5" t="str">
        <f>""</f>
        <v/>
      </c>
      <c r="BB5" t="str">
        <f>""</f>
        <v/>
      </c>
      <c r="BC5" t="str">
        <f>""</f>
        <v/>
      </c>
      <c r="BD5" t="str">
        <f>""</f>
        <v/>
      </c>
      <c r="BE5" t="str">
        <f>""</f>
        <v/>
      </c>
      <c r="BF5" t="str">
        <f t="shared" si="6"/>
        <v>A</v>
      </c>
      <c r="BG5" t="str">
        <f t="shared" ref="BG5:BH7" si="11">"0,00"</f>
        <v>0,00</v>
      </c>
      <c r="BH5" t="str">
        <f t="shared" si="11"/>
        <v>0,00</v>
      </c>
      <c r="BI5" t="str">
        <f t="shared" si="7"/>
        <v>EVENTUAL</v>
      </c>
      <c r="BJ5" t="str">
        <f t="shared" si="8"/>
        <v>1</v>
      </c>
      <c r="BK5" t="str">
        <f t="shared" si="9"/>
        <v>Farmacia</v>
      </c>
      <c r="BL5" t="str">
        <f>""</f>
        <v/>
      </c>
      <c r="BM5" t="str">
        <f>"NÃO É VARILUX ESPECIALISTA"</f>
        <v>NÃO É VARILUX ESPECIALISTA</v>
      </c>
      <c r="BN5" t="str">
        <f>"NA"</f>
        <v>NA</v>
      </c>
      <c r="BO5" t="str">
        <f>"FOCO KODAK 2"</f>
        <v>FOCO KODAK 2</v>
      </c>
      <c r="BP5" t="str">
        <f>""</f>
        <v/>
      </c>
      <c r="BQ5" t="str">
        <f>""</f>
        <v/>
      </c>
      <c r="BR5" t="str">
        <f>""</f>
        <v/>
      </c>
      <c r="BS5" t="str">
        <f>""</f>
        <v/>
      </c>
      <c r="BT5" t="str">
        <f>""</f>
        <v/>
      </c>
      <c r="BU5" t="str">
        <f>""</f>
        <v/>
      </c>
      <c r="BV5" t="str">
        <f>"9"</f>
        <v>9</v>
      </c>
      <c r="BW5" t="str">
        <f>"3"</f>
        <v>3</v>
      </c>
    </row>
    <row r="6" spans="1:75" x14ac:dyDescent="0.35">
      <c r="A6">
        <v>118718</v>
      </c>
      <c r="B6" t="str">
        <f t="shared" si="0"/>
        <v>A</v>
      </c>
      <c r="C6" t="str">
        <f t="shared" si="1"/>
        <v>80</v>
      </c>
      <c r="D6" t="str">
        <f t="shared" si="2"/>
        <v>11121001</v>
      </c>
      <c r="E6" t="str">
        <f t="shared" si="3"/>
        <v>121001</v>
      </c>
      <c r="F6" t="str">
        <f t="shared" si="4"/>
        <v>JENIFER SANTOS</v>
      </c>
      <c r="G6" t="str">
        <f>"02976138000156"</f>
        <v>02976138000156</v>
      </c>
      <c r="H6" t="str">
        <f>""</f>
        <v/>
      </c>
      <c r="I6" t="str">
        <f t="shared" si="5"/>
        <v>CONTA OPTICA</v>
      </c>
      <c r="J6" t="str">
        <f>"ADEMAR LENTES E ARMACOES DE OCULOS LTDA ME"</f>
        <v>ADEMAR LENTES E ARMACOES DE OCULOS LTDA ME</v>
      </c>
      <c r="K6" t="str">
        <f>"OTICA BEATRIZ (1201)"</f>
        <v>OTICA BEATRIZ (1201)</v>
      </c>
      <c r="L6" t="str">
        <f>""</f>
        <v/>
      </c>
      <c r="M6" t="str">
        <f>""</f>
        <v/>
      </c>
      <c r="N6" t="str">
        <f>"oticabeatrizfinanceiro@gmail.com"</f>
        <v>oticabeatrizfinanceiro@gmail.com</v>
      </c>
      <c r="O6" t="str">
        <f>""</f>
        <v/>
      </c>
      <c r="P6" t="str">
        <f>"RUA ABDON BATISTA"</f>
        <v>RUA ABDON BATISTA</v>
      </c>
      <c r="Q6" t="str">
        <f>"214"</f>
        <v>214</v>
      </c>
      <c r="R6" t="str">
        <f>"SALA 07"</f>
        <v>SALA 07</v>
      </c>
      <c r="S6" t="str">
        <f>"1277"</f>
        <v>1277</v>
      </c>
      <c r="T6" t="str">
        <f>"89201010"</f>
        <v>89201010</v>
      </c>
      <c r="U6" t="str">
        <f t="shared" ref="U6:U12" si="12">"CENTRO"</f>
        <v>CENTRO</v>
      </c>
      <c r="V6" t="str">
        <f>"JOINVILLE"</f>
        <v>JOINVILLE</v>
      </c>
      <c r="W6" t="str">
        <f>"SC"</f>
        <v>SC</v>
      </c>
      <c r="X6" t="str">
        <f>"47"</f>
        <v>47</v>
      </c>
      <c r="Y6" t="str">
        <f>"34231088"</f>
        <v>34231088</v>
      </c>
      <c r="Z6" t="str">
        <f>""</f>
        <v/>
      </c>
      <c r="AA6" t="str">
        <f>""</f>
        <v/>
      </c>
      <c r="AB6" t="str">
        <f>""</f>
        <v/>
      </c>
      <c r="AC6" t="str">
        <f>""</f>
        <v/>
      </c>
      <c r="AD6" t="str">
        <f>""</f>
        <v/>
      </c>
      <c r="AE6" t="str">
        <f>""</f>
        <v/>
      </c>
      <c r="AF6" t="str">
        <f>""</f>
        <v/>
      </c>
      <c r="AG6" t="str">
        <f>""</f>
        <v/>
      </c>
      <c r="AH6" t="str">
        <f>""</f>
        <v/>
      </c>
      <c r="AI6" t="str">
        <f>""</f>
        <v/>
      </c>
      <c r="AJ6" t="str">
        <f t="shared" si="10"/>
        <v>0</v>
      </c>
      <c r="AK6" t="str">
        <f t="shared" si="10"/>
        <v>0</v>
      </c>
      <c r="AL6" t="str">
        <f t="shared" si="10"/>
        <v>0</v>
      </c>
      <c r="AM6" t="str">
        <f>""</f>
        <v/>
      </c>
      <c r="AN6" t="str">
        <f>""</f>
        <v/>
      </c>
      <c r="AO6" t="str">
        <f>""</f>
        <v/>
      </c>
      <c r="AP6" t="str">
        <f>""</f>
        <v/>
      </c>
      <c r="AQ6" t="str">
        <f>""</f>
        <v/>
      </c>
      <c r="AR6" t="str">
        <f>""</f>
        <v/>
      </c>
      <c r="AS6" t="str">
        <f>""</f>
        <v/>
      </c>
      <c r="AT6" t="str">
        <f>""</f>
        <v/>
      </c>
      <c r="AU6" t="str">
        <f>""</f>
        <v/>
      </c>
      <c r="AV6" t="str">
        <f>""</f>
        <v/>
      </c>
      <c r="AW6" t="str">
        <f>""</f>
        <v/>
      </c>
      <c r="AX6" t="str">
        <f>""</f>
        <v/>
      </c>
      <c r="AY6" t="str">
        <f>""</f>
        <v/>
      </c>
      <c r="AZ6" t="str">
        <f>""</f>
        <v/>
      </c>
      <c r="BA6" t="str">
        <f>""</f>
        <v/>
      </c>
      <c r="BB6" t="str">
        <f>""</f>
        <v/>
      </c>
      <c r="BC6" t="str">
        <f>""</f>
        <v/>
      </c>
      <c r="BD6" t="str">
        <f>""</f>
        <v/>
      </c>
      <c r="BE6" t="str">
        <f>""</f>
        <v/>
      </c>
      <c r="BF6" t="str">
        <f t="shared" si="6"/>
        <v>A</v>
      </c>
      <c r="BG6" t="str">
        <f t="shared" si="11"/>
        <v>0,00</v>
      </c>
      <c r="BH6" t="str">
        <f t="shared" si="11"/>
        <v>0,00</v>
      </c>
      <c r="BI6" t="str">
        <f t="shared" si="7"/>
        <v>EVENTUAL</v>
      </c>
      <c r="BJ6" t="str">
        <f t="shared" si="8"/>
        <v>1</v>
      </c>
      <c r="BK6" t="str">
        <f t="shared" si="9"/>
        <v>Farmacia</v>
      </c>
      <c r="BL6" t="str">
        <f>""</f>
        <v/>
      </c>
      <c r="BM6" t="str">
        <f>"NÃO É VARILUX ESPECIALISTA"</f>
        <v>NÃO É VARILUX ESPECIALISTA</v>
      </c>
      <c r="BN6" t="str">
        <f>"NA"</f>
        <v>NA</v>
      </c>
      <c r="BO6" t="str">
        <f>"FOCO VARILUX"</f>
        <v>FOCO VARILUX</v>
      </c>
      <c r="BP6" t="str">
        <f>""</f>
        <v/>
      </c>
      <c r="BQ6" t="str">
        <f>""</f>
        <v/>
      </c>
      <c r="BR6" t="str">
        <f>""</f>
        <v/>
      </c>
      <c r="BS6" t="str">
        <f>""</f>
        <v/>
      </c>
      <c r="BT6" t="str">
        <f>""</f>
        <v/>
      </c>
      <c r="BU6" t="str">
        <f>""</f>
        <v/>
      </c>
      <c r="BV6" t="str">
        <f>"9"</f>
        <v>9</v>
      </c>
      <c r="BW6" t="str">
        <f>"Não visitado"</f>
        <v>Não visitado</v>
      </c>
    </row>
    <row r="7" spans="1:75" x14ac:dyDescent="0.35">
      <c r="A7">
        <v>144827</v>
      </c>
      <c r="B7" t="str">
        <f t="shared" si="0"/>
        <v>A</v>
      </c>
      <c r="C7" t="str">
        <f t="shared" si="1"/>
        <v>80</v>
      </c>
      <c r="D7" t="str">
        <f t="shared" si="2"/>
        <v>11121001</v>
      </c>
      <c r="E7" t="str">
        <f t="shared" si="3"/>
        <v>121001</v>
      </c>
      <c r="F7" t="str">
        <f t="shared" si="4"/>
        <v>JENIFER SANTOS</v>
      </c>
      <c r="G7" t="str">
        <f>"82472341000124"</f>
        <v>82472341000124</v>
      </c>
      <c r="H7" t="str">
        <f>""</f>
        <v/>
      </c>
      <c r="I7" t="str">
        <f t="shared" si="5"/>
        <v>CONTA OPTICA</v>
      </c>
      <c r="J7" t="str">
        <f>"ADILSON LUIS TRENTO ME"</f>
        <v>ADILSON LUIS TRENTO ME</v>
      </c>
      <c r="K7" t="str">
        <f>"RELOJOARIA SAFIRA (2019)"</f>
        <v>RELOJOARIA SAFIRA (2019)</v>
      </c>
      <c r="L7" t="str">
        <f>""</f>
        <v/>
      </c>
      <c r="M7" t="str">
        <f>""</f>
        <v/>
      </c>
      <c r="N7" t="str">
        <f>"relojoaria_safira@live.com"</f>
        <v>relojoaria_safira@live.com</v>
      </c>
      <c r="O7" t="str">
        <f>""</f>
        <v/>
      </c>
      <c r="P7" t="str">
        <f>"AVENIDA MANOEL RIBAS"</f>
        <v>AVENIDA MANOEL RIBAS</v>
      </c>
      <c r="Q7" t="str">
        <f>"236"</f>
        <v>236</v>
      </c>
      <c r="R7" t="str">
        <f>"LOJA"</f>
        <v>LOJA</v>
      </c>
      <c r="S7" t="str">
        <f>""</f>
        <v/>
      </c>
      <c r="T7" t="str">
        <f>"84600280"</f>
        <v>84600280</v>
      </c>
      <c r="U7" t="str">
        <f t="shared" si="12"/>
        <v>CENTRO</v>
      </c>
      <c r="V7" t="str">
        <f>"UNIÃO DA VITÓRIA"</f>
        <v>UNIÃO DA VITÓRIA</v>
      </c>
      <c r="W7" t="str">
        <f>"PR"</f>
        <v>PR</v>
      </c>
      <c r="X7" t="str">
        <f>"42"</f>
        <v>42</v>
      </c>
      <c r="Y7" t="str">
        <f>"35223047"</f>
        <v>35223047</v>
      </c>
      <c r="Z7" t="str">
        <f>""</f>
        <v/>
      </c>
      <c r="AA7" t="str">
        <f>""</f>
        <v/>
      </c>
      <c r="AB7" t="str">
        <f>""</f>
        <v/>
      </c>
      <c r="AC7" t="str">
        <f>""</f>
        <v/>
      </c>
      <c r="AD7" t="str">
        <f>""</f>
        <v/>
      </c>
      <c r="AE7" t="str">
        <f>""</f>
        <v/>
      </c>
      <c r="AF7" t="str">
        <f>""</f>
        <v/>
      </c>
      <c r="AG7" t="str">
        <f>""</f>
        <v/>
      </c>
      <c r="AH7" t="str">
        <f>""</f>
        <v/>
      </c>
      <c r="AI7" t="str">
        <f>""</f>
        <v/>
      </c>
      <c r="AJ7" t="str">
        <f t="shared" si="10"/>
        <v>0</v>
      </c>
      <c r="AK7" t="str">
        <f t="shared" si="10"/>
        <v>0</v>
      </c>
      <c r="AL7" t="str">
        <f t="shared" si="10"/>
        <v>0</v>
      </c>
      <c r="AM7" t="str">
        <f>""</f>
        <v/>
      </c>
      <c r="AN7" t="str">
        <f>""</f>
        <v/>
      </c>
      <c r="AO7" t="str">
        <f>""</f>
        <v/>
      </c>
      <c r="AP7" t="str">
        <f>""</f>
        <v/>
      </c>
      <c r="AQ7" t="str">
        <f>""</f>
        <v/>
      </c>
      <c r="AR7" t="str">
        <f>""</f>
        <v/>
      </c>
      <c r="AS7" t="str">
        <f>""</f>
        <v/>
      </c>
      <c r="AT7" t="str">
        <f>""</f>
        <v/>
      </c>
      <c r="AU7" t="str">
        <f>""</f>
        <v/>
      </c>
      <c r="AV7" t="str">
        <f>""</f>
        <v/>
      </c>
      <c r="AW7" t="str">
        <f>""</f>
        <v/>
      </c>
      <c r="AX7" t="str">
        <f>""</f>
        <v/>
      </c>
      <c r="AY7" t="str">
        <f>""</f>
        <v/>
      </c>
      <c r="AZ7" t="str">
        <f>""</f>
        <v/>
      </c>
      <c r="BA7" t="str">
        <f>""</f>
        <v/>
      </c>
      <c r="BB7" t="str">
        <f>""</f>
        <v/>
      </c>
      <c r="BC7" t="str">
        <f>""</f>
        <v/>
      </c>
      <c r="BD7" t="str">
        <f>""</f>
        <v/>
      </c>
      <c r="BE7" t="str">
        <f>""</f>
        <v/>
      </c>
      <c r="BF7" t="str">
        <f t="shared" si="6"/>
        <v>A</v>
      </c>
      <c r="BG7" t="str">
        <f t="shared" si="11"/>
        <v>0,00</v>
      </c>
      <c r="BH7" t="str">
        <f t="shared" si="11"/>
        <v>0,00</v>
      </c>
      <c r="BI7" t="str">
        <f t="shared" si="7"/>
        <v>EVENTUAL</v>
      </c>
      <c r="BJ7" t="str">
        <f t="shared" si="8"/>
        <v>1</v>
      </c>
      <c r="BK7" t="str">
        <f t="shared" si="9"/>
        <v>Farmacia</v>
      </c>
      <c r="BL7" t="str">
        <f>""</f>
        <v/>
      </c>
      <c r="BM7" t="str">
        <f>"NÃO É VARILUX ESPECIALISTA"</f>
        <v>NÃO É VARILUX ESPECIALISTA</v>
      </c>
      <c r="BN7" t="str">
        <f>"NA"</f>
        <v>NA</v>
      </c>
      <c r="BO7" t="str">
        <f>"FOCO VARILUX"</f>
        <v>FOCO VARILUX</v>
      </c>
      <c r="BP7" t="str">
        <f>""</f>
        <v/>
      </c>
      <c r="BQ7" t="str">
        <f>""</f>
        <v/>
      </c>
      <c r="BR7" t="str">
        <f>""</f>
        <v/>
      </c>
      <c r="BS7" t="str">
        <f>""</f>
        <v/>
      </c>
      <c r="BT7" t="str">
        <f>""</f>
        <v/>
      </c>
      <c r="BU7" t="str">
        <f>""</f>
        <v/>
      </c>
      <c r="BV7" t="str">
        <f>""</f>
        <v/>
      </c>
      <c r="BW7" t="str">
        <f>"105"</f>
        <v>105</v>
      </c>
    </row>
    <row r="8" spans="1:75" x14ac:dyDescent="0.35">
      <c r="A8">
        <v>138869</v>
      </c>
      <c r="B8" t="str">
        <f t="shared" si="0"/>
        <v>A</v>
      </c>
      <c r="C8" t="str">
        <f t="shared" si="1"/>
        <v>80</v>
      </c>
      <c r="D8" t="str">
        <f t="shared" si="2"/>
        <v>11121001</v>
      </c>
      <c r="E8" t="str">
        <f t="shared" si="3"/>
        <v>121001</v>
      </c>
      <c r="F8" t="str">
        <f t="shared" si="4"/>
        <v>JENIFER SANTOS</v>
      </c>
      <c r="G8" t="str">
        <f>"76841105000135"</f>
        <v>76841105000135</v>
      </c>
      <c r="H8" t="str">
        <f>"0"</f>
        <v>0</v>
      </c>
      <c r="I8" t="str">
        <f t="shared" si="5"/>
        <v>CONTA OPTICA</v>
      </c>
      <c r="J8" t="str">
        <f>"AIRTON GIORGI"</f>
        <v>AIRTON GIORGI</v>
      </c>
      <c r="K8" t="str">
        <f>"OPTICA OMEGA (10)"</f>
        <v>OPTICA OMEGA (10)</v>
      </c>
      <c r="L8" t="str">
        <f>""</f>
        <v/>
      </c>
      <c r="M8" t="str">
        <f>""</f>
        <v/>
      </c>
      <c r="N8" t="str">
        <f>"AIRTONGIORGI@GMAIL.COM"</f>
        <v>AIRTONGIORGI@GMAIL.COM</v>
      </c>
      <c r="O8" t="str">
        <f>""</f>
        <v/>
      </c>
      <c r="P8" t="str">
        <f>"AVENIDA SALOMAO C. ALMEIDA"</f>
        <v>AVENIDA SALOMAO C. ALMEIDA</v>
      </c>
      <c r="Q8" t="str">
        <f>"77"</f>
        <v>77</v>
      </c>
      <c r="R8" t="str">
        <f>""</f>
        <v/>
      </c>
      <c r="S8" t="str">
        <f>"1284"</f>
        <v>1284</v>
      </c>
      <c r="T8" t="str">
        <f>"89520000"</f>
        <v>89520000</v>
      </c>
      <c r="U8" t="str">
        <f t="shared" si="12"/>
        <v>CENTRO</v>
      </c>
      <c r="V8" t="str">
        <f>"CURITIBANOS"</f>
        <v>CURITIBANOS</v>
      </c>
      <c r="W8" t="str">
        <f>"SC"</f>
        <v>SC</v>
      </c>
      <c r="X8" t="str">
        <f>"49"</f>
        <v>49</v>
      </c>
      <c r="Y8" t="str">
        <f>"32450643"</f>
        <v>32450643</v>
      </c>
      <c r="Z8" t="str">
        <f>""</f>
        <v/>
      </c>
      <c r="AA8" t="str">
        <f>""</f>
        <v/>
      </c>
      <c r="AB8" t="str">
        <f>""</f>
        <v/>
      </c>
      <c r="AC8" t="str">
        <f>""</f>
        <v/>
      </c>
      <c r="AD8" t="str">
        <f>""</f>
        <v/>
      </c>
      <c r="AE8" t="str">
        <f>""</f>
        <v/>
      </c>
      <c r="AF8" t="str">
        <f>""</f>
        <v/>
      </c>
      <c r="AG8" t="str">
        <f>"S"</f>
        <v>S</v>
      </c>
      <c r="AH8" t="str">
        <f>""</f>
        <v/>
      </c>
      <c r="AI8" t="str">
        <f>""</f>
        <v/>
      </c>
      <c r="AJ8" t="str">
        <f>""</f>
        <v/>
      </c>
      <c r="AK8" t="str">
        <f>""</f>
        <v/>
      </c>
      <c r="AL8" t="str">
        <f>""</f>
        <v/>
      </c>
      <c r="AM8" t="str">
        <f>""</f>
        <v/>
      </c>
      <c r="AN8" t="str">
        <f>""</f>
        <v/>
      </c>
      <c r="AO8" t="str">
        <f>""</f>
        <v/>
      </c>
      <c r="AP8" t="str">
        <f>""</f>
        <v/>
      </c>
      <c r="AQ8" t="str">
        <f>"N"</f>
        <v>N</v>
      </c>
      <c r="AR8" t="str">
        <f>"N"</f>
        <v>N</v>
      </c>
      <c r="AS8" t="str">
        <f>"N"</f>
        <v>N</v>
      </c>
      <c r="AT8" t="str">
        <f>"N"</f>
        <v>N</v>
      </c>
      <c r="AU8" t="str">
        <f>"N"</f>
        <v>N</v>
      </c>
      <c r="AV8" t="str">
        <f>""</f>
        <v/>
      </c>
      <c r="AW8" t="str">
        <f>""</f>
        <v/>
      </c>
      <c r="AX8" t="str">
        <f>""</f>
        <v/>
      </c>
      <c r="AY8" t="str">
        <f>""</f>
        <v/>
      </c>
      <c r="AZ8" t="str">
        <f>""</f>
        <v/>
      </c>
      <c r="BA8" t="str">
        <f>""</f>
        <v/>
      </c>
      <c r="BB8" t="str">
        <f>"15/07/2021 10:57:44"</f>
        <v>15/07/2021 10:57:44</v>
      </c>
      <c r="BC8" t="str">
        <f>"08/06/2022 11:02:28"</f>
        <v>08/06/2022 11:02:28</v>
      </c>
      <c r="BD8" t="str">
        <f>""</f>
        <v/>
      </c>
      <c r="BE8" t="str">
        <f>""</f>
        <v/>
      </c>
      <c r="BF8" t="str">
        <f t="shared" si="6"/>
        <v>A</v>
      </c>
      <c r="BG8" t="str">
        <f>""</f>
        <v/>
      </c>
      <c r="BH8" t="str">
        <f>"0,00"</f>
        <v>0,00</v>
      </c>
      <c r="BI8" t="str">
        <f t="shared" si="7"/>
        <v>EVENTUAL</v>
      </c>
      <c r="BJ8" t="str">
        <f t="shared" si="8"/>
        <v>1</v>
      </c>
      <c r="BK8" t="str">
        <f t="shared" si="9"/>
        <v>Farmacia</v>
      </c>
      <c r="BL8" t="str">
        <f>""</f>
        <v/>
      </c>
      <c r="BM8" t="str">
        <f>"NÃO É VARILUX ESPECIALISTA"</f>
        <v>NÃO É VARILUX ESPECIALISTA</v>
      </c>
      <c r="BN8" t="str">
        <f>"EL360"</f>
        <v>EL360</v>
      </c>
      <c r="BO8" t="str">
        <f>"FOCO KODAK 2"</f>
        <v>FOCO KODAK 2</v>
      </c>
      <c r="BP8" t="str">
        <f>""</f>
        <v/>
      </c>
      <c r="BQ8" t="str">
        <f>""</f>
        <v/>
      </c>
      <c r="BR8" t="str">
        <f>"15/07/2021"</f>
        <v>15/07/2021</v>
      </c>
      <c r="BS8" t="str">
        <f>"08/06/2022"</f>
        <v>08/06/2022</v>
      </c>
      <c r="BT8" t="str">
        <f>""</f>
        <v/>
      </c>
      <c r="BU8" t="str">
        <f>""</f>
        <v/>
      </c>
      <c r="BV8" t="str">
        <f>""</f>
        <v/>
      </c>
      <c r="BW8" t="str">
        <f>"67"</f>
        <v>67</v>
      </c>
    </row>
    <row r="9" spans="1:75" x14ac:dyDescent="0.35">
      <c r="A9">
        <v>157524</v>
      </c>
      <c r="B9" t="str">
        <f t="shared" si="0"/>
        <v>A</v>
      </c>
      <c r="C9" t="str">
        <f t="shared" si="1"/>
        <v>80</v>
      </c>
      <c r="D9" t="str">
        <f t="shared" si="2"/>
        <v>11121001</v>
      </c>
      <c r="E9" t="str">
        <f t="shared" si="3"/>
        <v>121001</v>
      </c>
      <c r="F9" t="str">
        <f t="shared" si="4"/>
        <v>JENIFER SANTOS</v>
      </c>
      <c r="G9" t="str">
        <f>"13845019000180"</f>
        <v>13845019000180</v>
      </c>
      <c r="H9" t="str">
        <f>"0"</f>
        <v>0</v>
      </c>
      <c r="I9" t="str">
        <f t="shared" si="5"/>
        <v>CONTA OPTICA</v>
      </c>
      <c r="J9" t="str">
        <f>"ALTEMIR ANTONIO BIGOLIN"</f>
        <v>ALTEMIR ANTONIO BIGOLIN</v>
      </c>
      <c r="K9" t="str">
        <f>"OPTICA VISAO (4159)"</f>
        <v>OPTICA VISAO (4159)</v>
      </c>
      <c r="L9" t="str">
        <f>""</f>
        <v/>
      </c>
      <c r="M9" t="str">
        <f>""</f>
        <v/>
      </c>
      <c r="N9" t="str">
        <f>"VISAOOPTICA@IBEST.COM.BR"</f>
        <v>VISAOOPTICA@IBEST.COM.BR</v>
      </c>
      <c r="O9" t="str">
        <f>""</f>
        <v/>
      </c>
      <c r="P9" t="str">
        <f>"MAURICIO CARDOSO"</f>
        <v>MAURICIO CARDOSO</v>
      </c>
      <c r="Q9" t="str">
        <f>"73"</f>
        <v>73</v>
      </c>
      <c r="R9" t="str">
        <f>""</f>
        <v/>
      </c>
      <c r="S9" t="str">
        <f>""</f>
        <v/>
      </c>
      <c r="T9" t="str">
        <f>"99700010"</f>
        <v>99700010</v>
      </c>
      <c r="U9" t="str">
        <f t="shared" si="12"/>
        <v>CENTRO</v>
      </c>
      <c r="V9" t="str">
        <f>"ERECHIM"</f>
        <v>ERECHIM</v>
      </c>
      <c r="W9" t="str">
        <f>"RS"</f>
        <v>RS</v>
      </c>
      <c r="X9" t="str">
        <f>"54"</f>
        <v>54</v>
      </c>
      <c r="Y9" t="str">
        <f>"35227392"</f>
        <v>35227392</v>
      </c>
      <c r="Z9" t="str">
        <f>""</f>
        <v/>
      </c>
      <c r="AA9" t="str">
        <f>""</f>
        <v/>
      </c>
      <c r="AB9" t="str">
        <f>""</f>
        <v/>
      </c>
      <c r="AC9" t="str">
        <f>""</f>
        <v/>
      </c>
      <c r="AD9" t="str">
        <f>""</f>
        <v/>
      </c>
      <c r="AE9" t="str">
        <f>""</f>
        <v/>
      </c>
      <c r="AF9" t="str">
        <f>""</f>
        <v/>
      </c>
      <c r="AG9" t="str">
        <f>""</f>
        <v/>
      </c>
      <c r="AH9" t="str">
        <f>""</f>
        <v/>
      </c>
      <c r="AI9" t="str">
        <f>""</f>
        <v/>
      </c>
      <c r="AJ9" t="str">
        <f>""</f>
        <v/>
      </c>
      <c r="AK9" t="str">
        <f>""</f>
        <v/>
      </c>
      <c r="AL9" t="str">
        <f>""</f>
        <v/>
      </c>
      <c r="AM9" t="str">
        <f>""</f>
        <v/>
      </c>
      <c r="AN9" t="str">
        <f>""</f>
        <v/>
      </c>
      <c r="AO9" t="str">
        <f>""</f>
        <v/>
      </c>
      <c r="AP9" t="str">
        <f>""</f>
        <v/>
      </c>
      <c r="AQ9" t="str">
        <f>""</f>
        <v/>
      </c>
      <c r="AR9" t="str">
        <f>""</f>
        <v/>
      </c>
      <c r="AS9" t="str">
        <f>""</f>
        <v/>
      </c>
      <c r="AT9" t="str">
        <f>""</f>
        <v/>
      </c>
      <c r="AU9" t="str">
        <f>""</f>
        <v/>
      </c>
      <c r="AV9" t="str">
        <f>""</f>
        <v/>
      </c>
      <c r="AW9" t="str">
        <f>""</f>
        <v/>
      </c>
      <c r="AX9" t="str">
        <f>""</f>
        <v/>
      </c>
      <c r="AY9" t="str">
        <f>""</f>
        <v/>
      </c>
      <c r="AZ9" t="str">
        <f>""</f>
        <v/>
      </c>
      <c r="BA9" t="str">
        <f>""</f>
        <v/>
      </c>
      <c r="BB9" t="str">
        <f>"11/07/2023 02:14:29"</f>
        <v>11/07/2023 02:14:29</v>
      </c>
      <c r="BC9" t="str">
        <f>""</f>
        <v/>
      </c>
      <c r="BD9" t="str">
        <f>""</f>
        <v/>
      </c>
      <c r="BE9" t="str">
        <f>""</f>
        <v/>
      </c>
      <c r="BF9" t="str">
        <f t="shared" si="6"/>
        <v>A</v>
      </c>
      <c r="BG9" t="str">
        <f>""</f>
        <v/>
      </c>
      <c r="BH9" t="str">
        <f>""</f>
        <v/>
      </c>
      <c r="BI9" t="str">
        <f t="shared" si="7"/>
        <v>EVENTUAL</v>
      </c>
      <c r="BJ9" t="str">
        <f t="shared" si="8"/>
        <v>1</v>
      </c>
      <c r="BK9" t="str">
        <f t="shared" si="9"/>
        <v>Farmacia</v>
      </c>
      <c r="BL9" t="str">
        <f>""</f>
        <v/>
      </c>
      <c r="BM9" t="str">
        <f>""</f>
        <v/>
      </c>
      <c r="BN9" t="str">
        <f>""</f>
        <v/>
      </c>
      <c r="BO9" t="str">
        <f>""</f>
        <v/>
      </c>
      <c r="BP9" t="str">
        <f>""</f>
        <v/>
      </c>
      <c r="BQ9" t="str">
        <f>""</f>
        <v/>
      </c>
      <c r="BR9" t="str">
        <f>"11/07/2023"</f>
        <v>11/07/2023</v>
      </c>
      <c r="BS9" t="str">
        <f>""</f>
        <v/>
      </c>
      <c r="BT9" t="str">
        <f>""</f>
        <v/>
      </c>
      <c r="BU9" t="str">
        <f>""</f>
        <v/>
      </c>
      <c r="BV9" t="str">
        <f>""</f>
        <v/>
      </c>
      <c r="BW9" t="str">
        <f>"Não visitado"</f>
        <v>Não visitado</v>
      </c>
    </row>
    <row r="10" spans="1:75" x14ac:dyDescent="0.35">
      <c r="A10">
        <v>858</v>
      </c>
      <c r="B10" t="str">
        <f t="shared" si="0"/>
        <v>A</v>
      </c>
      <c r="C10" t="str">
        <f t="shared" si="1"/>
        <v>80</v>
      </c>
      <c r="D10" t="str">
        <f t="shared" si="2"/>
        <v>11121001</v>
      </c>
      <c r="E10" t="str">
        <f t="shared" si="3"/>
        <v>121001</v>
      </c>
      <c r="F10" t="str">
        <f t="shared" si="4"/>
        <v>JENIFER SANTOS</v>
      </c>
      <c r="G10" t="str">
        <f>"04921483000118"</f>
        <v>04921483000118</v>
      </c>
      <c r="H10" t="str">
        <f>""</f>
        <v/>
      </c>
      <c r="I10" t="str">
        <f t="shared" si="5"/>
        <v>CONTA OPTICA</v>
      </c>
      <c r="J10" t="str">
        <f>"AMAGI COMERCIO DE PRODUTOS OPTICOS LTDA ME"</f>
        <v>AMAGI COMERCIO DE PRODUTOS OPTICOS LTDA ME</v>
      </c>
      <c r="K10" t="str">
        <f>"OTICA OLHO MAGICO (145)"</f>
        <v>OTICA OLHO MAGICO (145)</v>
      </c>
      <c r="L10" t="str">
        <f>""</f>
        <v/>
      </c>
      <c r="M10" t="str">
        <f>""</f>
        <v/>
      </c>
      <c r="N10" t="str">
        <f>"oticaolhomagico@terra.com.br"</f>
        <v>oticaolhomagico@terra.com.br</v>
      </c>
      <c r="O10" t="str">
        <f>""</f>
        <v/>
      </c>
      <c r="P10" t="str">
        <f>"RUA LAGES"</f>
        <v>RUA LAGES</v>
      </c>
      <c r="Q10" t="str">
        <f>"533"</f>
        <v>533</v>
      </c>
      <c r="R10" t="str">
        <f>""</f>
        <v/>
      </c>
      <c r="S10" t="str">
        <f>"1277"</f>
        <v>1277</v>
      </c>
      <c r="T10" t="str">
        <f>"89201205"</f>
        <v>89201205</v>
      </c>
      <c r="U10" t="str">
        <f t="shared" si="12"/>
        <v>CENTRO</v>
      </c>
      <c r="V10" t="str">
        <f>"JOINVILLE"</f>
        <v>JOINVILLE</v>
      </c>
      <c r="W10" t="str">
        <f t="shared" ref="W10:W31" si="13">"SC"</f>
        <v>SC</v>
      </c>
      <c r="X10" t="str">
        <f>"47"</f>
        <v>47</v>
      </c>
      <c r="Y10" t="str">
        <f>"30255222"</f>
        <v>30255222</v>
      </c>
      <c r="Z10" t="str">
        <f>""</f>
        <v/>
      </c>
      <c r="AA10" t="str">
        <f>""</f>
        <v/>
      </c>
      <c r="AB10" t="str">
        <f>""</f>
        <v/>
      </c>
      <c r="AC10" t="str">
        <f>""</f>
        <v/>
      </c>
      <c r="AD10" t="str">
        <f>""</f>
        <v/>
      </c>
      <c r="AE10" t="str">
        <f>""</f>
        <v/>
      </c>
      <c r="AF10" t="str">
        <f>""</f>
        <v/>
      </c>
      <c r="AG10" t="str">
        <f>""</f>
        <v/>
      </c>
      <c r="AH10" t="str">
        <f>""</f>
        <v/>
      </c>
      <c r="AI10" t="str">
        <f>""</f>
        <v/>
      </c>
      <c r="AJ10" t="str">
        <f>"0"</f>
        <v>0</v>
      </c>
      <c r="AK10" t="str">
        <f>"0"</f>
        <v>0</v>
      </c>
      <c r="AL10" t="str">
        <f>"0"</f>
        <v>0</v>
      </c>
      <c r="AM10" t="str">
        <f>""</f>
        <v/>
      </c>
      <c r="AN10" t="str">
        <f>""</f>
        <v/>
      </c>
      <c r="AO10" t="str">
        <f>""</f>
        <v/>
      </c>
      <c r="AP10" t="str">
        <f>""</f>
        <v/>
      </c>
      <c r="AQ10" t="str">
        <f>""</f>
        <v/>
      </c>
      <c r="AR10" t="str">
        <f>""</f>
        <v/>
      </c>
      <c r="AS10" t="str">
        <f>""</f>
        <v/>
      </c>
      <c r="AT10" t="str">
        <f>""</f>
        <v/>
      </c>
      <c r="AU10" t="str">
        <f>""</f>
        <v/>
      </c>
      <c r="AV10" t="str">
        <f>""</f>
        <v/>
      </c>
      <c r="AW10" t="str">
        <f>""</f>
        <v/>
      </c>
      <c r="AX10" t="str">
        <f>""</f>
        <v/>
      </c>
      <c r="AY10" t="str">
        <f>""</f>
        <v/>
      </c>
      <c r="AZ10" t="str">
        <f>""</f>
        <v/>
      </c>
      <c r="BA10" t="str">
        <f>""</f>
        <v/>
      </c>
      <c r="BB10" t="str">
        <f>"27/07/2018 09:25:52"</f>
        <v>27/07/2018 09:25:52</v>
      </c>
      <c r="BC10" t="str">
        <f>""</f>
        <v/>
      </c>
      <c r="BD10" t="str">
        <f>""</f>
        <v/>
      </c>
      <c r="BE10" t="str">
        <f>"858"</f>
        <v>858</v>
      </c>
      <c r="BF10" t="str">
        <f t="shared" si="6"/>
        <v>A</v>
      </c>
      <c r="BG10" t="str">
        <f>"0,00"</f>
        <v>0,00</v>
      </c>
      <c r="BH10" t="str">
        <f>"0,00"</f>
        <v>0,00</v>
      </c>
      <c r="BI10" t="str">
        <f t="shared" si="7"/>
        <v>EVENTUAL</v>
      </c>
      <c r="BJ10" t="str">
        <f t="shared" si="8"/>
        <v>1</v>
      </c>
      <c r="BK10" t="str">
        <f t="shared" si="9"/>
        <v>Farmacia</v>
      </c>
      <c r="BL10" t="str">
        <f>""</f>
        <v/>
      </c>
      <c r="BM10" t="str">
        <f>"VARILUX ESPECIALISTA PLATINE"</f>
        <v>VARILUX ESPECIALISTA PLATINE</v>
      </c>
      <c r="BN10" t="str">
        <f>"NA"</f>
        <v>NA</v>
      </c>
      <c r="BO10" t="str">
        <f>"FOCO VARILUX DIGITAL"</f>
        <v>FOCO VARILUX DIGITAL</v>
      </c>
      <c r="BP10" t="str">
        <f>""</f>
        <v/>
      </c>
      <c r="BQ10" t="str">
        <f>""</f>
        <v/>
      </c>
      <c r="BR10" t="str">
        <f>"27/07/2018"</f>
        <v>27/07/2018</v>
      </c>
      <c r="BS10" t="str">
        <f>""</f>
        <v/>
      </c>
      <c r="BT10" t="str">
        <f>""</f>
        <v/>
      </c>
      <c r="BU10" t="str">
        <f>""</f>
        <v/>
      </c>
      <c r="BV10" t="str">
        <f>"5"</f>
        <v>5</v>
      </c>
      <c r="BW10" t="str">
        <f>"46"</f>
        <v>46</v>
      </c>
    </row>
    <row r="11" spans="1:75" x14ac:dyDescent="0.35">
      <c r="A11">
        <v>156721</v>
      </c>
      <c r="B11" t="str">
        <f t="shared" si="0"/>
        <v>A</v>
      </c>
      <c r="C11" t="str">
        <f t="shared" si="1"/>
        <v>80</v>
      </c>
      <c r="D11" t="str">
        <f t="shared" si="2"/>
        <v>11121001</v>
      </c>
      <c r="E11" t="str">
        <f t="shared" si="3"/>
        <v>121001</v>
      </c>
      <c r="F11" t="str">
        <f t="shared" si="4"/>
        <v>JENIFER SANTOS</v>
      </c>
      <c r="G11" t="str">
        <f>"47585925000105"</f>
        <v>47585925000105</v>
      </c>
      <c r="H11" t="str">
        <f>"0"</f>
        <v>0</v>
      </c>
      <c r="I11" t="str">
        <f t="shared" si="5"/>
        <v>CONTA OPTICA</v>
      </c>
      <c r="J11" t="str">
        <f>"ANA KIFER OTICA E RELOJOARIA LTDA"</f>
        <v>ANA KIFER OTICA E RELOJOARIA LTDA</v>
      </c>
      <c r="K11" t="str">
        <f>"EXCLUSIVE OTICA E RELOJOARIA (4561)"</f>
        <v>EXCLUSIVE OTICA E RELOJOARIA (4561)</v>
      </c>
      <c r="L11" t="str">
        <f>""</f>
        <v/>
      </c>
      <c r="M11" t="str">
        <f>""</f>
        <v/>
      </c>
      <c r="N11" t="str">
        <f>"EXCLUSIVEOTICA.MH@GMAIL.COM"</f>
        <v>EXCLUSIVEOTICA.MH@GMAIL.COM</v>
      </c>
      <c r="O11" t="str">
        <f>""</f>
        <v/>
      </c>
      <c r="P11" t="str">
        <f>"7 DE SETEMBRO"</f>
        <v>7 DE SETEMBRO</v>
      </c>
      <c r="Q11" t="str">
        <f>"400"</f>
        <v>400</v>
      </c>
      <c r="R11" t="str">
        <f>"SALA 03"</f>
        <v>SALA 03</v>
      </c>
      <c r="S11" t="str">
        <f>"1288"</f>
        <v>1288</v>
      </c>
      <c r="T11" t="str">
        <f>"89874000"</f>
        <v>89874000</v>
      </c>
      <c r="U11" t="str">
        <f t="shared" si="12"/>
        <v>CENTRO</v>
      </c>
      <c r="V11" t="str">
        <f>"MARAVILHA"</f>
        <v>MARAVILHA</v>
      </c>
      <c r="W11" t="str">
        <f t="shared" si="13"/>
        <v>SC</v>
      </c>
      <c r="X11" t="str">
        <f>"49"</f>
        <v>49</v>
      </c>
      <c r="Y11" t="str">
        <f>"999347686"</f>
        <v>999347686</v>
      </c>
      <c r="Z11" t="str">
        <f>""</f>
        <v/>
      </c>
      <c r="AA11" t="str">
        <f>""</f>
        <v/>
      </c>
      <c r="AB11" t="str">
        <f>""</f>
        <v/>
      </c>
      <c r="AC11" t="str">
        <f>""</f>
        <v/>
      </c>
      <c r="AD11" t="str">
        <f>""</f>
        <v/>
      </c>
      <c r="AE11" t="str">
        <f>""</f>
        <v/>
      </c>
      <c r="AF11" t="str">
        <f>""</f>
        <v/>
      </c>
      <c r="AG11" t="str">
        <f>""</f>
        <v/>
      </c>
      <c r="AH11" t="str">
        <f>""</f>
        <v/>
      </c>
      <c r="AI11" t="str">
        <f>""</f>
        <v/>
      </c>
      <c r="AJ11" t="str">
        <f>""</f>
        <v/>
      </c>
      <c r="AK11" t="str">
        <f>""</f>
        <v/>
      </c>
      <c r="AL11" t="str">
        <f>""</f>
        <v/>
      </c>
      <c r="AM11" t="str">
        <f>""</f>
        <v/>
      </c>
      <c r="AN11" t="str">
        <f>""</f>
        <v/>
      </c>
      <c r="AO11" t="str">
        <f>""</f>
        <v/>
      </c>
      <c r="AP11" t="str">
        <f>""</f>
        <v/>
      </c>
      <c r="AQ11" t="str">
        <f>""</f>
        <v/>
      </c>
      <c r="AR11" t="str">
        <f>""</f>
        <v/>
      </c>
      <c r="AS11" t="str">
        <f>""</f>
        <v/>
      </c>
      <c r="AT11" t="str">
        <f>""</f>
        <v/>
      </c>
      <c r="AU11" t="str">
        <f>""</f>
        <v/>
      </c>
      <c r="AV11" t="str">
        <f>""</f>
        <v/>
      </c>
      <c r="AW11" t="str">
        <f>""</f>
        <v/>
      </c>
      <c r="AX11" t="str">
        <f>""</f>
        <v/>
      </c>
      <c r="AY11" t="str">
        <f>""</f>
        <v/>
      </c>
      <c r="AZ11" t="str">
        <f>""</f>
        <v/>
      </c>
      <c r="BA11" t="str">
        <f>""</f>
        <v/>
      </c>
      <c r="BB11" t="str">
        <f>"06/07/2023 12:07:48"</f>
        <v>06/07/2023 12:07:48</v>
      </c>
      <c r="BC11" t="str">
        <f>""</f>
        <v/>
      </c>
      <c r="BD11" t="str">
        <f>""</f>
        <v/>
      </c>
      <c r="BE11" t="str">
        <f>""</f>
        <v/>
      </c>
      <c r="BF11" t="str">
        <f t="shared" si="6"/>
        <v>A</v>
      </c>
      <c r="BG11" t="str">
        <f>""</f>
        <v/>
      </c>
      <c r="BH11" t="str">
        <f>""</f>
        <v/>
      </c>
      <c r="BI11" t="str">
        <f t="shared" si="7"/>
        <v>EVENTUAL</v>
      </c>
      <c r="BJ11" t="str">
        <f t="shared" si="8"/>
        <v>1</v>
      </c>
      <c r="BK11" t="str">
        <f t="shared" si="9"/>
        <v>Farmacia</v>
      </c>
      <c r="BL11" t="str">
        <f>""</f>
        <v/>
      </c>
      <c r="BM11" t="str">
        <f>""</f>
        <v/>
      </c>
      <c r="BN11" t="str">
        <f>""</f>
        <v/>
      </c>
      <c r="BO11" t="str">
        <f>""</f>
        <v/>
      </c>
      <c r="BP11" t="str">
        <f>""</f>
        <v/>
      </c>
      <c r="BQ11" t="str">
        <f>""</f>
        <v/>
      </c>
      <c r="BR11" t="str">
        <f>"06/07/2023"</f>
        <v>06/07/2023</v>
      </c>
      <c r="BS11" t="str">
        <f>""</f>
        <v/>
      </c>
      <c r="BT11" t="str">
        <f>""</f>
        <v/>
      </c>
      <c r="BU11" t="str">
        <f>""</f>
        <v/>
      </c>
      <c r="BV11" t="str">
        <f>""</f>
        <v/>
      </c>
      <c r="BW11" t="str">
        <f>"105"</f>
        <v>105</v>
      </c>
    </row>
    <row r="12" spans="1:75" x14ac:dyDescent="0.35">
      <c r="A12">
        <v>118719</v>
      </c>
      <c r="B12" t="str">
        <f t="shared" si="0"/>
        <v>A</v>
      </c>
      <c r="C12" t="str">
        <f t="shared" si="1"/>
        <v>80</v>
      </c>
      <c r="D12" t="str">
        <f t="shared" si="2"/>
        <v>11121001</v>
      </c>
      <c r="E12" t="str">
        <f t="shared" si="3"/>
        <v>121001</v>
      </c>
      <c r="F12" t="str">
        <f t="shared" si="4"/>
        <v>JENIFER SANTOS</v>
      </c>
      <c r="G12" t="str">
        <f>"04373935000174"</f>
        <v>04373935000174</v>
      </c>
      <c r="H12" t="str">
        <f>""</f>
        <v/>
      </c>
      <c r="I12" t="str">
        <f t="shared" si="5"/>
        <v>CONTA OPTICA</v>
      </c>
      <c r="J12" t="str">
        <f>"ANA LUCIA DOBNER ME"</f>
        <v>ANA LUCIA DOBNER ME</v>
      </c>
      <c r="K12" t="str">
        <f>"JOALHERIA OPELT (794)"</f>
        <v>JOALHERIA OPELT (794)</v>
      </c>
      <c r="L12" t="str">
        <f>""</f>
        <v/>
      </c>
      <c r="M12" t="str">
        <f>""</f>
        <v/>
      </c>
      <c r="N12" t="str">
        <f>"marcopelt@hotmail.com"</f>
        <v>marcopelt@hotmail.com</v>
      </c>
      <c r="O12" t="str">
        <f>""</f>
        <v/>
      </c>
      <c r="P12" t="str">
        <f>"RUA DO PRINCIPE"</f>
        <v>RUA DO PRINCIPE</v>
      </c>
      <c r="Q12" t="str">
        <f>"109"</f>
        <v>109</v>
      </c>
      <c r="R12" t="str">
        <f>"SALA 03"</f>
        <v>SALA 03</v>
      </c>
      <c r="S12" t="str">
        <f>"1277"</f>
        <v>1277</v>
      </c>
      <c r="T12" t="str">
        <f>"89201000"</f>
        <v>89201000</v>
      </c>
      <c r="U12" t="str">
        <f t="shared" si="12"/>
        <v>CENTRO</v>
      </c>
      <c r="V12" t="str">
        <f>"JOINVILLE"</f>
        <v>JOINVILLE</v>
      </c>
      <c r="W12" t="str">
        <f t="shared" si="13"/>
        <v>SC</v>
      </c>
      <c r="X12" t="str">
        <f t="shared" ref="X12:X17" si="14">"47"</f>
        <v>47</v>
      </c>
      <c r="Y12" t="str">
        <f>"30272048"</f>
        <v>30272048</v>
      </c>
      <c r="Z12" t="str">
        <f>""</f>
        <v/>
      </c>
      <c r="AA12" t="str">
        <f>""</f>
        <v/>
      </c>
      <c r="AB12" t="str">
        <f>""</f>
        <v/>
      </c>
      <c r="AC12" t="str">
        <f>""</f>
        <v/>
      </c>
      <c r="AD12" t="str">
        <f>""</f>
        <v/>
      </c>
      <c r="AE12" t="str">
        <f>""</f>
        <v/>
      </c>
      <c r="AF12" t="str">
        <f>""</f>
        <v/>
      </c>
      <c r="AG12" t="str">
        <f>""</f>
        <v/>
      </c>
      <c r="AH12" t="str">
        <f>""</f>
        <v/>
      </c>
      <c r="AI12" t="str">
        <f>""</f>
        <v/>
      </c>
      <c r="AJ12" t="str">
        <f>"0"</f>
        <v>0</v>
      </c>
      <c r="AK12" t="str">
        <f>"0"</f>
        <v>0</v>
      </c>
      <c r="AL12" t="str">
        <f>"0"</f>
        <v>0</v>
      </c>
      <c r="AM12" t="str">
        <f>""</f>
        <v/>
      </c>
      <c r="AN12" t="str">
        <f>""</f>
        <v/>
      </c>
      <c r="AO12" t="str">
        <f>""</f>
        <v/>
      </c>
      <c r="AP12" t="str">
        <f>""</f>
        <v/>
      </c>
      <c r="AQ12" t="str">
        <f>""</f>
        <v/>
      </c>
      <c r="AR12" t="str">
        <f>""</f>
        <v/>
      </c>
      <c r="AS12" t="str">
        <f>""</f>
        <v/>
      </c>
      <c r="AT12" t="str">
        <f>""</f>
        <v/>
      </c>
      <c r="AU12" t="str">
        <f>""</f>
        <v/>
      </c>
      <c r="AV12" t="str">
        <f>""</f>
        <v/>
      </c>
      <c r="AW12" t="str">
        <f>""</f>
        <v/>
      </c>
      <c r="AX12" t="str">
        <f>""</f>
        <v/>
      </c>
      <c r="AY12" t="str">
        <f>""</f>
        <v/>
      </c>
      <c r="AZ12" t="str">
        <f>""</f>
        <v/>
      </c>
      <c r="BA12" t="str">
        <f>""</f>
        <v/>
      </c>
      <c r="BB12" t="str">
        <f>""</f>
        <v/>
      </c>
      <c r="BC12" t="str">
        <f>""</f>
        <v/>
      </c>
      <c r="BD12" t="str">
        <f>""</f>
        <v/>
      </c>
      <c r="BE12" t="str">
        <f>""</f>
        <v/>
      </c>
      <c r="BF12" t="str">
        <f t="shared" si="6"/>
        <v>A</v>
      </c>
      <c r="BG12" t="str">
        <f>"0,00"</f>
        <v>0,00</v>
      </c>
      <c r="BH12" t="str">
        <f>"0,00"</f>
        <v>0,00</v>
      </c>
      <c r="BI12" t="str">
        <f t="shared" si="7"/>
        <v>EVENTUAL</v>
      </c>
      <c r="BJ12" t="str">
        <f t="shared" si="8"/>
        <v>1</v>
      </c>
      <c r="BK12" t="str">
        <f t="shared" si="9"/>
        <v>Farmacia</v>
      </c>
      <c r="BL12" t="str">
        <f>""</f>
        <v/>
      </c>
      <c r="BM12" t="str">
        <f>"NÃO É VARILUX ESPECIALISTA"</f>
        <v>NÃO É VARILUX ESPECIALISTA</v>
      </c>
      <c r="BN12" t="str">
        <f>"NA"</f>
        <v>NA</v>
      </c>
      <c r="BO12" t="str">
        <f>"OUTROS"</f>
        <v>OUTROS</v>
      </c>
      <c r="BP12" t="str">
        <f>""</f>
        <v/>
      </c>
      <c r="BQ12" t="str">
        <f>""</f>
        <v/>
      </c>
      <c r="BR12" t="str">
        <f>""</f>
        <v/>
      </c>
      <c r="BS12" t="str">
        <f>""</f>
        <v/>
      </c>
      <c r="BT12" t="str">
        <f>""</f>
        <v/>
      </c>
      <c r="BU12" t="str">
        <f>""</f>
        <v/>
      </c>
      <c r="BV12" t="str">
        <f>"9"</f>
        <v>9</v>
      </c>
      <c r="BW12" t="str">
        <f>"Não visitado"</f>
        <v>Não visitado</v>
      </c>
    </row>
    <row r="13" spans="1:75" x14ac:dyDescent="0.35">
      <c r="A13">
        <v>144803</v>
      </c>
      <c r="B13" t="str">
        <f t="shared" si="0"/>
        <v>A</v>
      </c>
      <c r="C13" t="str">
        <f t="shared" si="1"/>
        <v>80</v>
      </c>
      <c r="D13" t="str">
        <f t="shared" si="2"/>
        <v>11121001</v>
      </c>
      <c r="E13" t="str">
        <f t="shared" si="3"/>
        <v>121001</v>
      </c>
      <c r="F13" t="str">
        <f t="shared" si="4"/>
        <v>JENIFER SANTOS</v>
      </c>
      <c r="G13" t="str">
        <f>"33345569000148"</f>
        <v>33345569000148</v>
      </c>
      <c r="H13" t="str">
        <f>""</f>
        <v/>
      </c>
      <c r="I13" t="str">
        <f t="shared" si="5"/>
        <v>CONTA OPTICA</v>
      </c>
      <c r="J13" t="str">
        <f>"ANA PAULA COMERCIO DE OPTICA EIRELI"</f>
        <v>ANA PAULA COMERCIO DE OPTICA EIRELI</v>
      </c>
      <c r="K13" t="str">
        <f>"OTICA AURORA (4277)"</f>
        <v>OTICA AURORA (4277)</v>
      </c>
      <c r="L13" t="str">
        <f>""</f>
        <v/>
      </c>
      <c r="M13" t="str">
        <f>""</f>
        <v/>
      </c>
      <c r="N13" t="str">
        <f>"ANAPAULA.AURORA@HOTMAIL.COM"</f>
        <v>ANAPAULA.AURORA@HOTMAIL.COM</v>
      </c>
      <c r="O13" t="str">
        <f>""</f>
        <v/>
      </c>
      <c r="P13" t="str">
        <f>"RUA FATIMA"</f>
        <v>RUA FATIMA</v>
      </c>
      <c r="Q13" t="str">
        <f>"807"</f>
        <v>807</v>
      </c>
      <c r="R13" t="str">
        <f>"SALA 01 B"</f>
        <v>SALA 01 B</v>
      </c>
      <c r="S13" t="str">
        <f>"1279"</f>
        <v>1279</v>
      </c>
      <c r="T13" t="str">
        <f>"89229102"</f>
        <v>89229102</v>
      </c>
      <c r="U13" t="str">
        <f>"FATIMA"</f>
        <v>FATIMA</v>
      </c>
      <c r="V13" t="str">
        <f>"JOINVILLE"</f>
        <v>JOINVILLE</v>
      </c>
      <c r="W13" t="str">
        <f t="shared" si="13"/>
        <v>SC</v>
      </c>
      <c r="X13" t="str">
        <f t="shared" si="14"/>
        <v>47</v>
      </c>
      <c r="Y13" t="str">
        <f>"996767380"</f>
        <v>996767380</v>
      </c>
      <c r="Z13" t="str">
        <f>""</f>
        <v/>
      </c>
      <c r="AA13" t="str">
        <f>""</f>
        <v/>
      </c>
      <c r="AB13" t="str">
        <f>""</f>
        <v/>
      </c>
      <c r="AC13" t="str">
        <f>""</f>
        <v/>
      </c>
      <c r="AD13" t="str">
        <f>""</f>
        <v/>
      </c>
      <c r="AE13" t="str">
        <f>""</f>
        <v/>
      </c>
      <c r="AF13" t="str">
        <f>""</f>
        <v/>
      </c>
      <c r="AG13" t="str">
        <f>""</f>
        <v/>
      </c>
      <c r="AH13" t="str">
        <f>""</f>
        <v/>
      </c>
      <c r="AI13" t="str">
        <f>""</f>
        <v/>
      </c>
      <c r="AJ13" t="str">
        <f>""</f>
        <v/>
      </c>
      <c r="AK13" t="str">
        <f>""</f>
        <v/>
      </c>
      <c r="AL13" t="str">
        <f>""</f>
        <v/>
      </c>
      <c r="AM13" t="str">
        <f>""</f>
        <v/>
      </c>
      <c r="AN13" t="str">
        <f>""</f>
        <v/>
      </c>
      <c r="AO13" t="str">
        <f>""</f>
        <v/>
      </c>
      <c r="AP13" t="str">
        <f>""</f>
        <v/>
      </c>
      <c r="AQ13" t="str">
        <f>""</f>
        <v/>
      </c>
      <c r="AR13" t="str">
        <f>""</f>
        <v/>
      </c>
      <c r="AS13" t="str">
        <f>""</f>
        <v/>
      </c>
      <c r="AT13" t="str">
        <f>""</f>
        <v/>
      </c>
      <c r="AU13" t="str">
        <f>""</f>
        <v/>
      </c>
      <c r="AV13" t="str">
        <f>""</f>
        <v/>
      </c>
      <c r="AW13" t="str">
        <f>""</f>
        <v/>
      </c>
      <c r="AX13" t="str">
        <f>""</f>
        <v/>
      </c>
      <c r="AY13" t="str">
        <f>""</f>
        <v/>
      </c>
      <c r="AZ13" t="str">
        <f>""</f>
        <v/>
      </c>
      <c r="BA13" t="str">
        <f>""</f>
        <v/>
      </c>
      <c r="BB13" t="str">
        <f>""</f>
        <v/>
      </c>
      <c r="BC13" t="str">
        <f>""</f>
        <v/>
      </c>
      <c r="BD13" t="str">
        <f>""</f>
        <v/>
      </c>
      <c r="BE13" t="str">
        <f>""</f>
        <v/>
      </c>
      <c r="BF13" t="str">
        <f t="shared" si="6"/>
        <v>A</v>
      </c>
      <c r="BG13" t="str">
        <f>""</f>
        <v/>
      </c>
      <c r="BH13" t="str">
        <f>""</f>
        <v/>
      </c>
      <c r="BI13" t="str">
        <f t="shared" si="7"/>
        <v>EVENTUAL</v>
      </c>
      <c r="BJ13" t="str">
        <f t="shared" si="8"/>
        <v>1</v>
      </c>
      <c r="BK13" t="str">
        <f t="shared" si="9"/>
        <v>Farmacia</v>
      </c>
      <c r="BL13" t="str">
        <f>""</f>
        <v/>
      </c>
      <c r="BM13" t="str">
        <f>"NÃO É VARILUX ESPECIALISTA"</f>
        <v>NÃO É VARILUX ESPECIALISTA</v>
      </c>
      <c r="BN13" t="str">
        <f>"NA"</f>
        <v>NA</v>
      </c>
      <c r="BO13" t="str">
        <f>""</f>
        <v/>
      </c>
      <c r="BP13" t="str">
        <f>""</f>
        <v/>
      </c>
      <c r="BQ13" t="str">
        <f>""</f>
        <v/>
      </c>
      <c r="BR13" t="str">
        <f>""</f>
        <v/>
      </c>
      <c r="BS13" t="str">
        <f>""</f>
        <v/>
      </c>
      <c r="BT13" t="str">
        <f>""</f>
        <v/>
      </c>
      <c r="BU13" t="str">
        <f>""</f>
        <v/>
      </c>
      <c r="BV13" t="str">
        <f>""</f>
        <v/>
      </c>
      <c r="BW13" t="str">
        <f>"140"</f>
        <v>140</v>
      </c>
    </row>
    <row r="14" spans="1:75" x14ac:dyDescent="0.35">
      <c r="A14">
        <v>144726</v>
      </c>
      <c r="B14" t="str">
        <f t="shared" si="0"/>
        <v>A</v>
      </c>
      <c r="C14" t="str">
        <f t="shared" si="1"/>
        <v>80</v>
      </c>
      <c r="D14" t="str">
        <f t="shared" si="2"/>
        <v>11121001</v>
      </c>
      <c r="E14" t="str">
        <f t="shared" si="3"/>
        <v>121001</v>
      </c>
      <c r="F14" t="str">
        <f t="shared" si="4"/>
        <v>JENIFER SANTOS</v>
      </c>
      <c r="G14" t="str">
        <f>"11341596000100"</f>
        <v>11341596000100</v>
      </c>
      <c r="H14" t="str">
        <f>""</f>
        <v/>
      </c>
      <c r="I14" t="str">
        <f t="shared" si="5"/>
        <v>CONTA OPTICA</v>
      </c>
      <c r="J14" t="str">
        <f>"ANA PAULA DE MEDEIROS - ME"</f>
        <v>ANA PAULA DE MEDEIROS - ME</v>
      </c>
      <c r="K14" t="str">
        <f>"OTICA AURORA (3369)"</f>
        <v>OTICA AURORA (3369)</v>
      </c>
      <c r="L14" t="str">
        <f>""</f>
        <v/>
      </c>
      <c r="M14" t="str">
        <f>""</f>
        <v/>
      </c>
      <c r="N14" t="str">
        <f>"anapaula.aurora@hotmail.com"</f>
        <v>anapaula.aurora@hotmail.com</v>
      </c>
      <c r="O14" t="str">
        <f>""</f>
        <v/>
      </c>
      <c r="P14" t="str">
        <f>"RUA GUANABARA"</f>
        <v>RUA GUANABARA</v>
      </c>
      <c r="Q14" t="str">
        <f>"1223"</f>
        <v>1223</v>
      </c>
      <c r="R14" t="str">
        <f>""</f>
        <v/>
      </c>
      <c r="S14" t="str">
        <f>"1279"</f>
        <v>1279</v>
      </c>
      <c r="T14" t="str">
        <f>"89207301"</f>
        <v>89207301</v>
      </c>
      <c r="U14" t="str">
        <f>"GUANABARA"</f>
        <v>GUANABARA</v>
      </c>
      <c r="V14" t="str">
        <f>"JOINVILLE"</f>
        <v>JOINVILLE</v>
      </c>
      <c r="W14" t="str">
        <f t="shared" si="13"/>
        <v>SC</v>
      </c>
      <c r="X14" t="str">
        <f t="shared" si="14"/>
        <v>47</v>
      </c>
      <c r="Y14" t="str">
        <f>"34366978"</f>
        <v>34366978</v>
      </c>
      <c r="Z14" t="str">
        <f>""</f>
        <v/>
      </c>
      <c r="AA14" t="str">
        <f>""</f>
        <v/>
      </c>
      <c r="AB14" t="str">
        <f>""</f>
        <v/>
      </c>
      <c r="AC14" t="str">
        <f>""</f>
        <v/>
      </c>
      <c r="AD14" t="str">
        <f>""</f>
        <v/>
      </c>
      <c r="AE14" t="str">
        <f>""</f>
        <v/>
      </c>
      <c r="AF14" t="str">
        <f>""</f>
        <v/>
      </c>
      <c r="AG14" t="str">
        <f>""</f>
        <v/>
      </c>
      <c r="AH14" t="str">
        <f>""</f>
        <v/>
      </c>
      <c r="AI14" t="str">
        <f>""</f>
        <v/>
      </c>
      <c r="AJ14" t="str">
        <f>"0"</f>
        <v>0</v>
      </c>
      <c r="AK14" t="str">
        <f>"0"</f>
        <v>0</v>
      </c>
      <c r="AL14" t="str">
        <f>"0"</f>
        <v>0</v>
      </c>
      <c r="AM14" t="str">
        <f>""</f>
        <v/>
      </c>
      <c r="AN14" t="str">
        <f>""</f>
        <v/>
      </c>
      <c r="AO14" t="str">
        <f>""</f>
        <v/>
      </c>
      <c r="AP14" t="str">
        <f>""</f>
        <v/>
      </c>
      <c r="AQ14" t="str">
        <f>""</f>
        <v/>
      </c>
      <c r="AR14" t="str">
        <f>""</f>
        <v/>
      </c>
      <c r="AS14" t="str">
        <f>""</f>
        <v/>
      </c>
      <c r="AT14" t="str">
        <f>""</f>
        <v/>
      </c>
      <c r="AU14" t="str">
        <f>""</f>
        <v/>
      </c>
      <c r="AV14" t="str">
        <f>""</f>
        <v/>
      </c>
      <c r="AW14" t="str">
        <f>""</f>
        <v/>
      </c>
      <c r="AX14" t="str">
        <f>""</f>
        <v/>
      </c>
      <c r="AY14" t="str">
        <f>""</f>
        <v/>
      </c>
      <c r="AZ14" t="str">
        <f>""</f>
        <v/>
      </c>
      <c r="BA14" t="str">
        <f>""</f>
        <v/>
      </c>
      <c r="BB14" t="str">
        <f>""</f>
        <v/>
      </c>
      <c r="BC14" t="str">
        <f>""</f>
        <v/>
      </c>
      <c r="BD14" t="str">
        <f>""</f>
        <v/>
      </c>
      <c r="BE14" t="str">
        <f>""</f>
        <v/>
      </c>
      <c r="BF14" t="str">
        <f t="shared" si="6"/>
        <v>A</v>
      </c>
      <c r="BG14" t="str">
        <f>"0,00"</f>
        <v>0,00</v>
      </c>
      <c r="BH14" t="str">
        <f>"0,00"</f>
        <v>0,00</v>
      </c>
      <c r="BI14" t="str">
        <f t="shared" si="7"/>
        <v>EVENTUAL</v>
      </c>
      <c r="BJ14" t="str">
        <f t="shared" si="8"/>
        <v>1</v>
      </c>
      <c r="BK14" t="str">
        <f t="shared" si="9"/>
        <v>Farmacia</v>
      </c>
      <c r="BL14" t="str">
        <f>""</f>
        <v/>
      </c>
      <c r="BM14" t="str">
        <f>"CREDENCIADO VARILUX"</f>
        <v>CREDENCIADO VARILUX</v>
      </c>
      <c r="BN14" t="str">
        <f>"NA"</f>
        <v>NA</v>
      </c>
      <c r="BO14" t="str">
        <f>"FOCO VARILUX DIGITAL"</f>
        <v>FOCO VARILUX DIGITAL</v>
      </c>
      <c r="BP14" t="str">
        <f>""</f>
        <v/>
      </c>
      <c r="BQ14" t="str">
        <f>""</f>
        <v/>
      </c>
      <c r="BR14" t="str">
        <f>""</f>
        <v/>
      </c>
      <c r="BS14" t="str">
        <f>""</f>
        <v/>
      </c>
      <c r="BT14" t="str">
        <f>""</f>
        <v/>
      </c>
      <c r="BU14" t="str">
        <f>""</f>
        <v/>
      </c>
      <c r="BV14" t="str">
        <f>"9"</f>
        <v>9</v>
      </c>
      <c r="BW14" t="str">
        <f>"157"</f>
        <v>157</v>
      </c>
    </row>
    <row r="15" spans="1:75" x14ac:dyDescent="0.35">
      <c r="A15">
        <v>156781</v>
      </c>
      <c r="B15" t="str">
        <f t="shared" si="0"/>
        <v>A</v>
      </c>
      <c r="C15" t="str">
        <f t="shared" si="1"/>
        <v>80</v>
      </c>
      <c r="D15" t="str">
        <f t="shared" si="2"/>
        <v>11121001</v>
      </c>
      <c r="E15" t="str">
        <f t="shared" si="3"/>
        <v>121001</v>
      </c>
      <c r="F15" t="str">
        <f t="shared" si="4"/>
        <v>JENIFER SANTOS</v>
      </c>
      <c r="G15" t="str">
        <f>"17075079000112"</f>
        <v>17075079000112</v>
      </c>
      <c r="H15" t="str">
        <f>"0"</f>
        <v>0</v>
      </c>
      <c r="I15" t="str">
        <f t="shared" si="5"/>
        <v>CONTA OPTICA</v>
      </c>
      <c r="J15" t="str">
        <f>"ANDRE LUIZ LINHARES MERKLE ME"</f>
        <v>ANDRE LUIZ LINHARES MERKLE ME</v>
      </c>
      <c r="K15" t="str">
        <f>"MECA JOAIS RELOJOARIA E OPTICA (1957)"</f>
        <v>MECA JOAIS RELOJOARIA E OPTICA (1957)</v>
      </c>
      <c r="L15" t="str">
        <f>""</f>
        <v/>
      </c>
      <c r="M15" t="str">
        <f>""</f>
        <v/>
      </c>
      <c r="N15" t="str">
        <f>"VALDI_MECA@HOTMAIL.COM"</f>
        <v>VALDI_MECA@HOTMAIL.COM</v>
      </c>
      <c r="O15" t="str">
        <f>""</f>
        <v/>
      </c>
      <c r="P15" t="str">
        <f>"RUA CORONEL ANTONIO CORREA"</f>
        <v>RUA CORONEL ANTONIO CORREA</v>
      </c>
      <c r="Q15" t="str">
        <f>"131"</f>
        <v>131</v>
      </c>
      <c r="R15" t="str">
        <f>""</f>
        <v/>
      </c>
      <c r="S15" t="str">
        <f>"1281"</f>
        <v>1281</v>
      </c>
      <c r="T15" t="str">
        <f>"89340000"</f>
        <v>89340000</v>
      </c>
      <c r="U15" t="str">
        <f>"CENTRO"</f>
        <v>CENTRO</v>
      </c>
      <c r="V15" t="str">
        <f>"ITAIOPOLIS"</f>
        <v>ITAIOPOLIS</v>
      </c>
      <c r="W15" t="str">
        <f t="shared" si="13"/>
        <v>SC</v>
      </c>
      <c r="X15" t="str">
        <f t="shared" si="14"/>
        <v>47</v>
      </c>
      <c r="Y15" t="str">
        <f>"36521196"</f>
        <v>36521196</v>
      </c>
      <c r="Z15" t="str">
        <f>""</f>
        <v/>
      </c>
      <c r="AA15" t="str">
        <f>""</f>
        <v/>
      </c>
      <c r="AB15" t="str">
        <f>""</f>
        <v/>
      </c>
      <c r="AC15" t="str">
        <f>""</f>
        <v/>
      </c>
      <c r="AD15" t="str">
        <f>""</f>
        <v/>
      </c>
      <c r="AE15" t="str">
        <f>""</f>
        <v/>
      </c>
      <c r="AF15" t="str">
        <f>""</f>
        <v/>
      </c>
      <c r="AG15" t="str">
        <f>""</f>
        <v/>
      </c>
      <c r="AH15" t="str">
        <f>""</f>
        <v/>
      </c>
      <c r="AI15" t="str">
        <f>""</f>
        <v/>
      </c>
      <c r="AJ15" t="str">
        <f>""</f>
        <v/>
      </c>
      <c r="AK15" t="str">
        <f>""</f>
        <v/>
      </c>
      <c r="AL15" t="str">
        <f>""</f>
        <v/>
      </c>
      <c r="AM15" t="str">
        <f>""</f>
        <v/>
      </c>
      <c r="AN15" t="str">
        <f>""</f>
        <v/>
      </c>
      <c r="AO15" t="str">
        <f>""</f>
        <v/>
      </c>
      <c r="AP15" t="str">
        <f>""</f>
        <v/>
      </c>
      <c r="AQ15" t="str">
        <f>""</f>
        <v/>
      </c>
      <c r="AR15" t="str">
        <f>""</f>
        <v/>
      </c>
      <c r="AS15" t="str">
        <f>""</f>
        <v/>
      </c>
      <c r="AT15" t="str">
        <f>""</f>
        <v/>
      </c>
      <c r="AU15" t="str">
        <f>""</f>
        <v/>
      </c>
      <c r="AV15" t="str">
        <f>""</f>
        <v/>
      </c>
      <c r="AW15" t="str">
        <f>""</f>
        <v/>
      </c>
      <c r="AX15" t="str">
        <f>""</f>
        <v/>
      </c>
      <c r="AY15" t="str">
        <f>""</f>
        <v/>
      </c>
      <c r="AZ15" t="str">
        <f>""</f>
        <v/>
      </c>
      <c r="BA15" t="str">
        <f>""</f>
        <v/>
      </c>
      <c r="BB15" t="str">
        <f>"06/07/2023 12:07:48"</f>
        <v>06/07/2023 12:07:48</v>
      </c>
      <c r="BC15" t="str">
        <f>""</f>
        <v/>
      </c>
      <c r="BD15" t="str">
        <f>""</f>
        <v/>
      </c>
      <c r="BE15" t="str">
        <f>""</f>
        <v/>
      </c>
      <c r="BF15" t="str">
        <f t="shared" si="6"/>
        <v>A</v>
      </c>
      <c r="BG15" t="str">
        <f>""</f>
        <v/>
      </c>
      <c r="BH15" t="str">
        <f>""</f>
        <v/>
      </c>
      <c r="BI15" t="str">
        <f t="shared" si="7"/>
        <v>EVENTUAL</v>
      </c>
      <c r="BJ15" t="str">
        <f t="shared" si="8"/>
        <v>1</v>
      </c>
      <c r="BK15" t="str">
        <f t="shared" si="9"/>
        <v>Farmacia</v>
      </c>
      <c r="BL15" t="str">
        <f>""</f>
        <v/>
      </c>
      <c r="BM15" t="str">
        <f>""</f>
        <v/>
      </c>
      <c r="BN15" t="str">
        <f>""</f>
        <v/>
      </c>
      <c r="BO15" t="str">
        <f>""</f>
        <v/>
      </c>
      <c r="BP15" t="str">
        <f>""</f>
        <v/>
      </c>
      <c r="BQ15" t="str">
        <f>""</f>
        <v/>
      </c>
      <c r="BR15" t="str">
        <f>"06/07/2023"</f>
        <v>06/07/2023</v>
      </c>
      <c r="BS15" t="str">
        <f>""</f>
        <v/>
      </c>
      <c r="BT15" t="str">
        <f>""</f>
        <v/>
      </c>
      <c r="BU15" t="str">
        <f>""</f>
        <v/>
      </c>
      <c r="BV15" t="str">
        <f>""</f>
        <v/>
      </c>
      <c r="BW15" t="str">
        <f>"Não visitado"</f>
        <v>Não visitado</v>
      </c>
    </row>
    <row r="16" spans="1:75" x14ac:dyDescent="0.35">
      <c r="A16">
        <v>157574</v>
      </c>
      <c r="B16" t="str">
        <f t="shared" si="0"/>
        <v>A</v>
      </c>
      <c r="C16" t="str">
        <f t="shared" si="1"/>
        <v>80</v>
      </c>
      <c r="D16" t="str">
        <f t="shared" si="2"/>
        <v>11121001</v>
      </c>
      <c r="E16" t="str">
        <f t="shared" si="3"/>
        <v>121001</v>
      </c>
      <c r="F16" t="str">
        <f t="shared" si="4"/>
        <v>JENIFER SANTOS</v>
      </c>
      <c r="G16" t="str">
        <f>"17849361000100"</f>
        <v>17849361000100</v>
      </c>
      <c r="H16" t="str">
        <f>"0"</f>
        <v>0</v>
      </c>
      <c r="I16" t="str">
        <f t="shared" si="5"/>
        <v>CONTA OPTICA</v>
      </c>
      <c r="J16" t="str">
        <f>"AVANTE ACESSORIOS DE MODA LTDA EPP"</f>
        <v>AVANTE ACESSORIOS DE MODA LTDA EPP</v>
      </c>
      <c r="K16" t="str">
        <f>"CHILLI BEANS (2240)"</f>
        <v>CHILLI BEANS (2240)</v>
      </c>
      <c r="L16" t="str">
        <f>""</f>
        <v/>
      </c>
      <c r="M16" t="str">
        <f>""</f>
        <v/>
      </c>
      <c r="N16" t="str">
        <f>"SIMONE.TESTONI@CHILLISC.COM.BR"</f>
        <v>SIMONE.TESTONI@CHILLISC.COM.BR</v>
      </c>
      <c r="O16" t="str">
        <f>""</f>
        <v/>
      </c>
      <c r="P16" t="str">
        <f>"RUA ROLF WIEST"</f>
        <v>RUA ROLF WIEST</v>
      </c>
      <c r="Q16" t="str">
        <f>"333"</f>
        <v>333</v>
      </c>
      <c r="R16" t="str">
        <f>"SALA 30"</f>
        <v>SALA 30</v>
      </c>
      <c r="S16" t="str">
        <f>"1279"</f>
        <v>1279</v>
      </c>
      <c r="T16" t="str">
        <f>"89223005"</f>
        <v>89223005</v>
      </c>
      <c r="U16" t="str">
        <f>"BOM RETIRO"</f>
        <v>BOM RETIRO</v>
      </c>
      <c r="V16" t="str">
        <f>"JOINVILLE"</f>
        <v>JOINVILLE</v>
      </c>
      <c r="W16" t="str">
        <f t="shared" si="13"/>
        <v>SC</v>
      </c>
      <c r="X16" t="str">
        <f t="shared" si="14"/>
        <v>47</v>
      </c>
      <c r="Y16" t="str">
        <f>"30243492"</f>
        <v>30243492</v>
      </c>
      <c r="Z16" t="str">
        <f>""</f>
        <v/>
      </c>
      <c r="AA16" t="str">
        <f>""</f>
        <v/>
      </c>
      <c r="AB16" t="str">
        <f>""</f>
        <v/>
      </c>
      <c r="AC16" t="str">
        <f>""</f>
        <v/>
      </c>
      <c r="AD16" t="str">
        <f>""</f>
        <v/>
      </c>
      <c r="AE16" t="str">
        <f>""</f>
        <v/>
      </c>
      <c r="AF16" t="str">
        <f>""</f>
        <v/>
      </c>
      <c r="AG16" t="str">
        <f>""</f>
        <v/>
      </c>
      <c r="AH16" t="str">
        <f>""</f>
        <v/>
      </c>
      <c r="AI16" t="str">
        <f>""</f>
        <v/>
      </c>
      <c r="AJ16" t="str">
        <f>""</f>
        <v/>
      </c>
      <c r="AK16" t="str">
        <f>""</f>
        <v/>
      </c>
      <c r="AL16" t="str">
        <f>""</f>
        <v/>
      </c>
      <c r="AM16" t="str">
        <f>""</f>
        <v/>
      </c>
      <c r="AN16" t="str">
        <f>""</f>
        <v/>
      </c>
      <c r="AO16" t="str">
        <f>""</f>
        <v/>
      </c>
      <c r="AP16" t="str">
        <f>""</f>
        <v/>
      </c>
      <c r="AQ16" t="str">
        <f>""</f>
        <v/>
      </c>
      <c r="AR16" t="str">
        <f>""</f>
        <v/>
      </c>
      <c r="AS16" t="str">
        <f>""</f>
        <v/>
      </c>
      <c r="AT16" t="str">
        <f>""</f>
        <v/>
      </c>
      <c r="AU16" t="str">
        <f>""</f>
        <v/>
      </c>
      <c r="AV16" t="str">
        <f>""</f>
        <v/>
      </c>
      <c r="AW16" t="str">
        <f>""</f>
        <v/>
      </c>
      <c r="AX16" t="str">
        <f>""</f>
        <v/>
      </c>
      <c r="AY16" t="str">
        <f>""</f>
        <v/>
      </c>
      <c r="AZ16" t="str">
        <f>""</f>
        <v/>
      </c>
      <c r="BA16" t="str">
        <f>""</f>
        <v/>
      </c>
      <c r="BB16" t="str">
        <f>"11/07/2023 02:14:29"</f>
        <v>11/07/2023 02:14:29</v>
      </c>
      <c r="BC16" t="str">
        <f>""</f>
        <v/>
      </c>
      <c r="BD16" t="str">
        <f>""</f>
        <v/>
      </c>
      <c r="BE16" t="str">
        <f>""</f>
        <v/>
      </c>
      <c r="BF16" t="str">
        <f t="shared" si="6"/>
        <v>A</v>
      </c>
      <c r="BG16" t="str">
        <f>""</f>
        <v/>
      </c>
      <c r="BH16" t="str">
        <f>""</f>
        <v/>
      </c>
      <c r="BI16" t="str">
        <f t="shared" si="7"/>
        <v>EVENTUAL</v>
      </c>
      <c r="BJ16" t="str">
        <f t="shared" si="8"/>
        <v>1</v>
      </c>
      <c r="BK16" t="str">
        <f t="shared" si="9"/>
        <v>Farmacia</v>
      </c>
      <c r="BL16" t="str">
        <f>""</f>
        <v/>
      </c>
      <c r="BM16" t="str">
        <f>""</f>
        <v/>
      </c>
      <c r="BN16" t="str">
        <f>""</f>
        <v/>
      </c>
      <c r="BO16" t="str">
        <f>""</f>
        <v/>
      </c>
      <c r="BP16" t="str">
        <f>""</f>
        <v/>
      </c>
      <c r="BQ16" t="str">
        <f>""</f>
        <v/>
      </c>
      <c r="BR16" t="str">
        <f>"11/07/2023"</f>
        <v>11/07/2023</v>
      </c>
      <c r="BS16" t="str">
        <f>""</f>
        <v/>
      </c>
      <c r="BT16" t="str">
        <f>""</f>
        <v/>
      </c>
      <c r="BU16" t="str">
        <f>""</f>
        <v/>
      </c>
      <c r="BV16" t="str">
        <f>""</f>
        <v/>
      </c>
      <c r="BW16" t="str">
        <f>"Não visitado"</f>
        <v>Não visitado</v>
      </c>
    </row>
    <row r="17" spans="1:75" x14ac:dyDescent="0.35">
      <c r="A17">
        <v>144582</v>
      </c>
      <c r="B17" t="str">
        <f t="shared" si="0"/>
        <v>A</v>
      </c>
      <c r="C17" t="str">
        <f t="shared" si="1"/>
        <v>80</v>
      </c>
      <c r="D17" t="str">
        <f t="shared" si="2"/>
        <v>11121001</v>
      </c>
      <c r="E17" t="str">
        <f t="shared" si="3"/>
        <v>121001</v>
      </c>
      <c r="F17" t="str">
        <f t="shared" si="4"/>
        <v>JENIFER SANTOS</v>
      </c>
      <c r="G17" t="str">
        <f>"29458091000195"</f>
        <v>29458091000195</v>
      </c>
      <c r="H17" t="str">
        <f>""</f>
        <v/>
      </c>
      <c r="I17" t="str">
        <f t="shared" si="5"/>
        <v>CONTA OPTICA</v>
      </c>
      <c r="J17" t="str">
        <f>"BARBARA APARECIDA DE MEDEIROS 08699927916"</f>
        <v>BARBARA APARECIDA DE MEDEIROS 08699927916</v>
      </c>
      <c r="K17" t="str">
        <f>"OTICA AURORA (4137)"</f>
        <v>OTICA AURORA (4137)</v>
      </c>
      <c r="L17" t="str">
        <f>""</f>
        <v/>
      </c>
      <c r="M17" t="str">
        <f>""</f>
        <v/>
      </c>
      <c r="N17" t="str">
        <f>"barbara.amedeiros@outlook.com"</f>
        <v>barbara.amedeiros@outlook.com</v>
      </c>
      <c r="O17" t="str">
        <f>""</f>
        <v/>
      </c>
      <c r="P17" t="str">
        <f>"AVENIDA DR. NEREU RAMOS"</f>
        <v>AVENIDA DR. NEREU RAMOS</v>
      </c>
      <c r="Q17" t="str">
        <f>"439"</f>
        <v>439</v>
      </c>
      <c r="R17" t="str">
        <f>"SL28"</f>
        <v>SL28</v>
      </c>
      <c r="S17" t="str">
        <f>"1280"</f>
        <v>1280</v>
      </c>
      <c r="T17" t="str">
        <f>"89240000"</f>
        <v>89240000</v>
      </c>
      <c r="U17" t="str">
        <f>"ROCIO GRANDE"</f>
        <v>ROCIO GRANDE</v>
      </c>
      <c r="V17" t="str">
        <f>"SAO FRANCISCO DO SUL"</f>
        <v>SAO FRANCISCO DO SUL</v>
      </c>
      <c r="W17" t="str">
        <f t="shared" si="13"/>
        <v>SC</v>
      </c>
      <c r="X17" t="str">
        <f t="shared" si="14"/>
        <v>47</v>
      </c>
      <c r="Y17" t="str">
        <f>"34441251"</f>
        <v>34441251</v>
      </c>
      <c r="Z17" t="str">
        <f>""</f>
        <v/>
      </c>
      <c r="AA17" t="str">
        <f>""</f>
        <v/>
      </c>
      <c r="AB17" t="str">
        <f>""</f>
        <v/>
      </c>
      <c r="AC17" t="str">
        <f>""</f>
        <v/>
      </c>
      <c r="AD17" t="str">
        <f>""</f>
        <v/>
      </c>
      <c r="AE17" t="str">
        <f>""</f>
        <v/>
      </c>
      <c r="AF17" t="str">
        <f>""</f>
        <v/>
      </c>
      <c r="AG17" t="str">
        <f>""</f>
        <v/>
      </c>
      <c r="AH17" t="str">
        <f>""</f>
        <v/>
      </c>
      <c r="AI17" t="str">
        <f>""</f>
        <v/>
      </c>
      <c r="AJ17" t="str">
        <f>""</f>
        <v/>
      </c>
      <c r="AK17" t="str">
        <f>""</f>
        <v/>
      </c>
      <c r="AL17" t="str">
        <f>""</f>
        <v/>
      </c>
      <c r="AM17" t="str">
        <f>""</f>
        <v/>
      </c>
      <c r="AN17" t="str">
        <f>""</f>
        <v/>
      </c>
      <c r="AO17" t="str">
        <f>""</f>
        <v/>
      </c>
      <c r="AP17" t="str">
        <f>""</f>
        <v/>
      </c>
      <c r="AQ17" t="str">
        <f>""</f>
        <v/>
      </c>
      <c r="AR17" t="str">
        <f>""</f>
        <v/>
      </c>
      <c r="AS17" t="str">
        <f>""</f>
        <v/>
      </c>
      <c r="AT17" t="str">
        <f>""</f>
        <v/>
      </c>
      <c r="AU17" t="str">
        <f>""</f>
        <v/>
      </c>
      <c r="AV17" t="str">
        <f>""</f>
        <v/>
      </c>
      <c r="AW17" t="str">
        <f>""</f>
        <v/>
      </c>
      <c r="AX17" t="str">
        <f>""</f>
        <v/>
      </c>
      <c r="AY17" t="str">
        <f>""</f>
        <v/>
      </c>
      <c r="AZ17" t="str">
        <f>""</f>
        <v/>
      </c>
      <c r="BA17" t="str">
        <f>""</f>
        <v/>
      </c>
      <c r="BB17" t="str">
        <f>""</f>
        <v/>
      </c>
      <c r="BC17" t="str">
        <f>""</f>
        <v/>
      </c>
      <c r="BD17" t="str">
        <f>""</f>
        <v/>
      </c>
      <c r="BE17" t="str">
        <f>""</f>
        <v/>
      </c>
      <c r="BF17" t="str">
        <f t="shared" si="6"/>
        <v>A</v>
      </c>
      <c r="BG17" t="str">
        <f>""</f>
        <v/>
      </c>
      <c r="BH17" t="str">
        <f>""</f>
        <v/>
      </c>
      <c r="BI17" t="str">
        <f t="shared" si="7"/>
        <v>EVENTUAL</v>
      </c>
      <c r="BJ17" t="str">
        <f t="shared" si="8"/>
        <v>1</v>
      </c>
      <c r="BK17" t="str">
        <f t="shared" si="9"/>
        <v>Farmacia</v>
      </c>
      <c r="BL17" t="str">
        <f>""</f>
        <v/>
      </c>
      <c r="BM17" t="str">
        <f>"NÃO É VARILUX ESPECIALISTA"</f>
        <v>NÃO É VARILUX ESPECIALISTA</v>
      </c>
      <c r="BN17" t="str">
        <f>"NA"</f>
        <v>NA</v>
      </c>
      <c r="BO17" t="str">
        <f>"FOCO KODAK 2"</f>
        <v>FOCO KODAK 2</v>
      </c>
      <c r="BP17" t="str">
        <f>""</f>
        <v/>
      </c>
      <c r="BQ17" t="str">
        <f>""</f>
        <v/>
      </c>
      <c r="BR17" t="str">
        <f>""</f>
        <v/>
      </c>
      <c r="BS17" t="str">
        <f>""</f>
        <v/>
      </c>
      <c r="BT17" t="str">
        <f>""</f>
        <v/>
      </c>
      <c r="BU17" t="str">
        <f>""</f>
        <v/>
      </c>
      <c r="BV17" t="str">
        <f>"9"</f>
        <v>9</v>
      </c>
      <c r="BW17" t="str">
        <f>"Não visitado"</f>
        <v>Não visitado</v>
      </c>
    </row>
    <row r="18" spans="1:75" x14ac:dyDescent="0.35">
      <c r="A18">
        <v>157531</v>
      </c>
      <c r="B18" t="str">
        <f t="shared" si="0"/>
        <v>A</v>
      </c>
      <c r="C18" t="str">
        <f t="shared" si="1"/>
        <v>80</v>
      </c>
      <c r="D18" t="str">
        <f t="shared" si="2"/>
        <v>11121001</v>
      </c>
      <c r="E18" t="str">
        <f t="shared" si="3"/>
        <v>121001</v>
      </c>
      <c r="F18" t="str">
        <f t="shared" si="4"/>
        <v>JENIFER SANTOS</v>
      </c>
      <c r="G18" t="str">
        <f>"26318905000106"</f>
        <v>26318905000106</v>
      </c>
      <c r="H18" t="str">
        <f>"0"</f>
        <v>0</v>
      </c>
      <c r="I18" t="str">
        <f t="shared" si="5"/>
        <v>CONTA OPTICA</v>
      </c>
      <c r="J18" t="str">
        <f>"BARCAROL E BARROS LTDA - ME"</f>
        <v>BARCAROL E BARROS LTDA - ME</v>
      </c>
      <c r="K18" t="str">
        <f>"CENTRO OPTICO (3824)"</f>
        <v>CENTRO OPTICO (3824)</v>
      </c>
      <c r="L18" t="str">
        <f>""</f>
        <v/>
      </c>
      <c r="M18" t="str">
        <f>""</f>
        <v/>
      </c>
      <c r="N18" t="str">
        <f>"CENTROOTICOCHAPECO@HOTMAIL.COM"</f>
        <v>CENTROOTICOCHAPECO@HOTMAIL.COM</v>
      </c>
      <c r="O18" t="str">
        <f>""</f>
        <v/>
      </c>
      <c r="P18" t="str">
        <f>"RUA PORTO ALEGRE - E"</f>
        <v>RUA PORTO ALEGRE - E</v>
      </c>
      <c r="Q18" t="str">
        <f>"120"</f>
        <v>120</v>
      </c>
      <c r="R18" t="str">
        <f>"E SALA 107"</f>
        <v>E SALA 107</v>
      </c>
      <c r="S18" t="str">
        <f>"1287"</f>
        <v>1287</v>
      </c>
      <c r="T18" t="str">
        <f>"89802132"</f>
        <v>89802132</v>
      </c>
      <c r="U18" t="str">
        <f>"CENTRO"</f>
        <v>CENTRO</v>
      </c>
      <c r="V18" t="str">
        <f>"CHAPECO"</f>
        <v>CHAPECO</v>
      </c>
      <c r="W18" t="str">
        <f t="shared" si="13"/>
        <v>SC</v>
      </c>
      <c r="X18" t="str">
        <f>"49"</f>
        <v>49</v>
      </c>
      <c r="Y18" t="str">
        <f>"33224017"</f>
        <v>33224017</v>
      </c>
      <c r="Z18" t="str">
        <f>""</f>
        <v/>
      </c>
      <c r="AA18" t="str">
        <f>""</f>
        <v/>
      </c>
      <c r="AB18" t="str">
        <f>""</f>
        <v/>
      </c>
      <c r="AC18" t="str">
        <f>""</f>
        <v/>
      </c>
      <c r="AD18" t="str">
        <f>""</f>
        <v/>
      </c>
      <c r="AE18" t="str">
        <f>""</f>
        <v/>
      </c>
      <c r="AF18" t="str">
        <f>""</f>
        <v/>
      </c>
      <c r="AG18" t="str">
        <f>""</f>
        <v/>
      </c>
      <c r="AH18" t="str">
        <f>""</f>
        <v/>
      </c>
      <c r="AI18" t="str">
        <f>""</f>
        <v/>
      </c>
      <c r="AJ18" t="str">
        <f>""</f>
        <v/>
      </c>
      <c r="AK18" t="str">
        <f>""</f>
        <v/>
      </c>
      <c r="AL18" t="str">
        <f>""</f>
        <v/>
      </c>
      <c r="AM18" t="str">
        <f>""</f>
        <v/>
      </c>
      <c r="AN18" t="str">
        <f>""</f>
        <v/>
      </c>
      <c r="AO18" t="str">
        <f>""</f>
        <v/>
      </c>
      <c r="AP18" t="str">
        <f>""</f>
        <v/>
      </c>
      <c r="AQ18" t="str">
        <f>""</f>
        <v/>
      </c>
      <c r="AR18" t="str">
        <f>""</f>
        <v/>
      </c>
      <c r="AS18" t="str">
        <f>""</f>
        <v/>
      </c>
      <c r="AT18" t="str">
        <f>""</f>
        <v/>
      </c>
      <c r="AU18" t="str">
        <f>""</f>
        <v/>
      </c>
      <c r="AV18" t="str">
        <f>""</f>
        <v/>
      </c>
      <c r="AW18" t="str">
        <f>""</f>
        <v/>
      </c>
      <c r="AX18" t="str">
        <f>""</f>
        <v/>
      </c>
      <c r="AY18" t="str">
        <f>""</f>
        <v/>
      </c>
      <c r="AZ18" t="str">
        <f>""</f>
        <v/>
      </c>
      <c r="BA18" t="str">
        <f>""</f>
        <v/>
      </c>
      <c r="BB18" t="str">
        <f>"11/07/2023 02:14:29"</f>
        <v>11/07/2023 02:14:29</v>
      </c>
      <c r="BC18" t="str">
        <f>""</f>
        <v/>
      </c>
      <c r="BD18" t="str">
        <f>""</f>
        <v/>
      </c>
      <c r="BE18" t="str">
        <f>""</f>
        <v/>
      </c>
      <c r="BF18" t="str">
        <f t="shared" si="6"/>
        <v>A</v>
      </c>
      <c r="BG18" t="str">
        <f>""</f>
        <v/>
      </c>
      <c r="BH18" t="str">
        <f>""</f>
        <v/>
      </c>
      <c r="BI18" t="str">
        <f t="shared" si="7"/>
        <v>EVENTUAL</v>
      </c>
      <c r="BJ18" t="str">
        <f t="shared" si="8"/>
        <v>1</v>
      </c>
      <c r="BK18" t="str">
        <f t="shared" si="9"/>
        <v>Farmacia</v>
      </c>
      <c r="BL18" t="str">
        <f>""</f>
        <v/>
      </c>
      <c r="BM18" t="str">
        <f>""</f>
        <v/>
      </c>
      <c r="BN18" t="str">
        <f>""</f>
        <v/>
      </c>
      <c r="BO18" t="str">
        <f>""</f>
        <v/>
      </c>
      <c r="BP18" t="str">
        <f>""</f>
        <v/>
      </c>
      <c r="BQ18" t="str">
        <f>""</f>
        <v/>
      </c>
      <c r="BR18" t="str">
        <f>"11/07/2023"</f>
        <v>11/07/2023</v>
      </c>
      <c r="BS18" t="str">
        <f>""</f>
        <v/>
      </c>
      <c r="BT18" t="str">
        <f>""</f>
        <v/>
      </c>
      <c r="BU18" t="str">
        <f>""</f>
        <v/>
      </c>
      <c r="BV18" t="str">
        <f>""</f>
        <v/>
      </c>
      <c r="BW18" t="str">
        <f>"Não visitado"</f>
        <v>Não visitado</v>
      </c>
    </row>
    <row r="19" spans="1:75" x14ac:dyDescent="0.35">
      <c r="A19">
        <v>144841</v>
      </c>
      <c r="B19" t="str">
        <f t="shared" si="0"/>
        <v>A</v>
      </c>
      <c r="C19" t="str">
        <f t="shared" si="1"/>
        <v>80</v>
      </c>
      <c r="D19" t="str">
        <f t="shared" si="2"/>
        <v>11121001</v>
      </c>
      <c r="E19" t="str">
        <f t="shared" si="3"/>
        <v>121001</v>
      </c>
      <c r="F19" t="str">
        <f t="shared" si="4"/>
        <v>JENIFER SANTOS</v>
      </c>
      <c r="G19" t="str">
        <f>"43428582000114"</f>
        <v>43428582000114</v>
      </c>
      <c r="H19" t="str">
        <f>""</f>
        <v/>
      </c>
      <c r="I19" t="str">
        <f t="shared" si="5"/>
        <v>CONTA OPTICA</v>
      </c>
      <c r="J19" t="str">
        <f>"BARRETO SOUZA OTICAS LTDA"</f>
        <v>BARRETO SOUZA OTICAS LTDA</v>
      </c>
      <c r="K19" t="str">
        <f>"OTICAS FEHR (4398)"</f>
        <v>OTICAS FEHR (4398)</v>
      </c>
      <c r="L19" t="str">
        <f>""</f>
        <v/>
      </c>
      <c r="M19" t="str">
        <f>""</f>
        <v/>
      </c>
      <c r="N19" t="str">
        <f>"OTICASCAROLINEPRIME@GMAIL.COM"</f>
        <v>OTICASCAROLINEPRIME@GMAIL.COM</v>
      </c>
      <c r="O19" t="str">
        <f>""</f>
        <v/>
      </c>
      <c r="P19" t="str">
        <f>"RUA OTTO PFUETZENREUTER"</f>
        <v>RUA OTTO PFUETZENREUTER</v>
      </c>
      <c r="Q19" t="str">
        <f>"443"</f>
        <v>443</v>
      </c>
      <c r="R19" t="str">
        <f>"SALA 01"</f>
        <v>SALA 01</v>
      </c>
      <c r="S19" t="str">
        <f>"1279"</f>
        <v>1279</v>
      </c>
      <c r="T19" t="str">
        <f>"89219200"</f>
        <v>89219200</v>
      </c>
      <c r="U19" t="str">
        <f>"COSTA E SILVA"</f>
        <v>COSTA E SILVA</v>
      </c>
      <c r="V19" t="str">
        <f>"JOINVILLE"</f>
        <v>JOINVILLE</v>
      </c>
      <c r="W19" t="str">
        <f t="shared" si="13"/>
        <v>SC</v>
      </c>
      <c r="X19" t="str">
        <f>"47"</f>
        <v>47</v>
      </c>
      <c r="Y19" t="str">
        <f>"32782313"</f>
        <v>32782313</v>
      </c>
      <c r="Z19" t="str">
        <f>""</f>
        <v/>
      </c>
      <c r="AA19" t="str">
        <f>""</f>
        <v/>
      </c>
      <c r="AB19" t="str">
        <f>""</f>
        <v/>
      </c>
      <c r="AC19" t="str">
        <f>""</f>
        <v/>
      </c>
      <c r="AD19" t="str">
        <f>""</f>
        <v/>
      </c>
      <c r="AE19" t="str">
        <f>""</f>
        <v/>
      </c>
      <c r="AF19" t="str">
        <f>""</f>
        <v/>
      </c>
      <c r="AG19" t="str">
        <f>""</f>
        <v/>
      </c>
      <c r="AH19" t="str">
        <f>""</f>
        <v/>
      </c>
      <c r="AI19" t="str">
        <f>""</f>
        <v/>
      </c>
      <c r="AJ19" t="str">
        <f>""</f>
        <v/>
      </c>
      <c r="AK19" t="str">
        <f>""</f>
        <v/>
      </c>
      <c r="AL19" t="str">
        <f>""</f>
        <v/>
      </c>
      <c r="AM19" t="str">
        <f>""</f>
        <v/>
      </c>
      <c r="AN19" t="str">
        <f>""</f>
        <v/>
      </c>
      <c r="AO19" t="str">
        <f>""</f>
        <v/>
      </c>
      <c r="AP19" t="str">
        <f>""</f>
        <v/>
      </c>
      <c r="AQ19" t="str">
        <f>""</f>
        <v/>
      </c>
      <c r="AR19" t="str">
        <f>""</f>
        <v/>
      </c>
      <c r="AS19" t="str">
        <f>""</f>
        <v/>
      </c>
      <c r="AT19" t="str">
        <f>""</f>
        <v/>
      </c>
      <c r="AU19" t="str">
        <f>""</f>
        <v/>
      </c>
      <c r="AV19" t="str">
        <f>""</f>
        <v/>
      </c>
      <c r="AW19" t="str">
        <f>""</f>
        <v/>
      </c>
      <c r="AX19" t="str">
        <f>""</f>
        <v/>
      </c>
      <c r="AY19" t="str">
        <f>""</f>
        <v/>
      </c>
      <c r="AZ19" t="str">
        <f>""</f>
        <v/>
      </c>
      <c r="BA19" t="str">
        <f>""</f>
        <v/>
      </c>
      <c r="BB19" t="str">
        <f>""</f>
        <v/>
      </c>
      <c r="BC19" t="str">
        <f>""</f>
        <v/>
      </c>
      <c r="BD19" t="str">
        <f>""</f>
        <v/>
      </c>
      <c r="BE19" t="str">
        <f>""</f>
        <v/>
      </c>
      <c r="BF19" t="str">
        <f t="shared" si="6"/>
        <v>A</v>
      </c>
      <c r="BG19" t="str">
        <f>""</f>
        <v/>
      </c>
      <c r="BH19" t="str">
        <f>""</f>
        <v/>
      </c>
      <c r="BI19" t="str">
        <f t="shared" si="7"/>
        <v>EVENTUAL</v>
      </c>
      <c r="BJ19" t="str">
        <f t="shared" si="8"/>
        <v>1</v>
      </c>
      <c r="BK19" t="str">
        <f t="shared" si="9"/>
        <v>Farmacia</v>
      </c>
      <c r="BL19" t="str">
        <f>""</f>
        <v/>
      </c>
      <c r="BM19" t="str">
        <f>""</f>
        <v/>
      </c>
      <c r="BN19" t="str">
        <f>""</f>
        <v/>
      </c>
      <c r="BO19" t="str">
        <f>"OUTROS"</f>
        <v>OUTROS</v>
      </c>
      <c r="BP19" t="str">
        <f>""</f>
        <v/>
      </c>
      <c r="BQ19" t="str">
        <f>""</f>
        <v/>
      </c>
      <c r="BR19" t="str">
        <f>""</f>
        <v/>
      </c>
      <c r="BS19" t="str">
        <f>""</f>
        <v/>
      </c>
      <c r="BT19" t="str">
        <f>""</f>
        <v/>
      </c>
      <c r="BU19" t="str">
        <f>""</f>
        <v/>
      </c>
      <c r="BV19" t="str">
        <f>""</f>
        <v/>
      </c>
      <c r="BW19" t="str">
        <f>"0"</f>
        <v>0</v>
      </c>
    </row>
    <row r="20" spans="1:75" x14ac:dyDescent="0.35">
      <c r="A20">
        <v>158727</v>
      </c>
      <c r="B20" t="str">
        <f t="shared" si="0"/>
        <v>A</v>
      </c>
      <c r="C20" t="str">
        <f t="shared" si="1"/>
        <v>80</v>
      </c>
      <c r="D20" t="str">
        <f t="shared" si="2"/>
        <v>11121001</v>
      </c>
      <c r="E20" t="str">
        <f t="shared" si="3"/>
        <v>121001</v>
      </c>
      <c r="F20" t="str">
        <f t="shared" si="4"/>
        <v>JENIFER SANTOS</v>
      </c>
      <c r="G20" t="str">
        <f>"35757503000190"</f>
        <v>35757503000190</v>
      </c>
      <c r="H20" t="str">
        <f>""</f>
        <v/>
      </c>
      <c r="I20" t="str">
        <f t="shared" si="5"/>
        <v>CONTA OPTICA</v>
      </c>
      <c r="J20" t="str">
        <f>"BASE COMERCIO DE PRODUTOS OPTICOS LTDA"</f>
        <v>BASE COMERCIO DE PRODUTOS OPTICOS LTDA</v>
      </c>
      <c r="K20" t="str">
        <f>"OTICAS SEE (4732)"</f>
        <v>OTICAS SEE (4732)</v>
      </c>
      <c r="L20" t="str">
        <f>""</f>
        <v/>
      </c>
      <c r="M20" t="str">
        <f>""</f>
        <v/>
      </c>
      <c r="N20" t="str">
        <f>"OTICASBASE@GMAIL.COM"</f>
        <v>OTICASBASE@GMAIL.COM</v>
      </c>
      <c r="O20" t="str">
        <f>""</f>
        <v/>
      </c>
      <c r="P20" t="str">
        <f>"BRASIL"</f>
        <v>BRASIL</v>
      </c>
      <c r="Q20" t="str">
        <f>"647"</f>
        <v>647</v>
      </c>
      <c r="R20" t="str">
        <f>"SALA 2"</f>
        <v>SALA 2</v>
      </c>
      <c r="S20" t="str">
        <f>"1288"</f>
        <v>1288</v>
      </c>
      <c r="T20" t="str">
        <f>"89887000"</f>
        <v>89887000</v>
      </c>
      <c r="U20" t="str">
        <f>"CENTRO"</f>
        <v>CENTRO</v>
      </c>
      <c r="V20" t="str">
        <f>"PALMITOS"</f>
        <v>PALMITOS</v>
      </c>
      <c r="W20" t="str">
        <f t="shared" si="13"/>
        <v>SC</v>
      </c>
      <c r="X20" t="str">
        <f>"49"</f>
        <v>49</v>
      </c>
      <c r="Y20" t="str">
        <f>"36479810"</f>
        <v>36479810</v>
      </c>
      <c r="Z20" t="str">
        <f>""</f>
        <v/>
      </c>
      <c r="AA20" t="str">
        <f>""</f>
        <v/>
      </c>
      <c r="AB20" t="str">
        <f>""</f>
        <v/>
      </c>
      <c r="AC20" t="str">
        <f>""</f>
        <v/>
      </c>
      <c r="AD20" t="str">
        <f>""</f>
        <v/>
      </c>
      <c r="AE20" t="str">
        <f>""</f>
        <v/>
      </c>
      <c r="AF20" t="str">
        <f>""</f>
        <v/>
      </c>
      <c r="AG20" t="str">
        <f>""</f>
        <v/>
      </c>
      <c r="AH20" t="str">
        <f>""</f>
        <v/>
      </c>
      <c r="AI20" t="str">
        <f>""</f>
        <v/>
      </c>
      <c r="AJ20" t="str">
        <f>""</f>
        <v/>
      </c>
      <c r="AK20" t="str">
        <f>""</f>
        <v/>
      </c>
      <c r="AL20" t="str">
        <f>""</f>
        <v/>
      </c>
      <c r="AM20" t="str">
        <f>""</f>
        <v/>
      </c>
      <c r="AN20" t="str">
        <f>""</f>
        <v/>
      </c>
      <c r="AO20" t="str">
        <f>""</f>
        <v/>
      </c>
      <c r="AP20" t="str">
        <f>""</f>
        <v/>
      </c>
      <c r="AQ20" t="str">
        <f>""</f>
        <v/>
      </c>
      <c r="AR20" t="str">
        <f>""</f>
        <v/>
      </c>
      <c r="AS20" t="str">
        <f>""</f>
        <v/>
      </c>
      <c r="AT20" t="str">
        <f>""</f>
        <v/>
      </c>
      <c r="AU20" t="str">
        <f>""</f>
        <v/>
      </c>
      <c r="AV20" t="str">
        <f>""</f>
        <v/>
      </c>
      <c r="AW20" t="str">
        <f>""</f>
        <v/>
      </c>
      <c r="AX20" t="str">
        <f>""</f>
        <v/>
      </c>
      <c r="AY20" t="str">
        <f>""</f>
        <v/>
      </c>
      <c r="AZ20" t="str">
        <f>""</f>
        <v/>
      </c>
      <c r="BA20" t="str">
        <f>""</f>
        <v/>
      </c>
      <c r="BB20" t="str">
        <f>"17/08/2023 16:48:06"</f>
        <v>17/08/2023 16:48:06</v>
      </c>
      <c r="BC20" t="str">
        <f>""</f>
        <v/>
      </c>
      <c r="BD20" t="str">
        <f>""</f>
        <v/>
      </c>
      <c r="BE20" t="str">
        <f>""</f>
        <v/>
      </c>
      <c r="BF20" t="str">
        <f t="shared" si="6"/>
        <v>A</v>
      </c>
      <c r="BG20" t="str">
        <f>""</f>
        <v/>
      </c>
      <c r="BH20" t="str">
        <f>""</f>
        <v/>
      </c>
      <c r="BI20" t="str">
        <f t="shared" si="7"/>
        <v>EVENTUAL</v>
      </c>
      <c r="BJ20" t="str">
        <f t="shared" si="8"/>
        <v>1</v>
      </c>
      <c r="BK20" t="str">
        <f t="shared" si="9"/>
        <v>Farmacia</v>
      </c>
      <c r="BL20" t="str">
        <f>""</f>
        <v/>
      </c>
      <c r="BM20" t="str">
        <f>""</f>
        <v/>
      </c>
      <c r="BN20" t="str">
        <f>""</f>
        <v/>
      </c>
      <c r="BO20" t="str">
        <f>""</f>
        <v/>
      </c>
      <c r="BP20" t="str">
        <f>""</f>
        <v/>
      </c>
      <c r="BQ20" t="str">
        <f>""</f>
        <v/>
      </c>
      <c r="BR20" t="str">
        <f>"17/08/2023"</f>
        <v>17/08/2023</v>
      </c>
      <c r="BS20" t="str">
        <f>""</f>
        <v/>
      </c>
      <c r="BT20" t="str">
        <f>""</f>
        <v/>
      </c>
      <c r="BU20" t="str">
        <f>""</f>
        <v/>
      </c>
      <c r="BV20" t="str">
        <f>""</f>
        <v/>
      </c>
      <c r="BW20" t="str">
        <f>"79"</f>
        <v>79</v>
      </c>
    </row>
    <row r="21" spans="1:75" x14ac:dyDescent="0.35">
      <c r="A21">
        <v>156744</v>
      </c>
      <c r="B21" t="str">
        <f t="shared" si="0"/>
        <v>A</v>
      </c>
      <c r="C21" t="str">
        <f t="shared" si="1"/>
        <v>80</v>
      </c>
      <c r="D21" t="str">
        <f t="shared" si="2"/>
        <v>11121001</v>
      </c>
      <c r="E21" t="str">
        <f t="shared" si="3"/>
        <v>121001</v>
      </c>
      <c r="F21" t="str">
        <f t="shared" si="4"/>
        <v>JENIFER SANTOS</v>
      </c>
      <c r="G21" t="str">
        <f>"39517870000259"</f>
        <v>39517870000259</v>
      </c>
      <c r="H21" t="str">
        <f>"0"</f>
        <v>0</v>
      </c>
      <c r="I21" t="str">
        <f t="shared" si="5"/>
        <v>CONTA OPTICA</v>
      </c>
      <c r="J21" t="str">
        <f>"BECKER E BECKER COM E SERV DE REPARO DE OCULOS LTDA"</f>
        <v>BECKER E BECKER COM E SERV DE REPARO DE OCULOS LTDA</v>
      </c>
      <c r="K21" t="str">
        <f>"ENGENHEIRO DOS OCULOS (4677)"</f>
        <v>ENGENHEIRO DOS OCULOS (4677)</v>
      </c>
      <c r="L21" t="str">
        <f>""</f>
        <v/>
      </c>
      <c r="M21" t="str">
        <f>""</f>
        <v/>
      </c>
      <c r="N21" t="str">
        <f>"ENGENHEIRODOSOCULOSNF@GMAIL.COM"</f>
        <v>ENGENHEIRODOSOCULOSNF@GMAIL.COM</v>
      </c>
      <c r="O21" t="str">
        <f>""</f>
        <v/>
      </c>
      <c r="P21" t="str">
        <f>"RUA MARIO LOBO"</f>
        <v>RUA MARIO LOBO</v>
      </c>
      <c r="Q21" t="str">
        <f>"181"</f>
        <v>181</v>
      </c>
      <c r="R21" t="str">
        <f>"LOJA 02"</f>
        <v>LOJA 02</v>
      </c>
      <c r="S21" t="str">
        <f>"1277"</f>
        <v>1277</v>
      </c>
      <c r="T21" t="str">
        <f>"89201330"</f>
        <v>89201330</v>
      </c>
      <c r="U21" t="str">
        <f>"CENTRO"</f>
        <v>CENTRO</v>
      </c>
      <c r="V21" t="str">
        <f>"JOINVILLE"</f>
        <v>JOINVILLE</v>
      </c>
      <c r="W21" t="str">
        <f t="shared" si="13"/>
        <v>SC</v>
      </c>
      <c r="X21" t="str">
        <f t="shared" ref="X21:X31" si="15">"47"</f>
        <v>47</v>
      </c>
      <c r="Y21" t="str">
        <f>"996691744"</f>
        <v>996691744</v>
      </c>
      <c r="Z21" t="str">
        <f>""</f>
        <v/>
      </c>
      <c r="AA21" t="str">
        <f>""</f>
        <v/>
      </c>
      <c r="AB21" t="str">
        <f>""</f>
        <v/>
      </c>
      <c r="AC21" t="str">
        <f>""</f>
        <v/>
      </c>
      <c r="AD21" t="str">
        <f>""</f>
        <v/>
      </c>
      <c r="AE21" t="str">
        <f>""</f>
        <v/>
      </c>
      <c r="AF21" t="str">
        <f>""</f>
        <v/>
      </c>
      <c r="AG21" t="str">
        <f>""</f>
        <v/>
      </c>
      <c r="AH21" t="str">
        <f>""</f>
        <v/>
      </c>
      <c r="AI21" t="str">
        <f>""</f>
        <v/>
      </c>
      <c r="AJ21" t="str">
        <f>""</f>
        <v/>
      </c>
      <c r="AK21" t="str">
        <f>""</f>
        <v/>
      </c>
      <c r="AL21" t="str">
        <f>""</f>
        <v/>
      </c>
      <c r="AM21" t="str">
        <f>""</f>
        <v/>
      </c>
      <c r="AN21" t="str">
        <f>""</f>
        <v/>
      </c>
      <c r="AO21" t="str">
        <f>""</f>
        <v/>
      </c>
      <c r="AP21" t="str">
        <f>""</f>
        <v/>
      </c>
      <c r="AQ21" t="str">
        <f>""</f>
        <v/>
      </c>
      <c r="AR21" t="str">
        <f>""</f>
        <v/>
      </c>
      <c r="AS21" t="str">
        <f>""</f>
        <v/>
      </c>
      <c r="AT21" t="str">
        <f>""</f>
        <v/>
      </c>
      <c r="AU21" t="str">
        <f>""</f>
        <v/>
      </c>
      <c r="AV21" t="str">
        <f>""</f>
        <v/>
      </c>
      <c r="AW21" t="str">
        <f>""</f>
        <v/>
      </c>
      <c r="AX21" t="str">
        <f>""</f>
        <v/>
      </c>
      <c r="AY21" t="str">
        <f>""</f>
        <v/>
      </c>
      <c r="AZ21" t="str">
        <f>""</f>
        <v/>
      </c>
      <c r="BA21" t="str">
        <f>""</f>
        <v/>
      </c>
      <c r="BB21" t="str">
        <f>"06/07/2023 12:07:48"</f>
        <v>06/07/2023 12:07:48</v>
      </c>
      <c r="BC21" t="str">
        <f>""</f>
        <v/>
      </c>
      <c r="BD21" t="str">
        <f>""</f>
        <v/>
      </c>
      <c r="BE21" t="str">
        <f>""</f>
        <v/>
      </c>
      <c r="BF21" t="str">
        <f t="shared" si="6"/>
        <v>A</v>
      </c>
      <c r="BG21" t="str">
        <f>""</f>
        <v/>
      </c>
      <c r="BH21" t="str">
        <f>""</f>
        <v/>
      </c>
      <c r="BI21" t="str">
        <f t="shared" si="7"/>
        <v>EVENTUAL</v>
      </c>
      <c r="BJ21" t="str">
        <f t="shared" si="8"/>
        <v>1</v>
      </c>
      <c r="BK21" t="str">
        <f t="shared" si="9"/>
        <v>Farmacia</v>
      </c>
      <c r="BL21" t="str">
        <f>""</f>
        <v/>
      </c>
      <c r="BM21" t="str">
        <f>""</f>
        <v/>
      </c>
      <c r="BN21" t="str">
        <f>""</f>
        <v/>
      </c>
      <c r="BO21" t="str">
        <f>""</f>
        <v/>
      </c>
      <c r="BP21" t="str">
        <f>""</f>
        <v/>
      </c>
      <c r="BQ21" t="str">
        <f>""</f>
        <v/>
      </c>
      <c r="BR21" t="str">
        <f>"06/07/2023"</f>
        <v>06/07/2023</v>
      </c>
      <c r="BS21" t="str">
        <f>""</f>
        <v/>
      </c>
      <c r="BT21" t="str">
        <f>""</f>
        <v/>
      </c>
      <c r="BU21" t="str">
        <f>""</f>
        <v/>
      </c>
      <c r="BV21" t="str">
        <f>""</f>
        <v/>
      </c>
      <c r="BW21" t="str">
        <f>"7"</f>
        <v>7</v>
      </c>
    </row>
    <row r="22" spans="1:75" x14ac:dyDescent="0.35">
      <c r="A22">
        <v>144592</v>
      </c>
      <c r="B22" t="str">
        <f t="shared" si="0"/>
        <v>A</v>
      </c>
      <c r="C22" t="str">
        <f t="shared" si="1"/>
        <v>80</v>
      </c>
      <c r="D22" t="str">
        <f t="shared" si="2"/>
        <v>11121001</v>
      </c>
      <c r="E22" t="str">
        <f t="shared" si="3"/>
        <v>121001</v>
      </c>
      <c r="F22" t="str">
        <f t="shared" si="4"/>
        <v>JENIFER SANTOS</v>
      </c>
      <c r="G22" t="str">
        <f>"78668183000105"</f>
        <v>78668183000105</v>
      </c>
      <c r="H22" t="str">
        <f>""</f>
        <v/>
      </c>
      <c r="I22" t="str">
        <f t="shared" si="5"/>
        <v>CONTA OPTICA</v>
      </c>
      <c r="J22" t="str">
        <f>"BEHLING JOALHEIRO LTDA ME"</f>
        <v>BEHLING JOALHEIRO LTDA ME</v>
      </c>
      <c r="K22" t="str">
        <f>"BEHLING JOALHEIRO LTDA ME (20)"</f>
        <v>BEHLING JOALHEIRO LTDA ME (20)</v>
      </c>
      <c r="L22" t="str">
        <f>""</f>
        <v/>
      </c>
      <c r="M22" t="str">
        <f>""</f>
        <v/>
      </c>
      <c r="N22" t="str">
        <f>"nfe.behling@gmail.com"</f>
        <v>nfe.behling@gmail.com</v>
      </c>
      <c r="O22" t="str">
        <f>""</f>
        <v/>
      </c>
      <c r="P22" t="str">
        <f>"AVENIDA GETULIO VARGAS"</f>
        <v>AVENIDA GETULIO VARGAS</v>
      </c>
      <c r="Q22" t="str">
        <f>"611"</f>
        <v>611</v>
      </c>
      <c r="R22" t="str">
        <f>""</f>
        <v/>
      </c>
      <c r="S22" t="str">
        <f>"1280"</f>
        <v>1280</v>
      </c>
      <c r="T22" t="str">
        <f>"89278000"</f>
        <v>89278000</v>
      </c>
      <c r="U22" t="str">
        <f>"CENTRO"</f>
        <v>CENTRO</v>
      </c>
      <c r="V22" t="str">
        <f>"CORUPA"</f>
        <v>CORUPA</v>
      </c>
      <c r="W22" t="str">
        <f t="shared" si="13"/>
        <v>SC</v>
      </c>
      <c r="X22" t="str">
        <f t="shared" si="15"/>
        <v>47</v>
      </c>
      <c r="Y22" t="str">
        <f>"33751582"</f>
        <v>33751582</v>
      </c>
      <c r="Z22" t="str">
        <f>""</f>
        <v/>
      </c>
      <c r="AA22" t="str">
        <f>""</f>
        <v/>
      </c>
      <c r="AB22" t="str">
        <f>""</f>
        <v/>
      </c>
      <c r="AC22" t="str">
        <f>""</f>
        <v/>
      </c>
      <c r="AD22" t="str">
        <f>""</f>
        <v/>
      </c>
      <c r="AE22" t="str">
        <f>""</f>
        <v/>
      </c>
      <c r="AF22" t="str">
        <f>""</f>
        <v/>
      </c>
      <c r="AG22" t="str">
        <f>""</f>
        <v/>
      </c>
      <c r="AH22" t="str">
        <f>""</f>
        <v/>
      </c>
      <c r="AI22" t="str">
        <f>""</f>
        <v/>
      </c>
      <c r="AJ22" t="str">
        <f>""</f>
        <v/>
      </c>
      <c r="AK22" t="str">
        <f>""</f>
        <v/>
      </c>
      <c r="AL22" t="str">
        <f>""</f>
        <v/>
      </c>
      <c r="AM22" t="str">
        <f>""</f>
        <v/>
      </c>
      <c r="AN22" t="str">
        <f>""</f>
        <v/>
      </c>
      <c r="AO22" t="str">
        <f>""</f>
        <v/>
      </c>
      <c r="AP22" t="str">
        <f>""</f>
        <v/>
      </c>
      <c r="AQ22" t="str">
        <f>""</f>
        <v/>
      </c>
      <c r="AR22" t="str">
        <f>""</f>
        <v/>
      </c>
      <c r="AS22" t="str">
        <f>""</f>
        <v/>
      </c>
      <c r="AT22" t="str">
        <f>""</f>
        <v/>
      </c>
      <c r="AU22" t="str">
        <f>""</f>
        <v/>
      </c>
      <c r="AV22" t="str">
        <f>""</f>
        <v/>
      </c>
      <c r="AW22" t="str">
        <f>""</f>
        <v/>
      </c>
      <c r="AX22" t="str">
        <f>""</f>
        <v/>
      </c>
      <c r="AY22" t="str">
        <f>""</f>
        <v/>
      </c>
      <c r="AZ22" t="str">
        <f>""</f>
        <v/>
      </c>
      <c r="BA22" t="str">
        <f>""</f>
        <v/>
      </c>
      <c r="BB22" t="str">
        <f>""</f>
        <v/>
      </c>
      <c r="BC22" t="str">
        <f>""</f>
        <v/>
      </c>
      <c r="BD22" t="str">
        <f>""</f>
        <v/>
      </c>
      <c r="BE22" t="str">
        <f>""</f>
        <v/>
      </c>
      <c r="BF22" t="str">
        <f t="shared" si="6"/>
        <v>A</v>
      </c>
      <c r="BG22" t="str">
        <f>""</f>
        <v/>
      </c>
      <c r="BH22" t="str">
        <f>""</f>
        <v/>
      </c>
      <c r="BI22" t="str">
        <f t="shared" si="7"/>
        <v>EVENTUAL</v>
      </c>
      <c r="BJ22" t="str">
        <f t="shared" si="8"/>
        <v>1</v>
      </c>
      <c r="BK22" t="str">
        <f t="shared" si="9"/>
        <v>Farmacia</v>
      </c>
      <c r="BL22" t="str">
        <f>""</f>
        <v/>
      </c>
      <c r="BM22" t="str">
        <f>"NÃO É VARILUX ESPECIALISTA"</f>
        <v>NÃO É VARILUX ESPECIALISTA</v>
      </c>
      <c r="BN22" t="str">
        <f>"NA"</f>
        <v>NA</v>
      </c>
      <c r="BO22" t="str">
        <f>"FOCO KODAK 2"</f>
        <v>FOCO KODAK 2</v>
      </c>
      <c r="BP22" t="str">
        <f>""</f>
        <v/>
      </c>
      <c r="BQ22" t="str">
        <f>""</f>
        <v/>
      </c>
      <c r="BR22" t="str">
        <f>""</f>
        <v/>
      </c>
      <c r="BS22" t="str">
        <f>""</f>
        <v/>
      </c>
      <c r="BT22" t="str">
        <f>""</f>
        <v/>
      </c>
      <c r="BU22" t="str">
        <f>""</f>
        <v/>
      </c>
      <c r="BV22" t="str">
        <f>"8"</f>
        <v>8</v>
      </c>
      <c r="BW22" t="str">
        <f>"4"</f>
        <v>4</v>
      </c>
    </row>
    <row r="23" spans="1:75" x14ac:dyDescent="0.35">
      <c r="A23">
        <v>120562</v>
      </c>
      <c r="B23" t="str">
        <f t="shared" si="0"/>
        <v>A</v>
      </c>
      <c r="C23" t="str">
        <f t="shared" si="1"/>
        <v>80</v>
      </c>
      <c r="D23" t="str">
        <f t="shared" si="2"/>
        <v>11121001</v>
      </c>
      <c r="E23" t="str">
        <f t="shared" si="3"/>
        <v>121001</v>
      </c>
      <c r="F23" t="str">
        <f t="shared" si="4"/>
        <v>JENIFER SANTOS</v>
      </c>
      <c r="G23" t="str">
        <f>"09097879000106"</f>
        <v>09097879000106</v>
      </c>
      <c r="H23" t="str">
        <f>"0"</f>
        <v>0</v>
      </c>
      <c r="I23" t="str">
        <f t="shared" si="5"/>
        <v>CONTA OPTICA</v>
      </c>
      <c r="J23" t="str">
        <f>"BELLA OPTICA LTDA ME"</f>
        <v>BELLA OPTICA LTDA ME</v>
      </c>
      <c r="K23" t="str">
        <f>"BELLA OPTICA (1365)"</f>
        <v>BELLA OPTICA (1365)</v>
      </c>
      <c r="L23" t="str">
        <f>""</f>
        <v/>
      </c>
      <c r="M23" t="str">
        <f>""</f>
        <v/>
      </c>
      <c r="N23" t="str">
        <f>"bella.optica@hotmail.com"</f>
        <v>bella.optica@hotmail.com</v>
      </c>
      <c r="O23" t="str">
        <f>""</f>
        <v/>
      </c>
      <c r="P23" t="str">
        <f>"RUA ABDON BATISTA"</f>
        <v>RUA ABDON BATISTA</v>
      </c>
      <c r="Q23" t="str">
        <f>"63"</f>
        <v>63</v>
      </c>
      <c r="R23" t="str">
        <f>""</f>
        <v/>
      </c>
      <c r="S23" t="str">
        <f>"1277"</f>
        <v>1277</v>
      </c>
      <c r="T23" t="str">
        <f>"89201010"</f>
        <v>89201010</v>
      </c>
      <c r="U23" t="str">
        <f>"CENTRO"</f>
        <v>CENTRO</v>
      </c>
      <c r="V23" t="str">
        <f>"JOINVILLE"</f>
        <v>JOINVILLE</v>
      </c>
      <c r="W23" t="str">
        <f t="shared" si="13"/>
        <v>SC</v>
      </c>
      <c r="X23" t="str">
        <f t="shared" si="15"/>
        <v>47</v>
      </c>
      <c r="Y23" t="str">
        <f>"30272889"</f>
        <v>30272889</v>
      </c>
      <c r="Z23" t="str">
        <f>""</f>
        <v/>
      </c>
      <c r="AA23" t="str">
        <f>""</f>
        <v/>
      </c>
      <c r="AB23" t="str">
        <f>""</f>
        <v/>
      </c>
      <c r="AC23" t="str">
        <f>""</f>
        <v/>
      </c>
      <c r="AD23" t="str">
        <f>""</f>
        <v/>
      </c>
      <c r="AE23" t="str">
        <f>""</f>
        <v/>
      </c>
      <c r="AF23" t="str">
        <f>""</f>
        <v/>
      </c>
      <c r="AG23" t="str">
        <f>""</f>
        <v/>
      </c>
      <c r="AH23" t="str">
        <f>""</f>
        <v/>
      </c>
      <c r="AI23" t="str">
        <f>""</f>
        <v/>
      </c>
      <c r="AJ23" t="str">
        <f>""</f>
        <v/>
      </c>
      <c r="AK23" t="str">
        <f>""</f>
        <v/>
      </c>
      <c r="AL23" t="str">
        <f>""</f>
        <v/>
      </c>
      <c r="AM23" t="str">
        <f>""</f>
        <v/>
      </c>
      <c r="AN23" t="str">
        <f>""</f>
        <v/>
      </c>
      <c r="AO23" t="str">
        <f>""</f>
        <v/>
      </c>
      <c r="AP23" t="str">
        <f>""</f>
        <v/>
      </c>
      <c r="AQ23" t="str">
        <f>""</f>
        <v/>
      </c>
      <c r="AR23" t="str">
        <f>""</f>
        <v/>
      </c>
      <c r="AS23" t="str">
        <f>""</f>
        <v/>
      </c>
      <c r="AT23" t="str">
        <f>""</f>
        <v/>
      </c>
      <c r="AU23" t="str">
        <f>""</f>
        <v/>
      </c>
      <c r="AV23" t="str">
        <f>""</f>
        <v/>
      </c>
      <c r="AW23" t="str">
        <f>""</f>
        <v/>
      </c>
      <c r="AX23" t="str">
        <f>""</f>
        <v/>
      </c>
      <c r="AY23" t="str">
        <f>""</f>
        <v/>
      </c>
      <c r="AZ23" t="str">
        <f>""</f>
        <v/>
      </c>
      <c r="BA23" t="str">
        <f>""</f>
        <v/>
      </c>
      <c r="BB23" t="str">
        <f>"22/09/2020 15:29:33"</f>
        <v>22/09/2020 15:29:33</v>
      </c>
      <c r="BC23" t="str">
        <f>""</f>
        <v/>
      </c>
      <c r="BD23" t="str">
        <f>""</f>
        <v/>
      </c>
      <c r="BE23" t="str">
        <f>""</f>
        <v/>
      </c>
      <c r="BF23" t="str">
        <f t="shared" si="6"/>
        <v>A</v>
      </c>
      <c r="BG23" t="str">
        <f>""</f>
        <v/>
      </c>
      <c r="BH23" t="str">
        <f>""</f>
        <v/>
      </c>
      <c r="BI23" t="str">
        <f t="shared" si="7"/>
        <v>EVENTUAL</v>
      </c>
      <c r="BJ23" t="str">
        <f t="shared" si="8"/>
        <v>1</v>
      </c>
      <c r="BK23" t="str">
        <f t="shared" si="9"/>
        <v>Farmacia</v>
      </c>
      <c r="BL23" t="str">
        <f>""</f>
        <v/>
      </c>
      <c r="BM23" t="str">
        <f>"NÃO É VARILUX ESPECIALISTA"</f>
        <v>NÃO É VARILUX ESPECIALISTA</v>
      </c>
      <c r="BN23" t="str">
        <f>"NA"</f>
        <v>NA</v>
      </c>
      <c r="BO23" t="str">
        <f>"OUTROS"</f>
        <v>OUTROS</v>
      </c>
      <c r="BP23" t="str">
        <f>""</f>
        <v/>
      </c>
      <c r="BQ23" t="str">
        <f>""</f>
        <v/>
      </c>
      <c r="BR23" t="str">
        <f>"22/09/2020"</f>
        <v>22/09/2020</v>
      </c>
      <c r="BS23" t="str">
        <f>""</f>
        <v/>
      </c>
      <c r="BT23" t="str">
        <f>""</f>
        <v/>
      </c>
      <c r="BU23" t="str">
        <f>""</f>
        <v/>
      </c>
      <c r="BV23" t="str">
        <f>"9"</f>
        <v>9</v>
      </c>
      <c r="BW23" t="str">
        <f>"Não visitado"</f>
        <v>Não visitado</v>
      </c>
    </row>
    <row r="24" spans="1:75" x14ac:dyDescent="0.35">
      <c r="A24">
        <v>156783</v>
      </c>
      <c r="B24" t="str">
        <f t="shared" si="0"/>
        <v>A</v>
      </c>
      <c r="C24" t="str">
        <f t="shared" si="1"/>
        <v>80</v>
      </c>
      <c r="D24" t="str">
        <f t="shared" si="2"/>
        <v>11121001</v>
      </c>
      <c r="E24" t="str">
        <f t="shared" si="3"/>
        <v>121001</v>
      </c>
      <c r="F24" t="str">
        <f t="shared" si="4"/>
        <v>JENIFER SANTOS</v>
      </c>
      <c r="G24" t="str">
        <f>"11971623000128"</f>
        <v>11971623000128</v>
      </c>
      <c r="H24" t="str">
        <f>"0"</f>
        <v>0</v>
      </c>
      <c r="I24" t="str">
        <f t="shared" si="5"/>
        <v>CONTA OPTICA</v>
      </c>
      <c r="J24" t="str">
        <f>"BELLA OTICA LTDA"</f>
        <v>BELLA OTICA LTDA</v>
      </c>
      <c r="K24" t="str">
        <f>"BELLA OTICA LTDA (1902)"</f>
        <v>BELLA OTICA LTDA (1902)</v>
      </c>
      <c r="L24" t="str">
        <f>""</f>
        <v/>
      </c>
      <c r="M24" t="str">
        <f>""</f>
        <v/>
      </c>
      <c r="N24" t="str">
        <f>"BELLA.GRIFF@HOTMAIL.COM"</f>
        <v>BELLA.GRIFF@HOTMAIL.COM</v>
      </c>
      <c r="O24" t="str">
        <f>""</f>
        <v/>
      </c>
      <c r="P24" t="str">
        <f>"RUA JORGE ZIPPERER"</f>
        <v>RUA JORGE ZIPPERER</v>
      </c>
      <c r="Q24" t="str">
        <f>"161"</f>
        <v>161</v>
      </c>
      <c r="R24" t="str">
        <f>"SALA 11"</f>
        <v>SALA 11</v>
      </c>
      <c r="S24" t="str">
        <f>"1280"</f>
        <v>1280</v>
      </c>
      <c r="T24" t="str">
        <f>"89295000"</f>
        <v>89295000</v>
      </c>
      <c r="U24" t="str">
        <f>"CENTRO"</f>
        <v>CENTRO</v>
      </c>
      <c r="V24" t="str">
        <f>"RIO NEGRINHO"</f>
        <v>RIO NEGRINHO</v>
      </c>
      <c r="W24" t="str">
        <f t="shared" si="13"/>
        <v>SC</v>
      </c>
      <c r="X24" t="str">
        <f t="shared" si="15"/>
        <v>47</v>
      </c>
      <c r="Y24" t="str">
        <f>"36447179"</f>
        <v>36447179</v>
      </c>
      <c r="Z24" t="str">
        <f>""</f>
        <v/>
      </c>
      <c r="AA24" t="str">
        <f>""</f>
        <v/>
      </c>
      <c r="AB24" t="str">
        <f>""</f>
        <v/>
      </c>
      <c r="AC24" t="str">
        <f>""</f>
        <v/>
      </c>
      <c r="AD24" t="str">
        <f>""</f>
        <v/>
      </c>
      <c r="AE24" t="str">
        <f>""</f>
        <v/>
      </c>
      <c r="AF24" t="str">
        <f>""</f>
        <v/>
      </c>
      <c r="AG24" t="str">
        <f>""</f>
        <v/>
      </c>
      <c r="AH24" t="str">
        <f>""</f>
        <v/>
      </c>
      <c r="AI24" t="str">
        <f>""</f>
        <v/>
      </c>
      <c r="AJ24" t="str">
        <f>""</f>
        <v/>
      </c>
      <c r="AK24" t="str">
        <f>""</f>
        <v/>
      </c>
      <c r="AL24" t="str">
        <f>""</f>
        <v/>
      </c>
      <c r="AM24" t="str">
        <f>""</f>
        <v/>
      </c>
      <c r="AN24" t="str">
        <f>""</f>
        <v/>
      </c>
      <c r="AO24" t="str">
        <f>""</f>
        <v/>
      </c>
      <c r="AP24" t="str">
        <f>""</f>
        <v/>
      </c>
      <c r="AQ24" t="str">
        <f>""</f>
        <v/>
      </c>
      <c r="AR24" t="str">
        <f>""</f>
        <v/>
      </c>
      <c r="AS24" t="str">
        <f>""</f>
        <v/>
      </c>
      <c r="AT24" t="str">
        <f>""</f>
        <v/>
      </c>
      <c r="AU24" t="str">
        <f>""</f>
        <v/>
      </c>
      <c r="AV24" t="str">
        <f>""</f>
        <v/>
      </c>
      <c r="AW24" t="str">
        <f>""</f>
        <v/>
      </c>
      <c r="AX24" t="str">
        <f>""</f>
        <v/>
      </c>
      <c r="AY24" t="str">
        <f>""</f>
        <v/>
      </c>
      <c r="AZ24" t="str">
        <f>""</f>
        <v/>
      </c>
      <c r="BA24" t="str">
        <f>""</f>
        <v/>
      </c>
      <c r="BB24" t="str">
        <f>"06/07/2023 12:07:48"</f>
        <v>06/07/2023 12:07:48</v>
      </c>
      <c r="BC24" t="str">
        <f>""</f>
        <v/>
      </c>
      <c r="BD24" t="str">
        <f>""</f>
        <v/>
      </c>
      <c r="BE24" t="str">
        <f>""</f>
        <v/>
      </c>
      <c r="BF24" t="str">
        <f t="shared" si="6"/>
        <v>A</v>
      </c>
      <c r="BG24" t="str">
        <f>""</f>
        <v/>
      </c>
      <c r="BH24" t="str">
        <f>""</f>
        <v/>
      </c>
      <c r="BI24" t="str">
        <f t="shared" si="7"/>
        <v>EVENTUAL</v>
      </c>
      <c r="BJ24" t="str">
        <f t="shared" si="8"/>
        <v>1</v>
      </c>
      <c r="BK24" t="str">
        <f t="shared" si="9"/>
        <v>Farmacia</v>
      </c>
      <c r="BL24" t="str">
        <f>""</f>
        <v/>
      </c>
      <c r="BM24" t="str">
        <f>""</f>
        <v/>
      </c>
      <c r="BN24" t="str">
        <f>""</f>
        <v/>
      </c>
      <c r="BO24" t="str">
        <f>""</f>
        <v/>
      </c>
      <c r="BP24" t="str">
        <f>""</f>
        <v/>
      </c>
      <c r="BQ24" t="str">
        <f>""</f>
        <v/>
      </c>
      <c r="BR24" t="str">
        <f>"06/07/2023"</f>
        <v>06/07/2023</v>
      </c>
      <c r="BS24" t="str">
        <f>""</f>
        <v/>
      </c>
      <c r="BT24" t="str">
        <f>""</f>
        <v/>
      </c>
      <c r="BU24" t="str">
        <f>""</f>
        <v/>
      </c>
      <c r="BV24" t="str">
        <f>""</f>
        <v/>
      </c>
      <c r="BW24" t="str">
        <f>"Não visitado"</f>
        <v>Não visitado</v>
      </c>
    </row>
    <row r="25" spans="1:75" x14ac:dyDescent="0.35">
      <c r="A25">
        <v>156776</v>
      </c>
      <c r="B25" t="str">
        <f t="shared" si="0"/>
        <v>A</v>
      </c>
      <c r="C25" t="str">
        <f t="shared" si="1"/>
        <v>80</v>
      </c>
      <c r="D25" t="str">
        <f t="shared" si="2"/>
        <v>11121001</v>
      </c>
      <c r="E25" t="str">
        <f t="shared" si="3"/>
        <v>121001</v>
      </c>
      <c r="F25" t="str">
        <f t="shared" si="4"/>
        <v>JENIFER SANTOS</v>
      </c>
      <c r="G25" t="str">
        <f>"11971623000209"</f>
        <v>11971623000209</v>
      </c>
      <c r="H25" t="str">
        <f>"0"</f>
        <v>0</v>
      </c>
      <c r="I25" t="str">
        <f t="shared" si="5"/>
        <v>CONTA OPTICA</v>
      </c>
      <c r="J25" t="str">
        <f>"BELLA OTICA LTDA ME"</f>
        <v>BELLA OTICA LTDA ME</v>
      </c>
      <c r="K25" t="str">
        <f>"BELLA OTICA LTDA ME (2083)"</f>
        <v>BELLA OTICA LTDA ME (2083)</v>
      </c>
      <c r="L25" t="str">
        <f>""</f>
        <v/>
      </c>
      <c r="M25" t="str">
        <f>""</f>
        <v/>
      </c>
      <c r="N25" t="str">
        <f>"BELLAOTICA.PIRABEIRABA@HOTMAIL.COM"</f>
        <v>BELLAOTICA.PIRABEIRABA@HOTMAIL.COM</v>
      </c>
      <c r="O25" t="str">
        <f>""</f>
        <v/>
      </c>
      <c r="P25" t="str">
        <f>"RUA OLAVO BILAC"</f>
        <v>RUA OLAVO BILAC</v>
      </c>
      <c r="Q25" t="str">
        <f>"288"</f>
        <v>288</v>
      </c>
      <c r="R25" t="str">
        <f>""</f>
        <v/>
      </c>
      <c r="S25" t="str">
        <f>"1279"</f>
        <v>1279</v>
      </c>
      <c r="T25" t="str">
        <f>"89239100"</f>
        <v>89239100</v>
      </c>
      <c r="U25" t="str">
        <f>"CENTRO (PIRABEIRABA)"</f>
        <v>CENTRO (PIRABEIRABA)</v>
      </c>
      <c r="V25" t="str">
        <f>"JOINVILLE"</f>
        <v>JOINVILLE</v>
      </c>
      <c r="W25" t="str">
        <f t="shared" si="13"/>
        <v>SC</v>
      </c>
      <c r="X25" t="str">
        <f t="shared" si="15"/>
        <v>47</v>
      </c>
      <c r="Y25" t="str">
        <f>"34679053"</f>
        <v>34679053</v>
      </c>
      <c r="Z25" t="str">
        <f>""</f>
        <v/>
      </c>
      <c r="AA25" t="str">
        <f>""</f>
        <v/>
      </c>
      <c r="AB25" t="str">
        <f>""</f>
        <v/>
      </c>
      <c r="AC25" t="str">
        <f>""</f>
        <v/>
      </c>
      <c r="AD25" t="str">
        <f>""</f>
        <v/>
      </c>
      <c r="AE25" t="str">
        <f>""</f>
        <v/>
      </c>
      <c r="AF25" t="str">
        <f>""</f>
        <v/>
      </c>
      <c r="AG25" t="str">
        <f>""</f>
        <v/>
      </c>
      <c r="AH25" t="str">
        <f>""</f>
        <v/>
      </c>
      <c r="AI25" t="str">
        <f>""</f>
        <v/>
      </c>
      <c r="AJ25" t="str">
        <f>""</f>
        <v/>
      </c>
      <c r="AK25" t="str">
        <f>""</f>
        <v/>
      </c>
      <c r="AL25" t="str">
        <f>""</f>
        <v/>
      </c>
      <c r="AM25" t="str">
        <f>""</f>
        <v/>
      </c>
      <c r="AN25" t="str">
        <f>""</f>
        <v/>
      </c>
      <c r="AO25" t="str">
        <f>""</f>
        <v/>
      </c>
      <c r="AP25" t="str">
        <f>""</f>
        <v/>
      </c>
      <c r="AQ25" t="str">
        <f>""</f>
        <v/>
      </c>
      <c r="AR25" t="str">
        <f>""</f>
        <v/>
      </c>
      <c r="AS25" t="str">
        <f>""</f>
        <v/>
      </c>
      <c r="AT25" t="str">
        <f>""</f>
        <v/>
      </c>
      <c r="AU25" t="str">
        <f>""</f>
        <v/>
      </c>
      <c r="AV25" t="str">
        <f>""</f>
        <v/>
      </c>
      <c r="AW25" t="str">
        <f>""</f>
        <v/>
      </c>
      <c r="AX25" t="str">
        <f>""</f>
        <v/>
      </c>
      <c r="AY25" t="str">
        <f>""</f>
        <v/>
      </c>
      <c r="AZ25" t="str">
        <f>""</f>
        <v/>
      </c>
      <c r="BA25" t="str">
        <f>""</f>
        <v/>
      </c>
      <c r="BB25" t="str">
        <f>"06/07/2023 12:07:48"</f>
        <v>06/07/2023 12:07:48</v>
      </c>
      <c r="BC25" t="str">
        <f>""</f>
        <v/>
      </c>
      <c r="BD25" t="str">
        <f>""</f>
        <v/>
      </c>
      <c r="BE25" t="str">
        <f>""</f>
        <v/>
      </c>
      <c r="BF25" t="str">
        <f t="shared" si="6"/>
        <v>A</v>
      </c>
      <c r="BG25" t="str">
        <f>""</f>
        <v/>
      </c>
      <c r="BH25" t="str">
        <f>""</f>
        <v/>
      </c>
      <c r="BI25" t="str">
        <f t="shared" si="7"/>
        <v>EVENTUAL</v>
      </c>
      <c r="BJ25" t="str">
        <f t="shared" si="8"/>
        <v>1</v>
      </c>
      <c r="BK25" t="str">
        <f t="shared" si="9"/>
        <v>Farmacia</v>
      </c>
      <c r="BL25" t="str">
        <f>""</f>
        <v/>
      </c>
      <c r="BM25" t="str">
        <f>""</f>
        <v/>
      </c>
      <c r="BN25" t="str">
        <f>""</f>
        <v/>
      </c>
      <c r="BO25" t="str">
        <f>""</f>
        <v/>
      </c>
      <c r="BP25" t="str">
        <f>""</f>
        <v/>
      </c>
      <c r="BQ25" t="str">
        <f>""</f>
        <v/>
      </c>
      <c r="BR25" t="str">
        <f>"06/07/2023"</f>
        <v>06/07/2023</v>
      </c>
      <c r="BS25" t="str">
        <f>""</f>
        <v/>
      </c>
      <c r="BT25" t="str">
        <f>""</f>
        <v/>
      </c>
      <c r="BU25" t="str">
        <f>""</f>
        <v/>
      </c>
      <c r="BV25" t="str">
        <f>""</f>
        <v/>
      </c>
      <c r="BW25" t="str">
        <f>"Não visitado"</f>
        <v>Não visitado</v>
      </c>
    </row>
    <row r="26" spans="1:75" x14ac:dyDescent="0.35">
      <c r="A26">
        <v>127766</v>
      </c>
      <c r="B26" t="str">
        <f t="shared" si="0"/>
        <v>A</v>
      </c>
      <c r="C26" t="str">
        <f t="shared" si="1"/>
        <v>80</v>
      </c>
      <c r="D26" t="str">
        <f t="shared" si="2"/>
        <v>11121001</v>
      </c>
      <c r="E26" t="str">
        <f t="shared" si="3"/>
        <v>121001</v>
      </c>
      <c r="F26" t="str">
        <f t="shared" si="4"/>
        <v>JENIFER SANTOS</v>
      </c>
      <c r="G26" t="str">
        <f>"08967793000124"</f>
        <v>08967793000124</v>
      </c>
      <c r="H26" t="str">
        <f>"0"</f>
        <v>0</v>
      </c>
      <c r="I26" t="str">
        <f t="shared" si="5"/>
        <v>CONTA OPTICA</v>
      </c>
      <c r="J26" t="str">
        <f>"BENIL COMERCIO DE ARTIGOS OTICOS LTDA ME"</f>
        <v>BENIL COMERCIO DE ARTIGOS OTICOS LTDA ME</v>
      </c>
      <c r="K26" t="str">
        <f>"OPTICA BIANKA (1345)"</f>
        <v>OPTICA BIANKA (1345)</v>
      </c>
      <c r="L26" t="str">
        <f>""</f>
        <v/>
      </c>
      <c r="M26" t="str">
        <f>""</f>
        <v/>
      </c>
      <c r="N26" t="str">
        <f>""</f>
        <v/>
      </c>
      <c r="O26" t="str">
        <f>""</f>
        <v/>
      </c>
      <c r="P26" t="str">
        <f>"RUA FATIMA"</f>
        <v>RUA FATIMA</v>
      </c>
      <c r="Q26" t="str">
        <f>"2220"</f>
        <v>2220</v>
      </c>
      <c r="R26" t="str">
        <f>"SALA 01"</f>
        <v>SALA 01</v>
      </c>
      <c r="S26" t="str">
        <f>"1279"</f>
        <v>1279</v>
      </c>
      <c r="T26" t="str">
        <f>"89229102"</f>
        <v>89229102</v>
      </c>
      <c r="U26" t="str">
        <f>"FATIMA"</f>
        <v>FATIMA</v>
      </c>
      <c r="V26" t="str">
        <f>"JOINVILLE"</f>
        <v>JOINVILLE</v>
      </c>
      <c r="W26" t="str">
        <f t="shared" si="13"/>
        <v>SC</v>
      </c>
      <c r="X26" t="str">
        <f t="shared" si="15"/>
        <v>47</v>
      </c>
      <c r="Y26" t="str">
        <f>"34296859"</f>
        <v>34296859</v>
      </c>
      <c r="Z26" t="str">
        <f>""</f>
        <v/>
      </c>
      <c r="AA26" t="str">
        <f>""</f>
        <v/>
      </c>
      <c r="AB26" t="str">
        <f>""</f>
        <v/>
      </c>
      <c r="AC26" t="str">
        <f>""</f>
        <v/>
      </c>
      <c r="AD26" t="str">
        <f>""</f>
        <v/>
      </c>
      <c r="AE26" t="str">
        <f>""</f>
        <v/>
      </c>
      <c r="AF26" t="str">
        <f>""</f>
        <v/>
      </c>
      <c r="AG26" t="str">
        <f>""</f>
        <v/>
      </c>
      <c r="AH26" t="str">
        <f>""</f>
        <v/>
      </c>
      <c r="AI26" t="str">
        <f>""</f>
        <v/>
      </c>
      <c r="AJ26" t="str">
        <f>""</f>
        <v/>
      </c>
      <c r="AK26" t="str">
        <f>""</f>
        <v/>
      </c>
      <c r="AL26" t="str">
        <f>""</f>
        <v/>
      </c>
      <c r="AM26" t="str">
        <f>""</f>
        <v/>
      </c>
      <c r="AN26" t="str">
        <f>""</f>
        <v/>
      </c>
      <c r="AO26" t="str">
        <f>""</f>
        <v/>
      </c>
      <c r="AP26" t="str">
        <f>""</f>
        <v/>
      </c>
      <c r="AQ26" t="str">
        <f>""</f>
        <v/>
      </c>
      <c r="AR26" t="str">
        <f>""</f>
        <v/>
      </c>
      <c r="AS26" t="str">
        <f>""</f>
        <v/>
      </c>
      <c r="AT26" t="str">
        <f>""</f>
        <v/>
      </c>
      <c r="AU26" t="str">
        <f>""</f>
        <v/>
      </c>
      <c r="AV26" t="str">
        <f>""</f>
        <v/>
      </c>
      <c r="AW26" t="str">
        <f>""</f>
        <v/>
      </c>
      <c r="AX26" t="str">
        <f>""</f>
        <v/>
      </c>
      <c r="AY26" t="str">
        <f>""</f>
        <v/>
      </c>
      <c r="AZ26" t="str">
        <f>""</f>
        <v/>
      </c>
      <c r="BA26" t="str">
        <f>""</f>
        <v/>
      </c>
      <c r="BB26" t="str">
        <f>"07/10/2020 09:08:38"</f>
        <v>07/10/2020 09:08:38</v>
      </c>
      <c r="BC26" t="str">
        <f>""</f>
        <v/>
      </c>
      <c r="BD26" t="str">
        <f>""</f>
        <v/>
      </c>
      <c r="BE26" t="str">
        <f>""</f>
        <v/>
      </c>
      <c r="BF26" t="str">
        <f t="shared" si="6"/>
        <v>A</v>
      </c>
      <c r="BG26" t="str">
        <f>""</f>
        <v/>
      </c>
      <c r="BH26" t="str">
        <f>""</f>
        <v/>
      </c>
      <c r="BI26" t="str">
        <f t="shared" si="7"/>
        <v>EVENTUAL</v>
      </c>
      <c r="BJ26" t="str">
        <f t="shared" si="8"/>
        <v>1</v>
      </c>
      <c r="BK26" t="str">
        <f t="shared" si="9"/>
        <v>Farmacia</v>
      </c>
      <c r="BL26" t="str">
        <f>""</f>
        <v/>
      </c>
      <c r="BM26" t="str">
        <f t="shared" ref="BM26:BM31" si="16">"NÃO É VARILUX ESPECIALISTA"</f>
        <v>NÃO É VARILUX ESPECIALISTA</v>
      </c>
      <c r="BN26" t="str">
        <f t="shared" ref="BN26:BN33" si="17">"NA"</f>
        <v>NA</v>
      </c>
      <c r="BO26" t="str">
        <f>"OUTROS"</f>
        <v>OUTROS</v>
      </c>
      <c r="BP26" t="str">
        <f>""</f>
        <v/>
      </c>
      <c r="BQ26" t="str">
        <f>""</f>
        <v/>
      </c>
      <c r="BR26" t="str">
        <f>"07/10/2020"</f>
        <v>07/10/2020</v>
      </c>
      <c r="BS26" t="str">
        <f>""</f>
        <v/>
      </c>
      <c r="BT26" t="str">
        <f>""</f>
        <v/>
      </c>
      <c r="BU26" t="str">
        <f>""</f>
        <v/>
      </c>
      <c r="BV26" t="str">
        <f>"9"</f>
        <v>9</v>
      </c>
      <c r="BW26" t="str">
        <f>"Não visitado"</f>
        <v>Não visitado</v>
      </c>
    </row>
    <row r="27" spans="1:75" x14ac:dyDescent="0.35">
      <c r="A27">
        <v>144449</v>
      </c>
      <c r="B27" t="str">
        <f t="shared" si="0"/>
        <v>A</v>
      </c>
      <c r="C27" t="str">
        <f t="shared" si="1"/>
        <v>80</v>
      </c>
      <c r="D27" t="str">
        <f t="shared" si="2"/>
        <v>11121001</v>
      </c>
      <c r="E27" t="str">
        <f t="shared" si="3"/>
        <v>121001</v>
      </c>
      <c r="F27" t="str">
        <f t="shared" si="4"/>
        <v>JENIFER SANTOS</v>
      </c>
      <c r="G27" t="str">
        <f>"20885396000109"</f>
        <v>20885396000109</v>
      </c>
      <c r="H27" t="str">
        <f>""</f>
        <v/>
      </c>
      <c r="I27" t="str">
        <f t="shared" si="5"/>
        <v>CONTA OPTICA</v>
      </c>
      <c r="J27" t="str">
        <f>"BENTO LOURENCO GOMES - ME"</f>
        <v>BENTO LOURENCO GOMES - ME</v>
      </c>
      <c r="K27" t="str">
        <f>"OTICA BIANKA (2231)"</f>
        <v>OTICA BIANKA (2231)</v>
      </c>
      <c r="L27" t="str">
        <f>""</f>
        <v/>
      </c>
      <c r="M27" t="str">
        <f>""</f>
        <v/>
      </c>
      <c r="N27" t="str">
        <f>"optobentolgomes@hotmail.com"</f>
        <v>optobentolgomes@hotmail.com</v>
      </c>
      <c r="O27" t="str">
        <f>""</f>
        <v/>
      </c>
      <c r="P27" t="str">
        <f>"RUA TUIUTI"</f>
        <v>RUA TUIUTI</v>
      </c>
      <c r="Q27" t="str">
        <f>"2219"</f>
        <v>2219</v>
      </c>
      <c r="R27" t="str">
        <f>""</f>
        <v/>
      </c>
      <c r="S27" t="str">
        <f>"1279"</f>
        <v>1279</v>
      </c>
      <c r="T27" t="str">
        <f>"89226000"</f>
        <v>89226000</v>
      </c>
      <c r="U27" t="str">
        <f>"AVENTUREIRO"</f>
        <v>AVENTUREIRO</v>
      </c>
      <c r="V27" t="str">
        <f>"JOINVILLE"</f>
        <v>JOINVILLE</v>
      </c>
      <c r="W27" t="str">
        <f t="shared" si="13"/>
        <v>SC</v>
      </c>
      <c r="X27" t="str">
        <f t="shared" si="15"/>
        <v>47</v>
      </c>
      <c r="Y27" t="str">
        <f>"34183690"</f>
        <v>34183690</v>
      </c>
      <c r="Z27" t="str">
        <f>""</f>
        <v/>
      </c>
      <c r="AA27" t="str">
        <f>""</f>
        <v/>
      </c>
      <c r="AB27" t="str">
        <f>""</f>
        <v/>
      </c>
      <c r="AC27" t="str">
        <f>""</f>
        <v/>
      </c>
      <c r="AD27" t="str">
        <f>""</f>
        <v/>
      </c>
      <c r="AE27" t="str">
        <f>""</f>
        <v/>
      </c>
      <c r="AF27" t="str">
        <f>""</f>
        <v/>
      </c>
      <c r="AG27" t="str">
        <f>""</f>
        <v/>
      </c>
      <c r="AH27" t="str">
        <f>""</f>
        <v/>
      </c>
      <c r="AI27" t="str">
        <f>""</f>
        <v/>
      </c>
      <c r="AJ27" t="str">
        <f t="shared" ref="AJ27:AL28" si="18">"0"</f>
        <v>0</v>
      </c>
      <c r="AK27" t="str">
        <f t="shared" si="18"/>
        <v>0</v>
      </c>
      <c r="AL27" t="str">
        <f t="shared" si="18"/>
        <v>0</v>
      </c>
      <c r="AM27" t="str">
        <f>""</f>
        <v/>
      </c>
      <c r="AN27" t="str">
        <f>""</f>
        <v/>
      </c>
      <c r="AO27" t="str">
        <f>""</f>
        <v/>
      </c>
      <c r="AP27" t="str">
        <f>""</f>
        <v/>
      </c>
      <c r="AQ27" t="str">
        <f>""</f>
        <v/>
      </c>
      <c r="AR27" t="str">
        <f>""</f>
        <v/>
      </c>
      <c r="AS27" t="str">
        <f>""</f>
        <v/>
      </c>
      <c r="AT27" t="str">
        <f>""</f>
        <v/>
      </c>
      <c r="AU27" t="str">
        <f>""</f>
        <v/>
      </c>
      <c r="AV27" t="str">
        <f>""</f>
        <v/>
      </c>
      <c r="AW27" t="str">
        <f>""</f>
        <v/>
      </c>
      <c r="AX27" t="str">
        <f>""</f>
        <v/>
      </c>
      <c r="AY27" t="str">
        <f>""</f>
        <v/>
      </c>
      <c r="AZ27" t="str">
        <f>""</f>
        <v/>
      </c>
      <c r="BA27" t="str">
        <f>""</f>
        <v/>
      </c>
      <c r="BB27" t="str">
        <f>""</f>
        <v/>
      </c>
      <c r="BC27" t="str">
        <f>""</f>
        <v/>
      </c>
      <c r="BD27" t="str">
        <f>""</f>
        <v/>
      </c>
      <c r="BE27" t="str">
        <f>""</f>
        <v/>
      </c>
      <c r="BF27" t="str">
        <f t="shared" si="6"/>
        <v>A</v>
      </c>
      <c r="BG27" t="str">
        <f>"0,00"</f>
        <v>0,00</v>
      </c>
      <c r="BH27" t="str">
        <f>"0,00"</f>
        <v>0,00</v>
      </c>
      <c r="BI27" t="str">
        <f t="shared" si="7"/>
        <v>EVENTUAL</v>
      </c>
      <c r="BJ27" t="str">
        <f t="shared" si="8"/>
        <v>1</v>
      </c>
      <c r="BK27" t="str">
        <f t="shared" si="9"/>
        <v>Farmacia</v>
      </c>
      <c r="BL27" t="str">
        <f>""</f>
        <v/>
      </c>
      <c r="BM27" t="str">
        <f t="shared" si="16"/>
        <v>NÃO É VARILUX ESPECIALISTA</v>
      </c>
      <c r="BN27" t="str">
        <f t="shared" si="17"/>
        <v>NA</v>
      </c>
      <c r="BO27" t="str">
        <f>"FOCO VARILUX"</f>
        <v>FOCO VARILUX</v>
      </c>
      <c r="BP27" t="str">
        <f>""</f>
        <v/>
      </c>
      <c r="BQ27" t="str">
        <f>""</f>
        <v/>
      </c>
      <c r="BR27" t="str">
        <f>""</f>
        <v/>
      </c>
      <c r="BS27" t="str">
        <f>""</f>
        <v/>
      </c>
      <c r="BT27" t="str">
        <f>""</f>
        <v/>
      </c>
      <c r="BU27" t="str">
        <f>""</f>
        <v/>
      </c>
      <c r="BV27" t="str">
        <f>"5"</f>
        <v>5</v>
      </c>
      <c r="BW27" t="str">
        <f>"10"</f>
        <v>10</v>
      </c>
    </row>
    <row r="28" spans="1:75" x14ac:dyDescent="0.35">
      <c r="A28">
        <v>144663</v>
      </c>
      <c r="B28" t="str">
        <f t="shared" si="0"/>
        <v>A</v>
      </c>
      <c r="C28" t="str">
        <f t="shared" si="1"/>
        <v>80</v>
      </c>
      <c r="D28" t="str">
        <f t="shared" si="2"/>
        <v>11121001</v>
      </c>
      <c r="E28" t="str">
        <f t="shared" si="3"/>
        <v>121001</v>
      </c>
      <c r="F28" t="str">
        <f t="shared" si="4"/>
        <v>JENIFER SANTOS</v>
      </c>
      <c r="G28" t="str">
        <f>"14645358000186"</f>
        <v>14645358000186</v>
      </c>
      <c r="H28" t="str">
        <f>""</f>
        <v/>
      </c>
      <c r="I28" t="str">
        <f t="shared" si="5"/>
        <v>CONTA OPTICA</v>
      </c>
      <c r="J28" t="str">
        <f>"BENVINDA ACESSORIOS DE MODA EIRELI"</f>
        <v>BENVINDA ACESSORIOS DE MODA EIRELI</v>
      </c>
      <c r="K28" t="str">
        <f>"CHILLI BEANS (4192)"</f>
        <v>CHILLI BEANS (4192)</v>
      </c>
      <c r="L28" t="str">
        <f>""</f>
        <v/>
      </c>
      <c r="M28" t="str">
        <f>""</f>
        <v/>
      </c>
      <c r="N28" t="str">
        <f>"jaragua.breithaupt@chillisc.com.br"</f>
        <v>jaragua.breithaupt@chillisc.com.br</v>
      </c>
      <c r="O28" t="str">
        <f>""</f>
        <v/>
      </c>
      <c r="P28" t="str">
        <f>"AVENIDA GETULIO VARGAS"</f>
        <v>AVENIDA GETULIO VARGAS</v>
      </c>
      <c r="Q28" t="str">
        <f>"268"</f>
        <v>268</v>
      </c>
      <c r="R28" t="str">
        <f>"LJ157B"</f>
        <v>LJ157B</v>
      </c>
      <c r="S28" t="str">
        <f>"1280"</f>
        <v>1280</v>
      </c>
      <c r="T28" t="str">
        <f>"89251000"</f>
        <v>89251000</v>
      </c>
      <c r="U28" t="str">
        <f>"CENTRO"</f>
        <v>CENTRO</v>
      </c>
      <c r="V28" t="str">
        <f>"JARAGUA DO SUL"</f>
        <v>JARAGUA DO SUL</v>
      </c>
      <c r="W28" t="str">
        <f t="shared" si="13"/>
        <v>SC</v>
      </c>
      <c r="X28" t="str">
        <f t="shared" si="15"/>
        <v>47</v>
      </c>
      <c r="Y28" t="str">
        <f>"33732817"</f>
        <v>33732817</v>
      </c>
      <c r="Z28" t="str">
        <f>""</f>
        <v/>
      </c>
      <c r="AA28" t="str">
        <f>""</f>
        <v/>
      </c>
      <c r="AB28" t="str">
        <f>""</f>
        <v/>
      </c>
      <c r="AC28" t="str">
        <f>""</f>
        <v/>
      </c>
      <c r="AD28" t="str">
        <f>""</f>
        <v/>
      </c>
      <c r="AE28" t="str">
        <f>""</f>
        <v/>
      </c>
      <c r="AF28" t="str">
        <f>""</f>
        <v/>
      </c>
      <c r="AG28" t="str">
        <f>""</f>
        <v/>
      </c>
      <c r="AH28" t="str">
        <f>""</f>
        <v/>
      </c>
      <c r="AI28" t="str">
        <f>""</f>
        <v/>
      </c>
      <c r="AJ28" t="str">
        <f t="shared" si="18"/>
        <v>0</v>
      </c>
      <c r="AK28" t="str">
        <f t="shared" si="18"/>
        <v>0</v>
      </c>
      <c r="AL28" t="str">
        <f t="shared" si="18"/>
        <v>0</v>
      </c>
      <c r="AM28" t="str">
        <f>""</f>
        <v/>
      </c>
      <c r="AN28" t="str">
        <f>""</f>
        <v/>
      </c>
      <c r="AO28" t="str">
        <f>""</f>
        <v/>
      </c>
      <c r="AP28" t="str">
        <f>""</f>
        <v/>
      </c>
      <c r="AQ28" t="str">
        <f>""</f>
        <v/>
      </c>
      <c r="AR28" t="str">
        <f>""</f>
        <v/>
      </c>
      <c r="AS28" t="str">
        <f>""</f>
        <v/>
      </c>
      <c r="AT28" t="str">
        <f>""</f>
        <v/>
      </c>
      <c r="AU28" t="str">
        <f>""</f>
        <v/>
      </c>
      <c r="AV28" t="str">
        <f>""</f>
        <v/>
      </c>
      <c r="AW28" t="str">
        <f>""</f>
        <v/>
      </c>
      <c r="AX28" t="str">
        <f>""</f>
        <v/>
      </c>
      <c r="AY28" t="str">
        <f>""</f>
        <v/>
      </c>
      <c r="AZ28" t="str">
        <f>""</f>
        <v/>
      </c>
      <c r="BA28" t="str">
        <f>""</f>
        <v/>
      </c>
      <c r="BB28" t="str">
        <f>""</f>
        <v/>
      </c>
      <c r="BC28" t="str">
        <f>""</f>
        <v/>
      </c>
      <c r="BD28" t="str">
        <f>""</f>
        <v/>
      </c>
      <c r="BE28" t="str">
        <f>""</f>
        <v/>
      </c>
      <c r="BF28" t="str">
        <f t="shared" si="6"/>
        <v>A</v>
      </c>
      <c r="BG28" t="str">
        <f>"0,00"</f>
        <v>0,00</v>
      </c>
      <c r="BH28" t="str">
        <f>"0,00"</f>
        <v>0,00</v>
      </c>
      <c r="BI28" t="str">
        <f t="shared" si="7"/>
        <v>EVENTUAL</v>
      </c>
      <c r="BJ28" t="str">
        <f t="shared" si="8"/>
        <v>1</v>
      </c>
      <c r="BK28" t="str">
        <f t="shared" si="9"/>
        <v>Farmacia</v>
      </c>
      <c r="BL28" t="str">
        <f>""</f>
        <v/>
      </c>
      <c r="BM28" t="str">
        <f t="shared" si="16"/>
        <v>NÃO É VARILUX ESPECIALISTA</v>
      </c>
      <c r="BN28" t="str">
        <f t="shared" si="17"/>
        <v>NA</v>
      </c>
      <c r="BO28" t="str">
        <f>"FOCO VARILUX DIGITAL"</f>
        <v>FOCO VARILUX DIGITAL</v>
      </c>
      <c r="BP28" t="str">
        <f>""</f>
        <v/>
      </c>
      <c r="BQ28" t="str">
        <f>""</f>
        <v/>
      </c>
      <c r="BR28" t="str">
        <f>""</f>
        <v/>
      </c>
      <c r="BS28" t="str">
        <f>""</f>
        <v/>
      </c>
      <c r="BT28" t="str">
        <f>""</f>
        <v/>
      </c>
      <c r="BU28" t="str">
        <f>""</f>
        <v/>
      </c>
      <c r="BV28" t="str">
        <f>"9"</f>
        <v>9</v>
      </c>
      <c r="BW28" t="str">
        <f>"Não visitado"</f>
        <v>Não visitado</v>
      </c>
    </row>
    <row r="29" spans="1:75" x14ac:dyDescent="0.35">
      <c r="A29">
        <v>144820</v>
      </c>
      <c r="B29" t="str">
        <f t="shared" si="0"/>
        <v>A</v>
      </c>
      <c r="C29" t="str">
        <f t="shared" si="1"/>
        <v>80</v>
      </c>
      <c r="D29" t="str">
        <f t="shared" si="2"/>
        <v>11121001</v>
      </c>
      <c r="E29" t="str">
        <f t="shared" si="3"/>
        <v>121001</v>
      </c>
      <c r="F29" t="str">
        <f t="shared" si="4"/>
        <v>JENIFER SANTOS</v>
      </c>
      <c r="G29" t="str">
        <f>"14034449000185"</f>
        <v>14034449000185</v>
      </c>
      <c r="H29" t="str">
        <f>""</f>
        <v/>
      </c>
      <c r="I29" t="str">
        <f t="shared" si="5"/>
        <v>CONTA OPTICA</v>
      </c>
      <c r="J29" t="str">
        <f>"BIANCA RODRIGUES GOMES"</f>
        <v>BIANCA RODRIGUES GOMES</v>
      </c>
      <c r="K29" t="str">
        <f>"OPTICA BIANKA (4352)"</f>
        <v>OPTICA BIANKA (4352)</v>
      </c>
      <c r="L29" t="str">
        <f>""</f>
        <v/>
      </c>
      <c r="M29" t="str">
        <f>""</f>
        <v/>
      </c>
      <c r="N29" t="str">
        <f>"OPTICABIANKA13@HOTMAIL.COM"</f>
        <v>OPTICABIANKA13@HOTMAIL.COM</v>
      </c>
      <c r="O29" t="str">
        <f>""</f>
        <v/>
      </c>
      <c r="P29" t="str">
        <f>"RUA FATIMA"</f>
        <v>RUA FATIMA</v>
      </c>
      <c r="Q29" t="str">
        <f>"2220"</f>
        <v>2220</v>
      </c>
      <c r="R29" t="str">
        <f>"SALA 03"</f>
        <v>SALA 03</v>
      </c>
      <c r="S29" t="str">
        <f>"1279"</f>
        <v>1279</v>
      </c>
      <c r="T29" t="str">
        <f>"89229102"</f>
        <v>89229102</v>
      </c>
      <c r="U29" t="str">
        <f>"FATIMA"</f>
        <v>FATIMA</v>
      </c>
      <c r="V29" t="str">
        <f>"JOINVILLE"</f>
        <v>JOINVILLE</v>
      </c>
      <c r="W29" t="str">
        <f t="shared" si="13"/>
        <v>SC</v>
      </c>
      <c r="X29" t="str">
        <f t="shared" si="15"/>
        <v>47</v>
      </c>
      <c r="Y29" t="str">
        <f>"30266732"</f>
        <v>30266732</v>
      </c>
      <c r="Z29" t="str">
        <f>""</f>
        <v/>
      </c>
      <c r="AA29" t="str">
        <f>""</f>
        <v/>
      </c>
      <c r="AB29" t="str">
        <f>""</f>
        <v/>
      </c>
      <c r="AC29" t="str">
        <f>""</f>
        <v/>
      </c>
      <c r="AD29" t="str">
        <f>""</f>
        <v/>
      </c>
      <c r="AE29" t="str">
        <f>""</f>
        <v/>
      </c>
      <c r="AF29" t="str">
        <f>""</f>
        <v/>
      </c>
      <c r="AG29" t="str">
        <f>""</f>
        <v/>
      </c>
      <c r="AH29" t="str">
        <f>""</f>
        <v/>
      </c>
      <c r="AI29" t="str">
        <f>""</f>
        <v/>
      </c>
      <c r="AJ29" t="str">
        <f>""</f>
        <v/>
      </c>
      <c r="AK29" t="str">
        <f>""</f>
        <v/>
      </c>
      <c r="AL29" t="str">
        <f>""</f>
        <v/>
      </c>
      <c r="AM29" t="str">
        <f>""</f>
        <v/>
      </c>
      <c r="AN29" t="str">
        <f>""</f>
        <v/>
      </c>
      <c r="AO29" t="str">
        <f>""</f>
        <v/>
      </c>
      <c r="AP29" t="str">
        <f>""</f>
        <v/>
      </c>
      <c r="AQ29" t="str">
        <f>""</f>
        <v/>
      </c>
      <c r="AR29" t="str">
        <f>""</f>
        <v/>
      </c>
      <c r="AS29" t="str">
        <f>""</f>
        <v/>
      </c>
      <c r="AT29" t="str">
        <f>""</f>
        <v/>
      </c>
      <c r="AU29" t="str">
        <f>""</f>
        <v/>
      </c>
      <c r="AV29" t="str">
        <f>""</f>
        <v/>
      </c>
      <c r="AW29" t="str">
        <f>""</f>
        <v/>
      </c>
      <c r="AX29" t="str">
        <f>""</f>
        <v/>
      </c>
      <c r="AY29" t="str">
        <f>""</f>
        <v/>
      </c>
      <c r="AZ29" t="str">
        <f>""</f>
        <v/>
      </c>
      <c r="BA29" t="str">
        <f>""</f>
        <v/>
      </c>
      <c r="BB29" t="str">
        <f>""</f>
        <v/>
      </c>
      <c r="BC29" t="str">
        <f>""</f>
        <v/>
      </c>
      <c r="BD29" t="str">
        <f>""</f>
        <v/>
      </c>
      <c r="BE29" t="str">
        <f>""</f>
        <v/>
      </c>
      <c r="BF29" t="str">
        <f t="shared" si="6"/>
        <v>A</v>
      </c>
      <c r="BG29" t="str">
        <f>""</f>
        <v/>
      </c>
      <c r="BH29" t="str">
        <f>""</f>
        <v/>
      </c>
      <c r="BI29" t="str">
        <f t="shared" si="7"/>
        <v>EVENTUAL</v>
      </c>
      <c r="BJ29" t="str">
        <f t="shared" si="8"/>
        <v>1</v>
      </c>
      <c r="BK29" t="str">
        <f t="shared" si="9"/>
        <v>Farmacia</v>
      </c>
      <c r="BL29" t="str">
        <f>""</f>
        <v/>
      </c>
      <c r="BM29" t="str">
        <f t="shared" si="16"/>
        <v>NÃO É VARILUX ESPECIALISTA</v>
      </c>
      <c r="BN29" t="str">
        <f t="shared" si="17"/>
        <v>NA</v>
      </c>
      <c r="BO29" t="str">
        <f>"OUTROS"</f>
        <v>OUTROS</v>
      </c>
      <c r="BP29" t="str">
        <f>""</f>
        <v/>
      </c>
      <c r="BQ29" t="str">
        <f>""</f>
        <v/>
      </c>
      <c r="BR29" t="str">
        <f>""</f>
        <v/>
      </c>
      <c r="BS29" t="str">
        <f>""</f>
        <v/>
      </c>
      <c r="BT29" t="str">
        <f>""</f>
        <v/>
      </c>
      <c r="BU29" t="str">
        <f>""</f>
        <v/>
      </c>
      <c r="BV29" t="str">
        <f>""</f>
        <v/>
      </c>
      <c r="BW29" t="str">
        <f>"10"</f>
        <v>10</v>
      </c>
    </row>
    <row r="30" spans="1:75" x14ac:dyDescent="0.35">
      <c r="A30">
        <v>845</v>
      </c>
      <c r="B30" t="str">
        <f t="shared" si="0"/>
        <v>A</v>
      </c>
      <c r="C30" t="str">
        <f t="shared" si="1"/>
        <v>80</v>
      </c>
      <c r="D30" t="str">
        <f t="shared" si="2"/>
        <v>11121001</v>
      </c>
      <c r="E30" t="str">
        <f t="shared" si="3"/>
        <v>121001</v>
      </c>
      <c r="F30" t="str">
        <f t="shared" si="4"/>
        <v>JENIFER SANTOS</v>
      </c>
      <c r="G30" t="str">
        <f>"04305659000107"</f>
        <v>04305659000107</v>
      </c>
      <c r="H30" t="str">
        <f>""</f>
        <v/>
      </c>
      <c r="I30" t="str">
        <f t="shared" si="5"/>
        <v>CONTA OPTICA</v>
      </c>
      <c r="J30" t="str">
        <f>"BISPO JOALHEIRO LTDA"</f>
        <v>BISPO JOALHEIRO LTDA</v>
      </c>
      <c r="K30" t="str">
        <f>"BISPO JOALHEIRO LTDA (386)"</f>
        <v>BISPO JOALHEIRO LTDA (386)</v>
      </c>
      <c r="L30" t="str">
        <f>""</f>
        <v/>
      </c>
      <c r="M30" t="str">
        <f>""</f>
        <v/>
      </c>
      <c r="N30" t="str">
        <f>"bispo.joalheiro@hotmail.com"</f>
        <v>bispo.joalheiro@hotmail.com</v>
      </c>
      <c r="O30" t="str">
        <f>""</f>
        <v/>
      </c>
      <c r="P30" t="str">
        <f>"RUA FELIPE SCHMIDT"</f>
        <v>RUA FELIPE SCHMIDT</v>
      </c>
      <c r="Q30" t="str">
        <f>"82"</f>
        <v>82</v>
      </c>
      <c r="R30" t="str">
        <f>"SALA 01"</f>
        <v>SALA 01</v>
      </c>
      <c r="S30" t="str">
        <f>"1281"</f>
        <v>1281</v>
      </c>
      <c r="T30" t="str">
        <f>"89300000"</f>
        <v>89300000</v>
      </c>
      <c r="U30" t="str">
        <f>"CENTRO I BAIXADA"</f>
        <v>CENTRO I BAIXADA</v>
      </c>
      <c r="V30" t="str">
        <f>"MAFRA"</f>
        <v>MAFRA</v>
      </c>
      <c r="W30" t="str">
        <f t="shared" si="13"/>
        <v>SC</v>
      </c>
      <c r="X30" t="str">
        <f t="shared" si="15"/>
        <v>47</v>
      </c>
      <c r="Y30" t="str">
        <f>"36421022"</f>
        <v>36421022</v>
      </c>
      <c r="Z30" t="str">
        <f>""</f>
        <v/>
      </c>
      <c r="AA30" t="str">
        <f>""</f>
        <v/>
      </c>
      <c r="AB30" t="str">
        <f>""</f>
        <v/>
      </c>
      <c r="AC30" t="str">
        <f>""</f>
        <v/>
      </c>
      <c r="AD30" t="str">
        <f>""</f>
        <v/>
      </c>
      <c r="AE30" t="str">
        <f>""</f>
        <v/>
      </c>
      <c r="AF30" t="str">
        <f>""</f>
        <v/>
      </c>
      <c r="AG30" t="str">
        <f>""</f>
        <v/>
      </c>
      <c r="AH30" t="str">
        <f>""</f>
        <v/>
      </c>
      <c r="AI30" t="str">
        <f>""</f>
        <v/>
      </c>
      <c r="AJ30" t="str">
        <f>"0"</f>
        <v>0</v>
      </c>
      <c r="AK30" t="str">
        <f>"0"</f>
        <v>0</v>
      </c>
      <c r="AL30" t="str">
        <f>"0"</f>
        <v>0</v>
      </c>
      <c r="AM30" t="str">
        <f>""</f>
        <v/>
      </c>
      <c r="AN30" t="str">
        <f>""</f>
        <v/>
      </c>
      <c r="AO30" t="str">
        <f>""</f>
        <v/>
      </c>
      <c r="AP30" t="str">
        <f>""</f>
        <v/>
      </c>
      <c r="AQ30" t="str">
        <f>""</f>
        <v/>
      </c>
      <c r="AR30" t="str">
        <f>""</f>
        <v/>
      </c>
      <c r="AS30" t="str">
        <f>""</f>
        <v/>
      </c>
      <c r="AT30" t="str">
        <f>""</f>
        <v/>
      </c>
      <c r="AU30" t="str">
        <f>""</f>
        <v/>
      </c>
      <c r="AV30" t="str">
        <f>""</f>
        <v/>
      </c>
      <c r="AW30" t="str">
        <f>""</f>
        <v/>
      </c>
      <c r="AX30" t="str">
        <f>""</f>
        <v/>
      </c>
      <c r="AY30" t="str">
        <f>""</f>
        <v/>
      </c>
      <c r="AZ30" t="str">
        <f>""</f>
        <v/>
      </c>
      <c r="BA30" t="str">
        <f>""</f>
        <v/>
      </c>
      <c r="BB30" t="str">
        <f>"27/07/2018 09:25:52"</f>
        <v>27/07/2018 09:25:52</v>
      </c>
      <c r="BC30" t="str">
        <f>""</f>
        <v/>
      </c>
      <c r="BD30" t="str">
        <f>""</f>
        <v/>
      </c>
      <c r="BE30" t="str">
        <f>"845"</f>
        <v>845</v>
      </c>
      <c r="BF30" t="str">
        <f t="shared" si="6"/>
        <v>A</v>
      </c>
      <c r="BG30" t="str">
        <f>"0,00"</f>
        <v>0,00</v>
      </c>
      <c r="BH30" t="str">
        <f>"0,00"</f>
        <v>0,00</v>
      </c>
      <c r="BI30" t="str">
        <f t="shared" si="7"/>
        <v>EVENTUAL</v>
      </c>
      <c r="BJ30" t="str">
        <f t="shared" si="8"/>
        <v>1</v>
      </c>
      <c r="BK30" t="str">
        <f t="shared" si="9"/>
        <v>Farmacia</v>
      </c>
      <c r="BL30" t="str">
        <f>""</f>
        <v/>
      </c>
      <c r="BM30" t="str">
        <f t="shared" si="16"/>
        <v>NÃO É VARILUX ESPECIALISTA</v>
      </c>
      <c r="BN30" t="str">
        <f t="shared" si="17"/>
        <v>NA</v>
      </c>
      <c r="BO30" t="str">
        <f>"OUTROS"</f>
        <v>OUTROS</v>
      </c>
      <c r="BP30" t="str">
        <f>""</f>
        <v/>
      </c>
      <c r="BQ30" t="str">
        <f>""</f>
        <v/>
      </c>
      <c r="BR30" t="str">
        <f>"27/07/2018"</f>
        <v>27/07/2018</v>
      </c>
      <c r="BS30" t="str">
        <f>""</f>
        <v/>
      </c>
      <c r="BT30" t="str">
        <f>""</f>
        <v/>
      </c>
      <c r="BU30" t="str">
        <f>""</f>
        <v/>
      </c>
      <c r="BV30" t="str">
        <f>"6"</f>
        <v>6</v>
      </c>
      <c r="BW30" t="str">
        <f>"Não visitado"</f>
        <v>Não visitado</v>
      </c>
    </row>
    <row r="31" spans="1:75" x14ac:dyDescent="0.35">
      <c r="A31">
        <v>120539</v>
      </c>
      <c r="B31" t="str">
        <f t="shared" si="0"/>
        <v>A</v>
      </c>
      <c r="C31" t="str">
        <f t="shared" si="1"/>
        <v>80</v>
      </c>
      <c r="D31" t="str">
        <f t="shared" si="2"/>
        <v>11121001</v>
      </c>
      <c r="E31" t="str">
        <f t="shared" si="3"/>
        <v>121001</v>
      </c>
      <c r="F31" t="str">
        <f t="shared" si="4"/>
        <v>JENIFER SANTOS</v>
      </c>
      <c r="G31" t="str">
        <f>"05438710000111"</f>
        <v>05438710000111</v>
      </c>
      <c r="H31" t="str">
        <f t="shared" ref="H31:H44" si="19">"0"</f>
        <v>0</v>
      </c>
      <c r="I31" t="str">
        <f t="shared" si="5"/>
        <v>CONTA OPTICA</v>
      </c>
      <c r="J31" t="str">
        <f>"BLESS OTICA LTDA ME"</f>
        <v>BLESS OTICA LTDA ME</v>
      </c>
      <c r="K31" t="str">
        <f>"BLESS OTICA (323)"</f>
        <v>BLESS OTICA (323)</v>
      </c>
      <c r="L31" t="str">
        <f>""</f>
        <v/>
      </c>
      <c r="M31" t="str">
        <f>""</f>
        <v/>
      </c>
      <c r="N31" t="str">
        <f>""</f>
        <v/>
      </c>
      <c r="O31" t="str">
        <f>""</f>
        <v/>
      </c>
      <c r="P31" t="str">
        <f>"RUA ITAJAI"</f>
        <v>RUA ITAJAI</v>
      </c>
      <c r="Q31" t="str">
        <f>"165"</f>
        <v>165</v>
      </c>
      <c r="R31" t="str">
        <f>"SALA 05"</f>
        <v>SALA 05</v>
      </c>
      <c r="S31" t="str">
        <f>"1277"</f>
        <v>1277</v>
      </c>
      <c r="T31" t="str">
        <f>"89201090"</f>
        <v>89201090</v>
      </c>
      <c r="U31" t="str">
        <f>"CENTRO"</f>
        <v>CENTRO</v>
      </c>
      <c r="V31" t="str">
        <f>"JOINVILLE"</f>
        <v>JOINVILLE</v>
      </c>
      <c r="W31" t="str">
        <f t="shared" si="13"/>
        <v>SC</v>
      </c>
      <c r="X31" t="str">
        <f t="shared" si="15"/>
        <v>47</v>
      </c>
      <c r="Y31" t="str">
        <f>"34233424"</f>
        <v>34233424</v>
      </c>
      <c r="Z31" t="str">
        <f>""</f>
        <v/>
      </c>
      <c r="AA31" t="str">
        <f>""</f>
        <v/>
      </c>
      <c r="AB31" t="str">
        <f>""</f>
        <v/>
      </c>
      <c r="AC31" t="str">
        <f>""</f>
        <v/>
      </c>
      <c r="AD31" t="str">
        <f>""</f>
        <v/>
      </c>
      <c r="AE31" t="str">
        <f>""</f>
        <v/>
      </c>
      <c r="AF31" t="str">
        <f>""</f>
        <v/>
      </c>
      <c r="AG31" t="str">
        <f>""</f>
        <v/>
      </c>
      <c r="AH31" t="str">
        <f>""</f>
        <v/>
      </c>
      <c r="AI31" t="str">
        <f>""</f>
        <v/>
      </c>
      <c r="AJ31" t="str">
        <f>""</f>
        <v/>
      </c>
      <c r="AK31" t="str">
        <f>""</f>
        <v/>
      </c>
      <c r="AL31" t="str">
        <f>""</f>
        <v/>
      </c>
      <c r="AM31" t="str">
        <f>""</f>
        <v/>
      </c>
      <c r="AN31" t="str">
        <f>""</f>
        <v/>
      </c>
      <c r="AO31" t="str">
        <f>""</f>
        <v/>
      </c>
      <c r="AP31" t="str">
        <f>""</f>
        <v/>
      </c>
      <c r="AQ31" t="str">
        <f>""</f>
        <v/>
      </c>
      <c r="AR31" t="str">
        <f>""</f>
        <v/>
      </c>
      <c r="AS31" t="str">
        <f>""</f>
        <v/>
      </c>
      <c r="AT31" t="str">
        <f>""</f>
        <v/>
      </c>
      <c r="AU31" t="str">
        <f>""</f>
        <v/>
      </c>
      <c r="AV31" t="str">
        <f>""</f>
        <v/>
      </c>
      <c r="AW31" t="str">
        <f>""</f>
        <v/>
      </c>
      <c r="AX31" t="str">
        <f>""</f>
        <v/>
      </c>
      <c r="AY31" t="str">
        <f>""</f>
        <v/>
      </c>
      <c r="AZ31" t="str">
        <f>""</f>
        <v/>
      </c>
      <c r="BA31" t="str">
        <f>""</f>
        <v/>
      </c>
      <c r="BB31" t="str">
        <f>"22/09/2020 15:29:33"</f>
        <v>22/09/2020 15:29:33</v>
      </c>
      <c r="BC31" t="str">
        <f>""</f>
        <v/>
      </c>
      <c r="BD31" t="str">
        <f>""</f>
        <v/>
      </c>
      <c r="BE31" t="str">
        <f>""</f>
        <v/>
      </c>
      <c r="BF31" t="str">
        <f t="shared" si="6"/>
        <v>A</v>
      </c>
      <c r="BG31" t="str">
        <f>""</f>
        <v/>
      </c>
      <c r="BH31" t="str">
        <f>""</f>
        <v/>
      </c>
      <c r="BI31" t="str">
        <f t="shared" si="7"/>
        <v>EVENTUAL</v>
      </c>
      <c r="BJ31" t="str">
        <f t="shared" si="8"/>
        <v>1</v>
      </c>
      <c r="BK31" t="str">
        <f t="shared" si="9"/>
        <v>Farmacia</v>
      </c>
      <c r="BL31" t="str">
        <f>""</f>
        <v/>
      </c>
      <c r="BM31" t="str">
        <f t="shared" si="16"/>
        <v>NÃO É VARILUX ESPECIALISTA</v>
      </c>
      <c r="BN31" t="str">
        <f t="shared" si="17"/>
        <v>NA</v>
      </c>
      <c r="BO31" t="str">
        <f>"OUTROS"</f>
        <v>OUTROS</v>
      </c>
      <c r="BP31" t="str">
        <f>""</f>
        <v/>
      </c>
      <c r="BQ31" t="str">
        <f>""</f>
        <v/>
      </c>
      <c r="BR31" t="str">
        <f>"22/09/2020"</f>
        <v>22/09/2020</v>
      </c>
      <c r="BS31" t="str">
        <f>""</f>
        <v/>
      </c>
      <c r="BT31" t="str">
        <f>""</f>
        <v/>
      </c>
      <c r="BU31" t="str">
        <f>""</f>
        <v/>
      </c>
      <c r="BV31" t="str">
        <f>"9"</f>
        <v>9</v>
      </c>
      <c r="BW31" t="str">
        <f>"Não visitado"</f>
        <v>Não visitado</v>
      </c>
    </row>
    <row r="32" spans="1:75" x14ac:dyDescent="0.35">
      <c r="A32">
        <v>137959</v>
      </c>
      <c r="B32" t="str">
        <f t="shared" si="0"/>
        <v>A</v>
      </c>
      <c r="C32" t="str">
        <f t="shared" si="1"/>
        <v>80</v>
      </c>
      <c r="D32" t="str">
        <f t="shared" si="2"/>
        <v>11121001</v>
      </c>
      <c r="E32" t="str">
        <f t="shared" si="3"/>
        <v>121001</v>
      </c>
      <c r="F32" t="str">
        <f t="shared" si="4"/>
        <v>JENIFER SANTOS</v>
      </c>
      <c r="G32" t="str">
        <f>"31933664000137"</f>
        <v>31933664000137</v>
      </c>
      <c r="H32" t="str">
        <f t="shared" si="19"/>
        <v>0</v>
      </c>
      <c r="I32" t="str">
        <f t="shared" si="5"/>
        <v>CONTA OPTICA</v>
      </c>
      <c r="J32" t="str">
        <f>"BOGADO &amp; PETRY LTDA"</f>
        <v>BOGADO &amp; PETRY LTDA</v>
      </c>
      <c r="K32" t="str">
        <f>"MERCADAO DOS OCULOS (4239)"</f>
        <v>MERCADAO DOS OCULOS (4239)</v>
      </c>
      <c r="L32" t="str">
        <f>""</f>
        <v/>
      </c>
      <c r="M32" t="str">
        <f>""</f>
        <v/>
      </c>
      <c r="N32" t="str">
        <f>"rs-trespassos@mercadaodosoculos.com.br"</f>
        <v>rs-trespassos@mercadaodosoculos.com.br</v>
      </c>
      <c r="O32" t="str">
        <f>""</f>
        <v/>
      </c>
      <c r="P32" t="str">
        <f>"AVENIDA JULIO DE CASTILHOS"</f>
        <v>AVENIDA JULIO DE CASTILHOS</v>
      </c>
      <c r="Q32" t="str">
        <f>"370"</f>
        <v>370</v>
      </c>
      <c r="R32" t="str">
        <f>"SALA A"</f>
        <v>SALA A</v>
      </c>
      <c r="S32" t="str">
        <f>"1379"</f>
        <v>1379</v>
      </c>
      <c r="T32" t="str">
        <f>"98600000"</f>
        <v>98600000</v>
      </c>
      <c r="U32" t="str">
        <f>"CENTRO"</f>
        <v>CENTRO</v>
      </c>
      <c r="V32" t="str">
        <f>"TRÊS PASSOS"</f>
        <v>TRÊS PASSOS</v>
      </c>
      <c r="W32" t="str">
        <f>"RS"</f>
        <v>RS</v>
      </c>
      <c r="X32" t="str">
        <f>"55"</f>
        <v>55</v>
      </c>
      <c r="Y32" t="str">
        <f>"35223501"</f>
        <v>35223501</v>
      </c>
      <c r="Z32" t="str">
        <f>""</f>
        <v/>
      </c>
      <c r="AA32" t="str">
        <f>""</f>
        <v/>
      </c>
      <c r="AB32" t="str">
        <f>""</f>
        <v/>
      </c>
      <c r="AC32" t="str">
        <f>""</f>
        <v/>
      </c>
      <c r="AD32" t="str">
        <f>""</f>
        <v/>
      </c>
      <c r="AE32" t="str">
        <f>""</f>
        <v/>
      </c>
      <c r="AF32" t="str">
        <f>""</f>
        <v/>
      </c>
      <c r="AG32" t="str">
        <f>"S"</f>
        <v>S</v>
      </c>
      <c r="AH32" t="str">
        <f>""</f>
        <v/>
      </c>
      <c r="AI32" t="str">
        <f>""</f>
        <v/>
      </c>
      <c r="AJ32" t="str">
        <f>""</f>
        <v/>
      </c>
      <c r="AK32" t="str">
        <f>""</f>
        <v/>
      </c>
      <c r="AL32" t="str">
        <f>""</f>
        <v/>
      </c>
      <c r="AM32" t="str">
        <f>""</f>
        <v/>
      </c>
      <c r="AN32" t="str">
        <f>""</f>
        <v/>
      </c>
      <c r="AO32" t="str">
        <f>""</f>
        <v/>
      </c>
      <c r="AP32" t="str">
        <f>""</f>
        <v/>
      </c>
      <c r="AQ32" t="str">
        <f>"N"</f>
        <v>N</v>
      </c>
      <c r="AR32" t="str">
        <f>"N"</f>
        <v>N</v>
      </c>
      <c r="AS32" t="str">
        <f>"N"</f>
        <v>N</v>
      </c>
      <c r="AT32" t="str">
        <f>"N"</f>
        <v>N</v>
      </c>
      <c r="AU32" t="str">
        <f>"N"</f>
        <v>N</v>
      </c>
      <c r="AV32" t="str">
        <f>""</f>
        <v/>
      </c>
      <c r="AW32" t="str">
        <f>""</f>
        <v/>
      </c>
      <c r="AX32" t="str">
        <f>""</f>
        <v/>
      </c>
      <c r="AY32" t="str">
        <f>""</f>
        <v/>
      </c>
      <c r="AZ32" t="str">
        <f>""</f>
        <v/>
      </c>
      <c r="BA32" t="str">
        <f>""</f>
        <v/>
      </c>
      <c r="BB32" t="str">
        <f>"01/07/2021 13:53:04"</f>
        <v>01/07/2021 13:53:04</v>
      </c>
      <c r="BC32" t="str">
        <f>"12/04/2022 11:18:01"</f>
        <v>12/04/2022 11:18:01</v>
      </c>
      <c r="BD32" t="str">
        <f>""</f>
        <v/>
      </c>
      <c r="BE32" t="str">
        <f>""</f>
        <v/>
      </c>
      <c r="BF32" t="str">
        <f t="shared" si="6"/>
        <v>A</v>
      </c>
      <c r="BG32" t="str">
        <f>""</f>
        <v/>
      </c>
      <c r="BH32" t="str">
        <f>"0,00"</f>
        <v>0,00</v>
      </c>
      <c r="BI32" t="str">
        <f t="shared" si="7"/>
        <v>EVENTUAL</v>
      </c>
      <c r="BJ32" t="str">
        <f t="shared" si="8"/>
        <v>1</v>
      </c>
      <c r="BK32" t="str">
        <f t="shared" si="9"/>
        <v>Farmacia</v>
      </c>
      <c r="BL32" t="str">
        <f>""</f>
        <v/>
      </c>
      <c r="BM32" t="str">
        <f>"VARILUX ESPECIALISTA SELECT"</f>
        <v>VARILUX ESPECIALISTA SELECT</v>
      </c>
      <c r="BN32" t="str">
        <f t="shared" si="17"/>
        <v>NA</v>
      </c>
      <c r="BO32" t="str">
        <f>"FOCO VARILUX DIGITAL"</f>
        <v>FOCO VARILUX DIGITAL</v>
      </c>
      <c r="BP32" t="str">
        <f>""</f>
        <v/>
      </c>
      <c r="BQ32" t="str">
        <f>""</f>
        <v/>
      </c>
      <c r="BR32" t="str">
        <f>"01/07/2021"</f>
        <v>01/07/2021</v>
      </c>
      <c r="BS32" t="str">
        <f>"12/04/2022"</f>
        <v>12/04/2022</v>
      </c>
      <c r="BT32" t="str">
        <f>""</f>
        <v/>
      </c>
      <c r="BU32" t="str">
        <f>""</f>
        <v/>
      </c>
      <c r="BV32" t="str">
        <f>""</f>
        <v/>
      </c>
      <c r="BW32" t="str">
        <f>"130"</f>
        <v>130</v>
      </c>
    </row>
    <row r="33" spans="1:75" x14ac:dyDescent="0.35">
      <c r="A33">
        <v>120388</v>
      </c>
      <c r="B33" t="str">
        <f t="shared" si="0"/>
        <v>A</v>
      </c>
      <c r="C33" t="str">
        <f t="shared" si="1"/>
        <v>80</v>
      </c>
      <c r="D33" t="str">
        <f t="shared" si="2"/>
        <v>11121001</v>
      </c>
      <c r="E33" t="str">
        <f t="shared" si="3"/>
        <v>121001</v>
      </c>
      <c r="F33" t="str">
        <f t="shared" si="4"/>
        <v>JENIFER SANTOS</v>
      </c>
      <c r="G33" t="str">
        <f>"04594718000104"</f>
        <v>04594718000104</v>
      </c>
      <c r="H33" t="str">
        <f t="shared" si="19"/>
        <v>0</v>
      </c>
      <c r="I33" t="str">
        <f t="shared" si="5"/>
        <v>CONTA OPTICA</v>
      </c>
      <c r="J33" t="str">
        <f>"BONFANTE E ZANCHETT RELOJOARIA E JOALHERIA LTDA"</f>
        <v>BONFANTE E ZANCHETT RELOJOARIA E JOALHERIA LTDA</v>
      </c>
      <c r="K33" t="str">
        <f>"OTICA MYLAN (1337)"</f>
        <v>OTICA MYLAN (1337)</v>
      </c>
      <c r="L33" t="str">
        <f>""</f>
        <v/>
      </c>
      <c r="M33" t="str">
        <f>""</f>
        <v/>
      </c>
      <c r="N33" t="str">
        <f>"mylan.adm@hotmail.com"</f>
        <v>mylan.adm@hotmail.com</v>
      </c>
      <c r="O33" t="str">
        <f>""</f>
        <v/>
      </c>
      <c r="P33" t="str">
        <f>"RUA MARECHAL DEODORO DA FONSECA"</f>
        <v>RUA MARECHAL DEODORO DA FONSECA</v>
      </c>
      <c r="Q33" t="str">
        <f>"254 E"</f>
        <v>254 E</v>
      </c>
      <c r="R33" t="str">
        <f>"SALA 01"</f>
        <v>SALA 01</v>
      </c>
      <c r="S33" t="str">
        <f>"1287"</f>
        <v>1287</v>
      </c>
      <c r="T33" t="str">
        <f>"89802140"</f>
        <v>89802140</v>
      </c>
      <c r="U33" t="str">
        <f>"CENTRO"</f>
        <v>CENTRO</v>
      </c>
      <c r="V33" t="str">
        <f>"CHAPECÓ"</f>
        <v>CHAPECÓ</v>
      </c>
      <c r="W33" t="str">
        <f>"SC"</f>
        <v>SC</v>
      </c>
      <c r="X33" t="str">
        <f>"49"</f>
        <v>49</v>
      </c>
      <c r="Y33" t="str">
        <f>"33220565"</f>
        <v>33220565</v>
      </c>
      <c r="Z33" t="str">
        <f>""</f>
        <v/>
      </c>
      <c r="AA33" t="str">
        <f>""</f>
        <v/>
      </c>
      <c r="AB33" t="str">
        <f>""</f>
        <v/>
      </c>
      <c r="AC33" t="str">
        <f>""</f>
        <v/>
      </c>
      <c r="AD33" t="str">
        <f>""</f>
        <v/>
      </c>
      <c r="AE33" t="str">
        <f>""</f>
        <v/>
      </c>
      <c r="AF33" t="str">
        <f>""</f>
        <v/>
      </c>
      <c r="AG33" t="str">
        <f>""</f>
        <v/>
      </c>
      <c r="AH33" t="str">
        <f>""</f>
        <v/>
      </c>
      <c r="AI33" t="str">
        <f>""</f>
        <v/>
      </c>
      <c r="AJ33" t="str">
        <f>"0"</f>
        <v>0</v>
      </c>
      <c r="AK33" t="str">
        <f>"0"</f>
        <v>0</v>
      </c>
      <c r="AL33" t="str">
        <f>"0"</f>
        <v>0</v>
      </c>
      <c r="AM33" t="str">
        <f>""</f>
        <v/>
      </c>
      <c r="AN33" t="str">
        <f>""</f>
        <v/>
      </c>
      <c r="AO33" t="str">
        <f>""</f>
        <v/>
      </c>
      <c r="AP33" t="str">
        <f>""</f>
        <v/>
      </c>
      <c r="AQ33" t="str">
        <f>""</f>
        <v/>
      </c>
      <c r="AR33" t="str">
        <f>""</f>
        <v/>
      </c>
      <c r="AS33" t="str">
        <f>""</f>
        <v/>
      </c>
      <c r="AT33" t="str">
        <f>""</f>
        <v/>
      </c>
      <c r="AU33" t="str">
        <f>""</f>
        <v/>
      </c>
      <c r="AV33" t="str">
        <f>""</f>
        <v/>
      </c>
      <c r="AW33" t="str">
        <f>""</f>
        <v/>
      </c>
      <c r="AX33" t="str">
        <f>""</f>
        <v/>
      </c>
      <c r="AY33" t="str">
        <f>""</f>
        <v/>
      </c>
      <c r="AZ33" t="str">
        <f>""</f>
        <v/>
      </c>
      <c r="BA33" t="str">
        <f>""</f>
        <v/>
      </c>
      <c r="BB33" t="str">
        <f>"18/09/2020 22:12:34"</f>
        <v>18/09/2020 22:12:34</v>
      </c>
      <c r="BC33" t="str">
        <f>""</f>
        <v/>
      </c>
      <c r="BD33" t="str">
        <f>""</f>
        <v/>
      </c>
      <c r="BE33" t="str">
        <f>""</f>
        <v/>
      </c>
      <c r="BF33" t="str">
        <f t="shared" si="6"/>
        <v>A</v>
      </c>
      <c r="BG33" t="str">
        <f>"0,00"</f>
        <v>0,00</v>
      </c>
      <c r="BH33" t="str">
        <f>"0,00"</f>
        <v>0,00</v>
      </c>
      <c r="BI33" t="str">
        <f t="shared" si="7"/>
        <v>EVENTUAL</v>
      </c>
      <c r="BJ33" t="str">
        <f t="shared" si="8"/>
        <v>1</v>
      </c>
      <c r="BK33" t="str">
        <f t="shared" si="9"/>
        <v>Farmacia</v>
      </c>
      <c r="BL33" t="str">
        <f>""</f>
        <v/>
      </c>
      <c r="BM33" t="str">
        <f>"NÃO É VARILUX ESPECIALISTA"</f>
        <v>NÃO É VARILUX ESPECIALISTA</v>
      </c>
      <c r="BN33" t="str">
        <f t="shared" si="17"/>
        <v>NA</v>
      </c>
      <c r="BO33" t="str">
        <f>"OUTROS"</f>
        <v>OUTROS</v>
      </c>
      <c r="BP33" t="str">
        <f>""</f>
        <v/>
      </c>
      <c r="BQ33" t="str">
        <f>""</f>
        <v/>
      </c>
      <c r="BR33" t="str">
        <f>"18/09/2020"</f>
        <v>18/09/2020</v>
      </c>
      <c r="BS33" t="str">
        <f>""</f>
        <v/>
      </c>
      <c r="BT33" t="str">
        <f>""</f>
        <v/>
      </c>
      <c r="BU33" t="str">
        <f>""</f>
        <v/>
      </c>
      <c r="BV33" t="str">
        <f>"9"</f>
        <v>9</v>
      </c>
      <c r="BW33" t="str">
        <f>"Não visitado"</f>
        <v>Não visitado</v>
      </c>
    </row>
    <row r="34" spans="1:75" x14ac:dyDescent="0.35">
      <c r="A34">
        <v>157563</v>
      </c>
      <c r="B34" t="str">
        <f t="shared" si="0"/>
        <v>A</v>
      </c>
      <c r="C34" t="str">
        <f t="shared" si="1"/>
        <v>80</v>
      </c>
      <c r="D34" t="str">
        <f t="shared" si="2"/>
        <v>11121001</v>
      </c>
      <c r="E34" t="str">
        <f t="shared" si="3"/>
        <v>121001</v>
      </c>
      <c r="F34" t="str">
        <f t="shared" si="4"/>
        <v>JENIFER SANTOS</v>
      </c>
      <c r="G34" t="str">
        <f>"93034304000150"</f>
        <v>93034304000150</v>
      </c>
      <c r="H34" t="str">
        <f t="shared" si="19"/>
        <v>0</v>
      </c>
      <c r="I34" t="str">
        <f t="shared" si="5"/>
        <v>CONTA OPTICA</v>
      </c>
      <c r="J34" t="str">
        <f>"BORDIGNON E POLUCHOWSKI LTDA"</f>
        <v>BORDIGNON E POLUCHOWSKI LTDA</v>
      </c>
      <c r="K34" t="str">
        <f>"BORDIGNON E POLUCHOWSKI LTDA (41)"</f>
        <v>BORDIGNON E POLUCHOWSKI LTDA (41)</v>
      </c>
      <c r="L34" t="str">
        <f>""</f>
        <v/>
      </c>
      <c r="M34" t="str">
        <f>""</f>
        <v/>
      </c>
      <c r="N34" t="str">
        <f>""</f>
        <v/>
      </c>
      <c r="O34" t="str">
        <f>""</f>
        <v/>
      </c>
      <c r="P34" t="str">
        <f>"RUA DO COMERCIO"</f>
        <v>RUA DO COMERCIO</v>
      </c>
      <c r="Q34" t="str">
        <f>"789"</f>
        <v>789</v>
      </c>
      <c r="R34" t="str">
        <f>""</f>
        <v/>
      </c>
      <c r="S34" t="str">
        <f>"1377"</f>
        <v>1377</v>
      </c>
      <c r="T34" t="str">
        <f>"98400000"</f>
        <v>98400000</v>
      </c>
      <c r="U34" t="str">
        <f>"NAO INFORMADO"</f>
        <v>NAO INFORMADO</v>
      </c>
      <c r="V34" t="str">
        <f>"FREDERICO WESTPHALEN"</f>
        <v>FREDERICO WESTPHALEN</v>
      </c>
      <c r="W34" t="str">
        <f>"RS"</f>
        <v>RS</v>
      </c>
      <c r="X34" t="str">
        <f>"55"</f>
        <v>55</v>
      </c>
      <c r="Y34" t="str">
        <f>"37441583"</f>
        <v>37441583</v>
      </c>
      <c r="Z34" t="str">
        <f>""</f>
        <v/>
      </c>
      <c r="AA34" t="str">
        <f>""</f>
        <v/>
      </c>
      <c r="AB34" t="str">
        <f>""</f>
        <v/>
      </c>
      <c r="AC34" t="str">
        <f>""</f>
        <v/>
      </c>
      <c r="AD34" t="str">
        <f>""</f>
        <v/>
      </c>
      <c r="AE34" t="str">
        <f>""</f>
        <v/>
      </c>
      <c r="AF34" t="str">
        <f>""</f>
        <v/>
      </c>
      <c r="AG34" t="str">
        <f>""</f>
        <v/>
      </c>
      <c r="AH34" t="str">
        <f>""</f>
        <v/>
      </c>
      <c r="AI34" t="str">
        <f>""</f>
        <v/>
      </c>
      <c r="AJ34" t="str">
        <f>""</f>
        <v/>
      </c>
      <c r="AK34" t="str">
        <f>""</f>
        <v/>
      </c>
      <c r="AL34" t="str">
        <f>""</f>
        <v/>
      </c>
      <c r="AM34" t="str">
        <f>""</f>
        <v/>
      </c>
      <c r="AN34" t="str">
        <f>""</f>
        <v/>
      </c>
      <c r="AO34" t="str">
        <f>""</f>
        <v/>
      </c>
      <c r="AP34" t="str">
        <f>""</f>
        <v/>
      </c>
      <c r="AQ34" t="str">
        <f>""</f>
        <v/>
      </c>
      <c r="AR34" t="str">
        <f>""</f>
        <v/>
      </c>
      <c r="AS34" t="str">
        <f>""</f>
        <v/>
      </c>
      <c r="AT34" t="str">
        <f>""</f>
        <v/>
      </c>
      <c r="AU34" t="str">
        <f>""</f>
        <v/>
      </c>
      <c r="AV34" t="str">
        <f>""</f>
        <v/>
      </c>
      <c r="AW34" t="str">
        <f>""</f>
        <v/>
      </c>
      <c r="AX34" t="str">
        <f>""</f>
        <v/>
      </c>
      <c r="AY34" t="str">
        <f>""</f>
        <v/>
      </c>
      <c r="AZ34" t="str">
        <f>""</f>
        <v/>
      </c>
      <c r="BA34" t="str">
        <f>""</f>
        <v/>
      </c>
      <c r="BB34" t="str">
        <f>"11/07/2023 02:14:29"</f>
        <v>11/07/2023 02:14:29</v>
      </c>
      <c r="BC34" t="str">
        <f>""</f>
        <v/>
      </c>
      <c r="BD34" t="str">
        <f>""</f>
        <v/>
      </c>
      <c r="BE34" t="str">
        <f>""</f>
        <v/>
      </c>
      <c r="BF34" t="str">
        <f t="shared" si="6"/>
        <v>A</v>
      </c>
      <c r="BG34" t="str">
        <f>""</f>
        <v/>
      </c>
      <c r="BH34" t="str">
        <f>""</f>
        <v/>
      </c>
      <c r="BI34" t="str">
        <f t="shared" ref="BI34:BI65" si="20">"EVENTUAL"</f>
        <v>EVENTUAL</v>
      </c>
      <c r="BJ34" t="str">
        <f t="shared" si="8"/>
        <v>1</v>
      </c>
      <c r="BK34" t="str">
        <f t="shared" si="9"/>
        <v>Farmacia</v>
      </c>
      <c r="BL34" t="str">
        <f>""</f>
        <v/>
      </c>
      <c r="BM34" t="str">
        <f>""</f>
        <v/>
      </c>
      <c r="BN34" t="str">
        <f>""</f>
        <v/>
      </c>
      <c r="BO34" t="str">
        <f>""</f>
        <v/>
      </c>
      <c r="BP34" t="str">
        <f>""</f>
        <v/>
      </c>
      <c r="BQ34" t="str">
        <f>""</f>
        <v/>
      </c>
      <c r="BR34" t="str">
        <f>"11/07/2023"</f>
        <v>11/07/2023</v>
      </c>
      <c r="BS34" t="str">
        <f>""</f>
        <v/>
      </c>
      <c r="BT34" t="str">
        <f>""</f>
        <v/>
      </c>
      <c r="BU34" t="str">
        <f>""</f>
        <v/>
      </c>
      <c r="BV34" t="str">
        <f>""</f>
        <v/>
      </c>
      <c r="BW34" t="str">
        <f>"Não visitado"</f>
        <v>Não visitado</v>
      </c>
    </row>
    <row r="35" spans="1:75" x14ac:dyDescent="0.35">
      <c r="A35">
        <v>144255</v>
      </c>
      <c r="B35" t="str">
        <f t="shared" si="0"/>
        <v>A</v>
      </c>
      <c r="C35" t="str">
        <f t="shared" si="1"/>
        <v>80</v>
      </c>
      <c r="D35" t="str">
        <f t="shared" si="2"/>
        <v>11121001</v>
      </c>
      <c r="E35" t="str">
        <f t="shared" si="3"/>
        <v>121001</v>
      </c>
      <c r="F35" t="str">
        <f t="shared" si="4"/>
        <v>JENIFER SANTOS</v>
      </c>
      <c r="G35" t="str">
        <f>"44203168000170"</f>
        <v>44203168000170</v>
      </c>
      <c r="H35" t="str">
        <f t="shared" si="19"/>
        <v>0</v>
      </c>
      <c r="I35" t="str">
        <f t="shared" si="5"/>
        <v>CONTA OPTICA</v>
      </c>
      <c r="J35" t="str">
        <f>"BORTOLI &amp; BREM JOALHERIA E OTICA LTDA"</f>
        <v>BORTOLI &amp; BREM JOALHERIA E OTICA LTDA</v>
      </c>
      <c r="K35" t="str">
        <f>"LUIZA CLASS OTICA E JOALHERIA (4434)"</f>
        <v>LUIZA CLASS OTICA E JOALHERIA (4434)</v>
      </c>
      <c r="L35" t="str">
        <f>""</f>
        <v/>
      </c>
      <c r="M35" t="str">
        <f>""</f>
        <v/>
      </c>
      <c r="N35" t="str">
        <f>"LUIZACLASSOTICA@GMAIL.COM"</f>
        <v>LUIZACLASSOTICA@GMAIL.COM</v>
      </c>
      <c r="O35" t="str">
        <f>""</f>
        <v/>
      </c>
      <c r="P35" t="str">
        <f>"RUA MARECHAL JOSÉ B. BORMANN"</f>
        <v>RUA MARECHAL JOSÉ B. BORMANN</v>
      </c>
      <c r="Q35" t="str">
        <f>"227"</f>
        <v>227</v>
      </c>
      <c r="R35" t="str">
        <f>"LETRA:E"</f>
        <v>LETRA:E</v>
      </c>
      <c r="S35" t="str">
        <f>"1287"</f>
        <v>1287</v>
      </c>
      <c r="T35" t="str">
        <f>"89802120"</f>
        <v>89802120</v>
      </c>
      <c r="U35" t="str">
        <f>"CENTRO"</f>
        <v>CENTRO</v>
      </c>
      <c r="V35" t="str">
        <f>"CHAPECÓ"</f>
        <v>CHAPECÓ</v>
      </c>
      <c r="W35" t="str">
        <f>"SC"</f>
        <v>SC</v>
      </c>
      <c r="X35" t="str">
        <f>"49"</f>
        <v>49</v>
      </c>
      <c r="Y35" t="str">
        <f>"33400061"</f>
        <v>33400061</v>
      </c>
      <c r="Z35" t="str">
        <f>""</f>
        <v/>
      </c>
      <c r="AA35" t="str">
        <f>""</f>
        <v/>
      </c>
      <c r="AB35" t="str">
        <f>""</f>
        <v/>
      </c>
      <c r="AC35" t="str">
        <f>""</f>
        <v/>
      </c>
      <c r="AD35" t="str">
        <f>""</f>
        <v/>
      </c>
      <c r="AE35" t="str">
        <f>""</f>
        <v/>
      </c>
      <c r="AF35" t="str">
        <f>""</f>
        <v/>
      </c>
      <c r="AG35" t="str">
        <f>"S"</f>
        <v>S</v>
      </c>
      <c r="AH35" t="str">
        <f>""</f>
        <v/>
      </c>
      <c r="AI35" t="str">
        <f>""</f>
        <v/>
      </c>
      <c r="AJ35" t="str">
        <f>""</f>
        <v/>
      </c>
      <c r="AK35" t="str">
        <f>""</f>
        <v/>
      </c>
      <c r="AL35" t="str">
        <f>""</f>
        <v/>
      </c>
      <c r="AM35" t="str">
        <f>""</f>
        <v/>
      </c>
      <c r="AN35" t="str">
        <f>""</f>
        <v/>
      </c>
      <c r="AO35" t="str">
        <f>""</f>
        <v/>
      </c>
      <c r="AP35" t="str">
        <f>""</f>
        <v/>
      </c>
      <c r="AQ35" t="str">
        <f>"N"</f>
        <v>N</v>
      </c>
      <c r="AR35" t="str">
        <f>"N"</f>
        <v>N</v>
      </c>
      <c r="AS35" t="str">
        <f>"N"</f>
        <v>N</v>
      </c>
      <c r="AT35" t="str">
        <f>"N"</f>
        <v>N</v>
      </c>
      <c r="AU35" t="str">
        <f>"N"</f>
        <v>N</v>
      </c>
      <c r="AV35" t="str">
        <f>""</f>
        <v/>
      </c>
      <c r="AW35" t="str">
        <f>""</f>
        <v/>
      </c>
      <c r="AX35" t="str">
        <f>""</f>
        <v/>
      </c>
      <c r="AY35" t="str">
        <f>""</f>
        <v/>
      </c>
      <c r="AZ35" t="str">
        <f>""</f>
        <v/>
      </c>
      <c r="BA35" t="str">
        <f>""</f>
        <v/>
      </c>
      <c r="BB35" t="str">
        <f>"13/12/2021 15:10:29"</f>
        <v>13/12/2021 15:10:29</v>
      </c>
      <c r="BC35" t="str">
        <f>"08/06/2022 10:39:43"</f>
        <v>08/06/2022 10:39:43</v>
      </c>
      <c r="BD35" t="str">
        <f>""</f>
        <v/>
      </c>
      <c r="BE35" t="str">
        <f>""</f>
        <v/>
      </c>
      <c r="BF35" t="str">
        <f t="shared" si="6"/>
        <v>A</v>
      </c>
      <c r="BG35" t="str">
        <f>""</f>
        <v/>
      </c>
      <c r="BH35" t="str">
        <f>"0,00"</f>
        <v>0,00</v>
      </c>
      <c r="BI35" t="str">
        <f t="shared" si="20"/>
        <v>EVENTUAL</v>
      </c>
      <c r="BJ35" t="str">
        <f t="shared" si="8"/>
        <v>1</v>
      </c>
      <c r="BK35" t="str">
        <f t="shared" si="9"/>
        <v>Farmacia</v>
      </c>
      <c r="BL35" t="str">
        <f>""</f>
        <v/>
      </c>
      <c r="BM35" t="str">
        <f>""</f>
        <v/>
      </c>
      <c r="BN35" t="str">
        <f>""</f>
        <v/>
      </c>
      <c r="BO35" t="str">
        <f>"OUTROS"</f>
        <v>OUTROS</v>
      </c>
      <c r="BP35" t="str">
        <f>""</f>
        <v/>
      </c>
      <c r="BQ35" t="str">
        <f>""</f>
        <v/>
      </c>
      <c r="BR35" t="str">
        <f>"13/12/2021"</f>
        <v>13/12/2021</v>
      </c>
      <c r="BS35" t="str">
        <f>"08/06/2022"</f>
        <v>08/06/2022</v>
      </c>
      <c r="BT35" t="str">
        <f>""</f>
        <v/>
      </c>
      <c r="BU35" t="str">
        <f>""</f>
        <v/>
      </c>
      <c r="BV35" t="str">
        <f>""</f>
        <v/>
      </c>
      <c r="BW35" t="str">
        <f>"3"</f>
        <v>3</v>
      </c>
    </row>
    <row r="36" spans="1:75" x14ac:dyDescent="0.35">
      <c r="A36">
        <v>157575</v>
      </c>
      <c r="B36" t="str">
        <f t="shared" si="0"/>
        <v>A</v>
      </c>
      <c r="C36" t="str">
        <f t="shared" si="1"/>
        <v>80</v>
      </c>
      <c r="D36" t="str">
        <f t="shared" si="2"/>
        <v>11121001</v>
      </c>
      <c r="E36" t="str">
        <f t="shared" si="3"/>
        <v>121001</v>
      </c>
      <c r="F36" t="str">
        <f t="shared" si="4"/>
        <v>JENIFER SANTOS</v>
      </c>
      <c r="G36" t="str">
        <f>"10706866000680"</f>
        <v>10706866000680</v>
      </c>
      <c r="H36" t="str">
        <f t="shared" si="19"/>
        <v>0</v>
      </c>
      <c r="I36" t="str">
        <f t="shared" si="5"/>
        <v>CONTA OPTICA</v>
      </c>
      <c r="J36" t="str">
        <f>"BOUTIQUE COM DE OCULOS LTDA"</f>
        <v>BOUTIQUE COM DE OCULOS LTDA</v>
      </c>
      <c r="K36" t="str">
        <f>"SUPER OPTICA SAO JOSE (2121)"</f>
        <v>SUPER OPTICA SAO JOSE (2121)</v>
      </c>
      <c r="L36" t="str">
        <f>""</f>
        <v/>
      </c>
      <c r="M36" t="str">
        <f>""</f>
        <v/>
      </c>
      <c r="N36" t="str">
        <f>"NFEBOUTIQUE@OTICASAOJOSE.COM.BR"</f>
        <v>NFEBOUTIQUE@OTICASAOJOSE.COM.BR</v>
      </c>
      <c r="O36" t="str">
        <f>""</f>
        <v/>
      </c>
      <c r="P36" t="str">
        <f>"RUA DO PRINCIPE"</f>
        <v>RUA DO PRINCIPE</v>
      </c>
      <c r="Q36" t="str">
        <f>"434"</f>
        <v>434</v>
      </c>
      <c r="R36" t="str">
        <f>""</f>
        <v/>
      </c>
      <c r="S36" t="str">
        <f>"1277"</f>
        <v>1277</v>
      </c>
      <c r="T36" t="str">
        <f>"89201000"</f>
        <v>89201000</v>
      </c>
      <c r="U36" t="str">
        <f>"CENTRO"</f>
        <v>CENTRO</v>
      </c>
      <c r="V36" t="str">
        <f>"JOINVILLE"</f>
        <v>JOINVILLE</v>
      </c>
      <c r="W36" t="str">
        <f>"SC"</f>
        <v>SC</v>
      </c>
      <c r="X36" t="str">
        <f>"47"</f>
        <v>47</v>
      </c>
      <c r="Y36" t="str">
        <f>"30273614"</f>
        <v>30273614</v>
      </c>
      <c r="Z36" t="str">
        <f>""</f>
        <v/>
      </c>
      <c r="AA36" t="str">
        <f>""</f>
        <v/>
      </c>
      <c r="AB36" t="str">
        <f>""</f>
        <v/>
      </c>
      <c r="AC36" t="str">
        <f>""</f>
        <v/>
      </c>
      <c r="AD36" t="str">
        <f>""</f>
        <v/>
      </c>
      <c r="AE36" t="str">
        <f>""</f>
        <v/>
      </c>
      <c r="AF36" t="str">
        <f>""</f>
        <v/>
      </c>
      <c r="AG36" t="str">
        <f>""</f>
        <v/>
      </c>
      <c r="AH36" t="str">
        <f>""</f>
        <v/>
      </c>
      <c r="AI36" t="str">
        <f>""</f>
        <v/>
      </c>
      <c r="AJ36" t="str">
        <f>""</f>
        <v/>
      </c>
      <c r="AK36" t="str">
        <f>""</f>
        <v/>
      </c>
      <c r="AL36" t="str">
        <f>""</f>
        <v/>
      </c>
      <c r="AM36" t="str">
        <f>""</f>
        <v/>
      </c>
      <c r="AN36" t="str">
        <f>""</f>
        <v/>
      </c>
      <c r="AO36" t="str">
        <f>""</f>
        <v/>
      </c>
      <c r="AP36" t="str">
        <f>""</f>
        <v/>
      </c>
      <c r="AQ36" t="str">
        <f>""</f>
        <v/>
      </c>
      <c r="AR36" t="str">
        <f>""</f>
        <v/>
      </c>
      <c r="AS36" t="str">
        <f>""</f>
        <v/>
      </c>
      <c r="AT36" t="str">
        <f>""</f>
        <v/>
      </c>
      <c r="AU36" t="str">
        <f>""</f>
        <v/>
      </c>
      <c r="AV36" t="str">
        <f>""</f>
        <v/>
      </c>
      <c r="AW36" t="str">
        <f>""</f>
        <v/>
      </c>
      <c r="AX36" t="str">
        <f>""</f>
        <v/>
      </c>
      <c r="AY36" t="str">
        <f>""</f>
        <v/>
      </c>
      <c r="AZ36" t="str">
        <f>""</f>
        <v/>
      </c>
      <c r="BA36" t="str">
        <f>""</f>
        <v/>
      </c>
      <c r="BB36" t="str">
        <f>"11/07/2023 02:14:29"</f>
        <v>11/07/2023 02:14:29</v>
      </c>
      <c r="BC36" t="str">
        <f>""</f>
        <v/>
      </c>
      <c r="BD36" t="str">
        <f>""</f>
        <v/>
      </c>
      <c r="BE36" t="str">
        <f>""</f>
        <v/>
      </c>
      <c r="BF36" t="str">
        <f t="shared" si="6"/>
        <v>A</v>
      </c>
      <c r="BG36" t="str">
        <f>""</f>
        <v/>
      </c>
      <c r="BH36" t="str">
        <f>""</f>
        <v/>
      </c>
      <c r="BI36" t="str">
        <f t="shared" si="20"/>
        <v>EVENTUAL</v>
      </c>
      <c r="BJ36" t="str">
        <f t="shared" si="8"/>
        <v>1</v>
      </c>
      <c r="BK36" t="str">
        <f t="shared" si="9"/>
        <v>Farmacia</v>
      </c>
      <c r="BL36" t="str">
        <f>""</f>
        <v/>
      </c>
      <c r="BM36" t="str">
        <f>""</f>
        <v/>
      </c>
      <c r="BN36" t="str">
        <f>""</f>
        <v/>
      </c>
      <c r="BO36" t="str">
        <f>""</f>
        <v/>
      </c>
      <c r="BP36" t="str">
        <f>""</f>
        <v/>
      </c>
      <c r="BQ36" t="str">
        <f>""</f>
        <v/>
      </c>
      <c r="BR36" t="str">
        <f>"11/07/2023"</f>
        <v>11/07/2023</v>
      </c>
      <c r="BS36" t="str">
        <f>""</f>
        <v/>
      </c>
      <c r="BT36" t="str">
        <f>""</f>
        <v/>
      </c>
      <c r="BU36" t="str">
        <f>""</f>
        <v/>
      </c>
      <c r="BV36" t="str">
        <f>""</f>
        <v/>
      </c>
      <c r="BW36" t="str">
        <f>"Não visitado"</f>
        <v>Não visitado</v>
      </c>
    </row>
    <row r="37" spans="1:75" x14ac:dyDescent="0.35">
      <c r="A37">
        <v>157537</v>
      </c>
      <c r="B37" t="str">
        <f t="shared" si="0"/>
        <v>A</v>
      </c>
      <c r="C37" t="str">
        <f t="shared" si="1"/>
        <v>80</v>
      </c>
      <c r="D37" t="str">
        <f t="shared" si="2"/>
        <v>11121001</v>
      </c>
      <c r="E37" t="str">
        <f t="shared" si="3"/>
        <v>121001</v>
      </c>
      <c r="F37" t="str">
        <f t="shared" si="4"/>
        <v>JENIFER SANTOS</v>
      </c>
      <c r="G37" t="str">
        <f>"05030583000206"</f>
        <v>05030583000206</v>
      </c>
      <c r="H37" t="str">
        <f t="shared" si="19"/>
        <v>0</v>
      </c>
      <c r="I37" t="str">
        <f t="shared" si="5"/>
        <v>CONTA OPTICA</v>
      </c>
      <c r="J37" t="str">
        <f>"BUENA OPTICA LTDA"</f>
        <v>BUENA OPTICA LTDA</v>
      </c>
      <c r="K37" t="str">
        <f>"BRASOPTICA (3000)"</f>
        <v>BRASOPTICA (3000)</v>
      </c>
      <c r="L37" t="str">
        <f>""</f>
        <v/>
      </c>
      <c r="M37" t="str">
        <f>""</f>
        <v/>
      </c>
      <c r="N37" t="str">
        <f>"GUSTAVO@BRASOPTICA.COM.BR"</f>
        <v>GUSTAVO@BRASOPTICA.COM.BR</v>
      </c>
      <c r="O37" t="str">
        <f>""</f>
        <v/>
      </c>
      <c r="P37" t="str">
        <f>"RUA JACOB GREMMELMNAYER"</f>
        <v>RUA JACOB GREMMELMNAYER</v>
      </c>
      <c r="Q37" t="str">
        <f>"389"</f>
        <v>389</v>
      </c>
      <c r="R37" t="str">
        <f>""</f>
        <v/>
      </c>
      <c r="S37" t="str">
        <f>"1391"</f>
        <v>1391</v>
      </c>
      <c r="T37" t="str">
        <f>"99900000"</f>
        <v>99900000</v>
      </c>
      <c r="U37" t="str">
        <f>"ENTRO"</f>
        <v>ENTRO</v>
      </c>
      <c r="V37" t="str">
        <f>"GETULIO VARGAS"</f>
        <v>GETULIO VARGAS</v>
      </c>
      <c r="W37" t="str">
        <f>"RS"</f>
        <v>RS</v>
      </c>
      <c r="X37" t="str">
        <f>"54"</f>
        <v>54</v>
      </c>
      <c r="Y37" t="str">
        <f>"21035247"</f>
        <v>21035247</v>
      </c>
      <c r="Z37" t="str">
        <f>""</f>
        <v/>
      </c>
      <c r="AA37" t="str">
        <f>""</f>
        <v/>
      </c>
      <c r="AB37" t="str">
        <f>""</f>
        <v/>
      </c>
      <c r="AC37" t="str">
        <f>""</f>
        <v/>
      </c>
      <c r="AD37" t="str">
        <f>""</f>
        <v/>
      </c>
      <c r="AE37" t="str">
        <f>""</f>
        <v/>
      </c>
      <c r="AF37" t="str">
        <f>""</f>
        <v/>
      </c>
      <c r="AG37" t="str">
        <f>""</f>
        <v/>
      </c>
      <c r="AH37" t="str">
        <f>""</f>
        <v/>
      </c>
      <c r="AI37" t="str">
        <f>""</f>
        <v/>
      </c>
      <c r="AJ37" t="str">
        <f>""</f>
        <v/>
      </c>
      <c r="AK37" t="str">
        <f>""</f>
        <v/>
      </c>
      <c r="AL37" t="str">
        <f>""</f>
        <v/>
      </c>
      <c r="AM37" t="str">
        <f>""</f>
        <v/>
      </c>
      <c r="AN37" t="str">
        <f>""</f>
        <v/>
      </c>
      <c r="AO37" t="str">
        <f>""</f>
        <v/>
      </c>
      <c r="AP37" t="str">
        <f>""</f>
        <v/>
      </c>
      <c r="AQ37" t="str">
        <f>""</f>
        <v/>
      </c>
      <c r="AR37" t="str">
        <f>""</f>
        <v/>
      </c>
      <c r="AS37" t="str">
        <f>""</f>
        <v/>
      </c>
      <c r="AT37" t="str">
        <f>""</f>
        <v/>
      </c>
      <c r="AU37" t="str">
        <f>""</f>
        <v/>
      </c>
      <c r="AV37" t="str">
        <f>""</f>
        <v/>
      </c>
      <c r="AW37" t="str">
        <f>""</f>
        <v/>
      </c>
      <c r="AX37" t="str">
        <f>""</f>
        <v/>
      </c>
      <c r="AY37" t="str">
        <f>""</f>
        <v/>
      </c>
      <c r="AZ37" t="str">
        <f>""</f>
        <v/>
      </c>
      <c r="BA37" t="str">
        <f>""</f>
        <v/>
      </c>
      <c r="BB37" t="str">
        <f>"11/07/2023 02:14:29"</f>
        <v>11/07/2023 02:14:29</v>
      </c>
      <c r="BC37" t="str">
        <f>""</f>
        <v/>
      </c>
      <c r="BD37" t="str">
        <f>""</f>
        <v/>
      </c>
      <c r="BE37" t="str">
        <f>""</f>
        <v/>
      </c>
      <c r="BF37" t="str">
        <f t="shared" si="6"/>
        <v>A</v>
      </c>
      <c r="BG37" t="str">
        <f>""</f>
        <v/>
      </c>
      <c r="BH37" t="str">
        <f>""</f>
        <v/>
      </c>
      <c r="BI37" t="str">
        <f t="shared" si="20"/>
        <v>EVENTUAL</v>
      </c>
      <c r="BJ37" t="str">
        <f t="shared" si="8"/>
        <v>1</v>
      </c>
      <c r="BK37" t="str">
        <f t="shared" si="9"/>
        <v>Farmacia</v>
      </c>
      <c r="BL37" t="str">
        <f>""</f>
        <v/>
      </c>
      <c r="BM37" t="str">
        <f>""</f>
        <v/>
      </c>
      <c r="BN37" t="str">
        <f>""</f>
        <v/>
      </c>
      <c r="BO37" t="str">
        <f>""</f>
        <v/>
      </c>
      <c r="BP37" t="str">
        <f>""</f>
        <v/>
      </c>
      <c r="BQ37" t="str">
        <f>""</f>
        <v/>
      </c>
      <c r="BR37" t="str">
        <f>"11/07/2023"</f>
        <v>11/07/2023</v>
      </c>
      <c r="BS37" t="str">
        <f>""</f>
        <v/>
      </c>
      <c r="BT37" t="str">
        <f>""</f>
        <v/>
      </c>
      <c r="BU37" t="str">
        <f>""</f>
        <v/>
      </c>
      <c r="BV37" t="str">
        <f>""</f>
        <v/>
      </c>
      <c r="BW37" t="str">
        <f>"Não visitado"</f>
        <v>Não visitado</v>
      </c>
    </row>
    <row r="38" spans="1:75" x14ac:dyDescent="0.35">
      <c r="A38">
        <v>157536</v>
      </c>
      <c r="B38" t="str">
        <f t="shared" si="0"/>
        <v>A</v>
      </c>
      <c r="C38" t="str">
        <f t="shared" si="1"/>
        <v>80</v>
      </c>
      <c r="D38" t="str">
        <f t="shared" si="2"/>
        <v>11121001</v>
      </c>
      <c r="E38" t="str">
        <f t="shared" si="3"/>
        <v>121001</v>
      </c>
      <c r="F38" t="str">
        <f t="shared" si="4"/>
        <v>JENIFER SANTOS</v>
      </c>
      <c r="G38" t="str">
        <f>"05030583000460"</f>
        <v>05030583000460</v>
      </c>
      <c r="H38" t="str">
        <f t="shared" si="19"/>
        <v>0</v>
      </c>
      <c r="I38" t="str">
        <f t="shared" si="5"/>
        <v>CONTA OPTICA</v>
      </c>
      <c r="J38" t="str">
        <f>"BUENA OTICA LTDA"</f>
        <v>BUENA OTICA LTDA</v>
      </c>
      <c r="K38" t="str">
        <f>"BRASOPTICA (3001)"</f>
        <v>BRASOPTICA (3001)</v>
      </c>
      <c r="L38" t="str">
        <f>""</f>
        <v/>
      </c>
      <c r="M38" t="str">
        <f>""</f>
        <v/>
      </c>
      <c r="N38" t="str">
        <f>"GUSTAVO@BRASOPTICA.COM.BR"</f>
        <v>GUSTAVO@BRASOPTICA.COM.BR</v>
      </c>
      <c r="O38" t="str">
        <f>""</f>
        <v/>
      </c>
      <c r="P38" t="str">
        <f>"RUA CORONEL CHICUTA"</f>
        <v>RUA CORONEL CHICUTA</v>
      </c>
      <c r="Q38" t="str">
        <f>"355"</f>
        <v>355</v>
      </c>
      <c r="R38" t="str">
        <f>"SALA 02"</f>
        <v>SALA 02</v>
      </c>
      <c r="S38" t="str">
        <f>"1383"</f>
        <v>1383</v>
      </c>
      <c r="T38" t="str">
        <f>"99010050"</f>
        <v>99010050</v>
      </c>
      <c r="U38" t="str">
        <f>"CENTRO"</f>
        <v>CENTRO</v>
      </c>
      <c r="V38" t="str">
        <f>"PASSO FUNDO"</f>
        <v>PASSO FUNDO</v>
      </c>
      <c r="W38" t="str">
        <f>"RS"</f>
        <v>RS</v>
      </c>
      <c r="X38" t="str">
        <f>"54"</f>
        <v>54</v>
      </c>
      <c r="Y38" t="str">
        <f>""</f>
        <v/>
      </c>
      <c r="Z38" t="str">
        <f>""</f>
        <v/>
      </c>
      <c r="AA38" t="str">
        <f>""</f>
        <v/>
      </c>
      <c r="AB38" t="str">
        <f>""</f>
        <v/>
      </c>
      <c r="AC38" t="str">
        <f>""</f>
        <v/>
      </c>
      <c r="AD38" t="str">
        <f>""</f>
        <v/>
      </c>
      <c r="AE38" t="str">
        <f>""</f>
        <v/>
      </c>
      <c r="AF38" t="str">
        <f>""</f>
        <v/>
      </c>
      <c r="AG38" t="str">
        <f>""</f>
        <v/>
      </c>
      <c r="AH38" t="str">
        <f>""</f>
        <v/>
      </c>
      <c r="AI38" t="str">
        <f>""</f>
        <v/>
      </c>
      <c r="AJ38" t="str">
        <f>""</f>
        <v/>
      </c>
      <c r="AK38" t="str">
        <f>""</f>
        <v/>
      </c>
      <c r="AL38" t="str">
        <f>""</f>
        <v/>
      </c>
      <c r="AM38" t="str">
        <f>""</f>
        <v/>
      </c>
      <c r="AN38" t="str">
        <f>""</f>
        <v/>
      </c>
      <c r="AO38" t="str">
        <f>""</f>
        <v/>
      </c>
      <c r="AP38" t="str">
        <f>""</f>
        <v/>
      </c>
      <c r="AQ38" t="str">
        <f>""</f>
        <v/>
      </c>
      <c r="AR38" t="str">
        <f>""</f>
        <v/>
      </c>
      <c r="AS38" t="str">
        <f>""</f>
        <v/>
      </c>
      <c r="AT38" t="str">
        <f>""</f>
        <v/>
      </c>
      <c r="AU38" t="str">
        <f>""</f>
        <v/>
      </c>
      <c r="AV38" t="str">
        <f>""</f>
        <v/>
      </c>
      <c r="AW38" t="str">
        <f>""</f>
        <v/>
      </c>
      <c r="AX38" t="str">
        <f>""</f>
        <v/>
      </c>
      <c r="AY38" t="str">
        <f>""</f>
        <v/>
      </c>
      <c r="AZ38" t="str">
        <f>""</f>
        <v/>
      </c>
      <c r="BA38" t="str">
        <f>""</f>
        <v/>
      </c>
      <c r="BB38" t="str">
        <f>"11/07/2023 02:14:29"</f>
        <v>11/07/2023 02:14:29</v>
      </c>
      <c r="BC38" t="str">
        <f>""</f>
        <v/>
      </c>
      <c r="BD38" t="str">
        <f>""</f>
        <v/>
      </c>
      <c r="BE38" t="str">
        <f>""</f>
        <v/>
      </c>
      <c r="BF38" t="str">
        <f t="shared" si="6"/>
        <v>A</v>
      </c>
      <c r="BG38" t="str">
        <f>""</f>
        <v/>
      </c>
      <c r="BH38" t="str">
        <f>""</f>
        <v/>
      </c>
      <c r="BI38" t="str">
        <f t="shared" si="20"/>
        <v>EVENTUAL</v>
      </c>
      <c r="BJ38" t="str">
        <f t="shared" si="8"/>
        <v>1</v>
      </c>
      <c r="BK38" t="str">
        <f t="shared" si="9"/>
        <v>Farmacia</v>
      </c>
      <c r="BL38" t="str">
        <f>""</f>
        <v/>
      </c>
      <c r="BM38" t="str">
        <f>""</f>
        <v/>
      </c>
      <c r="BN38" t="str">
        <f>""</f>
        <v/>
      </c>
      <c r="BO38" t="str">
        <f>""</f>
        <v/>
      </c>
      <c r="BP38" t="str">
        <f>""</f>
        <v/>
      </c>
      <c r="BQ38" t="str">
        <f>""</f>
        <v/>
      </c>
      <c r="BR38" t="str">
        <f>"11/07/2023"</f>
        <v>11/07/2023</v>
      </c>
      <c r="BS38" t="str">
        <f>""</f>
        <v/>
      </c>
      <c r="BT38" t="str">
        <f>""</f>
        <v/>
      </c>
      <c r="BU38" t="str">
        <f>""</f>
        <v/>
      </c>
      <c r="BV38" t="str">
        <f>""</f>
        <v/>
      </c>
      <c r="BW38" t="str">
        <f>"Não visitado"</f>
        <v>Não visitado</v>
      </c>
    </row>
    <row r="39" spans="1:75" x14ac:dyDescent="0.35">
      <c r="A39">
        <v>157551</v>
      </c>
      <c r="B39" t="str">
        <f t="shared" si="0"/>
        <v>A</v>
      </c>
      <c r="C39" t="str">
        <f t="shared" si="1"/>
        <v>80</v>
      </c>
      <c r="D39" t="str">
        <f t="shared" si="2"/>
        <v>11121001</v>
      </c>
      <c r="E39" t="str">
        <f t="shared" si="3"/>
        <v>121001</v>
      </c>
      <c r="F39" t="str">
        <f t="shared" si="4"/>
        <v>JENIFER SANTOS</v>
      </c>
      <c r="G39" t="str">
        <f>"05030583000117"</f>
        <v>05030583000117</v>
      </c>
      <c r="H39" t="str">
        <f t="shared" si="19"/>
        <v>0</v>
      </c>
      <c r="I39" t="str">
        <f t="shared" si="5"/>
        <v>CONTA OPTICA</v>
      </c>
      <c r="J39" t="str">
        <f>"BUENA OTICA LTDA"</f>
        <v>BUENA OTICA LTDA</v>
      </c>
      <c r="K39" t="str">
        <f>"CENTRAL OTICA (1720)"</f>
        <v>CENTRAL OTICA (1720)</v>
      </c>
      <c r="L39" t="str">
        <f>""</f>
        <v/>
      </c>
      <c r="M39" t="str">
        <f>""</f>
        <v/>
      </c>
      <c r="N39" t="str">
        <f>""</f>
        <v/>
      </c>
      <c r="O39" t="str">
        <f>""</f>
        <v/>
      </c>
      <c r="P39" t="str">
        <f>"BRASIL"</f>
        <v>BRASIL</v>
      </c>
      <c r="Q39" t="str">
        <f>"497"</f>
        <v>497</v>
      </c>
      <c r="R39" t="str">
        <f>""</f>
        <v/>
      </c>
      <c r="S39" t="str">
        <f>"1383"</f>
        <v>1383</v>
      </c>
      <c r="T39" t="str">
        <f>"99010090"</f>
        <v>99010090</v>
      </c>
      <c r="U39" t="str">
        <f>"CENTRO"</f>
        <v>CENTRO</v>
      </c>
      <c r="V39" t="str">
        <f>"PASSO FUNDO"</f>
        <v>PASSO FUNDO</v>
      </c>
      <c r="W39" t="str">
        <f>"RS"</f>
        <v>RS</v>
      </c>
      <c r="X39" t="str">
        <f>"54"</f>
        <v>54</v>
      </c>
      <c r="Y39" t="str">
        <f>"21035247"</f>
        <v>21035247</v>
      </c>
      <c r="Z39" t="str">
        <f>""</f>
        <v/>
      </c>
      <c r="AA39" t="str">
        <f>""</f>
        <v/>
      </c>
      <c r="AB39" t="str">
        <f>""</f>
        <v/>
      </c>
      <c r="AC39" t="str">
        <f>""</f>
        <v/>
      </c>
      <c r="AD39" t="str">
        <f>""</f>
        <v/>
      </c>
      <c r="AE39" t="str">
        <f>""</f>
        <v/>
      </c>
      <c r="AF39" t="str">
        <f>""</f>
        <v/>
      </c>
      <c r="AG39" t="str">
        <f>""</f>
        <v/>
      </c>
      <c r="AH39" t="str">
        <f>""</f>
        <v/>
      </c>
      <c r="AI39" t="str">
        <f>""</f>
        <v/>
      </c>
      <c r="AJ39" t="str">
        <f>""</f>
        <v/>
      </c>
      <c r="AK39" t="str">
        <f>""</f>
        <v/>
      </c>
      <c r="AL39" t="str">
        <f>""</f>
        <v/>
      </c>
      <c r="AM39" t="str">
        <f>""</f>
        <v/>
      </c>
      <c r="AN39" t="str">
        <f>""</f>
        <v/>
      </c>
      <c r="AO39" t="str">
        <f>""</f>
        <v/>
      </c>
      <c r="AP39" t="str">
        <f>""</f>
        <v/>
      </c>
      <c r="AQ39" t="str">
        <f>""</f>
        <v/>
      </c>
      <c r="AR39" t="str">
        <f>""</f>
        <v/>
      </c>
      <c r="AS39" t="str">
        <f>""</f>
        <v/>
      </c>
      <c r="AT39" t="str">
        <f>""</f>
        <v/>
      </c>
      <c r="AU39" t="str">
        <f>""</f>
        <v/>
      </c>
      <c r="AV39" t="str">
        <f>""</f>
        <v/>
      </c>
      <c r="AW39" t="str">
        <f>""</f>
        <v/>
      </c>
      <c r="AX39" t="str">
        <f>""</f>
        <v/>
      </c>
      <c r="AY39" t="str">
        <f>""</f>
        <v/>
      </c>
      <c r="AZ39" t="str">
        <f>""</f>
        <v/>
      </c>
      <c r="BA39" t="str">
        <f>""</f>
        <v/>
      </c>
      <c r="BB39" t="str">
        <f>"11/07/2023 02:14:29"</f>
        <v>11/07/2023 02:14:29</v>
      </c>
      <c r="BC39" t="str">
        <f>""</f>
        <v/>
      </c>
      <c r="BD39" t="str">
        <f>""</f>
        <v/>
      </c>
      <c r="BE39" t="str">
        <f>""</f>
        <v/>
      </c>
      <c r="BF39" t="str">
        <f t="shared" si="6"/>
        <v>A</v>
      </c>
      <c r="BG39" t="str">
        <f>""</f>
        <v/>
      </c>
      <c r="BH39" t="str">
        <f>""</f>
        <v/>
      </c>
      <c r="BI39" t="str">
        <f t="shared" si="20"/>
        <v>EVENTUAL</v>
      </c>
      <c r="BJ39" t="str">
        <f t="shared" si="8"/>
        <v>1</v>
      </c>
      <c r="BK39" t="str">
        <f t="shared" si="9"/>
        <v>Farmacia</v>
      </c>
      <c r="BL39" t="str">
        <f>""</f>
        <v/>
      </c>
      <c r="BM39" t="str">
        <f>""</f>
        <v/>
      </c>
      <c r="BN39" t="str">
        <f>""</f>
        <v/>
      </c>
      <c r="BO39" t="str">
        <f>""</f>
        <v/>
      </c>
      <c r="BP39" t="str">
        <f>""</f>
        <v/>
      </c>
      <c r="BQ39" t="str">
        <f>""</f>
        <v/>
      </c>
      <c r="BR39" t="str">
        <f>"11/07/2023"</f>
        <v>11/07/2023</v>
      </c>
      <c r="BS39" t="str">
        <f>""</f>
        <v/>
      </c>
      <c r="BT39" t="str">
        <f>""</f>
        <v/>
      </c>
      <c r="BU39" t="str">
        <f>""</f>
        <v/>
      </c>
      <c r="BV39" t="str">
        <f>""</f>
        <v/>
      </c>
      <c r="BW39" t="str">
        <f>"Não visitado"</f>
        <v>Não visitado</v>
      </c>
    </row>
    <row r="40" spans="1:75" x14ac:dyDescent="0.35">
      <c r="A40">
        <v>156747</v>
      </c>
      <c r="B40" t="str">
        <f t="shared" si="0"/>
        <v>A</v>
      </c>
      <c r="C40" t="str">
        <f t="shared" si="1"/>
        <v>80</v>
      </c>
      <c r="D40" t="str">
        <f t="shared" si="2"/>
        <v>11121001</v>
      </c>
      <c r="E40" t="str">
        <f t="shared" si="3"/>
        <v>121001</v>
      </c>
      <c r="F40" t="str">
        <f t="shared" si="4"/>
        <v>JENIFER SANTOS</v>
      </c>
      <c r="G40" t="str">
        <f>"48447826000120"</f>
        <v>48447826000120</v>
      </c>
      <c r="H40" t="str">
        <f t="shared" si="19"/>
        <v>0</v>
      </c>
      <c r="I40" t="str">
        <f t="shared" si="5"/>
        <v>CONTA OPTICA</v>
      </c>
      <c r="J40" t="str">
        <f>"CALEBE COM VAREJISTA DE ARTIGOS DE OPTICA LTDA"</f>
        <v>CALEBE COM VAREJISTA DE ARTIGOS DE OPTICA LTDA</v>
      </c>
      <c r="K40" t="str">
        <f>"MERCADAO DOS OCULOS (4632)"</f>
        <v>MERCADAO DOS OCULOS (4632)</v>
      </c>
      <c r="L40" t="str">
        <f>""</f>
        <v/>
      </c>
      <c r="M40" t="str">
        <f>""</f>
        <v/>
      </c>
      <c r="N40" t="str">
        <f>"JOSUECALEBI@HOTMAIL.COM"</f>
        <v>JOSUECALEBI@HOTMAIL.COM</v>
      </c>
      <c r="O40" t="str">
        <f>""</f>
        <v/>
      </c>
      <c r="P40" t="str">
        <f>"CELSO RAMOS"</f>
        <v>CELSO RAMOS</v>
      </c>
      <c r="Q40" t="str">
        <f>"1188"</f>
        <v>1188</v>
      </c>
      <c r="R40" t="str">
        <f>"SALA 07 E 08"</f>
        <v>SALA 07 E 08</v>
      </c>
      <c r="S40" t="str">
        <f>"1280"</f>
        <v>1280</v>
      </c>
      <c r="T40" t="str">
        <f>"89248000"</f>
        <v>89248000</v>
      </c>
      <c r="U40" t="str">
        <f>"CENTRO"</f>
        <v>CENTRO</v>
      </c>
      <c r="V40" t="str">
        <f>"GARUVA"</f>
        <v>GARUVA</v>
      </c>
      <c r="W40" t="str">
        <f t="shared" ref="W40:W53" si="21">"SC"</f>
        <v>SC</v>
      </c>
      <c r="X40" t="str">
        <f>"49"</f>
        <v>49</v>
      </c>
      <c r="Y40" t="str">
        <f>"999240874"</f>
        <v>999240874</v>
      </c>
      <c r="Z40" t="str">
        <f>""</f>
        <v/>
      </c>
      <c r="AA40" t="str">
        <f>""</f>
        <v/>
      </c>
      <c r="AB40" t="str">
        <f>""</f>
        <v/>
      </c>
      <c r="AC40" t="str">
        <f>""</f>
        <v/>
      </c>
      <c r="AD40" t="str">
        <f>""</f>
        <v/>
      </c>
      <c r="AE40" t="str">
        <f>""</f>
        <v/>
      </c>
      <c r="AF40" t="str">
        <f>""</f>
        <v/>
      </c>
      <c r="AG40" t="str">
        <f>""</f>
        <v/>
      </c>
      <c r="AH40" t="str">
        <f>""</f>
        <v/>
      </c>
      <c r="AI40" t="str">
        <f>""</f>
        <v/>
      </c>
      <c r="AJ40" t="str">
        <f>""</f>
        <v/>
      </c>
      <c r="AK40" t="str">
        <f>""</f>
        <v/>
      </c>
      <c r="AL40" t="str">
        <f>""</f>
        <v/>
      </c>
      <c r="AM40" t="str">
        <f>""</f>
        <v/>
      </c>
      <c r="AN40" t="str">
        <f>""</f>
        <v/>
      </c>
      <c r="AO40" t="str">
        <f>""</f>
        <v/>
      </c>
      <c r="AP40" t="str">
        <f>""</f>
        <v/>
      </c>
      <c r="AQ40" t="str">
        <f>""</f>
        <v/>
      </c>
      <c r="AR40" t="str">
        <f>""</f>
        <v/>
      </c>
      <c r="AS40" t="str">
        <f>""</f>
        <v/>
      </c>
      <c r="AT40" t="str">
        <f>""</f>
        <v/>
      </c>
      <c r="AU40" t="str">
        <f>""</f>
        <v/>
      </c>
      <c r="AV40" t="str">
        <f>""</f>
        <v/>
      </c>
      <c r="AW40" t="str">
        <f>""</f>
        <v/>
      </c>
      <c r="AX40" t="str">
        <f>""</f>
        <v/>
      </c>
      <c r="AY40" t="str">
        <f>""</f>
        <v/>
      </c>
      <c r="AZ40" t="str">
        <f>""</f>
        <v/>
      </c>
      <c r="BA40" t="str">
        <f>""</f>
        <v/>
      </c>
      <c r="BB40" t="str">
        <f>"06/07/2023 12:07:48"</f>
        <v>06/07/2023 12:07:48</v>
      </c>
      <c r="BC40" t="str">
        <f>""</f>
        <v/>
      </c>
      <c r="BD40" t="str">
        <f>""</f>
        <v/>
      </c>
      <c r="BE40" t="str">
        <f>""</f>
        <v/>
      </c>
      <c r="BF40" t="str">
        <f t="shared" si="6"/>
        <v>A</v>
      </c>
      <c r="BG40" t="str">
        <f>""</f>
        <v/>
      </c>
      <c r="BH40" t="str">
        <f>""</f>
        <v/>
      </c>
      <c r="BI40" t="str">
        <f t="shared" si="20"/>
        <v>EVENTUAL</v>
      </c>
      <c r="BJ40" t="str">
        <f t="shared" si="8"/>
        <v>1</v>
      </c>
      <c r="BK40" t="str">
        <f t="shared" si="9"/>
        <v>Farmacia</v>
      </c>
      <c r="BL40" t="str">
        <f>""</f>
        <v/>
      </c>
      <c r="BM40" t="str">
        <f>""</f>
        <v/>
      </c>
      <c r="BN40" t="str">
        <f>""</f>
        <v/>
      </c>
      <c r="BO40" t="str">
        <f>""</f>
        <v/>
      </c>
      <c r="BP40" t="str">
        <f>""</f>
        <v/>
      </c>
      <c r="BQ40" t="str">
        <f>""</f>
        <v/>
      </c>
      <c r="BR40" t="str">
        <f>"06/07/2023"</f>
        <v>06/07/2023</v>
      </c>
      <c r="BS40" t="str">
        <f>""</f>
        <v/>
      </c>
      <c r="BT40" t="str">
        <f>""</f>
        <v/>
      </c>
      <c r="BU40" t="str">
        <f>""</f>
        <v/>
      </c>
      <c r="BV40" t="str">
        <f>""</f>
        <v/>
      </c>
      <c r="BW40" t="str">
        <f>"Não visitado"</f>
        <v>Não visitado</v>
      </c>
    </row>
    <row r="41" spans="1:75" x14ac:dyDescent="0.35">
      <c r="A41">
        <v>137968</v>
      </c>
      <c r="B41" t="str">
        <f t="shared" si="0"/>
        <v>A</v>
      </c>
      <c r="C41" t="str">
        <f t="shared" si="1"/>
        <v>80</v>
      </c>
      <c r="D41" t="str">
        <f t="shared" si="2"/>
        <v>11121001</v>
      </c>
      <c r="E41" t="str">
        <f t="shared" si="3"/>
        <v>121001</v>
      </c>
      <c r="F41" t="str">
        <f t="shared" si="4"/>
        <v>JENIFER SANTOS</v>
      </c>
      <c r="G41" t="str">
        <f>"80453566000108"</f>
        <v>80453566000108</v>
      </c>
      <c r="H41" t="str">
        <f t="shared" si="19"/>
        <v>0</v>
      </c>
      <c r="I41" t="str">
        <f t="shared" si="5"/>
        <v>CONTA OPTICA</v>
      </c>
      <c r="J41" t="str">
        <f>"CALLAI E CALLAI LTDA ME"</f>
        <v>CALLAI E CALLAI LTDA ME</v>
      </c>
      <c r="K41" t="str">
        <f>"CALLAI &amp; CALLAI LTDA ME (46)"</f>
        <v>CALLAI &amp; CALLAI LTDA ME (46)</v>
      </c>
      <c r="L41" t="str">
        <f>""</f>
        <v/>
      </c>
      <c r="M41" t="str">
        <f>""</f>
        <v/>
      </c>
      <c r="N41" t="str">
        <f>"callaiecallai@gmail.com"</f>
        <v>callaiecallai@gmail.com</v>
      </c>
      <c r="O41" t="str">
        <f>""</f>
        <v/>
      </c>
      <c r="P41" t="str">
        <f>"RUA CARMELO ZOCCOLI"</f>
        <v>RUA CARMELO ZOCCOLI</v>
      </c>
      <c r="Q41" t="str">
        <f>"112"</f>
        <v>112</v>
      </c>
      <c r="R41" t="str">
        <f>""</f>
        <v/>
      </c>
      <c r="S41" t="str">
        <f>"1285"</f>
        <v>1285</v>
      </c>
      <c r="T41" t="str">
        <f>"89665000"</f>
        <v>89665000</v>
      </c>
      <c r="U41" t="str">
        <f>"CENTRO"</f>
        <v>CENTRO</v>
      </c>
      <c r="V41" t="str">
        <f>"CAPINZAL"</f>
        <v>CAPINZAL</v>
      </c>
      <c r="W41" t="str">
        <f t="shared" si="21"/>
        <v>SC</v>
      </c>
      <c r="X41" t="str">
        <f>"49"</f>
        <v>49</v>
      </c>
      <c r="Y41" t="str">
        <f>"35551709"</f>
        <v>35551709</v>
      </c>
      <c r="Z41" t="str">
        <f>""</f>
        <v/>
      </c>
      <c r="AA41" t="str">
        <f>""</f>
        <v/>
      </c>
      <c r="AB41" t="str">
        <f>""</f>
        <v/>
      </c>
      <c r="AC41" t="str">
        <f>""</f>
        <v/>
      </c>
      <c r="AD41" t="str">
        <f>""</f>
        <v/>
      </c>
      <c r="AE41" t="str">
        <f>""</f>
        <v/>
      </c>
      <c r="AF41" t="str">
        <f>""</f>
        <v/>
      </c>
      <c r="AG41" t="str">
        <f>"S"</f>
        <v>S</v>
      </c>
      <c r="AH41" t="str">
        <f>""</f>
        <v/>
      </c>
      <c r="AI41" t="str">
        <f>""</f>
        <v/>
      </c>
      <c r="AJ41" t="str">
        <f>""</f>
        <v/>
      </c>
      <c r="AK41" t="str">
        <f>""</f>
        <v/>
      </c>
      <c r="AL41" t="str">
        <f>""</f>
        <v/>
      </c>
      <c r="AM41" t="str">
        <f>""</f>
        <v/>
      </c>
      <c r="AN41" t="str">
        <f>""</f>
        <v/>
      </c>
      <c r="AO41" t="str">
        <f>""</f>
        <v/>
      </c>
      <c r="AP41" t="str">
        <f>""</f>
        <v/>
      </c>
      <c r="AQ41" t="str">
        <f>"N"</f>
        <v>N</v>
      </c>
      <c r="AR41" t="str">
        <f>"N"</f>
        <v>N</v>
      </c>
      <c r="AS41" t="str">
        <f>"N"</f>
        <v>N</v>
      </c>
      <c r="AT41" t="str">
        <f>"N"</f>
        <v>N</v>
      </c>
      <c r="AU41" t="str">
        <f>"N"</f>
        <v>N</v>
      </c>
      <c r="AV41" t="str">
        <f>""</f>
        <v/>
      </c>
      <c r="AW41" t="str">
        <f>""</f>
        <v/>
      </c>
      <c r="AX41" t="str">
        <f>""</f>
        <v/>
      </c>
      <c r="AY41" t="str">
        <f>""</f>
        <v/>
      </c>
      <c r="AZ41" t="str">
        <f>""</f>
        <v/>
      </c>
      <c r="BA41" t="str">
        <f>""</f>
        <v/>
      </c>
      <c r="BB41" t="str">
        <f>"01/07/2021 13:53:04"</f>
        <v>01/07/2021 13:53:04</v>
      </c>
      <c r="BC41" t="str">
        <f>"03/05/2022 17:38:27"</f>
        <v>03/05/2022 17:38:27</v>
      </c>
      <c r="BD41" t="str">
        <f>""</f>
        <v/>
      </c>
      <c r="BE41" t="str">
        <f>""</f>
        <v/>
      </c>
      <c r="BF41" t="str">
        <f t="shared" si="6"/>
        <v>A</v>
      </c>
      <c r="BG41" t="str">
        <f>""</f>
        <v/>
      </c>
      <c r="BH41" t="str">
        <f>"0,00"</f>
        <v>0,00</v>
      </c>
      <c r="BI41" t="str">
        <f t="shared" si="20"/>
        <v>EVENTUAL</v>
      </c>
      <c r="BJ41" t="str">
        <f t="shared" si="8"/>
        <v>1</v>
      </c>
      <c r="BK41" t="str">
        <f t="shared" si="9"/>
        <v>Farmacia</v>
      </c>
      <c r="BL41" t="str">
        <f>""</f>
        <v/>
      </c>
      <c r="BM41" t="str">
        <f>"VARILUX ESPECIALISTA PLATINE"</f>
        <v>VARILUX ESPECIALISTA PLATINE</v>
      </c>
      <c r="BN41" t="str">
        <f>"NA"</f>
        <v>NA</v>
      </c>
      <c r="BO41" t="str">
        <f>"FOCO VARILUX DIGITAL"</f>
        <v>FOCO VARILUX DIGITAL</v>
      </c>
      <c r="BP41" t="str">
        <f>""</f>
        <v/>
      </c>
      <c r="BQ41" t="str">
        <f>""</f>
        <v/>
      </c>
      <c r="BR41" t="str">
        <f>"01/07/2021"</f>
        <v>01/07/2021</v>
      </c>
      <c r="BS41" t="str">
        <f>"03/05/2022"</f>
        <v>03/05/2022</v>
      </c>
      <c r="BT41" t="str">
        <f>""</f>
        <v/>
      </c>
      <c r="BU41" t="str">
        <f>""</f>
        <v/>
      </c>
      <c r="BV41" t="str">
        <f>""</f>
        <v/>
      </c>
      <c r="BW41" t="str">
        <f>"1"</f>
        <v>1</v>
      </c>
    </row>
    <row r="42" spans="1:75" x14ac:dyDescent="0.35">
      <c r="A42">
        <v>157554</v>
      </c>
      <c r="B42" t="str">
        <f t="shared" si="0"/>
        <v>A</v>
      </c>
      <c r="C42" t="str">
        <f t="shared" si="1"/>
        <v>80</v>
      </c>
      <c r="D42" t="str">
        <f t="shared" si="2"/>
        <v>11121001</v>
      </c>
      <c r="E42" t="str">
        <f t="shared" si="3"/>
        <v>121001</v>
      </c>
      <c r="F42" t="str">
        <f t="shared" si="4"/>
        <v>JENIFER SANTOS</v>
      </c>
      <c r="G42" t="str">
        <f>"04964470000126"</f>
        <v>04964470000126</v>
      </c>
      <c r="H42" t="str">
        <f t="shared" si="19"/>
        <v>0</v>
      </c>
      <c r="I42" t="str">
        <f t="shared" si="5"/>
        <v>CONTA OPTICA</v>
      </c>
      <c r="J42" t="str">
        <f>"CAMATTI INDUSTRIA E COMERCIO DE JOIAS LTDA"</f>
        <v>CAMATTI INDUSTRIA E COMERCIO DE JOIAS LTDA</v>
      </c>
      <c r="K42" t="str">
        <f>"CAMATTI JOIAS (1352)"</f>
        <v>CAMATTI JOIAS (1352)</v>
      </c>
      <c r="L42" t="str">
        <f>""</f>
        <v/>
      </c>
      <c r="M42" t="str">
        <f>""</f>
        <v/>
      </c>
      <c r="N42" t="str">
        <f>"CAMJOIAS@GMAIL.COM"</f>
        <v>CAMJOIAS@GMAIL.COM</v>
      </c>
      <c r="O42" t="str">
        <f>""</f>
        <v/>
      </c>
      <c r="P42" t="str">
        <f>"RUA SAO FRANCISCO DO SUL"</f>
        <v>RUA SAO FRANCISCO DO SUL</v>
      </c>
      <c r="Q42" t="str">
        <f>"119"</f>
        <v>119</v>
      </c>
      <c r="R42" t="str">
        <f>"E"</f>
        <v>E</v>
      </c>
      <c r="S42" t="str">
        <f>"1287"</f>
        <v>1287</v>
      </c>
      <c r="T42" t="str">
        <f>"89810090"</f>
        <v>89810090</v>
      </c>
      <c r="U42" t="str">
        <f>"CRISTO REI"</f>
        <v>CRISTO REI</v>
      </c>
      <c r="V42" t="str">
        <f>"CHAPECO"</f>
        <v>CHAPECO</v>
      </c>
      <c r="W42" t="str">
        <f t="shared" si="21"/>
        <v>SC</v>
      </c>
      <c r="X42" t="str">
        <f>"49"</f>
        <v>49</v>
      </c>
      <c r="Y42" t="str">
        <f>"33312311"</f>
        <v>33312311</v>
      </c>
      <c r="Z42" t="str">
        <f>""</f>
        <v/>
      </c>
      <c r="AA42" t="str">
        <f>""</f>
        <v/>
      </c>
      <c r="AB42" t="str">
        <f>""</f>
        <v/>
      </c>
      <c r="AC42" t="str">
        <f>""</f>
        <v/>
      </c>
      <c r="AD42" t="str">
        <f>""</f>
        <v/>
      </c>
      <c r="AE42" t="str">
        <f>""</f>
        <v/>
      </c>
      <c r="AF42" t="str">
        <f>""</f>
        <v/>
      </c>
      <c r="AG42" t="str">
        <f>""</f>
        <v/>
      </c>
      <c r="AH42" t="str">
        <f>""</f>
        <v/>
      </c>
      <c r="AI42" t="str">
        <f>""</f>
        <v/>
      </c>
      <c r="AJ42" t="str">
        <f>""</f>
        <v/>
      </c>
      <c r="AK42" t="str">
        <f>""</f>
        <v/>
      </c>
      <c r="AL42" t="str">
        <f>""</f>
        <v/>
      </c>
      <c r="AM42" t="str">
        <f>""</f>
        <v/>
      </c>
      <c r="AN42" t="str">
        <f>""</f>
        <v/>
      </c>
      <c r="AO42" t="str">
        <f>""</f>
        <v/>
      </c>
      <c r="AP42" t="str">
        <f>""</f>
        <v/>
      </c>
      <c r="AQ42" t="str">
        <f>""</f>
        <v/>
      </c>
      <c r="AR42" t="str">
        <f>""</f>
        <v/>
      </c>
      <c r="AS42" t="str">
        <f>""</f>
        <v/>
      </c>
      <c r="AT42" t="str">
        <f>""</f>
        <v/>
      </c>
      <c r="AU42" t="str">
        <f>""</f>
        <v/>
      </c>
      <c r="AV42" t="str">
        <f>""</f>
        <v/>
      </c>
      <c r="AW42" t="str">
        <f>""</f>
        <v/>
      </c>
      <c r="AX42" t="str">
        <f>""</f>
        <v/>
      </c>
      <c r="AY42" t="str">
        <f>""</f>
        <v/>
      </c>
      <c r="AZ42" t="str">
        <f>""</f>
        <v/>
      </c>
      <c r="BA42" t="str">
        <f>""</f>
        <v/>
      </c>
      <c r="BB42" t="str">
        <f>"11/07/2023 02:14:29"</f>
        <v>11/07/2023 02:14:29</v>
      </c>
      <c r="BC42" t="str">
        <f>""</f>
        <v/>
      </c>
      <c r="BD42" t="str">
        <f>""</f>
        <v/>
      </c>
      <c r="BE42" t="str">
        <f>""</f>
        <v/>
      </c>
      <c r="BF42" t="str">
        <f t="shared" si="6"/>
        <v>A</v>
      </c>
      <c r="BG42" t="str">
        <f>""</f>
        <v/>
      </c>
      <c r="BH42" t="str">
        <f>""</f>
        <v/>
      </c>
      <c r="BI42" t="str">
        <f t="shared" si="20"/>
        <v>EVENTUAL</v>
      </c>
      <c r="BJ42" t="str">
        <f t="shared" si="8"/>
        <v>1</v>
      </c>
      <c r="BK42" t="str">
        <f t="shared" si="9"/>
        <v>Farmacia</v>
      </c>
      <c r="BL42" t="str">
        <f>""</f>
        <v/>
      </c>
      <c r="BM42" t="str">
        <f>""</f>
        <v/>
      </c>
      <c r="BN42" t="str">
        <f>""</f>
        <v/>
      </c>
      <c r="BO42" t="str">
        <f>""</f>
        <v/>
      </c>
      <c r="BP42" t="str">
        <f>""</f>
        <v/>
      </c>
      <c r="BQ42" t="str">
        <f>""</f>
        <v/>
      </c>
      <c r="BR42" t="str">
        <f>"11/07/2023"</f>
        <v>11/07/2023</v>
      </c>
      <c r="BS42" t="str">
        <f>""</f>
        <v/>
      </c>
      <c r="BT42" t="str">
        <f>""</f>
        <v/>
      </c>
      <c r="BU42" t="str">
        <f>""</f>
        <v/>
      </c>
      <c r="BV42" t="str">
        <f>""</f>
        <v/>
      </c>
      <c r="BW42" t="str">
        <f>"Não visitado"</f>
        <v>Não visitado</v>
      </c>
    </row>
    <row r="43" spans="1:75" x14ac:dyDescent="0.35">
      <c r="A43">
        <v>137970</v>
      </c>
      <c r="B43" t="str">
        <f t="shared" si="0"/>
        <v>A</v>
      </c>
      <c r="C43" t="str">
        <f t="shared" si="1"/>
        <v>80</v>
      </c>
      <c r="D43" t="str">
        <f t="shared" si="2"/>
        <v>11121001</v>
      </c>
      <c r="E43" t="str">
        <f t="shared" si="3"/>
        <v>121001</v>
      </c>
      <c r="F43" t="str">
        <f t="shared" si="4"/>
        <v>JENIFER SANTOS</v>
      </c>
      <c r="G43" t="str">
        <f>"83296947000119"</f>
        <v>83296947000119</v>
      </c>
      <c r="H43" t="str">
        <f t="shared" si="19"/>
        <v>0</v>
      </c>
      <c r="I43" t="str">
        <f t="shared" si="5"/>
        <v>CONTA OPTICA</v>
      </c>
      <c r="J43" t="str">
        <f>"CANSIAN COMERCIO DE JOIAS EIRELI"</f>
        <v>CANSIAN COMERCIO DE JOIAS EIRELI</v>
      </c>
      <c r="K43" t="str">
        <f>"CANSIAN JOALHERIA E OPTICA (93)"</f>
        <v>CANSIAN JOALHERIA E OPTICA (93)</v>
      </c>
      <c r="L43" t="str">
        <f>""</f>
        <v/>
      </c>
      <c r="M43" t="str">
        <f>""</f>
        <v/>
      </c>
      <c r="N43" t="str">
        <f>"silvia@cansian.com.br"</f>
        <v>silvia@cansian.com.br</v>
      </c>
      <c r="O43" t="str">
        <f>""</f>
        <v/>
      </c>
      <c r="P43" t="str">
        <f>"AVENIDA GETULIO DORNELES VARGAS"</f>
        <v>AVENIDA GETULIO DORNELES VARGAS</v>
      </c>
      <c r="Q43" t="str">
        <f>"416"</f>
        <v>416</v>
      </c>
      <c r="R43" t="str">
        <f>"N"</f>
        <v>N</v>
      </c>
      <c r="S43" t="str">
        <f>"1287"</f>
        <v>1287</v>
      </c>
      <c r="T43" t="str">
        <f>"89801000"</f>
        <v>89801000</v>
      </c>
      <c r="U43" t="str">
        <f>"CENTRO"</f>
        <v>CENTRO</v>
      </c>
      <c r="V43" t="str">
        <f>"CHAPECÓ"</f>
        <v>CHAPECÓ</v>
      </c>
      <c r="W43" t="str">
        <f t="shared" si="21"/>
        <v>SC</v>
      </c>
      <c r="X43" t="str">
        <f>"49"</f>
        <v>49</v>
      </c>
      <c r="Y43" t="str">
        <f>"33196800"</f>
        <v>33196800</v>
      </c>
      <c r="Z43" t="str">
        <f>""</f>
        <v/>
      </c>
      <c r="AA43" t="str">
        <f>""</f>
        <v/>
      </c>
      <c r="AB43" t="str">
        <f>""</f>
        <v/>
      </c>
      <c r="AC43" t="str">
        <f>""</f>
        <v/>
      </c>
      <c r="AD43" t="str">
        <f>""</f>
        <v/>
      </c>
      <c r="AE43" t="str">
        <f>""</f>
        <v/>
      </c>
      <c r="AF43" t="str">
        <f>""</f>
        <v/>
      </c>
      <c r="AG43" t="str">
        <f>"S"</f>
        <v>S</v>
      </c>
      <c r="AH43" t="str">
        <f>""</f>
        <v/>
      </c>
      <c r="AI43" t="str">
        <f>""</f>
        <v/>
      </c>
      <c r="AJ43" t="str">
        <f>""</f>
        <v/>
      </c>
      <c r="AK43" t="str">
        <f>""</f>
        <v/>
      </c>
      <c r="AL43" t="str">
        <f>""</f>
        <v/>
      </c>
      <c r="AM43" t="str">
        <f>""</f>
        <v/>
      </c>
      <c r="AN43" t="str">
        <f>""</f>
        <v/>
      </c>
      <c r="AO43" t="str">
        <f>""</f>
        <v/>
      </c>
      <c r="AP43" t="str">
        <f>""</f>
        <v/>
      </c>
      <c r="AQ43" t="str">
        <f>"N"</f>
        <v>N</v>
      </c>
      <c r="AR43" t="str">
        <f>"N"</f>
        <v>N</v>
      </c>
      <c r="AS43" t="str">
        <f>"N"</f>
        <v>N</v>
      </c>
      <c r="AT43" t="str">
        <f>"N"</f>
        <v>N</v>
      </c>
      <c r="AU43" t="str">
        <f>"N"</f>
        <v>N</v>
      </c>
      <c r="AV43" t="str">
        <f>""</f>
        <v/>
      </c>
      <c r="AW43" t="str">
        <f>""</f>
        <v/>
      </c>
      <c r="AX43" t="str">
        <f>""</f>
        <v/>
      </c>
      <c r="AY43" t="str">
        <f>""</f>
        <v/>
      </c>
      <c r="AZ43" t="str">
        <f>""</f>
        <v/>
      </c>
      <c r="BA43" t="str">
        <f>""</f>
        <v/>
      </c>
      <c r="BB43" t="str">
        <f>"01/07/2021 13:53:04"</f>
        <v>01/07/2021 13:53:04</v>
      </c>
      <c r="BC43" t="str">
        <f>"09/12/2021 11:16:04"</f>
        <v>09/12/2021 11:16:04</v>
      </c>
      <c r="BD43" t="str">
        <f>""</f>
        <v/>
      </c>
      <c r="BE43" t="str">
        <f>""</f>
        <v/>
      </c>
      <c r="BF43" t="str">
        <f t="shared" si="6"/>
        <v>A</v>
      </c>
      <c r="BG43" t="str">
        <f>""</f>
        <v/>
      </c>
      <c r="BH43" t="str">
        <f>"0,00"</f>
        <v>0,00</v>
      </c>
      <c r="BI43" t="str">
        <f t="shared" si="20"/>
        <v>EVENTUAL</v>
      </c>
      <c r="BJ43" t="str">
        <f t="shared" si="8"/>
        <v>1</v>
      </c>
      <c r="BK43" t="str">
        <f t="shared" si="9"/>
        <v>Farmacia</v>
      </c>
      <c r="BL43" t="str">
        <f>""</f>
        <v/>
      </c>
      <c r="BM43" t="str">
        <f>"NÃO É VARILUX ESPECIALISTA"</f>
        <v>NÃO É VARILUX ESPECIALISTA</v>
      </c>
      <c r="BN43" t="str">
        <f>"NA"</f>
        <v>NA</v>
      </c>
      <c r="BO43" t="str">
        <f>""</f>
        <v/>
      </c>
      <c r="BP43" t="str">
        <f>""</f>
        <v/>
      </c>
      <c r="BQ43" t="str">
        <f>""</f>
        <v/>
      </c>
      <c r="BR43" t="str">
        <f>"01/07/2021"</f>
        <v>01/07/2021</v>
      </c>
      <c r="BS43" t="str">
        <f>"09/12/2021"</f>
        <v>09/12/2021</v>
      </c>
      <c r="BT43" t="str">
        <f>""</f>
        <v/>
      </c>
      <c r="BU43" t="str">
        <f>""</f>
        <v/>
      </c>
      <c r="BV43" t="str">
        <f>""</f>
        <v/>
      </c>
      <c r="BW43" t="str">
        <f>"Não visitado"</f>
        <v>Não visitado</v>
      </c>
    </row>
    <row r="44" spans="1:75" x14ac:dyDescent="0.35">
      <c r="A44">
        <v>156764</v>
      </c>
      <c r="B44" t="str">
        <f t="shared" si="0"/>
        <v>A</v>
      </c>
      <c r="C44" t="str">
        <f t="shared" si="1"/>
        <v>80</v>
      </c>
      <c r="D44" t="str">
        <f t="shared" si="2"/>
        <v>11121001</v>
      </c>
      <c r="E44" t="str">
        <f t="shared" si="3"/>
        <v>121001</v>
      </c>
      <c r="F44" t="str">
        <f t="shared" si="4"/>
        <v>JENIFER SANTOS</v>
      </c>
      <c r="G44" t="str">
        <f>"44431520000205"</f>
        <v>44431520000205</v>
      </c>
      <c r="H44" t="str">
        <f t="shared" si="19"/>
        <v>0</v>
      </c>
      <c r="I44" t="str">
        <f t="shared" si="5"/>
        <v>CONTA OPTICA</v>
      </c>
      <c r="J44" t="str">
        <f>"CARMEN FERRONATTO LTDA"</f>
        <v>CARMEN FERRONATTO LTDA</v>
      </c>
      <c r="K44" t="str">
        <f>"CHILLI BEANS (4450)"</f>
        <v>CHILLI BEANS (4450)</v>
      </c>
      <c r="L44" t="str">
        <f>""</f>
        <v/>
      </c>
      <c r="M44" t="str">
        <f>""</f>
        <v/>
      </c>
      <c r="N44" t="str">
        <f>"ADM.FERRONATTOEPAZA@GMAIL.COM"</f>
        <v>ADM.FERRONATTOEPAZA@GMAIL.COM</v>
      </c>
      <c r="O44" t="str">
        <f>""</f>
        <v/>
      </c>
      <c r="P44" t="str">
        <f>"ROLF WIEST"</f>
        <v>ROLF WIEST</v>
      </c>
      <c r="Q44" t="str">
        <f>"333"</f>
        <v>333</v>
      </c>
      <c r="R44" t="str">
        <f>"LOJA 107"</f>
        <v>LOJA 107</v>
      </c>
      <c r="S44" t="str">
        <f>"1279"</f>
        <v>1279</v>
      </c>
      <c r="T44" t="str">
        <f>"89223005"</f>
        <v>89223005</v>
      </c>
      <c r="U44" t="str">
        <f>"BOM RETIRO"</f>
        <v>BOM RETIRO</v>
      </c>
      <c r="V44" t="str">
        <f>"JOINVILLE"</f>
        <v>JOINVILLE</v>
      </c>
      <c r="W44" t="str">
        <f t="shared" si="21"/>
        <v>SC</v>
      </c>
      <c r="X44" t="str">
        <f>"42"</f>
        <v>42</v>
      </c>
      <c r="Y44" t="str">
        <f>"999551414"</f>
        <v>999551414</v>
      </c>
      <c r="Z44" t="str">
        <f>""</f>
        <v/>
      </c>
      <c r="AA44" t="str">
        <f>""</f>
        <v/>
      </c>
      <c r="AB44" t="str">
        <f>""</f>
        <v/>
      </c>
      <c r="AC44" t="str">
        <f>""</f>
        <v/>
      </c>
      <c r="AD44" t="str">
        <f>""</f>
        <v/>
      </c>
      <c r="AE44" t="str">
        <f>""</f>
        <v/>
      </c>
      <c r="AF44" t="str">
        <f>""</f>
        <v/>
      </c>
      <c r="AG44" t="str">
        <f>""</f>
        <v/>
      </c>
      <c r="AH44" t="str">
        <f>""</f>
        <v/>
      </c>
      <c r="AI44" t="str">
        <f>""</f>
        <v/>
      </c>
      <c r="AJ44" t="str">
        <f>""</f>
        <v/>
      </c>
      <c r="AK44" t="str">
        <f>""</f>
        <v/>
      </c>
      <c r="AL44" t="str">
        <f>""</f>
        <v/>
      </c>
      <c r="AM44" t="str">
        <f>""</f>
        <v/>
      </c>
      <c r="AN44" t="str">
        <f>""</f>
        <v/>
      </c>
      <c r="AO44" t="str">
        <f>""</f>
        <v/>
      </c>
      <c r="AP44" t="str">
        <f>""</f>
        <v/>
      </c>
      <c r="AQ44" t="str">
        <f>""</f>
        <v/>
      </c>
      <c r="AR44" t="str">
        <f>""</f>
        <v/>
      </c>
      <c r="AS44" t="str">
        <f>""</f>
        <v/>
      </c>
      <c r="AT44" t="str">
        <f>""</f>
        <v/>
      </c>
      <c r="AU44" t="str">
        <f>""</f>
        <v/>
      </c>
      <c r="AV44" t="str">
        <f>""</f>
        <v/>
      </c>
      <c r="AW44" t="str">
        <f>""</f>
        <v/>
      </c>
      <c r="AX44" t="str">
        <f>""</f>
        <v/>
      </c>
      <c r="AY44" t="str">
        <f>""</f>
        <v/>
      </c>
      <c r="AZ44" t="str">
        <f>""</f>
        <v/>
      </c>
      <c r="BA44" t="str">
        <f>""</f>
        <v/>
      </c>
      <c r="BB44" t="str">
        <f>"06/07/2023 12:07:48"</f>
        <v>06/07/2023 12:07:48</v>
      </c>
      <c r="BC44" t="str">
        <f>""</f>
        <v/>
      </c>
      <c r="BD44" t="str">
        <f>""</f>
        <v/>
      </c>
      <c r="BE44" t="str">
        <f>""</f>
        <v/>
      </c>
      <c r="BF44" t="str">
        <f t="shared" si="6"/>
        <v>A</v>
      </c>
      <c r="BG44" t="str">
        <f>""</f>
        <v/>
      </c>
      <c r="BH44" t="str">
        <f>""</f>
        <v/>
      </c>
      <c r="BI44" t="str">
        <f t="shared" si="20"/>
        <v>EVENTUAL</v>
      </c>
      <c r="BJ44" t="str">
        <f t="shared" si="8"/>
        <v>1</v>
      </c>
      <c r="BK44" t="str">
        <f t="shared" si="9"/>
        <v>Farmacia</v>
      </c>
      <c r="BL44" t="str">
        <f>""</f>
        <v/>
      </c>
      <c r="BM44" t="str">
        <f>""</f>
        <v/>
      </c>
      <c r="BN44" t="str">
        <f>""</f>
        <v/>
      </c>
      <c r="BO44" t="str">
        <f>""</f>
        <v/>
      </c>
      <c r="BP44" t="str">
        <f>""</f>
        <v/>
      </c>
      <c r="BQ44" t="str">
        <f>""</f>
        <v/>
      </c>
      <c r="BR44" t="str">
        <f>"06/07/2023"</f>
        <v>06/07/2023</v>
      </c>
      <c r="BS44" t="str">
        <f>""</f>
        <v/>
      </c>
      <c r="BT44" t="str">
        <f>""</f>
        <v/>
      </c>
      <c r="BU44" t="str">
        <f>""</f>
        <v/>
      </c>
      <c r="BV44" t="str">
        <f>""</f>
        <v/>
      </c>
      <c r="BW44" t="str">
        <f>"Não visitado"</f>
        <v>Não visitado</v>
      </c>
    </row>
    <row r="45" spans="1:75" x14ac:dyDescent="0.35">
      <c r="A45">
        <v>144498</v>
      </c>
      <c r="B45" t="str">
        <f t="shared" si="0"/>
        <v>A</v>
      </c>
      <c r="C45" t="str">
        <f t="shared" si="1"/>
        <v>80</v>
      </c>
      <c r="D45" t="str">
        <f t="shared" si="2"/>
        <v>11121001</v>
      </c>
      <c r="E45" t="str">
        <f t="shared" si="3"/>
        <v>121001</v>
      </c>
      <c r="F45" t="str">
        <f t="shared" si="4"/>
        <v>JENIFER SANTOS</v>
      </c>
      <c r="G45" t="str">
        <f>"27921076000106"</f>
        <v>27921076000106</v>
      </c>
      <c r="H45" t="str">
        <f>""</f>
        <v/>
      </c>
      <c r="I45" t="str">
        <f t="shared" si="5"/>
        <v>CONTA OPTICA</v>
      </c>
      <c r="J45" t="str">
        <f>"CAROLINE FERREIRA JARDIM EIRELI"</f>
        <v>CAROLINE FERREIRA JARDIM EIRELI</v>
      </c>
      <c r="K45" t="str">
        <f>"OTICA CAROLINE (3908)"</f>
        <v>OTICA CAROLINE (3908)</v>
      </c>
      <c r="L45" t="str">
        <f>""</f>
        <v/>
      </c>
      <c r="M45" t="str">
        <f>""</f>
        <v/>
      </c>
      <c r="N45" t="str">
        <f>"carolineoticas@gmail.com"</f>
        <v>carolineoticas@gmail.com</v>
      </c>
      <c r="O45" t="str">
        <f>""</f>
        <v/>
      </c>
      <c r="P45" t="str">
        <f>"RUA DOUTOR JOAO COLIN"</f>
        <v>RUA DOUTOR JOAO COLIN</v>
      </c>
      <c r="Q45" t="str">
        <f>"2500"</f>
        <v>2500</v>
      </c>
      <c r="R45" t="str">
        <f>"LOJA 07"</f>
        <v>LOJA 07</v>
      </c>
      <c r="S45" t="str">
        <f>""</f>
        <v/>
      </c>
      <c r="T45" t="str">
        <f>"89204901"</f>
        <v>89204901</v>
      </c>
      <c r="U45" t="str">
        <f>"AMERICA"</f>
        <v>AMERICA</v>
      </c>
      <c r="V45" t="str">
        <f>"JOINVILLE"</f>
        <v>JOINVILLE</v>
      </c>
      <c r="W45" t="str">
        <f t="shared" si="21"/>
        <v>SC</v>
      </c>
      <c r="X45" t="str">
        <f>"47"</f>
        <v>47</v>
      </c>
      <c r="Y45" t="str">
        <f>"30139990"</f>
        <v>30139990</v>
      </c>
      <c r="Z45" t="str">
        <f>""</f>
        <v/>
      </c>
      <c r="AA45" t="str">
        <f>""</f>
        <v/>
      </c>
      <c r="AB45" t="str">
        <f>""</f>
        <v/>
      </c>
      <c r="AC45" t="str">
        <f>""</f>
        <v/>
      </c>
      <c r="AD45" t="str">
        <f>""</f>
        <v/>
      </c>
      <c r="AE45" t="str">
        <f>""</f>
        <v/>
      </c>
      <c r="AF45" t="str">
        <f>""</f>
        <v/>
      </c>
      <c r="AG45" t="str">
        <f>""</f>
        <v/>
      </c>
      <c r="AH45" t="str">
        <f>""</f>
        <v/>
      </c>
      <c r="AI45" t="str">
        <f>""</f>
        <v/>
      </c>
      <c r="AJ45" t="str">
        <f t="shared" ref="AJ45:AL46" si="22">"0"</f>
        <v>0</v>
      </c>
      <c r="AK45" t="str">
        <f t="shared" si="22"/>
        <v>0</v>
      </c>
      <c r="AL45" t="str">
        <f t="shared" si="22"/>
        <v>0</v>
      </c>
      <c r="AM45" t="str">
        <f>""</f>
        <v/>
      </c>
      <c r="AN45" t="str">
        <f>""</f>
        <v/>
      </c>
      <c r="AO45" t="str">
        <f>""</f>
        <v/>
      </c>
      <c r="AP45" t="str">
        <f>""</f>
        <v/>
      </c>
      <c r="AQ45" t="str">
        <f>""</f>
        <v/>
      </c>
      <c r="AR45" t="str">
        <f>""</f>
        <v/>
      </c>
      <c r="AS45" t="str">
        <f>""</f>
        <v/>
      </c>
      <c r="AT45" t="str">
        <f>""</f>
        <v/>
      </c>
      <c r="AU45" t="str">
        <f>""</f>
        <v/>
      </c>
      <c r="AV45" t="str">
        <f>""</f>
        <v/>
      </c>
      <c r="AW45" t="str">
        <f>""</f>
        <v/>
      </c>
      <c r="AX45" t="str">
        <f>""</f>
        <v/>
      </c>
      <c r="AY45" t="str">
        <f>""</f>
        <v/>
      </c>
      <c r="AZ45" t="str">
        <f>""</f>
        <v/>
      </c>
      <c r="BA45" t="str">
        <f>""</f>
        <v/>
      </c>
      <c r="BB45" t="str">
        <f>""</f>
        <v/>
      </c>
      <c r="BC45" t="str">
        <f>""</f>
        <v/>
      </c>
      <c r="BD45" t="str">
        <f>""</f>
        <v/>
      </c>
      <c r="BE45" t="str">
        <f>""</f>
        <v/>
      </c>
      <c r="BF45" t="str">
        <f t="shared" si="6"/>
        <v>A</v>
      </c>
      <c r="BG45" t="str">
        <f>"0,00"</f>
        <v>0,00</v>
      </c>
      <c r="BH45" t="str">
        <f>"0,00"</f>
        <v>0,00</v>
      </c>
      <c r="BI45" t="str">
        <f t="shared" si="20"/>
        <v>EVENTUAL</v>
      </c>
      <c r="BJ45" t="str">
        <f t="shared" si="8"/>
        <v>1</v>
      </c>
      <c r="BK45" t="str">
        <f t="shared" si="9"/>
        <v>Farmacia</v>
      </c>
      <c r="BL45" t="str">
        <f>""</f>
        <v/>
      </c>
      <c r="BM45" t="str">
        <f>"NÃO É VARILUX ESPECIALISTA"</f>
        <v>NÃO É VARILUX ESPECIALISTA</v>
      </c>
      <c r="BN45" t="str">
        <f>"EL360"</f>
        <v>EL360</v>
      </c>
      <c r="BO45" t="str">
        <f>"FOCO VARILUX DIGITAL"</f>
        <v>FOCO VARILUX DIGITAL</v>
      </c>
      <c r="BP45" t="str">
        <f>""</f>
        <v/>
      </c>
      <c r="BQ45" t="str">
        <f>""</f>
        <v/>
      </c>
      <c r="BR45" t="str">
        <f>""</f>
        <v/>
      </c>
      <c r="BS45" t="str">
        <f>""</f>
        <v/>
      </c>
      <c r="BT45" t="str">
        <f>""</f>
        <v/>
      </c>
      <c r="BU45" t="str">
        <f>""</f>
        <v/>
      </c>
      <c r="BV45" t="str">
        <f>"5"</f>
        <v>5</v>
      </c>
      <c r="BW45" t="str">
        <f>"2"</f>
        <v>2</v>
      </c>
    </row>
    <row r="46" spans="1:75" x14ac:dyDescent="0.35">
      <c r="A46">
        <v>144587</v>
      </c>
      <c r="B46" t="str">
        <f t="shared" si="0"/>
        <v>A</v>
      </c>
      <c r="C46" t="str">
        <f t="shared" si="1"/>
        <v>80</v>
      </c>
      <c r="D46" t="str">
        <f t="shared" si="2"/>
        <v>11121001</v>
      </c>
      <c r="E46" t="str">
        <f t="shared" si="3"/>
        <v>121001</v>
      </c>
      <c r="F46" t="str">
        <f t="shared" si="4"/>
        <v>JENIFER SANTOS</v>
      </c>
      <c r="G46" t="str">
        <f>"27921076000378"</f>
        <v>27921076000378</v>
      </c>
      <c r="H46" t="str">
        <f>""</f>
        <v/>
      </c>
      <c r="I46" t="str">
        <f t="shared" si="5"/>
        <v>CONTA OPTICA</v>
      </c>
      <c r="J46" t="str">
        <f>"CAROLINE FERREIRA JARDIM EIRELLI"</f>
        <v>CAROLINE FERREIRA JARDIM EIRELLI</v>
      </c>
      <c r="K46" t="str">
        <f>"OTICAS CAROLINE IRIRIU (4114)"</f>
        <v>OTICAS CAROLINE IRIRIU (4114)</v>
      </c>
      <c r="L46" t="str">
        <f>""</f>
        <v/>
      </c>
      <c r="M46" t="str">
        <f>""</f>
        <v/>
      </c>
      <c r="N46" t="str">
        <f>"oticascarolinefilial@gmail.com"</f>
        <v>oticascarolinefilial@gmail.com</v>
      </c>
      <c r="O46" t="str">
        <f>""</f>
        <v/>
      </c>
      <c r="P46" t="str">
        <f>"RUA GuaratinguetA"</f>
        <v>RUA GuaratinguetA</v>
      </c>
      <c r="Q46" t="str">
        <f>"875"</f>
        <v>875</v>
      </c>
      <c r="R46" t="str">
        <f>"SALA 02"</f>
        <v>SALA 02</v>
      </c>
      <c r="S46" t="str">
        <f>""</f>
        <v/>
      </c>
      <c r="T46" t="str">
        <f>"89227545"</f>
        <v>89227545</v>
      </c>
      <c r="U46" t="str">
        <f>"IRIRIU"</f>
        <v>IRIRIU</v>
      </c>
      <c r="V46" t="str">
        <f>"JOINVILLE"</f>
        <v>JOINVILLE</v>
      </c>
      <c r="W46" t="str">
        <f t="shared" si="21"/>
        <v>SC</v>
      </c>
      <c r="X46" t="str">
        <f>"47"</f>
        <v>47</v>
      </c>
      <c r="Y46" t="str">
        <f>"30283582"</f>
        <v>30283582</v>
      </c>
      <c r="Z46" t="str">
        <f>""</f>
        <v/>
      </c>
      <c r="AA46" t="str">
        <f>""</f>
        <v/>
      </c>
      <c r="AB46" t="str">
        <f>""</f>
        <v/>
      </c>
      <c r="AC46" t="str">
        <f>""</f>
        <v/>
      </c>
      <c r="AD46" t="str">
        <f>""</f>
        <v/>
      </c>
      <c r="AE46" t="str">
        <f>""</f>
        <v/>
      </c>
      <c r="AF46" t="str">
        <f>""</f>
        <v/>
      </c>
      <c r="AG46" t="str">
        <f>""</f>
        <v/>
      </c>
      <c r="AH46" t="str">
        <f>""</f>
        <v/>
      </c>
      <c r="AI46" t="str">
        <f>""</f>
        <v/>
      </c>
      <c r="AJ46" t="str">
        <f t="shared" si="22"/>
        <v>0</v>
      </c>
      <c r="AK46" t="str">
        <f t="shared" si="22"/>
        <v>0</v>
      </c>
      <c r="AL46" t="str">
        <f t="shared" si="22"/>
        <v>0</v>
      </c>
      <c r="AM46" t="str">
        <f>""</f>
        <v/>
      </c>
      <c r="AN46" t="str">
        <f>""</f>
        <v/>
      </c>
      <c r="AO46" t="str">
        <f>""</f>
        <v/>
      </c>
      <c r="AP46" t="str">
        <f>""</f>
        <v/>
      </c>
      <c r="AQ46" t="str">
        <f>""</f>
        <v/>
      </c>
      <c r="AR46" t="str">
        <f>""</f>
        <v/>
      </c>
      <c r="AS46" t="str">
        <f>""</f>
        <v/>
      </c>
      <c r="AT46" t="str">
        <f>""</f>
        <v/>
      </c>
      <c r="AU46" t="str">
        <f>""</f>
        <v/>
      </c>
      <c r="AV46" t="str">
        <f>""</f>
        <v/>
      </c>
      <c r="AW46" t="str">
        <f>""</f>
        <v/>
      </c>
      <c r="AX46" t="str">
        <f>""</f>
        <v/>
      </c>
      <c r="AY46" t="str">
        <f>""</f>
        <v/>
      </c>
      <c r="AZ46" t="str">
        <f>""</f>
        <v/>
      </c>
      <c r="BA46" t="str">
        <f>""</f>
        <v/>
      </c>
      <c r="BB46" t="str">
        <f>""</f>
        <v/>
      </c>
      <c r="BC46" t="str">
        <f>""</f>
        <v/>
      </c>
      <c r="BD46" t="str">
        <f>""</f>
        <v/>
      </c>
      <c r="BE46" t="str">
        <f>""</f>
        <v/>
      </c>
      <c r="BF46" t="str">
        <f t="shared" si="6"/>
        <v>A</v>
      </c>
      <c r="BG46" t="str">
        <f>"0,00"</f>
        <v>0,00</v>
      </c>
      <c r="BH46" t="str">
        <f>"0,00"</f>
        <v>0,00</v>
      </c>
      <c r="BI46" t="str">
        <f t="shared" si="20"/>
        <v>EVENTUAL</v>
      </c>
      <c r="BJ46" t="str">
        <f t="shared" si="8"/>
        <v>1</v>
      </c>
      <c r="BK46" t="str">
        <f t="shared" si="9"/>
        <v>Farmacia</v>
      </c>
      <c r="BL46" t="str">
        <f>""</f>
        <v/>
      </c>
      <c r="BM46" t="str">
        <f>"NÃO É VARILUX ESPECIALISTA"</f>
        <v>NÃO É VARILUX ESPECIALISTA</v>
      </c>
      <c r="BN46" t="str">
        <f>"NA"</f>
        <v>NA</v>
      </c>
      <c r="BO46" t="str">
        <f>"FOCO KODAK 2"</f>
        <v>FOCO KODAK 2</v>
      </c>
      <c r="BP46" t="str">
        <f>""</f>
        <v/>
      </c>
      <c r="BQ46" t="str">
        <f>""</f>
        <v/>
      </c>
      <c r="BR46" t="str">
        <f>""</f>
        <v/>
      </c>
      <c r="BS46" t="str">
        <f>""</f>
        <v/>
      </c>
      <c r="BT46" t="str">
        <f>""</f>
        <v/>
      </c>
      <c r="BU46" t="str">
        <f>""</f>
        <v/>
      </c>
      <c r="BV46" t="str">
        <f>"9"</f>
        <v>9</v>
      </c>
      <c r="BW46" t="str">
        <f>"80"</f>
        <v>80</v>
      </c>
    </row>
    <row r="47" spans="1:75" x14ac:dyDescent="0.35">
      <c r="A47">
        <v>144247</v>
      </c>
      <c r="B47" t="str">
        <f t="shared" si="0"/>
        <v>A</v>
      </c>
      <c r="C47" t="str">
        <f t="shared" si="1"/>
        <v>80</v>
      </c>
      <c r="D47" t="str">
        <f t="shared" si="2"/>
        <v>11121001</v>
      </c>
      <c r="E47" t="str">
        <f t="shared" si="3"/>
        <v>121001</v>
      </c>
      <c r="F47" t="str">
        <f t="shared" si="4"/>
        <v>JENIFER SANTOS</v>
      </c>
      <c r="G47" t="str">
        <f>"04319582000205"</f>
        <v>04319582000205</v>
      </c>
      <c r="H47" t="str">
        <f t="shared" ref="H47:H58" si="23">"0"</f>
        <v>0</v>
      </c>
      <c r="I47" t="str">
        <f t="shared" si="5"/>
        <v>CONTA OPTICA</v>
      </c>
      <c r="J47" t="str">
        <f>"CASA DOS OCULOS DE DJEYSON PEDROTTI LTDA"</f>
        <v>CASA DOS OCULOS DE DJEYSON PEDROTTI LTDA</v>
      </c>
      <c r="K47" t="str">
        <f>"CASA DOS OCULOS (4428)"</f>
        <v>CASA DOS OCULOS (4428)</v>
      </c>
      <c r="L47" t="str">
        <f>""</f>
        <v/>
      </c>
      <c r="M47" t="str">
        <f>""</f>
        <v/>
      </c>
      <c r="N47" t="str">
        <f>"FINANCEIRO.CASADOSOCULOS@OUTLOOK.COM"</f>
        <v>FINANCEIRO.CASADOSOCULOS@OUTLOOK.COM</v>
      </c>
      <c r="O47" t="str">
        <f>""</f>
        <v/>
      </c>
      <c r="P47" t="str">
        <f>"RUA DO COMÉRCIO"</f>
        <v>RUA DO COMÉRCIO</v>
      </c>
      <c r="Q47" t="str">
        <f>"9"</f>
        <v>9</v>
      </c>
      <c r="R47" t="str">
        <f>"LOJA 01"</f>
        <v>LOJA 01</v>
      </c>
      <c r="S47" t="str">
        <f>""</f>
        <v/>
      </c>
      <c r="T47" t="str">
        <f>"89700085"</f>
        <v>89700085</v>
      </c>
      <c r="U47" t="str">
        <f>"CENTRO"</f>
        <v>CENTRO</v>
      </c>
      <c r="V47" t="str">
        <f>"CONCORDIA"</f>
        <v>CONCORDIA</v>
      </c>
      <c r="W47" t="str">
        <f t="shared" si="21"/>
        <v>SC</v>
      </c>
      <c r="X47" t="str">
        <f>"49"</f>
        <v>49</v>
      </c>
      <c r="Y47" t="str">
        <f>"34427145"</f>
        <v>34427145</v>
      </c>
      <c r="Z47" t="str">
        <f>""</f>
        <v/>
      </c>
      <c r="AA47" t="str">
        <f>""</f>
        <v/>
      </c>
      <c r="AB47" t="str">
        <f>""</f>
        <v/>
      </c>
      <c r="AC47" t="str">
        <f>""</f>
        <v/>
      </c>
      <c r="AD47" t="str">
        <f>""</f>
        <v/>
      </c>
      <c r="AE47" t="str">
        <f>""</f>
        <v/>
      </c>
      <c r="AF47" t="str">
        <f>""</f>
        <v/>
      </c>
      <c r="AG47" t="str">
        <f>""</f>
        <v/>
      </c>
      <c r="AH47" t="str">
        <f>""</f>
        <v/>
      </c>
      <c r="AI47" t="str">
        <f>""</f>
        <v/>
      </c>
      <c r="AJ47" t="str">
        <f>""</f>
        <v/>
      </c>
      <c r="AK47" t="str">
        <f>""</f>
        <v/>
      </c>
      <c r="AL47" t="str">
        <f>""</f>
        <v/>
      </c>
      <c r="AM47" t="str">
        <f>""</f>
        <v/>
      </c>
      <c r="AN47" t="str">
        <f>""</f>
        <v/>
      </c>
      <c r="AO47" t="str">
        <f>""</f>
        <v/>
      </c>
      <c r="AP47" t="str">
        <f>""</f>
        <v/>
      </c>
      <c r="AQ47" t="str">
        <f>""</f>
        <v/>
      </c>
      <c r="AR47" t="str">
        <f>""</f>
        <v/>
      </c>
      <c r="AS47" t="str">
        <f>""</f>
        <v/>
      </c>
      <c r="AT47" t="str">
        <f>""</f>
        <v/>
      </c>
      <c r="AU47" t="str">
        <f>""</f>
        <v/>
      </c>
      <c r="AV47" t="str">
        <f>""</f>
        <v/>
      </c>
      <c r="AW47" t="str">
        <f>""</f>
        <v/>
      </c>
      <c r="AX47" t="str">
        <f>""</f>
        <v/>
      </c>
      <c r="AY47" t="str">
        <f>""</f>
        <v/>
      </c>
      <c r="AZ47" t="str">
        <f>""</f>
        <v/>
      </c>
      <c r="BA47" t="str">
        <f>""</f>
        <v/>
      </c>
      <c r="BB47" t="str">
        <f>"13/12/2021 15:10:29"</f>
        <v>13/12/2021 15:10:29</v>
      </c>
      <c r="BC47" t="str">
        <f>""</f>
        <v/>
      </c>
      <c r="BD47" t="str">
        <f>""</f>
        <v/>
      </c>
      <c r="BE47" t="str">
        <f>""</f>
        <v/>
      </c>
      <c r="BF47" t="str">
        <f t="shared" si="6"/>
        <v>A</v>
      </c>
      <c r="BG47" t="str">
        <f>""</f>
        <v/>
      </c>
      <c r="BH47" t="str">
        <f>""</f>
        <v/>
      </c>
      <c r="BI47" t="str">
        <f t="shared" si="20"/>
        <v>EVENTUAL</v>
      </c>
      <c r="BJ47" t="str">
        <f t="shared" si="8"/>
        <v>1</v>
      </c>
      <c r="BK47" t="str">
        <f t="shared" si="9"/>
        <v>Farmacia</v>
      </c>
      <c r="BL47" t="str">
        <f>""</f>
        <v/>
      </c>
      <c r="BM47" t="str">
        <f>"NÃO É VARILUX ESPECIALISTA"</f>
        <v>NÃO É VARILUX ESPECIALISTA</v>
      </c>
      <c r="BN47" t="str">
        <f>""</f>
        <v/>
      </c>
      <c r="BO47" t="str">
        <f>"FOCO VARILUX DIGITAL"</f>
        <v>FOCO VARILUX DIGITAL</v>
      </c>
      <c r="BP47" t="str">
        <f>""</f>
        <v/>
      </c>
      <c r="BQ47" t="str">
        <f>""</f>
        <v/>
      </c>
      <c r="BR47" t="str">
        <f>"13/12/2021"</f>
        <v>13/12/2021</v>
      </c>
      <c r="BS47" t="str">
        <f>""</f>
        <v/>
      </c>
      <c r="BT47" t="str">
        <f>""</f>
        <v/>
      </c>
      <c r="BU47" t="str">
        <f>""</f>
        <v/>
      </c>
      <c r="BV47" t="str">
        <f>""</f>
        <v/>
      </c>
      <c r="BW47" t="str">
        <f>"63"</f>
        <v>63</v>
      </c>
    </row>
    <row r="48" spans="1:75" x14ac:dyDescent="0.35">
      <c r="A48">
        <v>157518</v>
      </c>
      <c r="B48" t="str">
        <f t="shared" si="0"/>
        <v>A</v>
      </c>
      <c r="C48" t="str">
        <f t="shared" si="1"/>
        <v>80</v>
      </c>
      <c r="D48" t="str">
        <f t="shared" si="2"/>
        <v>11121001</v>
      </c>
      <c r="E48" t="str">
        <f t="shared" si="3"/>
        <v>121001</v>
      </c>
      <c r="F48" t="str">
        <f t="shared" si="4"/>
        <v>JENIFER SANTOS</v>
      </c>
      <c r="G48" t="str">
        <f>"04319582000396"</f>
        <v>04319582000396</v>
      </c>
      <c r="H48" t="str">
        <f t="shared" si="23"/>
        <v>0</v>
      </c>
      <c r="I48" t="str">
        <f t="shared" si="5"/>
        <v>CONTA OPTICA</v>
      </c>
      <c r="J48" t="str">
        <f>"CASA DOS OCULOS DE DJEYSON PEDROTTI LTDA"</f>
        <v>CASA DOS OCULOS DE DJEYSON PEDROTTI LTDA</v>
      </c>
      <c r="K48" t="str">
        <f>"CASA DOS OCULOS (4427)"</f>
        <v>CASA DOS OCULOS (4427)</v>
      </c>
      <c r="L48" t="str">
        <f>""</f>
        <v/>
      </c>
      <c r="M48" t="str">
        <f>""</f>
        <v/>
      </c>
      <c r="N48" t="str">
        <f>"FINANCEIRO.CASADOSOCULOS@OUTLOOK.COM"</f>
        <v>FINANCEIRO.CASADOSOCULOS@OUTLOOK.COM</v>
      </c>
      <c r="O48" t="str">
        <f>""</f>
        <v/>
      </c>
      <c r="P48" t="str">
        <f>"RUA MARECHAL DEODORO"</f>
        <v>RUA MARECHAL DEODORO</v>
      </c>
      <c r="Q48" t="str">
        <f>"772"</f>
        <v>772</v>
      </c>
      <c r="R48" t="str">
        <f>"SALA 02"</f>
        <v>SALA 02</v>
      </c>
      <c r="S48" t="str">
        <f>""</f>
        <v/>
      </c>
      <c r="T48" t="str">
        <f>"89700905"</f>
        <v>89700905</v>
      </c>
      <c r="U48" t="str">
        <f>"CENTRO"</f>
        <v>CENTRO</v>
      </c>
      <c r="V48" t="str">
        <f>"CONCORDIA"</f>
        <v>CONCORDIA</v>
      </c>
      <c r="W48" t="str">
        <f t="shared" si="21"/>
        <v>SC</v>
      </c>
      <c r="X48" t="str">
        <f>"49"</f>
        <v>49</v>
      </c>
      <c r="Y48" t="str">
        <f>"34448109"</f>
        <v>34448109</v>
      </c>
      <c r="Z48" t="str">
        <f>""</f>
        <v/>
      </c>
      <c r="AA48" t="str">
        <f>""</f>
        <v/>
      </c>
      <c r="AB48" t="str">
        <f>""</f>
        <v/>
      </c>
      <c r="AC48" t="str">
        <f>""</f>
        <v/>
      </c>
      <c r="AD48" t="str">
        <f>""</f>
        <v/>
      </c>
      <c r="AE48" t="str">
        <f>""</f>
        <v/>
      </c>
      <c r="AF48" t="str">
        <f>""</f>
        <v/>
      </c>
      <c r="AG48" t="str">
        <f>""</f>
        <v/>
      </c>
      <c r="AH48" t="str">
        <f>""</f>
        <v/>
      </c>
      <c r="AI48" t="str">
        <f>""</f>
        <v/>
      </c>
      <c r="AJ48" t="str">
        <f>""</f>
        <v/>
      </c>
      <c r="AK48" t="str">
        <f>""</f>
        <v/>
      </c>
      <c r="AL48" t="str">
        <f>""</f>
        <v/>
      </c>
      <c r="AM48" t="str">
        <f>""</f>
        <v/>
      </c>
      <c r="AN48" t="str">
        <f>""</f>
        <v/>
      </c>
      <c r="AO48" t="str">
        <f>""</f>
        <v/>
      </c>
      <c r="AP48" t="str">
        <f>""</f>
        <v/>
      </c>
      <c r="AQ48" t="str">
        <f>""</f>
        <v/>
      </c>
      <c r="AR48" t="str">
        <f>""</f>
        <v/>
      </c>
      <c r="AS48" t="str">
        <f>""</f>
        <v/>
      </c>
      <c r="AT48" t="str">
        <f>""</f>
        <v/>
      </c>
      <c r="AU48" t="str">
        <f>""</f>
        <v/>
      </c>
      <c r="AV48" t="str">
        <f>""</f>
        <v/>
      </c>
      <c r="AW48" t="str">
        <f>""</f>
        <v/>
      </c>
      <c r="AX48" t="str">
        <f>""</f>
        <v/>
      </c>
      <c r="AY48" t="str">
        <f>""</f>
        <v/>
      </c>
      <c r="AZ48" t="str">
        <f>""</f>
        <v/>
      </c>
      <c r="BA48" t="str">
        <f>""</f>
        <v/>
      </c>
      <c r="BB48" t="str">
        <f>"11/07/2023 02:14:29"</f>
        <v>11/07/2023 02:14:29</v>
      </c>
      <c r="BC48" t="str">
        <f>""</f>
        <v/>
      </c>
      <c r="BD48" t="str">
        <f>""</f>
        <v/>
      </c>
      <c r="BE48" t="str">
        <f>""</f>
        <v/>
      </c>
      <c r="BF48" t="str">
        <f t="shared" si="6"/>
        <v>A</v>
      </c>
      <c r="BG48" t="str">
        <f>""</f>
        <v/>
      </c>
      <c r="BH48" t="str">
        <f>""</f>
        <v/>
      </c>
      <c r="BI48" t="str">
        <f t="shared" si="20"/>
        <v>EVENTUAL</v>
      </c>
      <c r="BJ48" t="str">
        <f t="shared" si="8"/>
        <v>1</v>
      </c>
      <c r="BK48" t="str">
        <f t="shared" si="9"/>
        <v>Farmacia</v>
      </c>
      <c r="BL48" t="str">
        <f>""</f>
        <v/>
      </c>
      <c r="BM48" t="str">
        <f>""</f>
        <v/>
      </c>
      <c r="BN48" t="str">
        <f>""</f>
        <v/>
      </c>
      <c r="BO48" t="str">
        <f>""</f>
        <v/>
      </c>
      <c r="BP48" t="str">
        <f>""</f>
        <v/>
      </c>
      <c r="BQ48" t="str">
        <f>""</f>
        <v/>
      </c>
      <c r="BR48" t="str">
        <f>"11/07/2023"</f>
        <v>11/07/2023</v>
      </c>
      <c r="BS48" t="str">
        <f>""</f>
        <v/>
      </c>
      <c r="BT48" t="str">
        <f>""</f>
        <v/>
      </c>
      <c r="BU48" t="str">
        <f>""</f>
        <v/>
      </c>
      <c r="BV48" t="str">
        <f>""</f>
        <v/>
      </c>
      <c r="BW48" t="str">
        <f>"63"</f>
        <v>63</v>
      </c>
    </row>
    <row r="49" spans="1:75" x14ac:dyDescent="0.35">
      <c r="A49">
        <v>120428</v>
      </c>
      <c r="B49" t="str">
        <f t="shared" si="0"/>
        <v>A</v>
      </c>
      <c r="C49" t="str">
        <f t="shared" si="1"/>
        <v>80</v>
      </c>
      <c r="D49" t="str">
        <f t="shared" si="2"/>
        <v>11121001</v>
      </c>
      <c r="E49" t="str">
        <f t="shared" si="3"/>
        <v>121001</v>
      </c>
      <c r="F49" t="str">
        <f t="shared" si="4"/>
        <v>JENIFER SANTOS</v>
      </c>
      <c r="G49" t="str">
        <f>"04319582000124"</f>
        <v>04319582000124</v>
      </c>
      <c r="H49" t="str">
        <f t="shared" si="23"/>
        <v>0</v>
      </c>
      <c r="I49" t="str">
        <f t="shared" si="5"/>
        <v>CONTA OPTICA</v>
      </c>
      <c r="J49" t="str">
        <f>"CASA DOS OCULOS DJEYSON PEDROTTI LTDA ME"</f>
        <v>CASA DOS OCULOS DJEYSON PEDROTTI LTDA ME</v>
      </c>
      <c r="K49" t="str">
        <f>"CASA DOS OCULOS DJEYSON PEDROTTI LTDA ME (761)"</f>
        <v>CASA DOS OCULOS DJEYSON PEDROTTI LTDA ME (761)</v>
      </c>
      <c r="L49" t="str">
        <f>""</f>
        <v/>
      </c>
      <c r="M49" t="str">
        <f>""</f>
        <v/>
      </c>
      <c r="N49" t="str">
        <f>""</f>
        <v/>
      </c>
      <c r="O49" t="str">
        <f>""</f>
        <v/>
      </c>
      <c r="P49" t="str">
        <f>"RUA MARECHAL DEODORO"</f>
        <v>RUA MARECHAL DEODORO</v>
      </c>
      <c r="Q49" t="str">
        <f>"968"</f>
        <v>968</v>
      </c>
      <c r="R49" t="str">
        <f>"SALA 03"</f>
        <v>SALA 03</v>
      </c>
      <c r="S49" t="str">
        <f>"1286"</f>
        <v>1286</v>
      </c>
      <c r="T49" t="str">
        <f>"89700000"</f>
        <v>89700000</v>
      </c>
      <c r="U49" t="str">
        <f>"CENTRO"</f>
        <v>CENTRO</v>
      </c>
      <c r="V49" t="str">
        <f>"CONCORDIA"</f>
        <v>CONCORDIA</v>
      </c>
      <c r="W49" t="str">
        <f t="shared" si="21"/>
        <v>SC</v>
      </c>
      <c r="X49" t="str">
        <f>"49"</f>
        <v>49</v>
      </c>
      <c r="Y49" t="str">
        <f>"34422501"</f>
        <v>34422501</v>
      </c>
      <c r="Z49" t="str">
        <f>""</f>
        <v/>
      </c>
      <c r="AA49" t="str">
        <f>""</f>
        <v/>
      </c>
      <c r="AB49" t="str">
        <f>""</f>
        <v/>
      </c>
      <c r="AC49" t="str">
        <f>""</f>
        <v/>
      </c>
      <c r="AD49" t="str">
        <f>""</f>
        <v/>
      </c>
      <c r="AE49" t="str">
        <f>""</f>
        <v/>
      </c>
      <c r="AF49" t="str">
        <f>""</f>
        <v/>
      </c>
      <c r="AG49" t="str">
        <f>""</f>
        <v/>
      </c>
      <c r="AH49" t="str">
        <f>""</f>
        <v/>
      </c>
      <c r="AI49" t="str">
        <f>""</f>
        <v/>
      </c>
      <c r="AJ49" t="str">
        <f>"0"</f>
        <v>0</v>
      </c>
      <c r="AK49" t="str">
        <f>"0"</f>
        <v>0</v>
      </c>
      <c r="AL49" t="str">
        <f>"0"</f>
        <v>0</v>
      </c>
      <c r="AM49" t="str">
        <f>""</f>
        <v/>
      </c>
      <c r="AN49" t="str">
        <f>""</f>
        <v/>
      </c>
      <c r="AO49" t="str">
        <f>""</f>
        <v/>
      </c>
      <c r="AP49" t="str">
        <f>""</f>
        <v/>
      </c>
      <c r="AQ49" t="str">
        <f>""</f>
        <v/>
      </c>
      <c r="AR49" t="str">
        <f>""</f>
        <v/>
      </c>
      <c r="AS49" t="str">
        <f>""</f>
        <v/>
      </c>
      <c r="AT49" t="str">
        <f>""</f>
        <v/>
      </c>
      <c r="AU49" t="str">
        <f>""</f>
        <v/>
      </c>
      <c r="AV49" t="str">
        <f>""</f>
        <v/>
      </c>
      <c r="AW49" t="str">
        <f>""</f>
        <v/>
      </c>
      <c r="AX49" t="str">
        <f>""</f>
        <v/>
      </c>
      <c r="AY49" t="str">
        <f>""</f>
        <v/>
      </c>
      <c r="AZ49" t="str">
        <f>""</f>
        <v/>
      </c>
      <c r="BA49" t="str">
        <f>""</f>
        <v/>
      </c>
      <c r="BB49" t="str">
        <f>"18/09/2020 22:12:34"</f>
        <v>18/09/2020 22:12:34</v>
      </c>
      <c r="BC49" t="str">
        <f>""</f>
        <v/>
      </c>
      <c r="BD49" t="str">
        <f>""</f>
        <v/>
      </c>
      <c r="BE49" t="str">
        <f>""</f>
        <v/>
      </c>
      <c r="BF49" t="str">
        <f t="shared" si="6"/>
        <v>A</v>
      </c>
      <c r="BG49" t="str">
        <f>"0,00"</f>
        <v>0,00</v>
      </c>
      <c r="BH49" t="str">
        <f>"0,00"</f>
        <v>0,00</v>
      </c>
      <c r="BI49" t="str">
        <f t="shared" si="20"/>
        <v>EVENTUAL</v>
      </c>
      <c r="BJ49" t="str">
        <f t="shared" si="8"/>
        <v>1</v>
      </c>
      <c r="BK49" t="str">
        <f t="shared" si="9"/>
        <v>Farmacia</v>
      </c>
      <c r="BL49" t="str">
        <f>""</f>
        <v/>
      </c>
      <c r="BM49" t="str">
        <f>"NÃO É VARILUX ESPECIALISTA"</f>
        <v>NÃO É VARILUX ESPECIALISTA</v>
      </c>
      <c r="BN49" t="str">
        <f>"NA"</f>
        <v>NA</v>
      </c>
      <c r="BO49" t="str">
        <f>"FOCO VARILUX DIGITAL"</f>
        <v>FOCO VARILUX DIGITAL</v>
      </c>
      <c r="BP49" t="str">
        <f>""</f>
        <v/>
      </c>
      <c r="BQ49" t="str">
        <f>""</f>
        <v/>
      </c>
      <c r="BR49" t="str">
        <f>"18/09/2020"</f>
        <v>18/09/2020</v>
      </c>
      <c r="BS49" t="str">
        <f>""</f>
        <v/>
      </c>
      <c r="BT49" t="str">
        <f>""</f>
        <v/>
      </c>
      <c r="BU49" t="str">
        <f>""</f>
        <v/>
      </c>
      <c r="BV49" t="str">
        <f>"1"</f>
        <v>1</v>
      </c>
      <c r="BW49" t="str">
        <f>"63"</f>
        <v>63</v>
      </c>
    </row>
    <row r="50" spans="1:75" x14ac:dyDescent="0.35">
      <c r="A50">
        <v>137973</v>
      </c>
      <c r="B50" t="str">
        <f t="shared" si="0"/>
        <v>A</v>
      </c>
      <c r="C50" t="str">
        <f t="shared" si="1"/>
        <v>80</v>
      </c>
      <c r="D50" t="str">
        <f t="shared" si="2"/>
        <v>11121001</v>
      </c>
      <c r="E50" t="str">
        <f t="shared" si="3"/>
        <v>121001</v>
      </c>
      <c r="F50" t="str">
        <f t="shared" si="4"/>
        <v>JENIFER SANTOS</v>
      </c>
      <c r="G50" t="str">
        <f>"86757135000111"</f>
        <v>86757135000111</v>
      </c>
      <c r="H50" t="str">
        <f t="shared" si="23"/>
        <v>0</v>
      </c>
      <c r="I50" t="str">
        <f t="shared" si="5"/>
        <v>CONTA OPTICA</v>
      </c>
      <c r="J50" t="str">
        <f>"CASSIO BELLEBONI ME"</f>
        <v>CASSIO BELLEBONI ME</v>
      </c>
      <c r="K50" t="str">
        <f>"OTICA PRECISAO (694)"</f>
        <v>OTICA PRECISAO (694)</v>
      </c>
      <c r="L50" t="str">
        <f>""</f>
        <v/>
      </c>
      <c r="M50" t="str">
        <f>""</f>
        <v/>
      </c>
      <c r="N50" t="str">
        <f>"poliana@bwrcontabil.com.br"</f>
        <v>poliana@bwrcontabil.com.br</v>
      </c>
      <c r="O50" t="str">
        <f>""</f>
        <v/>
      </c>
      <c r="P50" t="str">
        <f>"AVENIDA BARAO DO RIO BRANCO"</f>
        <v>AVENIDA BARAO DO RIO BRANCO</v>
      </c>
      <c r="Q50" t="str">
        <f>"474"</f>
        <v>474</v>
      </c>
      <c r="R50" t="str">
        <f>""</f>
        <v/>
      </c>
      <c r="S50" t="str">
        <f>""</f>
        <v/>
      </c>
      <c r="T50" t="str">
        <f>"89500145"</f>
        <v>89500145</v>
      </c>
      <c r="U50" t="str">
        <f>"CENTRO"</f>
        <v>CENTRO</v>
      </c>
      <c r="V50" t="str">
        <f>"CAÇADOR"</f>
        <v>CAÇADOR</v>
      </c>
      <c r="W50" t="str">
        <f t="shared" si="21"/>
        <v>SC</v>
      </c>
      <c r="X50" t="str">
        <f>"49"</f>
        <v>49</v>
      </c>
      <c r="Y50" t="str">
        <f>"35631172"</f>
        <v>35631172</v>
      </c>
      <c r="Z50" t="str">
        <f>""</f>
        <v/>
      </c>
      <c r="AA50" t="str">
        <f>""</f>
        <v/>
      </c>
      <c r="AB50" t="str">
        <f>""</f>
        <v/>
      </c>
      <c r="AC50" t="str">
        <f>""</f>
        <v/>
      </c>
      <c r="AD50" t="str">
        <f>""</f>
        <v/>
      </c>
      <c r="AE50" t="str">
        <f>""</f>
        <v/>
      </c>
      <c r="AF50" t="str">
        <f>""</f>
        <v/>
      </c>
      <c r="AG50" t="str">
        <f>"S"</f>
        <v>S</v>
      </c>
      <c r="AH50" t="str">
        <f>""</f>
        <v/>
      </c>
      <c r="AI50" t="str">
        <f>""</f>
        <v/>
      </c>
      <c r="AJ50" t="str">
        <f>""</f>
        <v/>
      </c>
      <c r="AK50" t="str">
        <f>""</f>
        <v/>
      </c>
      <c r="AL50" t="str">
        <f>""</f>
        <v/>
      </c>
      <c r="AM50" t="str">
        <f>""</f>
        <v/>
      </c>
      <c r="AN50" t="str">
        <f>""</f>
        <v/>
      </c>
      <c r="AO50" t="str">
        <f>""</f>
        <v/>
      </c>
      <c r="AP50" t="str">
        <f>""</f>
        <v/>
      </c>
      <c r="AQ50" t="str">
        <f>"N"</f>
        <v>N</v>
      </c>
      <c r="AR50" t="str">
        <f>"N"</f>
        <v>N</v>
      </c>
      <c r="AS50" t="str">
        <f>"N"</f>
        <v>N</v>
      </c>
      <c r="AT50" t="str">
        <f>"N"</f>
        <v>N</v>
      </c>
      <c r="AU50" t="str">
        <f>"N"</f>
        <v>N</v>
      </c>
      <c r="AV50" t="str">
        <f>""</f>
        <v/>
      </c>
      <c r="AW50" t="str">
        <f>""</f>
        <v/>
      </c>
      <c r="AX50" t="str">
        <f>""</f>
        <v/>
      </c>
      <c r="AY50" t="str">
        <f>""</f>
        <v/>
      </c>
      <c r="AZ50" t="str">
        <f>""</f>
        <v/>
      </c>
      <c r="BA50" t="str">
        <f>""</f>
        <v/>
      </c>
      <c r="BB50" t="str">
        <f>"01/07/2021 13:53:04"</f>
        <v>01/07/2021 13:53:04</v>
      </c>
      <c r="BC50" t="str">
        <f>"17/06/2022 09:54:37"</f>
        <v>17/06/2022 09:54:37</v>
      </c>
      <c r="BD50" t="str">
        <f>""</f>
        <v/>
      </c>
      <c r="BE50" t="str">
        <f>""</f>
        <v/>
      </c>
      <c r="BF50" t="str">
        <f t="shared" si="6"/>
        <v>A</v>
      </c>
      <c r="BG50" t="str">
        <f>""</f>
        <v/>
      </c>
      <c r="BH50" t="str">
        <f>"0,00"</f>
        <v>0,00</v>
      </c>
      <c r="BI50" t="str">
        <f t="shared" si="20"/>
        <v>EVENTUAL</v>
      </c>
      <c r="BJ50" t="str">
        <f t="shared" si="8"/>
        <v>1</v>
      </c>
      <c r="BK50" t="str">
        <f t="shared" si="9"/>
        <v>Farmacia</v>
      </c>
      <c r="BL50" t="str">
        <f>""</f>
        <v/>
      </c>
      <c r="BM50" t="str">
        <f>"VARILUX ESPECIALISTA PLATINE"</f>
        <v>VARILUX ESPECIALISTA PLATINE</v>
      </c>
      <c r="BN50" t="str">
        <f>"NA"</f>
        <v>NA</v>
      </c>
      <c r="BO50" t="str">
        <f>"FOCO VARILUX DIGITAL"</f>
        <v>FOCO VARILUX DIGITAL</v>
      </c>
      <c r="BP50" t="str">
        <f>""</f>
        <v/>
      </c>
      <c r="BQ50" t="str">
        <f>""</f>
        <v/>
      </c>
      <c r="BR50" t="str">
        <f>"01/07/2021"</f>
        <v>01/07/2021</v>
      </c>
      <c r="BS50" t="str">
        <f>"17/06/2022"</f>
        <v>17/06/2022</v>
      </c>
      <c r="BT50" t="str">
        <f>""</f>
        <v/>
      </c>
      <c r="BU50" t="str">
        <f>""</f>
        <v/>
      </c>
      <c r="BV50" t="str">
        <f>""</f>
        <v/>
      </c>
      <c r="BW50" t="str">
        <f>"Não visitado"</f>
        <v>Não visitado</v>
      </c>
    </row>
    <row r="51" spans="1:75" x14ac:dyDescent="0.35">
      <c r="A51">
        <v>157548</v>
      </c>
      <c r="B51" t="str">
        <f t="shared" si="0"/>
        <v>A</v>
      </c>
      <c r="C51" t="str">
        <f t="shared" si="1"/>
        <v>80</v>
      </c>
      <c r="D51" t="str">
        <f t="shared" si="2"/>
        <v>11121001</v>
      </c>
      <c r="E51" t="str">
        <f t="shared" si="3"/>
        <v>121001</v>
      </c>
      <c r="F51" t="str">
        <f t="shared" si="4"/>
        <v>JENIFER SANTOS</v>
      </c>
      <c r="G51" t="str">
        <f>"01803886000840"</f>
        <v>01803886000840</v>
      </c>
      <c r="H51" t="str">
        <f t="shared" si="23"/>
        <v>0</v>
      </c>
      <c r="I51" t="str">
        <f t="shared" si="5"/>
        <v>CONTA OPTICA</v>
      </c>
      <c r="J51" t="str">
        <f>"CENTRO INTEGRADO DE ARTIGOS LTDA"</f>
        <v>CENTRO INTEGRADO DE ARTIGOS LTDA</v>
      </c>
      <c r="K51" t="str">
        <f>"OTICAS PRECISAO  (1977)"</f>
        <v>OTICAS PRECISAO  (1977)</v>
      </c>
      <c r="L51" t="str">
        <f>""</f>
        <v/>
      </c>
      <c r="M51" t="str">
        <f>""</f>
        <v/>
      </c>
      <c r="N51" t="str">
        <f>"CLAUDECIRPICCOLI@HOTMAIL.COM"</f>
        <v>CLAUDECIRPICCOLI@HOTMAIL.COM</v>
      </c>
      <c r="O51" t="str">
        <f>""</f>
        <v/>
      </c>
      <c r="P51" t="str">
        <f>"GETULIO DORNELES VARGAS"</f>
        <v>GETULIO DORNELES VARGAS</v>
      </c>
      <c r="Q51" t="str">
        <f>"#VALUE!"</f>
        <v>#VALUE!</v>
      </c>
      <c r="R51" t="str">
        <f>"ESQ R FLORIAN"</f>
        <v>ESQ R FLORIAN</v>
      </c>
      <c r="S51" t="str">
        <f>"1287"</f>
        <v>1287</v>
      </c>
      <c r="T51" t="str">
        <f>"89802101"</f>
        <v>89802101</v>
      </c>
      <c r="U51" t="str">
        <f>"JARDIM ITALIA"</f>
        <v>JARDIM ITALIA</v>
      </c>
      <c r="V51" t="str">
        <f>"CHAPECO"</f>
        <v>CHAPECO</v>
      </c>
      <c r="W51" t="str">
        <f t="shared" si="21"/>
        <v>SC</v>
      </c>
      <c r="X51" t="str">
        <f>"49"</f>
        <v>49</v>
      </c>
      <c r="Y51" t="str">
        <f>"33221299"</f>
        <v>33221299</v>
      </c>
      <c r="Z51" t="str">
        <f>""</f>
        <v/>
      </c>
      <c r="AA51" t="str">
        <f>""</f>
        <v/>
      </c>
      <c r="AB51" t="str">
        <f>""</f>
        <v/>
      </c>
      <c r="AC51" t="str">
        <f>""</f>
        <v/>
      </c>
      <c r="AD51" t="str">
        <f>""</f>
        <v/>
      </c>
      <c r="AE51" t="str">
        <f>""</f>
        <v/>
      </c>
      <c r="AF51" t="str">
        <f>""</f>
        <v/>
      </c>
      <c r="AG51" t="str">
        <f>""</f>
        <v/>
      </c>
      <c r="AH51" t="str">
        <f>""</f>
        <v/>
      </c>
      <c r="AI51" t="str">
        <f>""</f>
        <v/>
      </c>
      <c r="AJ51" t="str">
        <f>""</f>
        <v/>
      </c>
      <c r="AK51" t="str">
        <f>""</f>
        <v/>
      </c>
      <c r="AL51" t="str">
        <f>""</f>
        <v/>
      </c>
      <c r="AM51" t="str">
        <f>""</f>
        <v/>
      </c>
      <c r="AN51" t="str">
        <f>""</f>
        <v/>
      </c>
      <c r="AO51" t="str">
        <f>""</f>
        <v/>
      </c>
      <c r="AP51" t="str">
        <f>""</f>
        <v/>
      </c>
      <c r="AQ51" t="str">
        <f>""</f>
        <v/>
      </c>
      <c r="AR51" t="str">
        <f>""</f>
        <v/>
      </c>
      <c r="AS51" t="str">
        <f>""</f>
        <v/>
      </c>
      <c r="AT51" t="str">
        <f>""</f>
        <v/>
      </c>
      <c r="AU51" t="str">
        <f>""</f>
        <v/>
      </c>
      <c r="AV51" t="str">
        <f>""</f>
        <v/>
      </c>
      <c r="AW51" t="str">
        <f>""</f>
        <v/>
      </c>
      <c r="AX51" t="str">
        <f>""</f>
        <v/>
      </c>
      <c r="AY51" t="str">
        <f>""</f>
        <v/>
      </c>
      <c r="AZ51" t="str">
        <f>""</f>
        <v/>
      </c>
      <c r="BA51" t="str">
        <f>""</f>
        <v/>
      </c>
      <c r="BB51" t="str">
        <f>"11/07/2023 02:14:29"</f>
        <v>11/07/2023 02:14:29</v>
      </c>
      <c r="BC51" t="str">
        <f>""</f>
        <v/>
      </c>
      <c r="BD51" t="str">
        <f>""</f>
        <v/>
      </c>
      <c r="BE51" t="str">
        <f>""</f>
        <v/>
      </c>
      <c r="BF51" t="str">
        <f t="shared" si="6"/>
        <v>A</v>
      </c>
      <c r="BG51" t="str">
        <f>""</f>
        <v/>
      </c>
      <c r="BH51" t="str">
        <f>""</f>
        <v/>
      </c>
      <c r="BI51" t="str">
        <f t="shared" si="20"/>
        <v>EVENTUAL</v>
      </c>
      <c r="BJ51" t="str">
        <f t="shared" si="8"/>
        <v>1</v>
      </c>
      <c r="BK51" t="str">
        <f t="shared" si="9"/>
        <v>Farmacia</v>
      </c>
      <c r="BL51" t="str">
        <f>""</f>
        <v/>
      </c>
      <c r="BM51" t="str">
        <f>""</f>
        <v/>
      </c>
      <c r="BN51" t="str">
        <f>""</f>
        <v/>
      </c>
      <c r="BO51" t="str">
        <f>""</f>
        <v/>
      </c>
      <c r="BP51" t="str">
        <f>""</f>
        <v/>
      </c>
      <c r="BQ51" t="str">
        <f>""</f>
        <v/>
      </c>
      <c r="BR51" t="str">
        <f>"11/07/2023"</f>
        <v>11/07/2023</v>
      </c>
      <c r="BS51" t="str">
        <f>""</f>
        <v/>
      </c>
      <c r="BT51" t="str">
        <f>""</f>
        <v/>
      </c>
      <c r="BU51" t="str">
        <f>""</f>
        <v/>
      </c>
      <c r="BV51" t="str">
        <f>""</f>
        <v/>
      </c>
      <c r="BW51" t="str">
        <f>"Não visitado"</f>
        <v>Não visitado</v>
      </c>
    </row>
    <row r="52" spans="1:75" x14ac:dyDescent="0.35">
      <c r="A52">
        <v>156706</v>
      </c>
      <c r="B52" t="str">
        <f t="shared" si="0"/>
        <v>A</v>
      </c>
      <c r="C52" t="str">
        <f t="shared" si="1"/>
        <v>80</v>
      </c>
      <c r="D52" t="str">
        <f t="shared" si="2"/>
        <v>11121001</v>
      </c>
      <c r="E52" t="str">
        <f t="shared" si="3"/>
        <v>121001</v>
      </c>
      <c r="F52" t="str">
        <f t="shared" si="4"/>
        <v>JENIFER SANTOS</v>
      </c>
      <c r="G52" t="str">
        <f>"04139570000118"</f>
        <v>04139570000118</v>
      </c>
      <c r="H52" t="str">
        <f t="shared" si="23"/>
        <v>0</v>
      </c>
      <c r="I52" t="str">
        <f t="shared" si="5"/>
        <v>CONTA OPTICA</v>
      </c>
      <c r="J52" t="str">
        <f>"CENTRO OPTICO BRILHANTE LTDA ME"</f>
        <v>CENTRO OPTICO BRILHANTE LTDA ME</v>
      </c>
      <c r="K52" t="str">
        <f>"OTICA BRILHANTE (1154)"</f>
        <v>OTICA BRILHANTE (1154)</v>
      </c>
      <c r="L52" t="str">
        <f>""</f>
        <v/>
      </c>
      <c r="M52" t="str">
        <f>""</f>
        <v/>
      </c>
      <c r="N52" t="str">
        <f>"OT.BRILHANTE@GMAIL.COM"</f>
        <v>OT.BRILHANTE@GMAIL.COM</v>
      </c>
      <c r="O52" t="str">
        <f>""</f>
        <v/>
      </c>
      <c r="P52" t="str">
        <f>"RUA ABDON BATISTA"</f>
        <v>RUA ABDON BATISTA</v>
      </c>
      <c r="Q52" t="str">
        <f>"190"</f>
        <v>190</v>
      </c>
      <c r="R52" t="str">
        <f>"SALA 03"</f>
        <v>SALA 03</v>
      </c>
      <c r="S52" t="str">
        <f>"1277"</f>
        <v>1277</v>
      </c>
      <c r="T52" t="str">
        <f>"89201010"</f>
        <v>89201010</v>
      </c>
      <c r="U52" t="str">
        <f>"CENTRO"</f>
        <v>CENTRO</v>
      </c>
      <c r="V52" t="str">
        <f>"JOINVILLE"</f>
        <v>JOINVILLE</v>
      </c>
      <c r="W52" t="str">
        <f t="shared" si="21"/>
        <v>SC</v>
      </c>
      <c r="X52" t="str">
        <f>"47"</f>
        <v>47</v>
      </c>
      <c r="Y52" t="str">
        <f>"34338494"</f>
        <v>34338494</v>
      </c>
      <c r="Z52" t="str">
        <f>""</f>
        <v/>
      </c>
      <c r="AA52" t="str">
        <f>""</f>
        <v/>
      </c>
      <c r="AB52" t="str">
        <f>""</f>
        <v/>
      </c>
      <c r="AC52" t="str">
        <f>""</f>
        <v/>
      </c>
      <c r="AD52" t="str">
        <f>""</f>
        <v/>
      </c>
      <c r="AE52" t="str">
        <f>""</f>
        <v/>
      </c>
      <c r="AF52" t="str">
        <f>""</f>
        <v/>
      </c>
      <c r="AG52" t="str">
        <f>""</f>
        <v/>
      </c>
      <c r="AH52" t="str">
        <f>""</f>
        <v/>
      </c>
      <c r="AI52" t="str">
        <f>""</f>
        <v/>
      </c>
      <c r="AJ52" t="str">
        <f>""</f>
        <v/>
      </c>
      <c r="AK52" t="str">
        <f>""</f>
        <v/>
      </c>
      <c r="AL52" t="str">
        <f>""</f>
        <v/>
      </c>
      <c r="AM52" t="str">
        <f>""</f>
        <v/>
      </c>
      <c r="AN52" t="str">
        <f>""</f>
        <v/>
      </c>
      <c r="AO52" t="str">
        <f>""</f>
        <v/>
      </c>
      <c r="AP52" t="str">
        <f>""</f>
        <v/>
      </c>
      <c r="AQ52" t="str">
        <f>""</f>
        <v/>
      </c>
      <c r="AR52" t="str">
        <f>""</f>
        <v/>
      </c>
      <c r="AS52" t="str">
        <f>""</f>
        <v/>
      </c>
      <c r="AT52" t="str">
        <f>""</f>
        <v/>
      </c>
      <c r="AU52" t="str">
        <f>""</f>
        <v/>
      </c>
      <c r="AV52" t="str">
        <f>""</f>
        <v/>
      </c>
      <c r="AW52" t="str">
        <f>""</f>
        <v/>
      </c>
      <c r="AX52" t="str">
        <f>""</f>
        <v/>
      </c>
      <c r="AY52" t="str">
        <f>""</f>
        <v/>
      </c>
      <c r="AZ52" t="str">
        <f>""</f>
        <v/>
      </c>
      <c r="BA52" t="str">
        <f>""</f>
        <v/>
      </c>
      <c r="BB52" t="str">
        <f>"06/07/2023 11:06:18"</f>
        <v>06/07/2023 11:06:18</v>
      </c>
      <c r="BC52" t="str">
        <f>""</f>
        <v/>
      </c>
      <c r="BD52" t="str">
        <f>""</f>
        <v/>
      </c>
      <c r="BE52" t="str">
        <f>""</f>
        <v/>
      </c>
      <c r="BF52" t="str">
        <f t="shared" si="6"/>
        <v>A</v>
      </c>
      <c r="BG52" t="str">
        <f>""</f>
        <v/>
      </c>
      <c r="BH52" t="str">
        <f>""</f>
        <v/>
      </c>
      <c r="BI52" t="str">
        <f t="shared" si="20"/>
        <v>EVENTUAL</v>
      </c>
      <c r="BJ52" t="str">
        <f t="shared" si="8"/>
        <v>1</v>
      </c>
      <c r="BK52" t="str">
        <f t="shared" si="9"/>
        <v>Farmacia</v>
      </c>
      <c r="BL52" t="str">
        <f>""</f>
        <v/>
      </c>
      <c r="BM52" t="str">
        <f>""</f>
        <v/>
      </c>
      <c r="BN52" t="str">
        <f>""</f>
        <v/>
      </c>
      <c r="BO52" t="str">
        <f>""</f>
        <v/>
      </c>
      <c r="BP52" t="str">
        <f>""</f>
        <v/>
      </c>
      <c r="BQ52" t="str">
        <f>""</f>
        <v/>
      </c>
      <c r="BR52" t="str">
        <f>"06/07/2023"</f>
        <v>06/07/2023</v>
      </c>
      <c r="BS52" t="str">
        <f>""</f>
        <v/>
      </c>
      <c r="BT52" t="str">
        <f>""</f>
        <v/>
      </c>
      <c r="BU52" t="str">
        <f>""</f>
        <v/>
      </c>
      <c r="BV52" t="str">
        <f>""</f>
        <v/>
      </c>
      <c r="BW52" t="str">
        <f>"Não visitado"</f>
        <v>Não visitado</v>
      </c>
    </row>
    <row r="53" spans="1:75" x14ac:dyDescent="0.35">
      <c r="A53">
        <v>120438</v>
      </c>
      <c r="B53" t="str">
        <f t="shared" si="0"/>
        <v>A</v>
      </c>
      <c r="C53" t="str">
        <f t="shared" si="1"/>
        <v>80</v>
      </c>
      <c r="D53" t="str">
        <f t="shared" si="2"/>
        <v>11121001</v>
      </c>
      <c r="E53" t="str">
        <f t="shared" si="3"/>
        <v>121001</v>
      </c>
      <c r="F53" t="str">
        <f t="shared" si="4"/>
        <v>JENIFER SANTOS</v>
      </c>
      <c r="G53" t="str">
        <f>"07051715000112"</f>
        <v>07051715000112</v>
      </c>
      <c r="H53" t="str">
        <f t="shared" si="23"/>
        <v>0</v>
      </c>
      <c r="I53" t="str">
        <f t="shared" si="5"/>
        <v>CONTA OPTICA</v>
      </c>
      <c r="J53" t="str">
        <f>"CENTRO OTICO MINERVA LTDA ME"</f>
        <v>CENTRO OTICO MINERVA LTDA ME</v>
      </c>
      <c r="K53" t="str">
        <f>"CENTRO OTICO MINERVA LTDA ME (629)"</f>
        <v>CENTRO OTICO MINERVA LTDA ME (629)</v>
      </c>
      <c r="L53" t="str">
        <f>""</f>
        <v/>
      </c>
      <c r="M53" t="str">
        <f>""</f>
        <v/>
      </c>
      <c r="N53" t="str">
        <f>"minerva@mhnet.com.br"</f>
        <v>minerva@mhnet.com.br</v>
      </c>
      <c r="O53" t="str">
        <f>""</f>
        <v/>
      </c>
      <c r="P53" t="str">
        <f>"AVENIDA SUL BRASIL"</f>
        <v>AVENIDA SUL BRASIL</v>
      </c>
      <c r="Q53" t="str">
        <f>"517"</f>
        <v>517</v>
      </c>
      <c r="R53" t="str">
        <f>"SALA 01"</f>
        <v>SALA 01</v>
      </c>
      <c r="S53" t="str">
        <f>"1288"</f>
        <v>1288</v>
      </c>
      <c r="T53" t="str">
        <f>"89874000"</f>
        <v>89874000</v>
      </c>
      <c r="U53" t="str">
        <f>"NAO INFORMADO"</f>
        <v>NAO INFORMADO</v>
      </c>
      <c r="V53" t="str">
        <f>"MARAVILHA"</f>
        <v>MARAVILHA</v>
      </c>
      <c r="W53" t="str">
        <f t="shared" si="21"/>
        <v>SC</v>
      </c>
      <c r="X53" t="str">
        <f>"49"</f>
        <v>49</v>
      </c>
      <c r="Y53" t="str">
        <f>"36640180"</f>
        <v>36640180</v>
      </c>
      <c r="Z53" t="str">
        <f>""</f>
        <v/>
      </c>
      <c r="AA53" t="str">
        <f>""</f>
        <v/>
      </c>
      <c r="AB53" t="str">
        <f>""</f>
        <v/>
      </c>
      <c r="AC53" t="str">
        <f>""</f>
        <v/>
      </c>
      <c r="AD53" t="str">
        <f>""</f>
        <v/>
      </c>
      <c r="AE53" t="str">
        <f>""</f>
        <v/>
      </c>
      <c r="AF53" t="str">
        <f>""</f>
        <v/>
      </c>
      <c r="AG53" t="str">
        <f>""</f>
        <v/>
      </c>
      <c r="AH53" t="str">
        <f>""</f>
        <v/>
      </c>
      <c r="AI53" t="str">
        <f>""</f>
        <v/>
      </c>
      <c r="AJ53" t="str">
        <f>"0"</f>
        <v>0</v>
      </c>
      <c r="AK53" t="str">
        <f>"0"</f>
        <v>0</v>
      </c>
      <c r="AL53" t="str">
        <f>"0"</f>
        <v>0</v>
      </c>
      <c r="AM53" t="str">
        <f>""</f>
        <v/>
      </c>
      <c r="AN53" t="str">
        <f>""</f>
        <v/>
      </c>
      <c r="AO53" t="str">
        <f>""</f>
        <v/>
      </c>
      <c r="AP53" t="str">
        <f>""</f>
        <v/>
      </c>
      <c r="AQ53" t="str">
        <f>""</f>
        <v/>
      </c>
      <c r="AR53" t="str">
        <f>""</f>
        <v/>
      </c>
      <c r="AS53" t="str">
        <f>""</f>
        <v/>
      </c>
      <c r="AT53" t="str">
        <f>""</f>
        <v/>
      </c>
      <c r="AU53" t="str">
        <f>""</f>
        <v/>
      </c>
      <c r="AV53" t="str">
        <f>""</f>
        <v/>
      </c>
      <c r="AW53" t="str">
        <f>""</f>
        <v/>
      </c>
      <c r="AX53" t="str">
        <f>""</f>
        <v/>
      </c>
      <c r="AY53" t="str">
        <f>""</f>
        <v/>
      </c>
      <c r="AZ53" t="str">
        <f>""</f>
        <v/>
      </c>
      <c r="BA53" t="str">
        <f>""</f>
        <v/>
      </c>
      <c r="BB53" t="str">
        <f>"18/09/2020 22:12:34"</f>
        <v>18/09/2020 22:12:34</v>
      </c>
      <c r="BC53" t="str">
        <f>""</f>
        <v/>
      </c>
      <c r="BD53" t="str">
        <f>""</f>
        <v/>
      </c>
      <c r="BE53" t="str">
        <f>""</f>
        <v/>
      </c>
      <c r="BF53" t="str">
        <f t="shared" si="6"/>
        <v>A</v>
      </c>
      <c r="BG53" t="str">
        <f>"0,00"</f>
        <v>0,00</v>
      </c>
      <c r="BH53" t="str">
        <f>"0,00"</f>
        <v>0,00</v>
      </c>
      <c r="BI53" t="str">
        <f t="shared" si="20"/>
        <v>EVENTUAL</v>
      </c>
      <c r="BJ53" t="str">
        <f t="shared" si="8"/>
        <v>1</v>
      </c>
      <c r="BK53" t="str">
        <f t="shared" si="9"/>
        <v>Farmacia</v>
      </c>
      <c r="BL53" t="str">
        <f>""</f>
        <v/>
      </c>
      <c r="BM53" t="str">
        <f>"NÃO É VARILUX ESPECIALISTA"</f>
        <v>NÃO É VARILUX ESPECIALISTA</v>
      </c>
      <c r="BN53" t="str">
        <f>"NA"</f>
        <v>NA</v>
      </c>
      <c r="BO53" t="str">
        <f>"FOCO VARILUX"</f>
        <v>FOCO VARILUX</v>
      </c>
      <c r="BP53" t="str">
        <f>""</f>
        <v/>
      </c>
      <c r="BQ53" t="str">
        <f>""</f>
        <v/>
      </c>
      <c r="BR53" t="str">
        <f>"18/09/2020"</f>
        <v>18/09/2020</v>
      </c>
      <c r="BS53" t="str">
        <f>""</f>
        <v/>
      </c>
      <c r="BT53" t="str">
        <f>""</f>
        <v/>
      </c>
      <c r="BU53" t="str">
        <f>""</f>
        <v/>
      </c>
      <c r="BV53" t="str">
        <f>"9"</f>
        <v>9</v>
      </c>
      <c r="BW53" t="str">
        <f>"39"</f>
        <v>39</v>
      </c>
    </row>
    <row r="54" spans="1:75" x14ac:dyDescent="0.35">
      <c r="A54">
        <v>137977</v>
      </c>
      <c r="B54" t="str">
        <f t="shared" si="0"/>
        <v>A</v>
      </c>
      <c r="C54" t="str">
        <f t="shared" si="1"/>
        <v>80</v>
      </c>
      <c r="D54" t="str">
        <f t="shared" si="2"/>
        <v>11121001</v>
      </c>
      <c r="E54" t="str">
        <f t="shared" si="3"/>
        <v>121001</v>
      </c>
      <c r="F54" t="str">
        <f t="shared" si="4"/>
        <v>JENIFER SANTOS</v>
      </c>
      <c r="G54" t="str">
        <f>"92155019000125"</f>
        <v>92155019000125</v>
      </c>
      <c r="H54" t="str">
        <f t="shared" si="23"/>
        <v>0</v>
      </c>
      <c r="I54" t="str">
        <f t="shared" si="5"/>
        <v>CONTA OPTICA</v>
      </c>
      <c r="J54" t="str">
        <f>"CENTRO OTICO REZENDE LTDA ME"</f>
        <v>CENTRO OTICO REZENDE LTDA ME</v>
      </c>
      <c r="K54" t="str">
        <f>"CENTRO OTICO REZENDE LTDA ME (59)"</f>
        <v>CENTRO OTICO REZENDE LTDA ME (59)</v>
      </c>
      <c r="L54" t="str">
        <f>""</f>
        <v/>
      </c>
      <c r="M54" t="str">
        <f>""</f>
        <v/>
      </c>
      <c r="N54" t="str">
        <f>"vilneiderezende@yahoo.com.br"</f>
        <v>vilneiderezende@yahoo.com.br</v>
      </c>
      <c r="O54" t="str">
        <f>""</f>
        <v/>
      </c>
      <c r="P54" t="str">
        <f>"AVENIDA BRASIL"</f>
        <v>AVENIDA BRASIL</v>
      </c>
      <c r="Q54" t="str">
        <f>"467"</f>
        <v>467</v>
      </c>
      <c r="R54" t="str">
        <f>""</f>
        <v/>
      </c>
      <c r="S54" t="str">
        <f>"1383"</f>
        <v>1383</v>
      </c>
      <c r="T54" t="str">
        <f>"99025001"</f>
        <v>99025001</v>
      </c>
      <c r="U54" t="str">
        <f>"BOQUEIRAO"</f>
        <v>BOQUEIRAO</v>
      </c>
      <c r="V54" t="str">
        <f>"PASSO FUNDO"</f>
        <v>PASSO FUNDO</v>
      </c>
      <c r="W54" t="str">
        <f>"RS"</f>
        <v>RS</v>
      </c>
      <c r="X54" t="str">
        <f>"54"</f>
        <v>54</v>
      </c>
      <c r="Y54" t="str">
        <f>"33136040"</f>
        <v>33136040</v>
      </c>
      <c r="Z54" t="str">
        <f>""</f>
        <v/>
      </c>
      <c r="AA54" t="str">
        <f>""</f>
        <v/>
      </c>
      <c r="AB54" t="str">
        <f>""</f>
        <v/>
      </c>
      <c r="AC54" t="str">
        <f>""</f>
        <v/>
      </c>
      <c r="AD54" t="str">
        <f>""</f>
        <v/>
      </c>
      <c r="AE54" t="str">
        <f>""</f>
        <v/>
      </c>
      <c r="AF54" t="str">
        <f>""</f>
        <v/>
      </c>
      <c r="AG54" t="str">
        <f>"S"</f>
        <v>S</v>
      </c>
      <c r="AH54" t="str">
        <f>""</f>
        <v/>
      </c>
      <c r="AI54" t="str">
        <f>""</f>
        <v/>
      </c>
      <c r="AJ54" t="str">
        <f>""</f>
        <v/>
      </c>
      <c r="AK54" t="str">
        <f>""</f>
        <v/>
      </c>
      <c r="AL54" t="str">
        <f>""</f>
        <v/>
      </c>
      <c r="AM54" t="str">
        <f>""</f>
        <v/>
      </c>
      <c r="AN54" t="str">
        <f>""</f>
        <v/>
      </c>
      <c r="AO54" t="str">
        <f>""</f>
        <v/>
      </c>
      <c r="AP54" t="str">
        <f>""</f>
        <v/>
      </c>
      <c r="AQ54" t="str">
        <f>"N"</f>
        <v>N</v>
      </c>
      <c r="AR54" t="str">
        <f>"N"</f>
        <v>N</v>
      </c>
      <c r="AS54" t="str">
        <f>"N"</f>
        <v>N</v>
      </c>
      <c r="AT54" t="str">
        <f>"N"</f>
        <v>N</v>
      </c>
      <c r="AU54" t="str">
        <f>"N"</f>
        <v>N</v>
      </c>
      <c r="AV54" t="str">
        <f>""</f>
        <v/>
      </c>
      <c r="AW54" t="str">
        <f>""</f>
        <v/>
      </c>
      <c r="AX54" t="str">
        <f>""</f>
        <v/>
      </c>
      <c r="AY54" t="str">
        <f>""</f>
        <v/>
      </c>
      <c r="AZ54" t="str">
        <f>""</f>
        <v/>
      </c>
      <c r="BA54" t="str">
        <f>""</f>
        <v/>
      </c>
      <c r="BB54" t="str">
        <f>"01/07/2021 13:53:04"</f>
        <v>01/07/2021 13:53:04</v>
      </c>
      <c r="BC54" t="str">
        <f>"09/05/2022 10:42:33"</f>
        <v>09/05/2022 10:42:33</v>
      </c>
      <c r="BD54" t="str">
        <f>""</f>
        <v/>
      </c>
      <c r="BE54" t="str">
        <f>""</f>
        <v/>
      </c>
      <c r="BF54" t="str">
        <f t="shared" si="6"/>
        <v>A</v>
      </c>
      <c r="BG54" t="str">
        <f>""</f>
        <v/>
      </c>
      <c r="BH54" t="str">
        <f>"0,00"</f>
        <v>0,00</v>
      </c>
      <c r="BI54" t="str">
        <f t="shared" si="20"/>
        <v>EVENTUAL</v>
      </c>
      <c r="BJ54" t="str">
        <f t="shared" si="8"/>
        <v>1</v>
      </c>
      <c r="BK54" t="str">
        <f t="shared" si="9"/>
        <v>Farmacia</v>
      </c>
      <c r="BL54" t="str">
        <f>""</f>
        <v/>
      </c>
      <c r="BM54" t="str">
        <f>"NÃO É VARILUX ESPECIALISTA"</f>
        <v>NÃO É VARILUX ESPECIALISTA</v>
      </c>
      <c r="BN54" t="str">
        <f>"EL360"</f>
        <v>EL360</v>
      </c>
      <c r="BO54" t="str">
        <f>"FOCO KODAK 2"</f>
        <v>FOCO KODAK 2</v>
      </c>
      <c r="BP54" t="str">
        <f>""</f>
        <v/>
      </c>
      <c r="BQ54" t="str">
        <f>""</f>
        <v/>
      </c>
      <c r="BR54" t="str">
        <f>"01/07/2021"</f>
        <v>01/07/2021</v>
      </c>
      <c r="BS54" t="str">
        <f>"09/05/2022"</f>
        <v>09/05/2022</v>
      </c>
      <c r="BT54" t="str">
        <f>""</f>
        <v/>
      </c>
      <c r="BU54" t="str">
        <f>""</f>
        <v/>
      </c>
      <c r="BV54" t="str">
        <f>""</f>
        <v/>
      </c>
      <c r="BW54" t="str">
        <f>"64"</f>
        <v>64</v>
      </c>
    </row>
    <row r="55" spans="1:75" x14ac:dyDescent="0.35">
      <c r="A55">
        <v>137978</v>
      </c>
      <c r="B55" t="str">
        <f t="shared" si="0"/>
        <v>A</v>
      </c>
      <c r="C55" t="str">
        <f t="shared" si="1"/>
        <v>80</v>
      </c>
      <c r="D55" t="str">
        <f t="shared" si="2"/>
        <v>11121001</v>
      </c>
      <c r="E55" t="str">
        <f t="shared" si="3"/>
        <v>121001</v>
      </c>
      <c r="F55" t="str">
        <f t="shared" si="4"/>
        <v>JENIFER SANTOS</v>
      </c>
      <c r="G55" t="str">
        <f>"30582673000168"</f>
        <v>30582673000168</v>
      </c>
      <c r="H55" t="str">
        <f t="shared" si="23"/>
        <v>0</v>
      </c>
      <c r="I55" t="str">
        <f t="shared" si="5"/>
        <v>CONTA OPTICA</v>
      </c>
      <c r="J55" t="str">
        <f>"CENTRO VISUAL COMERCIO DE LENTES E ARMACOES LTDA"</f>
        <v>CENTRO VISUAL COMERCIO DE LENTES E ARMACOES LTDA</v>
      </c>
      <c r="K55" t="str">
        <f>"CENTRO VISUAL (3920)"</f>
        <v>CENTRO VISUAL (3920)</v>
      </c>
      <c r="L55" t="str">
        <f>""</f>
        <v/>
      </c>
      <c r="M55" t="str">
        <f>""</f>
        <v/>
      </c>
      <c r="N55" t="str">
        <f>"centrovisualmm@hotmail.com"</f>
        <v>centrovisualmm@hotmail.com</v>
      </c>
      <c r="O55" t="str">
        <f>""</f>
        <v/>
      </c>
      <c r="P55" t="str">
        <f>"RUA PORTO ALEGRE - D"</f>
        <v>RUA PORTO ALEGRE - D</v>
      </c>
      <c r="Q55" t="str">
        <f>"120"</f>
        <v>120</v>
      </c>
      <c r="R55" t="str">
        <f>"E SALA 107"</f>
        <v>E SALA 107</v>
      </c>
      <c r="S55" t="str">
        <f>"1287"</f>
        <v>1287</v>
      </c>
      <c r="T55" t="str">
        <f>"89802130"</f>
        <v>89802130</v>
      </c>
      <c r="U55" t="str">
        <f>"CENTRO"</f>
        <v>CENTRO</v>
      </c>
      <c r="V55" t="str">
        <f>"CHAPECO"</f>
        <v>CHAPECO</v>
      </c>
      <c r="W55" t="str">
        <f t="shared" ref="W55:W63" si="24">"SC"</f>
        <v>SC</v>
      </c>
      <c r="X55" t="str">
        <f>"49"</f>
        <v>49</v>
      </c>
      <c r="Y55" t="str">
        <f>"30256030"</f>
        <v>30256030</v>
      </c>
      <c r="Z55" t="str">
        <f>""</f>
        <v/>
      </c>
      <c r="AA55" t="str">
        <f>""</f>
        <v/>
      </c>
      <c r="AB55" t="str">
        <f>""</f>
        <v/>
      </c>
      <c r="AC55" t="str">
        <f>""</f>
        <v/>
      </c>
      <c r="AD55" t="str">
        <f>""</f>
        <v/>
      </c>
      <c r="AE55" t="str">
        <f>""</f>
        <v/>
      </c>
      <c r="AF55" t="str">
        <f>""</f>
        <v/>
      </c>
      <c r="AG55" t="str">
        <f>""</f>
        <v/>
      </c>
      <c r="AH55" t="str">
        <f>""</f>
        <v/>
      </c>
      <c r="AI55" t="str">
        <f>""</f>
        <v/>
      </c>
      <c r="AJ55" t="str">
        <f>""</f>
        <v/>
      </c>
      <c r="AK55" t="str">
        <f>""</f>
        <v/>
      </c>
      <c r="AL55" t="str">
        <f>""</f>
        <v/>
      </c>
      <c r="AM55" t="str">
        <f>""</f>
        <v/>
      </c>
      <c r="AN55" t="str">
        <f>""</f>
        <v/>
      </c>
      <c r="AO55" t="str">
        <f>""</f>
        <v/>
      </c>
      <c r="AP55" t="str">
        <f>""</f>
        <v/>
      </c>
      <c r="AQ55" t="str">
        <f>""</f>
        <v/>
      </c>
      <c r="AR55" t="str">
        <f>""</f>
        <v/>
      </c>
      <c r="AS55" t="str">
        <f>""</f>
        <v/>
      </c>
      <c r="AT55" t="str">
        <f>""</f>
        <v/>
      </c>
      <c r="AU55" t="str">
        <f>""</f>
        <v/>
      </c>
      <c r="AV55" t="str">
        <f>""</f>
        <v/>
      </c>
      <c r="AW55" t="str">
        <f>""</f>
        <v/>
      </c>
      <c r="AX55" t="str">
        <f>""</f>
        <v/>
      </c>
      <c r="AY55" t="str">
        <f>""</f>
        <v/>
      </c>
      <c r="AZ55" t="str">
        <f>""</f>
        <v/>
      </c>
      <c r="BA55" t="str">
        <f>""</f>
        <v/>
      </c>
      <c r="BB55" t="str">
        <f>"01/07/2021 13:53:04"</f>
        <v>01/07/2021 13:53:04</v>
      </c>
      <c r="BC55" t="str">
        <f>""</f>
        <v/>
      </c>
      <c r="BD55" t="str">
        <f>""</f>
        <v/>
      </c>
      <c r="BE55" t="str">
        <f>""</f>
        <v/>
      </c>
      <c r="BF55" t="str">
        <f t="shared" si="6"/>
        <v>A</v>
      </c>
      <c r="BG55" t="str">
        <f>""</f>
        <v/>
      </c>
      <c r="BH55" t="str">
        <f>""</f>
        <v/>
      </c>
      <c r="BI55" t="str">
        <f t="shared" si="20"/>
        <v>EVENTUAL</v>
      </c>
      <c r="BJ55" t="str">
        <f t="shared" si="8"/>
        <v>1</v>
      </c>
      <c r="BK55" t="str">
        <f t="shared" si="9"/>
        <v>Farmacia</v>
      </c>
      <c r="BL55" t="str">
        <f>""</f>
        <v/>
      </c>
      <c r="BM55" t="str">
        <f>"NÃO É VARILUX ESPECIALISTA"</f>
        <v>NÃO É VARILUX ESPECIALISTA</v>
      </c>
      <c r="BN55" t="str">
        <f>"NA"</f>
        <v>NA</v>
      </c>
      <c r="BO55" t="str">
        <f>"OUTROS"</f>
        <v>OUTROS</v>
      </c>
      <c r="BP55" t="str">
        <f>""</f>
        <v/>
      </c>
      <c r="BQ55" t="str">
        <f>""</f>
        <v/>
      </c>
      <c r="BR55" t="str">
        <f>"01/07/2021"</f>
        <v>01/07/2021</v>
      </c>
      <c r="BS55" t="str">
        <f>""</f>
        <v/>
      </c>
      <c r="BT55" t="str">
        <f>""</f>
        <v/>
      </c>
      <c r="BU55" t="str">
        <f>""</f>
        <v/>
      </c>
      <c r="BV55" t="str">
        <f>""</f>
        <v/>
      </c>
      <c r="BW55" t="str">
        <f>"301"</f>
        <v>301</v>
      </c>
    </row>
    <row r="56" spans="1:75" x14ac:dyDescent="0.35">
      <c r="A56">
        <v>137979</v>
      </c>
      <c r="B56" t="str">
        <f t="shared" si="0"/>
        <v>A</v>
      </c>
      <c r="C56" t="str">
        <f t="shared" si="1"/>
        <v>80</v>
      </c>
      <c r="D56" t="str">
        <f t="shared" si="2"/>
        <v>11121001</v>
      </c>
      <c r="E56" t="str">
        <f t="shared" si="3"/>
        <v>121001</v>
      </c>
      <c r="F56" t="str">
        <f t="shared" si="4"/>
        <v>JENIFER SANTOS</v>
      </c>
      <c r="G56" t="str">
        <f>"31176080000164"</f>
        <v>31176080000164</v>
      </c>
      <c r="H56" t="str">
        <f t="shared" si="23"/>
        <v>0</v>
      </c>
      <c r="I56" t="str">
        <f t="shared" si="5"/>
        <v>CONTA OPTICA</v>
      </c>
      <c r="J56" t="str">
        <f>"CENTROOPTICA RELOJOARIA OPTICA E PRESENTES"</f>
        <v>CENTROOPTICA RELOJOARIA OPTICA E PRESENTES</v>
      </c>
      <c r="K56" t="str">
        <f>"CENTROOPTICA (3941)"</f>
        <v>CENTROOPTICA (3941)</v>
      </c>
      <c r="L56" t="str">
        <f>""</f>
        <v/>
      </c>
      <c r="M56" t="str">
        <f>""</f>
        <v/>
      </c>
      <c r="N56" t="str">
        <f>"centrooptica01@hotmail.com"</f>
        <v>centrooptica01@hotmail.com</v>
      </c>
      <c r="O56" t="str">
        <f>""</f>
        <v/>
      </c>
      <c r="P56" t="str">
        <f>"RUA FREI ROGERIO"</f>
        <v>RUA FREI ROGERIO</v>
      </c>
      <c r="Q56" t="str">
        <f>"1076"</f>
        <v>1076</v>
      </c>
      <c r="R56" t="str">
        <f>"SL 03"</f>
        <v>SL 03</v>
      </c>
      <c r="S56" t="str">
        <f>"1285"</f>
        <v>1285</v>
      </c>
      <c r="T56" t="str">
        <f>"89620000"</f>
        <v>89620000</v>
      </c>
      <c r="U56" t="str">
        <f>"CENTRO"</f>
        <v>CENTRO</v>
      </c>
      <c r="V56" t="str">
        <f>"CAMPOS NOVOS"</f>
        <v>CAMPOS NOVOS</v>
      </c>
      <c r="W56" t="str">
        <f t="shared" si="24"/>
        <v>SC</v>
      </c>
      <c r="X56" t="str">
        <f>"49"</f>
        <v>49</v>
      </c>
      <c r="Y56" t="str">
        <f>"35412881"</f>
        <v>35412881</v>
      </c>
      <c r="Z56" t="str">
        <f>""</f>
        <v/>
      </c>
      <c r="AA56" t="str">
        <f>""</f>
        <v/>
      </c>
      <c r="AB56" t="str">
        <f>""</f>
        <v/>
      </c>
      <c r="AC56" t="str">
        <f>""</f>
        <v/>
      </c>
      <c r="AD56" t="str">
        <f>""</f>
        <v/>
      </c>
      <c r="AE56" t="str">
        <f>""</f>
        <v/>
      </c>
      <c r="AF56" t="str">
        <f>""</f>
        <v/>
      </c>
      <c r="AG56" t="str">
        <f>"S"</f>
        <v>S</v>
      </c>
      <c r="AH56" t="str">
        <f>""</f>
        <v/>
      </c>
      <c r="AI56" t="str">
        <f>""</f>
        <v/>
      </c>
      <c r="AJ56" t="str">
        <f>""</f>
        <v/>
      </c>
      <c r="AK56" t="str">
        <f>""</f>
        <v/>
      </c>
      <c r="AL56" t="str">
        <f>""</f>
        <v/>
      </c>
      <c r="AM56" t="str">
        <f>""</f>
        <v/>
      </c>
      <c r="AN56" t="str">
        <f>""</f>
        <v/>
      </c>
      <c r="AO56" t="str">
        <f>""</f>
        <v/>
      </c>
      <c r="AP56" t="str">
        <f>""</f>
        <v/>
      </c>
      <c r="AQ56" t="str">
        <f t="shared" ref="AQ56:AU57" si="25">"N"</f>
        <v>N</v>
      </c>
      <c r="AR56" t="str">
        <f t="shared" si="25"/>
        <v>N</v>
      </c>
      <c r="AS56" t="str">
        <f t="shared" si="25"/>
        <v>N</v>
      </c>
      <c r="AT56" t="str">
        <f t="shared" si="25"/>
        <v>N</v>
      </c>
      <c r="AU56" t="str">
        <f t="shared" si="25"/>
        <v>N</v>
      </c>
      <c r="AV56" t="str">
        <f>""</f>
        <v/>
      </c>
      <c r="AW56" t="str">
        <f>""</f>
        <v/>
      </c>
      <c r="AX56" t="str">
        <f>""</f>
        <v/>
      </c>
      <c r="AY56" t="str">
        <f>""</f>
        <v/>
      </c>
      <c r="AZ56" t="str">
        <f>""</f>
        <v/>
      </c>
      <c r="BA56" t="str">
        <f>""</f>
        <v/>
      </c>
      <c r="BB56" t="str">
        <f>"01/07/2021 13:53:04"</f>
        <v>01/07/2021 13:53:04</v>
      </c>
      <c r="BC56" t="str">
        <f>"01/04/2022 11:28:35"</f>
        <v>01/04/2022 11:28:35</v>
      </c>
      <c r="BD56" t="str">
        <f>""</f>
        <v/>
      </c>
      <c r="BE56" t="str">
        <f>""</f>
        <v/>
      </c>
      <c r="BF56" t="str">
        <f t="shared" si="6"/>
        <v>A</v>
      </c>
      <c r="BG56" t="str">
        <f>""</f>
        <v/>
      </c>
      <c r="BH56" t="str">
        <f>"0,00"</f>
        <v>0,00</v>
      </c>
      <c r="BI56" t="str">
        <f t="shared" si="20"/>
        <v>EVENTUAL</v>
      </c>
      <c r="BJ56" t="str">
        <f t="shared" si="8"/>
        <v>1</v>
      </c>
      <c r="BK56" t="str">
        <f t="shared" si="9"/>
        <v>Farmacia</v>
      </c>
      <c r="BL56" t="str">
        <f>""</f>
        <v/>
      </c>
      <c r="BM56" t="str">
        <f>"NÃO É VARILUX ESPECIALISTA"</f>
        <v>NÃO É VARILUX ESPECIALISTA</v>
      </c>
      <c r="BN56" t="str">
        <f>"NA"</f>
        <v>NA</v>
      </c>
      <c r="BO56" t="str">
        <f>"FOCO VARILUX"</f>
        <v>FOCO VARILUX</v>
      </c>
      <c r="BP56" t="str">
        <f>""</f>
        <v/>
      </c>
      <c r="BQ56" t="str">
        <f>""</f>
        <v/>
      </c>
      <c r="BR56" t="str">
        <f>"01/07/2021"</f>
        <v>01/07/2021</v>
      </c>
      <c r="BS56" t="str">
        <f>"01/04/2022"</f>
        <v>01/04/2022</v>
      </c>
      <c r="BT56" t="str">
        <f>""</f>
        <v/>
      </c>
      <c r="BU56" t="str">
        <f>""</f>
        <v/>
      </c>
      <c r="BV56" t="str">
        <f>""</f>
        <v/>
      </c>
      <c r="BW56" t="str">
        <f>"Não visitado"</f>
        <v>Não visitado</v>
      </c>
    </row>
    <row r="57" spans="1:75" x14ac:dyDescent="0.35">
      <c r="A57">
        <v>137980</v>
      </c>
      <c r="B57" t="str">
        <f t="shared" si="0"/>
        <v>A</v>
      </c>
      <c r="C57" t="str">
        <f t="shared" si="1"/>
        <v>80</v>
      </c>
      <c r="D57" t="str">
        <f t="shared" si="2"/>
        <v>11121001</v>
      </c>
      <c r="E57" t="str">
        <f t="shared" si="3"/>
        <v>121001</v>
      </c>
      <c r="F57" t="str">
        <f t="shared" si="4"/>
        <v>JENIFER SANTOS</v>
      </c>
      <c r="G57" t="str">
        <f>"15542300000170"</f>
        <v>15542300000170</v>
      </c>
      <c r="H57" t="str">
        <f t="shared" si="23"/>
        <v>0</v>
      </c>
      <c r="I57" t="str">
        <f t="shared" si="5"/>
        <v>CONTA OPTICA</v>
      </c>
      <c r="J57" t="str">
        <f>"CHAPECOPTICA JOALHERIA E OPTICA EIRELI ME"</f>
        <v>CHAPECOPTICA JOALHERIA E OPTICA EIRELI ME</v>
      </c>
      <c r="K57" t="str">
        <f>"JOALHERIA E OTICA AMERICA (2046)"</f>
        <v>JOALHERIA E OTICA AMERICA (2046)</v>
      </c>
      <c r="L57" t="str">
        <f>""</f>
        <v/>
      </c>
      <c r="M57" t="str">
        <f>""</f>
        <v/>
      </c>
      <c r="N57" t="str">
        <f>"otica.america@gmail.com"</f>
        <v>otica.america@gmail.com</v>
      </c>
      <c r="O57" t="str">
        <f>""</f>
        <v/>
      </c>
      <c r="P57" t="str">
        <f>"RUA SAO PEDRO - E"</f>
        <v>RUA SAO PEDRO - E</v>
      </c>
      <c r="Q57" t="str">
        <f>"915 -E"</f>
        <v>915 -E</v>
      </c>
      <c r="R57" t="str">
        <f>"SALA 2"</f>
        <v>SALA 2</v>
      </c>
      <c r="S57" t="str">
        <f>"1287"</f>
        <v>1287</v>
      </c>
      <c r="T57" t="str">
        <f>"89803062"</f>
        <v>89803062</v>
      </c>
      <c r="U57" t="str">
        <f>"SAO CRISTOVAO"</f>
        <v>SAO CRISTOVAO</v>
      </c>
      <c r="V57" t="str">
        <f>"CHAPECÓ"</f>
        <v>CHAPECÓ</v>
      </c>
      <c r="W57" t="str">
        <f t="shared" si="24"/>
        <v>SC</v>
      </c>
      <c r="X57" t="str">
        <f>"49"</f>
        <v>49</v>
      </c>
      <c r="Y57" t="str">
        <f>"33224090"</f>
        <v>33224090</v>
      </c>
      <c r="Z57" t="str">
        <f>""</f>
        <v/>
      </c>
      <c r="AA57" t="str">
        <f>""</f>
        <v/>
      </c>
      <c r="AB57" t="str">
        <f>""</f>
        <v/>
      </c>
      <c r="AC57" t="str">
        <f>""</f>
        <v/>
      </c>
      <c r="AD57" t="str">
        <f>""</f>
        <v/>
      </c>
      <c r="AE57" t="str">
        <f>""</f>
        <v/>
      </c>
      <c r="AF57" t="str">
        <f>""</f>
        <v/>
      </c>
      <c r="AG57" t="str">
        <f>"S"</f>
        <v>S</v>
      </c>
      <c r="AH57" t="str">
        <f>""</f>
        <v/>
      </c>
      <c r="AI57" t="str">
        <f>""</f>
        <v/>
      </c>
      <c r="AJ57" t="str">
        <f>""</f>
        <v/>
      </c>
      <c r="AK57" t="str">
        <f>""</f>
        <v/>
      </c>
      <c r="AL57" t="str">
        <f>""</f>
        <v/>
      </c>
      <c r="AM57" t="str">
        <f>""</f>
        <v/>
      </c>
      <c r="AN57" t="str">
        <f>""</f>
        <v/>
      </c>
      <c r="AO57" t="str">
        <f>""</f>
        <v/>
      </c>
      <c r="AP57" t="str">
        <f>""</f>
        <v/>
      </c>
      <c r="AQ57" t="str">
        <f t="shared" si="25"/>
        <v>N</v>
      </c>
      <c r="AR57" t="str">
        <f t="shared" si="25"/>
        <v>N</v>
      </c>
      <c r="AS57" t="str">
        <f t="shared" si="25"/>
        <v>N</v>
      </c>
      <c r="AT57" t="str">
        <f t="shared" si="25"/>
        <v>N</v>
      </c>
      <c r="AU57" t="str">
        <f t="shared" si="25"/>
        <v>N</v>
      </c>
      <c r="AV57" t="str">
        <f>""</f>
        <v/>
      </c>
      <c r="AW57" t="str">
        <f>""</f>
        <v/>
      </c>
      <c r="AX57" t="str">
        <f>""</f>
        <v/>
      </c>
      <c r="AY57" t="str">
        <f>""</f>
        <v/>
      </c>
      <c r="AZ57" t="str">
        <f>""</f>
        <v/>
      </c>
      <c r="BA57" t="str">
        <f>""</f>
        <v/>
      </c>
      <c r="BB57" t="str">
        <f>"01/07/2021 13:53:04"</f>
        <v>01/07/2021 13:53:04</v>
      </c>
      <c r="BC57" t="str">
        <f>"04/04/2022 09:55:45"</f>
        <v>04/04/2022 09:55:45</v>
      </c>
      <c r="BD57" t="str">
        <f>""</f>
        <v/>
      </c>
      <c r="BE57" t="str">
        <f>""</f>
        <v/>
      </c>
      <c r="BF57" t="str">
        <f t="shared" si="6"/>
        <v>A</v>
      </c>
      <c r="BG57" t="str">
        <f>""</f>
        <v/>
      </c>
      <c r="BH57" t="str">
        <f>"0,00"</f>
        <v>0,00</v>
      </c>
      <c r="BI57" t="str">
        <f t="shared" si="20"/>
        <v>EVENTUAL</v>
      </c>
      <c r="BJ57" t="str">
        <f t="shared" si="8"/>
        <v>1</v>
      </c>
      <c r="BK57" t="str">
        <f t="shared" si="9"/>
        <v>Farmacia</v>
      </c>
      <c r="BL57" t="str">
        <f>""</f>
        <v/>
      </c>
      <c r="BM57" t="str">
        <f>"NÃO É VARILUX ESPECIALISTA"</f>
        <v>NÃO É VARILUX ESPECIALISTA</v>
      </c>
      <c r="BN57" t="str">
        <f>"NA"</f>
        <v>NA</v>
      </c>
      <c r="BO57" t="str">
        <f>"FOCO KODAK 2"</f>
        <v>FOCO KODAK 2</v>
      </c>
      <c r="BP57" t="str">
        <f>""</f>
        <v/>
      </c>
      <c r="BQ57" t="str">
        <f>""</f>
        <v/>
      </c>
      <c r="BR57" t="str">
        <f>"01/07/2021"</f>
        <v>01/07/2021</v>
      </c>
      <c r="BS57" t="str">
        <f>"04/04/2022"</f>
        <v>04/04/2022</v>
      </c>
      <c r="BT57" t="str">
        <f>""</f>
        <v/>
      </c>
      <c r="BU57" t="str">
        <f>""</f>
        <v/>
      </c>
      <c r="BV57" t="str">
        <f>""</f>
        <v/>
      </c>
      <c r="BW57" t="str">
        <f>"7"</f>
        <v>7</v>
      </c>
    </row>
    <row r="58" spans="1:75" x14ac:dyDescent="0.35">
      <c r="A58">
        <v>156750</v>
      </c>
      <c r="B58" t="str">
        <f t="shared" si="0"/>
        <v>A</v>
      </c>
      <c r="C58" t="str">
        <f t="shared" si="1"/>
        <v>80</v>
      </c>
      <c r="D58" t="str">
        <f t="shared" si="2"/>
        <v>11121001</v>
      </c>
      <c r="E58" t="str">
        <f t="shared" si="3"/>
        <v>121001</v>
      </c>
      <c r="F58" t="str">
        <f t="shared" si="4"/>
        <v>JENIFER SANTOS</v>
      </c>
      <c r="G58" t="str">
        <f>"47385201000118"</f>
        <v>47385201000118</v>
      </c>
      <c r="H58" t="str">
        <f t="shared" si="23"/>
        <v>0</v>
      </c>
      <c r="I58" t="str">
        <f t="shared" si="5"/>
        <v>CONTA OPTICA</v>
      </c>
      <c r="J58" t="str">
        <f>"CLEUZA CAMILLO 55773338904"</f>
        <v>CLEUZA CAMILLO 55773338904</v>
      </c>
      <c r="K58" t="str">
        <f>"OTICA RIO (4609)"</f>
        <v>OTICA RIO (4609)</v>
      </c>
      <c r="L58" t="str">
        <f>""</f>
        <v/>
      </c>
      <c r="M58" t="str">
        <f>""</f>
        <v/>
      </c>
      <c r="N58" t="str">
        <f>"OTICA.RIO@GMAIL.COM"</f>
        <v>OTICA.RIO@GMAIL.COM</v>
      </c>
      <c r="O58" t="str">
        <f>""</f>
        <v/>
      </c>
      <c r="P58" t="str">
        <f>"RUA ABDON BATISTA"</f>
        <v>RUA ABDON BATISTA</v>
      </c>
      <c r="Q58" t="str">
        <f>"56"</f>
        <v>56</v>
      </c>
      <c r="R58" t="str">
        <f>"SALA 02"</f>
        <v>SALA 02</v>
      </c>
      <c r="S58" t="str">
        <f>"1277"</f>
        <v>1277</v>
      </c>
      <c r="T58" t="str">
        <f>"89201010"</f>
        <v>89201010</v>
      </c>
      <c r="U58" t="str">
        <f>"CENTRO"</f>
        <v>CENTRO</v>
      </c>
      <c r="V58" t="str">
        <f>"JOINVILLE"</f>
        <v>JOINVILLE</v>
      </c>
      <c r="W58" t="str">
        <f t="shared" si="24"/>
        <v>SC</v>
      </c>
      <c r="X58" t="str">
        <f>"47"</f>
        <v>47</v>
      </c>
      <c r="Y58" t="str">
        <f>"34222120"</f>
        <v>34222120</v>
      </c>
      <c r="Z58" t="str">
        <f>""</f>
        <v/>
      </c>
      <c r="AA58" t="str">
        <f>""</f>
        <v/>
      </c>
      <c r="AB58" t="str">
        <f>""</f>
        <v/>
      </c>
      <c r="AC58" t="str">
        <f>""</f>
        <v/>
      </c>
      <c r="AD58" t="str">
        <f>""</f>
        <v/>
      </c>
      <c r="AE58" t="str">
        <f>""</f>
        <v/>
      </c>
      <c r="AF58" t="str">
        <f>""</f>
        <v/>
      </c>
      <c r="AG58" t="str">
        <f>""</f>
        <v/>
      </c>
      <c r="AH58" t="str">
        <f>""</f>
        <v/>
      </c>
      <c r="AI58" t="str">
        <f>""</f>
        <v/>
      </c>
      <c r="AJ58" t="str">
        <f>""</f>
        <v/>
      </c>
      <c r="AK58" t="str">
        <f>""</f>
        <v/>
      </c>
      <c r="AL58" t="str">
        <f>""</f>
        <v/>
      </c>
      <c r="AM58" t="str">
        <f>""</f>
        <v/>
      </c>
      <c r="AN58" t="str">
        <f>""</f>
        <v/>
      </c>
      <c r="AO58" t="str">
        <f>""</f>
        <v/>
      </c>
      <c r="AP58" t="str">
        <f>""</f>
        <v/>
      </c>
      <c r="AQ58" t="str">
        <f>""</f>
        <v/>
      </c>
      <c r="AR58" t="str">
        <f>""</f>
        <v/>
      </c>
      <c r="AS58" t="str">
        <f>""</f>
        <v/>
      </c>
      <c r="AT58" t="str">
        <f>""</f>
        <v/>
      </c>
      <c r="AU58" t="str">
        <f>""</f>
        <v/>
      </c>
      <c r="AV58" t="str">
        <f>""</f>
        <v/>
      </c>
      <c r="AW58" t="str">
        <f>""</f>
        <v/>
      </c>
      <c r="AX58" t="str">
        <f>""</f>
        <v/>
      </c>
      <c r="AY58" t="str">
        <f>""</f>
        <v/>
      </c>
      <c r="AZ58" t="str">
        <f>""</f>
        <v/>
      </c>
      <c r="BA58" t="str">
        <f>""</f>
        <v/>
      </c>
      <c r="BB58" t="str">
        <f>"06/07/2023 12:07:48"</f>
        <v>06/07/2023 12:07:48</v>
      </c>
      <c r="BC58" t="str">
        <f>""</f>
        <v/>
      </c>
      <c r="BD58" t="str">
        <f>""</f>
        <v/>
      </c>
      <c r="BE58" t="str">
        <f>""</f>
        <v/>
      </c>
      <c r="BF58" t="str">
        <f t="shared" si="6"/>
        <v>A</v>
      </c>
      <c r="BG58" t="str">
        <f>""</f>
        <v/>
      </c>
      <c r="BH58" t="str">
        <f>""</f>
        <v/>
      </c>
      <c r="BI58" t="str">
        <f t="shared" si="20"/>
        <v>EVENTUAL</v>
      </c>
      <c r="BJ58" t="str">
        <f t="shared" si="8"/>
        <v>1</v>
      </c>
      <c r="BK58" t="str">
        <f t="shared" si="9"/>
        <v>Farmacia</v>
      </c>
      <c r="BL58" t="str">
        <f>""</f>
        <v/>
      </c>
      <c r="BM58" t="str">
        <f>""</f>
        <v/>
      </c>
      <c r="BN58" t="str">
        <f>""</f>
        <v/>
      </c>
      <c r="BO58" t="str">
        <f>""</f>
        <v/>
      </c>
      <c r="BP58" t="str">
        <f>""</f>
        <v/>
      </c>
      <c r="BQ58" t="str">
        <f>""</f>
        <v/>
      </c>
      <c r="BR58" t="str">
        <f>"06/07/2023"</f>
        <v>06/07/2023</v>
      </c>
      <c r="BS58" t="str">
        <f>""</f>
        <v/>
      </c>
      <c r="BT58" t="str">
        <f>""</f>
        <v/>
      </c>
      <c r="BU58" t="str">
        <f>""</f>
        <v/>
      </c>
      <c r="BV58" t="str">
        <f>""</f>
        <v/>
      </c>
      <c r="BW58" t="str">
        <f>"Não visitado"</f>
        <v>Não visitado</v>
      </c>
    </row>
    <row r="59" spans="1:75" x14ac:dyDescent="0.35">
      <c r="A59">
        <v>851</v>
      </c>
      <c r="B59" t="str">
        <f t="shared" si="0"/>
        <v>A</v>
      </c>
      <c r="C59" t="str">
        <f t="shared" si="1"/>
        <v>80</v>
      </c>
      <c r="D59" t="str">
        <f t="shared" si="2"/>
        <v>11121001</v>
      </c>
      <c r="E59" t="str">
        <f t="shared" si="3"/>
        <v>121001</v>
      </c>
      <c r="F59" t="str">
        <f t="shared" si="4"/>
        <v>JENIFER SANTOS</v>
      </c>
      <c r="G59" t="str">
        <f>"04435093000138"</f>
        <v>04435093000138</v>
      </c>
      <c r="H59" t="str">
        <f>""</f>
        <v/>
      </c>
      <c r="I59" t="str">
        <f t="shared" si="5"/>
        <v>CONTA OPTICA</v>
      </c>
      <c r="J59" t="str">
        <f>"CLINICA VISUAL STEFFENS LTDA  ME"</f>
        <v>CLINICA VISUAL STEFFENS LTDA  ME</v>
      </c>
      <c r="K59" t="str">
        <f>"OTICA STEFFENS (1268)"</f>
        <v>OTICA STEFFENS (1268)</v>
      </c>
      <c r="L59" t="str">
        <f>""</f>
        <v/>
      </c>
      <c r="M59" t="str">
        <f>""</f>
        <v/>
      </c>
      <c r="N59" t="str">
        <f>"oticasteffens@gmail.com"</f>
        <v>oticasteffens@gmail.com</v>
      </c>
      <c r="O59" t="str">
        <f>""</f>
        <v/>
      </c>
      <c r="P59" t="str">
        <f>"RUA TRES DE MAIO"</f>
        <v>RUA TRES DE MAIO</v>
      </c>
      <c r="Q59" t="str">
        <f>"19"</f>
        <v>19</v>
      </c>
      <c r="R59" t="str">
        <f>"SALA 19"</f>
        <v>SALA 19</v>
      </c>
      <c r="S59" t="str">
        <f>"1277"</f>
        <v>1277</v>
      </c>
      <c r="T59" t="str">
        <f>"89201030"</f>
        <v>89201030</v>
      </c>
      <c r="U59" t="str">
        <f>"CENTRO"</f>
        <v>CENTRO</v>
      </c>
      <c r="V59" t="str">
        <f>"JOINVILLE"</f>
        <v>JOINVILLE</v>
      </c>
      <c r="W59" t="str">
        <f t="shared" si="24"/>
        <v>SC</v>
      </c>
      <c r="X59" t="str">
        <f>"47"</f>
        <v>47</v>
      </c>
      <c r="Y59" t="str">
        <f>"34335450"</f>
        <v>34335450</v>
      </c>
      <c r="Z59" t="str">
        <f>""</f>
        <v/>
      </c>
      <c r="AA59" t="str">
        <f>""</f>
        <v/>
      </c>
      <c r="AB59" t="str">
        <f>""</f>
        <v/>
      </c>
      <c r="AC59" t="str">
        <f>""</f>
        <v/>
      </c>
      <c r="AD59" t="str">
        <f>""</f>
        <v/>
      </c>
      <c r="AE59" t="str">
        <f>""</f>
        <v/>
      </c>
      <c r="AF59" t="str">
        <f>""</f>
        <v/>
      </c>
      <c r="AG59" t="str">
        <f>""</f>
        <v/>
      </c>
      <c r="AH59" t="str">
        <f>""</f>
        <v/>
      </c>
      <c r="AI59" t="str">
        <f>""</f>
        <v/>
      </c>
      <c r="AJ59" t="str">
        <f>"0"</f>
        <v>0</v>
      </c>
      <c r="AK59" t="str">
        <f>"0"</f>
        <v>0</v>
      </c>
      <c r="AL59" t="str">
        <f>"0"</f>
        <v>0</v>
      </c>
      <c r="AM59" t="str">
        <f>""</f>
        <v/>
      </c>
      <c r="AN59" t="str">
        <f>""</f>
        <v/>
      </c>
      <c r="AO59" t="str">
        <f>""</f>
        <v/>
      </c>
      <c r="AP59" t="str">
        <f>""</f>
        <v/>
      </c>
      <c r="AQ59" t="str">
        <f>""</f>
        <v/>
      </c>
      <c r="AR59" t="str">
        <f>""</f>
        <v/>
      </c>
      <c r="AS59" t="str">
        <f>""</f>
        <v/>
      </c>
      <c r="AT59" t="str">
        <f>""</f>
        <v/>
      </c>
      <c r="AU59" t="str">
        <f>""</f>
        <v/>
      </c>
      <c r="AV59" t="str">
        <f>""</f>
        <v/>
      </c>
      <c r="AW59" t="str">
        <f>""</f>
        <v/>
      </c>
      <c r="AX59" t="str">
        <f>""</f>
        <v/>
      </c>
      <c r="AY59" t="str">
        <f>""</f>
        <v/>
      </c>
      <c r="AZ59" t="str">
        <f>""</f>
        <v/>
      </c>
      <c r="BA59" t="str">
        <f>""</f>
        <v/>
      </c>
      <c r="BB59" t="str">
        <f>"27/07/2018 09:25:52"</f>
        <v>27/07/2018 09:25:52</v>
      </c>
      <c r="BC59" t="str">
        <f>""</f>
        <v/>
      </c>
      <c r="BD59" t="str">
        <f>""</f>
        <v/>
      </c>
      <c r="BE59" t="str">
        <f>"851"</f>
        <v>851</v>
      </c>
      <c r="BF59" t="str">
        <f t="shared" si="6"/>
        <v>A</v>
      </c>
      <c r="BG59" t="str">
        <f>"0,00"</f>
        <v>0,00</v>
      </c>
      <c r="BH59" t="str">
        <f>"0,00"</f>
        <v>0,00</v>
      </c>
      <c r="BI59" t="str">
        <f t="shared" si="20"/>
        <v>EVENTUAL</v>
      </c>
      <c r="BJ59" t="str">
        <f t="shared" si="8"/>
        <v>1</v>
      </c>
      <c r="BK59" t="str">
        <f t="shared" si="9"/>
        <v>Farmacia</v>
      </c>
      <c r="BL59" t="str">
        <f>""</f>
        <v/>
      </c>
      <c r="BM59" t="str">
        <f>"NÃO É VARILUX ESPECIALISTA"</f>
        <v>NÃO É VARILUX ESPECIALISTA</v>
      </c>
      <c r="BN59" t="str">
        <f>"NA"</f>
        <v>NA</v>
      </c>
      <c r="BO59" t="str">
        <f>"OUTROS"</f>
        <v>OUTROS</v>
      </c>
      <c r="BP59" t="str">
        <f>""</f>
        <v/>
      </c>
      <c r="BQ59" t="str">
        <f>""</f>
        <v/>
      </c>
      <c r="BR59" t="str">
        <f>"27/07/2018"</f>
        <v>27/07/2018</v>
      </c>
      <c r="BS59" t="str">
        <f>""</f>
        <v/>
      </c>
      <c r="BT59" t="str">
        <f>""</f>
        <v/>
      </c>
      <c r="BU59" t="str">
        <f>""</f>
        <v/>
      </c>
      <c r="BV59" t="str">
        <f>"2"</f>
        <v>2</v>
      </c>
      <c r="BW59" t="str">
        <f>"44"</f>
        <v>44</v>
      </c>
    </row>
    <row r="60" spans="1:75" x14ac:dyDescent="0.35">
      <c r="A60">
        <v>156760</v>
      </c>
      <c r="B60" t="str">
        <f t="shared" si="0"/>
        <v>A</v>
      </c>
      <c r="C60" t="str">
        <f t="shared" si="1"/>
        <v>80</v>
      </c>
      <c r="D60" t="str">
        <f t="shared" si="2"/>
        <v>11121001</v>
      </c>
      <c r="E60" t="str">
        <f t="shared" si="3"/>
        <v>121001</v>
      </c>
      <c r="F60" t="str">
        <f t="shared" si="4"/>
        <v>JENIFER SANTOS</v>
      </c>
      <c r="G60" t="str">
        <f>"45665071000141"</f>
        <v>45665071000141</v>
      </c>
      <c r="H60" t="str">
        <f t="shared" ref="H60:H71" si="26">"0"</f>
        <v>0</v>
      </c>
      <c r="I60" t="str">
        <f t="shared" si="5"/>
        <v>CONTA OPTICA</v>
      </c>
      <c r="J60" t="str">
        <f>"CMX RELOJOARIA E OTICA LTDA"</f>
        <v>CMX RELOJOARIA E OTICA LTDA</v>
      </c>
      <c r="K60" t="str">
        <f>"OTICA OXFORD (4500)"</f>
        <v>OTICA OXFORD (4500)</v>
      </c>
      <c r="L60" t="str">
        <f>""</f>
        <v/>
      </c>
      <c r="M60" t="str">
        <f>""</f>
        <v/>
      </c>
      <c r="N60" t="str">
        <f>"OTICASOLLARSBS@YAHOO.COM.BR"</f>
        <v>OTICASOLLARSBS@YAHOO.COM.BR</v>
      </c>
      <c r="O60" t="str">
        <f>""</f>
        <v/>
      </c>
      <c r="P60" t="str">
        <f>"RUA JORGE DIENER"</f>
        <v>RUA JORGE DIENER</v>
      </c>
      <c r="Q60" t="str">
        <f>"80"</f>
        <v>80</v>
      </c>
      <c r="R60" t="str">
        <f>"SALA B"</f>
        <v>SALA B</v>
      </c>
      <c r="S60" t="str">
        <f>""</f>
        <v/>
      </c>
      <c r="T60" t="str">
        <f>"89285580"</f>
        <v>89285580</v>
      </c>
      <c r="U60" t="str">
        <f>"OXFORD"</f>
        <v>OXFORD</v>
      </c>
      <c r="V60" t="str">
        <f>"SAO BENTO DO SUL"</f>
        <v>SAO BENTO DO SUL</v>
      </c>
      <c r="W60" t="str">
        <f t="shared" si="24"/>
        <v>SC</v>
      </c>
      <c r="X60" t="str">
        <f>"47"</f>
        <v>47</v>
      </c>
      <c r="Y60" t="str">
        <f>"30125770"</f>
        <v>30125770</v>
      </c>
      <c r="Z60" t="str">
        <f>""</f>
        <v/>
      </c>
      <c r="AA60" t="str">
        <f>""</f>
        <v/>
      </c>
      <c r="AB60" t="str">
        <f>""</f>
        <v/>
      </c>
      <c r="AC60" t="str">
        <f>""</f>
        <v/>
      </c>
      <c r="AD60" t="str">
        <f>""</f>
        <v/>
      </c>
      <c r="AE60" t="str">
        <f>""</f>
        <v/>
      </c>
      <c r="AF60" t="str">
        <f>""</f>
        <v/>
      </c>
      <c r="AG60" t="str">
        <f>""</f>
        <v/>
      </c>
      <c r="AH60" t="str">
        <f>""</f>
        <v/>
      </c>
      <c r="AI60" t="str">
        <f>""</f>
        <v/>
      </c>
      <c r="AJ60" t="str">
        <f>""</f>
        <v/>
      </c>
      <c r="AK60" t="str">
        <f>""</f>
        <v/>
      </c>
      <c r="AL60" t="str">
        <f>""</f>
        <v/>
      </c>
      <c r="AM60" t="str">
        <f>""</f>
        <v/>
      </c>
      <c r="AN60" t="str">
        <f>""</f>
        <v/>
      </c>
      <c r="AO60" t="str">
        <f>""</f>
        <v/>
      </c>
      <c r="AP60" t="str">
        <f>""</f>
        <v/>
      </c>
      <c r="AQ60" t="str">
        <f>""</f>
        <v/>
      </c>
      <c r="AR60" t="str">
        <f>""</f>
        <v/>
      </c>
      <c r="AS60" t="str">
        <f>""</f>
        <v/>
      </c>
      <c r="AT60" t="str">
        <f>""</f>
        <v/>
      </c>
      <c r="AU60" t="str">
        <f>""</f>
        <v/>
      </c>
      <c r="AV60" t="str">
        <f>""</f>
        <v/>
      </c>
      <c r="AW60" t="str">
        <f>""</f>
        <v/>
      </c>
      <c r="AX60" t="str">
        <f>""</f>
        <v/>
      </c>
      <c r="AY60" t="str">
        <f>""</f>
        <v/>
      </c>
      <c r="AZ60" t="str">
        <f>""</f>
        <v/>
      </c>
      <c r="BA60" t="str">
        <f>""</f>
        <v/>
      </c>
      <c r="BB60" t="str">
        <f>"06/07/2023 12:07:48"</f>
        <v>06/07/2023 12:07:48</v>
      </c>
      <c r="BC60" t="str">
        <f>""</f>
        <v/>
      </c>
      <c r="BD60" t="str">
        <f>""</f>
        <v/>
      </c>
      <c r="BE60" t="str">
        <f>""</f>
        <v/>
      </c>
      <c r="BF60" t="str">
        <f t="shared" si="6"/>
        <v>A</v>
      </c>
      <c r="BG60" t="str">
        <f>""</f>
        <v/>
      </c>
      <c r="BH60" t="str">
        <f>""</f>
        <v/>
      </c>
      <c r="BI60" t="str">
        <f t="shared" si="20"/>
        <v>EVENTUAL</v>
      </c>
      <c r="BJ60" t="str">
        <f t="shared" si="8"/>
        <v>1</v>
      </c>
      <c r="BK60" t="str">
        <f t="shared" si="9"/>
        <v>Farmacia</v>
      </c>
      <c r="BL60" t="str">
        <f>""</f>
        <v/>
      </c>
      <c r="BM60" t="str">
        <f>""</f>
        <v/>
      </c>
      <c r="BN60" t="str">
        <f>""</f>
        <v/>
      </c>
      <c r="BO60" t="str">
        <f>""</f>
        <v/>
      </c>
      <c r="BP60" t="str">
        <f>""</f>
        <v/>
      </c>
      <c r="BQ60" t="str">
        <f>""</f>
        <v/>
      </c>
      <c r="BR60" t="str">
        <f>"06/07/2023"</f>
        <v>06/07/2023</v>
      </c>
      <c r="BS60" t="str">
        <f>""</f>
        <v/>
      </c>
      <c r="BT60" t="str">
        <f>""</f>
        <v/>
      </c>
      <c r="BU60" t="str">
        <f>""</f>
        <v/>
      </c>
      <c r="BV60" t="str">
        <f>""</f>
        <v/>
      </c>
      <c r="BW60" t="str">
        <f>"2"</f>
        <v>2</v>
      </c>
    </row>
    <row r="61" spans="1:75" x14ac:dyDescent="0.35">
      <c r="A61">
        <v>157529</v>
      </c>
      <c r="B61" t="str">
        <f t="shared" si="0"/>
        <v>A</v>
      </c>
      <c r="C61" t="str">
        <f t="shared" si="1"/>
        <v>80</v>
      </c>
      <c r="D61" t="str">
        <f t="shared" si="2"/>
        <v>11121001</v>
      </c>
      <c r="E61" t="str">
        <f t="shared" si="3"/>
        <v>121001</v>
      </c>
      <c r="F61" t="str">
        <f t="shared" si="4"/>
        <v>JENIFER SANTOS</v>
      </c>
      <c r="G61" t="str">
        <f>"04285802000146"</f>
        <v>04285802000146</v>
      </c>
      <c r="H61" t="str">
        <f t="shared" si="26"/>
        <v>0</v>
      </c>
      <c r="I61" t="str">
        <f t="shared" si="5"/>
        <v>CONTA OPTICA</v>
      </c>
      <c r="J61" t="str">
        <f>"COELHO E COLLA COMERCIO DE JOIAS LTDA"</f>
        <v>COELHO E COLLA COMERCIO DE JOIAS LTDA</v>
      </c>
      <c r="K61" t="str">
        <f>"COELHO JOIAS  (3849)"</f>
        <v>COELHO JOIAS  (3849)</v>
      </c>
      <c r="L61" t="str">
        <f>""</f>
        <v/>
      </c>
      <c r="M61" t="str">
        <f>""</f>
        <v/>
      </c>
      <c r="N61" t="str">
        <f>"COELHOJOIAS@YAHOO.COM.BR"</f>
        <v>COELHOJOIAS@YAHOO.COM.BR</v>
      </c>
      <c r="O61" t="str">
        <f>""</f>
        <v/>
      </c>
      <c r="P61" t="str">
        <f>"SANTA CATARINA"</f>
        <v>SANTA CATARINA</v>
      </c>
      <c r="Q61" t="str">
        <f>"248"</f>
        <v>248</v>
      </c>
      <c r="R61" t="str">
        <f>""</f>
        <v/>
      </c>
      <c r="S61" t="str">
        <f>"1284"</f>
        <v>1284</v>
      </c>
      <c r="T61" t="str">
        <f>"89500000"</f>
        <v>89500000</v>
      </c>
      <c r="U61" t="str">
        <f>"CENTRO"</f>
        <v>CENTRO</v>
      </c>
      <c r="V61" t="str">
        <f>"CACADOR"</f>
        <v>CACADOR</v>
      </c>
      <c r="W61" t="str">
        <f t="shared" si="24"/>
        <v>SC</v>
      </c>
      <c r="X61" t="str">
        <f>"49"</f>
        <v>49</v>
      </c>
      <c r="Y61" t="str">
        <f>"35634231"</f>
        <v>35634231</v>
      </c>
      <c r="Z61" t="str">
        <f>""</f>
        <v/>
      </c>
      <c r="AA61" t="str">
        <f>""</f>
        <v/>
      </c>
      <c r="AB61" t="str">
        <f>""</f>
        <v/>
      </c>
      <c r="AC61" t="str">
        <f>""</f>
        <v/>
      </c>
      <c r="AD61" t="str">
        <f>""</f>
        <v/>
      </c>
      <c r="AE61" t="str">
        <f>""</f>
        <v/>
      </c>
      <c r="AF61" t="str">
        <f>""</f>
        <v/>
      </c>
      <c r="AG61" t="str">
        <f>""</f>
        <v/>
      </c>
      <c r="AH61" t="str">
        <f>""</f>
        <v/>
      </c>
      <c r="AI61" t="str">
        <f>""</f>
        <v/>
      </c>
      <c r="AJ61" t="str">
        <f>""</f>
        <v/>
      </c>
      <c r="AK61" t="str">
        <f>""</f>
        <v/>
      </c>
      <c r="AL61" t="str">
        <f>""</f>
        <v/>
      </c>
      <c r="AM61" t="str">
        <f>""</f>
        <v/>
      </c>
      <c r="AN61" t="str">
        <f>""</f>
        <v/>
      </c>
      <c r="AO61" t="str">
        <f>""</f>
        <v/>
      </c>
      <c r="AP61" t="str">
        <f>""</f>
        <v/>
      </c>
      <c r="AQ61" t="str">
        <f>""</f>
        <v/>
      </c>
      <c r="AR61" t="str">
        <f>""</f>
        <v/>
      </c>
      <c r="AS61" t="str">
        <f>""</f>
        <v/>
      </c>
      <c r="AT61" t="str">
        <f>""</f>
        <v/>
      </c>
      <c r="AU61" t="str">
        <f>""</f>
        <v/>
      </c>
      <c r="AV61" t="str">
        <f>""</f>
        <v/>
      </c>
      <c r="AW61" t="str">
        <f>""</f>
        <v/>
      </c>
      <c r="AX61" t="str">
        <f>""</f>
        <v/>
      </c>
      <c r="AY61" t="str">
        <f>""</f>
        <v/>
      </c>
      <c r="AZ61" t="str">
        <f>""</f>
        <v/>
      </c>
      <c r="BA61" t="str">
        <f>""</f>
        <v/>
      </c>
      <c r="BB61" t="str">
        <f>"11/07/2023 02:14:29"</f>
        <v>11/07/2023 02:14:29</v>
      </c>
      <c r="BC61" t="str">
        <f>""</f>
        <v/>
      </c>
      <c r="BD61" t="str">
        <f>""</f>
        <v/>
      </c>
      <c r="BE61" t="str">
        <f>""</f>
        <v/>
      </c>
      <c r="BF61" t="str">
        <f t="shared" si="6"/>
        <v>A</v>
      </c>
      <c r="BG61" t="str">
        <f>""</f>
        <v/>
      </c>
      <c r="BH61" t="str">
        <f>""</f>
        <v/>
      </c>
      <c r="BI61" t="str">
        <f t="shared" si="20"/>
        <v>EVENTUAL</v>
      </c>
      <c r="BJ61" t="str">
        <f t="shared" si="8"/>
        <v>1</v>
      </c>
      <c r="BK61" t="str">
        <f t="shared" si="9"/>
        <v>Farmacia</v>
      </c>
      <c r="BL61" t="str">
        <f>""</f>
        <v/>
      </c>
      <c r="BM61" t="str">
        <f>""</f>
        <v/>
      </c>
      <c r="BN61" t="str">
        <f>""</f>
        <v/>
      </c>
      <c r="BO61" t="str">
        <f>""</f>
        <v/>
      </c>
      <c r="BP61" t="str">
        <f>""</f>
        <v/>
      </c>
      <c r="BQ61" t="str">
        <f>""</f>
        <v/>
      </c>
      <c r="BR61" t="str">
        <f>"11/07/2023"</f>
        <v>11/07/2023</v>
      </c>
      <c r="BS61" t="str">
        <f>""</f>
        <v/>
      </c>
      <c r="BT61" t="str">
        <f>""</f>
        <v/>
      </c>
      <c r="BU61" t="str">
        <f>""</f>
        <v/>
      </c>
      <c r="BV61" t="str">
        <f>""</f>
        <v/>
      </c>
      <c r="BW61" t="str">
        <f>"Não visitado"</f>
        <v>Não visitado</v>
      </c>
    </row>
    <row r="62" spans="1:75" x14ac:dyDescent="0.35">
      <c r="A62">
        <v>156749</v>
      </c>
      <c r="B62" t="str">
        <f t="shared" si="0"/>
        <v>A</v>
      </c>
      <c r="C62" t="str">
        <f t="shared" si="1"/>
        <v>80</v>
      </c>
      <c r="D62" t="str">
        <f t="shared" si="2"/>
        <v>11121001</v>
      </c>
      <c r="E62" t="str">
        <f t="shared" si="3"/>
        <v>121001</v>
      </c>
      <c r="F62" t="str">
        <f t="shared" si="4"/>
        <v>JENIFER SANTOS</v>
      </c>
      <c r="G62" t="str">
        <f>"45693893000136"</f>
        <v>45693893000136</v>
      </c>
      <c r="H62" t="str">
        <f t="shared" si="26"/>
        <v>0</v>
      </c>
      <c r="I62" t="str">
        <f t="shared" si="5"/>
        <v>CONTA OPTICA</v>
      </c>
      <c r="J62" t="str">
        <f>"COMERCIAL DE OCULOS A F MELO PASCOAL - LOJA II LTDA"</f>
        <v>COMERCIAL DE OCULOS A F MELO PASCOAL - LOJA II LTDA</v>
      </c>
      <c r="K62" t="str">
        <f>"MERCADOTICA (4622)"</f>
        <v>MERCADOTICA (4622)</v>
      </c>
      <c r="L62" t="str">
        <f>""</f>
        <v/>
      </c>
      <c r="M62" t="str">
        <f>""</f>
        <v/>
      </c>
      <c r="N62" t="str">
        <f>"FLAVIA.PASCOAL@OTICASMERCADOTICA.COM.BR"</f>
        <v>FLAVIA.PASCOAL@OTICASMERCADOTICA.COM.BR</v>
      </c>
      <c r="O62" t="str">
        <f>""</f>
        <v/>
      </c>
      <c r="P62" t="str">
        <f>"RUA MARIO LOBO"</f>
        <v>RUA MARIO LOBO</v>
      </c>
      <c r="Q62" t="str">
        <f>"211"</f>
        <v>211</v>
      </c>
      <c r="R62" t="str">
        <f>""</f>
        <v/>
      </c>
      <c r="S62" t="str">
        <f>"1277"</f>
        <v>1277</v>
      </c>
      <c r="T62" t="str">
        <f>"89201330"</f>
        <v>89201330</v>
      </c>
      <c r="U62" t="str">
        <f>"CENTRO"</f>
        <v>CENTRO</v>
      </c>
      <c r="V62" t="str">
        <f>"JOINVILLE"</f>
        <v>JOINVILLE</v>
      </c>
      <c r="W62" t="str">
        <f t="shared" si="24"/>
        <v>SC</v>
      </c>
      <c r="X62" t="str">
        <f>"47"</f>
        <v>47</v>
      </c>
      <c r="Y62" t="str">
        <f>"991271990"</f>
        <v>991271990</v>
      </c>
      <c r="Z62" t="str">
        <f>""</f>
        <v/>
      </c>
      <c r="AA62" t="str">
        <f>""</f>
        <v/>
      </c>
      <c r="AB62" t="str">
        <f>""</f>
        <v/>
      </c>
      <c r="AC62" t="str">
        <f>""</f>
        <v/>
      </c>
      <c r="AD62" t="str">
        <f>""</f>
        <v/>
      </c>
      <c r="AE62" t="str">
        <f>""</f>
        <v/>
      </c>
      <c r="AF62" t="str">
        <f>""</f>
        <v/>
      </c>
      <c r="AG62" t="str">
        <f>""</f>
        <v/>
      </c>
      <c r="AH62" t="str">
        <f>""</f>
        <v/>
      </c>
      <c r="AI62" t="str">
        <f>""</f>
        <v/>
      </c>
      <c r="AJ62" t="str">
        <f>""</f>
        <v/>
      </c>
      <c r="AK62" t="str">
        <f>""</f>
        <v/>
      </c>
      <c r="AL62" t="str">
        <f>""</f>
        <v/>
      </c>
      <c r="AM62" t="str">
        <f>""</f>
        <v/>
      </c>
      <c r="AN62" t="str">
        <f>""</f>
        <v/>
      </c>
      <c r="AO62" t="str">
        <f>""</f>
        <v/>
      </c>
      <c r="AP62" t="str">
        <f>""</f>
        <v/>
      </c>
      <c r="AQ62" t="str">
        <f>""</f>
        <v/>
      </c>
      <c r="AR62" t="str">
        <f>""</f>
        <v/>
      </c>
      <c r="AS62" t="str">
        <f>""</f>
        <v/>
      </c>
      <c r="AT62" t="str">
        <f>""</f>
        <v/>
      </c>
      <c r="AU62" t="str">
        <f>""</f>
        <v/>
      </c>
      <c r="AV62" t="str">
        <f>""</f>
        <v/>
      </c>
      <c r="AW62" t="str">
        <f>""</f>
        <v/>
      </c>
      <c r="AX62" t="str">
        <f>""</f>
        <v/>
      </c>
      <c r="AY62" t="str">
        <f>""</f>
        <v/>
      </c>
      <c r="AZ62" t="str">
        <f>""</f>
        <v/>
      </c>
      <c r="BA62" t="str">
        <f>""</f>
        <v/>
      </c>
      <c r="BB62" t="str">
        <f>"06/07/2023 12:07:48"</f>
        <v>06/07/2023 12:07:48</v>
      </c>
      <c r="BC62" t="str">
        <f>""</f>
        <v/>
      </c>
      <c r="BD62" t="str">
        <f>""</f>
        <v/>
      </c>
      <c r="BE62" t="str">
        <f>""</f>
        <v/>
      </c>
      <c r="BF62" t="str">
        <f t="shared" si="6"/>
        <v>A</v>
      </c>
      <c r="BG62" t="str">
        <f>""</f>
        <v/>
      </c>
      <c r="BH62" t="str">
        <f>""</f>
        <v/>
      </c>
      <c r="BI62" t="str">
        <f t="shared" si="20"/>
        <v>EVENTUAL</v>
      </c>
      <c r="BJ62" t="str">
        <f t="shared" si="8"/>
        <v>1</v>
      </c>
      <c r="BK62" t="str">
        <f t="shared" si="9"/>
        <v>Farmacia</v>
      </c>
      <c r="BL62" t="str">
        <f>""</f>
        <v/>
      </c>
      <c r="BM62" t="str">
        <f>""</f>
        <v/>
      </c>
      <c r="BN62" t="str">
        <f>""</f>
        <v/>
      </c>
      <c r="BO62" t="str">
        <f>""</f>
        <v/>
      </c>
      <c r="BP62" t="str">
        <f>""</f>
        <v/>
      </c>
      <c r="BQ62" t="str">
        <f>""</f>
        <v/>
      </c>
      <c r="BR62" t="str">
        <f>"06/07/2023"</f>
        <v>06/07/2023</v>
      </c>
      <c r="BS62" t="str">
        <f>""</f>
        <v/>
      </c>
      <c r="BT62" t="str">
        <f>""</f>
        <v/>
      </c>
      <c r="BU62" t="str">
        <f>""</f>
        <v/>
      </c>
      <c r="BV62" t="str">
        <f>""</f>
        <v/>
      </c>
      <c r="BW62" t="str">
        <f>"Não visitado"</f>
        <v>Não visitado</v>
      </c>
    </row>
    <row r="63" spans="1:75" x14ac:dyDescent="0.35">
      <c r="A63">
        <v>137985</v>
      </c>
      <c r="B63" t="str">
        <f t="shared" si="0"/>
        <v>A</v>
      </c>
      <c r="C63" t="str">
        <f t="shared" si="1"/>
        <v>80</v>
      </c>
      <c r="D63" t="str">
        <f t="shared" si="2"/>
        <v>11121001</v>
      </c>
      <c r="E63" t="str">
        <f t="shared" si="3"/>
        <v>121001</v>
      </c>
      <c r="F63" t="str">
        <f t="shared" si="4"/>
        <v>JENIFER SANTOS</v>
      </c>
      <c r="G63" t="str">
        <f>"83856633000123"</f>
        <v>83856633000123</v>
      </c>
      <c r="H63" t="str">
        <f t="shared" si="26"/>
        <v>0</v>
      </c>
      <c r="I63" t="str">
        <f t="shared" si="5"/>
        <v>CONTA OPTICA</v>
      </c>
      <c r="J63" t="str">
        <f>"COMERCIO DE JOIAS E SEMI JOIAS SEVERGNINI"</f>
        <v>COMERCIO DE JOIAS E SEMI JOIAS SEVERGNINI</v>
      </c>
      <c r="K63" t="str">
        <f>"OMEGA OPTICA E JOALHERIA (4279)"</f>
        <v>OMEGA OPTICA E JOALHERIA (4279)</v>
      </c>
      <c r="L63" t="str">
        <f>""</f>
        <v/>
      </c>
      <c r="M63" t="str">
        <f>""</f>
        <v/>
      </c>
      <c r="N63" t="str">
        <f>"VANCARLOSS14@GMAIL.COM"</f>
        <v>VANCARLOSS14@GMAIL.COM</v>
      </c>
      <c r="O63" t="str">
        <f>""</f>
        <v/>
      </c>
      <c r="P63" t="str">
        <f>"RUA CORONEL PASSOS MAIA"</f>
        <v>RUA CORONEL PASSOS MAIA</v>
      </c>
      <c r="Q63" t="str">
        <f>"757"</f>
        <v>757</v>
      </c>
      <c r="R63" t="str">
        <f>""</f>
        <v/>
      </c>
      <c r="S63" t="str">
        <f>"1288"</f>
        <v>1288</v>
      </c>
      <c r="T63" t="str">
        <f>"89820000"</f>
        <v>89820000</v>
      </c>
      <c r="U63" t="str">
        <f>"CENTRO"</f>
        <v>CENTRO</v>
      </c>
      <c r="V63" t="str">
        <f>"XANXERÊ"</f>
        <v>XANXERÊ</v>
      </c>
      <c r="W63" t="str">
        <f t="shared" si="24"/>
        <v>SC</v>
      </c>
      <c r="X63" t="str">
        <f>"49"</f>
        <v>49</v>
      </c>
      <c r="Y63" t="str">
        <f>"991201414"</f>
        <v>991201414</v>
      </c>
      <c r="Z63" t="str">
        <f>""</f>
        <v/>
      </c>
      <c r="AA63" t="str">
        <f>""</f>
        <v/>
      </c>
      <c r="AB63" t="str">
        <f>""</f>
        <v/>
      </c>
      <c r="AC63" t="str">
        <f>""</f>
        <v/>
      </c>
      <c r="AD63" t="str">
        <f>""</f>
        <v/>
      </c>
      <c r="AE63" t="str">
        <f>""</f>
        <v/>
      </c>
      <c r="AF63" t="str">
        <f>""</f>
        <v/>
      </c>
      <c r="AG63" t="str">
        <f>"S"</f>
        <v>S</v>
      </c>
      <c r="AH63" t="str">
        <f>""</f>
        <v/>
      </c>
      <c r="AI63" t="str">
        <f>""</f>
        <v/>
      </c>
      <c r="AJ63" t="str">
        <f>""</f>
        <v/>
      </c>
      <c r="AK63" t="str">
        <f>""</f>
        <v/>
      </c>
      <c r="AL63" t="str">
        <f>""</f>
        <v/>
      </c>
      <c r="AM63" t="str">
        <f>""</f>
        <v/>
      </c>
      <c r="AN63" t="str">
        <f>""</f>
        <v/>
      </c>
      <c r="AO63" t="str">
        <f>""</f>
        <v/>
      </c>
      <c r="AP63" t="str">
        <f>""</f>
        <v/>
      </c>
      <c r="AQ63" t="str">
        <f>"N"</f>
        <v>N</v>
      </c>
      <c r="AR63" t="str">
        <f>"N"</f>
        <v>N</v>
      </c>
      <c r="AS63" t="str">
        <f>"N"</f>
        <v>N</v>
      </c>
      <c r="AT63" t="str">
        <f>"N"</f>
        <v>N</v>
      </c>
      <c r="AU63" t="str">
        <f>"N"</f>
        <v>N</v>
      </c>
      <c r="AV63" t="str">
        <f>""</f>
        <v/>
      </c>
      <c r="AW63" t="str">
        <f>""</f>
        <v/>
      </c>
      <c r="AX63" t="str">
        <f>""</f>
        <v/>
      </c>
      <c r="AY63" t="str">
        <f>""</f>
        <v/>
      </c>
      <c r="AZ63" t="str">
        <f>""</f>
        <v/>
      </c>
      <c r="BA63" t="str">
        <f>""</f>
        <v/>
      </c>
      <c r="BB63" t="str">
        <f>"01/07/2021 13:53:04"</f>
        <v>01/07/2021 13:53:04</v>
      </c>
      <c r="BC63" t="str">
        <f>"09/03/2022 16:56:50"</f>
        <v>09/03/2022 16:56:50</v>
      </c>
      <c r="BD63" t="str">
        <f>""</f>
        <v/>
      </c>
      <c r="BE63" t="str">
        <f>""</f>
        <v/>
      </c>
      <c r="BF63" t="str">
        <f t="shared" si="6"/>
        <v>A</v>
      </c>
      <c r="BG63" t="str">
        <f>""</f>
        <v/>
      </c>
      <c r="BH63" t="str">
        <f>"0,00"</f>
        <v>0,00</v>
      </c>
      <c r="BI63" t="str">
        <f t="shared" si="20"/>
        <v>EVENTUAL</v>
      </c>
      <c r="BJ63" t="str">
        <f t="shared" si="8"/>
        <v>1</v>
      </c>
      <c r="BK63" t="str">
        <f t="shared" si="9"/>
        <v>Farmacia</v>
      </c>
      <c r="BL63" t="str">
        <f>""</f>
        <v/>
      </c>
      <c r="BM63" t="str">
        <f>"NÃO É VARILUX ESPECIALISTA"</f>
        <v>NÃO É VARILUX ESPECIALISTA</v>
      </c>
      <c r="BN63" t="str">
        <f>"NA"</f>
        <v>NA</v>
      </c>
      <c r="BO63" t="str">
        <f>""</f>
        <v/>
      </c>
      <c r="BP63" t="str">
        <f>""</f>
        <v/>
      </c>
      <c r="BQ63" t="str">
        <f>""</f>
        <v/>
      </c>
      <c r="BR63" t="str">
        <f>"01/07/2021"</f>
        <v>01/07/2021</v>
      </c>
      <c r="BS63" t="str">
        <f>"09/03/2022"</f>
        <v>09/03/2022</v>
      </c>
      <c r="BT63" t="str">
        <f>""</f>
        <v/>
      </c>
      <c r="BU63" t="str">
        <f>""</f>
        <v/>
      </c>
      <c r="BV63" t="str">
        <f>""</f>
        <v/>
      </c>
      <c r="BW63" t="str">
        <f>"8"</f>
        <v>8</v>
      </c>
    </row>
    <row r="64" spans="1:75" x14ac:dyDescent="0.35">
      <c r="A64">
        <v>157557</v>
      </c>
      <c r="B64" t="str">
        <f t="shared" si="0"/>
        <v>A</v>
      </c>
      <c r="C64" t="str">
        <f t="shared" si="1"/>
        <v>80</v>
      </c>
      <c r="D64" t="str">
        <f t="shared" si="2"/>
        <v>11121001</v>
      </c>
      <c r="E64" t="str">
        <f t="shared" si="3"/>
        <v>121001</v>
      </c>
      <c r="F64" t="str">
        <f t="shared" si="4"/>
        <v>JENIFER SANTOS</v>
      </c>
      <c r="G64" t="str">
        <f>"04085812000138"</f>
        <v>04085812000138</v>
      </c>
      <c r="H64" t="str">
        <f t="shared" si="26"/>
        <v>0</v>
      </c>
      <c r="I64" t="str">
        <f t="shared" si="5"/>
        <v>CONTA OPTICA</v>
      </c>
      <c r="J64" t="str">
        <f>"COMERCIO DE OTICA ELEDOIS LTDA"</f>
        <v>COMERCIO DE OTICA ELEDOIS LTDA</v>
      </c>
      <c r="K64" t="str">
        <f>"BRASOPTICA (715)"</f>
        <v>BRASOPTICA (715)</v>
      </c>
      <c r="L64" t="str">
        <f>""</f>
        <v/>
      </c>
      <c r="M64" t="str">
        <f>""</f>
        <v/>
      </c>
      <c r="N64" t="str">
        <f t="shared" ref="N64:N70" si="27">"GUSTAVO@BRASOPTICA.COM.BR"</f>
        <v>GUSTAVO@BRASOPTICA.COM.BR</v>
      </c>
      <c r="O64" t="str">
        <f>""</f>
        <v/>
      </c>
      <c r="P64" t="str">
        <f>"DO COMERCIO"</f>
        <v>DO COMERCIO</v>
      </c>
      <c r="Q64" t="str">
        <f>"1294"</f>
        <v>1294</v>
      </c>
      <c r="R64" t="str">
        <f>"ED LAFAYETTI"</f>
        <v>ED LAFAYETTI</v>
      </c>
      <c r="S64" t="str">
        <f>"1391"</f>
        <v>1391</v>
      </c>
      <c r="T64" t="str">
        <f>"99950000"</f>
        <v>99950000</v>
      </c>
      <c r="U64" t="str">
        <f>"CENTRO"</f>
        <v>CENTRO</v>
      </c>
      <c r="V64" t="str">
        <f>"TAPEJARA"</f>
        <v>TAPEJARA</v>
      </c>
      <c r="W64" t="str">
        <f t="shared" ref="W64:W70" si="28">"RS"</f>
        <v>RS</v>
      </c>
      <c r="X64" t="str">
        <f t="shared" ref="X64:X70" si="29">"54"</f>
        <v>54</v>
      </c>
      <c r="Y64" t="str">
        <f>"30455259"</f>
        <v>30455259</v>
      </c>
      <c r="Z64" t="str">
        <f>""</f>
        <v/>
      </c>
      <c r="AA64" t="str">
        <f>""</f>
        <v/>
      </c>
      <c r="AB64" t="str">
        <f>""</f>
        <v/>
      </c>
      <c r="AC64" t="str">
        <f>""</f>
        <v/>
      </c>
      <c r="AD64" t="str">
        <f>""</f>
        <v/>
      </c>
      <c r="AE64" t="str">
        <f>""</f>
        <v/>
      </c>
      <c r="AF64" t="str">
        <f>""</f>
        <v/>
      </c>
      <c r="AG64" t="str">
        <f>""</f>
        <v/>
      </c>
      <c r="AH64" t="str">
        <f>""</f>
        <v/>
      </c>
      <c r="AI64" t="str">
        <f>""</f>
        <v/>
      </c>
      <c r="AJ64" t="str">
        <f>""</f>
        <v/>
      </c>
      <c r="AK64" t="str">
        <f>""</f>
        <v/>
      </c>
      <c r="AL64" t="str">
        <f>""</f>
        <v/>
      </c>
      <c r="AM64" t="str">
        <f>""</f>
        <v/>
      </c>
      <c r="AN64" t="str">
        <f>""</f>
        <v/>
      </c>
      <c r="AO64" t="str">
        <f>""</f>
        <v/>
      </c>
      <c r="AP64" t="str">
        <f>""</f>
        <v/>
      </c>
      <c r="AQ64" t="str">
        <f>""</f>
        <v/>
      </c>
      <c r="AR64" t="str">
        <f>""</f>
        <v/>
      </c>
      <c r="AS64" t="str">
        <f>""</f>
        <v/>
      </c>
      <c r="AT64" t="str">
        <f>""</f>
        <v/>
      </c>
      <c r="AU64" t="str">
        <f>""</f>
        <v/>
      </c>
      <c r="AV64" t="str">
        <f>""</f>
        <v/>
      </c>
      <c r="AW64" t="str">
        <f>""</f>
        <v/>
      </c>
      <c r="AX64" t="str">
        <f>""</f>
        <v/>
      </c>
      <c r="AY64" t="str">
        <f>""</f>
        <v/>
      </c>
      <c r="AZ64" t="str">
        <f>""</f>
        <v/>
      </c>
      <c r="BA64" t="str">
        <f>""</f>
        <v/>
      </c>
      <c r="BB64" t="str">
        <f t="shared" ref="BB64:BB71" si="30">"11/07/2023 02:14:29"</f>
        <v>11/07/2023 02:14:29</v>
      </c>
      <c r="BC64" t="str">
        <f>""</f>
        <v/>
      </c>
      <c r="BD64" t="str">
        <f>""</f>
        <v/>
      </c>
      <c r="BE64" t="str">
        <f>""</f>
        <v/>
      </c>
      <c r="BF64" t="str">
        <f t="shared" si="6"/>
        <v>A</v>
      </c>
      <c r="BG64" t="str">
        <f>""</f>
        <v/>
      </c>
      <c r="BH64" t="str">
        <f>""</f>
        <v/>
      </c>
      <c r="BI64" t="str">
        <f t="shared" si="20"/>
        <v>EVENTUAL</v>
      </c>
      <c r="BJ64" t="str">
        <f t="shared" si="8"/>
        <v>1</v>
      </c>
      <c r="BK64" t="str">
        <f t="shared" si="9"/>
        <v>Farmacia</v>
      </c>
      <c r="BL64" t="str">
        <f>""</f>
        <v/>
      </c>
      <c r="BM64" t="str">
        <f>""</f>
        <v/>
      </c>
      <c r="BN64" t="str">
        <f>""</f>
        <v/>
      </c>
      <c r="BO64" t="str">
        <f>""</f>
        <v/>
      </c>
      <c r="BP64" t="str">
        <f>""</f>
        <v/>
      </c>
      <c r="BQ64" t="str">
        <f>""</f>
        <v/>
      </c>
      <c r="BR64" t="str">
        <f t="shared" ref="BR64:BR71" si="31">"11/07/2023"</f>
        <v>11/07/2023</v>
      </c>
      <c r="BS64" t="str">
        <f>""</f>
        <v/>
      </c>
      <c r="BT64" t="str">
        <f>""</f>
        <v/>
      </c>
      <c r="BU64" t="str">
        <f>""</f>
        <v/>
      </c>
      <c r="BV64" t="str">
        <f>""</f>
        <v/>
      </c>
      <c r="BW64" t="str">
        <f t="shared" ref="BW64:BW71" si="32">"Não visitado"</f>
        <v>Não visitado</v>
      </c>
    </row>
    <row r="65" spans="1:75" x14ac:dyDescent="0.35">
      <c r="A65">
        <v>157540</v>
      </c>
      <c r="B65" t="str">
        <f t="shared" si="0"/>
        <v>A</v>
      </c>
      <c r="C65" t="str">
        <f t="shared" si="1"/>
        <v>80</v>
      </c>
      <c r="D65" t="str">
        <f t="shared" si="2"/>
        <v>11121001</v>
      </c>
      <c r="E65" t="str">
        <f t="shared" si="3"/>
        <v>121001</v>
      </c>
      <c r="F65" t="str">
        <f t="shared" si="4"/>
        <v>JENIFER SANTOS</v>
      </c>
      <c r="G65" t="str">
        <f>"04085812000308"</f>
        <v>04085812000308</v>
      </c>
      <c r="H65" t="str">
        <f t="shared" si="26"/>
        <v>0</v>
      </c>
      <c r="I65" t="str">
        <f t="shared" si="5"/>
        <v>CONTA OPTICA</v>
      </c>
      <c r="J65" t="str">
        <f>"COMERCIO DE OTICA ELEDOIS LTDA ME"</f>
        <v>COMERCIO DE OTICA ELEDOIS LTDA ME</v>
      </c>
      <c r="K65" t="str">
        <f>"BRASOPTICA (2199)"</f>
        <v>BRASOPTICA (2199)</v>
      </c>
      <c r="L65" t="str">
        <f>""</f>
        <v/>
      </c>
      <c r="M65" t="str">
        <f>""</f>
        <v/>
      </c>
      <c r="N65" t="str">
        <f t="shared" si="27"/>
        <v>GUSTAVO@BRASOPTICA.COM.BR</v>
      </c>
      <c r="O65" t="str">
        <f>""</f>
        <v/>
      </c>
      <c r="P65" t="str">
        <f>"BRASIL OESTE"</f>
        <v>BRASIL OESTE</v>
      </c>
      <c r="Q65" t="str">
        <f>"234"</f>
        <v>234</v>
      </c>
      <c r="R65" t="str">
        <f>"SALA 02"</f>
        <v>SALA 02</v>
      </c>
      <c r="S65" t="str">
        <f>"1383"</f>
        <v>1383</v>
      </c>
      <c r="T65" t="str">
        <f>"99025004"</f>
        <v>99025004</v>
      </c>
      <c r="U65" t="str">
        <f>"BOQUEIRAO"</f>
        <v>BOQUEIRAO</v>
      </c>
      <c r="V65" t="str">
        <f>"PASSO FUNDO"</f>
        <v>PASSO FUNDO</v>
      </c>
      <c r="W65" t="str">
        <f t="shared" si="28"/>
        <v>RS</v>
      </c>
      <c r="X65" t="str">
        <f t="shared" si="29"/>
        <v>54</v>
      </c>
      <c r="Y65" t="str">
        <f>"30455259"</f>
        <v>30455259</v>
      </c>
      <c r="Z65" t="str">
        <f>""</f>
        <v/>
      </c>
      <c r="AA65" t="str">
        <f>""</f>
        <v/>
      </c>
      <c r="AB65" t="str">
        <f>""</f>
        <v/>
      </c>
      <c r="AC65" t="str">
        <f>""</f>
        <v/>
      </c>
      <c r="AD65" t="str">
        <f>""</f>
        <v/>
      </c>
      <c r="AE65" t="str">
        <f>""</f>
        <v/>
      </c>
      <c r="AF65" t="str">
        <f>""</f>
        <v/>
      </c>
      <c r="AG65" t="str">
        <f>""</f>
        <v/>
      </c>
      <c r="AH65" t="str">
        <f>""</f>
        <v/>
      </c>
      <c r="AI65" t="str">
        <f>""</f>
        <v/>
      </c>
      <c r="AJ65" t="str">
        <f>""</f>
        <v/>
      </c>
      <c r="AK65" t="str">
        <f>""</f>
        <v/>
      </c>
      <c r="AL65" t="str">
        <f>""</f>
        <v/>
      </c>
      <c r="AM65" t="str">
        <f>""</f>
        <v/>
      </c>
      <c r="AN65" t="str">
        <f>""</f>
        <v/>
      </c>
      <c r="AO65" t="str">
        <f>""</f>
        <v/>
      </c>
      <c r="AP65" t="str">
        <f>""</f>
        <v/>
      </c>
      <c r="AQ65" t="str">
        <f>""</f>
        <v/>
      </c>
      <c r="AR65" t="str">
        <f>""</f>
        <v/>
      </c>
      <c r="AS65" t="str">
        <f>""</f>
        <v/>
      </c>
      <c r="AT65" t="str">
        <f>""</f>
        <v/>
      </c>
      <c r="AU65" t="str">
        <f>""</f>
        <v/>
      </c>
      <c r="AV65" t="str">
        <f>""</f>
        <v/>
      </c>
      <c r="AW65" t="str">
        <f>""</f>
        <v/>
      </c>
      <c r="AX65" t="str">
        <f>""</f>
        <v/>
      </c>
      <c r="AY65" t="str">
        <f>""</f>
        <v/>
      </c>
      <c r="AZ65" t="str">
        <f>""</f>
        <v/>
      </c>
      <c r="BA65" t="str">
        <f>""</f>
        <v/>
      </c>
      <c r="BB65" t="str">
        <f t="shared" si="30"/>
        <v>11/07/2023 02:14:29</v>
      </c>
      <c r="BC65" t="str">
        <f>""</f>
        <v/>
      </c>
      <c r="BD65" t="str">
        <f>""</f>
        <v/>
      </c>
      <c r="BE65" t="str">
        <f>""</f>
        <v/>
      </c>
      <c r="BF65" t="str">
        <f t="shared" si="6"/>
        <v>A</v>
      </c>
      <c r="BG65" t="str">
        <f>""</f>
        <v/>
      </c>
      <c r="BH65" t="str">
        <f>""</f>
        <v/>
      </c>
      <c r="BI65" t="str">
        <f t="shared" si="20"/>
        <v>EVENTUAL</v>
      </c>
      <c r="BJ65" t="str">
        <f t="shared" si="8"/>
        <v>1</v>
      </c>
      <c r="BK65" t="str">
        <f t="shared" si="9"/>
        <v>Farmacia</v>
      </c>
      <c r="BL65" t="str">
        <f>""</f>
        <v/>
      </c>
      <c r="BM65" t="str">
        <f>""</f>
        <v/>
      </c>
      <c r="BN65" t="str">
        <f>""</f>
        <v/>
      </c>
      <c r="BO65" t="str">
        <f>""</f>
        <v/>
      </c>
      <c r="BP65" t="str">
        <f>""</f>
        <v/>
      </c>
      <c r="BQ65" t="str">
        <f>""</f>
        <v/>
      </c>
      <c r="BR65" t="str">
        <f t="shared" si="31"/>
        <v>11/07/2023</v>
      </c>
      <c r="BS65" t="str">
        <f>""</f>
        <v/>
      </c>
      <c r="BT65" t="str">
        <f>""</f>
        <v/>
      </c>
      <c r="BU65" t="str">
        <f>""</f>
        <v/>
      </c>
      <c r="BV65" t="str">
        <f>""</f>
        <v/>
      </c>
      <c r="BW65" t="str">
        <f t="shared" si="32"/>
        <v>Não visitado</v>
      </c>
    </row>
    <row r="66" spans="1:75" x14ac:dyDescent="0.35">
      <c r="A66">
        <v>157541</v>
      </c>
      <c r="B66" t="str">
        <f t="shared" ref="B66:B129" si="33">"A"</f>
        <v>A</v>
      </c>
      <c r="C66" t="str">
        <f t="shared" ref="C66:C129" si="34">"80"</f>
        <v>80</v>
      </c>
      <c r="D66" t="str">
        <f t="shared" ref="D66:D129" si="35">"11121001"</f>
        <v>11121001</v>
      </c>
      <c r="E66" t="str">
        <f t="shared" ref="E66:E129" si="36">"121001"</f>
        <v>121001</v>
      </c>
      <c r="F66" t="str">
        <f t="shared" ref="F66:F129" si="37">"JENIFER SANTOS"</f>
        <v>JENIFER SANTOS</v>
      </c>
      <c r="G66" t="str">
        <f>"04085812000480"</f>
        <v>04085812000480</v>
      </c>
      <c r="H66" t="str">
        <f t="shared" si="26"/>
        <v>0</v>
      </c>
      <c r="I66" t="str">
        <f t="shared" ref="I66:I129" si="38">"CONTA OPTICA"</f>
        <v>CONTA OPTICA</v>
      </c>
      <c r="J66" t="str">
        <f>"COMERCIO DE OTICA ELEDOIS LTDA ME"</f>
        <v>COMERCIO DE OTICA ELEDOIS LTDA ME</v>
      </c>
      <c r="K66" t="str">
        <f>"CENTRAL OTICA (2198)"</f>
        <v>CENTRAL OTICA (2198)</v>
      </c>
      <c r="L66" t="str">
        <f>""</f>
        <v/>
      </c>
      <c r="M66" t="str">
        <f>""</f>
        <v/>
      </c>
      <c r="N66" t="str">
        <f t="shared" si="27"/>
        <v>GUSTAVO@BRASOPTICA.COM.BR</v>
      </c>
      <c r="O66" t="str">
        <f>""</f>
        <v/>
      </c>
      <c r="P66" t="str">
        <f>"INDEPENDENCIA"</f>
        <v>INDEPENDENCIA</v>
      </c>
      <c r="Q66" t="str">
        <f>"1360"</f>
        <v>1360</v>
      </c>
      <c r="R66" t="str">
        <f>""</f>
        <v/>
      </c>
      <c r="S66" t="str">
        <f>"1376"</f>
        <v>1376</v>
      </c>
      <c r="T66" t="str">
        <f>"98300000"</f>
        <v>98300000</v>
      </c>
      <c r="U66" t="str">
        <f>"CENTRO"</f>
        <v>CENTRO</v>
      </c>
      <c r="V66" t="str">
        <f>"PALMEIRA DAS MISSOES"</f>
        <v>PALMEIRA DAS MISSOES</v>
      </c>
      <c r="W66" t="str">
        <f t="shared" si="28"/>
        <v>RS</v>
      </c>
      <c r="X66" t="str">
        <f t="shared" si="29"/>
        <v>54</v>
      </c>
      <c r="Y66" t="str">
        <f>"21035247"</f>
        <v>21035247</v>
      </c>
      <c r="Z66" t="str">
        <f>""</f>
        <v/>
      </c>
      <c r="AA66" t="str">
        <f>""</f>
        <v/>
      </c>
      <c r="AB66" t="str">
        <f>""</f>
        <v/>
      </c>
      <c r="AC66" t="str">
        <f>""</f>
        <v/>
      </c>
      <c r="AD66" t="str">
        <f>""</f>
        <v/>
      </c>
      <c r="AE66" t="str">
        <f>""</f>
        <v/>
      </c>
      <c r="AF66" t="str">
        <f>""</f>
        <v/>
      </c>
      <c r="AG66" t="str">
        <f>""</f>
        <v/>
      </c>
      <c r="AH66" t="str">
        <f>""</f>
        <v/>
      </c>
      <c r="AI66" t="str">
        <f>""</f>
        <v/>
      </c>
      <c r="AJ66" t="str">
        <f>""</f>
        <v/>
      </c>
      <c r="AK66" t="str">
        <f>""</f>
        <v/>
      </c>
      <c r="AL66" t="str">
        <f>""</f>
        <v/>
      </c>
      <c r="AM66" t="str">
        <f>""</f>
        <v/>
      </c>
      <c r="AN66" t="str">
        <f>""</f>
        <v/>
      </c>
      <c r="AO66" t="str">
        <f>""</f>
        <v/>
      </c>
      <c r="AP66" t="str">
        <f>""</f>
        <v/>
      </c>
      <c r="AQ66" t="str">
        <f>""</f>
        <v/>
      </c>
      <c r="AR66" t="str">
        <f>""</f>
        <v/>
      </c>
      <c r="AS66" t="str">
        <f>""</f>
        <v/>
      </c>
      <c r="AT66" t="str">
        <f>""</f>
        <v/>
      </c>
      <c r="AU66" t="str">
        <f>""</f>
        <v/>
      </c>
      <c r="AV66" t="str">
        <f>""</f>
        <v/>
      </c>
      <c r="AW66" t="str">
        <f>""</f>
        <v/>
      </c>
      <c r="AX66" t="str">
        <f>""</f>
        <v/>
      </c>
      <c r="AY66" t="str">
        <f>""</f>
        <v/>
      </c>
      <c r="AZ66" t="str">
        <f>""</f>
        <v/>
      </c>
      <c r="BA66" t="str">
        <f>""</f>
        <v/>
      </c>
      <c r="BB66" t="str">
        <f t="shared" si="30"/>
        <v>11/07/2023 02:14:29</v>
      </c>
      <c r="BC66" t="str">
        <f>""</f>
        <v/>
      </c>
      <c r="BD66" t="str">
        <f>""</f>
        <v/>
      </c>
      <c r="BE66" t="str">
        <f>""</f>
        <v/>
      </c>
      <c r="BF66" t="str">
        <f t="shared" ref="BF66:BF129" si="39">"A"</f>
        <v>A</v>
      </c>
      <c r="BG66" t="str">
        <f>""</f>
        <v/>
      </c>
      <c r="BH66" t="str">
        <f>""</f>
        <v/>
      </c>
      <c r="BI66" t="str">
        <f t="shared" ref="BI66:BI92" si="40">"EVENTUAL"</f>
        <v>EVENTUAL</v>
      </c>
      <c r="BJ66" t="str">
        <f t="shared" ref="BJ66:BJ129" si="41">"1"</f>
        <v>1</v>
      </c>
      <c r="BK66" t="str">
        <f t="shared" ref="BK66:BK129" si="42">"Farmacia"</f>
        <v>Farmacia</v>
      </c>
      <c r="BL66" t="str">
        <f>""</f>
        <v/>
      </c>
      <c r="BM66" t="str">
        <f>""</f>
        <v/>
      </c>
      <c r="BN66" t="str">
        <f>""</f>
        <v/>
      </c>
      <c r="BO66" t="str">
        <f>""</f>
        <v/>
      </c>
      <c r="BP66" t="str">
        <f>""</f>
        <v/>
      </c>
      <c r="BQ66" t="str">
        <f>""</f>
        <v/>
      </c>
      <c r="BR66" t="str">
        <f t="shared" si="31"/>
        <v>11/07/2023</v>
      </c>
      <c r="BS66" t="str">
        <f>""</f>
        <v/>
      </c>
      <c r="BT66" t="str">
        <f>""</f>
        <v/>
      </c>
      <c r="BU66" t="str">
        <f>""</f>
        <v/>
      </c>
      <c r="BV66" t="str">
        <f>""</f>
        <v/>
      </c>
      <c r="BW66" t="str">
        <f t="shared" si="32"/>
        <v>Não visitado</v>
      </c>
    </row>
    <row r="67" spans="1:75" x14ac:dyDescent="0.35">
      <c r="A67">
        <v>157545</v>
      </c>
      <c r="B67" t="str">
        <f t="shared" si="33"/>
        <v>A</v>
      </c>
      <c r="C67" t="str">
        <f t="shared" si="34"/>
        <v>80</v>
      </c>
      <c r="D67" t="str">
        <f t="shared" si="35"/>
        <v>11121001</v>
      </c>
      <c r="E67" t="str">
        <f t="shared" si="36"/>
        <v>121001</v>
      </c>
      <c r="F67" t="str">
        <f t="shared" si="37"/>
        <v>JENIFER SANTOS</v>
      </c>
      <c r="G67" t="str">
        <f>"04085832000290"</f>
        <v>04085832000290</v>
      </c>
      <c r="H67" t="str">
        <f t="shared" si="26"/>
        <v>0</v>
      </c>
      <c r="I67" t="str">
        <f t="shared" si="38"/>
        <v>CONTA OPTICA</v>
      </c>
      <c r="J67" t="str">
        <f>"COMERCIO DE OTICA FALU LTDA"</f>
        <v>COMERCIO DE OTICA FALU LTDA</v>
      </c>
      <c r="K67" t="str">
        <f>"BRASOPTICA (2194)"</f>
        <v>BRASOPTICA (2194)</v>
      </c>
      <c r="L67" t="str">
        <f>""</f>
        <v/>
      </c>
      <c r="M67" t="str">
        <f>""</f>
        <v/>
      </c>
      <c r="N67" t="str">
        <f t="shared" si="27"/>
        <v>GUSTAVO@BRASOPTICA.COM.BR</v>
      </c>
      <c r="O67" t="str">
        <f>""</f>
        <v/>
      </c>
      <c r="P67" t="str">
        <f>"AFONSO PENA"</f>
        <v>AFONSO PENA</v>
      </c>
      <c r="Q67" t="str">
        <f>"483"</f>
        <v>483</v>
      </c>
      <c r="R67" t="str">
        <f>""</f>
        <v/>
      </c>
      <c r="S67" t="str">
        <f>"1333"</f>
        <v>1333</v>
      </c>
      <c r="T67" t="str">
        <f>"95300000"</f>
        <v>95300000</v>
      </c>
      <c r="U67" t="str">
        <f>"CENTRO"</f>
        <v>CENTRO</v>
      </c>
      <c r="V67" t="str">
        <f>"LAGOA VERMELHA"</f>
        <v>LAGOA VERMELHA</v>
      </c>
      <c r="W67" t="str">
        <f t="shared" si="28"/>
        <v>RS</v>
      </c>
      <c r="X67" t="str">
        <f t="shared" si="29"/>
        <v>54</v>
      </c>
      <c r="Y67" t="str">
        <f>"21035247"</f>
        <v>21035247</v>
      </c>
      <c r="Z67" t="str">
        <f>""</f>
        <v/>
      </c>
      <c r="AA67" t="str">
        <f>""</f>
        <v/>
      </c>
      <c r="AB67" t="str">
        <f>""</f>
        <v/>
      </c>
      <c r="AC67" t="str">
        <f>""</f>
        <v/>
      </c>
      <c r="AD67" t="str">
        <f>""</f>
        <v/>
      </c>
      <c r="AE67" t="str">
        <f>""</f>
        <v/>
      </c>
      <c r="AF67" t="str">
        <f>""</f>
        <v/>
      </c>
      <c r="AG67" t="str">
        <f>""</f>
        <v/>
      </c>
      <c r="AH67" t="str">
        <f>""</f>
        <v/>
      </c>
      <c r="AI67" t="str">
        <f>""</f>
        <v/>
      </c>
      <c r="AJ67" t="str">
        <f>""</f>
        <v/>
      </c>
      <c r="AK67" t="str">
        <f>""</f>
        <v/>
      </c>
      <c r="AL67" t="str">
        <f>""</f>
        <v/>
      </c>
      <c r="AM67" t="str">
        <f>""</f>
        <v/>
      </c>
      <c r="AN67" t="str">
        <f>""</f>
        <v/>
      </c>
      <c r="AO67" t="str">
        <f>""</f>
        <v/>
      </c>
      <c r="AP67" t="str">
        <f>""</f>
        <v/>
      </c>
      <c r="AQ67" t="str">
        <f>""</f>
        <v/>
      </c>
      <c r="AR67" t="str">
        <f>""</f>
        <v/>
      </c>
      <c r="AS67" t="str">
        <f>""</f>
        <v/>
      </c>
      <c r="AT67" t="str">
        <f>""</f>
        <v/>
      </c>
      <c r="AU67" t="str">
        <f>""</f>
        <v/>
      </c>
      <c r="AV67" t="str">
        <f>""</f>
        <v/>
      </c>
      <c r="AW67" t="str">
        <f>""</f>
        <v/>
      </c>
      <c r="AX67" t="str">
        <f>""</f>
        <v/>
      </c>
      <c r="AY67" t="str">
        <f>""</f>
        <v/>
      </c>
      <c r="AZ67" t="str">
        <f>""</f>
        <v/>
      </c>
      <c r="BA67" t="str">
        <f>""</f>
        <v/>
      </c>
      <c r="BB67" t="str">
        <f t="shared" si="30"/>
        <v>11/07/2023 02:14:29</v>
      </c>
      <c r="BC67" t="str">
        <f>""</f>
        <v/>
      </c>
      <c r="BD67" t="str">
        <f>""</f>
        <v/>
      </c>
      <c r="BE67" t="str">
        <f>""</f>
        <v/>
      </c>
      <c r="BF67" t="str">
        <f t="shared" si="39"/>
        <v>A</v>
      </c>
      <c r="BG67" t="str">
        <f>""</f>
        <v/>
      </c>
      <c r="BH67" t="str">
        <f>""</f>
        <v/>
      </c>
      <c r="BI67" t="str">
        <f t="shared" si="40"/>
        <v>EVENTUAL</v>
      </c>
      <c r="BJ67" t="str">
        <f t="shared" si="41"/>
        <v>1</v>
      </c>
      <c r="BK67" t="str">
        <f t="shared" si="42"/>
        <v>Farmacia</v>
      </c>
      <c r="BL67" t="str">
        <f>""</f>
        <v/>
      </c>
      <c r="BM67" t="str">
        <f>""</f>
        <v/>
      </c>
      <c r="BN67" t="str">
        <f>""</f>
        <v/>
      </c>
      <c r="BO67" t="str">
        <f>""</f>
        <v/>
      </c>
      <c r="BP67" t="str">
        <f>""</f>
        <v/>
      </c>
      <c r="BQ67" t="str">
        <f>""</f>
        <v/>
      </c>
      <c r="BR67" t="str">
        <f t="shared" si="31"/>
        <v>11/07/2023</v>
      </c>
      <c r="BS67" t="str">
        <f>""</f>
        <v/>
      </c>
      <c r="BT67" t="str">
        <f>""</f>
        <v/>
      </c>
      <c r="BU67" t="str">
        <f>""</f>
        <v/>
      </c>
      <c r="BV67" t="str">
        <f>""</f>
        <v/>
      </c>
      <c r="BW67" t="str">
        <f t="shared" si="32"/>
        <v>Não visitado</v>
      </c>
    </row>
    <row r="68" spans="1:75" x14ac:dyDescent="0.35">
      <c r="A68">
        <v>157550</v>
      </c>
      <c r="B68" t="str">
        <f t="shared" si="33"/>
        <v>A</v>
      </c>
      <c r="C68" t="str">
        <f t="shared" si="34"/>
        <v>80</v>
      </c>
      <c r="D68" t="str">
        <f t="shared" si="35"/>
        <v>11121001</v>
      </c>
      <c r="E68" t="str">
        <f t="shared" si="36"/>
        <v>121001</v>
      </c>
      <c r="F68" t="str">
        <f t="shared" si="37"/>
        <v>JENIFER SANTOS</v>
      </c>
      <c r="G68" t="str">
        <f>"04085832000109"</f>
        <v>04085832000109</v>
      </c>
      <c r="H68" t="str">
        <f t="shared" si="26"/>
        <v>0</v>
      </c>
      <c r="I68" t="str">
        <f t="shared" si="38"/>
        <v>CONTA OPTICA</v>
      </c>
      <c r="J68" t="str">
        <f>"COMERCIO DE OTICA FALU LTDA"</f>
        <v>COMERCIO DE OTICA FALU LTDA</v>
      </c>
      <c r="K68" t="str">
        <f>"COMERCIO DE OTICA FALU LTDA (1844)"</f>
        <v>COMERCIO DE OTICA FALU LTDA (1844)</v>
      </c>
      <c r="L68" t="str">
        <f>""</f>
        <v/>
      </c>
      <c r="M68" t="str">
        <f>""</f>
        <v/>
      </c>
      <c r="N68" t="str">
        <f t="shared" si="27"/>
        <v>GUSTAVO@BRASOPTICA.COM.BR</v>
      </c>
      <c r="O68" t="str">
        <f>""</f>
        <v/>
      </c>
      <c r="P68" t="str">
        <f>"BRASIL OESTE"</f>
        <v>BRASIL OESTE</v>
      </c>
      <c r="Q68" t="str">
        <f>"234"</f>
        <v>234</v>
      </c>
      <c r="R68" t="str">
        <f>"SALA 02"</f>
        <v>SALA 02</v>
      </c>
      <c r="S68" t="str">
        <f>"1383"</f>
        <v>1383</v>
      </c>
      <c r="T68" t="str">
        <f>"99025004"</f>
        <v>99025004</v>
      </c>
      <c r="U68" t="str">
        <f>"BOQUEIRAO"</f>
        <v>BOQUEIRAO</v>
      </c>
      <c r="V68" t="str">
        <f>"PASSO FUNDO"</f>
        <v>PASSO FUNDO</v>
      </c>
      <c r="W68" t="str">
        <f t="shared" si="28"/>
        <v>RS</v>
      </c>
      <c r="X68" t="str">
        <f t="shared" si="29"/>
        <v>54</v>
      </c>
      <c r="Y68" t="str">
        <f>"30455259"</f>
        <v>30455259</v>
      </c>
      <c r="Z68" t="str">
        <f>""</f>
        <v/>
      </c>
      <c r="AA68" t="str">
        <f>""</f>
        <v/>
      </c>
      <c r="AB68" t="str">
        <f>""</f>
        <v/>
      </c>
      <c r="AC68" t="str">
        <f>""</f>
        <v/>
      </c>
      <c r="AD68" t="str">
        <f>""</f>
        <v/>
      </c>
      <c r="AE68" t="str">
        <f>""</f>
        <v/>
      </c>
      <c r="AF68" t="str">
        <f>""</f>
        <v/>
      </c>
      <c r="AG68" t="str">
        <f>""</f>
        <v/>
      </c>
      <c r="AH68" t="str">
        <f>""</f>
        <v/>
      </c>
      <c r="AI68" t="str">
        <f>""</f>
        <v/>
      </c>
      <c r="AJ68" t="str">
        <f>""</f>
        <v/>
      </c>
      <c r="AK68" t="str">
        <f>""</f>
        <v/>
      </c>
      <c r="AL68" t="str">
        <f>""</f>
        <v/>
      </c>
      <c r="AM68" t="str">
        <f>""</f>
        <v/>
      </c>
      <c r="AN68" t="str">
        <f>""</f>
        <v/>
      </c>
      <c r="AO68" t="str">
        <f>""</f>
        <v/>
      </c>
      <c r="AP68" t="str">
        <f>""</f>
        <v/>
      </c>
      <c r="AQ68" t="str">
        <f>""</f>
        <v/>
      </c>
      <c r="AR68" t="str">
        <f>""</f>
        <v/>
      </c>
      <c r="AS68" t="str">
        <f>""</f>
        <v/>
      </c>
      <c r="AT68" t="str">
        <f>""</f>
        <v/>
      </c>
      <c r="AU68" t="str">
        <f>""</f>
        <v/>
      </c>
      <c r="AV68" t="str">
        <f>""</f>
        <v/>
      </c>
      <c r="AW68" t="str">
        <f>""</f>
        <v/>
      </c>
      <c r="AX68" t="str">
        <f>""</f>
        <v/>
      </c>
      <c r="AY68" t="str">
        <f>""</f>
        <v/>
      </c>
      <c r="AZ68" t="str">
        <f>""</f>
        <v/>
      </c>
      <c r="BA68" t="str">
        <f>""</f>
        <v/>
      </c>
      <c r="BB68" t="str">
        <f t="shared" si="30"/>
        <v>11/07/2023 02:14:29</v>
      </c>
      <c r="BC68" t="str">
        <f>""</f>
        <v/>
      </c>
      <c r="BD68" t="str">
        <f>""</f>
        <v/>
      </c>
      <c r="BE68" t="str">
        <f>""</f>
        <v/>
      </c>
      <c r="BF68" t="str">
        <f t="shared" si="39"/>
        <v>A</v>
      </c>
      <c r="BG68" t="str">
        <f>""</f>
        <v/>
      </c>
      <c r="BH68" t="str">
        <f>""</f>
        <v/>
      </c>
      <c r="BI68" t="str">
        <f t="shared" si="40"/>
        <v>EVENTUAL</v>
      </c>
      <c r="BJ68" t="str">
        <f t="shared" si="41"/>
        <v>1</v>
      </c>
      <c r="BK68" t="str">
        <f t="shared" si="42"/>
        <v>Farmacia</v>
      </c>
      <c r="BL68" t="str">
        <f>""</f>
        <v/>
      </c>
      <c r="BM68" t="str">
        <f>""</f>
        <v/>
      </c>
      <c r="BN68" t="str">
        <f>""</f>
        <v/>
      </c>
      <c r="BO68" t="str">
        <f>""</f>
        <v/>
      </c>
      <c r="BP68" t="str">
        <f>""</f>
        <v/>
      </c>
      <c r="BQ68" t="str">
        <f>""</f>
        <v/>
      </c>
      <c r="BR68" t="str">
        <f t="shared" si="31"/>
        <v>11/07/2023</v>
      </c>
      <c r="BS68" t="str">
        <f>""</f>
        <v/>
      </c>
      <c r="BT68" t="str">
        <f>""</f>
        <v/>
      </c>
      <c r="BU68" t="str">
        <f>""</f>
        <v/>
      </c>
      <c r="BV68" t="str">
        <f>""</f>
        <v/>
      </c>
      <c r="BW68" t="str">
        <f t="shared" si="32"/>
        <v>Não visitado</v>
      </c>
    </row>
    <row r="69" spans="1:75" x14ac:dyDescent="0.35">
      <c r="A69">
        <v>157542</v>
      </c>
      <c r="B69" t="str">
        <f t="shared" si="33"/>
        <v>A</v>
      </c>
      <c r="C69" t="str">
        <f t="shared" si="34"/>
        <v>80</v>
      </c>
      <c r="D69" t="str">
        <f t="shared" si="35"/>
        <v>11121001</v>
      </c>
      <c r="E69" t="str">
        <f t="shared" si="36"/>
        <v>121001</v>
      </c>
      <c r="F69" t="str">
        <f t="shared" si="37"/>
        <v>JENIFER SANTOS</v>
      </c>
      <c r="G69" t="str">
        <f>"04085799000389"</f>
        <v>04085799000389</v>
      </c>
      <c r="H69" t="str">
        <f t="shared" si="26"/>
        <v>0</v>
      </c>
      <c r="I69" t="str">
        <f t="shared" si="38"/>
        <v>CONTA OPTICA</v>
      </c>
      <c r="J69" t="str">
        <f>"COMERCIO DE OTICA LULU LTDA"</f>
        <v>COMERCIO DE OTICA LULU LTDA</v>
      </c>
      <c r="K69" t="str">
        <f>"BRASOPTICA (2197)"</f>
        <v>BRASOPTICA (2197)</v>
      </c>
      <c r="L69" t="str">
        <f>""</f>
        <v/>
      </c>
      <c r="M69" t="str">
        <f>""</f>
        <v/>
      </c>
      <c r="N69" t="str">
        <f t="shared" si="27"/>
        <v>GUSTAVO@BRASOPTICA.COM.BR</v>
      </c>
      <c r="O69" t="str">
        <f>""</f>
        <v/>
      </c>
      <c r="P69" t="str">
        <f>"BRASIL LESTE"</f>
        <v>BRASIL LESTE</v>
      </c>
      <c r="Q69" t="str">
        <f>"200"</f>
        <v>200</v>
      </c>
      <c r="R69" t="str">
        <f>"SALA 041"</f>
        <v>SALA 041</v>
      </c>
      <c r="S69" t="str">
        <f>"1383"</f>
        <v>1383</v>
      </c>
      <c r="T69" t="str">
        <f>"99050000"</f>
        <v>99050000</v>
      </c>
      <c r="U69" t="str">
        <f>"PETROPOLIS"</f>
        <v>PETROPOLIS</v>
      </c>
      <c r="V69" t="str">
        <f>"PASSO FUNDO"</f>
        <v>PASSO FUNDO</v>
      </c>
      <c r="W69" t="str">
        <f t="shared" si="28"/>
        <v>RS</v>
      </c>
      <c r="X69" t="str">
        <f t="shared" si="29"/>
        <v>54</v>
      </c>
      <c r="Y69" t="str">
        <f>"21035247"</f>
        <v>21035247</v>
      </c>
      <c r="Z69" t="str">
        <f>""</f>
        <v/>
      </c>
      <c r="AA69" t="str">
        <f>""</f>
        <v/>
      </c>
      <c r="AB69" t="str">
        <f>""</f>
        <v/>
      </c>
      <c r="AC69" t="str">
        <f>""</f>
        <v/>
      </c>
      <c r="AD69" t="str">
        <f>""</f>
        <v/>
      </c>
      <c r="AE69" t="str">
        <f>""</f>
        <v/>
      </c>
      <c r="AF69" t="str">
        <f>""</f>
        <v/>
      </c>
      <c r="AG69" t="str">
        <f>""</f>
        <v/>
      </c>
      <c r="AH69" t="str">
        <f>""</f>
        <v/>
      </c>
      <c r="AI69" t="str">
        <f>""</f>
        <v/>
      </c>
      <c r="AJ69" t="str">
        <f>""</f>
        <v/>
      </c>
      <c r="AK69" t="str">
        <f>""</f>
        <v/>
      </c>
      <c r="AL69" t="str">
        <f>""</f>
        <v/>
      </c>
      <c r="AM69" t="str">
        <f>""</f>
        <v/>
      </c>
      <c r="AN69" t="str">
        <f>""</f>
        <v/>
      </c>
      <c r="AO69" t="str">
        <f>""</f>
        <v/>
      </c>
      <c r="AP69" t="str">
        <f>""</f>
        <v/>
      </c>
      <c r="AQ69" t="str">
        <f>""</f>
        <v/>
      </c>
      <c r="AR69" t="str">
        <f>""</f>
        <v/>
      </c>
      <c r="AS69" t="str">
        <f>""</f>
        <v/>
      </c>
      <c r="AT69" t="str">
        <f>""</f>
        <v/>
      </c>
      <c r="AU69" t="str">
        <f>""</f>
        <v/>
      </c>
      <c r="AV69" t="str">
        <f>""</f>
        <v/>
      </c>
      <c r="AW69" t="str">
        <f>""</f>
        <v/>
      </c>
      <c r="AX69" t="str">
        <f>""</f>
        <v/>
      </c>
      <c r="AY69" t="str">
        <f>""</f>
        <v/>
      </c>
      <c r="AZ69" t="str">
        <f>""</f>
        <v/>
      </c>
      <c r="BA69" t="str">
        <f>""</f>
        <v/>
      </c>
      <c r="BB69" t="str">
        <f t="shared" si="30"/>
        <v>11/07/2023 02:14:29</v>
      </c>
      <c r="BC69" t="str">
        <f>""</f>
        <v/>
      </c>
      <c r="BD69" t="str">
        <f>""</f>
        <v/>
      </c>
      <c r="BE69" t="str">
        <f>""</f>
        <v/>
      </c>
      <c r="BF69" t="str">
        <f t="shared" si="39"/>
        <v>A</v>
      </c>
      <c r="BG69" t="str">
        <f>""</f>
        <v/>
      </c>
      <c r="BH69" t="str">
        <f>""</f>
        <v/>
      </c>
      <c r="BI69" t="str">
        <f t="shared" si="40"/>
        <v>EVENTUAL</v>
      </c>
      <c r="BJ69" t="str">
        <f t="shared" si="41"/>
        <v>1</v>
      </c>
      <c r="BK69" t="str">
        <f t="shared" si="42"/>
        <v>Farmacia</v>
      </c>
      <c r="BL69" t="str">
        <f>""</f>
        <v/>
      </c>
      <c r="BM69" t="str">
        <f>""</f>
        <v/>
      </c>
      <c r="BN69" t="str">
        <f>""</f>
        <v/>
      </c>
      <c r="BO69" t="str">
        <f>""</f>
        <v/>
      </c>
      <c r="BP69" t="str">
        <f>""</f>
        <v/>
      </c>
      <c r="BQ69" t="str">
        <f>""</f>
        <v/>
      </c>
      <c r="BR69" t="str">
        <f t="shared" si="31"/>
        <v>11/07/2023</v>
      </c>
      <c r="BS69" t="str">
        <f>""</f>
        <v/>
      </c>
      <c r="BT69" t="str">
        <f>""</f>
        <v/>
      </c>
      <c r="BU69" t="str">
        <f>""</f>
        <v/>
      </c>
      <c r="BV69" t="str">
        <f>""</f>
        <v/>
      </c>
      <c r="BW69" t="str">
        <f t="shared" si="32"/>
        <v>Não visitado</v>
      </c>
    </row>
    <row r="70" spans="1:75" x14ac:dyDescent="0.35">
      <c r="A70">
        <v>157543</v>
      </c>
      <c r="B70" t="str">
        <f t="shared" si="33"/>
        <v>A</v>
      </c>
      <c r="C70" t="str">
        <f t="shared" si="34"/>
        <v>80</v>
      </c>
      <c r="D70" t="str">
        <f t="shared" si="35"/>
        <v>11121001</v>
      </c>
      <c r="E70" t="str">
        <f t="shared" si="36"/>
        <v>121001</v>
      </c>
      <c r="F70" t="str">
        <f t="shared" si="37"/>
        <v>JENIFER SANTOS</v>
      </c>
      <c r="G70" t="str">
        <f>"04085799000117"</f>
        <v>04085799000117</v>
      </c>
      <c r="H70" t="str">
        <f t="shared" si="26"/>
        <v>0</v>
      </c>
      <c r="I70" t="str">
        <f t="shared" si="38"/>
        <v>CONTA OPTICA</v>
      </c>
      <c r="J70" t="str">
        <f>"COMERCIO DE OTICA LULU LTDA"</f>
        <v>COMERCIO DE OTICA LULU LTDA</v>
      </c>
      <c r="K70" t="str">
        <f>"BRASOPTICA (2196)"</f>
        <v>BRASOPTICA (2196)</v>
      </c>
      <c r="L70" t="str">
        <f>""</f>
        <v/>
      </c>
      <c r="M70" t="str">
        <f>""</f>
        <v/>
      </c>
      <c r="N70" t="str">
        <f t="shared" si="27"/>
        <v>GUSTAVO@BRASOPTICA.COM.BR</v>
      </c>
      <c r="O70" t="str">
        <f>""</f>
        <v/>
      </c>
      <c r="P70" t="str">
        <f>"RUA INDEPENDENCIA"</f>
        <v>RUA INDEPENDENCIA</v>
      </c>
      <c r="Q70" t="str">
        <f>"1243"</f>
        <v>1243</v>
      </c>
      <c r="R70" t="str">
        <f>"SALA 201"</f>
        <v>SALA 201</v>
      </c>
      <c r="S70" t="str">
        <f>"1376"</f>
        <v>1376</v>
      </c>
      <c r="T70" t="str">
        <f>"98300000"</f>
        <v>98300000</v>
      </c>
      <c r="U70" t="str">
        <f>"CENTRO"</f>
        <v>CENTRO</v>
      </c>
      <c r="V70" t="str">
        <f>"PALMEIRA DAS MISSOES"</f>
        <v>PALMEIRA DAS MISSOES</v>
      </c>
      <c r="W70" t="str">
        <f t="shared" si="28"/>
        <v>RS</v>
      </c>
      <c r="X70" t="str">
        <f t="shared" si="29"/>
        <v>54</v>
      </c>
      <c r="Y70" t="str">
        <f>"21035247"</f>
        <v>21035247</v>
      </c>
      <c r="Z70" t="str">
        <f>""</f>
        <v/>
      </c>
      <c r="AA70" t="str">
        <f>""</f>
        <v/>
      </c>
      <c r="AB70" t="str">
        <f>""</f>
        <v/>
      </c>
      <c r="AC70" t="str">
        <f>""</f>
        <v/>
      </c>
      <c r="AD70" t="str">
        <f>""</f>
        <v/>
      </c>
      <c r="AE70" t="str">
        <f>""</f>
        <v/>
      </c>
      <c r="AF70" t="str">
        <f>""</f>
        <v/>
      </c>
      <c r="AG70" t="str">
        <f>""</f>
        <v/>
      </c>
      <c r="AH70" t="str">
        <f>""</f>
        <v/>
      </c>
      <c r="AI70" t="str">
        <f>""</f>
        <v/>
      </c>
      <c r="AJ70" t="str">
        <f>""</f>
        <v/>
      </c>
      <c r="AK70" t="str">
        <f>""</f>
        <v/>
      </c>
      <c r="AL70" t="str">
        <f>""</f>
        <v/>
      </c>
      <c r="AM70" t="str">
        <f>""</f>
        <v/>
      </c>
      <c r="AN70" t="str">
        <f>""</f>
        <v/>
      </c>
      <c r="AO70" t="str">
        <f>""</f>
        <v/>
      </c>
      <c r="AP70" t="str">
        <f>""</f>
        <v/>
      </c>
      <c r="AQ70" t="str">
        <f>""</f>
        <v/>
      </c>
      <c r="AR70" t="str">
        <f>""</f>
        <v/>
      </c>
      <c r="AS70" t="str">
        <f>""</f>
        <v/>
      </c>
      <c r="AT70" t="str">
        <f>""</f>
        <v/>
      </c>
      <c r="AU70" t="str">
        <f>""</f>
        <v/>
      </c>
      <c r="AV70" t="str">
        <f>""</f>
        <v/>
      </c>
      <c r="AW70" t="str">
        <f>""</f>
        <v/>
      </c>
      <c r="AX70" t="str">
        <f>""</f>
        <v/>
      </c>
      <c r="AY70" t="str">
        <f>""</f>
        <v/>
      </c>
      <c r="AZ70" t="str">
        <f>""</f>
        <v/>
      </c>
      <c r="BA70" t="str">
        <f>""</f>
        <v/>
      </c>
      <c r="BB70" t="str">
        <f t="shared" si="30"/>
        <v>11/07/2023 02:14:29</v>
      </c>
      <c r="BC70" t="str">
        <f>""</f>
        <v/>
      </c>
      <c r="BD70" t="str">
        <f>""</f>
        <v/>
      </c>
      <c r="BE70" t="str">
        <f>""</f>
        <v/>
      </c>
      <c r="BF70" t="str">
        <f t="shared" si="39"/>
        <v>A</v>
      </c>
      <c r="BG70" t="str">
        <f>""</f>
        <v/>
      </c>
      <c r="BH70" t="str">
        <f>""</f>
        <v/>
      </c>
      <c r="BI70" t="str">
        <f t="shared" si="40"/>
        <v>EVENTUAL</v>
      </c>
      <c r="BJ70" t="str">
        <f t="shared" si="41"/>
        <v>1</v>
      </c>
      <c r="BK70" t="str">
        <f t="shared" si="42"/>
        <v>Farmacia</v>
      </c>
      <c r="BL70" t="str">
        <f>""</f>
        <v/>
      </c>
      <c r="BM70" t="str">
        <f>""</f>
        <v/>
      </c>
      <c r="BN70" t="str">
        <f>""</f>
        <v/>
      </c>
      <c r="BO70" t="str">
        <f>""</f>
        <v/>
      </c>
      <c r="BP70" t="str">
        <f>""</f>
        <v/>
      </c>
      <c r="BQ70" t="str">
        <f>""</f>
        <v/>
      </c>
      <c r="BR70" t="str">
        <f t="shared" si="31"/>
        <v>11/07/2023</v>
      </c>
      <c r="BS70" t="str">
        <f>""</f>
        <v/>
      </c>
      <c r="BT70" t="str">
        <f>""</f>
        <v/>
      </c>
      <c r="BU70" t="str">
        <f>""</f>
        <v/>
      </c>
      <c r="BV70" t="str">
        <f>""</f>
        <v/>
      </c>
      <c r="BW70" t="str">
        <f t="shared" si="32"/>
        <v>Não visitado</v>
      </c>
    </row>
    <row r="71" spans="1:75" x14ac:dyDescent="0.35">
      <c r="A71">
        <v>157552</v>
      </c>
      <c r="B71" t="str">
        <f t="shared" si="33"/>
        <v>A</v>
      </c>
      <c r="C71" t="str">
        <f t="shared" si="34"/>
        <v>80</v>
      </c>
      <c r="D71" t="str">
        <f t="shared" si="35"/>
        <v>11121001</v>
      </c>
      <c r="E71" t="str">
        <f t="shared" si="36"/>
        <v>121001</v>
      </c>
      <c r="F71" t="str">
        <f t="shared" si="37"/>
        <v>JENIFER SANTOS</v>
      </c>
      <c r="G71" t="str">
        <f>"85263069000160"</f>
        <v>85263069000160</v>
      </c>
      <c r="H71" t="str">
        <f t="shared" si="26"/>
        <v>0</v>
      </c>
      <c r="I71" t="str">
        <f t="shared" si="38"/>
        <v>CONTA OPTICA</v>
      </c>
      <c r="J71" t="str">
        <f>"CONFECCOES TUNAPOLITANA LTDA ME"</f>
        <v>CONFECCOES TUNAPOLITANA LTDA ME</v>
      </c>
      <c r="K71" t="str">
        <f>"CONFECCOES TUNAPOLITANA LTDA ME (1709)"</f>
        <v>CONFECCOES TUNAPOLITANA LTDA ME (1709)</v>
      </c>
      <c r="L71" t="str">
        <f>""</f>
        <v/>
      </c>
      <c r="M71" t="str">
        <f>""</f>
        <v/>
      </c>
      <c r="N71" t="str">
        <f>"apauli2@hotmail.com"</f>
        <v>apauli2@hotmail.com</v>
      </c>
      <c r="O71" t="str">
        <f>""</f>
        <v/>
      </c>
      <c r="P71" t="str">
        <f>"RUA JOAO CASTILHO"</f>
        <v>RUA JOAO CASTILHO</v>
      </c>
      <c r="Q71" t="str">
        <f>"556"</f>
        <v>556</v>
      </c>
      <c r="R71" t="str">
        <f>""</f>
        <v/>
      </c>
      <c r="S71" t="str">
        <f>"1288"</f>
        <v>1288</v>
      </c>
      <c r="T71" t="str">
        <f>"89898000"</f>
        <v>89898000</v>
      </c>
      <c r="U71" t="str">
        <f>"CENTRO"</f>
        <v>CENTRO</v>
      </c>
      <c r="V71" t="str">
        <f>"TUNAPOLIS"</f>
        <v>TUNAPOLIS</v>
      </c>
      <c r="W71" t="str">
        <f>"SC"</f>
        <v>SC</v>
      </c>
      <c r="X71" t="str">
        <f>"49"</f>
        <v>49</v>
      </c>
      <c r="Y71" t="str">
        <f>"36321229"</f>
        <v>36321229</v>
      </c>
      <c r="Z71" t="str">
        <f>""</f>
        <v/>
      </c>
      <c r="AA71" t="str">
        <f>""</f>
        <v/>
      </c>
      <c r="AB71" t="str">
        <f>""</f>
        <v/>
      </c>
      <c r="AC71" t="str">
        <f>""</f>
        <v/>
      </c>
      <c r="AD71" t="str">
        <f>""</f>
        <v/>
      </c>
      <c r="AE71" t="str">
        <f>""</f>
        <v/>
      </c>
      <c r="AF71" t="str">
        <f>""</f>
        <v/>
      </c>
      <c r="AG71" t="str">
        <f>""</f>
        <v/>
      </c>
      <c r="AH71" t="str">
        <f>""</f>
        <v/>
      </c>
      <c r="AI71" t="str">
        <f>""</f>
        <v/>
      </c>
      <c r="AJ71" t="str">
        <f>""</f>
        <v/>
      </c>
      <c r="AK71" t="str">
        <f>""</f>
        <v/>
      </c>
      <c r="AL71" t="str">
        <f>""</f>
        <v/>
      </c>
      <c r="AM71" t="str">
        <f>""</f>
        <v/>
      </c>
      <c r="AN71" t="str">
        <f>""</f>
        <v/>
      </c>
      <c r="AO71" t="str">
        <f>""</f>
        <v/>
      </c>
      <c r="AP71" t="str">
        <f>""</f>
        <v/>
      </c>
      <c r="AQ71" t="str">
        <f>""</f>
        <v/>
      </c>
      <c r="AR71" t="str">
        <f>""</f>
        <v/>
      </c>
      <c r="AS71" t="str">
        <f>""</f>
        <v/>
      </c>
      <c r="AT71" t="str">
        <f>""</f>
        <v/>
      </c>
      <c r="AU71" t="str">
        <f>""</f>
        <v/>
      </c>
      <c r="AV71" t="str">
        <f>""</f>
        <v/>
      </c>
      <c r="AW71" t="str">
        <f>""</f>
        <v/>
      </c>
      <c r="AX71" t="str">
        <f>""</f>
        <v/>
      </c>
      <c r="AY71" t="str">
        <f>""</f>
        <v/>
      </c>
      <c r="AZ71" t="str">
        <f>""</f>
        <v/>
      </c>
      <c r="BA71" t="str">
        <f>""</f>
        <v/>
      </c>
      <c r="BB71" t="str">
        <f t="shared" si="30"/>
        <v>11/07/2023 02:14:29</v>
      </c>
      <c r="BC71" t="str">
        <f>""</f>
        <v/>
      </c>
      <c r="BD71" t="str">
        <f>""</f>
        <v/>
      </c>
      <c r="BE71" t="str">
        <f>""</f>
        <v/>
      </c>
      <c r="BF71" t="str">
        <f t="shared" si="39"/>
        <v>A</v>
      </c>
      <c r="BG71" t="str">
        <f>""</f>
        <v/>
      </c>
      <c r="BH71" t="str">
        <f>""</f>
        <v/>
      </c>
      <c r="BI71" t="str">
        <f t="shared" si="40"/>
        <v>EVENTUAL</v>
      </c>
      <c r="BJ71" t="str">
        <f t="shared" si="41"/>
        <v>1</v>
      </c>
      <c r="BK71" t="str">
        <f t="shared" si="42"/>
        <v>Farmacia</v>
      </c>
      <c r="BL71" t="str">
        <f>""</f>
        <v/>
      </c>
      <c r="BM71" t="str">
        <f>""</f>
        <v/>
      </c>
      <c r="BN71" t="str">
        <f>""</f>
        <v/>
      </c>
      <c r="BO71" t="str">
        <f>""</f>
        <v/>
      </c>
      <c r="BP71" t="str">
        <f>""</f>
        <v/>
      </c>
      <c r="BQ71" t="str">
        <f>""</f>
        <v/>
      </c>
      <c r="BR71" t="str">
        <f t="shared" si="31"/>
        <v>11/07/2023</v>
      </c>
      <c r="BS71" t="str">
        <f>""</f>
        <v/>
      </c>
      <c r="BT71" t="str">
        <f>""</f>
        <v/>
      </c>
      <c r="BU71" t="str">
        <f>""</f>
        <v/>
      </c>
      <c r="BV71" t="str">
        <f>""</f>
        <v/>
      </c>
      <c r="BW71" t="str">
        <f t="shared" si="32"/>
        <v>Não visitado</v>
      </c>
    </row>
    <row r="72" spans="1:75" x14ac:dyDescent="0.35">
      <c r="A72">
        <v>144589</v>
      </c>
      <c r="B72" t="str">
        <f t="shared" si="33"/>
        <v>A</v>
      </c>
      <c r="C72" t="str">
        <f t="shared" si="34"/>
        <v>80</v>
      </c>
      <c r="D72" t="str">
        <f t="shared" si="35"/>
        <v>11121001</v>
      </c>
      <c r="E72" t="str">
        <f t="shared" si="36"/>
        <v>121001</v>
      </c>
      <c r="F72" t="str">
        <f t="shared" si="37"/>
        <v>JENIFER SANTOS</v>
      </c>
      <c r="G72" t="str">
        <f>"37881971000106"</f>
        <v>37881971000106</v>
      </c>
      <c r="H72" t="str">
        <f>""</f>
        <v/>
      </c>
      <c r="I72" t="str">
        <f t="shared" si="38"/>
        <v>CONTA OPTICA</v>
      </c>
      <c r="J72" t="str">
        <f>"CORREIA &amp; JARDIM JOALHERIA E OTICA LTDA"</f>
        <v>CORREIA &amp; JARDIM JOALHERIA E OTICA LTDA</v>
      </c>
      <c r="K72" t="str">
        <f>"OTICAS CAROLINE (4179)"</f>
        <v>OTICAS CAROLINE (4179)</v>
      </c>
      <c r="L72" t="str">
        <f>""</f>
        <v/>
      </c>
      <c r="M72" t="str">
        <f>""</f>
        <v/>
      </c>
      <c r="N72" t="str">
        <f>"angela_mfj@hotmail.com"</f>
        <v>angela_mfj@hotmail.com</v>
      </c>
      <c r="O72" t="str">
        <f>""</f>
        <v/>
      </c>
      <c r="P72" t="str">
        <f>"RUA BLUMENAU"</f>
        <v>RUA BLUMENAU</v>
      </c>
      <c r="Q72" t="str">
        <f>"64"</f>
        <v>64</v>
      </c>
      <c r="R72" t="str">
        <f>"ED ADVILLE L 11"</f>
        <v>ED ADVILLE L 11</v>
      </c>
      <c r="S72" t="str">
        <f>""</f>
        <v/>
      </c>
      <c r="T72" t="str">
        <f>"89204250"</f>
        <v>89204250</v>
      </c>
      <c r="U72" t="str">
        <f>"AMERICA"</f>
        <v>AMERICA</v>
      </c>
      <c r="V72" t="str">
        <f>"JOINVILLE"</f>
        <v>JOINVILLE</v>
      </c>
      <c r="W72" t="str">
        <f>"SC"</f>
        <v>SC</v>
      </c>
      <c r="X72" t="str">
        <f>"47"</f>
        <v>47</v>
      </c>
      <c r="Y72" t="str">
        <f>"35114455"</f>
        <v>35114455</v>
      </c>
      <c r="Z72" t="str">
        <f>""</f>
        <v/>
      </c>
      <c r="AA72" t="str">
        <f>""</f>
        <v/>
      </c>
      <c r="AB72" t="str">
        <f>""</f>
        <v/>
      </c>
      <c r="AC72" t="str">
        <f>""</f>
        <v/>
      </c>
      <c r="AD72" t="str">
        <f>""</f>
        <v/>
      </c>
      <c r="AE72" t="str">
        <f>""</f>
        <v/>
      </c>
      <c r="AF72" t="str">
        <f>""</f>
        <v/>
      </c>
      <c r="AG72" t="str">
        <f>""</f>
        <v/>
      </c>
      <c r="AH72" t="str">
        <f>""</f>
        <v/>
      </c>
      <c r="AI72" t="str">
        <f>""</f>
        <v/>
      </c>
      <c r="AJ72" t="str">
        <f t="shared" ref="AJ72:AL74" si="43">"0"</f>
        <v>0</v>
      </c>
      <c r="AK72" t="str">
        <f t="shared" si="43"/>
        <v>0</v>
      </c>
      <c r="AL72" t="str">
        <f t="shared" si="43"/>
        <v>0</v>
      </c>
      <c r="AM72" t="str">
        <f>""</f>
        <v/>
      </c>
      <c r="AN72" t="str">
        <f>""</f>
        <v/>
      </c>
      <c r="AO72" t="str">
        <f>""</f>
        <v/>
      </c>
      <c r="AP72" t="str">
        <f>""</f>
        <v/>
      </c>
      <c r="AQ72" t="str">
        <f>""</f>
        <v/>
      </c>
      <c r="AR72" t="str">
        <f>""</f>
        <v/>
      </c>
      <c r="AS72" t="str">
        <f>""</f>
        <v/>
      </c>
      <c r="AT72" t="str">
        <f>""</f>
        <v/>
      </c>
      <c r="AU72" t="str">
        <f>""</f>
        <v/>
      </c>
      <c r="AV72" t="str">
        <f>""</f>
        <v/>
      </c>
      <c r="AW72" t="str">
        <f>""</f>
        <v/>
      </c>
      <c r="AX72" t="str">
        <f>""</f>
        <v/>
      </c>
      <c r="AY72" t="str">
        <f>""</f>
        <v/>
      </c>
      <c r="AZ72" t="str">
        <f>""</f>
        <v/>
      </c>
      <c r="BA72" t="str">
        <f>""</f>
        <v/>
      </c>
      <c r="BB72" t="str">
        <f>""</f>
        <v/>
      </c>
      <c r="BC72" t="str">
        <f>""</f>
        <v/>
      </c>
      <c r="BD72" t="str">
        <f>""</f>
        <v/>
      </c>
      <c r="BE72" t="str">
        <f>""</f>
        <v/>
      </c>
      <c r="BF72" t="str">
        <f t="shared" si="39"/>
        <v>A</v>
      </c>
      <c r="BG72" t="str">
        <f t="shared" ref="BG72:BH74" si="44">"0,00"</f>
        <v>0,00</v>
      </c>
      <c r="BH72" t="str">
        <f t="shared" si="44"/>
        <v>0,00</v>
      </c>
      <c r="BI72" t="str">
        <f t="shared" si="40"/>
        <v>EVENTUAL</v>
      </c>
      <c r="BJ72" t="str">
        <f t="shared" si="41"/>
        <v>1</v>
      </c>
      <c r="BK72" t="str">
        <f t="shared" si="42"/>
        <v>Farmacia</v>
      </c>
      <c r="BL72" t="str">
        <f>""</f>
        <v/>
      </c>
      <c r="BM72" t="str">
        <f>"NÃO É VARILUX ESPECIALISTA"</f>
        <v>NÃO É VARILUX ESPECIALISTA</v>
      </c>
      <c r="BN72" t="str">
        <f>"NA"</f>
        <v>NA</v>
      </c>
      <c r="BO72" t="str">
        <f>"FOCO VARILUX"</f>
        <v>FOCO VARILUX</v>
      </c>
      <c r="BP72" t="str">
        <f>""</f>
        <v/>
      </c>
      <c r="BQ72" t="str">
        <f>""</f>
        <v/>
      </c>
      <c r="BR72" t="str">
        <f>""</f>
        <v/>
      </c>
      <c r="BS72" t="str">
        <f>""</f>
        <v/>
      </c>
      <c r="BT72" t="str">
        <f>""</f>
        <v/>
      </c>
      <c r="BU72" t="str">
        <f>""</f>
        <v/>
      </c>
      <c r="BV72" t="str">
        <f>"9"</f>
        <v>9</v>
      </c>
      <c r="BW72" t="str">
        <f>"14"</f>
        <v>14</v>
      </c>
    </row>
    <row r="73" spans="1:75" x14ac:dyDescent="0.35">
      <c r="A73">
        <v>144832</v>
      </c>
      <c r="B73" t="str">
        <f t="shared" si="33"/>
        <v>A</v>
      </c>
      <c r="C73" t="str">
        <f t="shared" si="34"/>
        <v>80</v>
      </c>
      <c r="D73" t="str">
        <f t="shared" si="35"/>
        <v>11121001</v>
      </c>
      <c r="E73" t="str">
        <f t="shared" si="36"/>
        <v>121001</v>
      </c>
      <c r="F73" t="str">
        <f t="shared" si="37"/>
        <v>JENIFER SANTOS</v>
      </c>
      <c r="G73" t="str">
        <f>"37881971000289"</f>
        <v>37881971000289</v>
      </c>
      <c r="H73" t="str">
        <f>""</f>
        <v/>
      </c>
      <c r="I73" t="str">
        <f t="shared" si="38"/>
        <v>CONTA OPTICA</v>
      </c>
      <c r="J73" t="str">
        <f>"CORREIA &amp; JARDIM JOALHERIA E OTICA LTDA"</f>
        <v>CORREIA &amp; JARDIM JOALHERIA E OTICA LTDA</v>
      </c>
      <c r="K73" t="str">
        <f>"OTICAS FEHR (4365)"</f>
        <v>OTICAS FEHR (4365)</v>
      </c>
      <c r="L73" t="str">
        <f>""</f>
        <v/>
      </c>
      <c r="M73" t="str">
        <f>""</f>
        <v/>
      </c>
      <c r="N73" t="str">
        <f>"oticascarolineprime@gmail.com"</f>
        <v>oticascarolineprime@gmail.com</v>
      </c>
      <c r="O73" t="str">
        <f>""</f>
        <v/>
      </c>
      <c r="P73" t="str">
        <f>"RUA SANTA CATARINA"</f>
        <v>RUA SANTA CATARINA</v>
      </c>
      <c r="Q73" t="str">
        <f>"1147"</f>
        <v>1147</v>
      </c>
      <c r="R73" t="str">
        <f>"SALA A"</f>
        <v>SALA A</v>
      </c>
      <c r="S73" t="str">
        <f>"1279"</f>
        <v>1279</v>
      </c>
      <c r="T73" t="str">
        <f>"89211307"</f>
        <v>89211307</v>
      </c>
      <c r="U73" t="str">
        <f>"FLORESTA"</f>
        <v>FLORESTA</v>
      </c>
      <c r="V73" t="str">
        <f>"JOINVILLE"</f>
        <v>JOINVILLE</v>
      </c>
      <c r="W73" t="str">
        <f>"SC"</f>
        <v>SC</v>
      </c>
      <c r="X73" t="str">
        <f>"47"</f>
        <v>47</v>
      </c>
      <c r="Y73" t="str">
        <f>"35114455"</f>
        <v>35114455</v>
      </c>
      <c r="Z73" t="str">
        <f>""</f>
        <v/>
      </c>
      <c r="AA73" t="str">
        <f>""</f>
        <v/>
      </c>
      <c r="AB73" t="str">
        <f>""</f>
        <v/>
      </c>
      <c r="AC73" t="str">
        <f>""</f>
        <v/>
      </c>
      <c r="AD73" t="str">
        <f>""</f>
        <v/>
      </c>
      <c r="AE73" t="str">
        <f>""</f>
        <v/>
      </c>
      <c r="AF73" t="str">
        <f>""</f>
        <v/>
      </c>
      <c r="AG73" t="str">
        <f>""</f>
        <v/>
      </c>
      <c r="AH73" t="str">
        <f>""</f>
        <v/>
      </c>
      <c r="AI73" t="str">
        <f>""</f>
        <v/>
      </c>
      <c r="AJ73" t="str">
        <f t="shared" si="43"/>
        <v>0</v>
      </c>
      <c r="AK73" t="str">
        <f t="shared" si="43"/>
        <v>0</v>
      </c>
      <c r="AL73" t="str">
        <f t="shared" si="43"/>
        <v>0</v>
      </c>
      <c r="AM73" t="str">
        <f>""</f>
        <v/>
      </c>
      <c r="AN73" t="str">
        <f>""</f>
        <v/>
      </c>
      <c r="AO73" t="str">
        <f>""</f>
        <v/>
      </c>
      <c r="AP73" t="str">
        <f>""</f>
        <v/>
      </c>
      <c r="AQ73" t="str">
        <f>""</f>
        <v/>
      </c>
      <c r="AR73" t="str">
        <f>""</f>
        <v/>
      </c>
      <c r="AS73" t="str">
        <f>""</f>
        <v/>
      </c>
      <c r="AT73" t="str">
        <f>""</f>
        <v/>
      </c>
      <c r="AU73" t="str">
        <f>""</f>
        <v/>
      </c>
      <c r="AV73" t="str">
        <f>""</f>
        <v/>
      </c>
      <c r="AW73" t="str">
        <f>""</f>
        <v/>
      </c>
      <c r="AX73" t="str">
        <f>""</f>
        <v/>
      </c>
      <c r="AY73" t="str">
        <f>""</f>
        <v/>
      </c>
      <c r="AZ73" t="str">
        <f>""</f>
        <v/>
      </c>
      <c r="BA73" t="str">
        <f>""</f>
        <v/>
      </c>
      <c r="BB73" t="str">
        <f>""</f>
        <v/>
      </c>
      <c r="BC73" t="str">
        <f>""</f>
        <v/>
      </c>
      <c r="BD73" t="str">
        <f>""</f>
        <v/>
      </c>
      <c r="BE73" t="str">
        <f>""</f>
        <v/>
      </c>
      <c r="BF73" t="str">
        <f t="shared" si="39"/>
        <v>A</v>
      </c>
      <c r="BG73" t="str">
        <f t="shared" si="44"/>
        <v>0,00</v>
      </c>
      <c r="BH73" t="str">
        <f t="shared" si="44"/>
        <v>0,00</v>
      </c>
      <c r="BI73" t="str">
        <f t="shared" si="40"/>
        <v>EVENTUAL</v>
      </c>
      <c r="BJ73" t="str">
        <f t="shared" si="41"/>
        <v>1</v>
      </c>
      <c r="BK73" t="str">
        <f t="shared" si="42"/>
        <v>Farmacia</v>
      </c>
      <c r="BL73" t="str">
        <f>""</f>
        <v/>
      </c>
      <c r="BM73" t="str">
        <f>"NÃO É VARILUX ESPECIALISTA"</f>
        <v>NÃO É VARILUX ESPECIALISTA</v>
      </c>
      <c r="BN73" t="str">
        <f>"NA"</f>
        <v>NA</v>
      </c>
      <c r="BO73" t="str">
        <f>"OUTROS"</f>
        <v>OUTROS</v>
      </c>
      <c r="BP73" t="str">
        <f>""</f>
        <v/>
      </c>
      <c r="BQ73" t="str">
        <f>""</f>
        <v/>
      </c>
      <c r="BR73" t="str">
        <f>""</f>
        <v/>
      </c>
      <c r="BS73" t="str">
        <f>""</f>
        <v/>
      </c>
      <c r="BT73" t="str">
        <f>""</f>
        <v/>
      </c>
      <c r="BU73" t="str">
        <f>""</f>
        <v/>
      </c>
      <c r="BV73" t="str">
        <f>""</f>
        <v/>
      </c>
      <c r="BW73" t="str">
        <f>"120"</f>
        <v>120</v>
      </c>
    </row>
    <row r="74" spans="1:75" x14ac:dyDescent="0.35">
      <c r="A74">
        <v>824</v>
      </c>
      <c r="B74" t="str">
        <f t="shared" si="33"/>
        <v>A</v>
      </c>
      <c r="C74" t="str">
        <f t="shared" si="34"/>
        <v>80</v>
      </c>
      <c r="D74" t="str">
        <f t="shared" si="35"/>
        <v>11121001</v>
      </c>
      <c r="E74" t="str">
        <f t="shared" si="36"/>
        <v>121001</v>
      </c>
      <c r="F74" t="str">
        <f t="shared" si="37"/>
        <v>JENIFER SANTOS</v>
      </c>
      <c r="G74" t="str">
        <f>"03453548000185"</f>
        <v>03453548000185</v>
      </c>
      <c r="H74" t="str">
        <f>""</f>
        <v/>
      </c>
      <c r="I74" t="str">
        <f t="shared" si="38"/>
        <v>CONTA OPTICA</v>
      </c>
      <c r="J74" t="str">
        <f>"CR CARNEIRO COMERCIO DE JOIAS LTDA"</f>
        <v>CR CARNEIRO COMERCIO DE JOIAS LTDA</v>
      </c>
      <c r="K74" t="str">
        <f>"MAGNOS JOALHERIA E OTICA (2282)"</f>
        <v>MAGNOS JOALHERIA E OTICA (2282)</v>
      </c>
      <c r="L74" t="str">
        <f>""</f>
        <v/>
      </c>
      <c r="M74" t="str">
        <f>""</f>
        <v/>
      </c>
      <c r="N74" t="str">
        <f>"magnosgarten@gmail.com"</f>
        <v>magnosgarten@gmail.com</v>
      </c>
      <c r="O74" t="str">
        <f>""</f>
        <v/>
      </c>
      <c r="P74" t="str">
        <f>"RUA ROLF WIEST"</f>
        <v>RUA ROLF WIEST</v>
      </c>
      <c r="Q74" t="str">
        <f>"333"</f>
        <v>333</v>
      </c>
      <c r="R74" t="str">
        <f>"LOJA 34"</f>
        <v>LOJA 34</v>
      </c>
      <c r="S74" t="str">
        <f>"1279"</f>
        <v>1279</v>
      </c>
      <c r="T74" t="str">
        <f>"89223005"</f>
        <v>89223005</v>
      </c>
      <c r="U74" t="str">
        <f>"BOM RETIRO"</f>
        <v>BOM RETIRO</v>
      </c>
      <c r="V74" t="str">
        <f>"JOINVILLE"</f>
        <v>JOINVILLE</v>
      </c>
      <c r="W74" t="str">
        <f>"SC"</f>
        <v>SC</v>
      </c>
      <c r="X74" t="str">
        <f>"47"</f>
        <v>47</v>
      </c>
      <c r="Y74" t="str">
        <f>"30439085"</f>
        <v>30439085</v>
      </c>
      <c r="Z74" t="str">
        <f>""</f>
        <v/>
      </c>
      <c r="AA74" t="str">
        <f>""</f>
        <v/>
      </c>
      <c r="AB74" t="str">
        <f>""</f>
        <v/>
      </c>
      <c r="AC74" t="str">
        <f>""</f>
        <v/>
      </c>
      <c r="AD74" t="str">
        <f>""</f>
        <v/>
      </c>
      <c r="AE74" t="str">
        <f>""</f>
        <v/>
      </c>
      <c r="AF74" t="str">
        <f>""</f>
        <v/>
      </c>
      <c r="AG74" t="str">
        <f>""</f>
        <v/>
      </c>
      <c r="AH74" t="str">
        <f>""</f>
        <v/>
      </c>
      <c r="AI74" t="str">
        <f>""</f>
        <v/>
      </c>
      <c r="AJ74" t="str">
        <f t="shared" si="43"/>
        <v>0</v>
      </c>
      <c r="AK74" t="str">
        <f t="shared" si="43"/>
        <v>0</v>
      </c>
      <c r="AL74" t="str">
        <f t="shared" si="43"/>
        <v>0</v>
      </c>
      <c r="AM74" t="str">
        <f>""</f>
        <v/>
      </c>
      <c r="AN74" t="str">
        <f>""</f>
        <v/>
      </c>
      <c r="AO74" t="str">
        <f>""</f>
        <v/>
      </c>
      <c r="AP74" t="str">
        <f>""</f>
        <v/>
      </c>
      <c r="AQ74" t="str">
        <f>""</f>
        <v/>
      </c>
      <c r="AR74" t="str">
        <f>""</f>
        <v/>
      </c>
      <c r="AS74" t="str">
        <f>""</f>
        <v/>
      </c>
      <c r="AT74" t="str">
        <f>""</f>
        <v/>
      </c>
      <c r="AU74" t="str">
        <f>""</f>
        <v/>
      </c>
      <c r="AV74" t="str">
        <f>""</f>
        <v/>
      </c>
      <c r="AW74" t="str">
        <f>""</f>
        <v/>
      </c>
      <c r="AX74" t="str">
        <f>""</f>
        <v/>
      </c>
      <c r="AY74" t="str">
        <f>""</f>
        <v/>
      </c>
      <c r="AZ74" t="str">
        <f>""</f>
        <v/>
      </c>
      <c r="BA74" t="str">
        <f>""</f>
        <v/>
      </c>
      <c r="BB74" t="str">
        <f>"27/07/2018 09:25:52"</f>
        <v>27/07/2018 09:25:52</v>
      </c>
      <c r="BC74" t="str">
        <f>""</f>
        <v/>
      </c>
      <c r="BD74" t="str">
        <f>""</f>
        <v/>
      </c>
      <c r="BE74" t="str">
        <f>"824"</f>
        <v>824</v>
      </c>
      <c r="BF74" t="str">
        <f t="shared" si="39"/>
        <v>A</v>
      </c>
      <c r="BG74" t="str">
        <f t="shared" si="44"/>
        <v>0,00</v>
      </c>
      <c r="BH74" t="str">
        <f t="shared" si="44"/>
        <v>0,00</v>
      </c>
      <c r="BI74" t="str">
        <f t="shared" si="40"/>
        <v>EVENTUAL</v>
      </c>
      <c r="BJ74" t="str">
        <f t="shared" si="41"/>
        <v>1</v>
      </c>
      <c r="BK74" t="str">
        <f t="shared" si="42"/>
        <v>Farmacia</v>
      </c>
      <c r="BL74" t="str">
        <f>""</f>
        <v/>
      </c>
      <c r="BM74" t="str">
        <f>"NÃO É VARILUX ESPECIALISTA"</f>
        <v>NÃO É VARILUX ESPECIALISTA</v>
      </c>
      <c r="BN74" t="str">
        <f>"NA"</f>
        <v>NA</v>
      </c>
      <c r="BO74" t="str">
        <f>"OUTROS"</f>
        <v>OUTROS</v>
      </c>
      <c r="BP74" t="str">
        <f>""</f>
        <v/>
      </c>
      <c r="BQ74" t="str">
        <f>""</f>
        <v/>
      </c>
      <c r="BR74" t="str">
        <f>"27/07/2018"</f>
        <v>27/07/2018</v>
      </c>
      <c r="BS74" t="str">
        <f>""</f>
        <v/>
      </c>
      <c r="BT74" t="str">
        <f>""</f>
        <v/>
      </c>
      <c r="BU74" t="str">
        <f>""</f>
        <v/>
      </c>
      <c r="BV74" t="str">
        <f>"2"</f>
        <v>2</v>
      </c>
      <c r="BW74" t="str">
        <f>"16"</f>
        <v>16</v>
      </c>
    </row>
    <row r="75" spans="1:75" x14ac:dyDescent="0.35">
      <c r="A75">
        <v>157538</v>
      </c>
      <c r="B75" t="str">
        <f t="shared" si="33"/>
        <v>A</v>
      </c>
      <c r="C75" t="str">
        <f t="shared" si="34"/>
        <v>80</v>
      </c>
      <c r="D75" t="str">
        <f t="shared" si="35"/>
        <v>11121001</v>
      </c>
      <c r="E75" t="str">
        <f t="shared" si="36"/>
        <v>121001</v>
      </c>
      <c r="F75" t="str">
        <f t="shared" si="37"/>
        <v>JENIFER SANTOS</v>
      </c>
      <c r="G75" t="str">
        <f>"18758107000240"</f>
        <v>18758107000240</v>
      </c>
      <c r="H75" t="str">
        <f>"0"</f>
        <v>0</v>
      </c>
      <c r="I75" t="str">
        <f t="shared" si="38"/>
        <v>CONTA OPTICA</v>
      </c>
      <c r="J75" t="str">
        <f>"CRIS DAIANA FONTES - ME"</f>
        <v>CRIS DAIANA FONTES - ME</v>
      </c>
      <c r="K75" t="str">
        <f>"OTICA DINIZ (2271)"</f>
        <v>OTICA DINIZ (2271)</v>
      </c>
      <c r="L75" t="str">
        <f>""</f>
        <v/>
      </c>
      <c r="M75" t="str">
        <f>""</f>
        <v/>
      </c>
      <c r="N75" t="str">
        <f>"ESTOQUEOTICASDINIZ@GMAIL.COM"</f>
        <v>ESTOQUEOTICASDINIZ@GMAIL.COM</v>
      </c>
      <c r="O75" t="str">
        <f>""</f>
        <v/>
      </c>
      <c r="P75" t="str">
        <f>"MAURICIO CARDOSO"</f>
        <v>MAURICIO CARDOSO</v>
      </c>
      <c r="Q75" t="str">
        <f>"373"</f>
        <v>373</v>
      </c>
      <c r="R75" t="str">
        <f>""</f>
        <v/>
      </c>
      <c r="S75" t="str">
        <f>"1389"</f>
        <v>1389</v>
      </c>
      <c r="T75" t="str">
        <f>"99700426"</f>
        <v>99700426</v>
      </c>
      <c r="U75" t="str">
        <f>"CENTRO"</f>
        <v>CENTRO</v>
      </c>
      <c r="V75" t="str">
        <f>"ERECHIM"</f>
        <v>ERECHIM</v>
      </c>
      <c r="W75" t="str">
        <f>"RS"</f>
        <v>RS</v>
      </c>
      <c r="X75" t="str">
        <f>"55"</f>
        <v>55</v>
      </c>
      <c r="Y75" t="str">
        <f>"30255100"</f>
        <v>30255100</v>
      </c>
      <c r="Z75" t="str">
        <f>""</f>
        <v/>
      </c>
      <c r="AA75" t="str">
        <f>""</f>
        <v/>
      </c>
      <c r="AB75" t="str">
        <f>""</f>
        <v/>
      </c>
      <c r="AC75" t="str">
        <f>""</f>
        <v/>
      </c>
      <c r="AD75" t="str">
        <f>""</f>
        <v/>
      </c>
      <c r="AE75" t="str">
        <f>""</f>
        <v/>
      </c>
      <c r="AF75" t="str">
        <f>""</f>
        <v/>
      </c>
      <c r="AG75" t="str">
        <f>""</f>
        <v/>
      </c>
      <c r="AH75" t="str">
        <f>""</f>
        <v/>
      </c>
      <c r="AI75" t="str">
        <f>""</f>
        <v/>
      </c>
      <c r="AJ75" t="str">
        <f>""</f>
        <v/>
      </c>
      <c r="AK75" t="str">
        <f>""</f>
        <v/>
      </c>
      <c r="AL75" t="str">
        <f>""</f>
        <v/>
      </c>
      <c r="AM75" t="str">
        <f>""</f>
        <v/>
      </c>
      <c r="AN75" t="str">
        <f>""</f>
        <v/>
      </c>
      <c r="AO75" t="str">
        <f>""</f>
        <v/>
      </c>
      <c r="AP75" t="str">
        <f>""</f>
        <v/>
      </c>
      <c r="AQ75" t="str">
        <f>""</f>
        <v/>
      </c>
      <c r="AR75" t="str">
        <f>""</f>
        <v/>
      </c>
      <c r="AS75" t="str">
        <f>""</f>
        <v/>
      </c>
      <c r="AT75" t="str">
        <f>""</f>
        <v/>
      </c>
      <c r="AU75" t="str">
        <f>""</f>
        <v/>
      </c>
      <c r="AV75" t="str">
        <f>""</f>
        <v/>
      </c>
      <c r="AW75" t="str">
        <f>""</f>
        <v/>
      </c>
      <c r="AX75" t="str">
        <f>""</f>
        <v/>
      </c>
      <c r="AY75" t="str">
        <f>""</f>
        <v/>
      </c>
      <c r="AZ75" t="str">
        <f>""</f>
        <v/>
      </c>
      <c r="BA75" t="str">
        <f>""</f>
        <v/>
      </c>
      <c r="BB75" t="str">
        <f>"11/07/2023 02:14:29"</f>
        <v>11/07/2023 02:14:29</v>
      </c>
      <c r="BC75" t="str">
        <f>""</f>
        <v/>
      </c>
      <c r="BD75" t="str">
        <f>""</f>
        <v/>
      </c>
      <c r="BE75" t="str">
        <f>""</f>
        <v/>
      </c>
      <c r="BF75" t="str">
        <f t="shared" si="39"/>
        <v>A</v>
      </c>
      <c r="BG75" t="str">
        <f>""</f>
        <v/>
      </c>
      <c r="BH75" t="str">
        <f>""</f>
        <v/>
      </c>
      <c r="BI75" t="str">
        <f t="shared" si="40"/>
        <v>EVENTUAL</v>
      </c>
      <c r="BJ75" t="str">
        <f t="shared" si="41"/>
        <v>1</v>
      </c>
      <c r="BK75" t="str">
        <f t="shared" si="42"/>
        <v>Farmacia</v>
      </c>
      <c r="BL75" t="str">
        <f>""</f>
        <v/>
      </c>
      <c r="BM75" t="str">
        <f>""</f>
        <v/>
      </c>
      <c r="BN75" t="str">
        <f>""</f>
        <v/>
      </c>
      <c r="BO75" t="str">
        <f>""</f>
        <v/>
      </c>
      <c r="BP75" t="str">
        <f>""</f>
        <v/>
      </c>
      <c r="BQ75" t="str">
        <f>""</f>
        <v/>
      </c>
      <c r="BR75" t="str">
        <f>"11/07/2023"</f>
        <v>11/07/2023</v>
      </c>
      <c r="BS75" t="str">
        <f>""</f>
        <v/>
      </c>
      <c r="BT75" t="str">
        <f>""</f>
        <v/>
      </c>
      <c r="BU75" t="str">
        <f>""</f>
        <v/>
      </c>
      <c r="BV75" t="str">
        <f>""</f>
        <v/>
      </c>
      <c r="BW75" t="str">
        <f>"Não visitado"</f>
        <v>Não visitado</v>
      </c>
    </row>
    <row r="76" spans="1:75" x14ac:dyDescent="0.35">
      <c r="A76">
        <v>797</v>
      </c>
      <c r="B76" t="str">
        <f t="shared" si="33"/>
        <v>A</v>
      </c>
      <c r="C76" t="str">
        <f t="shared" si="34"/>
        <v>80</v>
      </c>
      <c r="D76" t="str">
        <f t="shared" si="35"/>
        <v>11121001</v>
      </c>
      <c r="E76" t="str">
        <f t="shared" si="36"/>
        <v>121001</v>
      </c>
      <c r="F76" t="str">
        <f t="shared" si="37"/>
        <v>JENIFER SANTOS</v>
      </c>
      <c r="G76" t="str">
        <f>"02346589000100"</f>
        <v>02346589000100</v>
      </c>
      <c r="H76" t="str">
        <f>""</f>
        <v/>
      </c>
      <c r="I76" t="str">
        <f t="shared" si="38"/>
        <v>CONTA OPTICA</v>
      </c>
      <c r="J76" t="str">
        <f>"CRISTAL COMERCIO DE JOIAS E RELOGIOS LTDA"</f>
        <v>CRISTAL COMERCIO DE JOIAS E RELOGIOS LTDA</v>
      </c>
      <c r="K76" t="str">
        <f>"CRISTAL COMERCIO DE JOIAS E RELOGIOS LTDA (343)"</f>
        <v>CRISTAL COMERCIO DE JOIAS E RELOGIOS LTDA (343)</v>
      </c>
      <c r="L76" t="str">
        <f>""</f>
        <v/>
      </c>
      <c r="M76" t="str">
        <f>""</f>
        <v/>
      </c>
      <c r="N76" t="str">
        <f>"cristalrelojoaria@gmail.com"</f>
        <v>cristalrelojoaria@gmail.com</v>
      </c>
      <c r="O76" t="str">
        <f>""</f>
        <v/>
      </c>
      <c r="P76" t="str">
        <f>"RUA QUINZE DE NOVEMBRO"</f>
        <v>RUA QUINZE DE NOVEMBRO</v>
      </c>
      <c r="Q76" t="str">
        <f>"418"</f>
        <v>418</v>
      </c>
      <c r="R76" t="str">
        <f>""</f>
        <v/>
      </c>
      <c r="S76" t="str">
        <f>"1277"</f>
        <v>1277</v>
      </c>
      <c r="T76" t="str">
        <f>"89201600"</f>
        <v>89201600</v>
      </c>
      <c r="U76" t="str">
        <f>"CENTRO"</f>
        <v>CENTRO</v>
      </c>
      <c r="V76" t="str">
        <f>"JOINVILLE"</f>
        <v>JOINVILLE</v>
      </c>
      <c r="W76" t="str">
        <f>"SC"</f>
        <v>SC</v>
      </c>
      <c r="X76" t="str">
        <f>"47"</f>
        <v>47</v>
      </c>
      <c r="Y76" t="str">
        <f>"34226503"</f>
        <v>34226503</v>
      </c>
      <c r="Z76" t="str">
        <f>""</f>
        <v/>
      </c>
      <c r="AA76" t="str">
        <f>""</f>
        <v/>
      </c>
      <c r="AB76" t="str">
        <f>""</f>
        <v/>
      </c>
      <c r="AC76" t="str">
        <f>""</f>
        <v/>
      </c>
      <c r="AD76" t="str">
        <f>""</f>
        <v/>
      </c>
      <c r="AE76" t="str">
        <f>""</f>
        <v/>
      </c>
      <c r="AF76" t="str">
        <f>""</f>
        <v/>
      </c>
      <c r="AG76" t="str">
        <f>""</f>
        <v/>
      </c>
      <c r="AH76" t="str">
        <f>""</f>
        <v/>
      </c>
      <c r="AI76" t="str">
        <f>""</f>
        <v/>
      </c>
      <c r="AJ76" t="str">
        <f>"0"</f>
        <v>0</v>
      </c>
      <c r="AK76" t="str">
        <f>"0"</f>
        <v>0</v>
      </c>
      <c r="AL76" t="str">
        <f>"0"</f>
        <v>0</v>
      </c>
      <c r="AM76" t="str">
        <f>""</f>
        <v/>
      </c>
      <c r="AN76" t="str">
        <f>""</f>
        <v/>
      </c>
      <c r="AO76" t="str">
        <f>""</f>
        <v/>
      </c>
      <c r="AP76" t="str">
        <f>""</f>
        <v/>
      </c>
      <c r="AQ76" t="str">
        <f>""</f>
        <v/>
      </c>
      <c r="AR76" t="str">
        <f>""</f>
        <v/>
      </c>
      <c r="AS76" t="str">
        <f>""</f>
        <v/>
      </c>
      <c r="AT76" t="str">
        <f>""</f>
        <v/>
      </c>
      <c r="AU76" t="str">
        <f>""</f>
        <v/>
      </c>
      <c r="AV76" t="str">
        <f>""</f>
        <v/>
      </c>
      <c r="AW76" t="str">
        <f>""</f>
        <v/>
      </c>
      <c r="AX76" t="str">
        <f>""</f>
        <v/>
      </c>
      <c r="AY76" t="str">
        <f>""</f>
        <v/>
      </c>
      <c r="AZ76" t="str">
        <f>""</f>
        <v/>
      </c>
      <c r="BA76" t="str">
        <f>""</f>
        <v/>
      </c>
      <c r="BB76" t="str">
        <f>"27/07/2018 09:25:51"</f>
        <v>27/07/2018 09:25:51</v>
      </c>
      <c r="BC76" t="str">
        <f>""</f>
        <v/>
      </c>
      <c r="BD76" t="str">
        <f>""</f>
        <v/>
      </c>
      <c r="BE76" t="str">
        <f>"797"</f>
        <v>797</v>
      </c>
      <c r="BF76" t="str">
        <f t="shared" si="39"/>
        <v>A</v>
      </c>
      <c r="BG76" t="str">
        <f>"0,00"</f>
        <v>0,00</v>
      </c>
      <c r="BH76" t="str">
        <f>"0,00"</f>
        <v>0,00</v>
      </c>
      <c r="BI76" t="str">
        <f t="shared" si="40"/>
        <v>EVENTUAL</v>
      </c>
      <c r="BJ76" t="str">
        <f t="shared" si="41"/>
        <v>1</v>
      </c>
      <c r="BK76" t="str">
        <f t="shared" si="42"/>
        <v>Farmacia</v>
      </c>
      <c r="BL76" t="str">
        <f>""</f>
        <v/>
      </c>
      <c r="BM76" t="str">
        <f>"NÃO É VARILUX ESPECIALISTA"</f>
        <v>NÃO É VARILUX ESPECIALISTA</v>
      </c>
      <c r="BN76" t="str">
        <f>"NA"</f>
        <v>NA</v>
      </c>
      <c r="BO76" t="str">
        <f>"FOCO KODAK 2"</f>
        <v>FOCO KODAK 2</v>
      </c>
      <c r="BP76" t="str">
        <f>""</f>
        <v/>
      </c>
      <c r="BQ76" t="str">
        <f>""</f>
        <v/>
      </c>
      <c r="BR76" t="str">
        <f>"27/07/2018"</f>
        <v>27/07/2018</v>
      </c>
      <c r="BS76" t="str">
        <f>""</f>
        <v/>
      </c>
      <c r="BT76" t="str">
        <f>""</f>
        <v/>
      </c>
      <c r="BU76" t="str">
        <f>""</f>
        <v/>
      </c>
      <c r="BV76" t="str">
        <f>"9"</f>
        <v>9</v>
      </c>
      <c r="BW76" t="str">
        <f>"Não visitado"</f>
        <v>Não visitado</v>
      </c>
    </row>
    <row r="77" spans="1:75" x14ac:dyDescent="0.35">
      <c r="A77">
        <v>157526</v>
      </c>
      <c r="B77" t="str">
        <f t="shared" si="33"/>
        <v>A</v>
      </c>
      <c r="C77" t="str">
        <f t="shared" si="34"/>
        <v>80</v>
      </c>
      <c r="D77" t="str">
        <f t="shared" si="35"/>
        <v>11121001</v>
      </c>
      <c r="E77" t="str">
        <f t="shared" si="36"/>
        <v>121001</v>
      </c>
      <c r="F77" t="str">
        <f t="shared" si="37"/>
        <v>JENIFER SANTOS</v>
      </c>
      <c r="G77" t="str">
        <f>"05341090000874"</f>
        <v>05341090000874</v>
      </c>
      <c r="H77" t="str">
        <f t="shared" ref="H77:H83" si="45">"0"</f>
        <v>0</v>
      </c>
      <c r="I77" t="str">
        <f t="shared" si="38"/>
        <v>CONTA OPTICA</v>
      </c>
      <c r="J77" t="str">
        <f>"CRISTAL OTICA LTDA"</f>
        <v>CRISTAL OTICA LTDA</v>
      </c>
      <c r="K77" t="str">
        <f>"CRISTAL OTICA LOJA 8 (3994)"</f>
        <v>CRISTAL OTICA LOJA 8 (3994)</v>
      </c>
      <c r="L77" t="str">
        <f>""</f>
        <v/>
      </c>
      <c r="M77" t="str">
        <f>""</f>
        <v/>
      </c>
      <c r="N77" t="str">
        <f>"LOJA8@CRISTALOTICA.COM"</f>
        <v>LOJA8@CRISTALOTICA.COM</v>
      </c>
      <c r="O77" t="str">
        <f>""</f>
        <v/>
      </c>
      <c r="P77" t="str">
        <f>"RUA ALMIRANTE TAMANDARÉ"</f>
        <v>RUA ALMIRANTE TAMANDARÉ</v>
      </c>
      <c r="Q77" t="str">
        <f>"445"</f>
        <v>445</v>
      </c>
      <c r="R77" t="str">
        <f>"TERREO"</f>
        <v>TERREO</v>
      </c>
      <c r="S77" t="str">
        <f>"1289"</f>
        <v>1289</v>
      </c>
      <c r="T77" t="str">
        <f>"89900000"</f>
        <v>89900000</v>
      </c>
      <c r="U77" t="str">
        <f>"CENTRO"</f>
        <v>CENTRO</v>
      </c>
      <c r="V77" t="str">
        <f>"SAO MIGUEL DO OESTE"</f>
        <v>SAO MIGUEL DO OESTE</v>
      </c>
      <c r="W77" t="str">
        <f>"SC"</f>
        <v>SC</v>
      </c>
      <c r="X77" t="str">
        <f>"49"</f>
        <v>49</v>
      </c>
      <c r="Y77" t="str">
        <f>"31970300"</f>
        <v>31970300</v>
      </c>
      <c r="Z77" t="str">
        <f>""</f>
        <v/>
      </c>
      <c r="AA77" t="str">
        <f>""</f>
        <v/>
      </c>
      <c r="AB77" t="str">
        <f>""</f>
        <v/>
      </c>
      <c r="AC77" t="str">
        <f>""</f>
        <v/>
      </c>
      <c r="AD77" t="str">
        <f>""</f>
        <v/>
      </c>
      <c r="AE77" t="str">
        <f>""</f>
        <v/>
      </c>
      <c r="AF77" t="str">
        <f>""</f>
        <v/>
      </c>
      <c r="AG77" t="str">
        <f>""</f>
        <v/>
      </c>
      <c r="AH77" t="str">
        <f>""</f>
        <v/>
      </c>
      <c r="AI77" t="str">
        <f>""</f>
        <v/>
      </c>
      <c r="AJ77" t="str">
        <f>""</f>
        <v/>
      </c>
      <c r="AK77" t="str">
        <f>""</f>
        <v/>
      </c>
      <c r="AL77" t="str">
        <f>""</f>
        <v/>
      </c>
      <c r="AM77" t="str">
        <f>""</f>
        <v/>
      </c>
      <c r="AN77" t="str">
        <f>""</f>
        <v/>
      </c>
      <c r="AO77" t="str">
        <f>""</f>
        <v/>
      </c>
      <c r="AP77" t="str">
        <f>""</f>
        <v/>
      </c>
      <c r="AQ77" t="str">
        <f>""</f>
        <v/>
      </c>
      <c r="AR77" t="str">
        <f>""</f>
        <v/>
      </c>
      <c r="AS77" t="str">
        <f>""</f>
        <v/>
      </c>
      <c r="AT77" t="str">
        <f>""</f>
        <v/>
      </c>
      <c r="AU77" t="str">
        <f>""</f>
        <v/>
      </c>
      <c r="AV77" t="str">
        <f>""</f>
        <v/>
      </c>
      <c r="AW77" t="str">
        <f>""</f>
        <v/>
      </c>
      <c r="AX77" t="str">
        <f>""</f>
        <v/>
      </c>
      <c r="AY77" t="str">
        <f>""</f>
        <v/>
      </c>
      <c r="AZ77" t="str">
        <f>""</f>
        <v/>
      </c>
      <c r="BA77" t="str">
        <f>""</f>
        <v/>
      </c>
      <c r="BB77" t="str">
        <f>"11/07/2023 02:14:29"</f>
        <v>11/07/2023 02:14:29</v>
      </c>
      <c r="BC77" t="str">
        <f>""</f>
        <v/>
      </c>
      <c r="BD77" t="str">
        <f>""</f>
        <v/>
      </c>
      <c r="BE77" t="str">
        <f>""</f>
        <v/>
      </c>
      <c r="BF77" t="str">
        <f t="shared" si="39"/>
        <v>A</v>
      </c>
      <c r="BG77" t="str">
        <f>""</f>
        <v/>
      </c>
      <c r="BH77" t="str">
        <f>""</f>
        <v/>
      </c>
      <c r="BI77" t="str">
        <f t="shared" si="40"/>
        <v>EVENTUAL</v>
      </c>
      <c r="BJ77" t="str">
        <f t="shared" si="41"/>
        <v>1</v>
      </c>
      <c r="BK77" t="str">
        <f t="shared" si="42"/>
        <v>Farmacia</v>
      </c>
      <c r="BL77" t="str">
        <f>""</f>
        <v/>
      </c>
      <c r="BM77" t="str">
        <f>""</f>
        <v/>
      </c>
      <c r="BN77" t="str">
        <f>""</f>
        <v/>
      </c>
      <c r="BO77" t="str">
        <f>""</f>
        <v/>
      </c>
      <c r="BP77" t="str">
        <f>""</f>
        <v/>
      </c>
      <c r="BQ77" t="str">
        <f>""</f>
        <v/>
      </c>
      <c r="BR77" t="str">
        <f>"11/07/2023"</f>
        <v>11/07/2023</v>
      </c>
      <c r="BS77" t="str">
        <f>""</f>
        <v/>
      </c>
      <c r="BT77" t="str">
        <f>""</f>
        <v/>
      </c>
      <c r="BU77" t="str">
        <f>""</f>
        <v/>
      </c>
      <c r="BV77" t="str">
        <f>""</f>
        <v/>
      </c>
      <c r="BW77" t="str">
        <f>"74"</f>
        <v>74</v>
      </c>
    </row>
    <row r="78" spans="1:75" x14ac:dyDescent="0.35">
      <c r="A78">
        <v>157549</v>
      </c>
      <c r="B78" t="str">
        <f t="shared" si="33"/>
        <v>A</v>
      </c>
      <c r="C78" t="str">
        <f t="shared" si="34"/>
        <v>80</v>
      </c>
      <c r="D78" t="str">
        <f t="shared" si="35"/>
        <v>11121001</v>
      </c>
      <c r="E78" t="str">
        <f t="shared" si="36"/>
        <v>121001</v>
      </c>
      <c r="F78" t="str">
        <f t="shared" si="37"/>
        <v>JENIFER SANTOS</v>
      </c>
      <c r="G78" t="str">
        <f>"05341090000289"</f>
        <v>05341090000289</v>
      </c>
      <c r="H78" t="str">
        <f t="shared" si="45"/>
        <v>0</v>
      </c>
      <c r="I78" t="str">
        <f t="shared" si="38"/>
        <v>CONTA OPTICA</v>
      </c>
      <c r="J78" t="str">
        <f>"CRISTAL OTICA LTDA ME"</f>
        <v>CRISTAL OTICA LTDA ME</v>
      </c>
      <c r="K78" t="str">
        <f>"CRISTAL OTICA LTDA ME (1860)"</f>
        <v>CRISTAL OTICA LTDA ME (1860)</v>
      </c>
      <c r="L78" t="str">
        <f>""</f>
        <v/>
      </c>
      <c r="M78" t="str">
        <f>""</f>
        <v/>
      </c>
      <c r="N78" t="str">
        <f>""</f>
        <v/>
      </c>
      <c r="O78" t="str">
        <f>""</f>
        <v/>
      </c>
      <c r="P78" t="str">
        <f>"FERNANDO MACHADO"</f>
        <v>FERNANDO MACHADO</v>
      </c>
      <c r="Q78" t="str">
        <f>"4000"</f>
        <v>4000</v>
      </c>
      <c r="R78" t="str">
        <f>"LETRA D LOJA 55"</f>
        <v>LETRA D LOJA 55</v>
      </c>
      <c r="S78" t="str">
        <f>"1287"</f>
        <v>1287</v>
      </c>
      <c r="T78" t="str">
        <f>"89805200"</f>
        <v>89805200</v>
      </c>
      <c r="U78" t="str">
        <f>"LIDER"</f>
        <v>LIDER</v>
      </c>
      <c r="V78" t="str">
        <f>"CHAPECO"</f>
        <v>CHAPECO</v>
      </c>
      <c r="W78" t="str">
        <f>"SC"</f>
        <v>SC</v>
      </c>
      <c r="X78" t="str">
        <f>"49"</f>
        <v>49</v>
      </c>
      <c r="Y78" t="str">
        <f>"33123840"</f>
        <v>33123840</v>
      </c>
      <c r="Z78" t="str">
        <f>""</f>
        <v/>
      </c>
      <c r="AA78" t="str">
        <f>""</f>
        <v/>
      </c>
      <c r="AB78" t="str">
        <f>""</f>
        <v/>
      </c>
      <c r="AC78" t="str">
        <f>""</f>
        <v/>
      </c>
      <c r="AD78" t="str">
        <f>""</f>
        <v/>
      </c>
      <c r="AE78" t="str">
        <f>""</f>
        <v/>
      </c>
      <c r="AF78" t="str">
        <f>""</f>
        <v/>
      </c>
      <c r="AG78" t="str">
        <f>""</f>
        <v/>
      </c>
      <c r="AH78" t="str">
        <f>""</f>
        <v/>
      </c>
      <c r="AI78" t="str">
        <f>""</f>
        <v/>
      </c>
      <c r="AJ78" t="str">
        <f>""</f>
        <v/>
      </c>
      <c r="AK78" t="str">
        <f>""</f>
        <v/>
      </c>
      <c r="AL78" t="str">
        <f>""</f>
        <v/>
      </c>
      <c r="AM78" t="str">
        <f>""</f>
        <v/>
      </c>
      <c r="AN78" t="str">
        <f>""</f>
        <v/>
      </c>
      <c r="AO78" t="str">
        <f>""</f>
        <v/>
      </c>
      <c r="AP78" t="str">
        <f>""</f>
        <v/>
      </c>
      <c r="AQ78" t="str">
        <f>""</f>
        <v/>
      </c>
      <c r="AR78" t="str">
        <f>""</f>
        <v/>
      </c>
      <c r="AS78" t="str">
        <f>""</f>
        <v/>
      </c>
      <c r="AT78" t="str">
        <f>""</f>
        <v/>
      </c>
      <c r="AU78" t="str">
        <f>""</f>
        <v/>
      </c>
      <c r="AV78" t="str">
        <f>""</f>
        <v/>
      </c>
      <c r="AW78" t="str">
        <f>""</f>
        <v/>
      </c>
      <c r="AX78" t="str">
        <f>""</f>
        <v/>
      </c>
      <c r="AY78" t="str">
        <f>""</f>
        <v/>
      </c>
      <c r="AZ78" t="str">
        <f>""</f>
        <v/>
      </c>
      <c r="BA78" t="str">
        <f>""</f>
        <v/>
      </c>
      <c r="BB78" t="str">
        <f>"11/07/2023 02:14:29"</f>
        <v>11/07/2023 02:14:29</v>
      </c>
      <c r="BC78" t="str">
        <f>""</f>
        <v/>
      </c>
      <c r="BD78" t="str">
        <f>""</f>
        <v/>
      </c>
      <c r="BE78" t="str">
        <f>""</f>
        <v/>
      </c>
      <c r="BF78" t="str">
        <f t="shared" si="39"/>
        <v>A</v>
      </c>
      <c r="BG78" t="str">
        <f>""</f>
        <v/>
      </c>
      <c r="BH78" t="str">
        <f>""</f>
        <v/>
      </c>
      <c r="BI78" t="str">
        <f t="shared" si="40"/>
        <v>EVENTUAL</v>
      </c>
      <c r="BJ78" t="str">
        <f t="shared" si="41"/>
        <v>1</v>
      </c>
      <c r="BK78" t="str">
        <f t="shared" si="42"/>
        <v>Farmacia</v>
      </c>
      <c r="BL78" t="str">
        <f>""</f>
        <v/>
      </c>
      <c r="BM78" t="str">
        <f>""</f>
        <v/>
      </c>
      <c r="BN78" t="str">
        <f>""</f>
        <v/>
      </c>
      <c r="BO78" t="str">
        <f>""</f>
        <v/>
      </c>
      <c r="BP78" t="str">
        <f>""</f>
        <v/>
      </c>
      <c r="BQ78" t="str">
        <f>""</f>
        <v/>
      </c>
      <c r="BR78" t="str">
        <f>"11/07/2023"</f>
        <v>11/07/2023</v>
      </c>
      <c r="BS78" t="str">
        <f>""</f>
        <v/>
      </c>
      <c r="BT78" t="str">
        <f>""</f>
        <v/>
      </c>
      <c r="BU78" t="str">
        <f>""</f>
        <v/>
      </c>
      <c r="BV78" t="str">
        <f>""</f>
        <v/>
      </c>
      <c r="BW78" t="str">
        <f>"Não visitado"</f>
        <v>Não visitado</v>
      </c>
    </row>
    <row r="79" spans="1:75" x14ac:dyDescent="0.35">
      <c r="A79">
        <v>157547</v>
      </c>
      <c r="B79" t="str">
        <f t="shared" si="33"/>
        <v>A</v>
      </c>
      <c r="C79" t="str">
        <f t="shared" si="34"/>
        <v>80</v>
      </c>
      <c r="D79" t="str">
        <f t="shared" si="35"/>
        <v>11121001</v>
      </c>
      <c r="E79" t="str">
        <f t="shared" si="36"/>
        <v>121001</v>
      </c>
      <c r="F79" t="str">
        <f t="shared" si="37"/>
        <v>JENIFER SANTOS</v>
      </c>
      <c r="G79" t="str">
        <f>"05341090000440"</f>
        <v>05341090000440</v>
      </c>
      <c r="H79" t="str">
        <f t="shared" si="45"/>
        <v>0</v>
      </c>
      <c r="I79" t="str">
        <f t="shared" si="38"/>
        <v>CONTA OPTICA</v>
      </c>
      <c r="J79" t="str">
        <f>"CRISTAL OTICA LTDA ME"</f>
        <v>CRISTAL OTICA LTDA ME</v>
      </c>
      <c r="K79" t="str">
        <f>"CRISTAL OTICA LTDA ME (2101)"</f>
        <v>CRISTAL OTICA LTDA ME (2101)</v>
      </c>
      <c r="L79" t="str">
        <f>""</f>
        <v/>
      </c>
      <c r="M79" t="str">
        <f>""</f>
        <v/>
      </c>
      <c r="N79" t="str">
        <f>"LOJA4@CRISTALOTICA.COM"</f>
        <v>LOJA4@CRISTALOTICA.COM</v>
      </c>
      <c r="O79" t="str">
        <f>""</f>
        <v/>
      </c>
      <c r="P79" t="str">
        <f>"RUA JOÃO PESSOA"</f>
        <v>RUA JOÃO PESSOA</v>
      </c>
      <c r="Q79" t="str">
        <f>"1808"</f>
        <v>1808</v>
      </c>
      <c r="R79" t="str">
        <f>"S 1002 DN MARIA"</f>
        <v>S 1002 DN MARIA</v>
      </c>
      <c r="S79" t="str">
        <f>"1288"</f>
        <v>1288</v>
      </c>
      <c r="T79" t="str">
        <f>"89870000"</f>
        <v>89870000</v>
      </c>
      <c r="U79" t="str">
        <f>"CENTRO"</f>
        <v>CENTRO</v>
      </c>
      <c r="V79" t="str">
        <f>"PINHALZINHO"</f>
        <v>PINHALZINHO</v>
      </c>
      <c r="W79" t="str">
        <f>"SC"</f>
        <v>SC</v>
      </c>
      <c r="X79" t="str">
        <f>"49"</f>
        <v>49</v>
      </c>
      <c r="Y79" t="str">
        <f>"33662921"</f>
        <v>33662921</v>
      </c>
      <c r="Z79" t="str">
        <f>""</f>
        <v/>
      </c>
      <c r="AA79" t="str">
        <f>""</f>
        <v/>
      </c>
      <c r="AB79" t="str">
        <f>""</f>
        <v/>
      </c>
      <c r="AC79" t="str">
        <f>""</f>
        <v/>
      </c>
      <c r="AD79" t="str">
        <f>""</f>
        <v/>
      </c>
      <c r="AE79" t="str">
        <f>""</f>
        <v/>
      </c>
      <c r="AF79" t="str">
        <f>""</f>
        <v/>
      </c>
      <c r="AG79" t="str">
        <f>""</f>
        <v/>
      </c>
      <c r="AH79" t="str">
        <f>""</f>
        <v/>
      </c>
      <c r="AI79" t="str">
        <f>""</f>
        <v/>
      </c>
      <c r="AJ79" t="str">
        <f>""</f>
        <v/>
      </c>
      <c r="AK79" t="str">
        <f>""</f>
        <v/>
      </c>
      <c r="AL79" t="str">
        <f>""</f>
        <v/>
      </c>
      <c r="AM79" t="str">
        <f>""</f>
        <v/>
      </c>
      <c r="AN79" t="str">
        <f>""</f>
        <v/>
      </c>
      <c r="AO79" t="str">
        <f>""</f>
        <v/>
      </c>
      <c r="AP79" t="str">
        <f>""</f>
        <v/>
      </c>
      <c r="AQ79" t="str">
        <f>""</f>
        <v/>
      </c>
      <c r="AR79" t="str">
        <f>""</f>
        <v/>
      </c>
      <c r="AS79" t="str">
        <f>""</f>
        <v/>
      </c>
      <c r="AT79" t="str">
        <f>""</f>
        <v/>
      </c>
      <c r="AU79" t="str">
        <f>""</f>
        <v/>
      </c>
      <c r="AV79" t="str">
        <f>""</f>
        <v/>
      </c>
      <c r="AW79" t="str">
        <f>""</f>
        <v/>
      </c>
      <c r="AX79" t="str">
        <f>""</f>
        <v/>
      </c>
      <c r="AY79" t="str">
        <f>""</f>
        <v/>
      </c>
      <c r="AZ79" t="str">
        <f>""</f>
        <v/>
      </c>
      <c r="BA79" t="str">
        <f>""</f>
        <v/>
      </c>
      <c r="BB79" t="str">
        <f>"11/07/2023 02:14:29"</f>
        <v>11/07/2023 02:14:29</v>
      </c>
      <c r="BC79" t="str">
        <f>""</f>
        <v/>
      </c>
      <c r="BD79" t="str">
        <f>""</f>
        <v/>
      </c>
      <c r="BE79" t="str">
        <f>""</f>
        <v/>
      </c>
      <c r="BF79" t="str">
        <f t="shared" si="39"/>
        <v>A</v>
      </c>
      <c r="BG79" t="str">
        <f>""</f>
        <v/>
      </c>
      <c r="BH79" t="str">
        <f>""</f>
        <v/>
      </c>
      <c r="BI79" t="str">
        <f t="shared" si="40"/>
        <v>EVENTUAL</v>
      </c>
      <c r="BJ79" t="str">
        <f t="shared" si="41"/>
        <v>1</v>
      </c>
      <c r="BK79" t="str">
        <f t="shared" si="42"/>
        <v>Farmacia</v>
      </c>
      <c r="BL79" t="str">
        <f>""</f>
        <v/>
      </c>
      <c r="BM79" t="str">
        <f>""</f>
        <v/>
      </c>
      <c r="BN79" t="str">
        <f>""</f>
        <v/>
      </c>
      <c r="BO79" t="str">
        <f>""</f>
        <v/>
      </c>
      <c r="BP79" t="str">
        <f>""</f>
        <v/>
      </c>
      <c r="BQ79" t="str">
        <f>""</f>
        <v/>
      </c>
      <c r="BR79" t="str">
        <f>"11/07/2023"</f>
        <v>11/07/2023</v>
      </c>
      <c r="BS79" t="str">
        <f>""</f>
        <v/>
      </c>
      <c r="BT79" t="str">
        <f>""</f>
        <v/>
      </c>
      <c r="BU79" t="str">
        <f>""</f>
        <v/>
      </c>
      <c r="BV79" t="str">
        <f>""</f>
        <v/>
      </c>
      <c r="BW79" t="str">
        <f>"74"</f>
        <v>74</v>
      </c>
    </row>
    <row r="80" spans="1:75" x14ac:dyDescent="0.35">
      <c r="A80">
        <v>120263</v>
      </c>
      <c r="B80" t="str">
        <f t="shared" si="33"/>
        <v>A</v>
      </c>
      <c r="C80" t="str">
        <f t="shared" si="34"/>
        <v>80</v>
      </c>
      <c r="D80" t="str">
        <f t="shared" si="35"/>
        <v>11121001</v>
      </c>
      <c r="E80" t="str">
        <f t="shared" si="36"/>
        <v>121001</v>
      </c>
      <c r="F80" t="str">
        <f t="shared" si="37"/>
        <v>JENIFER SANTOS</v>
      </c>
      <c r="G80" t="str">
        <f>"05341090000602"</f>
        <v>05341090000602</v>
      </c>
      <c r="H80" t="str">
        <f t="shared" si="45"/>
        <v>0</v>
      </c>
      <c r="I80" t="str">
        <f t="shared" si="38"/>
        <v>CONTA OPTICA</v>
      </c>
      <c r="J80" t="str">
        <f>"CRISTAL OTICA LTDA ME"</f>
        <v>CRISTAL OTICA LTDA ME</v>
      </c>
      <c r="K80" t="str">
        <f>"CRISTAL OTICA (3840)"</f>
        <v>CRISTAL OTICA (3840)</v>
      </c>
      <c r="L80" t="str">
        <f>""</f>
        <v/>
      </c>
      <c r="M80" t="str">
        <f>""</f>
        <v/>
      </c>
      <c r="N80" t="str">
        <f>"loja6@cristalotica.com"</f>
        <v>loja6@cristalotica.com</v>
      </c>
      <c r="O80" t="str">
        <f>""</f>
        <v/>
      </c>
      <c r="P80" t="str">
        <f>"RUA ITALIA"</f>
        <v>RUA ITALIA</v>
      </c>
      <c r="Q80" t="str">
        <f>"2"</f>
        <v>2</v>
      </c>
      <c r="R80" t="str">
        <f>"SALA A"</f>
        <v>SALA A</v>
      </c>
      <c r="S80" t="str">
        <f>"1389"</f>
        <v>1389</v>
      </c>
      <c r="T80" t="str">
        <f>"99700014"</f>
        <v>99700014</v>
      </c>
      <c r="U80" t="str">
        <f>"CENTRO"</f>
        <v>CENTRO</v>
      </c>
      <c r="V80" t="str">
        <f>"ERECHIM"</f>
        <v>ERECHIM</v>
      </c>
      <c r="W80" t="str">
        <f>"RS"</f>
        <v>RS</v>
      </c>
      <c r="X80" t="str">
        <f>"54"</f>
        <v>54</v>
      </c>
      <c r="Y80" t="str">
        <f>"35225015"</f>
        <v>35225015</v>
      </c>
      <c r="Z80" t="str">
        <f>""</f>
        <v/>
      </c>
      <c r="AA80" t="str">
        <f>""</f>
        <v/>
      </c>
      <c r="AB80" t="str">
        <f>""</f>
        <v/>
      </c>
      <c r="AC80" t="str">
        <f>""</f>
        <v/>
      </c>
      <c r="AD80" t="str">
        <f>""</f>
        <v/>
      </c>
      <c r="AE80" t="str">
        <f>""</f>
        <v/>
      </c>
      <c r="AF80" t="str">
        <f>""</f>
        <v/>
      </c>
      <c r="AG80" t="str">
        <f>""</f>
        <v/>
      </c>
      <c r="AH80" t="str">
        <f>""</f>
        <v/>
      </c>
      <c r="AI80" t="str">
        <f>""</f>
        <v/>
      </c>
      <c r="AJ80" t="str">
        <f t="shared" ref="AJ80:AL82" si="46">"0"</f>
        <v>0</v>
      </c>
      <c r="AK80" t="str">
        <f t="shared" si="46"/>
        <v>0</v>
      </c>
      <c r="AL80" t="str">
        <f t="shared" si="46"/>
        <v>0</v>
      </c>
      <c r="AM80" t="str">
        <f>""</f>
        <v/>
      </c>
      <c r="AN80" t="str">
        <f>""</f>
        <v/>
      </c>
      <c r="AO80" t="str">
        <f>""</f>
        <v/>
      </c>
      <c r="AP80" t="str">
        <f>""</f>
        <v/>
      </c>
      <c r="AQ80" t="str">
        <f>""</f>
        <v/>
      </c>
      <c r="AR80" t="str">
        <f>""</f>
        <v/>
      </c>
      <c r="AS80" t="str">
        <f>""</f>
        <v/>
      </c>
      <c r="AT80" t="str">
        <f>""</f>
        <v/>
      </c>
      <c r="AU80" t="str">
        <f>""</f>
        <v/>
      </c>
      <c r="AV80" t="str">
        <f>""</f>
        <v/>
      </c>
      <c r="AW80" t="str">
        <f>""</f>
        <v/>
      </c>
      <c r="AX80" t="str">
        <f>""</f>
        <v/>
      </c>
      <c r="AY80" t="str">
        <f>""</f>
        <v/>
      </c>
      <c r="AZ80" t="str">
        <f>""</f>
        <v/>
      </c>
      <c r="BA80" t="str">
        <f>""</f>
        <v/>
      </c>
      <c r="BB80" t="str">
        <f>"18/09/2020 22:12:34"</f>
        <v>18/09/2020 22:12:34</v>
      </c>
      <c r="BC80" t="str">
        <f>""</f>
        <v/>
      </c>
      <c r="BD80" t="str">
        <f>""</f>
        <v/>
      </c>
      <c r="BE80" t="str">
        <f>""</f>
        <v/>
      </c>
      <c r="BF80" t="str">
        <f t="shared" si="39"/>
        <v>A</v>
      </c>
      <c r="BG80" t="str">
        <f t="shared" ref="BG80:BH82" si="47">"0,00"</f>
        <v>0,00</v>
      </c>
      <c r="BH80" t="str">
        <f t="shared" si="47"/>
        <v>0,00</v>
      </c>
      <c r="BI80" t="str">
        <f t="shared" si="40"/>
        <v>EVENTUAL</v>
      </c>
      <c r="BJ80" t="str">
        <f t="shared" si="41"/>
        <v>1</v>
      </c>
      <c r="BK80" t="str">
        <f t="shared" si="42"/>
        <v>Farmacia</v>
      </c>
      <c r="BL80" t="str">
        <f>""</f>
        <v/>
      </c>
      <c r="BM80" t="str">
        <f>"VARILUX ESPECIALISTA PREMIER"</f>
        <v>VARILUX ESPECIALISTA PREMIER</v>
      </c>
      <c r="BN80" t="str">
        <f>"EL360"</f>
        <v>EL360</v>
      </c>
      <c r="BO80" t="str">
        <f>"FOCO VARILUX DIGITAL"</f>
        <v>FOCO VARILUX DIGITAL</v>
      </c>
      <c r="BP80" t="str">
        <f>""</f>
        <v/>
      </c>
      <c r="BQ80" t="str">
        <f>""</f>
        <v/>
      </c>
      <c r="BR80" t="str">
        <f>"18/09/2020"</f>
        <v>18/09/2020</v>
      </c>
      <c r="BS80" t="str">
        <f>""</f>
        <v/>
      </c>
      <c r="BT80" t="str">
        <f>""</f>
        <v/>
      </c>
      <c r="BU80" t="str">
        <f>""</f>
        <v/>
      </c>
      <c r="BV80" t="str">
        <f>"1"</f>
        <v>1</v>
      </c>
      <c r="BW80" t="str">
        <f>"74"</f>
        <v>74</v>
      </c>
    </row>
    <row r="81" spans="1:75" x14ac:dyDescent="0.35">
      <c r="A81">
        <v>120322</v>
      </c>
      <c r="B81" t="str">
        <f t="shared" si="33"/>
        <v>A</v>
      </c>
      <c r="C81" t="str">
        <f t="shared" si="34"/>
        <v>80</v>
      </c>
      <c r="D81" t="str">
        <f t="shared" si="35"/>
        <v>11121001</v>
      </c>
      <c r="E81" t="str">
        <f t="shared" si="36"/>
        <v>121001</v>
      </c>
      <c r="F81" t="str">
        <f t="shared" si="37"/>
        <v>JENIFER SANTOS</v>
      </c>
      <c r="G81" t="str">
        <f>"05341090000360"</f>
        <v>05341090000360</v>
      </c>
      <c r="H81" t="str">
        <f t="shared" si="45"/>
        <v>0</v>
      </c>
      <c r="I81" t="str">
        <f t="shared" si="38"/>
        <v>CONTA OPTICA</v>
      </c>
      <c r="J81" t="str">
        <f>"CRISTAL OTICA LTDA ME"</f>
        <v>CRISTAL OTICA LTDA ME</v>
      </c>
      <c r="K81" t="str">
        <f>"CRISTAL OTICA (1984)"</f>
        <v>CRISTAL OTICA (1984)</v>
      </c>
      <c r="L81" t="str">
        <f>""</f>
        <v/>
      </c>
      <c r="M81" t="str">
        <f>""</f>
        <v/>
      </c>
      <c r="N81" t="str">
        <f>"loja3@cristalotica.com"</f>
        <v>loja3@cristalotica.com</v>
      </c>
      <c r="O81" t="str">
        <f>""</f>
        <v/>
      </c>
      <c r="P81" t="str">
        <f>"AVENIDA SENADOR ATTILIO  F.X FONTANA"</f>
        <v>AVENIDA SENADOR ATTILIO  F.X FONTANA</v>
      </c>
      <c r="Q81" t="str">
        <f>"2321"</f>
        <v>2321</v>
      </c>
      <c r="R81" t="str">
        <f>"LETRA E"</f>
        <v>LETRA E</v>
      </c>
      <c r="S81" t="str">
        <f>"1287"</f>
        <v>1287</v>
      </c>
      <c r="T81" t="str">
        <f>"89809505"</f>
        <v>89809505</v>
      </c>
      <c r="U81" t="str">
        <f>"EFAPI"</f>
        <v>EFAPI</v>
      </c>
      <c r="V81" t="str">
        <f>"CHAPECÓ"</f>
        <v>CHAPECÓ</v>
      </c>
      <c r="W81" t="str">
        <f>"SC"</f>
        <v>SC</v>
      </c>
      <c r="X81" t="str">
        <f>"49"</f>
        <v>49</v>
      </c>
      <c r="Y81" t="str">
        <f>"33286784"</f>
        <v>33286784</v>
      </c>
      <c r="Z81" t="str">
        <f>""</f>
        <v/>
      </c>
      <c r="AA81" t="str">
        <f>""</f>
        <v/>
      </c>
      <c r="AB81" t="str">
        <f>""</f>
        <v/>
      </c>
      <c r="AC81" t="str">
        <f>""</f>
        <v/>
      </c>
      <c r="AD81" t="str">
        <f>""</f>
        <v/>
      </c>
      <c r="AE81" t="str">
        <f>""</f>
        <v/>
      </c>
      <c r="AF81" t="str">
        <f>""</f>
        <v/>
      </c>
      <c r="AG81" t="str">
        <f>""</f>
        <v/>
      </c>
      <c r="AH81" t="str">
        <f>""</f>
        <v/>
      </c>
      <c r="AI81" t="str">
        <f>""</f>
        <v/>
      </c>
      <c r="AJ81" t="str">
        <f t="shared" si="46"/>
        <v>0</v>
      </c>
      <c r="AK81" t="str">
        <f t="shared" si="46"/>
        <v>0</v>
      </c>
      <c r="AL81" t="str">
        <f t="shared" si="46"/>
        <v>0</v>
      </c>
      <c r="AM81" t="str">
        <f>""</f>
        <v/>
      </c>
      <c r="AN81" t="str">
        <f>""</f>
        <v/>
      </c>
      <c r="AO81" t="str">
        <f>""</f>
        <v/>
      </c>
      <c r="AP81" t="str">
        <f>""</f>
        <v/>
      </c>
      <c r="AQ81" t="str">
        <f>""</f>
        <v/>
      </c>
      <c r="AR81" t="str">
        <f>""</f>
        <v/>
      </c>
      <c r="AS81" t="str">
        <f>""</f>
        <v/>
      </c>
      <c r="AT81" t="str">
        <f>""</f>
        <v/>
      </c>
      <c r="AU81" t="str">
        <f>""</f>
        <v/>
      </c>
      <c r="AV81" t="str">
        <f>""</f>
        <v/>
      </c>
      <c r="AW81" t="str">
        <f>""</f>
        <v/>
      </c>
      <c r="AX81" t="str">
        <f>""</f>
        <v/>
      </c>
      <c r="AY81" t="str">
        <f>""</f>
        <v/>
      </c>
      <c r="AZ81" t="str">
        <f>""</f>
        <v/>
      </c>
      <c r="BA81" t="str">
        <f>""</f>
        <v/>
      </c>
      <c r="BB81" t="str">
        <f>"18/09/2020 22:12:34"</f>
        <v>18/09/2020 22:12:34</v>
      </c>
      <c r="BC81" t="str">
        <f>""</f>
        <v/>
      </c>
      <c r="BD81" t="str">
        <f>""</f>
        <v/>
      </c>
      <c r="BE81" t="str">
        <f>""</f>
        <v/>
      </c>
      <c r="BF81" t="str">
        <f t="shared" si="39"/>
        <v>A</v>
      </c>
      <c r="BG81" t="str">
        <f t="shared" si="47"/>
        <v>0,00</v>
      </c>
      <c r="BH81" t="str">
        <f t="shared" si="47"/>
        <v>0,00</v>
      </c>
      <c r="BI81" t="str">
        <f t="shared" si="40"/>
        <v>EVENTUAL</v>
      </c>
      <c r="BJ81" t="str">
        <f t="shared" si="41"/>
        <v>1</v>
      </c>
      <c r="BK81" t="str">
        <f t="shared" si="42"/>
        <v>Farmacia</v>
      </c>
      <c r="BL81" t="str">
        <f>""</f>
        <v/>
      </c>
      <c r="BM81" t="str">
        <f>"VARILUX ESPECIALISTA SELECT"</f>
        <v>VARILUX ESPECIALISTA SELECT</v>
      </c>
      <c r="BN81" t="str">
        <f>"EL360"</f>
        <v>EL360</v>
      </c>
      <c r="BO81" t="str">
        <f>"FOCO VARILUX DIGITAL"</f>
        <v>FOCO VARILUX DIGITAL</v>
      </c>
      <c r="BP81" t="str">
        <f>""</f>
        <v/>
      </c>
      <c r="BQ81" t="str">
        <f>""</f>
        <v/>
      </c>
      <c r="BR81" t="str">
        <f>"18/09/2020"</f>
        <v>18/09/2020</v>
      </c>
      <c r="BS81" t="str">
        <f>""</f>
        <v/>
      </c>
      <c r="BT81" t="str">
        <f>""</f>
        <v/>
      </c>
      <c r="BU81" t="str">
        <f>""</f>
        <v/>
      </c>
      <c r="BV81" t="str">
        <f>"1"</f>
        <v>1</v>
      </c>
      <c r="BW81" t="str">
        <f>"74"</f>
        <v>74</v>
      </c>
    </row>
    <row r="82" spans="1:75" x14ac:dyDescent="0.35">
      <c r="A82">
        <v>120305</v>
      </c>
      <c r="B82" t="str">
        <f t="shared" si="33"/>
        <v>A</v>
      </c>
      <c r="C82" t="str">
        <f t="shared" si="34"/>
        <v>80</v>
      </c>
      <c r="D82" t="str">
        <f t="shared" si="35"/>
        <v>11121001</v>
      </c>
      <c r="E82" t="str">
        <f t="shared" si="36"/>
        <v>121001</v>
      </c>
      <c r="F82" t="str">
        <f t="shared" si="37"/>
        <v>JENIFER SANTOS</v>
      </c>
      <c r="G82" t="str">
        <f>"05341090000521"</f>
        <v>05341090000521</v>
      </c>
      <c r="H82" t="str">
        <f t="shared" si="45"/>
        <v>0</v>
      </c>
      <c r="I82" t="str">
        <f t="shared" si="38"/>
        <v>CONTA OPTICA</v>
      </c>
      <c r="J82" t="str">
        <f>"CRISTAL OTICA XANXERE"</f>
        <v>CRISTAL OTICA XANXERE</v>
      </c>
      <c r="K82" t="str">
        <f>"CRISTAL OTICA (2173)"</f>
        <v>CRISTAL OTICA (2173)</v>
      </c>
      <c r="L82" t="str">
        <f>""</f>
        <v/>
      </c>
      <c r="M82" t="str">
        <f>""</f>
        <v/>
      </c>
      <c r="N82" t="str">
        <f>"financeiro1@cristalotica.com"</f>
        <v>financeiro1@cristalotica.com</v>
      </c>
      <c r="O82" t="str">
        <f>""</f>
        <v/>
      </c>
      <c r="P82" t="str">
        <f>"RUA R MARECHAL BORMANN"</f>
        <v>RUA R MARECHAL BORMANN</v>
      </c>
      <c r="Q82" t="str">
        <f>"75"</f>
        <v>75</v>
      </c>
      <c r="R82" t="str">
        <f>"SALA 01"</f>
        <v>SALA 01</v>
      </c>
      <c r="S82" t="str">
        <f>"1288"</f>
        <v>1288</v>
      </c>
      <c r="T82" t="str">
        <f>"89820000"</f>
        <v>89820000</v>
      </c>
      <c r="U82" t="str">
        <f>"CENTRO"</f>
        <v>CENTRO</v>
      </c>
      <c r="V82" t="str">
        <f>"XANXERÊ"</f>
        <v>XANXERÊ</v>
      </c>
      <c r="W82" t="str">
        <f>"SC"</f>
        <v>SC</v>
      </c>
      <c r="X82" t="str">
        <f>"49"</f>
        <v>49</v>
      </c>
      <c r="Y82" t="str">
        <f>"34332991"</f>
        <v>34332991</v>
      </c>
      <c r="Z82" t="str">
        <f>""</f>
        <v/>
      </c>
      <c r="AA82" t="str">
        <f>""</f>
        <v/>
      </c>
      <c r="AB82" t="str">
        <f>""</f>
        <v/>
      </c>
      <c r="AC82" t="str">
        <f>""</f>
        <v/>
      </c>
      <c r="AD82" t="str">
        <f>""</f>
        <v/>
      </c>
      <c r="AE82" t="str">
        <f>""</f>
        <v/>
      </c>
      <c r="AF82" t="str">
        <f>""</f>
        <v/>
      </c>
      <c r="AG82" t="str">
        <f>""</f>
        <v/>
      </c>
      <c r="AH82" t="str">
        <f>""</f>
        <v/>
      </c>
      <c r="AI82" t="str">
        <f>""</f>
        <v/>
      </c>
      <c r="AJ82" t="str">
        <f t="shared" si="46"/>
        <v>0</v>
      </c>
      <c r="AK82" t="str">
        <f t="shared" si="46"/>
        <v>0</v>
      </c>
      <c r="AL82" t="str">
        <f t="shared" si="46"/>
        <v>0</v>
      </c>
      <c r="AM82" t="str">
        <f>""</f>
        <v/>
      </c>
      <c r="AN82" t="str">
        <f>""</f>
        <v/>
      </c>
      <c r="AO82" t="str">
        <f>""</f>
        <v/>
      </c>
      <c r="AP82" t="str">
        <f>""</f>
        <v/>
      </c>
      <c r="AQ82" t="str">
        <f>""</f>
        <v/>
      </c>
      <c r="AR82" t="str">
        <f>""</f>
        <v/>
      </c>
      <c r="AS82" t="str">
        <f>""</f>
        <v/>
      </c>
      <c r="AT82" t="str">
        <f>""</f>
        <v/>
      </c>
      <c r="AU82" t="str">
        <f>""</f>
        <v/>
      </c>
      <c r="AV82" t="str">
        <f>""</f>
        <v/>
      </c>
      <c r="AW82" t="str">
        <f>""</f>
        <v/>
      </c>
      <c r="AX82" t="str">
        <f>""</f>
        <v/>
      </c>
      <c r="AY82" t="str">
        <f>""</f>
        <v/>
      </c>
      <c r="AZ82" t="str">
        <f>""</f>
        <v/>
      </c>
      <c r="BA82" t="str">
        <f>""</f>
        <v/>
      </c>
      <c r="BB82" t="str">
        <f>"18/09/2020 22:12:34"</f>
        <v>18/09/2020 22:12:34</v>
      </c>
      <c r="BC82" t="str">
        <f>""</f>
        <v/>
      </c>
      <c r="BD82" t="str">
        <f>""</f>
        <v/>
      </c>
      <c r="BE82" t="str">
        <f>""</f>
        <v/>
      </c>
      <c r="BF82" t="str">
        <f t="shared" si="39"/>
        <v>A</v>
      </c>
      <c r="BG82" t="str">
        <f t="shared" si="47"/>
        <v>0,00</v>
      </c>
      <c r="BH82" t="str">
        <f t="shared" si="47"/>
        <v>0,00</v>
      </c>
      <c r="BI82" t="str">
        <f t="shared" si="40"/>
        <v>EVENTUAL</v>
      </c>
      <c r="BJ82" t="str">
        <f t="shared" si="41"/>
        <v>1</v>
      </c>
      <c r="BK82" t="str">
        <f t="shared" si="42"/>
        <v>Farmacia</v>
      </c>
      <c r="BL82" t="str">
        <f>""</f>
        <v/>
      </c>
      <c r="BM82" t="str">
        <f>"VARILUX ESPECIALISTA SELECT"</f>
        <v>VARILUX ESPECIALISTA SELECT</v>
      </c>
      <c r="BN82" t="str">
        <f>"EL360"</f>
        <v>EL360</v>
      </c>
      <c r="BO82" t="str">
        <f>"FOCO VARILUX DIGITAL"</f>
        <v>FOCO VARILUX DIGITAL</v>
      </c>
      <c r="BP82" t="str">
        <f>""</f>
        <v/>
      </c>
      <c r="BQ82" t="str">
        <f>""</f>
        <v/>
      </c>
      <c r="BR82" t="str">
        <f>"18/09/2020"</f>
        <v>18/09/2020</v>
      </c>
      <c r="BS82" t="str">
        <f>""</f>
        <v/>
      </c>
      <c r="BT82" t="str">
        <f>""</f>
        <v/>
      </c>
      <c r="BU82" t="str">
        <f>""</f>
        <v/>
      </c>
      <c r="BV82" t="str">
        <f>"5"</f>
        <v>5</v>
      </c>
      <c r="BW82" t="str">
        <f>"74"</f>
        <v>74</v>
      </c>
    </row>
    <row r="83" spans="1:75" x14ac:dyDescent="0.35">
      <c r="A83">
        <v>157559</v>
      </c>
      <c r="B83" t="str">
        <f t="shared" si="33"/>
        <v>A</v>
      </c>
      <c r="C83" t="str">
        <f t="shared" si="34"/>
        <v>80</v>
      </c>
      <c r="D83" t="str">
        <f t="shared" si="35"/>
        <v>11121001</v>
      </c>
      <c r="E83" t="str">
        <f t="shared" si="36"/>
        <v>121001</v>
      </c>
      <c r="F83" t="str">
        <f t="shared" si="37"/>
        <v>JENIFER SANTOS</v>
      </c>
      <c r="G83" t="str">
        <f>"05341090000106"</f>
        <v>05341090000106</v>
      </c>
      <c r="H83" t="str">
        <f t="shared" si="45"/>
        <v>0</v>
      </c>
      <c r="I83" t="str">
        <f t="shared" si="38"/>
        <v>CONTA OPTICA</v>
      </c>
      <c r="J83" t="str">
        <f>"CRISTAL OTICAS LTDA ME"</f>
        <v>CRISTAL OTICAS LTDA ME</v>
      </c>
      <c r="K83" t="str">
        <f>"CRISTAL OTICAS LTDA ME (261)"</f>
        <v>CRISTAL OTICAS LTDA ME (261)</v>
      </c>
      <c r="L83" t="str">
        <f>""</f>
        <v/>
      </c>
      <c r="M83" t="str">
        <f>""</f>
        <v/>
      </c>
      <c r="N83" t="str">
        <f>"cristalotica_daniela@hotmail.com"</f>
        <v>cristalotica_daniela@hotmail.com</v>
      </c>
      <c r="O83" t="str">
        <f>""</f>
        <v/>
      </c>
      <c r="P83" t="str">
        <f>"RUA PORTO ALEGRE"</f>
        <v>RUA PORTO ALEGRE</v>
      </c>
      <c r="Q83" t="str">
        <f>"20"</f>
        <v>20</v>
      </c>
      <c r="R83" t="str">
        <f>"E"</f>
        <v>E</v>
      </c>
      <c r="S83" t="str">
        <f>"1287"</f>
        <v>1287</v>
      </c>
      <c r="T83" t="str">
        <f>"89802132"</f>
        <v>89802132</v>
      </c>
      <c r="U83" t="str">
        <f>"CENTRO"</f>
        <v>CENTRO</v>
      </c>
      <c r="V83" t="str">
        <f>"CHAPECO"</f>
        <v>CHAPECO</v>
      </c>
      <c r="W83" t="str">
        <f>"SC"</f>
        <v>SC</v>
      </c>
      <c r="X83" t="str">
        <f>"49"</f>
        <v>49</v>
      </c>
      <c r="Y83" t="str">
        <f>"33237235"</f>
        <v>33237235</v>
      </c>
      <c r="Z83" t="str">
        <f>""</f>
        <v/>
      </c>
      <c r="AA83" t="str">
        <f>""</f>
        <v/>
      </c>
      <c r="AB83" t="str">
        <f>""</f>
        <v/>
      </c>
      <c r="AC83" t="str">
        <f>""</f>
        <v/>
      </c>
      <c r="AD83" t="str">
        <f>""</f>
        <v/>
      </c>
      <c r="AE83" t="str">
        <f>""</f>
        <v/>
      </c>
      <c r="AF83" t="str">
        <f>""</f>
        <v/>
      </c>
      <c r="AG83" t="str">
        <f>""</f>
        <v/>
      </c>
      <c r="AH83" t="str">
        <f>""</f>
        <v/>
      </c>
      <c r="AI83" t="str">
        <f>""</f>
        <v/>
      </c>
      <c r="AJ83" t="str">
        <f>""</f>
        <v/>
      </c>
      <c r="AK83" t="str">
        <f>""</f>
        <v/>
      </c>
      <c r="AL83" t="str">
        <f>""</f>
        <v/>
      </c>
      <c r="AM83" t="str">
        <f>""</f>
        <v/>
      </c>
      <c r="AN83" t="str">
        <f>""</f>
        <v/>
      </c>
      <c r="AO83" t="str">
        <f>""</f>
        <v/>
      </c>
      <c r="AP83" t="str">
        <f>""</f>
        <v/>
      </c>
      <c r="AQ83" t="str">
        <f>""</f>
        <v/>
      </c>
      <c r="AR83" t="str">
        <f>""</f>
        <v/>
      </c>
      <c r="AS83" t="str">
        <f>""</f>
        <v/>
      </c>
      <c r="AT83" t="str">
        <f>""</f>
        <v/>
      </c>
      <c r="AU83" t="str">
        <f>""</f>
        <v/>
      </c>
      <c r="AV83" t="str">
        <f>""</f>
        <v/>
      </c>
      <c r="AW83" t="str">
        <f>""</f>
        <v/>
      </c>
      <c r="AX83" t="str">
        <f>""</f>
        <v/>
      </c>
      <c r="AY83" t="str">
        <f>""</f>
        <v/>
      </c>
      <c r="AZ83" t="str">
        <f>""</f>
        <v/>
      </c>
      <c r="BA83" t="str">
        <f>""</f>
        <v/>
      </c>
      <c r="BB83" t="str">
        <f>"11/07/2023 02:14:29"</f>
        <v>11/07/2023 02:14:29</v>
      </c>
      <c r="BC83" t="str">
        <f>""</f>
        <v/>
      </c>
      <c r="BD83" t="str">
        <f>""</f>
        <v/>
      </c>
      <c r="BE83" t="str">
        <f>""</f>
        <v/>
      </c>
      <c r="BF83" t="str">
        <f t="shared" si="39"/>
        <v>A</v>
      </c>
      <c r="BG83" t="str">
        <f>""</f>
        <v/>
      </c>
      <c r="BH83" t="str">
        <f>""</f>
        <v/>
      </c>
      <c r="BI83" t="str">
        <f t="shared" si="40"/>
        <v>EVENTUAL</v>
      </c>
      <c r="BJ83" t="str">
        <f t="shared" si="41"/>
        <v>1</v>
      </c>
      <c r="BK83" t="str">
        <f t="shared" si="42"/>
        <v>Farmacia</v>
      </c>
      <c r="BL83" t="str">
        <f>""</f>
        <v/>
      </c>
      <c r="BM83" t="str">
        <f>""</f>
        <v/>
      </c>
      <c r="BN83" t="str">
        <f>""</f>
        <v/>
      </c>
      <c r="BO83" t="str">
        <f>""</f>
        <v/>
      </c>
      <c r="BP83" t="str">
        <f>""</f>
        <v/>
      </c>
      <c r="BQ83" t="str">
        <f>""</f>
        <v/>
      </c>
      <c r="BR83" t="str">
        <f>"11/07/2023"</f>
        <v>11/07/2023</v>
      </c>
      <c r="BS83" t="str">
        <f>""</f>
        <v/>
      </c>
      <c r="BT83" t="str">
        <f>""</f>
        <v/>
      </c>
      <c r="BU83" t="str">
        <f>""</f>
        <v/>
      </c>
      <c r="BV83" t="str">
        <f>""</f>
        <v/>
      </c>
      <c r="BW83" t="str">
        <f>"74"</f>
        <v>74</v>
      </c>
    </row>
    <row r="84" spans="1:75" x14ac:dyDescent="0.35">
      <c r="A84">
        <v>829</v>
      </c>
      <c r="B84" t="str">
        <f t="shared" si="33"/>
        <v>A</v>
      </c>
      <c r="C84" t="str">
        <f t="shared" si="34"/>
        <v>80</v>
      </c>
      <c r="D84" t="str">
        <f t="shared" si="35"/>
        <v>11121001</v>
      </c>
      <c r="E84" t="str">
        <f t="shared" si="36"/>
        <v>121001</v>
      </c>
      <c r="F84" t="str">
        <f t="shared" si="37"/>
        <v>JENIFER SANTOS</v>
      </c>
      <c r="G84" t="str">
        <f>"03759955000204"</f>
        <v>03759955000204</v>
      </c>
      <c r="H84" t="str">
        <f>""</f>
        <v/>
      </c>
      <c r="I84" t="str">
        <f t="shared" si="38"/>
        <v>CONTA OPTICA</v>
      </c>
      <c r="J84" t="str">
        <f>"CRISTALLOS OPTICA E RELOJOARIA LTDA ME"</f>
        <v>CRISTALLOS OPTICA E RELOJOARIA LTDA ME</v>
      </c>
      <c r="K84" t="str">
        <f>"CRISTALLOS OPTICA E RELOJOARIA LTDA ME (1310)"</f>
        <v>CRISTALLOS OPTICA E RELOJOARIA LTDA ME (1310)</v>
      </c>
      <c r="L84" t="str">
        <f>""</f>
        <v/>
      </c>
      <c r="M84" t="str">
        <f>""</f>
        <v/>
      </c>
      <c r="N84" t="str">
        <f>"cristallos.sbs@gmail.com"</f>
        <v>cristallos.sbs@gmail.com</v>
      </c>
      <c r="O84" t="str">
        <f>""</f>
        <v/>
      </c>
      <c r="P84" t="str">
        <f>"RUA DOM PEDRO II"</f>
        <v>RUA DOM PEDRO II</v>
      </c>
      <c r="Q84" t="str">
        <f>"275"</f>
        <v>275</v>
      </c>
      <c r="R84" t="str">
        <f>"SL 04"</f>
        <v>SL 04</v>
      </c>
      <c r="S84" t="str">
        <f>"1280"</f>
        <v>1280</v>
      </c>
      <c r="T84" t="str">
        <f>"89290000"</f>
        <v>89290000</v>
      </c>
      <c r="U84" t="str">
        <f>"CENTRO"</f>
        <v>CENTRO</v>
      </c>
      <c r="V84" t="str">
        <f>"SAO BENTO DO SUL"</f>
        <v>SAO BENTO DO SUL</v>
      </c>
      <c r="W84" t="str">
        <f>"SC"</f>
        <v>SC</v>
      </c>
      <c r="X84" t="str">
        <f>"47"</f>
        <v>47</v>
      </c>
      <c r="Y84" t="str">
        <f>"36333165"</f>
        <v>36333165</v>
      </c>
      <c r="Z84" t="str">
        <f>""</f>
        <v/>
      </c>
      <c r="AA84" t="str">
        <f>""</f>
        <v/>
      </c>
      <c r="AB84" t="str">
        <f>""</f>
        <v/>
      </c>
      <c r="AC84" t="str">
        <f>""</f>
        <v/>
      </c>
      <c r="AD84" t="str">
        <f>""</f>
        <v/>
      </c>
      <c r="AE84" t="str">
        <f>""</f>
        <v/>
      </c>
      <c r="AF84" t="str">
        <f>""</f>
        <v/>
      </c>
      <c r="AG84" t="str">
        <f>""</f>
        <v/>
      </c>
      <c r="AH84" t="str">
        <f>""</f>
        <v/>
      </c>
      <c r="AI84" t="str">
        <f>""</f>
        <v/>
      </c>
      <c r="AJ84" t="str">
        <f>"0"</f>
        <v>0</v>
      </c>
      <c r="AK84" t="str">
        <f>"0"</f>
        <v>0</v>
      </c>
      <c r="AL84" t="str">
        <f>"0"</f>
        <v>0</v>
      </c>
      <c r="AM84" t="str">
        <f>""</f>
        <v/>
      </c>
      <c r="AN84" t="str">
        <f>""</f>
        <v/>
      </c>
      <c r="AO84" t="str">
        <f>""</f>
        <v/>
      </c>
      <c r="AP84" t="str">
        <f>""</f>
        <v/>
      </c>
      <c r="AQ84" t="str">
        <f>""</f>
        <v/>
      </c>
      <c r="AR84" t="str">
        <f>""</f>
        <v/>
      </c>
      <c r="AS84" t="str">
        <f>""</f>
        <v/>
      </c>
      <c r="AT84" t="str">
        <f>""</f>
        <v/>
      </c>
      <c r="AU84" t="str">
        <f>""</f>
        <v/>
      </c>
      <c r="AV84" t="str">
        <f>""</f>
        <v/>
      </c>
      <c r="AW84" t="str">
        <f>""</f>
        <v/>
      </c>
      <c r="AX84" t="str">
        <f>""</f>
        <v/>
      </c>
      <c r="AY84" t="str">
        <f>""</f>
        <v/>
      </c>
      <c r="AZ84" t="str">
        <f>""</f>
        <v/>
      </c>
      <c r="BA84" t="str">
        <f>""</f>
        <v/>
      </c>
      <c r="BB84" t="str">
        <f>"27/07/2018 09:25:52"</f>
        <v>27/07/2018 09:25:52</v>
      </c>
      <c r="BC84" t="str">
        <f>""</f>
        <v/>
      </c>
      <c r="BD84" t="str">
        <f>""</f>
        <v/>
      </c>
      <c r="BE84" t="str">
        <f>"829"</f>
        <v>829</v>
      </c>
      <c r="BF84" t="str">
        <f t="shared" si="39"/>
        <v>A</v>
      </c>
      <c r="BG84" t="str">
        <f>"0,00"</f>
        <v>0,00</v>
      </c>
      <c r="BH84" t="str">
        <f>"0,00"</f>
        <v>0,00</v>
      </c>
      <c r="BI84" t="str">
        <f t="shared" si="40"/>
        <v>EVENTUAL</v>
      </c>
      <c r="BJ84" t="str">
        <f t="shared" si="41"/>
        <v>1</v>
      </c>
      <c r="BK84" t="str">
        <f t="shared" si="42"/>
        <v>Farmacia</v>
      </c>
      <c r="BL84" t="str">
        <f>""</f>
        <v/>
      </c>
      <c r="BM84" t="str">
        <f>"VARILUX ESPECIALISTA SELECT"</f>
        <v>VARILUX ESPECIALISTA SELECT</v>
      </c>
      <c r="BN84" t="str">
        <f>"EL360"</f>
        <v>EL360</v>
      </c>
      <c r="BO84" t="str">
        <f>"FOCO VARILUX DIGITAL"</f>
        <v>FOCO VARILUX DIGITAL</v>
      </c>
      <c r="BP84" t="str">
        <f>""</f>
        <v/>
      </c>
      <c r="BQ84" t="str">
        <f>""</f>
        <v/>
      </c>
      <c r="BR84" t="str">
        <f>"27/07/2018"</f>
        <v>27/07/2018</v>
      </c>
      <c r="BS84" t="str">
        <f>""</f>
        <v/>
      </c>
      <c r="BT84" t="str">
        <f>""</f>
        <v/>
      </c>
      <c r="BU84" t="str">
        <f>""</f>
        <v/>
      </c>
      <c r="BV84" t="str">
        <f>"5"</f>
        <v>5</v>
      </c>
      <c r="BW84" t="str">
        <f>"17"</f>
        <v>17</v>
      </c>
    </row>
    <row r="85" spans="1:75" x14ac:dyDescent="0.35">
      <c r="A85">
        <v>157513</v>
      </c>
      <c r="B85" t="str">
        <f t="shared" si="33"/>
        <v>A</v>
      </c>
      <c r="C85" t="str">
        <f t="shared" si="34"/>
        <v>80</v>
      </c>
      <c r="D85" t="str">
        <f t="shared" si="35"/>
        <v>11121001</v>
      </c>
      <c r="E85" t="str">
        <f t="shared" si="36"/>
        <v>121001</v>
      </c>
      <c r="F85" t="str">
        <f t="shared" si="37"/>
        <v>JENIFER SANTOS</v>
      </c>
      <c r="G85" t="str">
        <f>"25449151000152"</f>
        <v>25449151000152</v>
      </c>
      <c r="H85" t="str">
        <f>"0"</f>
        <v>0</v>
      </c>
      <c r="I85" t="str">
        <f t="shared" si="38"/>
        <v>CONTA OPTICA</v>
      </c>
      <c r="J85" t="str">
        <f>"CRISTIANO LUIZ DA ROSA 04983100946"</f>
        <v>CRISTIANO LUIZ DA ROSA 04983100946</v>
      </c>
      <c r="K85" t="str">
        <f>"CRISTIANO LUIZ DA ROSA 04983100946 (12654)"</f>
        <v>CRISTIANO LUIZ DA ROSA 04983100946 (12654)</v>
      </c>
      <c r="L85" t="str">
        <f>""</f>
        <v/>
      </c>
      <c r="M85" t="str">
        <f>""</f>
        <v/>
      </c>
      <c r="N85" t="str">
        <f>"comunicacao@repro.com.br"</f>
        <v>comunicacao@repro.com.br</v>
      </c>
      <c r="O85" t="str">
        <f>""</f>
        <v/>
      </c>
      <c r="P85" t="str">
        <f>"RUA ANTONIO BRUNETTO"</f>
        <v>RUA ANTONIO BRUNETTO</v>
      </c>
      <c r="Q85" t="str">
        <f>"34"</f>
        <v>34</v>
      </c>
      <c r="R85" t="str">
        <f>""</f>
        <v/>
      </c>
      <c r="S85" t="str">
        <f>""</f>
        <v/>
      </c>
      <c r="T85" t="str">
        <f>"89700166"</f>
        <v>89700166</v>
      </c>
      <c r="U85" t="str">
        <f>"CENTRO"</f>
        <v>CENTRO</v>
      </c>
      <c r="V85" t="str">
        <f>"CONCORDIA"</f>
        <v>CONCORDIA</v>
      </c>
      <c r="W85" t="str">
        <f>"SC"</f>
        <v>SC</v>
      </c>
      <c r="X85" t="str">
        <f>"49"</f>
        <v>49</v>
      </c>
      <c r="Y85" t="str">
        <f>"34420361"</f>
        <v>34420361</v>
      </c>
      <c r="Z85" t="str">
        <f>""</f>
        <v/>
      </c>
      <c r="AA85" t="str">
        <f>""</f>
        <v/>
      </c>
      <c r="AB85" t="str">
        <f>""</f>
        <v/>
      </c>
      <c r="AC85" t="str">
        <f>""</f>
        <v/>
      </c>
      <c r="AD85" t="str">
        <f>""</f>
        <v/>
      </c>
      <c r="AE85" t="str">
        <f>""</f>
        <v/>
      </c>
      <c r="AF85" t="str">
        <f>""</f>
        <v/>
      </c>
      <c r="AG85" t="str">
        <f>""</f>
        <v/>
      </c>
      <c r="AH85" t="str">
        <f>""</f>
        <v/>
      </c>
      <c r="AI85" t="str">
        <f>""</f>
        <v/>
      </c>
      <c r="AJ85" t="str">
        <f>""</f>
        <v/>
      </c>
      <c r="AK85" t="str">
        <f>""</f>
        <v/>
      </c>
      <c r="AL85" t="str">
        <f>""</f>
        <v/>
      </c>
      <c r="AM85" t="str">
        <f>""</f>
        <v/>
      </c>
      <c r="AN85" t="str">
        <f>""</f>
        <v/>
      </c>
      <c r="AO85" t="str">
        <f>""</f>
        <v/>
      </c>
      <c r="AP85" t="str">
        <f>""</f>
        <v/>
      </c>
      <c r="AQ85" t="str">
        <f>""</f>
        <v/>
      </c>
      <c r="AR85" t="str">
        <f>""</f>
        <v/>
      </c>
      <c r="AS85" t="str">
        <f>""</f>
        <v/>
      </c>
      <c r="AT85" t="str">
        <f>""</f>
        <v/>
      </c>
      <c r="AU85" t="str">
        <f>""</f>
        <v/>
      </c>
      <c r="AV85" t="str">
        <f>""</f>
        <v/>
      </c>
      <c r="AW85" t="str">
        <f>""</f>
        <v/>
      </c>
      <c r="AX85" t="str">
        <f>""</f>
        <v/>
      </c>
      <c r="AY85" t="str">
        <f>""</f>
        <v/>
      </c>
      <c r="AZ85" t="str">
        <f>""</f>
        <v/>
      </c>
      <c r="BA85" t="str">
        <f>""</f>
        <v/>
      </c>
      <c r="BB85" t="str">
        <f>"11/07/2023 02:14:29"</f>
        <v>11/07/2023 02:14:29</v>
      </c>
      <c r="BC85" t="str">
        <f>""</f>
        <v/>
      </c>
      <c r="BD85" t="str">
        <f>""</f>
        <v/>
      </c>
      <c r="BE85" t="str">
        <f>""</f>
        <v/>
      </c>
      <c r="BF85" t="str">
        <f t="shared" si="39"/>
        <v>A</v>
      </c>
      <c r="BG85" t="str">
        <f>""</f>
        <v/>
      </c>
      <c r="BH85" t="str">
        <f>""</f>
        <v/>
      </c>
      <c r="BI85" t="str">
        <f t="shared" si="40"/>
        <v>EVENTUAL</v>
      </c>
      <c r="BJ85" t="str">
        <f t="shared" si="41"/>
        <v>1</v>
      </c>
      <c r="BK85" t="str">
        <f t="shared" si="42"/>
        <v>Farmacia</v>
      </c>
      <c r="BL85" t="str">
        <f>""</f>
        <v/>
      </c>
      <c r="BM85" t="str">
        <f>""</f>
        <v/>
      </c>
      <c r="BN85" t="str">
        <f>""</f>
        <v/>
      </c>
      <c r="BO85" t="str">
        <f>""</f>
        <v/>
      </c>
      <c r="BP85" t="str">
        <f>""</f>
        <v/>
      </c>
      <c r="BQ85" t="str">
        <f>""</f>
        <v/>
      </c>
      <c r="BR85" t="str">
        <f>"11/07/2023"</f>
        <v>11/07/2023</v>
      </c>
      <c r="BS85" t="str">
        <f>""</f>
        <v/>
      </c>
      <c r="BT85" t="str">
        <f>""</f>
        <v/>
      </c>
      <c r="BU85" t="str">
        <f>""</f>
        <v/>
      </c>
      <c r="BV85" t="str">
        <f>""</f>
        <v/>
      </c>
      <c r="BW85" t="str">
        <f>"Não visitado"</f>
        <v>Não visitado</v>
      </c>
    </row>
    <row r="86" spans="1:75" x14ac:dyDescent="0.35">
      <c r="A86">
        <v>157520</v>
      </c>
      <c r="B86" t="str">
        <f t="shared" si="33"/>
        <v>A</v>
      </c>
      <c r="C86" t="str">
        <f t="shared" si="34"/>
        <v>80</v>
      </c>
      <c r="D86" t="str">
        <f t="shared" si="35"/>
        <v>11121001</v>
      </c>
      <c r="E86" t="str">
        <f t="shared" si="36"/>
        <v>121001</v>
      </c>
      <c r="F86" t="str">
        <f t="shared" si="37"/>
        <v>JENIFER SANTOS</v>
      </c>
      <c r="G86" t="str">
        <f>"30077455000176"</f>
        <v>30077455000176</v>
      </c>
      <c r="H86" t="str">
        <f>"0"</f>
        <v>0</v>
      </c>
      <c r="I86" t="str">
        <f t="shared" si="38"/>
        <v>CONTA OPTICA</v>
      </c>
      <c r="J86" t="str">
        <f>"DANIELE ECKER BIOLCHI"</f>
        <v>DANIELE ECKER BIOLCHI</v>
      </c>
      <c r="K86" t="str">
        <f>"IMPERIAL JOIAS (4247)"</f>
        <v>IMPERIAL JOIAS (4247)</v>
      </c>
      <c r="L86" t="str">
        <f>""</f>
        <v/>
      </c>
      <c r="M86" t="str">
        <f>""</f>
        <v/>
      </c>
      <c r="N86" t="str">
        <f>"JOIASIMPERIAL@GMAIL.COM"</f>
        <v>JOIASIMPERIAL@GMAIL.COM</v>
      </c>
      <c r="O86" t="str">
        <f>""</f>
        <v/>
      </c>
      <c r="P86" t="str">
        <f>"BRASIL"</f>
        <v>BRASIL</v>
      </c>
      <c r="Q86" t="str">
        <f>"560"</f>
        <v>560</v>
      </c>
      <c r="R86" t="str">
        <f>"SALA 2304"</f>
        <v>SALA 2304</v>
      </c>
      <c r="S86" t="str">
        <f>""</f>
        <v/>
      </c>
      <c r="T86" t="str">
        <f>"99010001"</f>
        <v>99010001</v>
      </c>
      <c r="U86" t="str">
        <f>"CENTRO"</f>
        <v>CENTRO</v>
      </c>
      <c r="V86" t="str">
        <f>"PASSO FUNDO"</f>
        <v>PASSO FUNDO</v>
      </c>
      <c r="W86" t="str">
        <f>"RS"</f>
        <v>RS</v>
      </c>
      <c r="X86" t="str">
        <f>"54"</f>
        <v>54</v>
      </c>
      <c r="Y86" t="str">
        <f>"996767176"</f>
        <v>996767176</v>
      </c>
      <c r="Z86" t="str">
        <f>""</f>
        <v/>
      </c>
      <c r="AA86" t="str">
        <f>""</f>
        <v/>
      </c>
      <c r="AB86" t="str">
        <f>""</f>
        <v/>
      </c>
      <c r="AC86" t="str">
        <f>""</f>
        <v/>
      </c>
      <c r="AD86" t="str">
        <f>""</f>
        <v/>
      </c>
      <c r="AE86" t="str">
        <f>""</f>
        <v/>
      </c>
      <c r="AF86" t="str">
        <f>""</f>
        <v/>
      </c>
      <c r="AG86" t="str">
        <f>""</f>
        <v/>
      </c>
      <c r="AH86" t="str">
        <f>""</f>
        <v/>
      </c>
      <c r="AI86" t="str">
        <f>""</f>
        <v/>
      </c>
      <c r="AJ86" t="str">
        <f>""</f>
        <v/>
      </c>
      <c r="AK86" t="str">
        <f>""</f>
        <v/>
      </c>
      <c r="AL86" t="str">
        <f>""</f>
        <v/>
      </c>
      <c r="AM86" t="str">
        <f>""</f>
        <v/>
      </c>
      <c r="AN86" t="str">
        <f>""</f>
        <v/>
      </c>
      <c r="AO86" t="str">
        <f>""</f>
        <v/>
      </c>
      <c r="AP86" t="str">
        <f>""</f>
        <v/>
      </c>
      <c r="AQ86" t="str">
        <f>""</f>
        <v/>
      </c>
      <c r="AR86" t="str">
        <f>""</f>
        <v/>
      </c>
      <c r="AS86" t="str">
        <f>""</f>
        <v/>
      </c>
      <c r="AT86" t="str">
        <f>""</f>
        <v/>
      </c>
      <c r="AU86" t="str">
        <f>""</f>
        <v/>
      </c>
      <c r="AV86" t="str">
        <f>""</f>
        <v/>
      </c>
      <c r="AW86" t="str">
        <f>""</f>
        <v/>
      </c>
      <c r="AX86" t="str">
        <f>""</f>
        <v/>
      </c>
      <c r="AY86" t="str">
        <f>""</f>
        <v/>
      </c>
      <c r="AZ86" t="str">
        <f>""</f>
        <v/>
      </c>
      <c r="BA86" t="str">
        <f>""</f>
        <v/>
      </c>
      <c r="BB86" t="str">
        <f>"11/07/2023 02:14:29"</f>
        <v>11/07/2023 02:14:29</v>
      </c>
      <c r="BC86" t="str">
        <f>""</f>
        <v/>
      </c>
      <c r="BD86" t="str">
        <f>""</f>
        <v/>
      </c>
      <c r="BE86" t="str">
        <f>""</f>
        <v/>
      </c>
      <c r="BF86" t="str">
        <f t="shared" si="39"/>
        <v>A</v>
      </c>
      <c r="BG86" t="str">
        <f>""</f>
        <v/>
      </c>
      <c r="BH86" t="str">
        <f>""</f>
        <v/>
      </c>
      <c r="BI86" t="str">
        <f t="shared" si="40"/>
        <v>EVENTUAL</v>
      </c>
      <c r="BJ86" t="str">
        <f t="shared" si="41"/>
        <v>1</v>
      </c>
      <c r="BK86" t="str">
        <f t="shared" si="42"/>
        <v>Farmacia</v>
      </c>
      <c r="BL86" t="str">
        <f>""</f>
        <v/>
      </c>
      <c r="BM86" t="str">
        <f>""</f>
        <v/>
      </c>
      <c r="BN86" t="str">
        <f>""</f>
        <v/>
      </c>
      <c r="BO86" t="str">
        <f>""</f>
        <v/>
      </c>
      <c r="BP86" t="str">
        <f>""</f>
        <v/>
      </c>
      <c r="BQ86" t="str">
        <f>""</f>
        <v/>
      </c>
      <c r="BR86" t="str">
        <f>"11/07/2023"</f>
        <v>11/07/2023</v>
      </c>
      <c r="BS86" t="str">
        <f>""</f>
        <v/>
      </c>
      <c r="BT86" t="str">
        <f>""</f>
        <v/>
      </c>
      <c r="BU86" t="str">
        <f>""</f>
        <v/>
      </c>
      <c r="BV86" t="str">
        <f>""</f>
        <v/>
      </c>
      <c r="BW86" t="str">
        <f>"Não visitado"</f>
        <v>Não visitado</v>
      </c>
    </row>
    <row r="87" spans="1:75" x14ac:dyDescent="0.35">
      <c r="A87">
        <v>120400</v>
      </c>
      <c r="B87" t="str">
        <f t="shared" si="33"/>
        <v>A</v>
      </c>
      <c r="C87" t="str">
        <f t="shared" si="34"/>
        <v>80</v>
      </c>
      <c r="D87" t="str">
        <f t="shared" si="35"/>
        <v>11121001</v>
      </c>
      <c r="E87" t="str">
        <f t="shared" si="36"/>
        <v>121001</v>
      </c>
      <c r="F87" t="str">
        <f t="shared" si="37"/>
        <v>JENIFER SANTOS</v>
      </c>
      <c r="G87" t="str">
        <f>"03994770000195"</f>
        <v>03994770000195</v>
      </c>
      <c r="H87" t="str">
        <f>"0"</f>
        <v>0</v>
      </c>
      <c r="I87" t="str">
        <f t="shared" si="38"/>
        <v>CONTA OPTICA</v>
      </c>
      <c r="J87" t="str">
        <f>"DARCI MASSUCATO ME"</f>
        <v>DARCI MASSUCATO ME</v>
      </c>
      <c r="K87" t="str">
        <f>"DARCI MASSUCATO ME (1214)"</f>
        <v>DARCI MASSUCATO ME (1214)</v>
      </c>
      <c r="L87" t="str">
        <f>""</f>
        <v/>
      </c>
      <c r="M87" t="str">
        <f>""</f>
        <v/>
      </c>
      <c r="N87" t="str">
        <f>"opticamultifocos@bol.com.br"</f>
        <v>opticamultifocos@bol.com.br</v>
      </c>
      <c r="O87" t="str">
        <f>""</f>
        <v/>
      </c>
      <c r="P87" t="str">
        <f>"RUA SETE DE SETEMBRO"</f>
        <v>RUA SETE DE SETEMBRO</v>
      </c>
      <c r="Q87" t="str">
        <f>"80"</f>
        <v>80</v>
      </c>
      <c r="R87" t="str">
        <f>"SALA 05"</f>
        <v>SALA 05</v>
      </c>
      <c r="S87" t="str">
        <f>"1285"</f>
        <v>1285</v>
      </c>
      <c r="T87" t="str">
        <f>"89600000"</f>
        <v>89600000</v>
      </c>
      <c r="U87" t="str">
        <f>"NAO INFORMADO"</f>
        <v>NAO INFORMADO</v>
      </c>
      <c r="V87" t="str">
        <f>"JOAÇABA"</f>
        <v>JOAÇABA</v>
      </c>
      <c r="W87" t="str">
        <f t="shared" ref="W87:W92" si="48">"SC"</f>
        <v>SC</v>
      </c>
      <c r="X87" t="str">
        <f>"49"</f>
        <v>49</v>
      </c>
      <c r="Y87" t="str">
        <f>"35223387"</f>
        <v>35223387</v>
      </c>
      <c r="Z87" t="str">
        <f>""</f>
        <v/>
      </c>
      <c r="AA87" t="str">
        <f>""</f>
        <v/>
      </c>
      <c r="AB87" t="str">
        <f>""</f>
        <v/>
      </c>
      <c r="AC87" t="str">
        <f>""</f>
        <v/>
      </c>
      <c r="AD87" t="str">
        <f>""</f>
        <v/>
      </c>
      <c r="AE87" t="str">
        <f>""</f>
        <v/>
      </c>
      <c r="AF87" t="str">
        <f>""</f>
        <v/>
      </c>
      <c r="AG87" t="str">
        <f>""</f>
        <v/>
      </c>
      <c r="AH87" t="str">
        <f>""</f>
        <v/>
      </c>
      <c r="AI87" t="str">
        <f>""</f>
        <v/>
      </c>
      <c r="AJ87" t="str">
        <f t="shared" ref="AJ87:AL88" si="49">"0"</f>
        <v>0</v>
      </c>
      <c r="AK87" t="str">
        <f t="shared" si="49"/>
        <v>0</v>
      </c>
      <c r="AL87" t="str">
        <f t="shared" si="49"/>
        <v>0</v>
      </c>
      <c r="AM87" t="str">
        <f>""</f>
        <v/>
      </c>
      <c r="AN87" t="str">
        <f>""</f>
        <v/>
      </c>
      <c r="AO87" t="str">
        <f>""</f>
        <v/>
      </c>
      <c r="AP87" t="str">
        <f>""</f>
        <v/>
      </c>
      <c r="AQ87" t="str">
        <f>""</f>
        <v/>
      </c>
      <c r="AR87" t="str">
        <f>""</f>
        <v/>
      </c>
      <c r="AS87" t="str">
        <f>""</f>
        <v/>
      </c>
      <c r="AT87" t="str">
        <f>""</f>
        <v/>
      </c>
      <c r="AU87" t="str">
        <f>""</f>
        <v/>
      </c>
      <c r="AV87" t="str">
        <f>""</f>
        <v/>
      </c>
      <c r="AW87" t="str">
        <f>""</f>
        <v/>
      </c>
      <c r="AX87" t="str">
        <f>""</f>
        <v/>
      </c>
      <c r="AY87" t="str">
        <f>""</f>
        <v/>
      </c>
      <c r="AZ87" t="str">
        <f>""</f>
        <v/>
      </c>
      <c r="BA87" t="str">
        <f>""</f>
        <v/>
      </c>
      <c r="BB87" t="str">
        <f>"18/09/2020 22:12:34"</f>
        <v>18/09/2020 22:12:34</v>
      </c>
      <c r="BC87" t="str">
        <f>""</f>
        <v/>
      </c>
      <c r="BD87" t="str">
        <f>""</f>
        <v/>
      </c>
      <c r="BE87" t="str">
        <f>""</f>
        <v/>
      </c>
      <c r="BF87" t="str">
        <f t="shared" si="39"/>
        <v>A</v>
      </c>
      <c r="BG87" t="str">
        <f>"0,00"</f>
        <v>0,00</v>
      </c>
      <c r="BH87" t="str">
        <f>"0,00"</f>
        <v>0,00</v>
      </c>
      <c r="BI87" t="str">
        <f t="shared" si="40"/>
        <v>EVENTUAL</v>
      </c>
      <c r="BJ87" t="str">
        <f t="shared" si="41"/>
        <v>1</v>
      </c>
      <c r="BK87" t="str">
        <f t="shared" si="42"/>
        <v>Farmacia</v>
      </c>
      <c r="BL87" t="str">
        <f>""</f>
        <v/>
      </c>
      <c r="BM87" t="str">
        <f>"VARILUX ESPECIALISTA SELECT"</f>
        <v>VARILUX ESPECIALISTA SELECT</v>
      </c>
      <c r="BN87" t="str">
        <f>"NA"</f>
        <v>NA</v>
      </c>
      <c r="BO87" t="str">
        <f>"FOCO VARILUX DIGITAL"</f>
        <v>FOCO VARILUX DIGITAL</v>
      </c>
      <c r="BP87" t="str">
        <f>""</f>
        <v/>
      </c>
      <c r="BQ87" t="str">
        <f>""</f>
        <v/>
      </c>
      <c r="BR87" t="str">
        <f>"18/09/2020"</f>
        <v>18/09/2020</v>
      </c>
      <c r="BS87" t="str">
        <f>""</f>
        <v/>
      </c>
      <c r="BT87" t="str">
        <f>""</f>
        <v/>
      </c>
      <c r="BU87" t="str">
        <f>""</f>
        <v/>
      </c>
      <c r="BV87" t="str">
        <f>"1"</f>
        <v>1</v>
      </c>
      <c r="BW87" t="str">
        <f>"7"</f>
        <v>7</v>
      </c>
    </row>
    <row r="88" spans="1:75" x14ac:dyDescent="0.35">
      <c r="A88">
        <v>144621</v>
      </c>
      <c r="B88" t="str">
        <f t="shared" si="33"/>
        <v>A</v>
      </c>
      <c r="C88" t="str">
        <f t="shared" si="34"/>
        <v>80</v>
      </c>
      <c r="D88" t="str">
        <f t="shared" si="35"/>
        <v>11121001</v>
      </c>
      <c r="E88" t="str">
        <f t="shared" si="36"/>
        <v>121001</v>
      </c>
      <c r="F88" t="str">
        <f t="shared" si="37"/>
        <v>JENIFER SANTOS</v>
      </c>
      <c r="G88" t="str">
        <f>"12485581000188"</f>
        <v>12485581000188</v>
      </c>
      <c r="H88" t="str">
        <f>""</f>
        <v/>
      </c>
      <c r="I88" t="str">
        <f t="shared" si="38"/>
        <v>CONTA OPTICA</v>
      </c>
      <c r="J88" t="str">
        <f>"DEBORA CRISTINA DOS SANTOS DE SIQUEIRA ME"</f>
        <v>DEBORA CRISTINA DOS SANTOS DE SIQUEIRA ME</v>
      </c>
      <c r="K88" t="str">
        <f>"DEBORA CRISTINA DOS SANTOS DE SIQUEIRA ME (2077)"</f>
        <v>DEBORA CRISTINA DOS SANTOS DE SIQUEIRA ME (2077)</v>
      </c>
      <c r="L88" t="str">
        <f>""</f>
        <v/>
      </c>
      <c r="M88" t="str">
        <f>""</f>
        <v/>
      </c>
      <c r="N88" t="str">
        <f>""</f>
        <v/>
      </c>
      <c r="O88" t="str">
        <f>""</f>
        <v/>
      </c>
      <c r="P88" t="str">
        <f>"RUA QUINZE DE NOVEMBRO"</f>
        <v>RUA QUINZE DE NOVEMBRO</v>
      </c>
      <c r="Q88" t="str">
        <f>"6919"</f>
        <v>6919</v>
      </c>
      <c r="R88" t="str">
        <f>""</f>
        <v/>
      </c>
      <c r="S88" t="str">
        <f>"1279"</f>
        <v>1279</v>
      </c>
      <c r="T88" t="str">
        <f>"89237000"</f>
        <v>89237000</v>
      </c>
      <c r="U88" t="str">
        <f>"VILA NOVA"</f>
        <v>VILA NOVA</v>
      </c>
      <c r="V88" t="str">
        <f>"JOINVILLE"</f>
        <v>JOINVILLE</v>
      </c>
      <c r="W88" t="str">
        <f t="shared" si="48"/>
        <v>SC</v>
      </c>
      <c r="X88" t="str">
        <f>"47"</f>
        <v>47</v>
      </c>
      <c r="Y88" t="str">
        <f>"30430935"</f>
        <v>30430935</v>
      </c>
      <c r="Z88" t="str">
        <f>""</f>
        <v/>
      </c>
      <c r="AA88" t="str">
        <f>""</f>
        <v/>
      </c>
      <c r="AB88" t="str">
        <f>""</f>
        <v/>
      </c>
      <c r="AC88" t="str">
        <f>""</f>
        <v/>
      </c>
      <c r="AD88" t="str">
        <f>""</f>
        <v/>
      </c>
      <c r="AE88" t="str">
        <f>""</f>
        <v/>
      </c>
      <c r="AF88" t="str">
        <f>""</f>
        <v/>
      </c>
      <c r="AG88" t="str">
        <f>""</f>
        <v/>
      </c>
      <c r="AH88" t="str">
        <f>""</f>
        <v/>
      </c>
      <c r="AI88" t="str">
        <f>""</f>
        <v/>
      </c>
      <c r="AJ88" t="str">
        <f t="shared" si="49"/>
        <v>0</v>
      </c>
      <c r="AK88" t="str">
        <f t="shared" si="49"/>
        <v>0</v>
      </c>
      <c r="AL88" t="str">
        <f t="shared" si="49"/>
        <v>0</v>
      </c>
      <c r="AM88" t="str">
        <f>""</f>
        <v/>
      </c>
      <c r="AN88" t="str">
        <f>""</f>
        <v/>
      </c>
      <c r="AO88" t="str">
        <f>""</f>
        <v/>
      </c>
      <c r="AP88" t="str">
        <f>""</f>
        <v/>
      </c>
      <c r="AQ88" t="str">
        <f>""</f>
        <v/>
      </c>
      <c r="AR88" t="str">
        <f>""</f>
        <v/>
      </c>
      <c r="AS88" t="str">
        <f>""</f>
        <v/>
      </c>
      <c r="AT88" t="str">
        <f>""</f>
        <v/>
      </c>
      <c r="AU88" t="str">
        <f>""</f>
        <v/>
      </c>
      <c r="AV88" t="str">
        <f>""</f>
        <v/>
      </c>
      <c r="AW88" t="str">
        <f>""</f>
        <v/>
      </c>
      <c r="AX88" t="str">
        <f>""</f>
        <v/>
      </c>
      <c r="AY88" t="str">
        <f>""</f>
        <v/>
      </c>
      <c r="AZ88" t="str">
        <f>""</f>
        <v/>
      </c>
      <c r="BA88" t="str">
        <f>""</f>
        <v/>
      </c>
      <c r="BB88" t="str">
        <f>""</f>
        <v/>
      </c>
      <c r="BC88" t="str">
        <f>""</f>
        <v/>
      </c>
      <c r="BD88" t="str">
        <f>""</f>
        <v/>
      </c>
      <c r="BE88" t="str">
        <f>""</f>
        <v/>
      </c>
      <c r="BF88" t="str">
        <f t="shared" si="39"/>
        <v>A</v>
      </c>
      <c r="BG88" t="str">
        <f>"0,00"</f>
        <v>0,00</v>
      </c>
      <c r="BH88" t="str">
        <f>"0,00"</f>
        <v>0,00</v>
      </c>
      <c r="BI88" t="str">
        <f t="shared" si="40"/>
        <v>EVENTUAL</v>
      </c>
      <c r="BJ88" t="str">
        <f t="shared" si="41"/>
        <v>1</v>
      </c>
      <c r="BK88" t="str">
        <f t="shared" si="42"/>
        <v>Farmacia</v>
      </c>
      <c r="BL88" t="str">
        <f>""</f>
        <v/>
      </c>
      <c r="BM88" t="str">
        <f>"NÃO É VARILUX ESPECIALISTA"</f>
        <v>NÃO É VARILUX ESPECIALISTA</v>
      </c>
      <c r="BN88" t="str">
        <f>"NA"</f>
        <v>NA</v>
      </c>
      <c r="BO88" t="str">
        <f>"OUTROS"</f>
        <v>OUTROS</v>
      </c>
      <c r="BP88" t="str">
        <f>""</f>
        <v/>
      </c>
      <c r="BQ88" t="str">
        <f>""</f>
        <v/>
      </c>
      <c r="BR88" t="str">
        <f>""</f>
        <v/>
      </c>
      <c r="BS88" t="str">
        <f>""</f>
        <v/>
      </c>
      <c r="BT88" t="str">
        <f>""</f>
        <v/>
      </c>
      <c r="BU88" t="str">
        <f>""</f>
        <v/>
      </c>
      <c r="BV88" t="str">
        <f>"9"</f>
        <v>9</v>
      </c>
      <c r="BW88" t="str">
        <f>"Não visitado"</f>
        <v>Não visitado</v>
      </c>
    </row>
    <row r="89" spans="1:75" x14ac:dyDescent="0.35">
      <c r="A89">
        <v>144583</v>
      </c>
      <c r="B89" t="str">
        <f t="shared" si="33"/>
        <v>A</v>
      </c>
      <c r="C89" t="str">
        <f t="shared" si="34"/>
        <v>80</v>
      </c>
      <c r="D89" t="str">
        <f t="shared" si="35"/>
        <v>11121001</v>
      </c>
      <c r="E89" t="str">
        <f t="shared" si="36"/>
        <v>121001</v>
      </c>
      <c r="F89" t="str">
        <f t="shared" si="37"/>
        <v>JENIFER SANTOS</v>
      </c>
      <c r="G89" t="str">
        <f>"18483755000150"</f>
        <v>18483755000150</v>
      </c>
      <c r="H89" t="str">
        <f>""</f>
        <v/>
      </c>
      <c r="I89" t="str">
        <f t="shared" si="38"/>
        <v>CONTA OPTICA</v>
      </c>
      <c r="J89" t="str">
        <f>"DIEGO FELIPE DE CARVALHO DE OLIVEIRA"</f>
        <v>DIEGO FELIPE DE CARVALHO DE OLIVEIRA</v>
      </c>
      <c r="K89" t="str">
        <f>"GEROR (4156)"</f>
        <v>GEROR (4156)</v>
      </c>
      <c r="L89" t="str">
        <f>""</f>
        <v/>
      </c>
      <c r="M89" t="str">
        <f>""</f>
        <v/>
      </c>
      <c r="N89" t="str">
        <f>"geror.jlle@gmail.com"</f>
        <v>geror.jlle@gmail.com</v>
      </c>
      <c r="O89" t="str">
        <f>""</f>
        <v/>
      </c>
      <c r="P89" t="str">
        <f>"AVENIDA ROLF WIEST"</f>
        <v>AVENIDA ROLF WIEST</v>
      </c>
      <c r="Q89" t="str">
        <f>"333"</f>
        <v>333</v>
      </c>
      <c r="R89" t="str">
        <f>"QUIOSQ 25"</f>
        <v>QUIOSQ 25</v>
      </c>
      <c r="S89" t="str">
        <f>"1279"</f>
        <v>1279</v>
      </c>
      <c r="T89" t="str">
        <f>"89223005"</f>
        <v>89223005</v>
      </c>
      <c r="U89" t="str">
        <f>"BOM RETIRO"</f>
        <v>BOM RETIRO</v>
      </c>
      <c r="V89" t="str">
        <f>"JOINVILLE"</f>
        <v>JOINVILLE</v>
      </c>
      <c r="W89" t="str">
        <f t="shared" si="48"/>
        <v>SC</v>
      </c>
      <c r="X89" t="str">
        <f>"47"</f>
        <v>47</v>
      </c>
      <c r="Y89" t="str">
        <f>"988841396"</f>
        <v>988841396</v>
      </c>
      <c r="Z89" t="str">
        <f>""</f>
        <v/>
      </c>
      <c r="AA89" t="str">
        <f>""</f>
        <v/>
      </c>
      <c r="AB89" t="str">
        <f>""</f>
        <v/>
      </c>
      <c r="AC89" t="str">
        <f>""</f>
        <v/>
      </c>
      <c r="AD89" t="str">
        <f>""</f>
        <v/>
      </c>
      <c r="AE89" t="str">
        <f>""</f>
        <v/>
      </c>
      <c r="AF89" t="str">
        <f>""</f>
        <v/>
      </c>
      <c r="AG89" t="str">
        <f>""</f>
        <v/>
      </c>
      <c r="AH89" t="str">
        <f>""</f>
        <v/>
      </c>
      <c r="AI89" t="str">
        <f>""</f>
        <v/>
      </c>
      <c r="AJ89" t="str">
        <f>""</f>
        <v/>
      </c>
      <c r="AK89" t="str">
        <f>""</f>
        <v/>
      </c>
      <c r="AL89" t="str">
        <f>""</f>
        <v/>
      </c>
      <c r="AM89" t="str">
        <f>""</f>
        <v/>
      </c>
      <c r="AN89" t="str">
        <f>""</f>
        <v/>
      </c>
      <c r="AO89" t="str">
        <f>""</f>
        <v/>
      </c>
      <c r="AP89" t="str">
        <f>""</f>
        <v/>
      </c>
      <c r="AQ89" t="str">
        <f>""</f>
        <v/>
      </c>
      <c r="AR89" t="str">
        <f>""</f>
        <v/>
      </c>
      <c r="AS89" t="str">
        <f>""</f>
        <v/>
      </c>
      <c r="AT89" t="str">
        <f>""</f>
        <v/>
      </c>
      <c r="AU89" t="str">
        <f>""</f>
        <v/>
      </c>
      <c r="AV89" t="str">
        <f>""</f>
        <v/>
      </c>
      <c r="AW89" t="str">
        <f>""</f>
        <v/>
      </c>
      <c r="AX89" t="str">
        <f>""</f>
        <v/>
      </c>
      <c r="AY89" t="str">
        <f>""</f>
        <v/>
      </c>
      <c r="AZ89" t="str">
        <f>""</f>
        <v/>
      </c>
      <c r="BA89" t="str">
        <f>""</f>
        <v/>
      </c>
      <c r="BB89" t="str">
        <f>""</f>
        <v/>
      </c>
      <c r="BC89" t="str">
        <f>""</f>
        <v/>
      </c>
      <c r="BD89" t="str">
        <f>""</f>
        <v/>
      </c>
      <c r="BE89" t="str">
        <f>""</f>
        <v/>
      </c>
      <c r="BF89" t="str">
        <f t="shared" si="39"/>
        <v>A</v>
      </c>
      <c r="BG89" t="str">
        <f>""</f>
        <v/>
      </c>
      <c r="BH89" t="str">
        <f>""</f>
        <v/>
      </c>
      <c r="BI89" t="str">
        <f t="shared" si="40"/>
        <v>EVENTUAL</v>
      </c>
      <c r="BJ89" t="str">
        <f t="shared" si="41"/>
        <v>1</v>
      </c>
      <c r="BK89" t="str">
        <f t="shared" si="42"/>
        <v>Farmacia</v>
      </c>
      <c r="BL89" t="str">
        <f>""</f>
        <v/>
      </c>
      <c r="BM89" t="str">
        <f>"NÃO É VARILUX ESPECIALISTA"</f>
        <v>NÃO É VARILUX ESPECIALISTA</v>
      </c>
      <c r="BN89" t="str">
        <f>"NA"</f>
        <v>NA</v>
      </c>
      <c r="BO89" t="str">
        <f>"OUTROS"</f>
        <v>OUTROS</v>
      </c>
      <c r="BP89" t="str">
        <f>""</f>
        <v/>
      </c>
      <c r="BQ89" t="str">
        <f>""</f>
        <v/>
      </c>
      <c r="BR89" t="str">
        <f>""</f>
        <v/>
      </c>
      <c r="BS89" t="str">
        <f>""</f>
        <v/>
      </c>
      <c r="BT89" t="str">
        <f>""</f>
        <v/>
      </c>
      <c r="BU89" t="str">
        <f>""</f>
        <v/>
      </c>
      <c r="BV89" t="str">
        <f>"9"</f>
        <v>9</v>
      </c>
      <c r="BW89" t="str">
        <f>"Não visitado"</f>
        <v>Não visitado</v>
      </c>
    </row>
    <row r="90" spans="1:75" x14ac:dyDescent="0.35">
      <c r="A90">
        <v>120382</v>
      </c>
      <c r="B90" t="str">
        <f t="shared" si="33"/>
        <v>A</v>
      </c>
      <c r="C90" t="str">
        <f t="shared" si="34"/>
        <v>80</v>
      </c>
      <c r="D90" t="str">
        <f t="shared" si="35"/>
        <v>11121001</v>
      </c>
      <c r="E90" t="str">
        <f t="shared" si="36"/>
        <v>121001</v>
      </c>
      <c r="F90" t="str">
        <f t="shared" si="37"/>
        <v>JENIFER SANTOS</v>
      </c>
      <c r="G90" t="str">
        <f>"09020501000104"</f>
        <v>09020501000104</v>
      </c>
      <c r="H90" t="str">
        <f>"0"</f>
        <v>0</v>
      </c>
      <c r="I90" t="str">
        <f t="shared" si="38"/>
        <v>CONTA OPTICA</v>
      </c>
      <c r="J90" t="str">
        <f>"DIEGO GELLER E CIA LTDA"</f>
        <v>DIEGO GELLER E CIA LTDA</v>
      </c>
      <c r="K90" t="str">
        <f>"OTICA HORA CERTA (1364)"</f>
        <v>OTICA HORA CERTA (1364)</v>
      </c>
      <c r="L90" t="str">
        <f>""</f>
        <v/>
      </c>
      <c r="M90" t="str">
        <f>""</f>
        <v/>
      </c>
      <c r="N90" t="str">
        <f>"diegogeller@hotmail.com"</f>
        <v>diegogeller@hotmail.com</v>
      </c>
      <c r="O90" t="str">
        <f>""</f>
        <v/>
      </c>
      <c r="P90" t="str">
        <f>"AVENIDA GETULIO VARGAS"</f>
        <v>AVENIDA GETULIO VARGAS</v>
      </c>
      <c r="Q90" t="str">
        <f>"102"</f>
        <v>102</v>
      </c>
      <c r="R90" t="str">
        <f>""</f>
        <v/>
      </c>
      <c r="S90" t="str">
        <f>"1289"</f>
        <v>1289</v>
      </c>
      <c r="T90" t="str">
        <f>"89900000"</f>
        <v>89900000</v>
      </c>
      <c r="U90" t="str">
        <f t="shared" ref="U90:U95" si="50">"CENTRO"</f>
        <v>CENTRO</v>
      </c>
      <c r="V90" t="str">
        <f>"SÃO MIGUEL DO OESTE"</f>
        <v>SÃO MIGUEL DO OESTE</v>
      </c>
      <c r="W90" t="str">
        <f t="shared" si="48"/>
        <v>SC</v>
      </c>
      <c r="X90" t="str">
        <f>"49"</f>
        <v>49</v>
      </c>
      <c r="Y90" t="str">
        <f>"36222309"</f>
        <v>36222309</v>
      </c>
      <c r="Z90" t="str">
        <f>""</f>
        <v/>
      </c>
      <c r="AA90" t="str">
        <f>""</f>
        <v/>
      </c>
      <c r="AB90" t="str">
        <f>""</f>
        <v/>
      </c>
      <c r="AC90" t="str">
        <f>""</f>
        <v/>
      </c>
      <c r="AD90" t="str">
        <f>""</f>
        <v/>
      </c>
      <c r="AE90" t="str">
        <f>""</f>
        <v/>
      </c>
      <c r="AF90" t="str">
        <f>""</f>
        <v/>
      </c>
      <c r="AG90" t="str">
        <f>""</f>
        <v/>
      </c>
      <c r="AH90" t="str">
        <f>""</f>
        <v/>
      </c>
      <c r="AI90" t="str">
        <f>""</f>
        <v/>
      </c>
      <c r="AJ90" t="str">
        <f t="shared" ref="AJ90:AL91" si="51">"0"</f>
        <v>0</v>
      </c>
      <c r="AK90" t="str">
        <f t="shared" si="51"/>
        <v>0</v>
      </c>
      <c r="AL90" t="str">
        <f t="shared" si="51"/>
        <v>0</v>
      </c>
      <c r="AM90" t="str">
        <f>""</f>
        <v/>
      </c>
      <c r="AN90" t="str">
        <f>""</f>
        <v/>
      </c>
      <c r="AO90" t="str">
        <f>""</f>
        <v/>
      </c>
      <c r="AP90" t="str">
        <f>""</f>
        <v/>
      </c>
      <c r="AQ90" t="str">
        <f>""</f>
        <v/>
      </c>
      <c r="AR90" t="str">
        <f>""</f>
        <v/>
      </c>
      <c r="AS90" t="str">
        <f>""</f>
        <v/>
      </c>
      <c r="AT90" t="str">
        <f>""</f>
        <v/>
      </c>
      <c r="AU90" t="str">
        <f>""</f>
        <v/>
      </c>
      <c r="AV90" t="str">
        <f>""</f>
        <v/>
      </c>
      <c r="AW90" t="str">
        <f>""</f>
        <v/>
      </c>
      <c r="AX90" t="str">
        <f>""</f>
        <v/>
      </c>
      <c r="AY90" t="str">
        <f>""</f>
        <v/>
      </c>
      <c r="AZ90" t="str">
        <f>""</f>
        <v/>
      </c>
      <c r="BA90" t="str">
        <f>""</f>
        <v/>
      </c>
      <c r="BB90" t="str">
        <f>"18/09/2020 22:12:34"</f>
        <v>18/09/2020 22:12:34</v>
      </c>
      <c r="BC90" t="str">
        <f>""</f>
        <v/>
      </c>
      <c r="BD90" t="str">
        <f>""</f>
        <v/>
      </c>
      <c r="BE90" t="str">
        <f>""</f>
        <v/>
      </c>
      <c r="BF90" t="str">
        <f t="shared" si="39"/>
        <v>A</v>
      </c>
      <c r="BG90" t="str">
        <f>"0,00"</f>
        <v>0,00</v>
      </c>
      <c r="BH90" t="str">
        <f>"0,00"</f>
        <v>0,00</v>
      </c>
      <c r="BI90" t="str">
        <f t="shared" si="40"/>
        <v>EVENTUAL</v>
      </c>
      <c r="BJ90" t="str">
        <f t="shared" si="41"/>
        <v>1</v>
      </c>
      <c r="BK90" t="str">
        <f t="shared" si="42"/>
        <v>Farmacia</v>
      </c>
      <c r="BL90" t="str">
        <f>""</f>
        <v/>
      </c>
      <c r="BM90" t="str">
        <f>"NÃO É VARILUX ESPECIALISTA"</f>
        <v>NÃO É VARILUX ESPECIALISTA</v>
      </c>
      <c r="BN90" t="str">
        <f>"NA"</f>
        <v>NA</v>
      </c>
      <c r="BO90" t="str">
        <f>"FOCO VARILUX DIGITAL"</f>
        <v>FOCO VARILUX DIGITAL</v>
      </c>
      <c r="BP90" t="str">
        <f>""</f>
        <v/>
      </c>
      <c r="BQ90" t="str">
        <f>""</f>
        <v/>
      </c>
      <c r="BR90" t="str">
        <f>"18/09/2020"</f>
        <v>18/09/2020</v>
      </c>
      <c r="BS90" t="str">
        <f>""</f>
        <v/>
      </c>
      <c r="BT90" t="str">
        <f>""</f>
        <v/>
      </c>
      <c r="BU90" t="str">
        <f>""</f>
        <v/>
      </c>
      <c r="BV90" t="str">
        <f>"7"</f>
        <v>7</v>
      </c>
      <c r="BW90" t="str">
        <f>"Não visitado"</f>
        <v>Não visitado</v>
      </c>
    </row>
    <row r="91" spans="1:75" x14ac:dyDescent="0.35">
      <c r="A91">
        <v>120344</v>
      </c>
      <c r="B91" t="str">
        <f t="shared" si="33"/>
        <v>A</v>
      </c>
      <c r="C91" t="str">
        <f t="shared" si="34"/>
        <v>80</v>
      </c>
      <c r="D91" t="str">
        <f t="shared" si="35"/>
        <v>11121001</v>
      </c>
      <c r="E91" t="str">
        <f t="shared" si="36"/>
        <v>121001</v>
      </c>
      <c r="F91" t="str">
        <f t="shared" si="37"/>
        <v>JENIFER SANTOS</v>
      </c>
      <c r="G91" t="str">
        <f>"07644279000195"</f>
        <v>07644279000195</v>
      </c>
      <c r="H91" t="str">
        <f>"0"</f>
        <v>0</v>
      </c>
      <c r="I91" t="str">
        <f t="shared" si="38"/>
        <v>CONTA OPTICA</v>
      </c>
      <c r="J91" t="str">
        <f>"DIGIOTICA OPTICA E JOALHERIA EIRELI"</f>
        <v>DIGIOTICA OPTICA E JOALHERIA EIRELI</v>
      </c>
      <c r="K91" t="str">
        <f>"DIGITUS JOALHERIA E OPTICA (1836)"</f>
        <v>DIGITUS JOALHERIA E OPTICA (1836)</v>
      </c>
      <c r="L91" t="str">
        <f>""</f>
        <v/>
      </c>
      <c r="M91" t="str">
        <f>""</f>
        <v/>
      </c>
      <c r="N91" t="str">
        <f>"digitusfinanceiro@gmail.com"</f>
        <v>digitusfinanceiro@gmail.com</v>
      </c>
      <c r="O91" t="str">
        <f>""</f>
        <v/>
      </c>
      <c r="P91" t="str">
        <f>"RUA 10 DE NOVEMBRO"</f>
        <v>RUA 10 DE NOVEMBRO</v>
      </c>
      <c r="Q91" t="str">
        <f>"1030"</f>
        <v>1030</v>
      </c>
      <c r="R91" t="str">
        <f>""</f>
        <v/>
      </c>
      <c r="S91" t="str">
        <f>"1288"</f>
        <v>1288</v>
      </c>
      <c r="T91" t="str">
        <f>"89825000"</f>
        <v>89825000</v>
      </c>
      <c r="U91" t="str">
        <f t="shared" si="50"/>
        <v>CENTRO</v>
      </c>
      <c r="V91" t="str">
        <f>"XAXIM"</f>
        <v>XAXIM</v>
      </c>
      <c r="W91" t="str">
        <f t="shared" si="48"/>
        <v>SC</v>
      </c>
      <c r="X91" t="str">
        <f>"49"</f>
        <v>49</v>
      </c>
      <c r="Y91" t="str">
        <f>"33531623"</f>
        <v>33531623</v>
      </c>
      <c r="Z91" t="str">
        <f>""</f>
        <v/>
      </c>
      <c r="AA91" t="str">
        <f>""</f>
        <v/>
      </c>
      <c r="AB91" t="str">
        <f>""</f>
        <v/>
      </c>
      <c r="AC91" t="str">
        <f>""</f>
        <v/>
      </c>
      <c r="AD91" t="str">
        <f>""</f>
        <v/>
      </c>
      <c r="AE91" t="str">
        <f>""</f>
        <v/>
      </c>
      <c r="AF91" t="str">
        <f>""</f>
        <v/>
      </c>
      <c r="AG91" t="str">
        <f>""</f>
        <v/>
      </c>
      <c r="AH91" t="str">
        <f>""</f>
        <v/>
      </c>
      <c r="AI91" t="str">
        <f>""</f>
        <v/>
      </c>
      <c r="AJ91" t="str">
        <f t="shared" si="51"/>
        <v>0</v>
      </c>
      <c r="AK91" t="str">
        <f t="shared" si="51"/>
        <v>0</v>
      </c>
      <c r="AL91" t="str">
        <f t="shared" si="51"/>
        <v>0</v>
      </c>
      <c r="AM91" t="str">
        <f>""</f>
        <v/>
      </c>
      <c r="AN91" t="str">
        <f>""</f>
        <v/>
      </c>
      <c r="AO91" t="str">
        <f>""</f>
        <v/>
      </c>
      <c r="AP91" t="str">
        <f>""</f>
        <v/>
      </c>
      <c r="AQ91" t="str">
        <f>""</f>
        <v/>
      </c>
      <c r="AR91" t="str">
        <f>""</f>
        <v/>
      </c>
      <c r="AS91" t="str">
        <f>""</f>
        <v/>
      </c>
      <c r="AT91" t="str">
        <f>""</f>
        <v/>
      </c>
      <c r="AU91" t="str">
        <f>""</f>
        <v/>
      </c>
      <c r="AV91" t="str">
        <f>""</f>
        <v/>
      </c>
      <c r="AW91" t="str">
        <f>""</f>
        <v/>
      </c>
      <c r="AX91" t="str">
        <f>""</f>
        <v/>
      </c>
      <c r="AY91" t="str">
        <f>""</f>
        <v/>
      </c>
      <c r="AZ91" t="str">
        <f>""</f>
        <v/>
      </c>
      <c r="BA91" t="str">
        <f>""</f>
        <v/>
      </c>
      <c r="BB91" t="str">
        <f>"18/09/2020 22:12:34"</f>
        <v>18/09/2020 22:12:34</v>
      </c>
      <c r="BC91" t="str">
        <f>""</f>
        <v/>
      </c>
      <c r="BD91" t="str">
        <f>""</f>
        <v/>
      </c>
      <c r="BE91" t="str">
        <f>""</f>
        <v/>
      </c>
      <c r="BF91" t="str">
        <f t="shared" si="39"/>
        <v>A</v>
      </c>
      <c r="BG91" t="str">
        <f>"0,00"</f>
        <v>0,00</v>
      </c>
      <c r="BH91" t="str">
        <f>"0,00"</f>
        <v>0,00</v>
      </c>
      <c r="BI91" t="str">
        <f t="shared" si="40"/>
        <v>EVENTUAL</v>
      </c>
      <c r="BJ91" t="str">
        <f t="shared" si="41"/>
        <v>1</v>
      </c>
      <c r="BK91" t="str">
        <f t="shared" si="42"/>
        <v>Farmacia</v>
      </c>
      <c r="BL91" t="str">
        <f>""</f>
        <v/>
      </c>
      <c r="BM91" t="str">
        <f>"VARILUX ESPECIALISTA SELECT"</f>
        <v>VARILUX ESPECIALISTA SELECT</v>
      </c>
      <c r="BN91" t="str">
        <f>"NA"</f>
        <v>NA</v>
      </c>
      <c r="BO91" t="str">
        <f>"FOCO VARILUX"</f>
        <v>FOCO VARILUX</v>
      </c>
      <c r="BP91" t="str">
        <f>""</f>
        <v/>
      </c>
      <c r="BQ91" t="str">
        <f>""</f>
        <v/>
      </c>
      <c r="BR91" t="str">
        <f>"18/09/2020"</f>
        <v>18/09/2020</v>
      </c>
      <c r="BS91" t="str">
        <f>""</f>
        <v/>
      </c>
      <c r="BT91" t="str">
        <f>""</f>
        <v/>
      </c>
      <c r="BU91" t="str">
        <f>""</f>
        <v/>
      </c>
      <c r="BV91" t="str">
        <f>"5"</f>
        <v>5</v>
      </c>
      <c r="BW91" t="str">
        <f>"49"</f>
        <v>49</v>
      </c>
    </row>
    <row r="92" spans="1:75" x14ac:dyDescent="0.35">
      <c r="A92">
        <v>156819</v>
      </c>
      <c r="B92" t="str">
        <f t="shared" si="33"/>
        <v>A</v>
      </c>
      <c r="C92" t="str">
        <f t="shared" si="34"/>
        <v>80</v>
      </c>
      <c r="D92" t="str">
        <f t="shared" si="35"/>
        <v>11121001</v>
      </c>
      <c r="E92" t="str">
        <f t="shared" si="36"/>
        <v>121001</v>
      </c>
      <c r="F92" t="str">
        <f t="shared" si="37"/>
        <v>JENIFER SANTOS</v>
      </c>
      <c r="G92" t="str">
        <f>"84686310000100"</f>
        <v>84686310000100</v>
      </c>
      <c r="H92" t="str">
        <f>"0"</f>
        <v>0</v>
      </c>
      <c r="I92" t="str">
        <f t="shared" si="38"/>
        <v>CONTA OPTICA</v>
      </c>
      <c r="J92" t="str">
        <f>"DISTRIBUIDORA FOTO RAIO X LTDA"</f>
        <v>DISTRIBUIDORA FOTO RAIO X LTDA</v>
      </c>
      <c r="K92" t="str">
        <f>"OTICA BOA VISTA (91)"</f>
        <v>OTICA BOA VISTA (91)</v>
      </c>
      <c r="L92" t="str">
        <f>""</f>
        <v/>
      </c>
      <c r="M92" t="str">
        <f>""</f>
        <v/>
      </c>
      <c r="N92" t="str">
        <f>"oticaboavista@oticaboavista.com.br"</f>
        <v>oticaboavista@oticaboavista.com.br</v>
      </c>
      <c r="O92" t="str">
        <f>""</f>
        <v/>
      </c>
      <c r="P92" t="str">
        <f>"RUA R VISCONDE DE TAUNAY"</f>
        <v>RUA R VISCONDE DE TAUNAY</v>
      </c>
      <c r="Q92" t="str">
        <f>"235"</f>
        <v>235</v>
      </c>
      <c r="R92" t="str">
        <f>"ANDAR 2 L 89"</f>
        <v>ANDAR 2 L 89</v>
      </c>
      <c r="S92" t="str">
        <f>"1277"</f>
        <v>1277</v>
      </c>
      <c r="T92" t="str">
        <f>"89201908"</f>
        <v>89201908</v>
      </c>
      <c r="U92" t="str">
        <f t="shared" si="50"/>
        <v>CENTRO</v>
      </c>
      <c r="V92" t="str">
        <f>"JOINVILLE"</f>
        <v>JOINVILLE</v>
      </c>
      <c r="W92" t="str">
        <f t="shared" si="48"/>
        <v>SC</v>
      </c>
      <c r="X92" t="str">
        <f>"47"</f>
        <v>47</v>
      </c>
      <c r="Y92" t="str">
        <f>"34331982"</f>
        <v>34331982</v>
      </c>
      <c r="Z92" t="str">
        <f>""</f>
        <v/>
      </c>
      <c r="AA92" t="str">
        <f>""</f>
        <v/>
      </c>
      <c r="AB92" t="str">
        <f>""</f>
        <v/>
      </c>
      <c r="AC92" t="str">
        <f>""</f>
        <v/>
      </c>
      <c r="AD92" t="str">
        <f>""</f>
        <v/>
      </c>
      <c r="AE92" t="str">
        <f>""</f>
        <v/>
      </c>
      <c r="AF92" t="str">
        <f>""</f>
        <v/>
      </c>
      <c r="AG92" t="str">
        <f>""</f>
        <v/>
      </c>
      <c r="AH92" t="str">
        <f>""</f>
        <v/>
      </c>
      <c r="AI92" t="str">
        <f>""</f>
        <v/>
      </c>
      <c r="AJ92" t="str">
        <f>""</f>
        <v/>
      </c>
      <c r="AK92" t="str">
        <f>""</f>
        <v/>
      </c>
      <c r="AL92" t="str">
        <f>""</f>
        <v/>
      </c>
      <c r="AM92" t="str">
        <f>""</f>
        <v/>
      </c>
      <c r="AN92" t="str">
        <f>""</f>
        <v/>
      </c>
      <c r="AO92" t="str">
        <f>""</f>
        <v/>
      </c>
      <c r="AP92" t="str">
        <f>""</f>
        <v/>
      </c>
      <c r="AQ92" t="str">
        <f>""</f>
        <v/>
      </c>
      <c r="AR92" t="str">
        <f>""</f>
        <v/>
      </c>
      <c r="AS92" t="str">
        <f>""</f>
        <v/>
      </c>
      <c r="AT92" t="str">
        <f>""</f>
        <v/>
      </c>
      <c r="AU92" t="str">
        <f>""</f>
        <v/>
      </c>
      <c r="AV92" t="str">
        <f>""</f>
        <v/>
      </c>
      <c r="AW92" t="str">
        <f>""</f>
        <v/>
      </c>
      <c r="AX92" t="str">
        <f>""</f>
        <v/>
      </c>
      <c r="AY92" t="str">
        <f>""</f>
        <v/>
      </c>
      <c r="AZ92" t="str">
        <f>""</f>
        <v/>
      </c>
      <c r="BA92" t="str">
        <f>""</f>
        <v/>
      </c>
      <c r="BB92" t="str">
        <f>"06/07/2023 12:07:48"</f>
        <v>06/07/2023 12:07:48</v>
      </c>
      <c r="BC92" t="str">
        <f>""</f>
        <v/>
      </c>
      <c r="BD92" t="str">
        <f>""</f>
        <v/>
      </c>
      <c r="BE92" t="str">
        <f>""</f>
        <v/>
      </c>
      <c r="BF92" t="str">
        <f t="shared" si="39"/>
        <v>A</v>
      </c>
      <c r="BG92" t="str">
        <f>""</f>
        <v/>
      </c>
      <c r="BH92" t="str">
        <f>""</f>
        <v/>
      </c>
      <c r="BI92" t="str">
        <f t="shared" si="40"/>
        <v>EVENTUAL</v>
      </c>
      <c r="BJ92" t="str">
        <f t="shared" si="41"/>
        <v>1</v>
      </c>
      <c r="BK92" t="str">
        <f t="shared" si="42"/>
        <v>Farmacia</v>
      </c>
      <c r="BL92" t="str">
        <f>""</f>
        <v/>
      </c>
      <c r="BM92" t="str">
        <f>""</f>
        <v/>
      </c>
      <c r="BN92" t="str">
        <f>""</f>
        <v/>
      </c>
      <c r="BO92" t="str">
        <f>""</f>
        <v/>
      </c>
      <c r="BP92" t="str">
        <f>""</f>
        <v/>
      </c>
      <c r="BQ92" t="str">
        <f>""</f>
        <v/>
      </c>
      <c r="BR92" t="str">
        <f>"06/07/2023"</f>
        <v>06/07/2023</v>
      </c>
      <c r="BS92" t="str">
        <f>""</f>
        <v/>
      </c>
      <c r="BT92" t="str">
        <f>""</f>
        <v/>
      </c>
      <c r="BU92" t="str">
        <f>""</f>
        <v/>
      </c>
      <c r="BV92" t="str">
        <f>""</f>
        <v/>
      </c>
      <c r="BW92" t="str">
        <f>"Não visitado"</f>
        <v>Não visitado</v>
      </c>
    </row>
    <row r="93" spans="1:75" x14ac:dyDescent="0.35">
      <c r="A93">
        <v>138017</v>
      </c>
      <c r="B93" t="str">
        <f t="shared" si="33"/>
        <v>A</v>
      </c>
      <c r="C93" t="str">
        <f t="shared" si="34"/>
        <v>80</v>
      </c>
      <c r="D93" t="str">
        <f t="shared" si="35"/>
        <v>11121001</v>
      </c>
      <c r="E93" t="str">
        <f t="shared" si="36"/>
        <v>121001</v>
      </c>
      <c r="F93" t="str">
        <f t="shared" si="37"/>
        <v>JENIFER SANTOS</v>
      </c>
      <c r="G93" t="str">
        <f>"95096509000196"</f>
        <v>95096509000196</v>
      </c>
      <c r="H93" t="str">
        <f>"0"</f>
        <v>0</v>
      </c>
      <c r="I93" t="str">
        <f t="shared" si="38"/>
        <v>CONTA OPTICA</v>
      </c>
      <c r="J93" t="str">
        <f>"DOUGLAS B. AQUINO ME"</f>
        <v>DOUGLAS B. AQUINO ME</v>
      </c>
      <c r="K93" t="str">
        <f>"DOUGLAS B. AQUINO ME (548)"</f>
        <v>DOUGLAS B. AQUINO ME (548)</v>
      </c>
      <c r="L93" t="str">
        <f>""</f>
        <v/>
      </c>
      <c r="M93" t="str">
        <f>""</f>
        <v/>
      </c>
      <c r="N93" t="str">
        <f>"opticadouglas@hotmail.com"</f>
        <v>opticadouglas@hotmail.com</v>
      </c>
      <c r="O93" t="str">
        <f>""</f>
        <v/>
      </c>
      <c r="P93" t="str">
        <f>"RUA DO COMERCIO"</f>
        <v>RUA DO COMERCIO</v>
      </c>
      <c r="Q93" t="str">
        <f>"506"</f>
        <v>506</v>
      </c>
      <c r="R93" t="str">
        <f>""</f>
        <v/>
      </c>
      <c r="S93" t="str">
        <f>"1377"</f>
        <v>1377</v>
      </c>
      <c r="T93" t="str">
        <f>"98400000"</f>
        <v>98400000</v>
      </c>
      <c r="U93" t="str">
        <f t="shared" si="50"/>
        <v>CENTRO</v>
      </c>
      <c r="V93" t="str">
        <f>"FREDERICO WESTPHALEN"</f>
        <v>FREDERICO WESTPHALEN</v>
      </c>
      <c r="W93" t="str">
        <f>"RS"</f>
        <v>RS</v>
      </c>
      <c r="X93" t="str">
        <f>"55"</f>
        <v>55</v>
      </c>
      <c r="Y93" t="str">
        <f>"37443870"</f>
        <v>37443870</v>
      </c>
      <c r="Z93" t="str">
        <f>""</f>
        <v/>
      </c>
      <c r="AA93" t="str">
        <f>""</f>
        <v/>
      </c>
      <c r="AB93" t="str">
        <f>""</f>
        <v/>
      </c>
      <c r="AC93" t="str">
        <f>""</f>
        <v/>
      </c>
      <c r="AD93" t="str">
        <f>""</f>
        <v/>
      </c>
      <c r="AE93" t="str">
        <f>""</f>
        <v/>
      </c>
      <c r="AF93" t="str">
        <f>""</f>
        <v/>
      </c>
      <c r="AG93" t="str">
        <f>"S"</f>
        <v>S</v>
      </c>
      <c r="AH93" t="str">
        <f>""</f>
        <v/>
      </c>
      <c r="AI93" t="str">
        <f>""</f>
        <v/>
      </c>
      <c r="AJ93" t="str">
        <f>""</f>
        <v/>
      </c>
      <c r="AK93" t="str">
        <f>""</f>
        <v/>
      </c>
      <c r="AL93" t="str">
        <f>""</f>
        <v/>
      </c>
      <c r="AM93" t="str">
        <f>""</f>
        <v/>
      </c>
      <c r="AN93" t="str">
        <f>""</f>
        <v/>
      </c>
      <c r="AO93" t="str">
        <f>""</f>
        <v/>
      </c>
      <c r="AP93" t="str">
        <f>""</f>
        <v/>
      </c>
      <c r="AQ93" t="str">
        <f>"N"</f>
        <v>N</v>
      </c>
      <c r="AR93" t="str">
        <f>"N"</f>
        <v>N</v>
      </c>
      <c r="AS93" t="str">
        <f>"N"</f>
        <v>N</v>
      </c>
      <c r="AT93" t="str">
        <f>"N"</f>
        <v>N</v>
      </c>
      <c r="AU93" t="str">
        <f>"N"</f>
        <v>N</v>
      </c>
      <c r="AV93" t="str">
        <f>""</f>
        <v/>
      </c>
      <c r="AW93" t="str">
        <f>""</f>
        <v/>
      </c>
      <c r="AX93" t="str">
        <f>""</f>
        <v/>
      </c>
      <c r="AY93" t="str">
        <f>""</f>
        <v/>
      </c>
      <c r="AZ93" t="str">
        <f>""</f>
        <v/>
      </c>
      <c r="BA93" t="str">
        <f>""</f>
        <v/>
      </c>
      <c r="BB93" t="str">
        <f>"01/07/2021 13:53:04"</f>
        <v>01/07/2021 13:53:04</v>
      </c>
      <c r="BC93" t="str">
        <f>"12/07/2023 10:54:15"</f>
        <v>12/07/2023 10:54:15</v>
      </c>
      <c r="BD93" t="str">
        <f>""</f>
        <v/>
      </c>
      <c r="BE93" t="str">
        <f>""</f>
        <v/>
      </c>
      <c r="BF93" t="str">
        <f t="shared" si="39"/>
        <v>A</v>
      </c>
      <c r="BG93" t="str">
        <f>""</f>
        <v/>
      </c>
      <c r="BH93" t="str">
        <f>"0,00"</f>
        <v>0,00</v>
      </c>
      <c r="BI93" t="str">
        <f>"MENSAL"</f>
        <v>MENSAL</v>
      </c>
      <c r="BJ93" t="str">
        <f t="shared" si="41"/>
        <v>1</v>
      </c>
      <c r="BK93" t="str">
        <f t="shared" si="42"/>
        <v>Farmacia</v>
      </c>
      <c r="BL93" t="str">
        <f>""</f>
        <v/>
      </c>
      <c r="BM93" t="str">
        <f>"NÃO É VARILUX ESPECIALISTA"</f>
        <v>NÃO É VARILUX ESPECIALISTA</v>
      </c>
      <c r="BN93" t="str">
        <f>"NA"</f>
        <v>NA</v>
      </c>
      <c r="BO93" t="str">
        <f>"FOCO VARILUX"</f>
        <v>FOCO VARILUX</v>
      </c>
      <c r="BP93" t="str">
        <f>""</f>
        <v/>
      </c>
      <c r="BQ93" t="str">
        <f>""</f>
        <v/>
      </c>
      <c r="BR93" t="str">
        <f>"01/07/2021"</f>
        <v>01/07/2021</v>
      </c>
      <c r="BS93" t="str">
        <f>"12/07/2023"</f>
        <v>12/07/2023</v>
      </c>
      <c r="BT93" t="str">
        <f>""</f>
        <v/>
      </c>
      <c r="BU93" t="str">
        <f>""</f>
        <v/>
      </c>
      <c r="BV93" t="str">
        <f>""</f>
        <v/>
      </c>
      <c r="BW93" t="str">
        <f>"8"</f>
        <v>8</v>
      </c>
    </row>
    <row r="94" spans="1:75" x14ac:dyDescent="0.35">
      <c r="A94">
        <v>804</v>
      </c>
      <c r="B94" t="str">
        <f t="shared" si="33"/>
        <v>A</v>
      </c>
      <c r="C94" t="str">
        <f t="shared" si="34"/>
        <v>80</v>
      </c>
      <c r="D94" t="str">
        <f t="shared" si="35"/>
        <v>11121001</v>
      </c>
      <c r="E94" t="str">
        <f t="shared" si="36"/>
        <v>121001</v>
      </c>
      <c r="F94" t="str">
        <f t="shared" si="37"/>
        <v>JENIFER SANTOS</v>
      </c>
      <c r="G94" t="str">
        <f>"02655979000161"</f>
        <v>02655979000161</v>
      </c>
      <c r="H94" t="str">
        <f>""</f>
        <v/>
      </c>
      <c r="I94" t="str">
        <f t="shared" si="38"/>
        <v>CONTA OPTICA</v>
      </c>
      <c r="J94" t="str">
        <f>"DULCE MARIA SANTI ME"</f>
        <v>DULCE MARIA SANTI ME</v>
      </c>
      <c r="K94" t="str">
        <f>"DULCE MARIA SANTI ME (1137)"</f>
        <v>DULCE MARIA SANTI ME (1137)</v>
      </c>
      <c r="L94" t="str">
        <f>""</f>
        <v/>
      </c>
      <c r="M94" t="str">
        <f>""</f>
        <v/>
      </c>
      <c r="N94" t="str">
        <f>"orcoplan@netuno.com.br"</f>
        <v>orcoplan@netuno.com.br</v>
      </c>
      <c r="O94" t="str">
        <f>""</f>
        <v/>
      </c>
      <c r="P94" t="str">
        <f>"RUA FELIPE SCHIMIDT"</f>
        <v>RUA FELIPE SCHIMIDT</v>
      </c>
      <c r="Q94" t="str">
        <f>"873"</f>
        <v>873</v>
      </c>
      <c r="R94" t="str">
        <f>""</f>
        <v/>
      </c>
      <c r="S94" t="str">
        <f>"1281"</f>
        <v>1281</v>
      </c>
      <c r="T94" t="str">
        <f>"89300000"</f>
        <v>89300000</v>
      </c>
      <c r="U94" t="str">
        <f t="shared" si="50"/>
        <v>CENTRO</v>
      </c>
      <c r="V94" t="str">
        <f>"MAFRA"</f>
        <v>MAFRA</v>
      </c>
      <c r="W94" t="str">
        <f t="shared" ref="W94:W112" si="52">"SC"</f>
        <v>SC</v>
      </c>
      <c r="X94" t="str">
        <f>"47"</f>
        <v>47</v>
      </c>
      <c r="Y94" t="str">
        <f>"36426375"</f>
        <v>36426375</v>
      </c>
      <c r="Z94" t="str">
        <f>""</f>
        <v/>
      </c>
      <c r="AA94" t="str">
        <f>""</f>
        <v/>
      </c>
      <c r="AB94" t="str">
        <f>""</f>
        <v/>
      </c>
      <c r="AC94" t="str">
        <f>""</f>
        <v/>
      </c>
      <c r="AD94" t="str">
        <f>""</f>
        <v/>
      </c>
      <c r="AE94" t="str">
        <f>""</f>
        <v/>
      </c>
      <c r="AF94" t="str">
        <f>""</f>
        <v/>
      </c>
      <c r="AG94" t="str">
        <f>""</f>
        <v/>
      </c>
      <c r="AH94" t="str">
        <f>""</f>
        <v/>
      </c>
      <c r="AI94" t="str">
        <f>""</f>
        <v/>
      </c>
      <c r="AJ94" t="str">
        <f>"0"</f>
        <v>0</v>
      </c>
      <c r="AK94" t="str">
        <f>"0"</f>
        <v>0</v>
      </c>
      <c r="AL94" t="str">
        <f>"0"</f>
        <v>0</v>
      </c>
      <c r="AM94" t="str">
        <f>""</f>
        <v/>
      </c>
      <c r="AN94" t="str">
        <f>""</f>
        <v/>
      </c>
      <c r="AO94" t="str">
        <f>""</f>
        <v/>
      </c>
      <c r="AP94" t="str">
        <f>""</f>
        <v/>
      </c>
      <c r="AQ94" t="str">
        <f>""</f>
        <v/>
      </c>
      <c r="AR94" t="str">
        <f>""</f>
        <v/>
      </c>
      <c r="AS94" t="str">
        <f>""</f>
        <v/>
      </c>
      <c r="AT94" t="str">
        <f>""</f>
        <v/>
      </c>
      <c r="AU94" t="str">
        <f>""</f>
        <v/>
      </c>
      <c r="AV94" t="str">
        <f>""</f>
        <v/>
      </c>
      <c r="AW94" t="str">
        <f>""</f>
        <v/>
      </c>
      <c r="AX94" t="str">
        <f>""</f>
        <v/>
      </c>
      <c r="AY94" t="str">
        <f>""</f>
        <v/>
      </c>
      <c r="AZ94" t="str">
        <f>""</f>
        <v/>
      </c>
      <c r="BA94" t="str">
        <f>""</f>
        <v/>
      </c>
      <c r="BB94" t="str">
        <f>"27/07/2018 09:25:51"</f>
        <v>27/07/2018 09:25:51</v>
      </c>
      <c r="BC94" t="str">
        <f>""</f>
        <v/>
      </c>
      <c r="BD94" t="str">
        <f>""</f>
        <v/>
      </c>
      <c r="BE94" t="str">
        <f>"804"</f>
        <v>804</v>
      </c>
      <c r="BF94" t="str">
        <f t="shared" si="39"/>
        <v>A</v>
      </c>
      <c r="BG94" t="str">
        <f>"0,00"</f>
        <v>0,00</v>
      </c>
      <c r="BH94" t="str">
        <f>"0,00"</f>
        <v>0,00</v>
      </c>
      <c r="BI94" t="str">
        <f t="shared" ref="BI94:BI157" si="53">"EVENTUAL"</f>
        <v>EVENTUAL</v>
      </c>
      <c r="BJ94" t="str">
        <f t="shared" si="41"/>
        <v>1</v>
      </c>
      <c r="BK94" t="str">
        <f t="shared" si="42"/>
        <v>Farmacia</v>
      </c>
      <c r="BL94" t="str">
        <f>""</f>
        <v/>
      </c>
      <c r="BM94" t="str">
        <f>"NÃO É VARILUX ESPECIALISTA"</f>
        <v>NÃO É VARILUX ESPECIALISTA</v>
      </c>
      <c r="BN94" t="str">
        <f>"NA"</f>
        <v>NA</v>
      </c>
      <c r="BO94" t="str">
        <f>"FOCO KODAK 2"</f>
        <v>FOCO KODAK 2</v>
      </c>
      <c r="BP94" t="str">
        <f>""</f>
        <v/>
      </c>
      <c r="BQ94" t="str">
        <f>""</f>
        <v/>
      </c>
      <c r="BR94" t="str">
        <f>"27/07/2018"</f>
        <v>27/07/2018</v>
      </c>
      <c r="BS94" t="str">
        <f>""</f>
        <v/>
      </c>
      <c r="BT94" t="str">
        <f>""</f>
        <v/>
      </c>
      <c r="BU94" t="str">
        <f>""</f>
        <v/>
      </c>
      <c r="BV94" t="str">
        <f>"6"</f>
        <v>6</v>
      </c>
      <c r="BW94" t="str">
        <f>"15"</f>
        <v>15</v>
      </c>
    </row>
    <row r="95" spans="1:75" x14ac:dyDescent="0.35">
      <c r="A95">
        <v>157539</v>
      </c>
      <c r="B95" t="str">
        <f t="shared" si="33"/>
        <v>A</v>
      </c>
      <c r="C95" t="str">
        <f t="shared" si="34"/>
        <v>80</v>
      </c>
      <c r="D95" t="str">
        <f t="shared" si="35"/>
        <v>11121001</v>
      </c>
      <c r="E95" t="str">
        <f t="shared" si="36"/>
        <v>121001</v>
      </c>
      <c r="F95" t="str">
        <f t="shared" si="37"/>
        <v>JENIFER SANTOS</v>
      </c>
      <c r="G95" t="str">
        <f>"23108423000125"</f>
        <v>23108423000125</v>
      </c>
      <c r="H95" t="str">
        <f>"0"</f>
        <v>0</v>
      </c>
      <c r="I95" t="str">
        <f t="shared" si="38"/>
        <v>CONTA OPTICA</v>
      </c>
      <c r="J95" t="str">
        <f>"DW OTICA LTDA ME"</f>
        <v>DW OTICA LTDA ME</v>
      </c>
      <c r="K95" t="str">
        <f>"FABRICA DE OCULOS  (2268)"</f>
        <v>FABRICA DE OCULOS  (2268)</v>
      </c>
      <c r="L95" t="str">
        <f>""</f>
        <v/>
      </c>
      <c r="M95" t="str">
        <f>""</f>
        <v/>
      </c>
      <c r="N95" t="str">
        <f>"FABRICADEOCULOSESCRITORIO@GMAIL.COM"</f>
        <v>FABRICADEOCULOSESCRITORIO@GMAIL.COM</v>
      </c>
      <c r="O95" t="str">
        <f>""</f>
        <v/>
      </c>
      <c r="P95" t="str">
        <f>"RUA PORTO ALEGRE - D"</f>
        <v>RUA PORTO ALEGRE - D</v>
      </c>
      <c r="Q95" t="str">
        <f>"391"</f>
        <v>391</v>
      </c>
      <c r="R95" t="str">
        <f>"LETRA D EDIF ZA"</f>
        <v>LETRA D EDIF ZA</v>
      </c>
      <c r="S95" t="str">
        <f>"1287"</f>
        <v>1287</v>
      </c>
      <c r="T95" t="str">
        <f>"89802131"</f>
        <v>89802131</v>
      </c>
      <c r="U95" t="str">
        <f t="shared" si="50"/>
        <v>CENTRO</v>
      </c>
      <c r="V95" t="str">
        <f>"CHAPECO"</f>
        <v>CHAPECO</v>
      </c>
      <c r="W95" t="str">
        <f t="shared" si="52"/>
        <v>SC</v>
      </c>
      <c r="X95" t="str">
        <f>"49"</f>
        <v>49</v>
      </c>
      <c r="Y95" t="str">
        <f>"33162121"</f>
        <v>33162121</v>
      </c>
      <c r="Z95" t="str">
        <f>""</f>
        <v/>
      </c>
      <c r="AA95" t="str">
        <f>""</f>
        <v/>
      </c>
      <c r="AB95" t="str">
        <f>""</f>
        <v/>
      </c>
      <c r="AC95" t="str">
        <f>""</f>
        <v/>
      </c>
      <c r="AD95" t="str">
        <f>""</f>
        <v/>
      </c>
      <c r="AE95" t="str">
        <f>""</f>
        <v/>
      </c>
      <c r="AF95" t="str">
        <f>""</f>
        <v/>
      </c>
      <c r="AG95" t="str">
        <f>""</f>
        <v/>
      </c>
      <c r="AH95" t="str">
        <f>""</f>
        <v/>
      </c>
      <c r="AI95" t="str">
        <f>""</f>
        <v/>
      </c>
      <c r="AJ95" t="str">
        <f>""</f>
        <v/>
      </c>
      <c r="AK95" t="str">
        <f>""</f>
        <v/>
      </c>
      <c r="AL95" t="str">
        <f>""</f>
        <v/>
      </c>
      <c r="AM95" t="str">
        <f>""</f>
        <v/>
      </c>
      <c r="AN95" t="str">
        <f>""</f>
        <v/>
      </c>
      <c r="AO95" t="str">
        <f>""</f>
        <v/>
      </c>
      <c r="AP95" t="str">
        <f>""</f>
        <v/>
      </c>
      <c r="AQ95" t="str">
        <f>""</f>
        <v/>
      </c>
      <c r="AR95" t="str">
        <f>""</f>
        <v/>
      </c>
      <c r="AS95" t="str">
        <f>""</f>
        <v/>
      </c>
      <c r="AT95" t="str">
        <f>""</f>
        <v/>
      </c>
      <c r="AU95" t="str">
        <f>""</f>
        <v/>
      </c>
      <c r="AV95" t="str">
        <f>""</f>
        <v/>
      </c>
      <c r="AW95" t="str">
        <f>""</f>
        <v/>
      </c>
      <c r="AX95" t="str">
        <f>""</f>
        <v/>
      </c>
      <c r="AY95" t="str">
        <f>""</f>
        <v/>
      </c>
      <c r="AZ95" t="str">
        <f>""</f>
        <v/>
      </c>
      <c r="BA95" t="str">
        <f>""</f>
        <v/>
      </c>
      <c r="BB95" t="str">
        <f>"11/07/2023 02:14:29"</f>
        <v>11/07/2023 02:14:29</v>
      </c>
      <c r="BC95" t="str">
        <f>""</f>
        <v/>
      </c>
      <c r="BD95" t="str">
        <f>""</f>
        <v/>
      </c>
      <c r="BE95" t="str">
        <f>""</f>
        <v/>
      </c>
      <c r="BF95" t="str">
        <f t="shared" si="39"/>
        <v>A</v>
      </c>
      <c r="BG95" t="str">
        <f>""</f>
        <v/>
      </c>
      <c r="BH95" t="str">
        <f>""</f>
        <v/>
      </c>
      <c r="BI95" t="str">
        <f t="shared" si="53"/>
        <v>EVENTUAL</v>
      </c>
      <c r="BJ95" t="str">
        <f t="shared" si="41"/>
        <v>1</v>
      </c>
      <c r="BK95" t="str">
        <f t="shared" si="42"/>
        <v>Farmacia</v>
      </c>
      <c r="BL95" t="str">
        <f>""</f>
        <v/>
      </c>
      <c r="BM95" t="str">
        <f>""</f>
        <v/>
      </c>
      <c r="BN95" t="str">
        <f>""</f>
        <v/>
      </c>
      <c r="BO95" t="str">
        <f>""</f>
        <v/>
      </c>
      <c r="BP95" t="str">
        <f>""</f>
        <v/>
      </c>
      <c r="BQ95" t="str">
        <f>""</f>
        <v/>
      </c>
      <c r="BR95" t="str">
        <f>"11/07/2023"</f>
        <v>11/07/2023</v>
      </c>
      <c r="BS95" t="str">
        <f>""</f>
        <v/>
      </c>
      <c r="BT95" t="str">
        <f>""</f>
        <v/>
      </c>
      <c r="BU95" t="str">
        <f>""</f>
        <v/>
      </c>
      <c r="BV95" t="str">
        <f>""</f>
        <v/>
      </c>
      <c r="BW95" t="str">
        <f>"24"</f>
        <v>24</v>
      </c>
    </row>
    <row r="96" spans="1:75" x14ac:dyDescent="0.35">
      <c r="A96">
        <v>138026</v>
      </c>
      <c r="B96" t="str">
        <f t="shared" si="33"/>
        <v>A</v>
      </c>
      <c r="C96" t="str">
        <f t="shared" si="34"/>
        <v>80</v>
      </c>
      <c r="D96" t="str">
        <f t="shared" si="35"/>
        <v>11121001</v>
      </c>
      <c r="E96" t="str">
        <f t="shared" si="36"/>
        <v>121001</v>
      </c>
      <c r="F96" t="str">
        <f t="shared" si="37"/>
        <v>JENIFER SANTOS</v>
      </c>
      <c r="G96" t="str">
        <f>"29113306000136"</f>
        <v>29113306000136</v>
      </c>
      <c r="H96" t="str">
        <f>"0"</f>
        <v>0</v>
      </c>
      <c r="I96" t="str">
        <f t="shared" si="38"/>
        <v>CONTA OPTICA</v>
      </c>
      <c r="J96" t="str">
        <f>"EDSON LEMOS DOS SANTOS - EPP"</f>
        <v>EDSON LEMOS DOS SANTOS - EPP</v>
      </c>
      <c r="K96" t="str">
        <f>"MARIELLA - A CASA DOS OCULOS (3847)"</f>
        <v>MARIELLA - A CASA DOS OCULOS (3847)</v>
      </c>
      <c r="L96" t="str">
        <f>""</f>
        <v/>
      </c>
      <c r="M96" t="str">
        <f>""</f>
        <v/>
      </c>
      <c r="N96" t="str">
        <f>"mariellaacasadosoculos@hotmail.com"</f>
        <v>mariellaacasadosoculos@hotmail.com</v>
      </c>
      <c r="O96" t="str">
        <f>""</f>
        <v/>
      </c>
      <c r="P96" t="str">
        <f>"RUA SALOMAO CARNEIRO ALMEIDA"</f>
        <v>RUA SALOMAO CARNEIRO ALMEIDA</v>
      </c>
      <c r="Q96" t="str">
        <f>"800"</f>
        <v>800</v>
      </c>
      <c r="R96" t="str">
        <f>""</f>
        <v/>
      </c>
      <c r="S96" t="str">
        <f>"1284"</f>
        <v>1284</v>
      </c>
      <c r="T96" t="str">
        <f>"89520000"</f>
        <v>89520000</v>
      </c>
      <c r="U96" t="str">
        <f>"NAO INFORMADO"</f>
        <v>NAO INFORMADO</v>
      </c>
      <c r="V96" t="str">
        <f>"CURITIBANOS"</f>
        <v>CURITIBANOS</v>
      </c>
      <c r="W96" t="str">
        <f t="shared" si="52"/>
        <v>SC</v>
      </c>
      <c r="X96" t="str">
        <f>"49"</f>
        <v>49</v>
      </c>
      <c r="Y96" t="str">
        <f>"32450404"</f>
        <v>32450404</v>
      </c>
      <c r="Z96" t="str">
        <f>""</f>
        <v/>
      </c>
      <c r="AA96" t="str">
        <f>""</f>
        <v/>
      </c>
      <c r="AB96" t="str">
        <f>""</f>
        <v/>
      </c>
      <c r="AC96" t="str">
        <f>""</f>
        <v/>
      </c>
      <c r="AD96" t="str">
        <f>""</f>
        <v/>
      </c>
      <c r="AE96" t="str">
        <f>""</f>
        <v/>
      </c>
      <c r="AF96" t="str">
        <f>""</f>
        <v/>
      </c>
      <c r="AG96" t="str">
        <f>"S"</f>
        <v>S</v>
      </c>
      <c r="AH96" t="str">
        <f>""</f>
        <v/>
      </c>
      <c r="AI96" t="str">
        <f>""</f>
        <v/>
      </c>
      <c r="AJ96" t="str">
        <f>""</f>
        <v/>
      </c>
      <c r="AK96" t="str">
        <f>""</f>
        <v/>
      </c>
      <c r="AL96" t="str">
        <f>""</f>
        <v/>
      </c>
      <c r="AM96" t="str">
        <f>""</f>
        <v/>
      </c>
      <c r="AN96" t="str">
        <f>""</f>
        <v/>
      </c>
      <c r="AO96" t="str">
        <f>""</f>
        <v/>
      </c>
      <c r="AP96" t="str">
        <f>""</f>
        <v/>
      </c>
      <c r="AQ96" t="str">
        <f>"N"</f>
        <v>N</v>
      </c>
      <c r="AR96" t="str">
        <f>"N"</f>
        <v>N</v>
      </c>
      <c r="AS96" t="str">
        <f>"N"</f>
        <v>N</v>
      </c>
      <c r="AT96" t="str">
        <f>"N"</f>
        <v>N</v>
      </c>
      <c r="AU96" t="str">
        <f>"N"</f>
        <v>N</v>
      </c>
      <c r="AV96" t="str">
        <f>""</f>
        <v/>
      </c>
      <c r="AW96" t="str">
        <f>""</f>
        <v/>
      </c>
      <c r="AX96" t="str">
        <f>""</f>
        <v/>
      </c>
      <c r="AY96" t="str">
        <f>""</f>
        <v/>
      </c>
      <c r="AZ96" t="str">
        <f>""</f>
        <v/>
      </c>
      <c r="BA96" t="str">
        <f>""</f>
        <v/>
      </c>
      <c r="BB96" t="str">
        <f>"01/07/2021 13:53:04"</f>
        <v>01/07/2021 13:53:04</v>
      </c>
      <c r="BC96" t="str">
        <f>"22/06/2022 11:23:32"</f>
        <v>22/06/2022 11:23:32</v>
      </c>
      <c r="BD96" t="str">
        <f>""</f>
        <v/>
      </c>
      <c r="BE96" t="str">
        <f>""</f>
        <v/>
      </c>
      <c r="BF96" t="str">
        <f t="shared" si="39"/>
        <v>A</v>
      </c>
      <c r="BG96" t="str">
        <f>""</f>
        <v/>
      </c>
      <c r="BH96" t="str">
        <f>"0,00"</f>
        <v>0,00</v>
      </c>
      <c r="BI96" t="str">
        <f t="shared" si="53"/>
        <v>EVENTUAL</v>
      </c>
      <c r="BJ96" t="str">
        <f t="shared" si="41"/>
        <v>1</v>
      </c>
      <c r="BK96" t="str">
        <f t="shared" si="42"/>
        <v>Farmacia</v>
      </c>
      <c r="BL96" t="str">
        <f>""</f>
        <v/>
      </c>
      <c r="BM96" t="str">
        <f>"VARILUX ESPECIALISTA SELECT"</f>
        <v>VARILUX ESPECIALISTA SELECT</v>
      </c>
      <c r="BN96" t="str">
        <f>"NA"</f>
        <v>NA</v>
      </c>
      <c r="BO96" t="str">
        <f>"FOCO VARILUX DIGITAL"</f>
        <v>FOCO VARILUX DIGITAL</v>
      </c>
      <c r="BP96" t="str">
        <f>""</f>
        <v/>
      </c>
      <c r="BQ96" t="str">
        <f>""</f>
        <v/>
      </c>
      <c r="BR96" t="str">
        <f>"01/07/2021"</f>
        <v>01/07/2021</v>
      </c>
      <c r="BS96" t="str">
        <f>"22/06/2022"</f>
        <v>22/06/2022</v>
      </c>
      <c r="BT96" t="str">
        <f>""</f>
        <v/>
      </c>
      <c r="BU96" t="str">
        <f>""</f>
        <v/>
      </c>
      <c r="BV96" t="str">
        <f>""</f>
        <v/>
      </c>
      <c r="BW96" t="str">
        <f>"15"</f>
        <v>15</v>
      </c>
    </row>
    <row r="97" spans="1:75" x14ac:dyDescent="0.35">
      <c r="A97">
        <v>156754</v>
      </c>
      <c r="B97" t="str">
        <f t="shared" si="33"/>
        <v>A</v>
      </c>
      <c r="C97" t="str">
        <f t="shared" si="34"/>
        <v>80</v>
      </c>
      <c r="D97" t="str">
        <f t="shared" si="35"/>
        <v>11121001</v>
      </c>
      <c r="E97" t="str">
        <f t="shared" si="36"/>
        <v>121001</v>
      </c>
      <c r="F97" t="str">
        <f t="shared" si="37"/>
        <v>JENIFER SANTOS</v>
      </c>
      <c r="G97" t="str">
        <f>"44553404000188"</f>
        <v>44553404000188</v>
      </c>
      <c r="H97" t="str">
        <f>"0"</f>
        <v>0</v>
      </c>
      <c r="I97" t="str">
        <f t="shared" si="38"/>
        <v>CONTA OPTICA</v>
      </c>
      <c r="J97" t="str">
        <f>"ELIANE LAZZARI"</f>
        <v>ELIANE LAZZARI</v>
      </c>
      <c r="K97" t="str">
        <f>"MERCADAO DOS OCULOS (4530)"</f>
        <v>MERCADAO DOS OCULOS (4530)</v>
      </c>
      <c r="L97" t="str">
        <f>""</f>
        <v/>
      </c>
      <c r="M97" t="str">
        <f>""</f>
        <v/>
      </c>
      <c r="N97" t="str">
        <f>"SC-JOINVILLE02@MERCADAODOSOCULOS.COM.BR"</f>
        <v>SC-JOINVILLE02@MERCADAODOSOCULOS.COM.BR</v>
      </c>
      <c r="O97" t="str">
        <f>""</f>
        <v/>
      </c>
      <c r="P97" t="str">
        <f>"RUA DO PRINCIPE"</f>
        <v>RUA DO PRINCIPE</v>
      </c>
      <c r="Q97" t="str">
        <f>"226"</f>
        <v>226</v>
      </c>
      <c r="R97" t="str">
        <f>"SALA 2"</f>
        <v>SALA 2</v>
      </c>
      <c r="S97" t="str">
        <f>"1277"</f>
        <v>1277</v>
      </c>
      <c r="T97" t="str">
        <f>"89201000"</f>
        <v>89201000</v>
      </c>
      <c r="U97" t="str">
        <f t="shared" ref="U97:U103" si="54">"CENTRO"</f>
        <v>CENTRO</v>
      </c>
      <c r="V97" t="str">
        <f>"JOINVILLE"</f>
        <v>JOINVILLE</v>
      </c>
      <c r="W97" t="str">
        <f t="shared" si="52"/>
        <v>SC</v>
      </c>
      <c r="X97" t="str">
        <f>"47"</f>
        <v>47</v>
      </c>
      <c r="Y97" t="str">
        <f>"32785398"</f>
        <v>32785398</v>
      </c>
      <c r="Z97" t="str">
        <f>""</f>
        <v/>
      </c>
      <c r="AA97" t="str">
        <f>""</f>
        <v/>
      </c>
      <c r="AB97" t="str">
        <f>""</f>
        <v/>
      </c>
      <c r="AC97" t="str">
        <f>""</f>
        <v/>
      </c>
      <c r="AD97" t="str">
        <f>""</f>
        <v/>
      </c>
      <c r="AE97" t="str">
        <f>""</f>
        <v/>
      </c>
      <c r="AF97" t="str">
        <f>""</f>
        <v/>
      </c>
      <c r="AG97" t="str">
        <f>""</f>
        <v/>
      </c>
      <c r="AH97" t="str">
        <f>""</f>
        <v/>
      </c>
      <c r="AI97" t="str">
        <f>""</f>
        <v/>
      </c>
      <c r="AJ97" t="str">
        <f>""</f>
        <v/>
      </c>
      <c r="AK97" t="str">
        <f>""</f>
        <v/>
      </c>
      <c r="AL97" t="str">
        <f>""</f>
        <v/>
      </c>
      <c r="AM97" t="str">
        <f>""</f>
        <v/>
      </c>
      <c r="AN97" t="str">
        <f>""</f>
        <v/>
      </c>
      <c r="AO97" t="str">
        <f>""</f>
        <v/>
      </c>
      <c r="AP97" t="str">
        <f>""</f>
        <v/>
      </c>
      <c r="AQ97" t="str">
        <f>""</f>
        <v/>
      </c>
      <c r="AR97" t="str">
        <f>""</f>
        <v/>
      </c>
      <c r="AS97" t="str">
        <f>""</f>
        <v/>
      </c>
      <c r="AT97" t="str">
        <f>""</f>
        <v/>
      </c>
      <c r="AU97" t="str">
        <f>""</f>
        <v/>
      </c>
      <c r="AV97" t="str">
        <f>""</f>
        <v/>
      </c>
      <c r="AW97" t="str">
        <f>""</f>
        <v/>
      </c>
      <c r="AX97" t="str">
        <f>""</f>
        <v/>
      </c>
      <c r="AY97" t="str">
        <f>""</f>
        <v/>
      </c>
      <c r="AZ97" t="str">
        <f>""</f>
        <v/>
      </c>
      <c r="BA97" t="str">
        <f>""</f>
        <v/>
      </c>
      <c r="BB97" t="str">
        <f>"06/07/2023 12:07:48"</f>
        <v>06/07/2023 12:07:48</v>
      </c>
      <c r="BC97" t="str">
        <f>""</f>
        <v/>
      </c>
      <c r="BD97" t="str">
        <f>""</f>
        <v/>
      </c>
      <c r="BE97" t="str">
        <f>""</f>
        <v/>
      </c>
      <c r="BF97" t="str">
        <f t="shared" si="39"/>
        <v>A</v>
      </c>
      <c r="BG97" t="str">
        <f>""</f>
        <v/>
      </c>
      <c r="BH97" t="str">
        <f>""</f>
        <v/>
      </c>
      <c r="BI97" t="str">
        <f t="shared" si="53"/>
        <v>EVENTUAL</v>
      </c>
      <c r="BJ97" t="str">
        <f t="shared" si="41"/>
        <v>1</v>
      </c>
      <c r="BK97" t="str">
        <f t="shared" si="42"/>
        <v>Farmacia</v>
      </c>
      <c r="BL97" t="str">
        <f>""</f>
        <v/>
      </c>
      <c r="BM97" t="str">
        <f>""</f>
        <v/>
      </c>
      <c r="BN97" t="str">
        <f>""</f>
        <v/>
      </c>
      <c r="BO97" t="str">
        <f>""</f>
        <v/>
      </c>
      <c r="BP97" t="str">
        <f>""</f>
        <v/>
      </c>
      <c r="BQ97" t="str">
        <f>""</f>
        <v/>
      </c>
      <c r="BR97" t="str">
        <f>"06/07/2023"</f>
        <v>06/07/2023</v>
      </c>
      <c r="BS97" t="str">
        <f>""</f>
        <v/>
      </c>
      <c r="BT97" t="str">
        <f>""</f>
        <v/>
      </c>
      <c r="BU97" t="str">
        <f>""</f>
        <v/>
      </c>
      <c r="BV97" t="str">
        <f>""</f>
        <v/>
      </c>
      <c r="BW97" t="str">
        <f>"114"</f>
        <v>114</v>
      </c>
    </row>
    <row r="98" spans="1:75" x14ac:dyDescent="0.35">
      <c r="A98">
        <v>144510</v>
      </c>
      <c r="B98" t="str">
        <f t="shared" si="33"/>
        <v>A</v>
      </c>
      <c r="C98" t="str">
        <f t="shared" si="34"/>
        <v>80</v>
      </c>
      <c r="D98" t="str">
        <f t="shared" si="35"/>
        <v>11121001</v>
      </c>
      <c r="E98" t="str">
        <f t="shared" si="36"/>
        <v>121001</v>
      </c>
      <c r="F98" t="str">
        <f t="shared" si="37"/>
        <v>JENIFER SANTOS</v>
      </c>
      <c r="G98" t="str">
        <f>"32806718000166"</f>
        <v>32806718000166</v>
      </c>
      <c r="H98" t="str">
        <f>""</f>
        <v/>
      </c>
      <c r="I98" t="str">
        <f t="shared" si="38"/>
        <v>CONTA OPTICA</v>
      </c>
      <c r="J98" t="str">
        <f>"ELTON GROSSKOPF 10477982980"</f>
        <v>ELTON GROSSKOPF 10477982980</v>
      </c>
      <c r="K98" t="str">
        <f>"OPTICA E RELOJOARIA VERSATIL (3983)"</f>
        <v>OPTICA E RELOJOARIA VERSATIL (3983)</v>
      </c>
      <c r="L98" t="str">
        <f>""</f>
        <v/>
      </c>
      <c r="M98" t="str">
        <f>""</f>
        <v/>
      </c>
      <c r="N98" t="str">
        <f>"oticaoutletkobrasol@gmail.com"</f>
        <v>oticaoutletkobrasol@gmail.com</v>
      </c>
      <c r="O98" t="str">
        <f>""</f>
        <v/>
      </c>
      <c r="P98" t="str">
        <f>"AVENIDA 22 DE JULHO"</f>
        <v>AVENIDA 22 DE JULHO</v>
      </c>
      <c r="Q98" t="str">
        <f>"1056"</f>
        <v>1056</v>
      </c>
      <c r="R98" t="str">
        <f>"SALA A"</f>
        <v>SALA A</v>
      </c>
      <c r="S98" t="str">
        <f>"1282"</f>
        <v>1282</v>
      </c>
      <c r="T98" t="str">
        <f>"89440000"</f>
        <v>89440000</v>
      </c>
      <c r="U98" t="str">
        <f t="shared" si="54"/>
        <v>CENTRO</v>
      </c>
      <c r="V98" t="str">
        <f>"IRINEÓPOLIS"</f>
        <v>IRINEÓPOLIS</v>
      </c>
      <c r="W98" t="str">
        <f t="shared" si="52"/>
        <v>SC</v>
      </c>
      <c r="X98" t="str">
        <f>"47"</f>
        <v>47</v>
      </c>
      <c r="Y98" t="str">
        <f>"36251436"</f>
        <v>36251436</v>
      </c>
      <c r="Z98" t="str">
        <f>""</f>
        <v/>
      </c>
      <c r="AA98" t="str">
        <f>""</f>
        <v/>
      </c>
      <c r="AB98" t="str">
        <f>""</f>
        <v/>
      </c>
      <c r="AC98" t="str">
        <f>""</f>
        <v/>
      </c>
      <c r="AD98" t="str">
        <f>""</f>
        <v/>
      </c>
      <c r="AE98" t="str">
        <f>""</f>
        <v/>
      </c>
      <c r="AF98" t="str">
        <f>""</f>
        <v/>
      </c>
      <c r="AG98" t="str">
        <f>""</f>
        <v/>
      </c>
      <c r="AH98" t="str">
        <f>""</f>
        <v/>
      </c>
      <c r="AI98" t="str">
        <f>""</f>
        <v/>
      </c>
      <c r="AJ98" t="str">
        <f>"0"</f>
        <v>0</v>
      </c>
      <c r="AK98" t="str">
        <f>"0"</f>
        <v>0</v>
      </c>
      <c r="AL98" t="str">
        <f>"0"</f>
        <v>0</v>
      </c>
      <c r="AM98" t="str">
        <f>""</f>
        <v/>
      </c>
      <c r="AN98" t="str">
        <f>""</f>
        <v/>
      </c>
      <c r="AO98" t="str">
        <f>""</f>
        <v/>
      </c>
      <c r="AP98" t="str">
        <f>""</f>
        <v/>
      </c>
      <c r="AQ98" t="str">
        <f>""</f>
        <v/>
      </c>
      <c r="AR98" t="str">
        <f>""</f>
        <v/>
      </c>
      <c r="AS98" t="str">
        <f>""</f>
        <v/>
      </c>
      <c r="AT98" t="str">
        <f>""</f>
        <v/>
      </c>
      <c r="AU98" t="str">
        <f>""</f>
        <v/>
      </c>
      <c r="AV98" t="str">
        <f>""</f>
        <v/>
      </c>
      <c r="AW98" t="str">
        <f>""</f>
        <v/>
      </c>
      <c r="AX98" t="str">
        <f>""</f>
        <v/>
      </c>
      <c r="AY98" t="str">
        <f>""</f>
        <v/>
      </c>
      <c r="AZ98" t="str">
        <f>""</f>
        <v/>
      </c>
      <c r="BA98" t="str">
        <f>""</f>
        <v/>
      </c>
      <c r="BB98" t="str">
        <f>""</f>
        <v/>
      </c>
      <c r="BC98" t="str">
        <f>""</f>
        <v/>
      </c>
      <c r="BD98" t="str">
        <f>""</f>
        <v/>
      </c>
      <c r="BE98" t="str">
        <f>""</f>
        <v/>
      </c>
      <c r="BF98" t="str">
        <f t="shared" si="39"/>
        <v>A</v>
      </c>
      <c r="BG98" t="str">
        <f>"0,00"</f>
        <v>0,00</v>
      </c>
      <c r="BH98" t="str">
        <f>"0,00"</f>
        <v>0,00</v>
      </c>
      <c r="BI98" t="str">
        <f t="shared" si="53"/>
        <v>EVENTUAL</v>
      </c>
      <c r="BJ98" t="str">
        <f t="shared" si="41"/>
        <v>1</v>
      </c>
      <c r="BK98" t="str">
        <f t="shared" si="42"/>
        <v>Farmacia</v>
      </c>
      <c r="BL98" t="str">
        <f>""</f>
        <v/>
      </c>
      <c r="BM98" t="str">
        <f>"NÃO É VARILUX ESPECIALISTA"</f>
        <v>NÃO É VARILUX ESPECIALISTA</v>
      </c>
      <c r="BN98" t="str">
        <f>"NA"</f>
        <v>NA</v>
      </c>
      <c r="BO98" t="str">
        <f>"OUTROS"</f>
        <v>OUTROS</v>
      </c>
      <c r="BP98" t="str">
        <f>""</f>
        <v/>
      </c>
      <c r="BQ98" t="str">
        <f>""</f>
        <v/>
      </c>
      <c r="BR98" t="str">
        <f>""</f>
        <v/>
      </c>
      <c r="BS98" t="str">
        <f>""</f>
        <v/>
      </c>
      <c r="BT98" t="str">
        <f>""</f>
        <v/>
      </c>
      <c r="BU98" t="str">
        <f>""</f>
        <v/>
      </c>
      <c r="BV98" t="str">
        <f>"9"</f>
        <v>9</v>
      </c>
      <c r="BW98" t="str">
        <f>"Não visitado"</f>
        <v>Não visitado</v>
      </c>
    </row>
    <row r="99" spans="1:75" x14ac:dyDescent="0.35">
      <c r="A99">
        <v>139590</v>
      </c>
      <c r="B99" t="str">
        <f t="shared" si="33"/>
        <v>A</v>
      </c>
      <c r="C99" t="str">
        <f t="shared" si="34"/>
        <v>80</v>
      </c>
      <c r="D99" t="str">
        <f t="shared" si="35"/>
        <v>11121001</v>
      </c>
      <c r="E99" t="str">
        <f t="shared" si="36"/>
        <v>121001</v>
      </c>
      <c r="F99" t="str">
        <f t="shared" si="37"/>
        <v>JENIFER SANTOS</v>
      </c>
      <c r="G99" t="str">
        <f>"41449421000181"</f>
        <v>41449421000181</v>
      </c>
      <c r="H99" t="str">
        <f>"0"</f>
        <v>0</v>
      </c>
      <c r="I99" t="str">
        <f t="shared" si="38"/>
        <v>CONTA OPTICA</v>
      </c>
      <c r="J99" t="str">
        <f>"EMANUELA CARVALHO"</f>
        <v>EMANUELA CARVALHO</v>
      </c>
      <c r="K99" t="str">
        <f>"OTICAS LELA CARVALHO (4374)"</f>
        <v>OTICAS LELA CARVALHO (4374)</v>
      </c>
      <c r="L99" t="str">
        <f>""</f>
        <v/>
      </c>
      <c r="M99" t="str">
        <f>""</f>
        <v/>
      </c>
      <c r="N99" t="str">
        <f>"LOJA02PRECISAO@GMAIL.COM"</f>
        <v>LOJA02PRECISAO@GMAIL.COM</v>
      </c>
      <c r="O99" t="str">
        <f>""</f>
        <v/>
      </c>
      <c r="P99" t="str">
        <f>"AVENIDA GETULIO DORNELES VARGAS"</f>
        <v>AVENIDA GETULIO DORNELES VARGAS</v>
      </c>
      <c r="Q99" t="str">
        <f>"241"</f>
        <v>241</v>
      </c>
      <c r="R99" t="str">
        <f>""</f>
        <v/>
      </c>
      <c r="S99" t="str">
        <f>""</f>
        <v/>
      </c>
      <c r="T99" t="str">
        <f>"89801002"</f>
        <v>89801002</v>
      </c>
      <c r="U99" t="str">
        <f t="shared" si="54"/>
        <v>CENTRO</v>
      </c>
      <c r="V99" t="str">
        <f>"CHAPECÓ"</f>
        <v>CHAPECÓ</v>
      </c>
      <c r="W99" t="str">
        <f t="shared" si="52"/>
        <v>SC</v>
      </c>
      <c r="X99" t="str">
        <f>"18"</f>
        <v>18</v>
      </c>
      <c r="Y99" t="str">
        <f>"999783164"</f>
        <v>999783164</v>
      </c>
      <c r="Z99" t="str">
        <f>""</f>
        <v/>
      </c>
      <c r="AA99" t="str">
        <f>""</f>
        <v/>
      </c>
      <c r="AB99" t="str">
        <f>""</f>
        <v/>
      </c>
      <c r="AC99" t="str">
        <f>""</f>
        <v/>
      </c>
      <c r="AD99" t="str">
        <f>""</f>
        <v/>
      </c>
      <c r="AE99" t="str">
        <f>""</f>
        <v/>
      </c>
      <c r="AF99" t="str">
        <f>""</f>
        <v/>
      </c>
      <c r="AG99" t="str">
        <f>"S"</f>
        <v>S</v>
      </c>
      <c r="AH99" t="str">
        <f>""</f>
        <v/>
      </c>
      <c r="AI99" t="str">
        <f>""</f>
        <v/>
      </c>
      <c r="AJ99" t="str">
        <f>""</f>
        <v/>
      </c>
      <c r="AK99" t="str">
        <f>""</f>
        <v/>
      </c>
      <c r="AL99" t="str">
        <f>""</f>
        <v/>
      </c>
      <c r="AM99" t="str">
        <f>""</f>
        <v/>
      </c>
      <c r="AN99" t="str">
        <f>""</f>
        <v/>
      </c>
      <c r="AO99" t="str">
        <f>""</f>
        <v/>
      </c>
      <c r="AP99" t="str">
        <f>""</f>
        <v/>
      </c>
      <c r="AQ99" t="str">
        <f>"N"</f>
        <v>N</v>
      </c>
      <c r="AR99" t="str">
        <f>"N"</f>
        <v>N</v>
      </c>
      <c r="AS99" t="str">
        <f>"N"</f>
        <v>N</v>
      </c>
      <c r="AT99" t="str">
        <f>"N"</f>
        <v>N</v>
      </c>
      <c r="AU99" t="str">
        <f>"N"</f>
        <v>N</v>
      </c>
      <c r="AV99" t="str">
        <f>""</f>
        <v/>
      </c>
      <c r="AW99" t="str">
        <f>""</f>
        <v/>
      </c>
      <c r="AX99" t="str">
        <f>""</f>
        <v/>
      </c>
      <c r="AY99" t="str">
        <f>""</f>
        <v/>
      </c>
      <c r="AZ99" t="str">
        <f>""</f>
        <v/>
      </c>
      <c r="BA99" t="str">
        <f>""</f>
        <v/>
      </c>
      <c r="BB99" t="str">
        <f>"09/08/2021 12:02:51"</f>
        <v>09/08/2021 12:02:51</v>
      </c>
      <c r="BC99" t="str">
        <f>"12/04/2022 11:43:20"</f>
        <v>12/04/2022 11:43:20</v>
      </c>
      <c r="BD99" t="str">
        <f>""</f>
        <v/>
      </c>
      <c r="BE99" t="str">
        <f>""</f>
        <v/>
      </c>
      <c r="BF99" t="str">
        <f t="shared" si="39"/>
        <v>A</v>
      </c>
      <c r="BG99" t="str">
        <f>""</f>
        <v/>
      </c>
      <c r="BH99" t="str">
        <f>"0,00"</f>
        <v>0,00</v>
      </c>
      <c r="BI99" t="str">
        <f t="shared" si="53"/>
        <v>EVENTUAL</v>
      </c>
      <c r="BJ99" t="str">
        <f t="shared" si="41"/>
        <v>1</v>
      </c>
      <c r="BK99" t="str">
        <f t="shared" si="42"/>
        <v>Farmacia</v>
      </c>
      <c r="BL99" t="str">
        <f>""</f>
        <v/>
      </c>
      <c r="BM99" t="str">
        <f>"NÃO É VARILUX ESPECIALISTA"</f>
        <v>NÃO É VARILUX ESPECIALISTA</v>
      </c>
      <c r="BN99" t="str">
        <f>"NA"</f>
        <v>NA</v>
      </c>
      <c r="BO99" t="str">
        <f>"FOCO VARILUX"</f>
        <v>FOCO VARILUX</v>
      </c>
      <c r="BP99" t="str">
        <f>""</f>
        <v/>
      </c>
      <c r="BQ99" t="str">
        <f>""</f>
        <v/>
      </c>
      <c r="BR99" t="str">
        <f>"09/08/2021"</f>
        <v>09/08/2021</v>
      </c>
      <c r="BS99" t="str">
        <f>"12/04/2022"</f>
        <v>12/04/2022</v>
      </c>
      <c r="BT99" t="str">
        <f>""</f>
        <v/>
      </c>
      <c r="BU99" t="str">
        <f>""</f>
        <v/>
      </c>
      <c r="BV99" t="str">
        <f>""</f>
        <v/>
      </c>
      <c r="BW99" t="str">
        <f>"8"</f>
        <v>8</v>
      </c>
    </row>
    <row r="100" spans="1:75" x14ac:dyDescent="0.35">
      <c r="A100">
        <v>120395</v>
      </c>
      <c r="B100" t="str">
        <f t="shared" si="33"/>
        <v>A</v>
      </c>
      <c r="C100" t="str">
        <f t="shared" si="34"/>
        <v>80</v>
      </c>
      <c r="D100" t="str">
        <f t="shared" si="35"/>
        <v>11121001</v>
      </c>
      <c r="E100" t="str">
        <f t="shared" si="36"/>
        <v>121001</v>
      </c>
      <c r="F100" t="str">
        <f t="shared" si="37"/>
        <v>JENIFER SANTOS</v>
      </c>
      <c r="G100" t="str">
        <f>"08363310000182"</f>
        <v>08363310000182</v>
      </c>
      <c r="H100" t="str">
        <f>"0"</f>
        <v>0</v>
      </c>
      <c r="I100" t="str">
        <f t="shared" si="38"/>
        <v>CONTA OPTICA</v>
      </c>
      <c r="J100" t="str">
        <f>"EMERSON CARDOSO MARQUES E CIA LTDA ME"</f>
        <v>EMERSON CARDOSO MARQUES E CIA LTDA ME</v>
      </c>
      <c r="K100" t="str">
        <f>"OTICA CACADORENSE (953)"</f>
        <v>OTICA CACADORENSE (953)</v>
      </c>
      <c r="L100" t="str">
        <f>""</f>
        <v/>
      </c>
      <c r="M100" t="str">
        <f>""</f>
        <v/>
      </c>
      <c r="N100" t="str">
        <f>"oticacacadorense@conection.com.br"</f>
        <v>oticacacadorense@conection.com.br</v>
      </c>
      <c r="O100" t="str">
        <f>""</f>
        <v/>
      </c>
      <c r="P100" t="str">
        <f>"AVENIDA BARAO DO RIO BRANCO"</f>
        <v>AVENIDA BARAO DO RIO BRANCO</v>
      </c>
      <c r="Q100" t="str">
        <f>"496"</f>
        <v>496</v>
      </c>
      <c r="R100" t="str">
        <f>"SALA 01"</f>
        <v>SALA 01</v>
      </c>
      <c r="S100" t="str">
        <f>"1284"</f>
        <v>1284</v>
      </c>
      <c r="T100" t="str">
        <f>"89500000"</f>
        <v>89500000</v>
      </c>
      <c r="U100" t="str">
        <f t="shared" si="54"/>
        <v>CENTRO</v>
      </c>
      <c r="V100" t="str">
        <f>"CACADOR"</f>
        <v>CACADOR</v>
      </c>
      <c r="W100" t="str">
        <f t="shared" si="52"/>
        <v>SC</v>
      </c>
      <c r="X100" t="str">
        <f>"49"</f>
        <v>49</v>
      </c>
      <c r="Y100" t="str">
        <f>"35639750"</f>
        <v>35639750</v>
      </c>
      <c r="Z100" t="str">
        <f>""</f>
        <v/>
      </c>
      <c r="AA100" t="str">
        <f>""</f>
        <v/>
      </c>
      <c r="AB100" t="str">
        <f>""</f>
        <v/>
      </c>
      <c r="AC100" t="str">
        <f>""</f>
        <v/>
      </c>
      <c r="AD100" t="str">
        <f>""</f>
        <v/>
      </c>
      <c r="AE100" t="str">
        <f>""</f>
        <v/>
      </c>
      <c r="AF100" t="str">
        <f>""</f>
        <v/>
      </c>
      <c r="AG100" t="str">
        <f>""</f>
        <v/>
      </c>
      <c r="AH100" t="str">
        <f>""</f>
        <v/>
      </c>
      <c r="AI100" t="str">
        <f>""</f>
        <v/>
      </c>
      <c r="AJ100" t="str">
        <f>"0"</f>
        <v>0</v>
      </c>
      <c r="AK100" t="str">
        <f>"0"</f>
        <v>0</v>
      </c>
      <c r="AL100" t="str">
        <f>"0"</f>
        <v>0</v>
      </c>
      <c r="AM100" t="str">
        <f>""</f>
        <v/>
      </c>
      <c r="AN100" t="str">
        <f>""</f>
        <v/>
      </c>
      <c r="AO100" t="str">
        <f>""</f>
        <v/>
      </c>
      <c r="AP100" t="str">
        <f>""</f>
        <v/>
      </c>
      <c r="AQ100" t="str">
        <f>""</f>
        <v/>
      </c>
      <c r="AR100" t="str">
        <f>""</f>
        <v/>
      </c>
      <c r="AS100" t="str">
        <f>""</f>
        <v/>
      </c>
      <c r="AT100" t="str">
        <f>""</f>
        <v/>
      </c>
      <c r="AU100" t="str">
        <f>""</f>
        <v/>
      </c>
      <c r="AV100" t="str">
        <f>""</f>
        <v/>
      </c>
      <c r="AW100" t="str">
        <f>""</f>
        <v/>
      </c>
      <c r="AX100" t="str">
        <f>""</f>
        <v/>
      </c>
      <c r="AY100" t="str">
        <f>""</f>
        <v/>
      </c>
      <c r="AZ100" t="str">
        <f>""</f>
        <v/>
      </c>
      <c r="BA100" t="str">
        <f>""</f>
        <v/>
      </c>
      <c r="BB100" t="str">
        <f>"18/09/2020 22:12:34"</f>
        <v>18/09/2020 22:12:34</v>
      </c>
      <c r="BC100" t="str">
        <f>""</f>
        <v/>
      </c>
      <c r="BD100" t="str">
        <f>""</f>
        <v/>
      </c>
      <c r="BE100" t="str">
        <f>""</f>
        <v/>
      </c>
      <c r="BF100" t="str">
        <f t="shared" si="39"/>
        <v>A</v>
      </c>
      <c r="BG100" t="str">
        <f>"0,00"</f>
        <v>0,00</v>
      </c>
      <c r="BH100" t="str">
        <f>"0,00"</f>
        <v>0,00</v>
      </c>
      <c r="BI100" t="str">
        <f t="shared" si="53"/>
        <v>EVENTUAL</v>
      </c>
      <c r="BJ100" t="str">
        <f t="shared" si="41"/>
        <v>1</v>
      </c>
      <c r="BK100" t="str">
        <f t="shared" si="42"/>
        <v>Farmacia</v>
      </c>
      <c r="BL100" t="str">
        <f>""</f>
        <v/>
      </c>
      <c r="BM100" t="str">
        <f>"VARILUX ESPECIALISTA SELECT"</f>
        <v>VARILUX ESPECIALISTA SELECT</v>
      </c>
      <c r="BN100" t="str">
        <f>"NA"</f>
        <v>NA</v>
      </c>
      <c r="BO100" t="str">
        <f>"FOCO VARILUX DIGITAL"</f>
        <v>FOCO VARILUX DIGITAL</v>
      </c>
      <c r="BP100" t="str">
        <f>""</f>
        <v/>
      </c>
      <c r="BQ100" t="str">
        <f>""</f>
        <v/>
      </c>
      <c r="BR100" t="str">
        <f>"18/09/2020"</f>
        <v>18/09/2020</v>
      </c>
      <c r="BS100" t="str">
        <f>""</f>
        <v/>
      </c>
      <c r="BT100" t="str">
        <f>""</f>
        <v/>
      </c>
      <c r="BU100" t="str">
        <f>""</f>
        <v/>
      </c>
      <c r="BV100" t="str">
        <f>"3"</f>
        <v>3</v>
      </c>
      <c r="BW100" t="str">
        <f>"Não visitado"</f>
        <v>Não visitado</v>
      </c>
    </row>
    <row r="101" spans="1:75" x14ac:dyDescent="0.35">
      <c r="A101">
        <v>156770</v>
      </c>
      <c r="B101" t="str">
        <f t="shared" si="33"/>
        <v>A</v>
      </c>
      <c r="C101" t="str">
        <f t="shared" si="34"/>
        <v>80</v>
      </c>
      <c r="D101" t="str">
        <f t="shared" si="35"/>
        <v>11121001</v>
      </c>
      <c r="E101" t="str">
        <f t="shared" si="36"/>
        <v>121001</v>
      </c>
      <c r="F101" t="str">
        <f t="shared" si="37"/>
        <v>JENIFER SANTOS</v>
      </c>
      <c r="G101" t="str">
        <f>"23662140000120"</f>
        <v>23662140000120</v>
      </c>
      <c r="H101" t="str">
        <f>"0"</f>
        <v>0</v>
      </c>
      <c r="I101" t="str">
        <f t="shared" si="38"/>
        <v>CONTA OPTICA</v>
      </c>
      <c r="J101" t="str">
        <f>"EMMY KARINE PYDD"</f>
        <v>EMMY KARINE PYDD</v>
      </c>
      <c r="K101" t="str">
        <f>"BELLA OPTICA (2292)"</f>
        <v>BELLA OPTICA (2292)</v>
      </c>
      <c r="L101" t="str">
        <f>""</f>
        <v/>
      </c>
      <c r="M101" t="str">
        <f>""</f>
        <v/>
      </c>
      <c r="N101" t="str">
        <f>"CONTATO@BELLAOPTICA.COM.BR"</f>
        <v>CONTATO@BELLAOPTICA.COM.BR</v>
      </c>
      <c r="O101" t="str">
        <f>""</f>
        <v/>
      </c>
      <c r="P101" t="str">
        <f>"RUA REINOLDO RAU"</f>
        <v>RUA REINOLDO RAU</v>
      </c>
      <c r="Q101" t="str">
        <f>"632"</f>
        <v>632</v>
      </c>
      <c r="R101" t="str">
        <f>"SALA 3"</f>
        <v>SALA 3</v>
      </c>
      <c r="S101" t="str">
        <f>"1280"</f>
        <v>1280</v>
      </c>
      <c r="T101" t="str">
        <f>"89251600"</f>
        <v>89251600</v>
      </c>
      <c r="U101" t="str">
        <f t="shared" si="54"/>
        <v>CENTRO</v>
      </c>
      <c r="V101" t="str">
        <f>"JARAGUA DO SUL"</f>
        <v>JARAGUA DO SUL</v>
      </c>
      <c r="W101" t="str">
        <f t="shared" si="52"/>
        <v>SC</v>
      </c>
      <c r="X101" t="str">
        <f>"47"</f>
        <v>47</v>
      </c>
      <c r="Y101" t="str">
        <f>"30841423"</f>
        <v>30841423</v>
      </c>
      <c r="Z101" t="str">
        <f>""</f>
        <v/>
      </c>
      <c r="AA101" t="str">
        <f>""</f>
        <v/>
      </c>
      <c r="AB101" t="str">
        <f>""</f>
        <v/>
      </c>
      <c r="AC101" t="str">
        <f>""</f>
        <v/>
      </c>
      <c r="AD101" t="str">
        <f>""</f>
        <v/>
      </c>
      <c r="AE101" t="str">
        <f>""</f>
        <v/>
      </c>
      <c r="AF101" t="str">
        <f>""</f>
        <v/>
      </c>
      <c r="AG101" t="str">
        <f>""</f>
        <v/>
      </c>
      <c r="AH101" t="str">
        <f>""</f>
        <v/>
      </c>
      <c r="AI101" t="str">
        <f>""</f>
        <v/>
      </c>
      <c r="AJ101" t="str">
        <f>""</f>
        <v/>
      </c>
      <c r="AK101" t="str">
        <f>""</f>
        <v/>
      </c>
      <c r="AL101" t="str">
        <f>""</f>
        <v/>
      </c>
      <c r="AM101" t="str">
        <f>""</f>
        <v/>
      </c>
      <c r="AN101" t="str">
        <f>""</f>
        <v/>
      </c>
      <c r="AO101" t="str">
        <f>""</f>
        <v/>
      </c>
      <c r="AP101" t="str">
        <f>""</f>
        <v/>
      </c>
      <c r="AQ101" t="str">
        <f>""</f>
        <v/>
      </c>
      <c r="AR101" t="str">
        <f>""</f>
        <v/>
      </c>
      <c r="AS101" t="str">
        <f>""</f>
        <v/>
      </c>
      <c r="AT101" t="str">
        <f>""</f>
        <v/>
      </c>
      <c r="AU101" t="str">
        <f>""</f>
        <v/>
      </c>
      <c r="AV101" t="str">
        <f>""</f>
        <v/>
      </c>
      <c r="AW101" t="str">
        <f>""</f>
        <v/>
      </c>
      <c r="AX101" t="str">
        <f>""</f>
        <v/>
      </c>
      <c r="AY101" t="str">
        <f>""</f>
        <v/>
      </c>
      <c r="AZ101" t="str">
        <f>""</f>
        <v/>
      </c>
      <c r="BA101" t="str">
        <f>""</f>
        <v/>
      </c>
      <c r="BB101" t="str">
        <f>"06/07/2023 12:07:48"</f>
        <v>06/07/2023 12:07:48</v>
      </c>
      <c r="BC101" t="str">
        <f>""</f>
        <v/>
      </c>
      <c r="BD101" t="str">
        <f>""</f>
        <v/>
      </c>
      <c r="BE101" t="str">
        <f>""</f>
        <v/>
      </c>
      <c r="BF101" t="str">
        <f t="shared" si="39"/>
        <v>A</v>
      </c>
      <c r="BG101" t="str">
        <f>""</f>
        <v/>
      </c>
      <c r="BH101" t="str">
        <f>""</f>
        <v/>
      </c>
      <c r="BI101" t="str">
        <f t="shared" si="53"/>
        <v>EVENTUAL</v>
      </c>
      <c r="BJ101" t="str">
        <f t="shared" si="41"/>
        <v>1</v>
      </c>
      <c r="BK101" t="str">
        <f t="shared" si="42"/>
        <v>Farmacia</v>
      </c>
      <c r="BL101" t="str">
        <f>""</f>
        <v/>
      </c>
      <c r="BM101" t="str">
        <f>""</f>
        <v/>
      </c>
      <c r="BN101" t="str">
        <f>""</f>
        <v/>
      </c>
      <c r="BO101" t="str">
        <f>""</f>
        <v/>
      </c>
      <c r="BP101" t="str">
        <f>""</f>
        <v/>
      </c>
      <c r="BQ101" t="str">
        <f>""</f>
        <v/>
      </c>
      <c r="BR101" t="str">
        <f>"06/07/2023"</f>
        <v>06/07/2023</v>
      </c>
      <c r="BS101" t="str">
        <f>""</f>
        <v/>
      </c>
      <c r="BT101" t="str">
        <f>""</f>
        <v/>
      </c>
      <c r="BU101" t="str">
        <f>""</f>
        <v/>
      </c>
      <c r="BV101" t="str">
        <f>""</f>
        <v/>
      </c>
      <c r="BW101" t="str">
        <f>"Não visitado"</f>
        <v>Não visitado</v>
      </c>
    </row>
    <row r="102" spans="1:75" x14ac:dyDescent="0.35">
      <c r="A102">
        <v>156803</v>
      </c>
      <c r="B102" t="str">
        <f t="shared" si="33"/>
        <v>A</v>
      </c>
      <c r="C102" t="str">
        <f t="shared" si="34"/>
        <v>80</v>
      </c>
      <c r="D102" t="str">
        <f t="shared" si="35"/>
        <v>11121001</v>
      </c>
      <c r="E102" t="str">
        <f t="shared" si="36"/>
        <v>121001</v>
      </c>
      <c r="F102" t="str">
        <f t="shared" si="37"/>
        <v>JENIFER SANTOS</v>
      </c>
      <c r="G102" t="str">
        <f>"79304358000168"</f>
        <v>79304358000168</v>
      </c>
      <c r="H102" t="str">
        <f>"0"</f>
        <v>0</v>
      </c>
      <c r="I102" t="str">
        <f t="shared" si="38"/>
        <v>CONTA OPTICA</v>
      </c>
      <c r="J102" t="str">
        <f>"EMPREENDIMENTOS SUISSA LTDA ME"</f>
        <v>EMPREENDIMENTOS SUISSA LTDA ME</v>
      </c>
      <c r="K102" t="str">
        <f>"RELOJOARIA SUISSA (716)"</f>
        <v>RELOJOARIA SUISSA (716)</v>
      </c>
      <c r="L102" t="str">
        <f>""</f>
        <v/>
      </c>
      <c r="M102" t="str">
        <f>""</f>
        <v/>
      </c>
      <c r="N102" t="str">
        <f>"e.r.j.o.suissa@gmail.com"</f>
        <v>e.r.j.o.suissa@gmail.com</v>
      </c>
      <c r="O102" t="str">
        <f>""</f>
        <v/>
      </c>
      <c r="P102" t="str">
        <f>"RUA VIDAL RAMOS"</f>
        <v>RUA VIDAL RAMOS</v>
      </c>
      <c r="Q102" t="str">
        <f>"436"</f>
        <v>436</v>
      </c>
      <c r="R102" t="str">
        <f>""</f>
        <v/>
      </c>
      <c r="S102" t="str">
        <f>"1283"</f>
        <v>1283</v>
      </c>
      <c r="T102" t="str">
        <f>"89460000"</f>
        <v>89460000</v>
      </c>
      <c r="U102" t="str">
        <f t="shared" si="54"/>
        <v>CENTRO</v>
      </c>
      <c r="V102" t="str">
        <f>"CANOINHAS"</f>
        <v>CANOINHAS</v>
      </c>
      <c r="W102" t="str">
        <f t="shared" si="52"/>
        <v>SC</v>
      </c>
      <c r="X102" t="str">
        <f>""</f>
        <v/>
      </c>
      <c r="Y102" t="str">
        <f>""</f>
        <v/>
      </c>
      <c r="Z102" t="str">
        <f>""</f>
        <v/>
      </c>
      <c r="AA102" t="str">
        <f>""</f>
        <v/>
      </c>
      <c r="AB102" t="str">
        <f>""</f>
        <v/>
      </c>
      <c r="AC102" t="str">
        <f>""</f>
        <v/>
      </c>
      <c r="AD102" t="str">
        <f>""</f>
        <v/>
      </c>
      <c r="AE102" t="str">
        <f>""</f>
        <v/>
      </c>
      <c r="AF102" t="str">
        <f>""</f>
        <v/>
      </c>
      <c r="AG102" t="str">
        <f>""</f>
        <v/>
      </c>
      <c r="AH102" t="str">
        <f>""</f>
        <v/>
      </c>
      <c r="AI102" t="str">
        <f>""</f>
        <v/>
      </c>
      <c r="AJ102" t="str">
        <f>""</f>
        <v/>
      </c>
      <c r="AK102" t="str">
        <f>""</f>
        <v/>
      </c>
      <c r="AL102" t="str">
        <f>""</f>
        <v/>
      </c>
      <c r="AM102" t="str">
        <f>""</f>
        <v/>
      </c>
      <c r="AN102" t="str">
        <f>""</f>
        <v/>
      </c>
      <c r="AO102" t="str">
        <f>""</f>
        <v/>
      </c>
      <c r="AP102" t="str">
        <f>""</f>
        <v/>
      </c>
      <c r="AQ102" t="str">
        <f>""</f>
        <v/>
      </c>
      <c r="AR102" t="str">
        <f>""</f>
        <v/>
      </c>
      <c r="AS102" t="str">
        <f>""</f>
        <v/>
      </c>
      <c r="AT102" t="str">
        <f>""</f>
        <v/>
      </c>
      <c r="AU102" t="str">
        <f>""</f>
        <v/>
      </c>
      <c r="AV102" t="str">
        <f>""</f>
        <v/>
      </c>
      <c r="AW102" t="str">
        <f>""</f>
        <v/>
      </c>
      <c r="AX102" t="str">
        <f>""</f>
        <v/>
      </c>
      <c r="AY102" t="str">
        <f>""</f>
        <v/>
      </c>
      <c r="AZ102" t="str">
        <f>""</f>
        <v/>
      </c>
      <c r="BA102" t="str">
        <f>""</f>
        <v/>
      </c>
      <c r="BB102" t="str">
        <f>"06/07/2023 12:07:48"</f>
        <v>06/07/2023 12:07:48</v>
      </c>
      <c r="BC102" t="str">
        <f>""</f>
        <v/>
      </c>
      <c r="BD102" t="str">
        <f>""</f>
        <v/>
      </c>
      <c r="BE102" t="str">
        <f>""</f>
        <v/>
      </c>
      <c r="BF102" t="str">
        <f t="shared" si="39"/>
        <v>A</v>
      </c>
      <c r="BG102" t="str">
        <f>""</f>
        <v/>
      </c>
      <c r="BH102" t="str">
        <f>""</f>
        <v/>
      </c>
      <c r="BI102" t="str">
        <f t="shared" si="53"/>
        <v>EVENTUAL</v>
      </c>
      <c r="BJ102" t="str">
        <f t="shared" si="41"/>
        <v>1</v>
      </c>
      <c r="BK102" t="str">
        <f t="shared" si="42"/>
        <v>Farmacia</v>
      </c>
      <c r="BL102" t="str">
        <f>""</f>
        <v/>
      </c>
      <c r="BM102" t="str">
        <f>""</f>
        <v/>
      </c>
      <c r="BN102" t="str">
        <f>""</f>
        <v/>
      </c>
      <c r="BO102" t="str">
        <f>""</f>
        <v/>
      </c>
      <c r="BP102" t="str">
        <f>""</f>
        <v/>
      </c>
      <c r="BQ102" t="str">
        <f>""</f>
        <v/>
      </c>
      <c r="BR102" t="str">
        <f>"06/07/2023"</f>
        <v>06/07/2023</v>
      </c>
      <c r="BS102" t="str">
        <f>""</f>
        <v/>
      </c>
      <c r="BT102" t="str">
        <f>""</f>
        <v/>
      </c>
      <c r="BU102" t="str">
        <f>""</f>
        <v/>
      </c>
      <c r="BV102" t="str">
        <f>""</f>
        <v/>
      </c>
      <c r="BW102" t="str">
        <f>"Não visitado"</f>
        <v>Não visitado</v>
      </c>
    </row>
    <row r="103" spans="1:75" x14ac:dyDescent="0.35">
      <c r="A103">
        <v>157527</v>
      </c>
      <c r="B103" t="str">
        <f t="shared" si="33"/>
        <v>A</v>
      </c>
      <c r="C103" t="str">
        <f t="shared" si="34"/>
        <v>80</v>
      </c>
      <c r="D103" t="str">
        <f t="shared" si="35"/>
        <v>11121001</v>
      </c>
      <c r="E103" t="str">
        <f t="shared" si="36"/>
        <v>121001</v>
      </c>
      <c r="F103" t="str">
        <f t="shared" si="37"/>
        <v>JENIFER SANTOS</v>
      </c>
      <c r="G103" t="str">
        <f>"15639577000549"</f>
        <v>15639577000549</v>
      </c>
      <c r="H103" t="str">
        <f>"0"</f>
        <v>0</v>
      </c>
      <c r="I103" t="str">
        <f t="shared" si="38"/>
        <v>CONTA OPTICA</v>
      </c>
      <c r="J103" t="str">
        <f>"ERNANI LUIZ RENOSTO"</f>
        <v>ERNANI LUIZ RENOSTO</v>
      </c>
      <c r="K103" t="str">
        <f>"NOVA OTICA (3906)"</f>
        <v>NOVA OTICA (3906)</v>
      </c>
      <c r="L103" t="str">
        <f>""</f>
        <v/>
      </c>
      <c r="M103" t="str">
        <f>""</f>
        <v/>
      </c>
      <c r="N103" t="str">
        <f>"ERNANI.OTICA@HOTMAIL.COM"</f>
        <v>ERNANI.OTICA@HOTMAIL.COM</v>
      </c>
      <c r="O103" t="str">
        <f>""</f>
        <v/>
      </c>
      <c r="P103" t="str">
        <f>"RUA MAJOR SATIRO BITTENCOURT"</f>
        <v>RUA MAJOR SATIRO BITTENCOURT</v>
      </c>
      <c r="Q103" t="str">
        <f>"13"</f>
        <v>13</v>
      </c>
      <c r="R103" t="str">
        <f>""</f>
        <v/>
      </c>
      <c r="S103" t="str">
        <f>""</f>
        <v/>
      </c>
      <c r="T103" t="str">
        <f>"89613000"</f>
        <v>89613000</v>
      </c>
      <c r="U103" t="str">
        <f t="shared" si="54"/>
        <v>CENTRO</v>
      </c>
      <c r="V103" t="str">
        <f>"ERVAL VELHO"</f>
        <v>ERVAL VELHO</v>
      </c>
      <c r="W103" t="str">
        <f t="shared" si="52"/>
        <v>SC</v>
      </c>
      <c r="X103" t="str">
        <f>"49"</f>
        <v>49</v>
      </c>
      <c r="Y103" t="str">
        <f>"35422000"</f>
        <v>35422000</v>
      </c>
      <c r="Z103" t="str">
        <f>""</f>
        <v/>
      </c>
      <c r="AA103" t="str">
        <f>""</f>
        <v/>
      </c>
      <c r="AB103" t="str">
        <f>""</f>
        <v/>
      </c>
      <c r="AC103" t="str">
        <f>""</f>
        <v/>
      </c>
      <c r="AD103" t="str">
        <f>""</f>
        <v/>
      </c>
      <c r="AE103" t="str">
        <f>""</f>
        <v/>
      </c>
      <c r="AF103" t="str">
        <f>""</f>
        <v/>
      </c>
      <c r="AG103" t="str">
        <f>""</f>
        <v/>
      </c>
      <c r="AH103" t="str">
        <f>""</f>
        <v/>
      </c>
      <c r="AI103" t="str">
        <f>""</f>
        <v/>
      </c>
      <c r="AJ103" t="str">
        <f>""</f>
        <v/>
      </c>
      <c r="AK103" t="str">
        <f>""</f>
        <v/>
      </c>
      <c r="AL103" t="str">
        <f>""</f>
        <v/>
      </c>
      <c r="AM103" t="str">
        <f>""</f>
        <v/>
      </c>
      <c r="AN103" t="str">
        <f>""</f>
        <v/>
      </c>
      <c r="AO103" t="str">
        <f>""</f>
        <v/>
      </c>
      <c r="AP103" t="str">
        <f>""</f>
        <v/>
      </c>
      <c r="AQ103" t="str">
        <f>""</f>
        <v/>
      </c>
      <c r="AR103" t="str">
        <f>""</f>
        <v/>
      </c>
      <c r="AS103" t="str">
        <f>""</f>
        <v/>
      </c>
      <c r="AT103" t="str">
        <f>""</f>
        <v/>
      </c>
      <c r="AU103" t="str">
        <f>""</f>
        <v/>
      </c>
      <c r="AV103" t="str">
        <f>""</f>
        <v/>
      </c>
      <c r="AW103" t="str">
        <f>""</f>
        <v/>
      </c>
      <c r="AX103" t="str">
        <f>""</f>
        <v/>
      </c>
      <c r="AY103" t="str">
        <f>""</f>
        <v/>
      </c>
      <c r="AZ103" t="str">
        <f>""</f>
        <v/>
      </c>
      <c r="BA103" t="str">
        <f>""</f>
        <v/>
      </c>
      <c r="BB103" t="str">
        <f>"11/07/2023 02:14:29"</f>
        <v>11/07/2023 02:14:29</v>
      </c>
      <c r="BC103" t="str">
        <f>""</f>
        <v/>
      </c>
      <c r="BD103" t="str">
        <f>""</f>
        <v/>
      </c>
      <c r="BE103" t="str">
        <f>""</f>
        <v/>
      </c>
      <c r="BF103" t="str">
        <f t="shared" si="39"/>
        <v>A</v>
      </c>
      <c r="BG103" t="str">
        <f>""</f>
        <v/>
      </c>
      <c r="BH103" t="str">
        <f>""</f>
        <v/>
      </c>
      <c r="BI103" t="str">
        <f t="shared" si="53"/>
        <v>EVENTUAL</v>
      </c>
      <c r="BJ103" t="str">
        <f t="shared" si="41"/>
        <v>1</v>
      </c>
      <c r="BK103" t="str">
        <f t="shared" si="42"/>
        <v>Farmacia</v>
      </c>
      <c r="BL103" t="str">
        <f>""</f>
        <v/>
      </c>
      <c r="BM103" t="str">
        <f>""</f>
        <v/>
      </c>
      <c r="BN103" t="str">
        <f>""</f>
        <v/>
      </c>
      <c r="BO103" t="str">
        <f>""</f>
        <v/>
      </c>
      <c r="BP103" t="str">
        <f>""</f>
        <v/>
      </c>
      <c r="BQ103" t="str">
        <f>""</f>
        <v/>
      </c>
      <c r="BR103" t="str">
        <f>"11/07/2023"</f>
        <v>11/07/2023</v>
      </c>
      <c r="BS103" t="str">
        <f>""</f>
        <v/>
      </c>
      <c r="BT103" t="str">
        <f>""</f>
        <v/>
      </c>
      <c r="BU103" t="str">
        <f>""</f>
        <v/>
      </c>
      <c r="BV103" t="str">
        <f>""</f>
        <v/>
      </c>
      <c r="BW103" t="str">
        <f>"Não visitado"</f>
        <v>Não visitado</v>
      </c>
    </row>
    <row r="104" spans="1:75" x14ac:dyDescent="0.35">
      <c r="A104">
        <v>144639</v>
      </c>
      <c r="B104" t="str">
        <f t="shared" si="33"/>
        <v>A</v>
      </c>
      <c r="C104" t="str">
        <f t="shared" si="34"/>
        <v>80</v>
      </c>
      <c r="D104" t="str">
        <f t="shared" si="35"/>
        <v>11121001</v>
      </c>
      <c r="E104" t="str">
        <f t="shared" si="36"/>
        <v>121001</v>
      </c>
      <c r="F104" t="str">
        <f t="shared" si="37"/>
        <v>JENIFER SANTOS</v>
      </c>
      <c r="G104" t="str">
        <f>"33932889000102"</f>
        <v>33932889000102</v>
      </c>
      <c r="H104" t="str">
        <f>""</f>
        <v/>
      </c>
      <c r="I104" t="str">
        <f t="shared" si="38"/>
        <v>CONTA OPTICA</v>
      </c>
      <c r="J104" t="str">
        <f>"EVA MARIA GRAZIK DOS SANTOS 78696577949"</f>
        <v>EVA MARIA GRAZIK DOS SANTOS 78696577949</v>
      </c>
      <c r="K104" t="str">
        <f>"OTICA E RELOJOARIA PRINCESA (4134)"</f>
        <v>OTICA E RELOJOARIA PRINCESA (4134)</v>
      </c>
      <c r="L104" t="str">
        <f>""</f>
        <v/>
      </c>
      <c r="M104" t="str">
        <f>""</f>
        <v/>
      </c>
      <c r="N104" t="str">
        <f>"evamariagrazik@gmail.com"</f>
        <v>evamariagrazik@gmail.com</v>
      </c>
      <c r="O104" t="str">
        <f>""</f>
        <v/>
      </c>
      <c r="P104" t="str">
        <f>"RUA IRIRIU"</f>
        <v>RUA IRIRIU</v>
      </c>
      <c r="Q104" t="str">
        <f>"1862"</f>
        <v>1862</v>
      </c>
      <c r="R104" t="str">
        <f>"SALA 02"</f>
        <v>SALA 02</v>
      </c>
      <c r="S104" t="str">
        <f>""</f>
        <v/>
      </c>
      <c r="T104" t="str">
        <f>"89227004"</f>
        <v>89227004</v>
      </c>
      <c r="U104" t="str">
        <f>"IRIRIU"</f>
        <v>IRIRIU</v>
      </c>
      <c r="V104" t="str">
        <f>"JOINVILLE"</f>
        <v>JOINVILLE</v>
      </c>
      <c r="W104" t="str">
        <f t="shared" si="52"/>
        <v>SC</v>
      </c>
      <c r="X104" t="str">
        <f>"47"</f>
        <v>47</v>
      </c>
      <c r="Y104" t="str">
        <f>"30280256"</f>
        <v>30280256</v>
      </c>
      <c r="Z104" t="str">
        <f>""</f>
        <v/>
      </c>
      <c r="AA104" t="str">
        <f>""</f>
        <v/>
      </c>
      <c r="AB104" t="str">
        <f>""</f>
        <v/>
      </c>
      <c r="AC104" t="str">
        <f>""</f>
        <v/>
      </c>
      <c r="AD104" t="str">
        <f>""</f>
        <v/>
      </c>
      <c r="AE104" t="str">
        <f>""</f>
        <v/>
      </c>
      <c r="AF104" t="str">
        <f>""</f>
        <v/>
      </c>
      <c r="AG104" t="str">
        <f>""</f>
        <v/>
      </c>
      <c r="AH104" t="str">
        <f>""</f>
        <v/>
      </c>
      <c r="AI104" t="str">
        <f>""</f>
        <v/>
      </c>
      <c r="AJ104" t="str">
        <f>"0"</f>
        <v>0</v>
      </c>
      <c r="AK104" t="str">
        <f>"0"</f>
        <v>0</v>
      </c>
      <c r="AL104" t="str">
        <f>"0"</f>
        <v>0</v>
      </c>
      <c r="AM104" t="str">
        <f>""</f>
        <v/>
      </c>
      <c r="AN104" t="str">
        <f>""</f>
        <v/>
      </c>
      <c r="AO104" t="str">
        <f>""</f>
        <v/>
      </c>
      <c r="AP104" t="str">
        <f>""</f>
        <v/>
      </c>
      <c r="AQ104" t="str">
        <f>""</f>
        <v/>
      </c>
      <c r="AR104" t="str">
        <f>""</f>
        <v/>
      </c>
      <c r="AS104" t="str">
        <f>""</f>
        <v/>
      </c>
      <c r="AT104" t="str">
        <f>""</f>
        <v/>
      </c>
      <c r="AU104" t="str">
        <f>""</f>
        <v/>
      </c>
      <c r="AV104" t="str">
        <f>""</f>
        <v/>
      </c>
      <c r="AW104" t="str">
        <f>""</f>
        <v/>
      </c>
      <c r="AX104" t="str">
        <f>""</f>
        <v/>
      </c>
      <c r="AY104" t="str">
        <f>""</f>
        <v/>
      </c>
      <c r="AZ104" t="str">
        <f>""</f>
        <v/>
      </c>
      <c r="BA104" t="str">
        <f>""</f>
        <v/>
      </c>
      <c r="BB104" t="str">
        <f>""</f>
        <v/>
      </c>
      <c r="BC104" t="str">
        <f>""</f>
        <v/>
      </c>
      <c r="BD104" t="str">
        <f>""</f>
        <v/>
      </c>
      <c r="BE104" t="str">
        <f>""</f>
        <v/>
      </c>
      <c r="BF104" t="str">
        <f t="shared" si="39"/>
        <v>A</v>
      </c>
      <c r="BG104" t="str">
        <f>"0,00"</f>
        <v>0,00</v>
      </c>
      <c r="BH104" t="str">
        <f>"0,00"</f>
        <v>0,00</v>
      </c>
      <c r="BI104" t="str">
        <f t="shared" si="53"/>
        <v>EVENTUAL</v>
      </c>
      <c r="BJ104" t="str">
        <f t="shared" si="41"/>
        <v>1</v>
      </c>
      <c r="BK104" t="str">
        <f t="shared" si="42"/>
        <v>Farmacia</v>
      </c>
      <c r="BL104" t="str">
        <f>""</f>
        <v/>
      </c>
      <c r="BM104" t="str">
        <f>"NÃO É VARILUX ESPECIALISTA"</f>
        <v>NÃO É VARILUX ESPECIALISTA</v>
      </c>
      <c r="BN104" t="str">
        <f>"NA"</f>
        <v>NA</v>
      </c>
      <c r="BO104" t="str">
        <f>"OUTROS"</f>
        <v>OUTROS</v>
      </c>
      <c r="BP104" t="str">
        <f>""</f>
        <v/>
      </c>
      <c r="BQ104" t="str">
        <f>""</f>
        <v/>
      </c>
      <c r="BR104" t="str">
        <f>""</f>
        <v/>
      </c>
      <c r="BS104" t="str">
        <f>""</f>
        <v/>
      </c>
      <c r="BT104" t="str">
        <f>""</f>
        <v/>
      </c>
      <c r="BU104" t="str">
        <f>""</f>
        <v/>
      </c>
      <c r="BV104" t="str">
        <f>"9"</f>
        <v>9</v>
      </c>
      <c r="BW104" t="str">
        <f>"30"</f>
        <v>30</v>
      </c>
    </row>
    <row r="105" spans="1:75" x14ac:dyDescent="0.35">
      <c r="A105">
        <v>156745</v>
      </c>
      <c r="B105" t="str">
        <f t="shared" si="33"/>
        <v>A</v>
      </c>
      <c r="C105" t="str">
        <f t="shared" si="34"/>
        <v>80</v>
      </c>
      <c r="D105" t="str">
        <f t="shared" si="35"/>
        <v>11121001</v>
      </c>
      <c r="E105" t="str">
        <f t="shared" si="36"/>
        <v>121001</v>
      </c>
      <c r="F105" t="str">
        <f t="shared" si="37"/>
        <v>JENIFER SANTOS</v>
      </c>
      <c r="G105" t="str">
        <f>"48422801000171"</f>
        <v>48422801000171</v>
      </c>
      <c r="H105" t="str">
        <f>"0"</f>
        <v>0</v>
      </c>
      <c r="I105" t="str">
        <f t="shared" si="38"/>
        <v>CONTA OPTICA</v>
      </c>
      <c r="J105" t="str">
        <f>"EYES COMERCIO DE PRODUTOS OPTICOS LTDA"</f>
        <v>EYES COMERCIO DE PRODUTOS OPTICOS LTDA</v>
      </c>
      <c r="K105" t="str">
        <f>"OTICAS + VISAO (4648)"</f>
        <v>OTICAS + VISAO (4648)</v>
      </c>
      <c r="L105" t="str">
        <f>""</f>
        <v/>
      </c>
      <c r="M105" t="str">
        <f>""</f>
        <v/>
      </c>
      <c r="N105" t="str">
        <f>"LIMA-MARCO@HOTMAIL.COM"</f>
        <v>LIMA-MARCO@HOTMAIL.COM</v>
      </c>
      <c r="O105" t="str">
        <f>""</f>
        <v/>
      </c>
      <c r="P105" t="str">
        <f>"RUA CELESTINO ESTACIO DA MAIA"</f>
        <v>RUA CELESTINO ESTACIO DA MAIA</v>
      </c>
      <c r="Q105" t="str">
        <f>"114"</f>
        <v>114</v>
      </c>
      <c r="R105" t="str">
        <f>"SALA 08"</f>
        <v>SALA 08</v>
      </c>
      <c r="S105" t="str">
        <f>"1280"</f>
        <v>1280</v>
      </c>
      <c r="T105" t="str">
        <f>"89245000"</f>
        <v>89245000</v>
      </c>
      <c r="U105" t="str">
        <f>"VOLTA REDONDA"</f>
        <v>VOLTA REDONDA</v>
      </c>
      <c r="V105" t="str">
        <f>"ARAQUARI"</f>
        <v>ARAQUARI</v>
      </c>
      <c r="W105" t="str">
        <f t="shared" si="52"/>
        <v>SC</v>
      </c>
      <c r="X105" t="str">
        <f>"47"</f>
        <v>47</v>
      </c>
      <c r="Y105" t="str">
        <f>"999727543"</f>
        <v>999727543</v>
      </c>
      <c r="Z105" t="str">
        <f>""</f>
        <v/>
      </c>
      <c r="AA105" t="str">
        <f>""</f>
        <v/>
      </c>
      <c r="AB105" t="str">
        <f>""</f>
        <v/>
      </c>
      <c r="AC105" t="str">
        <f>""</f>
        <v/>
      </c>
      <c r="AD105" t="str">
        <f>""</f>
        <v/>
      </c>
      <c r="AE105" t="str">
        <f>""</f>
        <v/>
      </c>
      <c r="AF105" t="str">
        <f>""</f>
        <v/>
      </c>
      <c r="AG105" t="str">
        <f>""</f>
        <v/>
      </c>
      <c r="AH105" t="str">
        <f>""</f>
        <v/>
      </c>
      <c r="AI105" t="str">
        <f>""</f>
        <v/>
      </c>
      <c r="AJ105" t="str">
        <f>""</f>
        <v/>
      </c>
      <c r="AK105" t="str">
        <f>""</f>
        <v/>
      </c>
      <c r="AL105" t="str">
        <f>""</f>
        <v/>
      </c>
      <c r="AM105" t="str">
        <f>""</f>
        <v/>
      </c>
      <c r="AN105" t="str">
        <f>""</f>
        <v/>
      </c>
      <c r="AO105" t="str">
        <f>""</f>
        <v/>
      </c>
      <c r="AP105" t="str">
        <f>""</f>
        <v/>
      </c>
      <c r="AQ105" t="str">
        <f>""</f>
        <v/>
      </c>
      <c r="AR105" t="str">
        <f>""</f>
        <v/>
      </c>
      <c r="AS105" t="str">
        <f>""</f>
        <v/>
      </c>
      <c r="AT105" t="str">
        <f>""</f>
        <v/>
      </c>
      <c r="AU105" t="str">
        <f>""</f>
        <v/>
      </c>
      <c r="AV105" t="str">
        <f>""</f>
        <v/>
      </c>
      <c r="AW105" t="str">
        <f>""</f>
        <v/>
      </c>
      <c r="AX105" t="str">
        <f>""</f>
        <v/>
      </c>
      <c r="AY105" t="str">
        <f>""</f>
        <v/>
      </c>
      <c r="AZ105" t="str">
        <f>""</f>
        <v/>
      </c>
      <c r="BA105" t="str">
        <f>""</f>
        <v/>
      </c>
      <c r="BB105" t="str">
        <f>"06/07/2023 12:07:48"</f>
        <v>06/07/2023 12:07:48</v>
      </c>
      <c r="BC105" t="str">
        <f>""</f>
        <v/>
      </c>
      <c r="BD105" t="str">
        <f>""</f>
        <v/>
      </c>
      <c r="BE105" t="str">
        <f>""</f>
        <v/>
      </c>
      <c r="BF105" t="str">
        <f t="shared" si="39"/>
        <v>A</v>
      </c>
      <c r="BG105" t="str">
        <f>""</f>
        <v/>
      </c>
      <c r="BH105" t="str">
        <f>""</f>
        <v/>
      </c>
      <c r="BI105" t="str">
        <f t="shared" si="53"/>
        <v>EVENTUAL</v>
      </c>
      <c r="BJ105" t="str">
        <f t="shared" si="41"/>
        <v>1</v>
      </c>
      <c r="BK105" t="str">
        <f t="shared" si="42"/>
        <v>Farmacia</v>
      </c>
      <c r="BL105" t="str">
        <f>""</f>
        <v/>
      </c>
      <c r="BM105" t="str">
        <f>""</f>
        <v/>
      </c>
      <c r="BN105" t="str">
        <f>""</f>
        <v/>
      </c>
      <c r="BO105" t="str">
        <f>""</f>
        <v/>
      </c>
      <c r="BP105" t="str">
        <f>""</f>
        <v/>
      </c>
      <c r="BQ105" t="str">
        <f>""</f>
        <v/>
      </c>
      <c r="BR105" t="str">
        <f>"06/07/2023"</f>
        <v>06/07/2023</v>
      </c>
      <c r="BS105" t="str">
        <f>""</f>
        <v/>
      </c>
      <c r="BT105" t="str">
        <f>""</f>
        <v/>
      </c>
      <c r="BU105" t="str">
        <f>""</f>
        <v/>
      </c>
      <c r="BV105" t="str">
        <f>""</f>
        <v/>
      </c>
      <c r="BW105" t="str">
        <f>"Não visitado"</f>
        <v>Não visitado</v>
      </c>
    </row>
    <row r="106" spans="1:75" x14ac:dyDescent="0.35">
      <c r="A106">
        <v>138035</v>
      </c>
      <c r="B106" t="str">
        <f t="shared" si="33"/>
        <v>A</v>
      </c>
      <c r="C106" t="str">
        <f t="shared" si="34"/>
        <v>80</v>
      </c>
      <c r="D106" t="str">
        <f t="shared" si="35"/>
        <v>11121001</v>
      </c>
      <c r="E106" t="str">
        <f t="shared" si="36"/>
        <v>121001</v>
      </c>
      <c r="F106" t="str">
        <f t="shared" si="37"/>
        <v>JENIFER SANTOS</v>
      </c>
      <c r="G106" t="str">
        <f>"35471615000180"</f>
        <v>35471615000180</v>
      </c>
      <c r="H106" t="str">
        <f>"0"</f>
        <v>0</v>
      </c>
      <c r="I106" t="str">
        <f t="shared" si="38"/>
        <v>CONTA OPTICA</v>
      </c>
      <c r="J106" t="str">
        <f>"FABIANA DE OLIVEIRA RAMOS"</f>
        <v>FABIANA DE OLIVEIRA RAMOS</v>
      </c>
      <c r="K106" t="str">
        <f>"OTICA GRAU (4106)"</f>
        <v>OTICA GRAU (4106)</v>
      </c>
      <c r="L106" t="str">
        <f>""</f>
        <v/>
      </c>
      <c r="M106" t="str">
        <f>""</f>
        <v/>
      </c>
      <c r="N106" t="str">
        <f>"sistema.marcel@gmail.com"</f>
        <v>sistema.marcel@gmail.com</v>
      </c>
      <c r="O106" t="str">
        <f>""</f>
        <v/>
      </c>
      <c r="P106" t="str">
        <f>"RUA RUA GETULIO VARGAS"</f>
        <v>RUA RUA GETULIO VARGAS</v>
      </c>
      <c r="Q106" t="str">
        <f>"85"</f>
        <v>85</v>
      </c>
      <c r="R106" t="str">
        <f>""</f>
        <v/>
      </c>
      <c r="S106" t="str">
        <f>""</f>
        <v/>
      </c>
      <c r="T106" t="str">
        <f>"89700079"</f>
        <v>89700079</v>
      </c>
      <c r="U106" t="str">
        <f>"CENTRO"</f>
        <v>CENTRO</v>
      </c>
      <c r="V106" t="str">
        <f>"CONCORDIA"</f>
        <v>CONCORDIA</v>
      </c>
      <c r="W106" t="str">
        <f t="shared" si="52"/>
        <v>SC</v>
      </c>
      <c r="X106" t="str">
        <f>"49"</f>
        <v>49</v>
      </c>
      <c r="Y106" t="str">
        <f>"34259596"</f>
        <v>34259596</v>
      </c>
      <c r="Z106" t="str">
        <f>""</f>
        <v/>
      </c>
      <c r="AA106" t="str">
        <f>""</f>
        <v/>
      </c>
      <c r="AB106" t="str">
        <f>""</f>
        <v/>
      </c>
      <c r="AC106" t="str">
        <f>""</f>
        <v/>
      </c>
      <c r="AD106" t="str">
        <f>""</f>
        <v/>
      </c>
      <c r="AE106" t="str">
        <f>""</f>
        <v/>
      </c>
      <c r="AF106" t="str">
        <f>""</f>
        <v/>
      </c>
      <c r="AG106" t="str">
        <f>""</f>
        <v/>
      </c>
      <c r="AH106" t="str">
        <f>""</f>
        <v/>
      </c>
      <c r="AI106" t="str">
        <f>""</f>
        <v/>
      </c>
      <c r="AJ106" t="str">
        <f>""</f>
        <v/>
      </c>
      <c r="AK106" t="str">
        <f>""</f>
        <v/>
      </c>
      <c r="AL106" t="str">
        <f>""</f>
        <v/>
      </c>
      <c r="AM106" t="str">
        <f>""</f>
        <v/>
      </c>
      <c r="AN106" t="str">
        <f>""</f>
        <v/>
      </c>
      <c r="AO106" t="str">
        <f>""</f>
        <v/>
      </c>
      <c r="AP106" t="str">
        <f>""</f>
        <v/>
      </c>
      <c r="AQ106" t="str">
        <f>""</f>
        <v/>
      </c>
      <c r="AR106" t="str">
        <f>""</f>
        <v/>
      </c>
      <c r="AS106" t="str">
        <f>""</f>
        <v/>
      </c>
      <c r="AT106" t="str">
        <f>""</f>
        <v/>
      </c>
      <c r="AU106" t="str">
        <f>""</f>
        <v/>
      </c>
      <c r="AV106" t="str">
        <f>""</f>
        <v/>
      </c>
      <c r="AW106" t="str">
        <f>""</f>
        <v/>
      </c>
      <c r="AX106" t="str">
        <f>""</f>
        <v/>
      </c>
      <c r="AY106" t="str">
        <f>""</f>
        <v/>
      </c>
      <c r="AZ106" t="str">
        <f>""</f>
        <v/>
      </c>
      <c r="BA106" t="str">
        <f>""</f>
        <v/>
      </c>
      <c r="BB106" t="str">
        <f>"01/07/2021 13:53:04"</f>
        <v>01/07/2021 13:53:04</v>
      </c>
      <c r="BC106" t="str">
        <f>""</f>
        <v/>
      </c>
      <c r="BD106" t="str">
        <f>""</f>
        <v/>
      </c>
      <c r="BE106" t="str">
        <f>""</f>
        <v/>
      </c>
      <c r="BF106" t="str">
        <f t="shared" si="39"/>
        <v>A</v>
      </c>
      <c r="BG106" t="str">
        <f>""</f>
        <v/>
      </c>
      <c r="BH106" t="str">
        <f>""</f>
        <v/>
      </c>
      <c r="BI106" t="str">
        <f t="shared" si="53"/>
        <v>EVENTUAL</v>
      </c>
      <c r="BJ106" t="str">
        <f t="shared" si="41"/>
        <v>1</v>
      </c>
      <c r="BK106" t="str">
        <f t="shared" si="42"/>
        <v>Farmacia</v>
      </c>
      <c r="BL106" t="str">
        <f>""</f>
        <v/>
      </c>
      <c r="BM106" t="str">
        <f>"NÃO É VARILUX ESPECIALISTA"</f>
        <v>NÃO É VARILUX ESPECIALISTA</v>
      </c>
      <c r="BN106" t="str">
        <f>"NA"</f>
        <v>NA</v>
      </c>
      <c r="BO106" t="str">
        <f>"FOCO KODAK 2"</f>
        <v>FOCO KODAK 2</v>
      </c>
      <c r="BP106" t="str">
        <f>""</f>
        <v/>
      </c>
      <c r="BQ106" t="str">
        <f>""</f>
        <v/>
      </c>
      <c r="BR106" t="str">
        <f>"01/07/2021"</f>
        <v>01/07/2021</v>
      </c>
      <c r="BS106" t="str">
        <f>""</f>
        <v/>
      </c>
      <c r="BT106" t="str">
        <f>""</f>
        <v/>
      </c>
      <c r="BU106" t="str">
        <f>""</f>
        <v/>
      </c>
      <c r="BV106" t="str">
        <f>""</f>
        <v/>
      </c>
      <c r="BW106" t="str">
        <f>"Não visitado"</f>
        <v>Não visitado</v>
      </c>
    </row>
    <row r="107" spans="1:75" x14ac:dyDescent="0.35">
      <c r="A107">
        <v>144443</v>
      </c>
      <c r="B107" t="str">
        <f t="shared" si="33"/>
        <v>A</v>
      </c>
      <c r="C107" t="str">
        <f t="shared" si="34"/>
        <v>80</v>
      </c>
      <c r="D107" t="str">
        <f t="shared" si="35"/>
        <v>11121001</v>
      </c>
      <c r="E107" t="str">
        <f t="shared" si="36"/>
        <v>121001</v>
      </c>
      <c r="F107" t="str">
        <f t="shared" si="37"/>
        <v>JENIFER SANTOS</v>
      </c>
      <c r="G107" t="str">
        <f>"15751596000139"</f>
        <v>15751596000139</v>
      </c>
      <c r="H107" t="str">
        <f>""</f>
        <v/>
      </c>
      <c r="I107" t="str">
        <f t="shared" si="38"/>
        <v>CONTA OPTICA</v>
      </c>
      <c r="J107" t="str">
        <f>"FABIO M3 RELOJOARIA E OTICA LTDA ME"</f>
        <v>FABIO M3 RELOJOARIA E OTICA LTDA ME</v>
      </c>
      <c r="K107" t="str">
        <f>"OTICA PUPILA (1915)"</f>
        <v>OTICA PUPILA (1915)</v>
      </c>
      <c r="L107" t="str">
        <f>""</f>
        <v/>
      </c>
      <c r="M107" t="str">
        <f>""</f>
        <v/>
      </c>
      <c r="N107" t="str">
        <f>"oticapupilaltda@hotmail.com"</f>
        <v>oticapupilaltda@hotmail.com</v>
      </c>
      <c r="O107" t="str">
        <f>""</f>
        <v/>
      </c>
      <c r="P107" t="str">
        <f>"RUA OLAVO BILAC"</f>
        <v>RUA OLAVO BILAC</v>
      </c>
      <c r="Q107" t="str">
        <f>"85"</f>
        <v>85</v>
      </c>
      <c r="R107" t="str">
        <f>"SALA 02"</f>
        <v>SALA 02</v>
      </c>
      <c r="S107" t="str">
        <f>"1279"</f>
        <v>1279</v>
      </c>
      <c r="T107" t="str">
        <f>"89239100"</f>
        <v>89239100</v>
      </c>
      <c r="U107" t="str">
        <f>"PIRABEIRABA"</f>
        <v>PIRABEIRABA</v>
      </c>
      <c r="V107" t="str">
        <f>"JOINVILLE"</f>
        <v>JOINVILLE</v>
      </c>
      <c r="W107" t="str">
        <f t="shared" si="52"/>
        <v>SC</v>
      </c>
      <c r="X107" t="str">
        <f>"47"</f>
        <v>47</v>
      </c>
      <c r="Y107" t="str">
        <f>"34240491"</f>
        <v>34240491</v>
      </c>
      <c r="Z107" t="str">
        <f>""</f>
        <v/>
      </c>
      <c r="AA107" t="str">
        <f>""</f>
        <v/>
      </c>
      <c r="AB107" t="str">
        <f>""</f>
        <v/>
      </c>
      <c r="AC107" t="str">
        <f>""</f>
        <v/>
      </c>
      <c r="AD107" t="str">
        <f>""</f>
        <v/>
      </c>
      <c r="AE107" t="str">
        <f>""</f>
        <v/>
      </c>
      <c r="AF107" t="str">
        <f>""</f>
        <v/>
      </c>
      <c r="AG107" t="str">
        <f>""</f>
        <v/>
      </c>
      <c r="AH107" t="str">
        <f>""</f>
        <v/>
      </c>
      <c r="AI107" t="str">
        <f>""</f>
        <v/>
      </c>
      <c r="AJ107" t="str">
        <f t="shared" ref="AJ107:AL109" si="55">"0"</f>
        <v>0</v>
      </c>
      <c r="AK107" t="str">
        <f t="shared" si="55"/>
        <v>0</v>
      </c>
      <c r="AL107" t="str">
        <f t="shared" si="55"/>
        <v>0</v>
      </c>
      <c r="AM107" t="str">
        <f>""</f>
        <v/>
      </c>
      <c r="AN107" t="str">
        <f>""</f>
        <v/>
      </c>
      <c r="AO107" t="str">
        <f>""</f>
        <v/>
      </c>
      <c r="AP107" t="str">
        <f>""</f>
        <v/>
      </c>
      <c r="AQ107" t="str">
        <f>""</f>
        <v/>
      </c>
      <c r="AR107" t="str">
        <f>""</f>
        <v/>
      </c>
      <c r="AS107" t="str">
        <f>""</f>
        <v/>
      </c>
      <c r="AT107" t="str">
        <f>""</f>
        <v/>
      </c>
      <c r="AU107" t="str">
        <f>""</f>
        <v/>
      </c>
      <c r="AV107" t="str">
        <f>""</f>
        <v/>
      </c>
      <c r="AW107" t="str">
        <f>""</f>
        <v/>
      </c>
      <c r="AX107" t="str">
        <f>""</f>
        <v/>
      </c>
      <c r="AY107" t="str">
        <f>""</f>
        <v/>
      </c>
      <c r="AZ107" t="str">
        <f>""</f>
        <v/>
      </c>
      <c r="BA107" t="str">
        <f>""</f>
        <v/>
      </c>
      <c r="BB107" t="str">
        <f>""</f>
        <v/>
      </c>
      <c r="BC107" t="str">
        <f>""</f>
        <v/>
      </c>
      <c r="BD107" t="str">
        <f>""</f>
        <v/>
      </c>
      <c r="BE107" t="str">
        <f>""</f>
        <v/>
      </c>
      <c r="BF107" t="str">
        <f t="shared" si="39"/>
        <v>A</v>
      </c>
      <c r="BG107" t="str">
        <f t="shared" ref="BG107:BH109" si="56">"0,00"</f>
        <v>0,00</v>
      </c>
      <c r="BH107" t="str">
        <f t="shared" si="56"/>
        <v>0,00</v>
      </c>
      <c r="BI107" t="str">
        <f t="shared" si="53"/>
        <v>EVENTUAL</v>
      </c>
      <c r="BJ107" t="str">
        <f t="shared" si="41"/>
        <v>1</v>
      </c>
      <c r="BK107" t="str">
        <f t="shared" si="42"/>
        <v>Farmacia</v>
      </c>
      <c r="BL107" t="str">
        <f>""</f>
        <v/>
      </c>
      <c r="BM107" t="str">
        <f>"NÃO É VARILUX ESPECIALISTA"</f>
        <v>NÃO É VARILUX ESPECIALISTA</v>
      </c>
      <c r="BN107" t="str">
        <f>"EL360"</f>
        <v>EL360</v>
      </c>
      <c r="BO107" t="str">
        <f>"FOCO VARILUX"</f>
        <v>FOCO VARILUX</v>
      </c>
      <c r="BP107" t="str">
        <f>""</f>
        <v/>
      </c>
      <c r="BQ107" t="str">
        <f>""</f>
        <v/>
      </c>
      <c r="BR107" t="str">
        <f>""</f>
        <v/>
      </c>
      <c r="BS107" t="str">
        <f>""</f>
        <v/>
      </c>
      <c r="BT107" t="str">
        <f>""</f>
        <v/>
      </c>
      <c r="BU107" t="str">
        <f>""</f>
        <v/>
      </c>
      <c r="BV107" t="str">
        <f>"5"</f>
        <v>5</v>
      </c>
      <c r="BW107" t="str">
        <f>"67"</f>
        <v>67</v>
      </c>
    </row>
    <row r="108" spans="1:75" x14ac:dyDescent="0.35">
      <c r="A108">
        <v>127553</v>
      </c>
      <c r="B108" t="str">
        <f t="shared" si="33"/>
        <v>A</v>
      </c>
      <c r="C108" t="str">
        <f t="shared" si="34"/>
        <v>80</v>
      </c>
      <c r="D108" t="str">
        <f t="shared" si="35"/>
        <v>11121001</v>
      </c>
      <c r="E108" t="str">
        <f t="shared" si="36"/>
        <v>121001</v>
      </c>
      <c r="F108" t="str">
        <f t="shared" si="37"/>
        <v>JENIFER SANTOS</v>
      </c>
      <c r="G108" t="str">
        <f>"02328020000111"</f>
        <v>02328020000111</v>
      </c>
      <c r="H108" t="str">
        <f t="shared" ref="H108:H116" si="57">"0"</f>
        <v>0</v>
      </c>
      <c r="I108" t="str">
        <f t="shared" si="38"/>
        <v>CONTA OPTICA</v>
      </c>
      <c r="J108" t="str">
        <f>"FACIAL COMERCIO DE PRODUTOS OPTICOS EIRELI  EPP"</f>
        <v>FACIAL COMERCIO DE PRODUTOS OPTICOS EIRELI  EPP</v>
      </c>
      <c r="K108" t="str">
        <f>"FACIAL MARIN.LOB (702)"</f>
        <v>FACIAL MARIN.LOB (702)</v>
      </c>
      <c r="L108" t="str">
        <f>""</f>
        <v/>
      </c>
      <c r="M108" t="str">
        <f>""</f>
        <v/>
      </c>
      <c r="N108" t="str">
        <f>"marinho@oticafacial.com.br"</f>
        <v>marinho@oticafacial.com.br</v>
      </c>
      <c r="O108" t="str">
        <f>""</f>
        <v/>
      </c>
      <c r="P108" t="str">
        <f>"RUA DOUTOR MARINHO LOBO"</f>
        <v>RUA DOUTOR MARINHO LOBO</v>
      </c>
      <c r="Q108" t="str">
        <f>"80"</f>
        <v>80</v>
      </c>
      <c r="R108" t="str">
        <f>"SALA 01"</f>
        <v>SALA 01</v>
      </c>
      <c r="S108" t="str">
        <f>"1277"</f>
        <v>1277</v>
      </c>
      <c r="T108" t="str">
        <f>"89201020"</f>
        <v>89201020</v>
      </c>
      <c r="U108" t="str">
        <f>"CENTRO"</f>
        <v>CENTRO</v>
      </c>
      <c r="V108" t="str">
        <f>"JOINVILLE"</f>
        <v>JOINVILLE</v>
      </c>
      <c r="W108" t="str">
        <f t="shared" si="52"/>
        <v>SC</v>
      </c>
      <c r="X108" t="str">
        <f>"47"</f>
        <v>47</v>
      </c>
      <c r="Y108" t="str">
        <f>"34227079"</f>
        <v>34227079</v>
      </c>
      <c r="Z108" t="str">
        <f>""</f>
        <v/>
      </c>
      <c r="AA108" t="str">
        <f>""</f>
        <v/>
      </c>
      <c r="AB108" t="str">
        <f>""</f>
        <v/>
      </c>
      <c r="AC108" t="str">
        <f>""</f>
        <v/>
      </c>
      <c r="AD108" t="str">
        <f>""</f>
        <v/>
      </c>
      <c r="AE108" t="str">
        <f>""</f>
        <v/>
      </c>
      <c r="AF108" t="str">
        <f>""</f>
        <v/>
      </c>
      <c r="AG108" t="str">
        <f>""</f>
        <v/>
      </c>
      <c r="AH108" t="str">
        <f>""</f>
        <v/>
      </c>
      <c r="AI108" t="str">
        <f>""</f>
        <v/>
      </c>
      <c r="AJ108" t="str">
        <f t="shared" si="55"/>
        <v>0</v>
      </c>
      <c r="AK108" t="str">
        <f t="shared" si="55"/>
        <v>0</v>
      </c>
      <c r="AL108" t="str">
        <f t="shared" si="55"/>
        <v>0</v>
      </c>
      <c r="AM108" t="str">
        <f>""</f>
        <v/>
      </c>
      <c r="AN108" t="str">
        <f>""</f>
        <v/>
      </c>
      <c r="AO108" t="str">
        <f>""</f>
        <v/>
      </c>
      <c r="AP108" t="str">
        <f>""</f>
        <v/>
      </c>
      <c r="AQ108" t="str">
        <f>""</f>
        <v/>
      </c>
      <c r="AR108" t="str">
        <f>""</f>
        <v/>
      </c>
      <c r="AS108" t="str">
        <f>""</f>
        <v/>
      </c>
      <c r="AT108" t="str">
        <f>""</f>
        <v/>
      </c>
      <c r="AU108" t="str">
        <f>""</f>
        <v/>
      </c>
      <c r="AV108" t="str">
        <f>""</f>
        <v/>
      </c>
      <c r="AW108" t="str">
        <f>""</f>
        <v/>
      </c>
      <c r="AX108" t="str">
        <f>""</f>
        <v/>
      </c>
      <c r="AY108" t="str">
        <f>""</f>
        <v/>
      </c>
      <c r="AZ108" t="str">
        <f>""</f>
        <v/>
      </c>
      <c r="BA108" t="str">
        <f>""</f>
        <v/>
      </c>
      <c r="BB108" t="str">
        <f>"07/10/2020 09:08:38"</f>
        <v>07/10/2020 09:08:38</v>
      </c>
      <c r="BC108" t="str">
        <f>""</f>
        <v/>
      </c>
      <c r="BD108" t="str">
        <f>""</f>
        <v/>
      </c>
      <c r="BE108" t="str">
        <f>""</f>
        <v/>
      </c>
      <c r="BF108" t="str">
        <f t="shared" si="39"/>
        <v>A</v>
      </c>
      <c r="BG108" t="str">
        <f t="shared" si="56"/>
        <v>0,00</v>
      </c>
      <c r="BH108" t="str">
        <f t="shared" si="56"/>
        <v>0,00</v>
      </c>
      <c r="BI108" t="str">
        <f t="shared" si="53"/>
        <v>EVENTUAL</v>
      </c>
      <c r="BJ108" t="str">
        <f t="shared" si="41"/>
        <v>1</v>
      </c>
      <c r="BK108" t="str">
        <f t="shared" si="42"/>
        <v>Farmacia</v>
      </c>
      <c r="BL108" t="str">
        <f>""</f>
        <v/>
      </c>
      <c r="BM108" t="str">
        <f>"VARILUX ESPECIALISTA SELECT"</f>
        <v>VARILUX ESPECIALISTA SELECT</v>
      </c>
      <c r="BN108" t="str">
        <f>"EL360"</f>
        <v>EL360</v>
      </c>
      <c r="BO108" t="str">
        <f>"FOCO VARILUX DIGITAL"</f>
        <v>FOCO VARILUX DIGITAL</v>
      </c>
      <c r="BP108" t="str">
        <f>""</f>
        <v/>
      </c>
      <c r="BQ108" t="str">
        <f>""</f>
        <v/>
      </c>
      <c r="BR108" t="str">
        <f>"07/10/2020"</f>
        <v>07/10/2020</v>
      </c>
      <c r="BS108" t="str">
        <f>""</f>
        <v/>
      </c>
      <c r="BT108" t="str">
        <f>""</f>
        <v/>
      </c>
      <c r="BU108" t="str">
        <f>""</f>
        <v/>
      </c>
      <c r="BV108" t="str">
        <f>"1"</f>
        <v>1</v>
      </c>
      <c r="BW108" t="str">
        <f>"46"</f>
        <v>46</v>
      </c>
    </row>
    <row r="109" spans="1:75" x14ac:dyDescent="0.35">
      <c r="A109">
        <v>127554</v>
      </c>
      <c r="B109" t="str">
        <f t="shared" si="33"/>
        <v>A</v>
      </c>
      <c r="C109" t="str">
        <f t="shared" si="34"/>
        <v>80</v>
      </c>
      <c r="D109" t="str">
        <f t="shared" si="35"/>
        <v>11121001</v>
      </c>
      <c r="E109" t="str">
        <f t="shared" si="36"/>
        <v>121001</v>
      </c>
      <c r="F109" t="str">
        <f t="shared" si="37"/>
        <v>JENIFER SANTOS</v>
      </c>
      <c r="G109" t="str">
        <f>"02328020000200"</f>
        <v>02328020000200</v>
      </c>
      <c r="H109" t="str">
        <f t="shared" si="57"/>
        <v>0</v>
      </c>
      <c r="I109" t="str">
        <f t="shared" si="38"/>
        <v>CONTA OPTICA</v>
      </c>
      <c r="J109" t="str">
        <f>"FACIAL COMERCIO PRODUTOS OPTICOS LTDA ME"</f>
        <v>FACIAL COMERCIO PRODUTOS OPTICOS LTDA ME</v>
      </c>
      <c r="K109" t="str">
        <f>"OTICA FACIAL (1699)"</f>
        <v>OTICA FACIAL (1699)</v>
      </c>
      <c r="L109" t="str">
        <f>""</f>
        <v/>
      </c>
      <c r="M109" t="str">
        <f>""</f>
        <v/>
      </c>
      <c r="N109" t="str">
        <f>"mariolobo@oticafacial.com.br"</f>
        <v>mariolobo@oticafacial.com.br</v>
      </c>
      <c r="O109" t="str">
        <f>""</f>
        <v/>
      </c>
      <c r="P109" t="str">
        <f>"RUA LAGES"</f>
        <v>RUA LAGES</v>
      </c>
      <c r="Q109" t="str">
        <f>"660"</f>
        <v>660</v>
      </c>
      <c r="R109" t="str">
        <f>"SALA 04"</f>
        <v>SALA 04</v>
      </c>
      <c r="S109" t="str">
        <f>"1278"</f>
        <v>1278</v>
      </c>
      <c r="T109" t="str">
        <f>"89204010"</f>
        <v>89204010</v>
      </c>
      <c r="U109" t="str">
        <f>"CENTRO"</f>
        <v>CENTRO</v>
      </c>
      <c r="V109" t="str">
        <f>"JOINVILLE"</f>
        <v>JOINVILLE</v>
      </c>
      <c r="W109" t="str">
        <f t="shared" si="52"/>
        <v>SC</v>
      </c>
      <c r="X109" t="str">
        <f>"47"</f>
        <v>47</v>
      </c>
      <c r="Y109" t="str">
        <f>"34320232"</f>
        <v>34320232</v>
      </c>
      <c r="Z109" t="str">
        <f>""</f>
        <v/>
      </c>
      <c r="AA109" t="str">
        <f>""</f>
        <v/>
      </c>
      <c r="AB109" t="str">
        <f>""</f>
        <v/>
      </c>
      <c r="AC109" t="str">
        <f>""</f>
        <v/>
      </c>
      <c r="AD109" t="str">
        <f>""</f>
        <v/>
      </c>
      <c r="AE109" t="str">
        <f>""</f>
        <v/>
      </c>
      <c r="AF109" t="str">
        <f>""</f>
        <v/>
      </c>
      <c r="AG109" t="str">
        <f>""</f>
        <v/>
      </c>
      <c r="AH109" t="str">
        <f>""</f>
        <v/>
      </c>
      <c r="AI109" t="str">
        <f>""</f>
        <v/>
      </c>
      <c r="AJ109" t="str">
        <f t="shared" si="55"/>
        <v>0</v>
      </c>
      <c r="AK109" t="str">
        <f t="shared" si="55"/>
        <v>0</v>
      </c>
      <c r="AL109" t="str">
        <f t="shared" si="55"/>
        <v>0</v>
      </c>
      <c r="AM109" t="str">
        <f>""</f>
        <v/>
      </c>
      <c r="AN109" t="str">
        <f>""</f>
        <v/>
      </c>
      <c r="AO109" t="str">
        <f>""</f>
        <v/>
      </c>
      <c r="AP109" t="str">
        <f>""</f>
        <v/>
      </c>
      <c r="AQ109" t="str">
        <f>""</f>
        <v/>
      </c>
      <c r="AR109" t="str">
        <f>""</f>
        <v/>
      </c>
      <c r="AS109" t="str">
        <f>""</f>
        <v/>
      </c>
      <c r="AT109" t="str">
        <f>""</f>
        <v/>
      </c>
      <c r="AU109" t="str">
        <f>""</f>
        <v/>
      </c>
      <c r="AV109" t="str">
        <f>""</f>
        <v/>
      </c>
      <c r="AW109" t="str">
        <f>""</f>
        <v/>
      </c>
      <c r="AX109" t="str">
        <f>""</f>
        <v/>
      </c>
      <c r="AY109" t="str">
        <f>""</f>
        <v/>
      </c>
      <c r="AZ109" t="str">
        <f>""</f>
        <v/>
      </c>
      <c r="BA109" t="str">
        <f>""</f>
        <v/>
      </c>
      <c r="BB109" t="str">
        <f>"07/10/2020 09:08:38"</f>
        <v>07/10/2020 09:08:38</v>
      </c>
      <c r="BC109" t="str">
        <f>""</f>
        <v/>
      </c>
      <c r="BD109" t="str">
        <f>""</f>
        <v/>
      </c>
      <c r="BE109" t="str">
        <f>""</f>
        <v/>
      </c>
      <c r="BF109" t="str">
        <f t="shared" si="39"/>
        <v>A</v>
      </c>
      <c r="BG109" t="str">
        <f t="shared" si="56"/>
        <v>0,00</v>
      </c>
      <c r="BH109" t="str">
        <f t="shared" si="56"/>
        <v>0,00</v>
      </c>
      <c r="BI109" t="str">
        <f t="shared" si="53"/>
        <v>EVENTUAL</v>
      </c>
      <c r="BJ109" t="str">
        <f t="shared" si="41"/>
        <v>1</v>
      </c>
      <c r="BK109" t="str">
        <f t="shared" si="42"/>
        <v>Farmacia</v>
      </c>
      <c r="BL109" t="str">
        <f>""</f>
        <v/>
      </c>
      <c r="BM109" t="str">
        <f>"VARILUX ESPECIALISTA PLATINE"</f>
        <v>VARILUX ESPECIALISTA PLATINE</v>
      </c>
      <c r="BN109" t="str">
        <f>"EL360"</f>
        <v>EL360</v>
      </c>
      <c r="BO109" t="str">
        <f>"FOCO VARILUX DIGITAL"</f>
        <v>FOCO VARILUX DIGITAL</v>
      </c>
      <c r="BP109" t="str">
        <f>""</f>
        <v/>
      </c>
      <c r="BQ109" t="str">
        <f>""</f>
        <v/>
      </c>
      <c r="BR109" t="str">
        <f>"07/10/2020"</f>
        <v>07/10/2020</v>
      </c>
      <c r="BS109" t="str">
        <f>""</f>
        <v/>
      </c>
      <c r="BT109" t="str">
        <f>""</f>
        <v/>
      </c>
      <c r="BU109" t="str">
        <f>""</f>
        <v/>
      </c>
      <c r="BV109" t="str">
        <f>"1"</f>
        <v>1</v>
      </c>
      <c r="BW109" t="str">
        <f>"46"</f>
        <v>46</v>
      </c>
    </row>
    <row r="110" spans="1:75" x14ac:dyDescent="0.35">
      <c r="A110">
        <v>157582</v>
      </c>
      <c r="B110" t="str">
        <f t="shared" si="33"/>
        <v>A</v>
      </c>
      <c r="C110" t="str">
        <f t="shared" si="34"/>
        <v>80</v>
      </c>
      <c r="D110" t="str">
        <f t="shared" si="35"/>
        <v>11121001</v>
      </c>
      <c r="E110" t="str">
        <f t="shared" si="36"/>
        <v>121001</v>
      </c>
      <c r="F110" t="str">
        <f t="shared" si="37"/>
        <v>JENIFER SANTOS</v>
      </c>
      <c r="G110" t="str">
        <f>"02251646000177"</f>
        <v>02251646000177</v>
      </c>
      <c r="H110" t="str">
        <f t="shared" si="57"/>
        <v>0</v>
      </c>
      <c r="I110" t="str">
        <f t="shared" si="38"/>
        <v>CONTA OPTICA</v>
      </c>
      <c r="J110" t="str">
        <f>"FAST PARTS PROTOTIPOS LTDA"</f>
        <v>FAST PARTS PROTOTIPOS LTDA</v>
      </c>
      <c r="K110" t="str">
        <f>"FAST PARS PROTOTIPOS LTDA (1245)"</f>
        <v>FAST PARS PROTOTIPOS LTDA (1245)</v>
      </c>
      <c r="L110" t="str">
        <f>""</f>
        <v/>
      </c>
      <c r="M110" t="str">
        <f>""</f>
        <v/>
      </c>
      <c r="N110" t="str">
        <f>"fastparts@fastparts.com.br"</f>
        <v>fastparts@fastparts.com.br</v>
      </c>
      <c r="O110" t="str">
        <f>""</f>
        <v/>
      </c>
      <c r="P110" t="str">
        <f>"RUA MANOEL DA LUZ FONTES"</f>
        <v>RUA MANOEL DA LUZ FONTES</v>
      </c>
      <c r="Q110" t="str">
        <f>"33"</f>
        <v>33</v>
      </c>
      <c r="R110" t="str">
        <f>""</f>
        <v/>
      </c>
      <c r="S110" t="str">
        <f>"1279"</f>
        <v>1279</v>
      </c>
      <c r="T110" t="str">
        <f>"89219220"</f>
        <v>89219220</v>
      </c>
      <c r="U110" t="str">
        <f>"COSTA E SILVA"</f>
        <v>COSTA E SILVA</v>
      </c>
      <c r="V110" t="str">
        <f>"JOINVILLE"</f>
        <v>JOINVILLE</v>
      </c>
      <c r="W110" t="str">
        <f t="shared" si="52"/>
        <v>SC</v>
      </c>
      <c r="X110" t="str">
        <f>"47"</f>
        <v>47</v>
      </c>
      <c r="Y110" t="str">
        <f>"21017777"</f>
        <v>21017777</v>
      </c>
      <c r="Z110" t="str">
        <f>""</f>
        <v/>
      </c>
      <c r="AA110" t="str">
        <f>""</f>
        <v/>
      </c>
      <c r="AB110" t="str">
        <f>""</f>
        <v/>
      </c>
      <c r="AC110" t="str">
        <f>""</f>
        <v/>
      </c>
      <c r="AD110" t="str">
        <f>""</f>
        <v/>
      </c>
      <c r="AE110" t="str">
        <f>""</f>
        <v/>
      </c>
      <c r="AF110" t="str">
        <f>""</f>
        <v/>
      </c>
      <c r="AG110" t="str">
        <f>""</f>
        <v/>
      </c>
      <c r="AH110" t="str">
        <f>""</f>
        <v/>
      </c>
      <c r="AI110" t="str">
        <f>""</f>
        <v/>
      </c>
      <c r="AJ110" t="str">
        <f>""</f>
        <v/>
      </c>
      <c r="AK110" t="str">
        <f>""</f>
        <v/>
      </c>
      <c r="AL110" t="str">
        <f>""</f>
        <v/>
      </c>
      <c r="AM110" t="str">
        <f>""</f>
        <v/>
      </c>
      <c r="AN110" t="str">
        <f>""</f>
        <v/>
      </c>
      <c r="AO110" t="str">
        <f>""</f>
        <v/>
      </c>
      <c r="AP110" t="str">
        <f>""</f>
        <v/>
      </c>
      <c r="AQ110" t="str">
        <f>""</f>
        <v/>
      </c>
      <c r="AR110" t="str">
        <f>""</f>
        <v/>
      </c>
      <c r="AS110" t="str">
        <f>""</f>
        <v/>
      </c>
      <c r="AT110" t="str">
        <f>""</f>
        <v/>
      </c>
      <c r="AU110" t="str">
        <f>""</f>
        <v/>
      </c>
      <c r="AV110" t="str">
        <f>""</f>
        <v/>
      </c>
      <c r="AW110" t="str">
        <f>""</f>
        <v/>
      </c>
      <c r="AX110" t="str">
        <f>""</f>
        <v/>
      </c>
      <c r="AY110" t="str">
        <f>""</f>
        <v/>
      </c>
      <c r="AZ110" t="str">
        <f>""</f>
        <v/>
      </c>
      <c r="BA110" t="str">
        <f>""</f>
        <v/>
      </c>
      <c r="BB110" t="str">
        <f>"11/07/2023 02:14:29"</f>
        <v>11/07/2023 02:14:29</v>
      </c>
      <c r="BC110" t="str">
        <f>""</f>
        <v/>
      </c>
      <c r="BD110" t="str">
        <f>""</f>
        <v/>
      </c>
      <c r="BE110" t="str">
        <f>""</f>
        <v/>
      </c>
      <c r="BF110" t="str">
        <f t="shared" si="39"/>
        <v>A</v>
      </c>
      <c r="BG110" t="str">
        <f>""</f>
        <v/>
      </c>
      <c r="BH110" t="str">
        <f>""</f>
        <v/>
      </c>
      <c r="BI110" t="str">
        <f t="shared" si="53"/>
        <v>EVENTUAL</v>
      </c>
      <c r="BJ110" t="str">
        <f t="shared" si="41"/>
        <v>1</v>
      </c>
      <c r="BK110" t="str">
        <f t="shared" si="42"/>
        <v>Farmacia</v>
      </c>
      <c r="BL110" t="str">
        <f>""</f>
        <v/>
      </c>
      <c r="BM110" t="str">
        <f>""</f>
        <v/>
      </c>
      <c r="BN110" t="str">
        <f>""</f>
        <v/>
      </c>
      <c r="BO110" t="str">
        <f>""</f>
        <v/>
      </c>
      <c r="BP110" t="str">
        <f>""</f>
        <v/>
      </c>
      <c r="BQ110" t="str">
        <f>""</f>
        <v/>
      </c>
      <c r="BR110" t="str">
        <f>"11/07/2023"</f>
        <v>11/07/2023</v>
      </c>
      <c r="BS110" t="str">
        <f>""</f>
        <v/>
      </c>
      <c r="BT110" t="str">
        <f>""</f>
        <v/>
      </c>
      <c r="BU110" t="str">
        <f>""</f>
        <v/>
      </c>
      <c r="BV110" t="str">
        <f>""</f>
        <v/>
      </c>
      <c r="BW110" t="str">
        <f>"Não visitado"</f>
        <v>Não visitado</v>
      </c>
    </row>
    <row r="111" spans="1:75" x14ac:dyDescent="0.35">
      <c r="A111">
        <v>156743</v>
      </c>
      <c r="B111" t="str">
        <f t="shared" si="33"/>
        <v>A</v>
      </c>
      <c r="C111" t="str">
        <f t="shared" si="34"/>
        <v>80</v>
      </c>
      <c r="D111" t="str">
        <f t="shared" si="35"/>
        <v>11121001</v>
      </c>
      <c r="E111" t="str">
        <f t="shared" si="36"/>
        <v>121001</v>
      </c>
      <c r="F111" t="str">
        <f t="shared" si="37"/>
        <v>JENIFER SANTOS</v>
      </c>
      <c r="G111" t="str">
        <f>"32023828000151"</f>
        <v>32023828000151</v>
      </c>
      <c r="H111" t="str">
        <f t="shared" si="57"/>
        <v>0</v>
      </c>
      <c r="I111" t="str">
        <f t="shared" si="38"/>
        <v>CONTA OPTICA</v>
      </c>
      <c r="J111" t="str">
        <f>"FERNANDA ALEXIA DA CONCEICAO 07119912941"</f>
        <v>FERNANDA ALEXIA DA CONCEICAO 07119912941</v>
      </c>
      <c r="K111" t="str">
        <f>"OTICA ERVINO (4681)"</f>
        <v>OTICA ERVINO (4681)</v>
      </c>
      <c r="L111" t="str">
        <f>""</f>
        <v/>
      </c>
      <c r="M111" t="str">
        <f>""</f>
        <v/>
      </c>
      <c r="N111" t="str">
        <f>"OTICAERVINO@YAHOO.COM"</f>
        <v>OTICAERVINO@YAHOO.COM</v>
      </c>
      <c r="O111" t="str">
        <f>""</f>
        <v/>
      </c>
      <c r="P111" t="str">
        <f>"RUA BARRA VELHA"</f>
        <v>RUA BARRA VELHA</v>
      </c>
      <c r="Q111" t="str">
        <f>"1450"</f>
        <v>1450</v>
      </c>
      <c r="R111" t="str">
        <f>"SALA 1"</f>
        <v>SALA 1</v>
      </c>
      <c r="S111" t="str">
        <f>"1280"</f>
        <v>1280</v>
      </c>
      <c r="T111" t="str">
        <f>"89240000"</f>
        <v>89240000</v>
      </c>
      <c r="U111" t="str">
        <f>"PRAIA DO ERVINO"</f>
        <v>PRAIA DO ERVINO</v>
      </c>
      <c r="V111" t="str">
        <f>"SAO FRANCISCO DO SUL"</f>
        <v>SAO FRANCISCO DO SUL</v>
      </c>
      <c r="W111" t="str">
        <f t="shared" si="52"/>
        <v>SC</v>
      </c>
      <c r="X111" t="str">
        <f>"47"</f>
        <v>47</v>
      </c>
      <c r="Y111" t="str">
        <f>"991831729"</f>
        <v>991831729</v>
      </c>
      <c r="Z111" t="str">
        <f>""</f>
        <v/>
      </c>
      <c r="AA111" t="str">
        <f>""</f>
        <v/>
      </c>
      <c r="AB111" t="str">
        <f>""</f>
        <v/>
      </c>
      <c r="AC111" t="str">
        <f>""</f>
        <v/>
      </c>
      <c r="AD111" t="str">
        <f>""</f>
        <v/>
      </c>
      <c r="AE111" t="str">
        <f>""</f>
        <v/>
      </c>
      <c r="AF111" t="str">
        <f>""</f>
        <v/>
      </c>
      <c r="AG111" t="str">
        <f>""</f>
        <v/>
      </c>
      <c r="AH111" t="str">
        <f>""</f>
        <v/>
      </c>
      <c r="AI111" t="str">
        <f>""</f>
        <v/>
      </c>
      <c r="AJ111" t="str">
        <f>""</f>
        <v/>
      </c>
      <c r="AK111" t="str">
        <f>""</f>
        <v/>
      </c>
      <c r="AL111" t="str">
        <f>""</f>
        <v/>
      </c>
      <c r="AM111" t="str">
        <f>""</f>
        <v/>
      </c>
      <c r="AN111" t="str">
        <f>""</f>
        <v/>
      </c>
      <c r="AO111" t="str">
        <f>""</f>
        <v/>
      </c>
      <c r="AP111" t="str">
        <f>""</f>
        <v/>
      </c>
      <c r="AQ111" t="str">
        <f>""</f>
        <v/>
      </c>
      <c r="AR111" t="str">
        <f>""</f>
        <v/>
      </c>
      <c r="AS111" t="str">
        <f>""</f>
        <v/>
      </c>
      <c r="AT111" t="str">
        <f>""</f>
        <v/>
      </c>
      <c r="AU111" t="str">
        <f>""</f>
        <v/>
      </c>
      <c r="AV111" t="str">
        <f>""</f>
        <v/>
      </c>
      <c r="AW111" t="str">
        <f>""</f>
        <v/>
      </c>
      <c r="AX111" t="str">
        <f>""</f>
        <v/>
      </c>
      <c r="AY111" t="str">
        <f>""</f>
        <v/>
      </c>
      <c r="AZ111" t="str">
        <f>""</f>
        <v/>
      </c>
      <c r="BA111" t="str">
        <f>""</f>
        <v/>
      </c>
      <c r="BB111" t="str">
        <f>"06/07/2023 12:07:48"</f>
        <v>06/07/2023 12:07:48</v>
      </c>
      <c r="BC111" t="str">
        <f>""</f>
        <v/>
      </c>
      <c r="BD111" t="str">
        <f>""</f>
        <v/>
      </c>
      <c r="BE111" t="str">
        <f>""</f>
        <v/>
      </c>
      <c r="BF111" t="str">
        <f t="shared" si="39"/>
        <v>A</v>
      </c>
      <c r="BG111" t="str">
        <f>""</f>
        <v/>
      </c>
      <c r="BH111" t="str">
        <f>""</f>
        <v/>
      </c>
      <c r="BI111" t="str">
        <f t="shared" si="53"/>
        <v>EVENTUAL</v>
      </c>
      <c r="BJ111" t="str">
        <f t="shared" si="41"/>
        <v>1</v>
      </c>
      <c r="BK111" t="str">
        <f t="shared" si="42"/>
        <v>Farmacia</v>
      </c>
      <c r="BL111" t="str">
        <f>""</f>
        <v/>
      </c>
      <c r="BM111" t="str">
        <f>""</f>
        <v/>
      </c>
      <c r="BN111" t="str">
        <f>""</f>
        <v/>
      </c>
      <c r="BO111" t="str">
        <f>""</f>
        <v/>
      </c>
      <c r="BP111" t="str">
        <f>""</f>
        <v/>
      </c>
      <c r="BQ111" t="str">
        <f>""</f>
        <v/>
      </c>
      <c r="BR111" t="str">
        <f>"06/07/2023"</f>
        <v>06/07/2023</v>
      </c>
      <c r="BS111" t="str">
        <f>""</f>
        <v/>
      </c>
      <c r="BT111" t="str">
        <f>""</f>
        <v/>
      </c>
      <c r="BU111" t="str">
        <f>""</f>
        <v/>
      </c>
      <c r="BV111" t="str">
        <f>""</f>
        <v/>
      </c>
      <c r="BW111" t="str">
        <f>"Não visitado"</f>
        <v>Não visitado</v>
      </c>
    </row>
    <row r="112" spans="1:75" x14ac:dyDescent="0.35">
      <c r="A112">
        <v>156715</v>
      </c>
      <c r="B112" t="str">
        <f t="shared" si="33"/>
        <v>A</v>
      </c>
      <c r="C112" t="str">
        <f t="shared" si="34"/>
        <v>80</v>
      </c>
      <c r="D112" t="str">
        <f t="shared" si="35"/>
        <v>11121001</v>
      </c>
      <c r="E112" t="str">
        <f t="shared" si="36"/>
        <v>121001</v>
      </c>
      <c r="F112" t="str">
        <f t="shared" si="37"/>
        <v>JENIFER SANTOS</v>
      </c>
      <c r="G112" t="str">
        <f>"35744298000200"</f>
        <v>35744298000200</v>
      </c>
      <c r="H112" t="str">
        <f t="shared" si="57"/>
        <v>0</v>
      </c>
      <c r="I112" t="str">
        <f t="shared" si="38"/>
        <v>CONTA OPTICA</v>
      </c>
      <c r="J112" t="str">
        <f>"FERREIRA E FILHO MH OTICA E RELOJOARIA LTDA"</f>
        <v>FERREIRA E FILHO MH OTICA E RELOJOARIA LTDA</v>
      </c>
      <c r="K112" t="str">
        <f>"OTICAS RECRIS (4696)"</f>
        <v>OTICAS RECRIS (4696)</v>
      </c>
      <c r="L112" t="str">
        <f>""</f>
        <v/>
      </c>
      <c r="M112" t="str">
        <f>""</f>
        <v/>
      </c>
      <c r="N112" t="str">
        <f>"SAOMIGUELDO@OTICASRECRIS.COM"</f>
        <v>SAOMIGUELDO@OTICASRECRIS.COM</v>
      </c>
      <c r="O112" t="str">
        <f>""</f>
        <v/>
      </c>
      <c r="P112" t="str">
        <f>"RUA ALMIRANTE TAMANDARE"</f>
        <v>RUA ALMIRANTE TAMANDARE</v>
      </c>
      <c r="Q112" t="str">
        <f>"45"</f>
        <v>45</v>
      </c>
      <c r="R112" t="str">
        <f>"TERREO"</f>
        <v>TERREO</v>
      </c>
      <c r="S112" t="str">
        <f>"1289"</f>
        <v>1289</v>
      </c>
      <c r="T112" t="str">
        <f>"89900000"</f>
        <v>89900000</v>
      </c>
      <c r="U112" t="str">
        <f t="shared" ref="U112:U117" si="58">"CENTRO"</f>
        <v>CENTRO</v>
      </c>
      <c r="V112" t="str">
        <f>"SAO MIGUEL DO OESTE"</f>
        <v>SAO MIGUEL DO OESTE</v>
      </c>
      <c r="W112" t="str">
        <f t="shared" si="52"/>
        <v>SC</v>
      </c>
      <c r="X112" t="str">
        <f>"49"</f>
        <v>49</v>
      </c>
      <c r="Y112" t="str">
        <f>"319700300"</f>
        <v>319700300</v>
      </c>
      <c r="Z112" t="str">
        <f>""</f>
        <v/>
      </c>
      <c r="AA112" t="str">
        <f>""</f>
        <v/>
      </c>
      <c r="AB112" t="str">
        <f>""</f>
        <v/>
      </c>
      <c r="AC112" t="str">
        <f>""</f>
        <v/>
      </c>
      <c r="AD112" t="str">
        <f>""</f>
        <v/>
      </c>
      <c r="AE112" t="str">
        <f>""</f>
        <v/>
      </c>
      <c r="AF112" t="str">
        <f>""</f>
        <v/>
      </c>
      <c r="AG112" t="str">
        <f>""</f>
        <v/>
      </c>
      <c r="AH112" t="str">
        <f>""</f>
        <v/>
      </c>
      <c r="AI112" t="str">
        <f>""</f>
        <v/>
      </c>
      <c r="AJ112" t="str">
        <f>""</f>
        <v/>
      </c>
      <c r="AK112" t="str">
        <f>""</f>
        <v/>
      </c>
      <c r="AL112" t="str">
        <f>""</f>
        <v/>
      </c>
      <c r="AM112" t="str">
        <f>""</f>
        <v/>
      </c>
      <c r="AN112" t="str">
        <f>""</f>
        <v/>
      </c>
      <c r="AO112" t="str">
        <f>""</f>
        <v/>
      </c>
      <c r="AP112" t="str">
        <f>""</f>
        <v/>
      </c>
      <c r="AQ112" t="str">
        <f>""</f>
        <v/>
      </c>
      <c r="AR112" t="str">
        <f>""</f>
        <v/>
      </c>
      <c r="AS112" t="str">
        <f>""</f>
        <v/>
      </c>
      <c r="AT112" t="str">
        <f>""</f>
        <v/>
      </c>
      <c r="AU112" t="str">
        <f>""</f>
        <v/>
      </c>
      <c r="AV112" t="str">
        <f>""</f>
        <v/>
      </c>
      <c r="AW112" t="str">
        <f>""</f>
        <v/>
      </c>
      <c r="AX112" t="str">
        <f>""</f>
        <v/>
      </c>
      <c r="AY112" t="str">
        <f>""</f>
        <v/>
      </c>
      <c r="AZ112" t="str">
        <f>""</f>
        <v/>
      </c>
      <c r="BA112" t="str">
        <f>""</f>
        <v/>
      </c>
      <c r="BB112" t="str">
        <f>"06/07/2023 12:07:48"</f>
        <v>06/07/2023 12:07:48</v>
      </c>
      <c r="BC112" t="str">
        <f>""</f>
        <v/>
      </c>
      <c r="BD112" t="str">
        <f>""</f>
        <v/>
      </c>
      <c r="BE112" t="str">
        <f>""</f>
        <v/>
      </c>
      <c r="BF112" t="str">
        <f t="shared" si="39"/>
        <v>A</v>
      </c>
      <c r="BG112" t="str">
        <f>""</f>
        <v/>
      </c>
      <c r="BH112" t="str">
        <f>""</f>
        <v/>
      </c>
      <c r="BI112" t="str">
        <f t="shared" si="53"/>
        <v>EVENTUAL</v>
      </c>
      <c r="BJ112" t="str">
        <f t="shared" si="41"/>
        <v>1</v>
      </c>
      <c r="BK112" t="str">
        <f t="shared" si="42"/>
        <v>Farmacia</v>
      </c>
      <c r="BL112" t="str">
        <f>""</f>
        <v/>
      </c>
      <c r="BM112" t="str">
        <f>""</f>
        <v/>
      </c>
      <c r="BN112" t="str">
        <f>""</f>
        <v/>
      </c>
      <c r="BO112" t="str">
        <f>""</f>
        <v/>
      </c>
      <c r="BP112" t="str">
        <f>""</f>
        <v/>
      </c>
      <c r="BQ112" t="str">
        <f>""</f>
        <v/>
      </c>
      <c r="BR112" t="str">
        <f>"06/07/2023"</f>
        <v>06/07/2023</v>
      </c>
      <c r="BS112" t="str">
        <f>""</f>
        <v/>
      </c>
      <c r="BT112" t="str">
        <f>""</f>
        <v/>
      </c>
      <c r="BU112" t="str">
        <f>""</f>
        <v/>
      </c>
      <c r="BV112" t="str">
        <f>""</f>
        <v/>
      </c>
      <c r="BW112" t="str">
        <f>"123"</f>
        <v>123</v>
      </c>
    </row>
    <row r="113" spans="1:75" x14ac:dyDescent="0.35">
      <c r="A113">
        <v>156725</v>
      </c>
      <c r="B113" t="str">
        <f t="shared" si="33"/>
        <v>A</v>
      </c>
      <c r="C113" t="str">
        <f t="shared" si="34"/>
        <v>80</v>
      </c>
      <c r="D113" t="str">
        <f t="shared" si="35"/>
        <v>11121001</v>
      </c>
      <c r="E113" t="str">
        <f t="shared" si="36"/>
        <v>121001</v>
      </c>
      <c r="F113" t="str">
        <f t="shared" si="37"/>
        <v>JENIFER SANTOS</v>
      </c>
      <c r="G113" t="str">
        <f>"42186279000190"</f>
        <v>42186279000190</v>
      </c>
      <c r="H113" t="str">
        <f t="shared" si="57"/>
        <v>0</v>
      </c>
      <c r="I113" t="str">
        <f t="shared" si="38"/>
        <v>CONTA OPTICA</v>
      </c>
      <c r="J113" t="str">
        <f>"FERREIRA E FILHO OTICA E RELOJOARIA LTDA"</f>
        <v>FERREIRA E FILHO OTICA E RELOJOARIA LTDA</v>
      </c>
      <c r="K113" t="str">
        <f>"NOVA OTICA PORTELA (4364)"</f>
        <v>NOVA OTICA PORTELA (4364)</v>
      </c>
      <c r="L113" t="str">
        <f>""</f>
        <v/>
      </c>
      <c r="M113" t="str">
        <f>""</f>
        <v/>
      </c>
      <c r="N113" t="str">
        <f>"NOVAOTICAPORTELA@GMAIL.COM"</f>
        <v>NOVAOTICAPORTELA@GMAIL.COM</v>
      </c>
      <c r="O113" t="str">
        <f>""</f>
        <v/>
      </c>
      <c r="P113" t="str">
        <f>"RUA TAPUIAS"</f>
        <v>RUA TAPUIAS</v>
      </c>
      <c r="Q113" t="str">
        <f>"372"</f>
        <v>372</v>
      </c>
      <c r="R113" t="str">
        <f>"SALA 01"</f>
        <v>SALA 01</v>
      </c>
      <c r="S113" t="str">
        <f>""</f>
        <v/>
      </c>
      <c r="T113" t="str">
        <f>"98500000"</f>
        <v>98500000</v>
      </c>
      <c r="U113" t="str">
        <f t="shared" si="58"/>
        <v>CENTRO</v>
      </c>
      <c r="V113" t="str">
        <f>"TENENTE PORTELA"</f>
        <v>TENENTE PORTELA</v>
      </c>
      <c r="W113" t="str">
        <f>"RS"</f>
        <v>RS</v>
      </c>
      <c r="X113" t="str">
        <f>"49"</f>
        <v>49</v>
      </c>
      <c r="Y113" t="str">
        <f>"999278181"</f>
        <v>999278181</v>
      </c>
      <c r="Z113" t="str">
        <f>""</f>
        <v/>
      </c>
      <c r="AA113" t="str">
        <f>""</f>
        <v/>
      </c>
      <c r="AB113" t="str">
        <f>""</f>
        <v/>
      </c>
      <c r="AC113" t="str">
        <f>""</f>
        <v/>
      </c>
      <c r="AD113" t="str">
        <f>""</f>
        <v/>
      </c>
      <c r="AE113" t="str">
        <f>""</f>
        <v/>
      </c>
      <c r="AF113" t="str">
        <f>""</f>
        <v/>
      </c>
      <c r="AG113" t="str">
        <f>""</f>
        <v/>
      </c>
      <c r="AH113" t="str">
        <f>""</f>
        <v/>
      </c>
      <c r="AI113" t="str">
        <f>""</f>
        <v/>
      </c>
      <c r="AJ113" t="str">
        <f>""</f>
        <v/>
      </c>
      <c r="AK113" t="str">
        <f>""</f>
        <v/>
      </c>
      <c r="AL113" t="str">
        <f>""</f>
        <v/>
      </c>
      <c r="AM113" t="str">
        <f>""</f>
        <v/>
      </c>
      <c r="AN113" t="str">
        <f>""</f>
        <v/>
      </c>
      <c r="AO113" t="str">
        <f>""</f>
        <v/>
      </c>
      <c r="AP113" t="str">
        <f>""</f>
        <v/>
      </c>
      <c r="AQ113" t="str">
        <f>""</f>
        <v/>
      </c>
      <c r="AR113" t="str">
        <f>""</f>
        <v/>
      </c>
      <c r="AS113" t="str">
        <f>""</f>
        <v/>
      </c>
      <c r="AT113" t="str">
        <f>""</f>
        <v/>
      </c>
      <c r="AU113" t="str">
        <f>""</f>
        <v/>
      </c>
      <c r="AV113" t="str">
        <f>""</f>
        <v/>
      </c>
      <c r="AW113" t="str">
        <f>""</f>
        <v/>
      </c>
      <c r="AX113" t="str">
        <f>""</f>
        <v/>
      </c>
      <c r="AY113" t="str">
        <f>""</f>
        <v/>
      </c>
      <c r="AZ113" t="str">
        <f>""</f>
        <v/>
      </c>
      <c r="BA113" t="str">
        <f>""</f>
        <v/>
      </c>
      <c r="BB113" t="str">
        <f>"06/07/2023 12:07:48"</f>
        <v>06/07/2023 12:07:48</v>
      </c>
      <c r="BC113" t="str">
        <f>""</f>
        <v/>
      </c>
      <c r="BD113" t="str">
        <f>""</f>
        <v/>
      </c>
      <c r="BE113" t="str">
        <f>""</f>
        <v/>
      </c>
      <c r="BF113" t="str">
        <f t="shared" si="39"/>
        <v>A</v>
      </c>
      <c r="BG113" t="str">
        <f>""</f>
        <v/>
      </c>
      <c r="BH113" t="str">
        <f>""</f>
        <v/>
      </c>
      <c r="BI113" t="str">
        <f t="shared" si="53"/>
        <v>EVENTUAL</v>
      </c>
      <c r="BJ113" t="str">
        <f t="shared" si="41"/>
        <v>1</v>
      </c>
      <c r="BK113" t="str">
        <f t="shared" si="42"/>
        <v>Farmacia</v>
      </c>
      <c r="BL113" t="str">
        <f>""</f>
        <v/>
      </c>
      <c r="BM113" t="str">
        <f>""</f>
        <v/>
      </c>
      <c r="BN113" t="str">
        <f>""</f>
        <v/>
      </c>
      <c r="BO113" t="str">
        <f>""</f>
        <v/>
      </c>
      <c r="BP113" t="str">
        <f>""</f>
        <v/>
      </c>
      <c r="BQ113" t="str">
        <f>""</f>
        <v/>
      </c>
      <c r="BR113" t="str">
        <f>"06/07/2023"</f>
        <v>06/07/2023</v>
      </c>
      <c r="BS113" t="str">
        <f>""</f>
        <v/>
      </c>
      <c r="BT113" t="str">
        <f>""</f>
        <v/>
      </c>
      <c r="BU113" t="str">
        <f>""</f>
        <v/>
      </c>
      <c r="BV113" t="str">
        <f>""</f>
        <v/>
      </c>
      <c r="BW113" t="str">
        <f>"123"</f>
        <v>123</v>
      </c>
    </row>
    <row r="114" spans="1:75" x14ac:dyDescent="0.35">
      <c r="A114">
        <v>138039</v>
      </c>
      <c r="B114" t="str">
        <f t="shared" si="33"/>
        <v>A</v>
      </c>
      <c r="C114" t="str">
        <f t="shared" si="34"/>
        <v>80</v>
      </c>
      <c r="D114" t="str">
        <f t="shared" si="35"/>
        <v>11121001</v>
      </c>
      <c r="E114" t="str">
        <f t="shared" si="36"/>
        <v>121001</v>
      </c>
      <c r="F114" t="str">
        <f t="shared" si="37"/>
        <v>JENIFER SANTOS</v>
      </c>
      <c r="G114" t="str">
        <f>"35744298000129"</f>
        <v>35744298000129</v>
      </c>
      <c r="H114" t="str">
        <f t="shared" si="57"/>
        <v>0</v>
      </c>
      <c r="I114" t="str">
        <f t="shared" si="38"/>
        <v>CONTA OPTICA</v>
      </c>
      <c r="J114" t="str">
        <f>"FERREIRA E RIBAS OTICA E RELOJOARIA LTDA"</f>
        <v>FERREIRA E RIBAS OTICA E RELOJOARIA LTDA</v>
      </c>
      <c r="K114" t="str">
        <f>"FABRICA DE OCULOS MH (4102)"</f>
        <v>FABRICA DE OCULOS MH (4102)</v>
      </c>
      <c r="L114" t="str">
        <f>""</f>
        <v/>
      </c>
      <c r="M114" t="str">
        <f>""</f>
        <v/>
      </c>
      <c r="N114" t="str">
        <f>"fabricadeoculosmh@gmail.com"</f>
        <v>fabricadeoculosmh@gmail.com</v>
      </c>
      <c r="O114" t="str">
        <f>""</f>
        <v/>
      </c>
      <c r="P114" t="str">
        <f>"RUA AVENIDA ARAUCARIA"</f>
        <v>RUA AVENIDA ARAUCARIA</v>
      </c>
      <c r="Q114" t="str">
        <f>"310"</f>
        <v>310</v>
      </c>
      <c r="R114" t="str">
        <f>"SALA 102"</f>
        <v>SALA 102</v>
      </c>
      <c r="S114" t="str">
        <f>"1288"</f>
        <v>1288</v>
      </c>
      <c r="T114" t="str">
        <f>"89874000"</f>
        <v>89874000</v>
      </c>
      <c r="U114" t="str">
        <f t="shared" si="58"/>
        <v>CENTRO</v>
      </c>
      <c r="V114" t="str">
        <f>"MARAVILHA"</f>
        <v>MARAVILHA</v>
      </c>
      <c r="W114" t="str">
        <f t="shared" ref="W114:W122" si="59">"SC"</f>
        <v>SC</v>
      </c>
      <c r="X114" t="str">
        <f>"49"</f>
        <v>49</v>
      </c>
      <c r="Y114" t="str">
        <f>"36640455"</f>
        <v>36640455</v>
      </c>
      <c r="Z114" t="str">
        <f>""</f>
        <v/>
      </c>
      <c r="AA114" t="str">
        <f>""</f>
        <v/>
      </c>
      <c r="AB114" t="str">
        <f>""</f>
        <v/>
      </c>
      <c r="AC114" t="str">
        <f>""</f>
        <v/>
      </c>
      <c r="AD114" t="str">
        <f>""</f>
        <v/>
      </c>
      <c r="AE114" t="str">
        <f>""</f>
        <v/>
      </c>
      <c r="AF114" t="str">
        <f>""</f>
        <v/>
      </c>
      <c r="AG114" t="str">
        <f>"S"</f>
        <v>S</v>
      </c>
      <c r="AH114" t="str">
        <f>""</f>
        <v/>
      </c>
      <c r="AI114" t="str">
        <f>""</f>
        <v/>
      </c>
      <c r="AJ114" t="str">
        <f>""</f>
        <v/>
      </c>
      <c r="AK114" t="str">
        <f>""</f>
        <v/>
      </c>
      <c r="AL114" t="str">
        <f>""</f>
        <v/>
      </c>
      <c r="AM114" t="str">
        <f>""</f>
        <v/>
      </c>
      <c r="AN114" t="str">
        <f>""</f>
        <v/>
      </c>
      <c r="AO114" t="str">
        <f>""</f>
        <v/>
      </c>
      <c r="AP114" t="str">
        <f>""</f>
        <v/>
      </c>
      <c r="AQ114" t="str">
        <f t="shared" ref="AQ114:AU115" si="60">"N"</f>
        <v>N</v>
      </c>
      <c r="AR114" t="str">
        <f t="shared" si="60"/>
        <v>N</v>
      </c>
      <c r="AS114" t="str">
        <f t="shared" si="60"/>
        <v>N</v>
      </c>
      <c r="AT114" t="str">
        <f t="shared" si="60"/>
        <v>N</v>
      </c>
      <c r="AU114" t="str">
        <f t="shared" si="60"/>
        <v>N</v>
      </c>
      <c r="AV114" t="str">
        <f>""</f>
        <v/>
      </c>
      <c r="AW114" t="str">
        <f>""</f>
        <v/>
      </c>
      <c r="AX114" t="str">
        <f>""</f>
        <v/>
      </c>
      <c r="AY114" t="str">
        <f>""</f>
        <v/>
      </c>
      <c r="AZ114" t="str">
        <f>""</f>
        <v/>
      </c>
      <c r="BA114" t="str">
        <f>""</f>
        <v/>
      </c>
      <c r="BB114" t="str">
        <f>"01/07/2021 13:53:04"</f>
        <v>01/07/2021 13:53:04</v>
      </c>
      <c r="BC114" t="str">
        <f>"05/04/2022 11:09:00"</f>
        <v>05/04/2022 11:09:00</v>
      </c>
      <c r="BD114" t="str">
        <f>""</f>
        <v/>
      </c>
      <c r="BE114" t="str">
        <f>""</f>
        <v/>
      </c>
      <c r="BF114" t="str">
        <f t="shared" si="39"/>
        <v>A</v>
      </c>
      <c r="BG114" t="str">
        <f>""</f>
        <v/>
      </c>
      <c r="BH114" t="str">
        <f>"0,00"</f>
        <v>0,00</v>
      </c>
      <c r="BI114" t="str">
        <f t="shared" si="53"/>
        <v>EVENTUAL</v>
      </c>
      <c r="BJ114" t="str">
        <f t="shared" si="41"/>
        <v>1</v>
      </c>
      <c r="BK114" t="str">
        <f t="shared" si="42"/>
        <v>Farmacia</v>
      </c>
      <c r="BL114" t="str">
        <f>""</f>
        <v/>
      </c>
      <c r="BM114" t="str">
        <f>"NÃO É VARILUX ESPECIALISTA"</f>
        <v>NÃO É VARILUX ESPECIALISTA</v>
      </c>
      <c r="BN114" t="str">
        <f>"NA"</f>
        <v>NA</v>
      </c>
      <c r="BO114" t="str">
        <f>"FOCO VARILUX"</f>
        <v>FOCO VARILUX</v>
      </c>
      <c r="BP114" t="str">
        <f>""</f>
        <v/>
      </c>
      <c r="BQ114" t="str">
        <f>""</f>
        <v/>
      </c>
      <c r="BR114" t="str">
        <f>"01/07/2021"</f>
        <v>01/07/2021</v>
      </c>
      <c r="BS114" t="str">
        <f>"05/04/2022"</f>
        <v>05/04/2022</v>
      </c>
      <c r="BT114" t="str">
        <f>""</f>
        <v/>
      </c>
      <c r="BU114" t="str">
        <f>""</f>
        <v/>
      </c>
      <c r="BV114" t="str">
        <f>""</f>
        <v/>
      </c>
      <c r="BW114" t="str">
        <f>"123"</f>
        <v>123</v>
      </c>
    </row>
    <row r="115" spans="1:75" x14ac:dyDescent="0.35">
      <c r="A115">
        <v>138042</v>
      </c>
      <c r="B115" t="str">
        <f t="shared" si="33"/>
        <v>A</v>
      </c>
      <c r="C115" t="str">
        <f t="shared" si="34"/>
        <v>80</v>
      </c>
      <c r="D115" t="str">
        <f t="shared" si="35"/>
        <v>11121001</v>
      </c>
      <c r="E115" t="str">
        <f t="shared" si="36"/>
        <v>121001</v>
      </c>
      <c r="F115" t="str">
        <f t="shared" si="37"/>
        <v>JENIFER SANTOS</v>
      </c>
      <c r="G115" t="str">
        <f>"14685298000125"</f>
        <v>14685298000125</v>
      </c>
      <c r="H115" t="str">
        <f t="shared" si="57"/>
        <v>0</v>
      </c>
      <c r="I115" t="str">
        <f t="shared" si="38"/>
        <v>CONTA OPTICA</v>
      </c>
      <c r="J115" t="str">
        <f>"FLAVIO J.PEREIRA ME"</f>
        <v>FLAVIO J.PEREIRA ME</v>
      </c>
      <c r="K115" t="str">
        <f>"OTICA DO FOFINHO (1870)"</f>
        <v>OTICA DO FOFINHO (1870)</v>
      </c>
      <c r="L115" t="str">
        <f>""</f>
        <v/>
      </c>
      <c r="M115" t="str">
        <f>""</f>
        <v/>
      </c>
      <c r="N115" t="str">
        <f>"flaviootico@hotmail.com"</f>
        <v>flaviootico@hotmail.com</v>
      </c>
      <c r="O115" t="str">
        <f>""</f>
        <v/>
      </c>
      <c r="P115" t="str">
        <f>"RUA BRASIL"</f>
        <v>RUA BRASIL</v>
      </c>
      <c r="Q115" t="str">
        <f>"412"</f>
        <v>412</v>
      </c>
      <c r="R115" t="str">
        <f>"LOJA"</f>
        <v>LOJA</v>
      </c>
      <c r="S115" t="str">
        <f>"1288"</f>
        <v>1288</v>
      </c>
      <c r="T115" t="str">
        <f>"89887000"</f>
        <v>89887000</v>
      </c>
      <c r="U115" t="str">
        <f t="shared" si="58"/>
        <v>CENTRO</v>
      </c>
      <c r="V115" t="str">
        <f>"PALMITOS"</f>
        <v>PALMITOS</v>
      </c>
      <c r="W115" t="str">
        <f t="shared" si="59"/>
        <v>SC</v>
      </c>
      <c r="X115" t="str">
        <f>"49"</f>
        <v>49</v>
      </c>
      <c r="Y115" t="str">
        <f>"36472171"</f>
        <v>36472171</v>
      </c>
      <c r="Z115" t="str">
        <f>""</f>
        <v/>
      </c>
      <c r="AA115" t="str">
        <f>""</f>
        <v/>
      </c>
      <c r="AB115" t="str">
        <f>""</f>
        <v/>
      </c>
      <c r="AC115" t="str">
        <f>""</f>
        <v/>
      </c>
      <c r="AD115" t="str">
        <f>""</f>
        <v/>
      </c>
      <c r="AE115" t="str">
        <f>""</f>
        <v/>
      </c>
      <c r="AF115" t="str">
        <f>""</f>
        <v/>
      </c>
      <c r="AG115" t="str">
        <f>"S"</f>
        <v>S</v>
      </c>
      <c r="AH115" t="str">
        <f>""</f>
        <v/>
      </c>
      <c r="AI115" t="str">
        <f>""</f>
        <v/>
      </c>
      <c r="AJ115" t="str">
        <f>""</f>
        <v/>
      </c>
      <c r="AK115" t="str">
        <f>""</f>
        <v/>
      </c>
      <c r="AL115" t="str">
        <f>""</f>
        <v/>
      </c>
      <c r="AM115" t="str">
        <f>""</f>
        <v/>
      </c>
      <c r="AN115" t="str">
        <f>""</f>
        <v/>
      </c>
      <c r="AO115" t="str">
        <f>""</f>
        <v/>
      </c>
      <c r="AP115" t="str">
        <f>""</f>
        <v/>
      </c>
      <c r="AQ115" t="str">
        <f t="shared" si="60"/>
        <v>N</v>
      </c>
      <c r="AR115" t="str">
        <f t="shared" si="60"/>
        <v>N</v>
      </c>
      <c r="AS115" t="str">
        <f t="shared" si="60"/>
        <v>N</v>
      </c>
      <c r="AT115" t="str">
        <f t="shared" si="60"/>
        <v>N</v>
      </c>
      <c r="AU115" t="str">
        <f t="shared" si="60"/>
        <v>N</v>
      </c>
      <c r="AV115" t="str">
        <f>""</f>
        <v/>
      </c>
      <c r="AW115" t="str">
        <f>""</f>
        <v/>
      </c>
      <c r="AX115" t="str">
        <f>""</f>
        <v/>
      </c>
      <c r="AY115" t="str">
        <f>""</f>
        <v/>
      </c>
      <c r="AZ115" t="str">
        <f>""</f>
        <v/>
      </c>
      <c r="BA115" t="str">
        <f>""</f>
        <v/>
      </c>
      <c r="BB115" t="str">
        <f>"01/07/2021 13:53:04"</f>
        <v>01/07/2021 13:53:04</v>
      </c>
      <c r="BC115" t="str">
        <f>"12/05/2022 10:34:15"</f>
        <v>12/05/2022 10:34:15</v>
      </c>
      <c r="BD115" t="str">
        <f>""</f>
        <v/>
      </c>
      <c r="BE115" t="str">
        <f>""</f>
        <v/>
      </c>
      <c r="BF115" t="str">
        <f t="shared" si="39"/>
        <v>A</v>
      </c>
      <c r="BG115" t="str">
        <f>""</f>
        <v/>
      </c>
      <c r="BH115" t="str">
        <f>"0,00"</f>
        <v>0,00</v>
      </c>
      <c r="BI115" t="str">
        <f t="shared" si="53"/>
        <v>EVENTUAL</v>
      </c>
      <c r="BJ115" t="str">
        <f t="shared" si="41"/>
        <v>1</v>
      </c>
      <c r="BK115" t="str">
        <f t="shared" si="42"/>
        <v>Farmacia</v>
      </c>
      <c r="BL115" t="str">
        <f>""</f>
        <v/>
      </c>
      <c r="BM115" t="str">
        <f>"NÃO É VARILUX ESPECIALISTA"</f>
        <v>NÃO É VARILUX ESPECIALISTA</v>
      </c>
      <c r="BN115" t="str">
        <f>"NA"</f>
        <v>NA</v>
      </c>
      <c r="BO115" t="str">
        <f>"FOCO VARILUX"</f>
        <v>FOCO VARILUX</v>
      </c>
      <c r="BP115" t="str">
        <f>""</f>
        <v/>
      </c>
      <c r="BQ115" t="str">
        <f>""</f>
        <v/>
      </c>
      <c r="BR115" t="str">
        <f>"01/07/2021"</f>
        <v>01/07/2021</v>
      </c>
      <c r="BS115" t="str">
        <f>"12/05/2022"</f>
        <v>12/05/2022</v>
      </c>
      <c r="BT115" t="str">
        <f>""</f>
        <v/>
      </c>
      <c r="BU115" t="str">
        <f>""</f>
        <v/>
      </c>
      <c r="BV115" t="str">
        <f>""</f>
        <v/>
      </c>
      <c r="BW115" t="str">
        <f>"100"</f>
        <v>100</v>
      </c>
    </row>
    <row r="116" spans="1:75" x14ac:dyDescent="0.35">
      <c r="A116">
        <v>120517</v>
      </c>
      <c r="B116" t="str">
        <f t="shared" si="33"/>
        <v>A</v>
      </c>
      <c r="C116" t="str">
        <f t="shared" si="34"/>
        <v>80</v>
      </c>
      <c r="D116" t="str">
        <f t="shared" si="35"/>
        <v>11121001</v>
      </c>
      <c r="E116" t="str">
        <f t="shared" si="36"/>
        <v>121001</v>
      </c>
      <c r="F116" t="str">
        <f t="shared" si="37"/>
        <v>JENIFER SANTOS</v>
      </c>
      <c r="G116" t="str">
        <f>"02625402000107"</f>
        <v>02625402000107</v>
      </c>
      <c r="H116" t="str">
        <f t="shared" si="57"/>
        <v>0</v>
      </c>
      <c r="I116" t="str">
        <f t="shared" si="38"/>
        <v>CONTA OPTICA</v>
      </c>
      <c r="J116" t="str">
        <f>"FOTO OPTICA VISAO PERFEITA LTDA ME"</f>
        <v>FOTO OPTICA VISAO PERFEITA LTDA ME</v>
      </c>
      <c r="K116" t="str">
        <f>"FOTO OPTICA VISAO PERFEITA LTDA ME (1153)"</f>
        <v>FOTO OPTICA VISAO PERFEITA LTDA ME (1153)</v>
      </c>
      <c r="L116" t="str">
        <f>""</f>
        <v/>
      </c>
      <c r="M116" t="str">
        <f>""</f>
        <v/>
      </c>
      <c r="N116" t="str">
        <f>"kruger@krugertime.com.br"</f>
        <v>kruger@krugertime.com.br</v>
      </c>
      <c r="O116" t="str">
        <f>""</f>
        <v/>
      </c>
      <c r="P116" t="str">
        <f>"RUA NOVE DE MARCO"</f>
        <v>RUA NOVE DE MARCO</v>
      </c>
      <c r="Q116" t="str">
        <f>"465"</f>
        <v>465</v>
      </c>
      <c r="R116" t="str">
        <f>""</f>
        <v/>
      </c>
      <c r="S116" t="str">
        <f>"1277"</f>
        <v>1277</v>
      </c>
      <c r="T116" t="str">
        <f>"89201400"</f>
        <v>89201400</v>
      </c>
      <c r="U116" t="str">
        <f t="shared" si="58"/>
        <v>CENTRO</v>
      </c>
      <c r="V116" t="str">
        <f>"JOINVILLE"</f>
        <v>JOINVILLE</v>
      </c>
      <c r="W116" t="str">
        <f t="shared" si="59"/>
        <v>SC</v>
      </c>
      <c r="X116" t="str">
        <f>"47"</f>
        <v>47</v>
      </c>
      <c r="Y116" t="str">
        <f>"34222209"</f>
        <v>34222209</v>
      </c>
      <c r="Z116" t="str">
        <f>""</f>
        <v/>
      </c>
      <c r="AA116" t="str">
        <f>""</f>
        <v/>
      </c>
      <c r="AB116" t="str">
        <f>""</f>
        <v/>
      </c>
      <c r="AC116" t="str">
        <f>""</f>
        <v/>
      </c>
      <c r="AD116" t="str">
        <f>""</f>
        <v/>
      </c>
      <c r="AE116" t="str">
        <f>""</f>
        <v/>
      </c>
      <c r="AF116" t="str">
        <f>""</f>
        <v/>
      </c>
      <c r="AG116" t="str">
        <f>""</f>
        <v/>
      </c>
      <c r="AH116" t="str">
        <f>""</f>
        <v/>
      </c>
      <c r="AI116" t="str">
        <f>""</f>
        <v/>
      </c>
      <c r="AJ116" t="str">
        <f>""</f>
        <v/>
      </c>
      <c r="AK116" t="str">
        <f>""</f>
        <v/>
      </c>
      <c r="AL116" t="str">
        <f>""</f>
        <v/>
      </c>
      <c r="AM116" t="str">
        <f>""</f>
        <v/>
      </c>
      <c r="AN116" t="str">
        <f>""</f>
        <v/>
      </c>
      <c r="AO116" t="str">
        <f>""</f>
        <v/>
      </c>
      <c r="AP116" t="str">
        <f>""</f>
        <v/>
      </c>
      <c r="AQ116" t="str">
        <f>""</f>
        <v/>
      </c>
      <c r="AR116" t="str">
        <f>""</f>
        <v/>
      </c>
      <c r="AS116" t="str">
        <f>""</f>
        <v/>
      </c>
      <c r="AT116" t="str">
        <f>""</f>
        <v/>
      </c>
      <c r="AU116" t="str">
        <f>""</f>
        <v/>
      </c>
      <c r="AV116" t="str">
        <f>""</f>
        <v/>
      </c>
      <c r="AW116" t="str">
        <f>""</f>
        <v/>
      </c>
      <c r="AX116" t="str">
        <f>""</f>
        <v/>
      </c>
      <c r="AY116" t="str">
        <f>""</f>
        <v/>
      </c>
      <c r="AZ116" t="str">
        <f>""</f>
        <v/>
      </c>
      <c r="BA116" t="str">
        <f>""</f>
        <v/>
      </c>
      <c r="BB116" t="str">
        <f>"22/09/2020 15:29:33"</f>
        <v>22/09/2020 15:29:33</v>
      </c>
      <c r="BC116" t="str">
        <f>""</f>
        <v/>
      </c>
      <c r="BD116" t="str">
        <f>""</f>
        <v/>
      </c>
      <c r="BE116" t="str">
        <f>""</f>
        <v/>
      </c>
      <c r="BF116" t="str">
        <f t="shared" si="39"/>
        <v>A</v>
      </c>
      <c r="BG116" t="str">
        <f>""</f>
        <v/>
      </c>
      <c r="BH116" t="str">
        <f>""</f>
        <v/>
      </c>
      <c r="BI116" t="str">
        <f t="shared" si="53"/>
        <v>EVENTUAL</v>
      </c>
      <c r="BJ116" t="str">
        <f t="shared" si="41"/>
        <v>1</v>
      </c>
      <c r="BK116" t="str">
        <f t="shared" si="42"/>
        <v>Farmacia</v>
      </c>
      <c r="BL116" t="str">
        <f>""</f>
        <v/>
      </c>
      <c r="BM116" t="str">
        <f>"NÃO É VARILUX ESPECIALISTA"</f>
        <v>NÃO É VARILUX ESPECIALISTA</v>
      </c>
      <c r="BN116" t="str">
        <f>"NA"</f>
        <v>NA</v>
      </c>
      <c r="BO116" t="str">
        <f>"OUTROS"</f>
        <v>OUTROS</v>
      </c>
      <c r="BP116" t="str">
        <f>""</f>
        <v/>
      </c>
      <c r="BQ116" t="str">
        <f>""</f>
        <v/>
      </c>
      <c r="BR116" t="str">
        <f>"22/09/2020"</f>
        <v>22/09/2020</v>
      </c>
      <c r="BS116" t="str">
        <f>""</f>
        <v/>
      </c>
      <c r="BT116" t="str">
        <f>""</f>
        <v/>
      </c>
      <c r="BU116" t="str">
        <f>""</f>
        <v/>
      </c>
      <c r="BV116" t="str">
        <f>"9"</f>
        <v>9</v>
      </c>
      <c r="BW116" t="str">
        <f>"120"</f>
        <v>120</v>
      </c>
    </row>
    <row r="117" spans="1:75" x14ac:dyDescent="0.35">
      <c r="A117">
        <v>158723</v>
      </c>
      <c r="B117" t="str">
        <f t="shared" si="33"/>
        <v>A</v>
      </c>
      <c r="C117" t="str">
        <f t="shared" si="34"/>
        <v>80</v>
      </c>
      <c r="D117" t="str">
        <f t="shared" si="35"/>
        <v>11121001</v>
      </c>
      <c r="E117" t="str">
        <f t="shared" si="36"/>
        <v>121001</v>
      </c>
      <c r="F117" t="str">
        <f t="shared" si="37"/>
        <v>JENIFER SANTOS</v>
      </c>
      <c r="G117" t="str">
        <f>"51152378000141"</f>
        <v>51152378000141</v>
      </c>
      <c r="H117" t="str">
        <f>""</f>
        <v/>
      </c>
      <c r="I117" t="str">
        <f t="shared" si="38"/>
        <v>CONTA OPTICA</v>
      </c>
      <c r="J117" t="str">
        <f>"FRANCA RELOJOARIA E OTICA LTDA"</f>
        <v>FRANCA RELOJOARIA E OTICA LTDA</v>
      </c>
      <c r="K117" t="str">
        <f>"FRANCA RELOJOARIA E OTICA (4752)"</f>
        <v>FRANCA RELOJOARIA E OTICA (4752)</v>
      </c>
      <c r="L117" t="str">
        <f>""</f>
        <v/>
      </c>
      <c r="M117" t="str">
        <f>""</f>
        <v/>
      </c>
      <c r="N117" t="str">
        <f>"FRANCARELOJOARIAEOTICA@GMAIL.COM"</f>
        <v>FRANCARELOJOARIAEOTICA@GMAIL.COM</v>
      </c>
      <c r="O117" t="str">
        <f>""</f>
        <v/>
      </c>
      <c r="P117" t="str">
        <f>"RUA GETULIO VARGAS"</f>
        <v>RUA GETULIO VARGAS</v>
      </c>
      <c r="Q117" t="str">
        <f>"425"</f>
        <v>425</v>
      </c>
      <c r="R117" t="str">
        <f>""</f>
        <v/>
      </c>
      <c r="S117" t="str">
        <f>""</f>
        <v/>
      </c>
      <c r="T117" t="str">
        <f>"89700019"</f>
        <v>89700019</v>
      </c>
      <c r="U117" t="str">
        <f t="shared" si="58"/>
        <v>CENTRO</v>
      </c>
      <c r="V117" t="str">
        <f>"CONCORDIA"</f>
        <v>CONCORDIA</v>
      </c>
      <c r="W117" t="str">
        <f t="shared" si="59"/>
        <v>SC</v>
      </c>
      <c r="X117" t="str">
        <f>"49"</f>
        <v>49</v>
      </c>
      <c r="Y117" t="str">
        <f>"30110835"</f>
        <v>30110835</v>
      </c>
      <c r="Z117" t="str">
        <f>""</f>
        <v/>
      </c>
      <c r="AA117" t="str">
        <f>""</f>
        <v/>
      </c>
      <c r="AB117" t="str">
        <f>""</f>
        <v/>
      </c>
      <c r="AC117" t="str">
        <f>""</f>
        <v/>
      </c>
      <c r="AD117" t="str">
        <f>""</f>
        <v/>
      </c>
      <c r="AE117" t="str">
        <f>""</f>
        <v/>
      </c>
      <c r="AF117" t="str">
        <f>""</f>
        <v/>
      </c>
      <c r="AG117" t="str">
        <f>""</f>
        <v/>
      </c>
      <c r="AH117" t="str">
        <f>""</f>
        <v/>
      </c>
      <c r="AI117" t="str">
        <f>""</f>
        <v/>
      </c>
      <c r="AJ117" t="str">
        <f>""</f>
        <v/>
      </c>
      <c r="AK117" t="str">
        <f>""</f>
        <v/>
      </c>
      <c r="AL117" t="str">
        <f>""</f>
        <v/>
      </c>
      <c r="AM117" t="str">
        <f>""</f>
        <v/>
      </c>
      <c r="AN117" t="str">
        <f>""</f>
        <v/>
      </c>
      <c r="AO117" t="str">
        <f>""</f>
        <v/>
      </c>
      <c r="AP117" t="str">
        <f>""</f>
        <v/>
      </c>
      <c r="AQ117" t="str">
        <f>""</f>
        <v/>
      </c>
      <c r="AR117" t="str">
        <f>""</f>
        <v/>
      </c>
      <c r="AS117" t="str">
        <f>""</f>
        <v/>
      </c>
      <c r="AT117" t="str">
        <f>""</f>
        <v/>
      </c>
      <c r="AU117" t="str">
        <f>""</f>
        <v/>
      </c>
      <c r="AV117" t="str">
        <f>""</f>
        <v/>
      </c>
      <c r="AW117" t="str">
        <f>""</f>
        <v/>
      </c>
      <c r="AX117" t="str">
        <f>""</f>
        <v/>
      </c>
      <c r="AY117" t="str">
        <f>""</f>
        <v/>
      </c>
      <c r="AZ117" t="str">
        <f>""</f>
        <v/>
      </c>
      <c r="BA117" t="str">
        <f>""</f>
        <v/>
      </c>
      <c r="BB117" t="str">
        <f>"17/08/2023 16:48:06"</f>
        <v>17/08/2023 16:48:06</v>
      </c>
      <c r="BC117" t="str">
        <f>""</f>
        <v/>
      </c>
      <c r="BD117" t="str">
        <f>""</f>
        <v/>
      </c>
      <c r="BE117" t="str">
        <f>""</f>
        <v/>
      </c>
      <c r="BF117" t="str">
        <f t="shared" si="39"/>
        <v>A</v>
      </c>
      <c r="BG117" t="str">
        <f>""</f>
        <v/>
      </c>
      <c r="BH117" t="str">
        <f>""</f>
        <v/>
      </c>
      <c r="BI117" t="str">
        <f t="shared" si="53"/>
        <v>EVENTUAL</v>
      </c>
      <c r="BJ117" t="str">
        <f t="shared" si="41"/>
        <v>1</v>
      </c>
      <c r="BK117" t="str">
        <f t="shared" si="42"/>
        <v>Farmacia</v>
      </c>
      <c r="BL117" t="str">
        <f>""</f>
        <v/>
      </c>
      <c r="BM117" t="str">
        <f>""</f>
        <v/>
      </c>
      <c r="BN117" t="str">
        <f>""</f>
        <v/>
      </c>
      <c r="BO117" t="str">
        <f>""</f>
        <v/>
      </c>
      <c r="BP117" t="str">
        <f>""</f>
        <v/>
      </c>
      <c r="BQ117" t="str">
        <f>""</f>
        <v/>
      </c>
      <c r="BR117" t="str">
        <f>"17/08/2023"</f>
        <v>17/08/2023</v>
      </c>
      <c r="BS117" t="str">
        <f>""</f>
        <v/>
      </c>
      <c r="BT117" t="str">
        <f>""</f>
        <v/>
      </c>
      <c r="BU117" t="str">
        <f>""</f>
        <v/>
      </c>
      <c r="BV117" t="str">
        <f>""</f>
        <v/>
      </c>
      <c r="BW117" t="str">
        <f>"4"</f>
        <v>4</v>
      </c>
    </row>
    <row r="118" spans="1:75" x14ac:dyDescent="0.35">
      <c r="A118">
        <v>931</v>
      </c>
      <c r="B118" t="str">
        <f t="shared" si="33"/>
        <v>A</v>
      </c>
      <c r="C118" t="str">
        <f t="shared" si="34"/>
        <v>80</v>
      </c>
      <c r="D118" t="str">
        <f t="shared" si="35"/>
        <v>11121001</v>
      </c>
      <c r="E118" t="str">
        <f t="shared" si="36"/>
        <v>121001</v>
      </c>
      <c r="F118" t="str">
        <f t="shared" si="37"/>
        <v>JENIFER SANTOS</v>
      </c>
      <c r="G118" t="str">
        <f>"08281612000101"</f>
        <v>08281612000101</v>
      </c>
      <c r="H118" t="str">
        <f>""</f>
        <v/>
      </c>
      <c r="I118" t="str">
        <f t="shared" si="38"/>
        <v>CONTA OPTICA</v>
      </c>
      <c r="J118" t="str">
        <f>"FRANCIANE DA SILVA PEREIRA OTICA ME"</f>
        <v>FRANCIANE DA SILVA PEREIRA OTICA ME</v>
      </c>
      <c r="K118" t="str">
        <f>"OTICA LUMINI (2150)"</f>
        <v>OTICA LUMINI (2150)</v>
      </c>
      <c r="L118" t="str">
        <f>""</f>
        <v/>
      </c>
      <c r="M118" t="str">
        <f>""</f>
        <v/>
      </c>
      <c r="N118" t="str">
        <f>"oticalumini@hotmail.com"</f>
        <v>oticalumini@hotmail.com</v>
      </c>
      <c r="O118" t="str">
        <f>""</f>
        <v/>
      </c>
      <c r="P118" t="str">
        <f>"RUA AV ANDRE RODRIGUES DE FREITAS"</f>
        <v>RUA AV ANDRE RODRIGUES DE FREITAS</v>
      </c>
      <c r="Q118" t="str">
        <f>"997"</f>
        <v>997</v>
      </c>
      <c r="R118" t="str">
        <f>""</f>
        <v/>
      </c>
      <c r="S118" t="str">
        <f>"1280"</f>
        <v>1280</v>
      </c>
      <c r="T118" t="str">
        <f>"89249000"</f>
        <v>89249000</v>
      </c>
      <c r="U118" t="str">
        <f>"BALNEARIO PEROLA"</f>
        <v>BALNEARIO PEROLA</v>
      </c>
      <c r="V118" t="str">
        <f>"ITAPOÁ"</f>
        <v>ITAPOÁ</v>
      </c>
      <c r="W118" t="str">
        <f t="shared" si="59"/>
        <v>SC</v>
      </c>
      <c r="X118" t="str">
        <f>"47"</f>
        <v>47</v>
      </c>
      <c r="Y118" t="str">
        <f>"34433948"</f>
        <v>34433948</v>
      </c>
      <c r="Z118" t="str">
        <f>""</f>
        <v/>
      </c>
      <c r="AA118" t="str">
        <f>""</f>
        <v/>
      </c>
      <c r="AB118" t="str">
        <f>""</f>
        <v/>
      </c>
      <c r="AC118" t="str">
        <f>""</f>
        <v/>
      </c>
      <c r="AD118" t="str">
        <f>""</f>
        <v/>
      </c>
      <c r="AE118" t="str">
        <f>""</f>
        <v/>
      </c>
      <c r="AF118" t="str">
        <f>""</f>
        <v/>
      </c>
      <c r="AG118" t="str">
        <f>""</f>
        <v/>
      </c>
      <c r="AH118" t="str">
        <f>""</f>
        <v/>
      </c>
      <c r="AI118" t="str">
        <f>""</f>
        <v/>
      </c>
      <c r="AJ118" t="str">
        <f>"0"</f>
        <v>0</v>
      </c>
      <c r="AK118" t="str">
        <f>"0"</f>
        <v>0</v>
      </c>
      <c r="AL118" t="str">
        <f>"0"</f>
        <v>0</v>
      </c>
      <c r="AM118" t="str">
        <f>""</f>
        <v/>
      </c>
      <c r="AN118" t="str">
        <f>""</f>
        <v/>
      </c>
      <c r="AO118" t="str">
        <f>""</f>
        <v/>
      </c>
      <c r="AP118" t="str">
        <f>""</f>
        <v/>
      </c>
      <c r="AQ118" t="str">
        <f>""</f>
        <v/>
      </c>
      <c r="AR118" t="str">
        <f>""</f>
        <v/>
      </c>
      <c r="AS118" t="str">
        <f>""</f>
        <v/>
      </c>
      <c r="AT118" t="str">
        <f>""</f>
        <v/>
      </c>
      <c r="AU118" t="str">
        <f>""</f>
        <v/>
      </c>
      <c r="AV118" t="str">
        <f>""</f>
        <v/>
      </c>
      <c r="AW118" t="str">
        <f>""</f>
        <v/>
      </c>
      <c r="AX118" t="str">
        <f>""</f>
        <v/>
      </c>
      <c r="AY118" t="str">
        <f>""</f>
        <v/>
      </c>
      <c r="AZ118" t="str">
        <f>""</f>
        <v/>
      </c>
      <c r="BA118" t="str">
        <f>""</f>
        <v/>
      </c>
      <c r="BB118" t="str">
        <f>"27/07/2018 09:25:54"</f>
        <v>27/07/2018 09:25:54</v>
      </c>
      <c r="BC118" t="str">
        <f>""</f>
        <v/>
      </c>
      <c r="BD118" t="str">
        <f>""</f>
        <v/>
      </c>
      <c r="BE118" t="str">
        <f>"931"</f>
        <v>931</v>
      </c>
      <c r="BF118" t="str">
        <f t="shared" si="39"/>
        <v>A</v>
      </c>
      <c r="BG118" t="str">
        <f>"0,00"</f>
        <v>0,00</v>
      </c>
      <c r="BH118" t="str">
        <f>"0,00"</f>
        <v>0,00</v>
      </c>
      <c r="BI118" t="str">
        <f t="shared" si="53"/>
        <v>EVENTUAL</v>
      </c>
      <c r="BJ118" t="str">
        <f t="shared" si="41"/>
        <v>1</v>
      </c>
      <c r="BK118" t="str">
        <f t="shared" si="42"/>
        <v>Farmacia</v>
      </c>
      <c r="BL118" t="str">
        <f>""</f>
        <v/>
      </c>
      <c r="BM118" t="str">
        <f>"NÃO É VARILUX ESPECIALISTA"</f>
        <v>NÃO É VARILUX ESPECIALISTA</v>
      </c>
      <c r="BN118" t="str">
        <f>"NA"</f>
        <v>NA</v>
      </c>
      <c r="BO118" t="str">
        <f>"OUTROS"</f>
        <v>OUTROS</v>
      </c>
      <c r="BP118" t="str">
        <f>""</f>
        <v/>
      </c>
      <c r="BQ118" t="str">
        <f>""</f>
        <v/>
      </c>
      <c r="BR118" t="str">
        <f>"27/07/2018"</f>
        <v>27/07/2018</v>
      </c>
      <c r="BS118" t="str">
        <f>""</f>
        <v/>
      </c>
      <c r="BT118" t="str">
        <f>""</f>
        <v/>
      </c>
      <c r="BU118" t="str">
        <f>""</f>
        <v/>
      </c>
      <c r="BV118" t="str">
        <f>"9"</f>
        <v>9</v>
      </c>
      <c r="BW118" t="str">
        <f>"52"</f>
        <v>52</v>
      </c>
    </row>
    <row r="119" spans="1:75" x14ac:dyDescent="0.35">
      <c r="A119">
        <v>157534</v>
      </c>
      <c r="B119" t="str">
        <f t="shared" si="33"/>
        <v>A</v>
      </c>
      <c r="C119" t="str">
        <f t="shared" si="34"/>
        <v>80</v>
      </c>
      <c r="D119" t="str">
        <f t="shared" si="35"/>
        <v>11121001</v>
      </c>
      <c r="E119" t="str">
        <f t="shared" si="36"/>
        <v>121001</v>
      </c>
      <c r="F119" t="str">
        <f t="shared" si="37"/>
        <v>JENIFER SANTOS</v>
      </c>
      <c r="G119" t="str">
        <f>"27613403000162"</f>
        <v>27613403000162</v>
      </c>
      <c r="H119" t="str">
        <f>"0"</f>
        <v>0</v>
      </c>
      <c r="I119" t="str">
        <f t="shared" si="38"/>
        <v>CONTA OPTICA</v>
      </c>
      <c r="J119" t="str">
        <f>"G A PRODUTOS OPTICOS LTDA - ME"</f>
        <v>G A PRODUTOS OPTICOS LTDA - ME</v>
      </c>
      <c r="K119" t="str">
        <f>"ÓTICA ZARO (3779)"</f>
        <v>ÓTICA ZARO (3779)</v>
      </c>
      <c r="L119" t="str">
        <f>""</f>
        <v/>
      </c>
      <c r="M119" t="str">
        <f>""</f>
        <v/>
      </c>
      <c r="N119" t="str">
        <f>"OTICASZARO@GMAIL.COM"</f>
        <v>OTICASZARO@GMAIL.COM</v>
      </c>
      <c r="O119" t="str">
        <f>""</f>
        <v/>
      </c>
      <c r="P119" t="str">
        <f>"RUA MARECHAL DEODORO"</f>
        <v>RUA MARECHAL DEODORO</v>
      </c>
      <c r="Q119" t="str">
        <f>"615"</f>
        <v>615</v>
      </c>
      <c r="R119" t="str">
        <f>""</f>
        <v/>
      </c>
      <c r="S119" t="str">
        <f>"1286"</f>
        <v>1286</v>
      </c>
      <c r="T119" t="str">
        <f>"89700001"</f>
        <v>89700001</v>
      </c>
      <c r="U119" t="str">
        <f>"CENTRO"</f>
        <v>CENTRO</v>
      </c>
      <c r="V119" t="str">
        <f>"CONCORDIA"</f>
        <v>CONCORDIA</v>
      </c>
      <c r="W119" t="str">
        <f t="shared" si="59"/>
        <v>SC</v>
      </c>
      <c r="X119" t="str">
        <f>"49"</f>
        <v>49</v>
      </c>
      <c r="Y119" t="str">
        <f>"34446197"</f>
        <v>34446197</v>
      </c>
      <c r="Z119" t="str">
        <f>""</f>
        <v/>
      </c>
      <c r="AA119" t="str">
        <f>""</f>
        <v/>
      </c>
      <c r="AB119" t="str">
        <f>""</f>
        <v/>
      </c>
      <c r="AC119" t="str">
        <f>""</f>
        <v/>
      </c>
      <c r="AD119" t="str">
        <f>""</f>
        <v/>
      </c>
      <c r="AE119" t="str">
        <f>""</f>
        <v/>
      </c>
      <c r="AF119" t="str">
        <f>""</f>
        <v/>
      </c>
      <c r="AG119" t="str">
        <f>""</f>
        <v/>
      </c>
      <c r="AH119" t="str">
        <f>""</f>
        <v/>
      </c>
      <c r="AI119" t="str">
        <f>""</f>
        <v/>
      </c>
      <c r="AJ119" t="str">
        <f>""</f>
        <v/>
      </c>
      <c r="AK119" t="str">
        <f>""</f>
        <v/>
      </c>
      <c r="AL119" t="str">
        <f>""</f>
        <v/>
      </c>
      <c r="AM119" t="str">
        <f>""</f>
        <v/>
      </c>
      <c r="AN119" t="str">
        <f>""</f>
        <v/>
      </c>
      <c r="AO119" t="str">
        <f>""</f>
        <v/>
      </c>
      <c r="AP119" t="str">
        <f>""</f>
        <v/>
      </c>
      <c r="AQ119" t="str">
        <f>""</f>
        <v/>
      </c>
      <c r="AR119" t="str">
        <f>""</f>
        <v/>
      </c>
      <c r="AS119" t="str">
        <f>""</f>
        <v/>
      </c>
      <c r="AT119" t="str">
        <f>""</f>
        <v/>
      </c>
      <c r="AU119" t="str">
        <f>""</f>
        <v/>
      </c>
      <c r="AV119" t="str">
        <f>""</f>
        <v/>
      </c>
      <c r="AW119" t="str">
        <f>""</f>
        <v/>
      </c>
      <c r="AX119" t="str">
        <f>""</f>
        <v/>
      </c>
      <c r="AY119" t="str">
        <f>""</f>
        <v/>
      </c>
      <c r="AZ119" t="str">
        <f>""</f>
        <v/>
      </c>
      <c r="BA119" t="str">
        <f>""</f>
        <v/>
      </c>
      <c r="BB119" t="str">
        <f>"11/07/2023 02:14:29"</f>
        <v>11/07/2023 02:14:29</v>
      </c>
      <c r="BC119" t="str">
        <f>""</f>
        <v/>
      </c>
      <c r="BD119" t="str">
        <f>""</f>
        <v/>
      </c>
      <c r="BE119" t="str">
        <f>""</f>
        <v/>
      </c>
      <c r="BF119" t="str">
        <f t="shared" si="39"/>
        <v>A</v>
      </c>
      <c r="BG119" t="str">
        <f>""</f>
        <v/>
      </c>
      <c r="BH119" t="str">
        <f>""</f>
        <v/>
      </c>
      <c r="BI119" t="str">
        <f t="shared" si="53"/>
        <v>EVENTUAL</v>
      </c>
      <c r="BJ119" t="str">
        <f t="shared" si="41"/>
        <v>1</v>
      </c>
      <c r="BK119" t="str">
        <f t="shared" si="42"/>
        <v>Farmacia</v>
      </c>
      <c r="BL119" t="str">
        <f>""</f>
        <v/>
      </c>
      <c r="BM119" t="str">
        <f>""</f>
        <v/>
      </c>
      <c r="BN119" t="str">
        <f>""</f>
        <v/>
      </c>
      <c r="BO119" t="str">
        <f>""</f>
        <v/>
      </c>
      <c r="BP119" t="str">
        <f>""</f>
        <v/>
      </c>
      <c r="BQ119" t="str">
        <f>""</f>
        <v/>
      </c>
      <c r="BR119" t="str">
        <f>"11/07/2023"</f>
        <v>11/07/2023</v>
      </c>
      <c r="BS119" t="str">
        <f>""</f>
        <v/>
      </c>
      <c r="BT119" t="str">
        <f>""</f>
        <v/>
      </c>
      <c r="BU119" t="str">
        <f>""</f>
        <v/>
      </c>
      <c r="BV119" t="str">
        <f>""</f>
        <v/>
      </c>
      <c r="BW119" t="str">
        <f>"Não visitado"</f>
        <v>Não visitado</v>
      </c>
    </row>
    <row r="120" spans="1:75" x14ac:dyDescent="0.35">
      <c r="A120">
        <v>138045</v>
      </c>
      <c r="B120" t="str">
        <f t="shared" si="33"/>
        <v>A</v>
      </c>
      <c r="C120" t="str">
        <f t="shared" si="34"/>
        <v>80</v>
      </c>
      <c r="D120" t="str">
        <f t="shared" si="35"/>
        <v>11121001</v>
      </c>
      <c r="E120" t="str">
        <f t="shared" si="36"/>
        <v>121001</v>
      </c>
      <c r="F120" t="str">
        <f t="shared" si="37"/>
        <v>JENIFER SANTOS</v>
      </c>
      <c r="G120" t="str">
        <f>"13024800000194"</f>
        <v>13024800000194</v>
      </c>
      <c r="H120" t="str">
        <f>"0"</f>
        <v>0</v>
      </c>
      <c r="I120" t="str">
        <f t="shared" si="38"/>
        <v>CONTA OPTICA</v>
      </c>
      <c r="J120" t="str">
        <f>"GASPAMELO JOALHERIA LTDA"</f>
        <v>GASPAMELO JOALHERIA LTDA</v>
      </c>
      <c r="K120" t="str">
        <f>"TONI JOALHERIA (1808)"</f>
        <v>TONI JOALHERIA (1808)</v>
      </c>
      <c r="L120" t="str">
        <f>""</f>
        <v/>
      </c>
      <c r="M120" t="str">
        <f>""</f>
        <v/>
      </c>
      <c r="N120" t="str">
        <f>"otica_tonipzo@hotmail.com"</f>
        <v>otica_tonipzo@hotmail.com</v>
      </c>
      <c r="O120" t="str">
        <f>""</f>
        <v/>
      </c>
      <c r="P120" t="str">
        <f>"AVENIDA BELEM"</f>
        <v>AVENIDA BELEM</v>
      </c>
      <c r="Q120" t="str">
        <f>"1415"</f>
        <v>1415</v>
      </c>
      <c r="R120" t="str">
        <f>"SALA 2"</f>
        <v>SALA 2</v>
      </c>
      <c r="S120" t="str">
        <f>"1288"</f>
        <v>1288</v>
      </c>
      <c r="T120" t="str">
        <f>"89870000"</f>
        <v>89870000</v>
      </c>
      <c r="U120" t="str">
        <f>"CENTRO"</f>
        <v>CENTRO</v>
      </c>
      <c r="V120" t="str">
        <f>"PINHALZINHO"</f>
        <v>PINHALZINHO</v>
      </c>
      <c r="W120" t="str">
        <f t="shared" si="59"/>
        <v>SC</v>
      </c>
      <c r="X120" t="str">
        <f>"49"</f>
        <v>49</v>
      </c>
      <c r="Y120" t="str">
        <f>"33663556"</f>
        <v>33663556</v>
      </c>
      <c r="Z120" t="str">
        <f>""</f>
        <v/>
      </c>
      <c r="AA120" t="str">
        <f>""</f>
        <v/>
      </c>
      <c r="AB120" t="str">
        <f>""</f>
        <v/>
      </c>
      <c r="AC120" t="str">
        <f>""</f>
        <v/>
      </c>
      <c r="AD120" t="str">
        <f>""</f>
        <v/>
      </c>
      <c r="AE120" t="str">
        <f>""</f>
        <v/>
      </c>
      <c r="AF120" t="str">
        <f>""</f>
        <v/>
      </c>
      <c r="AG120" t="str">
        <f>"S"</f>
        <v>S</v>
      </c>
      <c r="AH120" t="str">
        <f>""</f>
        <v/>
      </c>
      <c r="AI120" t="str">
        <f>""</f>
        <v/>
      </c>
      <c r="AJ120" t="str">
        <f>""</f>
        <v/>
      </c>
      <c r="AK120" t="str">
        <f>""</f>
        <v/>
      </c>
      <c r="AL120" t="str">
        <f>""</f>
        <v/>
      </c>
      <c r="AM120" t="str">
        <f>""</f>
        <v/>
      </c>
      <c r="AN120" t="str">
        <f>""</f>
        <v/>
      </c>
      <c r="AO120" t="str">
        <f>""</f>
        <v/>
      </c>
      <c r="AP120" t="str">
        <f>""</f>
        <v/>
      </c>
      <c r="AQ120" t="str">
        <f>"N"</f>
        <v>N</v>
      </c>
      <c r="AR120" t="str">
        <f>"N"</f>
        <v>N</v>
      </c>
      <c r="AS120" t="str">
        <f>"N"</f>
        <v>N</v>
      </c>
      <c r="AT120" t="str">
        <f>"N"</f>
        <v>N</v>
      </c>
      <c r="AU120" t="str">
        <f>"N"</f>
        <v>N</v>
      </c>
      <c r="AV120" t="str">
        <f>""</f>
        <v/>
      </c>
      <c r="AW120" t="str">
        <f>""</f>
        <v/>
      </c>
      <c r="AX120" t="str">
        <f>""</f>
        <v/>
      </c>
      <c r="AY120" t="str">
        <f>""</f>
        <v/>
      </c>
      <c r="AZ120" t="str">
        <f>""</f>
        <v/>
      </c>
      <c r="BA120" t="str">
        <f>""</f>
        <v/>
      </c>
      <c r="BB120" t="str">
        <f>"01/07/2021 13:53:04"</f>
        <v>01/07/2021 13:53:04</v>
      </c>
      <c r="BC120" t="str">
        <f>"15/10/2021 10:20:56"</f>
        <v>15/10/2021 10:20:56</v>
      </c>
      <c r="BD120" t="str">
        <f>""</f>
        <v/>
      </c>
      <c r="BE120" t="str">
        <f>""</f>
        <v/>
      </c>
      <c r="BF120" t="str">
        <f t="shared" si="39"/>
        <v>A</v>
      </c>
      <c r="BG120" t="str">
        <f>""</f>
        <v/>
      </c>
      <c r="BH120" t="str">
        <f>"0,00"</f>
        <v>0,00</v>
      </c>
      <c r="BI120" t="str">
        <f t="shared" si="53"/>
        <v>EVENTUAL</v>
      </c>
      <c r="BJ120" t="str">
        <f t="shared" si="41"/>
        <v>1</v>
      </c>
      <c r="BK120" t="str">
        <f t="shared" si="42"/>
        <v>Farmacia</v>
      </c>
      <c r="BL120" t="str">
        <f>""</f>
        <v/>
      </c>
      <c r="BM120" t="str">
        <f t="shared" ref="BM120:BM125" si="61">"NÃO É VARILUX ESPECIALISTA"</f>
        <v>NÃO É VARILUX ESPECIALISTA</v>
      </c>
      <c r="BN120" t="str">
        <f>"NA"</f>
        <v>NA</v>
      </c>
      <c r="BO120" t="str">
        <f>"OUTROS"</f>
        <v>OUTROS</v>
      </c>
      <c r="BP120" t="str">
        <f>""</f>
        <v/>
      </c>
      <c r="BQ120" t="str">
        <f>""</f>
        <v/>
      </c>
      <c r="BR120" t="str">
        <f>"01/07/2021"</f>
        <v>01/07/2021</v>
      </c>
      <c r="BS120" t="str">
        <f>"15/10/2021"</f>
        <v>15/10/2021</v>
      </c>
      <c r="BT120" t="str">
        <f>""</f>
        <v/>
      </c>
      <c r="BU120" t="str">
        <f>""</f>
        <v/>
      </c>
      <c r="BV120" t="str">
        <f>""</f>
        <v/>
      </c>
      <c r="BW120" t="str">
        <f>"Não visitado"</f>
        <v>Não visitado</v>
      </c>
    </row>
    <row r="121" spans="1:75" x14ac:dyDescent="0.35">
      <c r="A121">
        <v>144516</v>
      </c>
      <c r="B121" t="str">
        <f t="shared" si="33"/>
        <v>A</v>
      </c>
      <c r="C121" t="str">
        <f t="shared" si="34"/>
        <v>80</v>
      </c>
      <c r="D121" t="str">
        <f t="shared" si="35"/>
        <v>11121001</v>
      </c>
      <c r="E121" t="str">
        <f t="shared" si="36"/>
        <v>121001</v>
      </c>
      <c r="F121" t="str">
        <f t="shared" si="37"/>
        <v>JENIFER SANTOS</v>
      </c>
      <c r="G121" t="str">
        <f>"23009534000184"</f>
        <v>23009534000184</v>
      </c>
      <c r="H121" t="str">
        <f>""</f>
        <v/>
      </c>
      <c r="I121" t="str">
        <f t="shared" si="38"/>
        <v>CONTA OPTICA</v>
      </c>
      <c r="J121" t="str">
        <f>"GH PRODUTOS OTICOS EIRELI"</f>
        <v>GH PRODUTOS OTICOS EIRELI</v>
      </c>
      <c r="K121" t="str">
        <f>"SIDY RELOJOARIA E OTICA (4014)"</f>
        <v>SIDY RELOJOARIA E OTICA (4014)</v>
      </c>
      <c r="L121" t="str">
        <f>""</f>
        <v/>
      </c>
      <c r="M121" t="str">
        <f>""</f>
        <v/>
      </c>
      <c r="N121" t="str">
        <f>"contato@sidyrelojoariaeotica.com.br"</f>
        <v>contato@sidyrelojoariaeotica.com.br</v>
      </c>
      <c r="O121" t="str">
        <f>""</f>
        <v/>
      </c>
      <c r="P121" t="str">
        <f>"AVENIDA GETULIO VARGAS"</f>
        <v>AVENIDA GETULIO VARGAS</v>
      </c>
      <c r="Q121" t="str">
        <f>"594"</f>
        <v>594</v>
      </c>
      <c r="R121" t="str">
        <f>""</f>
        <v/>
      </c>
      <c r="S121" t="str">
        <f>"1277"</f>
        <v>1277</v>
      </c>
      <c r="T121" t="str">
        <f>"89202000"</f>
        <v>89202000</v>
      </c>
      <c r="U121" t="str">
        <f>"ANITA GARIBALDI"</f>
        <v>ANITA GARIBALDI</v>
      </c>
      <c r="V121" t="str">
        <f>"JOINVILLE"</f>
        <v>JOINVILLE</v>
      </c>
      <c r="W121" t="str">
        <f t="shared" si="59"/>
        <v>SC</v>
      </c>
      <c r="X121" t="str">
        <f>"47"</f>
        <v>47</v>
      </c>
      <c r="Y121" t="str">
        <f>"30256592"</f>
        <v>30256592</v>
      </c>
      <c r="Z121" t="str">
        <f>""</f>
        <v/>
      </c>
      <c r="AA121" t="str">
        <f>""</f>
        <v/>
      </c>
      <c r="AB121" t="str">
        <f>""</f>
        <v/>
      </c>
      <c r="AC121" t="str">
        <f>""</f>
        <v/>
      </c>
      <c r="AD121" t="str">
        <f>""</f>
        <v/>
      </c>
      <c r="AE121" t="str">
        <f>""</f>
        <v/>
      </c>
      <c r="AF121" t="str">
        <f>""</f>
        <v/>
      </c>
      <c r="AG121" t="str">
        <f>""</f>
        <v/>
      </c>
      <c r="AH121" t="str">
        <f>""</f>
        <v/>
      </c>
      <c r="AI121" t="str">
        <f>""</f>
        <v/>
      </c>
      <c r="AJ121" t="str">
        <f>""</f>
        <v/>
      </c>
      <c r="AK121" t="str">
        <f>""</f>
        <v/>
      </c>
      <c r="AL121" t="str">
        <f>""</f>
        <v/>
      </c>
      <c r="AM121" t="str">
        <f>""</f>
        <v/>
      </c>
      <c r="AN121" t="str">
        <f>""</f>
        <v/>
      </c>
      <c r="AO121" t="str">
        <f>""</f>
        <v/>
      </c>
      <c r="AP121" t="str">
        <f>""</f>
        <v/>
      </c>
      <c r="AQ121" t="str">
        <f>""</f>
        <v/>
      </c>
      <c r="AR121" t="str">
        <f>""</f>
        <v/>
      </c>
      <c r="AS121" t="str">
        <f>""</f>
        <v/>
      </c>
      <c r="AT121" t="str">
        <f>""</f>
        <v/>
      </c>
      <c r="AU121" t="str">
        <f>""</f>
        <v/>
      </c>
      <c r="AV121" t="str">
        <f>""</f>
        <v/>
      </c>
      <c r="AW121" t="str">
        <f>""</f>
        <v/>
      </c>
      <c r="AX121" t="str">
        <f>""</f>
        <v/>
      </c>
      <c r="AY121" t="str">
        <f>""</f>
        <v/>
      </c>
      <c r="AZ121" t="str">
        <f>""</f>
        <v/>
      </c>
      <c r="BA121" t="str">
        <f>""</f>
        <v/>
      </c>
      <c r="BB121" t="str">
        <f>""</f>
        <v/>
      </c>
      <c r="BC121" t="str">
        <f>""</f>
        <v/>
      </c>
      <c r="BD121" t="str">
        <f>""</f>
        <v/>
      </c>
      <c r="BE121" t="str">
        <f>""</f>
        <v/>
      </c>
      <c r="BF121" t="str">
        <f t="shared" si="39"/>
        <v>A</v>
      </c>
      <c r="BG121" t="str">
        <f>""</f>
        <v/>
      </c>
      <c r="BH121" t="str">
        <f>""</f>
        <v/>
      </c>
      <c r="BI121" t="str">
        <f t="shared" si="53"/>
        <v>EVENTUAL</v>
      </c>
      <c r="BJ121" t="str">
        <f t="shared" si="41"/>
        <v>1</v>
      </c>
      <c r="BK121" t="str">
        <f t="shared" si="42"/>
        <v>Farmacia</v>
      </c>
      <c r="BL121" t="str">
        <f>""</f>
        <v/>
      </c>
      <c r="BM121" t="str">
        <f t="shared" si="61"/>
        <v>NÃO É VARILUX ESPECIALISTA</v>
      </c>
      <c r="BN121" t="str">
        <f>"NA"</f>
        <v>NA</v>
      </c>
      <c r="BO121" t="str">
        <f>"FOCO VARILUX"</f>
        <v>FOCO VARILUX</v>
      </c>
      <c r="BP121" t="str">
        <f>""</f>
        <v/>
      </c>
      <c r="BQ121" t="str">
        <f>""</f>
        <v/>
      </c>
      <c r="BR121" t="str">
        <f>""</f>
        <v/>
      </c>
      <c r="BS121" t="str">
        <f>""</f>
        <v/>
      </c>
      <c r="BT121" t="str">
        <f>""</f>
        <v/>
      </c>
      <c r="BU121" t="str">
        <f>""</f>
        <v/>
      </c>
      <c r="BV121" t="str">
        <f>"9"</f>
        <v>9</v>
      </c>
      <c r="BW121" t="str">
        <f>"Não visitado"</f>
        <v>Não visitado</v>
      </c>
    </row>
    <row r="122" spans="1:75" x14ac:dyDescent="0.35">
      <c r="A122">
        <v>138048</v>
      </c>
      <c r="B122" t="str">
        <f t="shared" si="33"/>
        <v>A</v>
      </c>
      <c r="C122" t="str">
        <f t="shared" si="34"/>
        <v>80</v>
      </c>
      <c r="D122" t="str">
        <f t="shared" si="35"/>
        <v>11121001</v>
      </c>
      <c r="E122" t="str">
        <f t="shared" si="36"/>
        <v>121001</v>
      </c>
      <c r="F122" t="str">
        <f t="shared" si="37"/>
        <v>JENIFER SANTOS</v>
      </c>
      <c r="G122" t="str">
        <f>"79233904000117"</f>
        <v>79233904000117</v>
      </c>
      <c r="H122" t="str">
        <f t="shared" ref="H122:H130" si="62">"0"</f>
        <v>0</v>
      </c>
      <c r="I122" t="str">
        <f t="shared" si="38"/>
        <v>CONTA OPTICA</v>
      </c>
      <c r="J122" t="str">
        <f>"GHENO JOIAS LTDA  ME"</f>
        <v>GHENO JOIAS LTDA  ME</v>
      </c>
      <c r="K122" t="str">
        <f>"GUENO JOIAS LTDA (787)"</f>
        <v>GUENO JOIAS LTDA (787)</v>
      </c>
      <c r="L122" t="str">
        <f>""</f>
        <v/>
      </c>
      <c r="M122" t="str">
        <f>""</f>
        <v/>
      </c>
      <c r="N122" t="str">
        <f>"gheno@seara.psi.br"</f>
        <v>gheno@seara.psi.br</v>
      </c>
      <c r="O122" t="str">
        <f>""</f>
        <v/>
      </c>
      <c r="P122" t="str">
        <f>"AVENIDA ANITA GARIBALDI"</f>
        <v>AVENIDA ANITA GARIBALDI</v>
      </c>
      <c r="Q122" t="str">
        <f>"189"</f>
        <v>189</v>
      </c>
      <c r="R122" t="str">
        <f>""</f>
        <v/>
      </c>
      <c r="S122" t="str">
        <f>"1286"</f>
        <v>1286</v>
      </c>
      <c r="T122" t="str">
        <f>"89770000"</f>
        <v>89770000</v>
      </c>
      <c r="U122" t="str">
        <f>"CENTRO"</f>
        <v>CENTRO</v>
      </c>
      <c r="V122" t="str">
        <f>"SEARA"</f>
        <v>SEARA</v>
      </c>
      <c r="W122" t="str">
        <f t="shared" si="59"/>
        <v>SC</v>
      </c>
      <c r="X122" t="str">
        <f>"49"</f>
        <v>49</v>
      </c>
      <c r="Y122" t="str">
        <f>"34522284"</f>
        <v>34522284</v>
      </c>
      <c r="Z122" t="str">
        <f>""</f>
        <v/>
      </c>
      <c r="AA122" t="str">
        <f>""</f>
        <v/>
      </c>
      <c r="AB122" t="str">
        <f>""</f>
        <v/>
      </c>
      <c r="AC122" t="str">
        <f>""</f>
        <v/>
      </c>
      <c r="AD122" t="str">
        <f>""</f>
        <v/>
      </c>
      <c r="AE122" t="str">
        <f>""</f>
        <v/>
      </c>
      <c r="AF122" t="str">
        <f>""</f>
        <v/>
      </c>
      <c r="AG122" t="str">
        <f>"S"</f>
        <v>S</v>
      </c>
      <c r="AH122" t="str">
        <f>""</f>
        <v/>
      </c>
      <c r="AI122" t="str">
        <f>""</f>
        <v/>
      </c>
      <c r="AJ122" t="str">
        <f>""</f>
        <v/>
      </c>
      <c r="AK122" t="str">
        <f>""</f>
        <v/>
      </c>
      <c r="AL122" t="str">
        <f>""</f>
        <v/>
      </c>
      <c r="AM122" t="str">
        <f>""</f>
        <v/>
      </c>
      <c r="AN122" t="str">
        <f>""</f>
        <v/>
      </c>
      <c r="AO122" t="str">
        <f>""</f>
        <v/>
      </c>
      <c r="AP122" t="str">
        <f>""</f>
        <v/>
      </c>
      <c r="AQ122" t="str">
        <f>"N"</f>
        <v>N</v>
      </c>
      <c r="AR122" t="str">
        <f>"N"</f>
        <v>N</v>
      </c>
      <c r="AS122" t="str">
        <f>"N"</f>
        <v>N</v>
      </c>
      <c r="AT122" t="str">
        <f>"N"</f>
        <v>N</v>
      </c>
      <c r="AU122" t="str">
        <f>"N"</f>
        <v>N</v>
      </c>
      <c r="AV122" t="str">
        <f>""</f>
        <v/>
      </c>
      <c r="AW122" t="str">
        <f>""</f>
        <v/>
      </c>
      <c r="AX122" t="str">
        <f>""</f>
        <v/>
      </c>
      <c r="AY122" t="str">
        <f>""</f>
        <v/>
      </c>
      <c r="AZ122" t="str">
        <f>""</f>
        <v/>
      </c>
      <c r="BA122" t="str">
        <f>""</f>
        <v/>
      </c>
      <c r="BB122" t="str">
        <f>"01/07/2021 13:53:04"</f>
        <v>01/07/2021 13:53:04</v>
      </c>
      <c r="BC122" t="str">
        <f>"10/11/2021 10:46:22"</f>
        <v>10/11/2021 10:46:22</v>
      </c>
      <c r="BD122" t="str">
        <f>""</f>
        <v/>
      </c>
      <c r="BE122" t="str">
        <f>""</f>
        <v/>
      </c>
      <c r="BF122" t="str">
        <f t="shared" si="39"/>
        <v>A</v>
      </c>
      <c r="BG122" t="str">
        <f>""</f>
        <v/>
      </c>
      <c r="BH122" t="str">
        <f>"0,00"</f>
        <v>0,00</v>
      </c>
      <c r="BI122" t="str">
        <f t="shared" si="53"/>
        <v>EVENTUAL</v>
      </c>
      <c r="BJ122" t="str">
        <f t="shared" si="41"/>
        <v>1</v>
      </c>
      <c r="BK122" t="str">
        <f t="shared" si="42"/>
        <v>Farmacia</v>
      </c>
      <c r="BL122" t="str">
        <f>""</f>
        <v/>
      </c>
      <c r="BM122" t="str">
        <f t="shared" si="61"/>
        <v>NÃO É VARILUX ESPECIALISTA</v>
      </c>
      <c r="BN122" t="str">
        <f>"NA"</f>
        <v>NA</v>
      </c>
      <c r="BO122" t="str">
        <f>"OUTROS"</f>
        <v>OUTROS</v>
      </c>
      <c r="BP122" t="str">
        <f>""</f>
        <v/>
      </c>
      <c r="BQ122" t="str">
        <f>""</f>
        <v/>
      </c>
      <c r="BR122" t="str">
        <f>"01/07/2021"</f>
        <v>01/07/2021</v>
      </c>
      <c r="BS122" t="str">
        <f>"10/11/2021"</f>
        <v>10/11/2021</v>
      </c>
      <c r="BT122" t="str">
        <f>""</f>
        <v/>
      </c>
      <c r="BU122" t="str">
        <f>""</f>
        <v/>
      </c>
      <c r="BV122" t="str">
        <f>""</f>
        <v/>
      </c>
      <c r="BW122" t="str">
        <f>"46"</f>
        <v>46</v>
      </c>
    </row>
    <row r="123" spans="1:75" x14ac:dyDescent="0.35">
      <c r="A123">
        <v>141884</v>
      </c>
      <c r="B123" t="str">
        <f t="shared" si="33"/>
        <v>A</v>
      </c>
      <c r="C123" t="str">
        <f t="shared" si="34"/>
        <v>80</v>
      </c>
      <c r="D123" t="str">
        <f t="shared" si="35"/>
        <v>11121001</v>
      </c>
      <c r="E123" t="str">
        <f t="shared" si="36"/>
        <v>121001</v>
      </c>
      <c r="F123" t="str">
        <f t="shared" si="37"/>
        <v>JENIFER SANTOS</v>
      </c>
      <c r="G123" t="str">
        <f>"06103031000154"</f>
        <v>06103031000154</v>
      </c>
      <c r="H123" t="str">
        <f t="shared" si="62"/>
        <v>0</v>
      </c>
      <c r="I123" t="str">
        <f t="shared" si="38"/>
        <v>CONTA OPTICA</v>
      </c>
      <c r="J123" t="str">
        <f>"GILBERTO NINAUS"</f>
        <v>GILBERTO NINAUS</v>
      </c>
      <c r="K123" t="str">
        <f>"JOALHERIA E OPTICA VENTO SUL (4004)"</f>
        <v>JOALHERIA E OPTICA VENTO SUL (4004)</v>
      </c>
      <c r="L123" t="str">
        <f>""</f>
        <v/>
      </c>
      <c r="M123" t="str">
        <f>""</f>
        <v/>
      </c>
      <c r="N123" t="str">
        <f>"JVENTOSUL@HOTMAIL.COM"</f>
        <v>JVENTOSUL@HOTMAIL.COM</v>
      </c>
      <c r="O123" t="str">
        <f>""</f>
        <v/>
      </c>
      <c r="P123" t="str">
        <f>"RUA GUARITA"</f>
        <v>RUA GUARITA</v>
      </c>
      <c r="Q123" t="str">
        <f>"29"</f>
        <v>29</v>
      </c>
      <c r="R123" t="str">
        <f>"B"</f>
        <v>B</v>
      </c>
      <c r="S123" t="str">
        <f>""</f>
        <v/>
      </c>
      <c r="T123" t="str">
        <f>"98500000"</f>
        <v>98500000</v>
      </c>
      <c r="U123" t="str">
        <f>"CENTRO"</f>
        <v>CENTRO</v>
      </c>
      <c r="V123" t="str">
        <f>"TENENTE PORTELA"</f>
        <v>TENENTE PORTELA</v>
      </c>
      <c r="W123" t="str">
        <f>"RS"</f>
        <v>RS</v>
      </c>
      <c r="X123" t="str">
        <f>"55"</f>
        <v>55</v>
      </c>
      <c r="Y123" t="str">
        <f>"35512996"</f>
        <v>35512996</v>
      </c>
      <c r="Z123" t="str">
        <f>""</f>
        <v/>
      </c>
      <c r="AA123" t="str">
        <f>""</f>
        <v/>
      </c>
      <c r="AB123" t="str">
        <f>""</f>
        <v/>
      </c>
      <c r="AC123" t="str">
        <f>""</f>
        <v/>
      </c>
      <c r="AD123" t="str">
        <f>""</f>
        <v/>
      </c>
      <c r="AE123" t="str">
        <f>""</f>
        <v/>
      </c>
      <c r="AF123" t="str">
        <f>""</f>
        <v/>
      </c>
      <c r="AG123" t="str">
        <f>""</f>
        <v/>
      </c>
      <c r="AH123" t="str">
        <f>""</f>
        <v/>
      </c>
      <c r="AI123" t="str">
        <f>""</f>
        <v/>
      </c>
      <c r="AJ123" t="str">
        <f>""</f>
        <v/>
      </c>
      <c r="AK123" t="str">
        <f>""</f>
        <v/>
      </c>
      <c r="AL123" t="str">
        <f>""</f>
        <v/>
      </c>
      <c r="AM123" t="str">
        <f>""</f>
        <v/>
      </c>
      <c r="AN123" t="str">
        <f>""</f>
        <v/>
      </c>
      <c r="AO123" t="str">
        <f>""</f>
        <v/>
      </c>
      <c r="AP123" t="str">
        <f>""</f>
        <v/>
      </c>
      <c r="AQ123" t="str">
        <f>""</f>
        <v/>
      </c>
      <c r="AR123" t="str">
        <f>""</f>
        <v/>
      </c>
      <c r="AS123" t="str">
        <f>""</f>
        <v/>
      </c>
      <c r="AT123" t="str">
        <f>""</f>
        <v/>
      </c>
      <c r="AU123" t="str">
        <f>""</f>
        <v/>
      </c>
      <c r="AV123" t="str">
        <f>""</f>
        <v/>
      </c>
      <c r="AW123" t="str">
        <f>""</f>
        <v/>
      </c>
      <c r="AX123" t="str">
        <f>""</f>
        <v/>
      </c>
      <c r="AY123" t="str">
        <f>""</f>
        <v/>
      </c>
      <c r="AZ123" t="str">
        <f>""</f>
        <v/>
      </c>
      <c r="BA123" t="str">
        <f>""</f>
        <v/>
      </c>
      <c r="BB123" t="str">
        <f>"28/10/2021 19:34:33"</f>
        <v>28/10/2021 19:34:33</v>
      </c>
      <c r="BC123" t="str">
        <f>""</f>
        <v/>
      </c>
      <c r="BD123" t="str">
        <f>""</f>
        <v/>
      </c>
      <c r="BE123" t="str">
        <f>""</f>
        <v/>
      </c>
      <c r="BF123" t="str">
        <f t="shared" si="39"/>
        <v>A</v>
      </c>
      <c r="BG123" t="str">
        <f>""</f>
        <v/>
      </c>
      <c r="BH123" t="str">
        <f>""</f>
        <v/>
      </c>
      <c r="BI123" t="str">
        <f t="shared" si="53"/>
        <v>EVENTUAL</v>
      </c>
      <c r="BJ123" t="str">
        <f t="shared" si="41"/>
        <v>1</v>
      </c>
      <c r="BK123" t="str">
        <f t="shared" si="42"/>
        <v>Farmacia</v>
      </c>
      <c r="BL123" t="str">
        <f>""</f>
        <v/>
      </c>
      <c r="BM123" t="str">
        <f t="shared" si="61"/>
        <v>NÃO É VARILUX ESPECIALISTA</v>
      </c>
      <c r="BN123" t="str">
        <f>""</f>
        <v/>
      </c>
      <c r="BO123" t="str">
        <f>"FOCO VARILUX"</f>
        <v>FOCO VARILUX</v>
      </c>
      <c r="BP123" t="str">
        <f>""</f>
        <v/>
      </c>
      <c r="BQ123" t="str">
        <f>""</f>
        <v/>
      </c>
      <c r="BR123" t="str">
        <f>"28/10/2021"</f>
        <v>28/10/2021</v>
      </c>
      <c r="BS123" t="str">
        <f>""</f>
        <v/>
      </c>
      <c r="BT123" t="str">
        <f>""</f>
        <v/>
      </c>
      <c r="BU123" t="str">
        <f>""</f>
        <v/>
      </c>
      <c r="BV123" t="str">
        <f>""</f>
        <v/>
      </c>
      <c r="BW123" t="str">
        <f>"2"</f>
        <v>2</v>
      </c>
    </row>
    <row r="124" spans="1:75" x14ac:dyDescent="0.35">
      <c r="A124">
        <v>138051</v>
      </c>
      <c r="B124" t="str">
        <f t="shared" si="33"/>
        <v>A</v>
      </c>
      <c r="C124" t="str">
        <f t="shared" si="34"/>
        <v>80</v>
      </c>
      <c r="D124" t="str">
        <f t="shared" si="35"/>
        <v>11121001</v>
      </c>
      <c r="E124" t="str">
        <f t="shared" si="36"/>
        <v>121001</v>
      </c>
      <c r="F124" t="str">
        <f t="shared" si="37"/>
        <v>JENIFER SANTOS</v>
      </c>
      <c r="G124" t="str">
        <f>"18025714000110"</f>
        <v>18025714000110</v>
      </c>
      <c r="H124" t="str">
        <f t="shared" si="62"/>
        <v>0</v>
      </c>
      <c r="I124" t="str">
        <f t="shared" si="38"/>
        <v>CONTA OPTICA</v>
      </c>
      <c r="J124" t="str">
        <f>"GISLEI FONTES ME"</f>
        <v>GISLEI FONTES ME</v>
      </c>
      <c r="K124" t="str">
        <f>"OTICA DINIZ (2009)"</f>
        <v>OTICA DINIZ (2009)</v>
      </c>
      <c r="L124" t="str">
        <f>""</f>
        <v/>
      </c>
      <c r="M124" t="str">
        <f>""</f>
        <v/>
      </c>
      <c r="N124" t="str">
        <f>"financeirooticasdiniz@gmail.com"</f>
        <v>financeirooticasdiniz@gmail.com</v>
      </c>
      <c r="O124" t="str">
        <f>""</f>
        <v/>
      </c>
      <c r="P124" t="str">
        <f>"RUA GETULIO DORNELES VARGAS - N"</f>
        <v>RUA GETULIO DORNELES VARGAS - N</v>
      </c>
      <c r="Q124" t="str">
        <f>"115 -N"</f>
        <v>115 -N</v>
      </c>
      <c r="R124" t="str">
        <f>""</f>
        <v/>
      </c>
      <c r="S124" t="str">
        <f>"1287"</f>
        <v>1287</v>
      </c>
      <c r="T124" t="str">
        <f>"89802000"</f>
        <v>89802000</v>
      </c>
      <c r="U124" t="str">
        <f>"CENTRO"</f>
        <v>CENTRO</v>
      </c>
      <c r="V124" t="str">
        <f>"CHAPECÓ"</f>
        <v>CHAPECÓ</v>
      </c>
      <c r="W124" t="str">
        <f t="shared" ref="W124:W132" si="63">"SC"</f>
        <v>SC</v>
      </c>
      <c r="X124" t="str">
        <f>"49"</f>
        <v>49</v>
      </c>
      <c r="Y124" t="str">
        <f>"33163233"</f>
        <v>33163233</v>
      </c>
      <c r="Z124" t="str">
        <f>""</f>
        <v/>
      </c>
      <c r="AA124" t="str">
        <f>""</f>
        <v/>
      </c>
      <c r="AB124" t="str">
        <f>""</f>
        <v/>
      </c>
      <c r="AC124" t="str">
        <f>""</f>
        <v/>
      </c>
      <c r="AD124" t="str">
        <f>""</f>
        <v/>
      </c>
      <c r="AE124" t="str">
        <f>""</f>
        <v/>
      </c>
      <c r="AF124" t="str">
        <f>""</f>
        <v/>
      </c>
      <c r="AG124" t="str">
        <f>"S"</f>
        <v>S</v>
      </c>
      <c r="AH124" t="str">
        <f>""</f>
        <v/>
      </c>
      <c r="AI124" t="str">
        <f>""</f>
        <v/>
      </c>
      <c r="AJ124" t="str">
        <f>""</f>
        <v/>
      </c>
      <c r="AK124" t="str">
        <f>""</f>
        <v/>
      </c>
      <c r="AL124" t="str">
        <f>""</f>
        <v/>
      </c>
      <c r="AM124" t="str">
        <f>""</f>
        <v/>
      </c>
      <c r="AN124" t="str">
        <f>""</f>
        <v/>
      </c>
      <c r="AO124" t="str">
        <f>""</f>
        <v/>
      </c>
      <c r="AP124" t="str">
        <f>""</f>
        <v/>
      </c>
      <c r="AQ124" t="str">
        <f>"N"</f>
        <v>N</v>
      </c>
      <c r="AR124" t="str">
        <f>"N"</f>
        <v>N</v>
      </c>
      <c r="AS124" t="str">
        <f>"N"</f>
        <v>N</v>
      </c>
      <c r="AT124" t="str">
        <f>"N"</f>
        <v>N</v>
      </c>
      <c r="AU124" t="str">
        <f>"N"</f>
        <v>N</v>
      </c>
      <c r="AV124" t="str">
        <f>""</f>
        <v/>
      </c>
      <c r="AW124" t="str">
        <f>""</f>
        <v/>
      </c>
      <c r="AX124" t="str">
        <f>""</f>
        <v/>
      </c>
      <c r="AY124" t="str">
        <f>""</f>
        <v/>
      </c>
      <c r="AZ124" t="str">
        <f>""</f>
        <v/>
      </c>
      <c r="BA124" t="str">
        <f>""</f>
        <v/>
      </c>
      <c r="BB124" t="str">
        <f>"01/07/2021 13:53:04"</f>
        <v>01/07/2021 13:53:04</v>
      </c>
      <c r="BC124" t="str">
        <f>"18/03/2022 14:21:07"</f>
        <v>18/03/2022 14:21:07</v>
      </c>
      <c r="BD124" t="str">
        <f>""</f>
        <v/>
      </c>
      <c r="BE124" t="str">
        <f>""</f>
        <v/>
      </c>
      <c r="BF124" t="str">
        <f t="shared" si="39"/>
        <v>A</v>
      </c>
      <c r="BG124" t="str">
        <f>""</f>
        <v/>
      </c>
      <c r="BH124" t="str">
        <f>"0,00"</f>
        <v>0,00</v>
      </c>
      <c r="BI124" t="str">
        <f t="shared" si="53"/>
        <v>EVENTUAL</v>
      </c>
      <c r="BJ124" t="str">
        <f t="shared" si="41"/>
        <v>1</v>
      </c>
      <c r="BK124" t="str">
        <f t="shared" si="42"/>
        <v>Farmacia</v>
      </c>
      <c r="BL124" t="str">
        <f>""</f>
        <v/>
      </c>
      <c r="BM124" t="str">
        <f t="shared" si="61"/>
        <v>NÃO É VARILUX ESPECIALISTA</v>
      </c>
      <c r="BN124" t="str">
        <f>"NA"</f>
        <v>NA</v>
      </c>
      <c r="BO124" t="str">
        <f>"FOCO VARILUX"</f>
        <v>FOCO VARILUX</v>
      </c>
      <c r="BP124" t="str">
        <f>""</f>
        <v/>
      </c>
      <c r="BQ124" t="str">
        <f>""</f>
        <v/>
      </c>
      <c r="BR124" t="str">
        <f>"01/07/2021"</f>
        <v>01/07/2021</v>
      </c>
      <c r="BS124" t="str">
        <f>"18/03/2022"</f>
        <v>18/03/2022</v>
      </c>
      <c r="BT124" t="str">
        <f>""</f>
        <v/>
      </c>
      <c r="BU124" t="str">
        <f>""</f>
        <v/>
      </c>
      <c r="BV124" t="str">
        <f>""</f>
        <v/>
      </c>
      <c r="BW124" t="str">
        <f>"24"</f>
        <v>24</v>
      </c>
    </row>
    <row r="125" spans="1:75" x14ac:dyDescent="0.35">
      <c r="A125">
        <v>127753</v>
      </c>
      <c r="B125" t="str">
        <f t="shared" si="33"/>
        <v>A</v>
      </c>
      <c r="C125" t="str">
        <f t="shared" si="34"/>
        <v>80</v>
      </c>
      <c r="D125" t="str">
        <f t="shared" si="35"/>
        <v>11121001</v>
      </c>
      <c r="E125" t="str">
        <f t="shared" si="36"/>
        <v>121001</v>
      </c>
      <c r="F125" t="str">
        <f t="shared" si="37"/>
        <v>JENIFER SANTOS</v>
      </c>
      <c r="G125" t="str">
        <f>"02535939000186"</f>
        <v>02535939000186</v>
      </c>
      <c r="H125" t="str">
        <f t="shared" si="62"/>
        <v>0</v>
      </c>
      <c r="I125" t="str">
        <f t="shared" si="38"/>
        <v>CONTA OPTICA</v>
      </c>
      <c r="J125" t="str">
        <f>"GLAUCIO ACCIOLY DE BARROS PIMENTEL"</f>
        <v>GLAUCIO ACCIOLY DE BARROS PIMENTEL</v>
      </c>
      <c r="K125" t="str">
        <f>"GLAUCIO ACCIOLY DE BARROS PIMENTEL (1140)"</f>
        <v>GLAUCIO ACCIOLY DE BARROS PIMENTEL (1140)</v>
      </c>
      <c r="L125" t="str">
        <f>""</f>
        <v/>
      </c>
      <c r="M125" t="str">
        <f>""</f>
        <v/>
      </c>
      <c r="N125" t="str">
        <f>""</f>
        <v/>
      </c>
      <c r="O125" t="str">
        <f>""</f>
        <v/>
      </c>
      <c r="P125" t="str">
        <f>"RUA AMBROSIUS PFEIFFER"</f>
        <v>RUA AMBROSIUS PFEIFFER</v>
      </c>
      <c r="Q125" t="str">
        <f>"50"</f>
        <v>50</v>
      </c>
      <c r="R125" t="str">
        <f>""</f>
        <v/>
      </c>
      <c r="S125" t="str">
        <f>"1280"</f>
        <v>1280</v>
      </c>
      <c r="T125" t="str">
        <f>"89290000"</f>
        <v>89290000</v>
      </c>
      <c r="U125" t="str">
        <f>"CENTRO"</f>
        <v>CENTRO</v>
      </c>
      <c r="V125" t="str">
        <f>"SAO BENTO DO SUL"</f>
        <v>SAO BENTO DO SUL</v>
      </c>
      <c r="W125" t="str">
        <f t="shared" si="63"/>
        <v>SC</v>
      </c>
      <c r="X125" t="str">
        <f>"47"</f>
        <v>47</v>
      </c>
      <c r="Y125" t="str">
        <f>"91746090"</f>
        <v>91746090</v>
      </c>
      <c r="Z125" t="str">
        <f>""</f>
        <v/>
      </c>
      <c r="AA125" t="str">
        <f>""</f>
        <v/>
      </c>
      <c r="AB125" t="str">
        <f>""</f>
        <v/>
      </c>
      <c r="AC125" t="str">
        <f>""</f>
        <v/>
      </c>
      <c r="AD125" t="str">
        <f>""</f>
        <v/>
      </c>
      <c r="AE125" t="str">
        <f>""</f>
        <v/>
      </c>
      <c r="AF125" t="str">
        <f>""</f>
        <v/>
      </c>
      <c r="AG125" t="str">
        <f>""</f>
        <v/>
      </c>
      <c r="AH125" t="str">
        <f>""</f>
        <v/>
      </c>
      <c r="AI125" t="str">
        <f>""</f>
        <v/>
      </c>
      <c r="AJ125" t="str">
        <f>""</f>
        <v/>
      </c>
      <c r="AK125" t="str">
        <f>""</f>
        <v/>
      </c>
      <c r="AL125" t="str">
        <f>""</f>
        <v/>
      </c>
      <c r="AM125" t="str">
        <f>""</f>
        <v/>
      </c>
      <c r="AN125" t="str">
        <f>""</f>
        <v/>
      </c>
      <c r="AO125" t="str">
        <f>""</f>
        <v/>
      </c>
      <c r="AP125" t="str">
        <f>""</f>
        <v/>
      </c>
      <c r="AQ125" t="str">
        <f>""</f>
        <v/>
      </c>
      <c r="AR125" t="str">
        <f>""</f>
        <v/>
      </c>
      <c r="AS125" t="str">
        <f>""</f>
        <v/>
      </c>
      <c r="AT125" t="str">
        <f>""</f>
        <v/>
      </c>
      <c r="AU125" t="str">
        <f>""</f>
        <v/>
      </c>
      <c r="AV125" t="str">
        <f>""</f>
        <v/>
      </c>
      <c r="AW125" t="str">
        <f>""</f>
        <v/>
      </c>
      <c r="AX125" t="str">
        <f>""</f>
        <v/>
      </c>
      <c r="AY125" t="str">
        <f>""</f>
        <v/>
      </c>
      <c r="AZ125" t="str">
        <f>""</f>
        <v/>
      </c>
      <c r="BA125" t="str">
        <f>""</f>
        <v/>
      </c>
      <c r="BB125" t="str">
        <f>"07/10/2020 09:08:38"</f>
        <v>07/10/2020 09:08:38</v>
      </c>
      <c r="BC125" t="str">
        <f>""</f>
        <v/>
      </c>
      <c r="BD125" t="str">
        <f>""</f>
        <v/>
      </c>
      <c r="BE125" t="str">
        <f>""</f>
        <v/>
      </c>
      <c r="BF125" t="str">
        <f t="shared" si="39"/>
        <v>A</v>
      </c>
      <c r="BG125" t="str">
        <f>""</f>
        <v/>
      </c>
      <c r="BH125" t="str">
        <f>""</f>
        <v/>
      </c>
      <c r="BI125" t="str">
        <f t="shared" si="53"/>
        <v>EVENTUAL</v>
      </c>
      <c r="BJ125" t="str">
        <f t="shared" si="41"/>
        <v>1</v>
      </c>
      <c r="BK125" t="str">
        <f t="shared" si="42"/>
        <v>Farmacia</v>
      </c>
      <c r="BL125" t="str">
        <f>""</f>
        <v/>
      </c>
      <c r="BM125" t="str">
        <f t="shared" si="61"/>
        <v>NÃO É VARILUX ESPECIALISTA</v>
      </c>
      <c r="BN125" t="str">
        <f>"NA"</f>
        <v>NA</v>
      </c>
      <c r="BO125" t="str">
        <f>"OUTROS"</f>
        <v>OUTROS</v>
      </c>
      <c r="BP125" t="str">
        <f>""</f>
        <v/>
      </c>
      <c r="BQ125" t="str">
        <f>""</f>
        <v/>
      </c>
      <c r="BR125" t="str">
        <f>"07/10/2020"</f>
        <v>07/10/2020</v>
      </c>
      <c r="BS125" t="str">
        <f>""</f>
        <v/>
      </c>
      <c r="BT125" t="str">
        <f>""</f>
        <v/>
      </c>
      <c r="BU125" t="str">
        <f>""</f>
        <v/>
      </c>
      <c r="BV125" t="str">
        <f>"9"</f>
        <v>9</v>
      </c>
      <c r="BW125" t="str">
        <f t="shared" ref="BW125:BW130" si="64">"Não visitado"</f>
        <v>Não visitado</v>
      </c>
    </row>
    <row r="126" spans="1:75" x14ac:dyDescent="0.35">
      <c r="A126">
        <v>157580</v>
      </c>
      <c r="B126" t="str">
        <f t="shared" si="33"/>
        <v>A</v>
      </c>
      <c r="C126" t="str">
        <f t="shared" si="34"/>
        <v>80</v>
      </c>
      <c r="D126" t="str">
        <f t="shared" si="35"/>
        <v>11121001</v>
      </c>
      <c r="E126" t="str">
        <f t="shared" si="36"/>
        <v>121001</v>
      </c>
      <c r="F126" t="str">
        <f t="shared" si="37"/>
        <v>JENIFER SANTOS</v>
      </c>
      <c r="G126" t="str">
        <f>"07735580000104"</f>
        <v>07735580000104</v>
      </c>
      <c r="H126" t="str">
        <f t="shared" si="62"/>
        <v>0</v>
      </c>
      <c r="I126" t="str">
        <f t="shared" si="38"/>
        <v>CONTA OPTICA</v>
      </c>
      <c r="J126" t="str">
        <f>"GRANDE OPTICA LTDA"</f>
        <v>GRANDE OPTICA LTDA</v>
      </c>
      <c r="K126" t="str">
        <f>"SUPER OPTICA SAO JOSE (2088)"</f>
        <v>SUPER OPTICA SAO JOSE (2088)</v>
      </c>
      <c r="L126" t="str">
        <f>""</f>
        <v/>
      </c>
      <c r="M126" t="str">
        <f>""</f>
        <v/>
      </c>
      <c r="N126" t="str">
        <f>"NFEGRANDEOPTICA@OTICASAOJOSE.COM.BR"</f>
        <v>NFEGRANDEOPTICA@OTICASAOJOSE.COM.BR</v>
      </c>
      <c r="O126" t="str">
        <f>""</f>
        <v/>
      </c>
      <c r="P126" t="str">
        <f>"RUA TENENTE PAULO LOPES"</f>
        <v>RUA TENENTE PAULO LOPES</v>
      </c>
      <c r="Q126" t="str">
        <f>"284"</f>
        <v>284</v>
      </c>
      <c r="R126" t="str">
        <f>"SALA 03"</f>
        <v>SALA 03</v>
      </c>
      <c r="S126" t="str">
        <f>"1279"</f>
        <v>1279</v>
      </c>
      <c r="T126" t="str">
        <f>"89227690"</f>
        <v>89227690</v>
      </c>
      <c r="U126" t="str">
        <f>"IRIRIU"</f>
        <v>IRIRIU</v>
      </c>
      <c r="V126" t="str">
        <f>"JOINVILLE"</f>
        <v>JOINVILLE</v>
      </c>
      <c r="W126" t="str">
        <f t="shared" si="63"/>
        <v>SC</v>
      </c>
      <c r="X126" t="str">
        <f>"47"</f>
        <v>47</v>
      </c>
      <c r="Y126" t="str">
        <f>"30572145"</f>
        <v>30572145</v>
      </c>
      <c r="Z126" t="str">
        <f>""</f>
        <v/>
      </c>
      <c r="AA126" t="str">
        <f>""</f>
        <v/>
      </c>
      <c r="AB126" t="str">
        <f>""</f>
        <v/>
      </c>
      <c r="AC126" t="str">
        <f>""</f>
        <v/>
      </c>
      <c r="AD126" t="str">
        <f>""</f>
        <v/>
      </c>
      <c r="AE126" t="str">
        <f>""</f>
        <v/>
      </c>
      <c r="AF126" t="str">
        <f>""</f>
        <v/>
      </c>
      <c r="AG126" t="str">
        <f>""</f>
        <v/>
      </c>
      <c r="AH126" t="str">
        <f>""</f>
        <v/>
      </c>
      <c r="AI126" t="str">
        <f>""</f>
        <v/>
      </c>
      <c r="AJ126" t="str">
        <f>""</f>
        <v/>
      </c>
      <c r="AK126" t="str">
        <f>""</f>
        <v/>
      </c>
      <c r="AL126" t="str">
        <f>""</f>
        <v/>
      </c>
      <c r="AM126" t="str">
        <f>""</f>
        <v/>
      </c>
      <c r="AN126" t="str">
        <f>""</f>
        <v/>
      </c>
      <c r="AO126" t="str">
        <f>""</f>
        <v/>
      </c>
      <c r="AP126" t="str">
        <f>""</f>
        <v/>
      </c>
      <c r="AQ126" t="str">
        <f>""</f>
        <v/>
      </c>
      <c r="AR126" t="str">
        <f>""</f>
        <v/>
      </c>
      <c r="AS126" t="str">
        <f>""</f>
        <v/>
      </c>
      <c r="AT126" t="str">
        <f>""</f>
        <v/>
      </c>
      <c r="AU126" t="str">
        <f>""</f>
        <v/>
      </c>
      <c r="AV126" t="str">
        <f>""</f>
        <v/>
      </c>
      <c r="AW126" t="str">
        <f>""</f>
        <v/>
      </c>
      <c r="AX126" t="str">
        <f>""</f>
        <v/>
      </c>
      <c r="AY126" t="str">
        <f>""</f>
        <v/>
      </c>
      <c r="AZ126" t="str">
        <f>""</f>
        <v/>
      </c>
      <c r="BA126" t="str">
        <f>""</f>
        <v/>
      </c>
      <c r="BB126" t="str">
        <f>"11/07/2023 02:14:29"</f>
        <v>11/07/2023 02:14:29</v>
      </c>
      <c r="BC126" t="str">
        <f>""</f>
        <v/>
      </c>
      <c r="BD126" t="str">
        <f>""</f>
        <v/>
      </c>
      <c r="BE126" t="str">
        <f>""</f>
        <v/>
      </c>
      <c r="BF126" t="str">
        <f t="shared" si="39"/>
        <v>A</v>
      </c>
      <c r="BG126" t="str">
        <f>""</f>
        <v/>
      </c>
      <c r="BH126" t="str">
        <f>""</f>
        <v/>
      </c>
      <c r="BI126" t="str">
        <f t="shared" si="53"/>
        <v>EVENTUAL</v>
      </c>
      <c r="BJ126" t="str">
        <f t="shared" si="41"/>
        <v>1</v>
      </c>
      <c r="BK126" t="str">
        <f t="shared" si="42"/>
        <v>Farmacia</v>
      </c>
      <c r="BL126" t="str">
        <f>""</f>
        <v/>
      </c>
      <c r="BM126" t="str">
        <f>""</f>
        <v/>
      </c>
      <c r="BN126" t="str">
        <f>""</f>
        <v/>
      </c>
      <c r="BO126" t="str">
        <f>""</f>
        <v/>
      </c>
      <c r="BP126" t="str">
        <f>""</f>
        <v/>
      </c>
      <c r="BQ126" t="str">
        <f>""</f>
        <v/>
      </c>
      <c r="BR126" t="str">
        <f>"11/07/2023"</f>
        <v>11/07/2023</v>
      </c>
      <c r="BS126" t="str">
        <f>""</f>
        <v/>
      </c>
      <c r="BT126" t="str">
        <f>""</f>
        <v/>
      </c>
      <c r="BU126" t="str">
        <f>""</f>
        <v/>
      </c>
      <c r="BV126" t="str">
        <f>""</f>
        <v/>
      </c>
      <c r="BW126" t="str">
        <f t="shared" si="64"/>
        <v>Não visitado</v>
      </c>
    </row>
    <row r="127" spans="1:75" x14ac:dyDescent="0.35">
      <c r="A127">
        <v>157576</v>
      </c>
      <c r="B127" t="str">
        <f t="shared" si="33"/>
        <v>A</v>
      </c>
      <c r="C127" t="str">
        <f t="shared" si="34"/>
        <v>80</v>
      </c>
      <c r="D127" t="str">
        <f t="shared" si="35"/>
        <v>11121001</v>
      </c>
      <c r="E127" t="str">
        <f t="shared" si="36"/>
        <v>121001</v>
      </c>
      <c r="F127" t="str">
        <f t="shared" si="37"/>
        <v>JENIFER SANTOS</v>
      </c>
      <c r="G127" t="str">
        <f>"07735580000457"</f>
        <v>07735580000457</v>
      </c>
      <c r="H127" t="str">
        <f t="shared" si="62"/>
        <v>0</v>
      </c>
      <c r="I127" t="str">
        <f t="shared" si="38"/>
        <v>CONTA OPTICA</v>
      </c>
      <c r="J127" t="str">
        <f>"GRANDE OPTICA LTDA"</f>
        <v>GRANDE OPTICA LTDA</v>
      </c>
      <c r="K127" t="str">
        <f>"SUPER OPTICA SAO JOSE (2119)"</f>
        <v>SUPER OPTICA SAO JOSE (2119)</v>
      </c>
      <c r="L127" t="str">
        <f>""</f>
        <v/>
      </c>
      <c r="M127" t="str">
        <f>""</f>
        <v/>
      </c>
      <c r="N127" t="str">
        <f>"NFEGRANDEOPTICA@OTICASAOJOSE.COM.BR"</f>
        <v>NFEGRANDEOPTICA@OTICASAOJOSE.COM.BR</v>
      </c>
      <c r="O127" t="str">
        <f>""</f>
        <v/>
      </c>
      <c r="P127" t="str">
        <f>"RUA DO PRINCIPE"</f>
        <v>RUA DO PRINCIPE</v>
      </c>
      <c r="Q127" t="str">
        <f>"677"</f>
        <v>677</v>
      </c>
      <c r="R127" t="str">
        <f>""</f>
        <v/>
      </c>
      <c r="S127" t="str">
        <f>"1277"</f>
        <v>1277</v>
      </c>
      <c r="T127" t="str">
        <f>"89201001"</f>
        <v>89201001</v>
      </c>
      <c r="U127" t="str">
        <f>"CENTRO"</f>
        <v>CENTRO</v>
      </c>
      <c r="V127" t="str">
        <f>"JOINVILLE"</f>
        <v>JOINVILLE</v>
      </c>
      <c r="W127" t="str">
        <f t="shared" si="63"/>
        <v>SC</v>
      </c>
      <c r="X127" t="str">
        <f>""</f>
        <v/>
      </c>
      <c r="Y127" t="str">
        <f>""</f>
        <v/>
      </c>
      <c r="Z127" t="str">
        <f>""</f>
        <v/>
      </c>
      <c r="AA127" t="str">
        <f>""</f>
        <v/>
      </c>
      <c r="AB127" t="str">
        <f>""</f>
        <v/>
      </c>
      <c r="AC127" t="str">
        <f>""</f>
        <v/>
      </c>
      <c r="AD127" t="str">
        <f>""</f>
        <v/>
      </c>
      <c r="AE127" t="str">
        <f>""</f>
        <v/>
      </c>
      <c r="AF127" t="str">
        <f>""</f>
        <v/>
      </c>
      <c r="AG127" t="str">
        <f>""</f>
        <v/>
      </c>
      <c r="AH127" t="str">
        <f>""</f>
        <v/>
      </c>
      <c r="AI127" t="str">
        <f>""</f>
        <v/>
      </c>
      <c r="AJ127" t="str">
        <f>""</f>
        <v/>
      </c>
      <c r="AK127" t="str">
        <f>""</f>
        <v/>
      </c>
      <c r="AL127" t="str">
        <f>""</f>
        <v/>
      </c>
      <c r="AM127" t="str">
        <f>""</f>
        <v/>
      </c>
      <c r="AN127" t="str">
        <f>""</f>
        <v/>
      </c>
      <c r="AO127" t="str">
        <f>""</f>
        <v/>
      </c>
      <c r="AP127" t="str">
        <f>""</f>
        <v/>
      </c>
      <c r="AQ127" t="str">
        <f>""</f>
        <v/>
      </c>
      <c r="AR127" t="str">
        <f>""</f>
        <v/>
      </c>
      <c r="AS127" t="str">
        <f>""</f>
        <v/>
      </c>
      <c r="AT127" t="str">
        <f>""</f>
        <v/>
      </c>
      <c r="AU127" t="str">
        <f>""</f>
        <v/>
      </c>
      <c r="AV127" t="str">
        <f>""</f>
        <v/>
      </c>
      <c r="AW127" t="str">
        <f>""</f>
        <v/>
      </c>
      <c r="AX127" t="str">
        <f>""</f>
        <v/>
      </c>
      <c r="AY127" t="str">
        <f>""</f>
        <v/>
      </c>
      <c r="AZ127" t="str">
        <f>""</f>
        <v/>
      </c>
      <c r="BA127" t="str">
        <f>""</f>
        <v/>
      </c>
      <c r="BB127" t="str">
        <f>"11/07/2023 02:14:29"</f>
        <v>11/07/2023 02:14:29</v>
      </c>
      <c r="BC127" t="str">
        <f>""</f>
        <v/>
      </c>
      <c r="BD127" t="str">
        <f>""</f>
        <v/>
      </c>
      <c r="BE127" t="str">
        <f>""</f>
        <v/>
      </c>
      <c r="BF127" t="str">
        <f t="shared" si="39"/>
        <v>A</v>
      </c>
      <c r="BG127" t="str">
        <f>""</f>
        <v/>
      </c>
      <c r="BH127" t="str">
        <f>""</f>
        <v/>
      </c>
      <c r="BI127" t="str">
        <f t="shared" si="53"/>
        <v>EVENTUAL</v>
      </c>
      <c r="BJ127" t="str">
        <f t="shared" si="41"/>
        <v>1</v>
      </c>
      <c r="BK127" t="str">
        <f t="shared" si="42"/>
        <v>Farmacia</v>
      </c>
      <c r="BL127" t="str">
        <f>""</f>
        <v/>
      </c>
      <c r="BM127" t="str">
        <f>""</f>
        <v/>
      </c>
      <c r="BN127" t="str">
        <f>""</f>
        <v/>
      </c>
      <c r="BO127" t="str">
        <f>""</f>
        <v/>
      </c>
      <c r="BP127" t="str">
        <f>""</f>
        <v/>
      </c>
      <c r="BQ127" t="str">
        <f>""</f>
        <v/>
      </c>
      <c r="BR127" t="str">
        <f>"11/07/2023"</f>
        <v>11/07/2023</v>
      </c>
      <c r="BS127" t="str">
        <f>""</f>
        <v/>
      </c>
      <c r="BT127" t="str">
        <f>""</f>
        <v/>
      </c>
      <c r="BU127" t="str">
        <f>""</f>
        <v/>
      </c>
      <c r="BV127" t="str">
        <f>""</f>
        <v/>
      </c>
      <c r="BW127" t="str">
        <f t="shared" si="64"/>
        <v>Não visitado</v>
      </c>
    </row>
    <row r="128" spans="1:75" x14ac:dyDescent="0.35">
      <c r="A128">
        <v>157577</v>
      </c>
      <c r="B128" t="str">
        <f t="shared" si="33"/>
        <v>A</v>
      </c>
      <c r="C128" t="str">
        <f t="shared" si="34"/>
        <v>80</v>
      </c>
      <c r="D128" t="str">
        <f t="shared" si="35"/>
        <v>11121001</v>
      </c>
      <c r="E128" t="str">
        <f t="shared" si="36"/>
        <v>121001</v>
      </c>
      <c r="F128" t="str">
        <f t="shared" si="37"/>
        <v>JENIFER SANTOS</v>
      </c>
      <c r="G128" t="str">
        <f>"07735580000376"</f>
        <v>07735580000376</v>
      </c>
      <c r="H128" t="str">
        <f t="shared" si="62"/>
        <v>0</v>
      </c>
      <c r="I128" t="str">
        <f t="shared" si="38"/>
        <v>CONTA OPTICA</v>
      </c>
      <c r="J128" t="str">
        <f>"GRANDE OPTICA LTDA"</f>
        <v>GRANDE OPTICA LTDA</v>
      </c>
      <c r="K128" t="str">
        <f>"SUPER OPTICA SAO JOSE (2118)"</f>
        <v>SUPER OPTICA SAO JOSE (2118)</v>
      </c>
      <c r="L128" t="str">
        <f>""</f>
        <v/>
      </c>
      <c r="M128" t="str">
        <f>""</f>
        <v/>
      </c>
      <c r="N128" t="str">
        <f>"NFEGRANDEOPTICA@OTICASAOJOSE.COM.BR"</f>
        <v>NFEGRANDEOPTICA@OTICASAOJOSE.COM.BR</v>
      </c>
      <c r="O128" t="str">
        <f>""</f>
        <v/>
      </c>
      <c r="P128" t="str">
        <f>"RUA ABDON BATISTA"</f>
        <v>RUA ABDON BATISTA</v>
      </c>
      <c r="Q128" t="str">
        <f>"214"</f>
        <v>214</v>
      </c>
      <c r="R128" t="str">
        <f>"SALA 1"</f>
        <v>SALA 1</v>
      </c>
      <c r="S128" t="str">
        <f>"1277"</f>
        <v>1277</v>
      </c>
      <c r="T128" t="str">
        <f>"89201010"</f>
        <v>89201010</v>
      </c>
      <c r="U128" t="str">
        <f>"CENTRO"</f>
        <v>CENTRO</v>
      </c>
      <c r="V128" t="str">
        <f>"JOINVILLE"</f>
        <v>JOINVILLE</v>
      </c>
      <c r="W128" t="str">
        <f t="shared" si="63"/>
        <v>SC</v>
      </c>
      <c r="X128" t="str">
        <f>"47"</f>
        <v>47</v>
      </c>
      <c r="Y128" t="str">
        <f>"30273436"</f>
        <v>30273436</v>
      </c>
      <c r="Z128" t="str">
        <f>""</f>
        <v/>
      </c>
      <c r="AA128" t="str">
        <f>""</f>
        <v/>
      </c>
      <c r="AB128" t="str">
        <f>""</f>
        <v/>
      </c>
      <c r="AC128" t="str">
        <f>""</f>
        <v/>
      </c>
      <c r="AD128" t="str">
        <f>""</f>
        <v/>
      </c>
      <c r="AE128" t="str">
        <f>""</f>
        <v/>
      </c>
      <c r="AF128" t="str">
        <f>""</f>
        <v/>
      </c>
      <c r="AG128" t="str">
        <f>""</f>
        <v/>
      </c>
      <c r="AH128" t="str">
        <f>""</f>
        <v/>
      </c>
      <c r="AI128" t="str">
        <f>""</f>
        <v/>
      </c>
      <c r="AJ128" t="str">
        <f>""</f>
        <v/>
      </c>
      <c r="AK128" t="str">
        <f>""</f>
        <v/>
      </c>
      <c r="AL128" t="str">
        <f>""</f>
        <v/>
      </c>
      <c r="AM128" t="str">
        <f>""</f>
        <v/>
      </c>
      <c r="AN128" t="str">
        <f>""</f>
        <v/>
      </c>
      <c r="AO128" t="str">
        <f>""</f>
        <v/>
      </c>
      <c r="AP128" t="str">
        <f>""</f>
        <v/>
      </c>
      <c r="AQ128" t="str">
        <f>""</f>
        <v/>
      </c>
      <c r="AR128" t="str">
        <f>""</f>
        <v/>
      </c>
      <c r="AS128" t="str">
        <f>""</f>
        <v/>
      </c>
      <c r="AT128" t="str">
        <f>""</f>
        <v/>
      </c>
      <c r="AU128" t="str">
        <f>""</f>
        <v/>
      </c>
      <c r="AV128" t="str">
        <f>""</f>
        <v/>
      </c>
      <c r="AW128" t="str">
        <f>""</f>
        <v/>
      </c>
      <c r="AX128" t="str">
        <f>""</f>
        <v/>
      </c>
      <c r="AY128" t="str">
        <f>""</f>
        <v/>
      </c>
      <c r="AZ128" t="str">
        <f>""</f>
        <v/>
      </c>
      <c r="BA128" t="str">
        <f>""</f>
        <v/>
      </c>
      <c r="BB128" t="str">
        <f>"11/07/2023 02:14:29"</f>
        <v>11/07/2023 02:14:29</v>
      </c>
      <c r="BC128" t="str">
        <f>""</f>
        <v/>
      </c>
      <c r="BD128" t="str">
        <f>""</f>
        <v/>
      </c>
      <c r="BE128" t="str">
        <f>""</f>
        <v/>
      </c>
      <c r="BF128" t="str">
        <f t="shared" si="39"/>
        <v>A</v>
      </c>
      <c r="BG128" t="str">
        <f>""</f>
        <v/>
      </c>
      <c r="BH128" t="str">
        <f>""</f>
        <v/>
      </c>
      <c r="BI128" t="str">
        <f t="shared" si="53"/>
        <v>EVENTUAL</v>
      </c>
      <c r="BJ128" t="str">
        <f t="shared" si="41"/>
        <v>1</v>
      </c>
      <c r="BK128" t="str">
        <f t="shared" si="42"/>
        <v>Farmacia</v>
      </c>
      <c r="BL128" t="str">
        <f>""</f>
        <v/>
      </c>
      <c r="BM128" t="str">
        <f>""</f>
        <v/>
      </c>
      <c r="BN128" t="str">
        <f>""</f>
        <v/>
      </c>
      <c r="BO128" t="str">
        <f>""</f>
        <v/>
      </c>
      <c r="BP128" t="str">
        <f>""</f>
        <v/>
      </c>
      <c r="BQ128" t="str">
        <f>""</f>
        <v/>
      </c>
      <c r="BR128" t="str">
        <f>"11/07/2023"</f>
        <v>11/07/2023</v>
      </c>
      <c r="BS128" t="str">
        <f>""</f>
        <v/>
      </c>
      <c r="BT128" t="str">
        <f>""</f>
        <v/>
      </c>
      <c r="BU128" t="str">
        <f>""</f>
        <v/>
      </c>
      <c r="BV128" t="str">
        <f>""</f>
        <v/>
      </c>
      <c r="BW128" t="str">
        <f t="shared" si="64"/>
        <v>Não visitado</v>
      </c>
    </row>
    <row r="129" spans="1:75" x14ac:dyDescent="0.35">
      <c r="A129">
        <v>157505</v>
      </c>
      <c r="B129" t="str">
        <f t="shared" si="33"/>
        <v>A</v>
      </c>
      <c r="C129" t="str">
        <f t="shared" si="34"/>
        <v>80</v>
      </c>
      <c r="D129" t="str">
        <f t="shared" si="35"/>
        <v>11121001</v>
      </c>
      <c r="E129" t="str">
        <f t="shared" si="36"/>
        <v>121001</v>
      </c>
      <c r="F129" t="str">
        <f t="shared" si="37"/>
        <v>JENIFER SANTOS</v>
      </c>
      <c r="G129" t="str">
        <f>"09544907000196"</f>
        <v>09544907000196</v>
      </c>
      <c r="H129" t="str">
        <f t="shared" si="62"/>
        <v>0</v>
      </c>
      <c r="I129" t="str">
        <f t="shared" si="38"/>
        <v>CONTA OPTICA</v>
      </c>
      <c r="J129" t="str">
        <f>"GUILHERME JOSE ANASTACIO DE SOUZA NETO LTDA"</f>
        <v>GUILHERME JOSE ANASTACIO DE SOUZA NETO LTDA</v>
      </c>
      <c r="K129" t="str">
        <f>"SUISSA OPTICA E RELOJOARIA (1412)"</f>
        <v>SUISSA OPTICA E RELOJOARIA (1412)</v>
      </c>
      <c r="L129" t="str">
        <f>""</f>
        <v/>
      </c>
      <c r="M129" t="str">
        <f>""</f>
        <v/>
      </c>
      <c r="N129" t="str">
        <f>"OPTICASUISSA@GMAIL.COM"</f>
        <v>OPTICASUISSA@GMAIL.COM</v>
      </c>
      <c r="O129" t="str">
        <f>""</f>
        <v/>
      </c>
      <c r="P129" t="str">
        <f>"RUA FRANCISCO DE PAULA PEREIRA"</f>
        <v>RUA FRANCISCO DE PAULA PEREIRA</v>
      </c>
      <c r="Q129" t="str">
        <f>"430"</f>
        <v>430</v>
      </c>
      <c r="R129" t="str">
        <f>"LOJA"</f>
        <v>LOJA</v>
      </c>
      <c r="S129" t="str">
        <f>""</f>
        <v/>
      </c>
      <c r="T129" t="str">
        <f>"89460048"</f>
        <v>89460048</v>
      </c>
      <c r="U129" t="str">
        <f>"CENTRO"</f>
        <v>CENTRO</v>
      </c>
      <c r="V129" t="str">
        <f>"CANOINHAS"</f>
        <v>CANOINHAS</v>
      </c>
      <c r="W129" t="str">
        <f t="shared" si="63"/>
        <v>SC</v>
      </c>
      <c r="X129" t="str">
        <f>"47"</f>
        <v>47</v>
      </c>
      <c r="Y129" t="str">
        <f>"36226132"</f>
        <v>36226132</v>
      </c>
      <c r="Z129" t="str">
        <f>""</f>
        <v/>
      </c>
      <c r="AA129" t="str">
        <f>""</f>
        <v/>
      </c>
      <c r="AB129" t="str">
        <f>""</f>
        <v/>
      </c>
      <c r="AC129" t="str">
        <f>""</f>
        <v/>
      </c>
      <c r="AD129" t="str">
        <f>""</f>
        <v/>
      </c>
      <c r="AE129" t="str">
        <f>""</f>
        <v/>
      </c>
      <c r="AF129" t="str">
        <f>""</f>
        <v/>
      </c>
      <c r="AG129" t="str">
        <f>""</f>
        <v/>
      </c>
      <c r="AH129" t="str">
        <f>""</f>
        <v/>
      </c>
      <c r="AI129" t="str">
        <f>""</f>
        <v/>
      </c>
      <c r="AJ129" t="str">
        <f>""</f>
        <v/>
      </c>
      <c r="AK129" t="str">
        <f>""</f>
        <v/>
      </c>
      <c r="AL129" t="str">
        <f>""</f>
        <v/>
      </c>
      <c r="AM129" t="str">
        <f>""</f>
        <v/>
      </c>
      <c r="AN129" t="str">
        <f>""</f>
        <v/>
      </c>
      <c r="AO129" t="str">
        <f>""</f>
        <v/>
      </c>
      <c r="AP129" t="str">
        <f>""</f>
        <v/>
      </c>
      <c r="AQ129" t="str">
        <f>""</f>
        <v/>
      </c>
      <c r="AR129" t="str">
        <f>""</f>
        <v/>
      </c>
      <c r="AS129" t="str">
        <f>""</f>
        <v/>
      </c>
      <c r="AT129" t="str">
        <f>""</f>
        <v/>
      </c>
      <c r="AU129" t="str">
        <f>""</f>
        <v/>
      </c>
      <c r="AV129" t="str">
        <f>""</f>
        <v/>
      </c>
      <c r="AW129" t="str">
        <f>""</f>
        <v/>
      </c>
      <c r="AX129" t="str">
        <f>""</f>
        <v/>
      </c>
      <c r="AY129" t="str">
        <f>""</f>
        <v/>
      </c>
      <c r="AZ129" t="str">
        <f>""</f>
        <v/>
      </c>
      <c r="BA129" t="str">
        <f>""</f>
        <v/>
      </c>
      <c r="BB129" t="str">
        <f>"11/07/2023 02:14:29"</f>
        <v>11/07/2023 02:14:29</v>
      </c>
      <c r="BC129" t="str">
        <f>""</f>
        <v/>
      </c>
      <c r="BD129" t="str">
        <f>""</f>
        <v/>
      </c>
      <c r="BE129" t="str">
        <f>""</f>
        <v/>
      </c>
      <c r="BF129" t="str">
        <f t="shared" si="39"/>
        <v>A</v>
      </c>
      <c r="BG129" t="str">
        <f>""</f>
        <v/>
      </c>
      <c r="BH129" t="str">
        <f>""</f>
        <v/>
      </c>
      <c r="BI129" t="str">
        <f t="shared" si="53"/>
        <v>EVENTUAL</v>
      </c>
      <c r="BJ129" t="str">
        <f t="shared" si="41"/>
        <v>1</v>
      </c>
      <c r="BK129" t="str">
        <f t="shared" si="42"/>
        <v>Farmacia</v>
      </c>
      <c r="BL129" t="str">
        <f>""</f>
        <v/>
      </c>
      <c r="BM129" t="str">
        <f>""</f>
        <v/>
      </c>
      <c r="BN129" t="str">
        <f>""</f>
        <v/>
      </c>
      <c r="BO129" t="str">
        <f>""</f>
        <v/>
      </c>
      <c r="BP129" t="str">
        <f>""</f>
        <v/>
      </c>
      <c r="BQ129" t="str">
        <f>""</f>
        <v/>
      </c>
      <c r="BR129" t="str">
        <f>"11/07/2023"</f>
        <v>11/07/2023</v>
      </c>
      <c r="BS129" t="str">
        <f>""</f>
        <v/>
      </c>
      <c r="BT129" t="str">
        <f>""</f>
        <v/>
      </c>
      <c r="BU129" t="str">
        <f>""</f>
        <v/>
      </c>
      <c r="BV129" t="str">
        <f>""</f>
        <v/>
      </c>
      <c r="BW129" t="str">
        <f t="shared" si="64"/>
        <v>Não visitado</v>
      </c>
    </row>
    <row r="130" spans="1:75" x14ac:dyDescent="0.35">
      <c r="A130">
        <v>138055</v>
      </c>
      <c r="B130" t="str">
        <f t="shared" ref="B130:B193" si="65">"A"</f>
        <v>A</v>
      </c>
      <c r="C130" t="str">
        <f t="shared" ref="C130:C193" si="66">"80"</f>
        <v>80</v>
      </c>
      <c r="D130" t="str">
        <f t="shared" ref="D130:D193" si="67">"11121001"</f>
        <v>11121001</v>
      </c>
      <c r="E130" t="str">
        <f t="shared" ref="E130:E193" si="68">"121001"</f>
        <v>121001</v>
      </c>
      <c r="F130" t="str">
        <f t="shared" ref="F130:F193" si="69">"JENIFER SANTOS"</f>
        <v>JENIFER SANTOS</v>
      </c>
      <c r="G130" t="str">
        <f>"38074419000160"</f>
        <v>38074419000160</v>
      </c>
      <c r="H130" t="str">
        <f t="shared" si="62"/>
        <v>0</v>
      </c>
      <c r="I130" t="str">
        <f t="shared" ref="I130:I193" si="70">"CONTA OPTICA"</f>
        <v>CONTA OPTICA</v>
      </c>
      <c r="J130" t="str">
        <f>"GV COMERCIO DE ARTIGOS DE OPTICA LTDA"</f>
        <v>GV COMERCIO DE ARTIGOS DE OPTICA LTDA</v>
      </c>
      <c r="K130" t="str">
        <f>"OPTICAS LOOCAU (4188)"</f>
        <v>OPTICAS LOOCAU (4188)</v>
      </c>
      <c r="L130" t="str">
        <f>""</f>
        <v/>
      </c>
      <c r="M130" t="str">
        <f>""</f>
        <v/>
      </c>
      <c r="N130" t="str">
        <f>"opticasloocau@gmail.com"</f>
        <v>opticasloocau@gmail.com</v>
      </c>
      <c r="O130" t="str">
        <f>""</f>
        <v/>
      </c>
      <c r="P130" t="str">
        <f>"RUA BARAO DO RIO BRANCO"</f>
        <v>RUA BARAO DO RIO BRANCO</v>
      </c>
      <c r="Q130" t="str">
        <f>"284"</f>
        <v>284</v>
      </c>
      <c r="R130" t="str">
        <f>"LETRA E SALA 7"</f>
        <v>LETRA E SALA 7</v>
      </c>
      <c r="S130" t="str">
        <f>"1287"</f>
        <v>1287</v>
      </c>
      <c r="T130" t="str">
        <f>"89802100"</f>
        <v>89802100</v>
      </c>
      <c r="U130" t="str">
        <f>"CENTRO"</f>
        <v>CENTRO</v>
      </c>
      <c r="V130" t="str">
        <f>"CHAPECÓ"</f>
        <v>CHAPECÓ</v>
      </c>
      <c r="W130" t="str">
        <f t="shared" si="63"/>
        <v>SC</v>
      </c>
      <c r="X130" t="str">
        <f>"49"</f>
        <v>49</v>
      </c>
      <c r="Y130" t="str">
        <f>"33040203"</f>
        <v>33040203</v>
      </c>
      <c r="Z130" t="str">
        <f>""</f>
        <v/>
      </c>
      <c r="AA130" t="str">
        <f>""</f>
        <v/>
      </c>
      <c r="AB130" t="str">
        <f>""</f>
        <v/>
      </c>
      <c r="AC130" t="str">
        <f>""</f>
        <v/>
      </c>
      <c r="AD130" t="str">
        <f>""</f>
        <v/>
      </c>
      <c r="AE130" t="str">
        <f>""</f>
        <v/>
      </c>
      <c r="AF130" t="str">
        <f>""</f>
        <v/>
      </c>
      <c r="AG130" t="str">
        <f>"S"</f>
        <v>S</v>
      </c>
      <c r="AH130" t="str">
        <f>""</f>
        <v/>
      </c>
      <c r="AI130" t="str">
        <f>""</f>
        <v/>
      </c>
      <c r="AJ130" t="str">
        <f>""</f>
        <v/>
      </c>
      <c r="AK130" t="str">
        <f>""</f>
        <v/>
      </c>
      <c r="AL130" t="str">
        <f>""</f>
        <v/>
      </c>
      <c r="AM130" t="str">
        <f>""</f>
        <v/>
      </c>
      <c r="AN130" t="str">
        <f>""</f>
        <v/>
      </c>
      <c r="AO130" t="str">
        <f>""</f>
        <v/>
      </c>
      <c r="AP130" t="str">
        <f>""</f>
        <v/>
      </c>
      <c r="AQ130" t="str">
        <f>"N"</f>
        <v>N</v>
      </c>
      <c r="AR130" t="str">
        <f>"N"</f>
        <v>N</v>
      </c>
      <c r="AS130" t="str">
        <f>"N"</f>
        <v>N</v>
      </c>
      <c r="AT130" t="str">
        <f>"N"</f>
        <v>N</v>
      </c>
      <c r="AU130" t="str">
        <f>"N"</f>
        <v>N</v>
      </c>
      <c r="AV130" t="str">
        <f>""</f>
        <v/>
      </c>
      <c r="AW130" t="str">
        <f>""</f>
        <v/>
      </c>
      <c r="AX130" t="str">
        <f>""</f>
        <v/>
      </c>
      <c r="AY130" t="str">
        <f>""</f>
        <v/>
      </c>
      <c r="AZ130" t="str">
        <f>""</f>
        <v/>
      </c>
      <c r="BA130" t="str">
        <f>""</f>
        <v/>
      </c>
      <c r="BB130" t="str">
        <f>"01/07/2021 13:53:04"</f>
        <v>01/07/2021 13:53:04</v>
      </c>
      <c r="BC130" t="str">
        <f>"26/10/2021 15:50:35"</f>
        <v>26/10/2021 15:50:35</v>
      </c>
      <c r="BD130" t="str">
        <f>""</f>
        <v/>
      </c>
      <c r="BE130" t="str">
        <f>""</f>
        <v/>
      </c>
      <c r="BF130" t="str">
        <f t="shared" ref="BF130:BF193" si="71">"A"</f>
        <v>A</v>
      </c>
      <c r="BG130" t="str">
        <f>""</f>
        <v/>
      </c>
      <c r="BH130" t="str">
        <f>"0,00"</f>
        <v>0,00</v>
      </c>
      <c r="BI130" t="str">
        <f t="shared" si="53"/>
        <v>EVENTUAL</v>
      </c>
      <c r="BJ130" t="str">
        <f t="shared" ref="BJ130:BJ193" si="72">"1"</f>
        <v>1</v>
      </c>
      <c r="BK130" t="str">
        <f t="shared" ref="BK130:BK193" si="73">"Farmacia"</f>
        <v>Farmacia</v>
      </c>
      <c r="BL130" t="str">
        <f>""</f>
        <v/>
      </c>
      <c r="BM130" t="str">
        <f>"NÃO É VARILUX ESPECIALISTA"</f>
        <v>NÃO É VARILUX ESPECIALISTA</v>
      </c>
      <c r="BN130" t="str">
        <f>"NA"</f>
        <v>NA</v>
      </c>
      <c r="BO130" t="str">
        <f>""</f>
        <v/>
      </c>
      <c r="BP130" t="str">
        <f>""</f>
        <v/>
      </c>
      <c r="BQ130" t="str">
        <f>""</f>
        <v/>
      </c>
      <c r="BR130" t="str">
        <f>"01/07/2021"</f>
        <v>01/07/2021</v>
      </c>
      <c r="BS130" t="str">
        <f>"26/10/2021"</f>
        <v>26/10/2021</v>
      </c>
      <c r="BT130" t="str">
        <f>""</f>
        <v/>
      </c>
      <c r="BU130" t="str">
        <f>""</f>
        <v/>
      </c>
      <c r="BV130" t="str">
        <f>""</f>
        <v/>
      </c>
      <c r="BW130" t="str">
        <f t="shared" si="64"/>
        <v>Não visitado</v>
      </c>
    </row>
    <row r="131" spans="1:75" x14ac:dyDescent="0.35">
      <c r="A131">
        <v>144860</v>
      </c>
      <c r="B131" t="str">
        <f t="shared" si="65"/>
        <v>A</v>
      </c>
      <c r="C131" t="str">
        <f t="shared" si="66"/>
        <v>80</v>
      </c>
      <c r="D131" t="str">
        <f t="shared" si="67"/>
        <v>11121001</v>
      </c>
      <c r="E131" t="str">
        <f t="shared" si="68"/>
        <v>121001</v>
      </c>
      <c r="F131" t="str">
        <f t="shared" si="69"/>
        <v>JENIFER SANTOS</v>
      </c>
      <c r="G131" t="str">
        <f>"28644660000124"</f>
        <v>28644660000124</v>
      </c>
      <c r="H131" t="str">
        <f>""</f>
        <v/>
      </c>
      <c r="I131" t="str">
        <f t="shared" si="70"/>
        <v>CONTA OPTICA</v>
      </c>
      <c r="J131" t="str">
        <f>"HADRYEN GABRIEL LEODORIO LAURINDO"</f>
        <v>HADRYEN GABRIEL LEODORIO LAURINDO</v>
      </c>
      <c r="K131" t="str">
        <f>"OTICAS LAURINDO (4420)"</f>
        <v>OTICAS LAURINDO (4420)</v>
      </c>
      <c r="L131" t="str">
        <f>""</f>
        <v/>
      </c>
      <c r="M131" t="str">
        <f>""</f>
        <v/>
      </c>
      <c r="N131" t="str">
        <f>"HADRYENG@GMAIL.COM"</f>
        <v>HADRYENG@GMAIL.COM</v>
      </c>
      <c r="O131" t="str">
        <f>""</f>
        <v/>
      </c>
      <c r="P131" t="str">
        <f>"RUA GUAIRA"</f>
        <v>RUA GUAIRA</v>
      </c>
      <c r="Q131" t="str">
        <f>"595"</f>
        <v>595</v>
      </c>
      <c r="R131" t="str">
        <f>"LOJA 03"</f>
        <v>LOJA 03</v>
      </c>
      <c r="S131" t="str">
        <f>""</f>
        <v/>
      </c>
      <c r="T131" t="str">
        <f>"89227447"</f>
        <v>89227447</v>
      </c>
      <c r="U131" t="str">
        <f>"IRIRIU"</f>
        <v>IRIRIU</v>
      </c>
      <c r="V131" t="str">
        <f>"JOINVILLE"</f>
        <v>JOINVILLE</v>
      </c>
      <c r="W131" t="str">
        <f t="shared" si="63"/>
        <v>SC</v>
      </c>
      <c r="X131" t="str">
        <f>"47"</f>
        <v>47</v>
      </c>
      <c r="Y131" t="str">
        <f>"988945195"</f>
        <v>988945195</v>
      </c>
      <c r="Z131" t="str">
        <f>""</f>
        <v/>
      </c>
      <c r="AA131" t="str">
        <f>""</f>
        <v/>
      </c>
      <c r="AB131" t="str">
        <f>""</f>
        <v/>
      </c>
      <c r="AC131" t="str">
        <f>""</f>
        <v/>
      </c>
      <c r="AD131" t="str">
        <f>""</f>
        <v/>
      </c>
      <c r="AE131" t="str">
        <f>""</f>
        <v/>
      </c>
      <c r="AF131" t="str">
        <f>""</f>
        <v/>
      </c>
      <c r="AG131" t="str">
        <f>""</f>
        <v/>
      </c>
      <c r="AH131" t="str">
        <f>""</f>
        <v/>
      </c>
      <c r="AI131" t="str">
        <f>""</f>
        <v/>
      </c>
      <c r="AJ131" t="str">
        <f>""</f>
        <v/>
      </c>
      <c r="AK131" t="str">
        <f>""</f>
        <v/>
      </c>
      <c r="AL131" t="str">
        <f>""</f>
        <v/>
      </c>
      <c r="AM131" t="str">
        <f>""</f>
        <v/>
      </c>
      <c r="AN131" t="str">
        <f>""</f>
        <v/>
      </c>
      <c r="AO131" t="str">
        <f>""</f>
        <v/>
      </c>
      <c r="AP131" t="str">
        <f>""</f>
        <v/>
      </c>
      <c r="AQ131" t="str">
        <f>""</f>
        <v/>
      </c>
      <c r="AR131" t="str">
        <f>""</f>
        <v/>
      </c>
      <c r="AS131" t="str">
        <f>""</f>
        <v/>
      </c>
      <c r="AT131" t="str">
        <f>""</f>
        <v/>
      </c>
      <c r="AU131" t="str">
        <f>""</f>
        <v/>
      </c>
      <c r="AV131" t="str">
        <f>""</f>
        <v/>
      </c>
      <c r="AW131" t="str">
        <f>""</f>
        <v/>
      </c>
      <c r="AX131" t="str">
        <f>""</f>
        <v/>
      </c>
      <c r="AY131" t="str">
        <f>""</f>
        <v/>
      </c>
      <c r="AZ131" t="str">
        <f>""</f>
        <v/>
      </c>
      <c r="BA131" t="str">
        <f>""</f>
        <v/>
      </c>
      <c r="BB131" t="str">
        <f>""</f>
        <v/>
      </c>
      <c r="BC131" t="str">
        <f>""</f>
        <v/>
      </c>
      <c r="BD131" t="str">
        <f>""</f>
        <v/>
      </c>
      <c r="BE131" t="str">
        <f>""</f>
        <v/>
      </c>
      <c r="BF131" t="str">
        <f t="shared" si="71"/>
        <v>A</v>
      </c>
      <c r="BG131" t="str">
        <f>""</f>
        <v/>
      </c>
      <c r="BH131" t="str">
        <f>""</f>
        <v/>
      </c>
      <c r="BI131" t="str">
        <f t="shared" si="53"/>
        <v>EVENTUAL</v>
      </c>
      <c r="BJ131" t="str">
        <f t="shared" si="72"/>
        <v>1</v>
      </c>
      <c r="BK131" t="str">
        <f t="shared" si="73"/>
        <v>Farmacia</v>
      </c>
      <c r="BL131" t="str">
        <f>""</f>
        <v/>
      </c>
      <c r="BM131" t="str">
        <f>""</f>
        <v/>
      </c>
      <c r="BN131" t="str">
        <f>""</f>
        <v/>
      </c>
      <c r="BO131" t="str">
        <f>"FOCO VARILUX"</f>
        <v>FOCO VARILUX</v>
      </c>
      <c r="BP131" t="str">
        <f>""</f>
        <v/>
      </c>
      <c r="BQ131" t="str">
        <f>""</f>
        <v/>
      </c>
      <c r="BR131" t="str">
        <f>""</f>
        <v/>
      </c>
      <c r="BS131" t="str">
        <f>""</f>
        <v/>
      </c>
      <c r="BT131" t="str">
        <f>""</f>
        <v/>
      </c>
      <c r="BU131" t="str">
        <f>""</f>
        <v/>
      </c>
      <c r="BV131" t="str">
        <f>""</f>
        <v/>
      </c>
      <c r="BW131" t="str">
        <f>"193"</f>
        <v>193</v>
      </c>
    </row>
    <row r="132" spans="1:75" x14ac:dyDescent="0.35">
      <c r="A132">
        <v>156753</v>
      </c>
      <c r="B132" t="str">
        <f t="shared" si="65"/>
        <v>A</v>
      </c>
      <c r="C132" t="str">
        <f t="shared" si="66"/>
        <v>80</v>
      </c>
      <c r="D132" t="str">
        <f t="shared" si="67"/>
        <v>11121001</v>
      </c>
      <c r="E132" t="str">
        <f t="shared" si="68"/>
        <v>121001</v>
      </c>
      <c r="F132" t="str">
        <f t="shared" si="69"/>
        <v>JENIFER SANTOS</v>
      </c>
      <c r="G132" t="str">
        <f>"46784455000146"</f>
        <v>46784455000146</v>
      </c>
      <c r="H132" t="str">
        <f>"0"</f>
        <v>0</v>
      </c>
      <c r="I132" t="str">
        <f t="shared" si="70"/>
        <v>CONTA OPTICA</v>
      </c>
      <c r="J132" t="str">
        <f>"HAJ COMERCIO DE ARTIGOS OPTICOS LTDA"</f>
        <v>HAJ COMERCIO DE ARTIGOS OPTICOS LTDA</v>
      </c>
      <c r="K132" t="str">
        <f>"OTICAS VIAMAX (4562)"</f>
        <v>OTICAS VIAMAX (4562)</v>
      </c>
      <c r="L132" t="str">
        <f>""</f>
        <v/>
      </c>
      <c r="M132" t="str">
        <f>""</f>
        <v/>
      </c>
      <c r="N132" t="str">
        <f>"ANGELAJARDIM4@GMAIL.COM"</f>
        <v>ANGELAJARDIM4@GMAIL.COM</v>
      </c>
      <c r="O132" t="str">
        <f>""</f>
        <v/>
      </c>
      <c r="P132" t="str">
        <f>"RUA RIO TOCANTINS"</f>
        <v>RUA RIO TOCANTINS</v>
      </c>
      <c r="Q132" t="str">
        <f>"175"</f>
        <v>175</v>
      </c>
      <c r="R132" t="str">
        <f>"SALA 02"</f>
        <v>SALA 02</v>
      </c>
      <c r="S132" t="str">
        <f>"1280"</f>
        <v>1280</v>
      </c>
      <c r="T132" t="str">
        <f>"89245000"</f>
        <v>89245000</v>
      </c>
      <c r="U132" t="str">
        <f>"ITINGA"</f>
        <v>ITINGA</v>
      </c>
      <c r="V132" t="str">
        <f>"ARAQUARI"</f>
        <v>ARAQUARI</v>
      </c>
      <c r="W132" t="str">
        <f t="shared" si="63"/>
        <v>SC</v>
      </c>
      <c r="X132" t="str">
        <f>"47"</f>
        <v>47</v>
      </c>
      <c r="Y132" t="str">
        <f>"34220304"</f>
        <v>34220304</v>
      </c>
      <c r="Z132" t="str">
        <f>""</f>
        <v/>
      </c>
      <c r="AA132" t="str">
        <f>""</f>
        <v/>
      </c>
      <c r="AB132" t="str">
        <f>""</f>
        <v/>
      </c>
      <c r="AC132" t="str">
        <f>""</f>
        <v/>
      </c>
      <c r="AD132" t="str">
        <f>""</f>
        <v/>
      </c>
      <c r="AE132" t="str">
        <f>""</f>
        <v/>
      </c>
      <c r="AF132" t="str">
        <f>""</f>
        <v/>
      </c>
      <c r="AG132" t="str">
        <f>""</f>
        <v/>
      </c>
      <c r="AH132" t="str">
        <f>""</f>
        <v/>
      </c>
      <c r="AI132" t="str">
        <f>""</f>
        <v/>
      </c>
      <c r="AJ132" t="str">
        <f>""</f>
        <v/>
      </c>
      <c r="AK132" t="str">
        <f>""</f>
        <v/>
      </c>
      <c r="AL132" t="str">
        <f>""</f>
        <v/>
      </c>
      <c r="AM132" t="str">
        <f>""</f>
        <v/>
      </c>
      <c r="AN132" t="str">
        <f>""</f>
        <v/>
      </c>
      <c r="AO132" t="str">
        <f>""</f>
        <v/>
      </c>
      <c r="AP132" t="str">
        <f>""</f>
        <v/>
      </c>
      <c r="AQ132" t="str">
        <f>""</f>
        <v/>
      </c>
      <c r="AR132" t="str">
        <f>""</f>
        <v/>
      </c>
      <c r="AS132" t="str">
        <f>""</f>
        <v/>
      </c>
      <c r="AT132" t="str">
        <f>""</f>
        <v/>
      </c>
      <c r="AU132" t="str">
        <f>""</f>
        <v/>
      </c>
      <c r="AV132" t="str">
        <f>""</f>
        <v/>
      </c>
      <c r="AW132" t="str">
        <f>""</f>
        <v/>
      </c>
      <c r="AX132" t="str">
        <f>""</f>
        <v/>
      </c>
      <c r="AY132" t="str">
        <f>""</f>
        <v/>
      </c>
      <c r="AZ132" t="str">
        <f>""</f>
        <v/>
      </c>
      <c r="BA132" t="str">
        <f>""</f>
        <v/>
      </c>
      <c r="BB132" t="str">
        <f>"06/07/2023 12:07:48"</f>
        <v>06/07/2023 12:07:48</v>
      </c>
      <c r="BC132" t="str">
        <f>""</f>
        <v/>
      </c>
      <c r="BD132" t="str">
        <f>""</f>
        <v/>
      </c>
      <c r="BE132" t="str">
        <f>""</f>
        <v/>
      </c>
      <c r="BF132" t="str">
        <f t="shared" si="71"/>
        <v>A</v>
      </c>
      <c r="BG132" t="str">
        <f>""</f>
        <v/>
      </c>
      <c r="BH132" t="str">
        <f>""</f>
        <v/>
      </c>
      <c r="BI132" t="str">
        <f t="shared" si="53"/>
        <v>EVENTUAL</v>
      </c>
      <c r="BJ132" t="str">
        <f t="shared" si="72"/>
        <v>1</v>
      </c>
      <c r="BK132" t="str">
        <f t="shared" si="73"/>
        <v>Farmacia</v>
      </c>
      <c r="BL132" t="str">
        <f>""</f>
        <v/>
      </c>
      <c r="BM132" t="str">
        <f>""</f>
        <v/>
      </c>
      <c r="BN132" t="str">
        <f>""</f>
        <v/>
      </c>
      <c r="BO132" t="str">
        <f>""</f>
        <v/>
      </c>
      <c r="BP132" t="str">
        <f>""</f>
        <v/>
      </c>
      <c r="BQ132" t="str">
        <f>""</f>
        <v/>
      </c>
      <c r="BR132" t="str">
        <f>"06/07/2023"</f>
        <v>06/07/2023</v>
      </c>
      <c r="BS132" t="str">
        <f>""</f>
        <v/>
      </c>
      <c r="BT132" t="str">
        <f>""</f>
        <v/>
      </c>
      <c r="BU132" t="str">
        <f>""</f>
        <v/>
      </c>
      <c r="BV132" t="str">
        <f>""</f>
        <v/>
      </c>
      <c r="BW132" t="str">
        <f>"2"</f>
        <v>2</v>
      </c>
    </row>
    <row r="133" spans="1:75" x14ac:dyDescent="0.35">
      <c r="A133">
        <v>156817</v>
      </c>
      <c r="B133" t="str">
        <f t="shared" si="65"/>
        <v>A</v>
      </c>
      <c r="C133" t="str">
        <f t="shared" si="66"/>
        <v>80</v>
      </c>
      <c r="D133" t="str">
        <f t="shared" si="67"/>
        <v>11121001</v>
      </c>
      <c r="E133" t="str">
        <f t="shared" si="68"/>
        <v>121001</v>
      </c>
      <c r="F133" t="str">
        <f t="shared" si="69"/>
        <v>JENIFER SANTOS</v>
      </c>
      <c r="G133" t="str">
        <f>"81640377000107"</f>
        <v>81640377000107</v>
      </c>
      <c r="H133" t="str">
        <f>"0"</f>
        <v>0</v>
      </c>
      <c r="I133" t="str">
        <f t="shared" si="70"/>
        <v>CONTA OPTICA</v>
      </c>
      <c r="J133" t="str">
        <f>"HANS ULRICH SEIFERT E CIA LTDA ME"</f>
        <v>HANS ULRICH SEIFERT E CIA LTDA ME</v>
      </c>
      <c r="K133" t="str">
        <f>"OTICA IGUACU (212)"</f>
        <v>OTICA IGUACU (212)</v>
      </c>
      <c r="L133" t="str">
        <f>""</f>
        <v/>
      </c>
      <c r="M133" t="str">
        <f>""</f>
        <v/>
      </c>
      <c r="N133" t="str">
        <f>"oticauguacu2@twin-net.com.br"</f>
        <v>oticauguacu2@twin-net.com.br</v>
      </c>
      <c r="O133" t="str">
        <f>""</f>
        <v/>
      </c>
      <c r="P133" t="str">
        <f>"INT. MANOEL RIBAS"</f>
        <v>INT. MANOEL RIBAS</v>
      </c>
      <c r="Q133" t="str">
        <f>"142"</f>
        <v>142</v>
      </c>
      <c r="R133" t="str">
        <f>""</f>
        <v/>
      </c>
      <c r="S133" t="str">
        <f>"1198"</f>
        <v>1198</v>
      </c>
      <c r="T133" t="str">
        <f>"84600000"</f>
        <v>84600000</v>
      </c>
      <c r="U133" t="str">
        <f t="shared" ref="U133:U138" si="74">"CENTRO"</f>
        <v>CENTRO</v>
      </c>
      <c r="V133" t="str">
        <f>"UNIAO DA VITORIA"</f>
        <v>UNIAO DA VITORIA</v>
      </c>
      <c r="W133" t="str">
        <f>"PR"</f>
        <v>PR</v>
      </c>
      <c r="X133" t="str">
        <f>"42"</f>
        <v>42</v>
      </c>
      <c r="Y133" t="str">
        <f>"35224645"</f>
        <v>35224645</v>
      </c>
      <c r="Z133" t="str">
        <f>""</f>
        <v/>
      </c>
      <c r="AA133" t="str">
        <f>""</f>
        <v/>
      </c>
      <c r="AB133" t="str">
        <f>""</f>
        <v/>
      </c>
      <c r="AC133" t="str">
        <f>""</f>
        <v/>
      </c>
      <c r="AD133" t="str">
        <f>""</f>
        <v/>
      </c>
      <c r="AE133" t="str">
        <f>""</f>
        <v/>
      </c>
      <c r="AF133" t="str">
        <f>""</f>
        <v/>
      </c>
      <c r="AG133" t="str">
        <f>""</f>
        <v/>
      </c>
      <c r="AH133" t="str">
        <f>""</f>
        <v/>
      </c>
      <c r="AI133" t="str">
        <f>""</f>
        <v/>
      </c>
      <c r="AJ133" t="str">
        <f>""</f>
        <v/>
      </c>
      <c r="AK133" t="str">
        <f>""</f>
        <v/>
      </c>
      <c r="AL133" t="str">
        <f>""</f>
        <v/>
      </c>
      <c r="AM133" t="str">
        <f>""</f>
        <v/>
      </c>
      <c r="AN133" t="str">
        <f>""</f>
        <v/>
      </c>
      <c r="AO133" t="str">
        <f>""</f>
        <v/>
      </c>
      <c r="AP133" t="str">
        <f>""</f>
        <v/>
      </c>
      <c r="AQ133" t="str">
        <f>""</f>
        <v/>
      </c>
      <c r="AR133" t="str">
        <f>""</f>
        <v/>
      </c>
      <c r="AS133" t="str">
        <f>""</f>
        <v/>
      </c>
      <c r="AT133" t="str">
        <f>""</f>
        <v/>
      </c>
      <c r="AU133" t="str">
        <f>""</f>
        <v/>
      </c>
      <c r="AV133" t="str">
        <f>""</f>
        <v/>
      </c>
      <c r="AW133" t="str">
        <f>""</f>
        <v/>
      </c>
      <c r="AX133" t="str">
        <f>""</f>
        <v/>
      </c>
      <c r="AY133" t="str">
        <f>""</f>
        <v/>
      </c>
      <c r="AZ133" t="str">
        <f>""</f>
        <v/>
      </c>
      <c r="BA133" t="str">
        <f>""</f>
        <v/>
      </c>
      <c r="BB133" t="str">
        <f>"06/07/2023 12:07:48"</f>
        <v>06/07/2023 12:07:48</v>
      </c>
      <c r="BC133" t="str">
        <f>""</f>
        <v/>
      </c>
      <c r="BD133" t="str">
        <f>""</f>
        <v/>
      </c>
      <c r="BE133" t="str">
        <f>""</f>
        <v/>
      </c>
      <c r="BF133" t="str">
        <f t="shared" si="71"/>
        <v>A</v>
      </c>
      <c r="BG133" t="str">
        <f>""</f>
        <v/>
      </c>
      <c r="BH133" t="str">
        <f>""</f>
        <v/>
      </c>
      <c r="BI133" t="str">
        <f t="shared" si="53"/>
        <v>EVENTUAL</v>
      </c>
      <c r="BJ133" t="str">
        <f t="shared" si="72"/>
        <v>1</v>
      </c>
      <c r="BK133" t="str">
        <f t="shared" si="73"/>
        <v>Farmacia</v>
      </c>
      <c r="BL133" t="str">
        <f>""</f>
        <v/>
      </c>
      <c r="BM133" t="str">
        <f>""</f>
        <v/>
      </c>
      <c r="BN133" t="str">
        <f>""</f>
        <v/>
      </c>
      <c r="BO133" t="str">
        <f>""</f>
        <v/>
      </c>
      <c r="BP133" t="str">
        <f>""</f>
        <v/>
      </c>
      <c r="BQ133" t="str">
        <f>""</f>
        <v/>
      </c>
      <c r="BR133" t="str">
        <f>"06/07/2023"</f>
        <v>06/07/2023</v>
      </c>
      <c r="BS133" t="str">
        <f>""</f>
        <v/>
      </c>
      <c r="BT133" t="str">
        <f>""</f>
        <v/>
      </c>
      <c r="BU133" t="str">
        <f>""</f>
        <v/>
      </c>
      <c r="BV133" t="str">
        <f>""</f>
        <v/>
      </c>
      <c r="BW133" t="str">
        <f>"Não visitado"</f>
        <v>Não visitado</v>
      </c>
    </row>
    <row r="134" spans="1:75" x14ac:dyDescent="0.35">
      <c r="A134">
        <v>144458</v>
      </c>
      <c r="B134" t="str">
        <f t="shared" si="65"/>
        <v>A</v>
      </c>
      <c r="C134" t="str">
        <f t="shared" si="66"/>
        <v>80</v>
      </c>
      <c r="D134" t="str">
        <f t="shared" si="67"/>
        <v>11121001</v>
      </c>
      <c r="E134" t="str">
        <f t="shared" si="68"/>
        <v>121001</v>
      </c>
      <c r="F134" t="str">
        <f t="shared" si="69"/>
        <v>JENIFER SANTOS</v>
      </c>
      <c r="G134" t="str">
        <f>"75269852000188"</f>
        <v>75269852000188</v>
      </c>
      <c r="H134" t="str">
        <f>""</f>
        <v/>
      </c>
      <c r="I134" t="str">
        <f t="shared" si="70"/>
        <v>CONTA OPTICA</v>
      </c>
      <c r="J134" t="str">
        <f>"HELIO JARDIM OTICA LTDA"</f>
        <v>HELIO JARDIM OTICA LTDA</v>
      </c>
      <c r="K134" t="str">
        <f>"OTICAS JOINVILLE (262)"</f>
        <v>OTICAS JOINVILLE (262)</v>
      </c>
      <c r="L134" t="str">
        <f>""</f>
        <v/>
      </c>
      <c r="M134" t="str">
        <f>""</f>
        <v/>
      </c>
      <c r="N134" t="str">
        <f>"opticajllefuncionarios@hotmail.com"</f>
        <v>opticajllefuncionarios@hotmail.com</v>
      </c>
      <c r="O134" t="str">
        <f>""</f>
        <v/>
      </c>
      <c r="P134" t="str">
        <f>"RUA ABDON BATISTA"</f>
        <v>RUA ABDON BATISTA</v>
      </c>
      <c r="Q134" t="str">
        <f>"183"</f>
        <v>183</v>
      </c>
      <c r="R134" t="str">
        <f>""</f>
        <v/>
      </c>
      <c r="S134" t="str">
        <f>"1277"</f>
        <v>1277</v>
      </c>
      <c r="T134" t="str">
        <f>"89201010"</f>
        <v>89201010</v>
      </c>
      <c r="U134" t="str">
        <f t="shared" si="74"/>
        <v>CENTRO</v>
      </c>
      <c r="V134" t="str">
        <f>"JOINVILLE"</f>
        <v>JOINVILLE</v>
      </c>
      <c r="W134" t="str">
        <f>"SC"</f>
        <v>SC</v>
      </c>
      <c r="X134" t="str">
        <f>"47"</f>
        <v>47</v>
      </c>
      <c r="Y134" t="str">
        <f>"34220304"</f>
        <v>34220304</v>
      </c>
      <c r="Z134" t="str">
        <f>""</f>
        <v/>
      </c>
      <c r="AA134" t="str">
        <f>""</f>
        <v/>
      </c>
      <c r="AB134" t="str">
        <f>""</f>
        <v/>
      </c>
      <c r="AC134" t="str">
        <f>""</f>
        <v/>
      </c>
      <c r="AD134" t="str">
        <f>""</f>
        <v/>
      </c>
      <c r="AE134" t="str">
        <f>""</f>
        <v/>
      </c>
      <c r="AF134" t="str">
        <f>""</f>
        <v/>
      </c>
      <c r="AG134" t="str">
        <f>""</f>
        <v/>
      </c>
      <c r="AH134" t="str">
        <f>""</f>
        <v/>
      </c>
      <c r="AI134" t="str">
        <f>""</f>
        <v/>
      </c>
      <c r="AJ134" t="str">
        <f>"0"</f>
        <v>0</v>
      </c>
      <c r="AK134" t="str">
        <f>"0"</f>
        <v>0</v>
      </c>
      <c r="AL134" t="str">
        <f>"0"</f>
        <v>0</v>
      </c>
      <c r="AM134" t="str">
        <f>""</f>
        <v/>
      </c>
      <c r="AN134" t="str">
        <f>""</f>
        <v/>
      </c>
      <c r="AO134" t="str">
        <f>""</f>
        <v/>
      </c>
      <c r="AP134" t="str">
        <f>""</f>
        <v/>
      </c>
      <c r="AQ134" t="str">
        <f>""</f>
        <v/>
      </c>
      <c r="AR134" t="str">
        <f>""</f>
        <v/>
      </c>
      <c r="AS134" t="str">
        <f>""</f>
        <v/>
      </c>
      <c r="AT134" t="str">
        <f>""</f>
        <v/>
      </c>
      <c r="AU134" t="str">
        <f>""</f>
        <v/>
      </c>
      <c r="AV134" t="str">
        <f>""</f>
        <v/>
      </c>
      <c r="AW134" t="str">
        <f>""</f>
        <v/>
      </c>
      <c r="AX134" t="str">
        <f>""</f>
        <v/>
      </c>
      <c r="AY134" t="str">
        <f>""</f>
        <v/>
      </c>
      <c r="AZ134" t="str">
        <f>""</f>
        <v/>
      </c>
      <c r="BA134" t="str">
        <f>""</f>
        <v/>
      </c>
      <c r="BB134" t="str">
        <f>""</f>
        <v/>
      </c>
      <c r="BC134" t="str">
        <f>""</f>
        <v/>
      </c>
      <c r="BD134" t="str">
        <f>""</f>
        <v/>
      </c>
      <c r="BE134" t="str">
        <f>""</f>
        <v/>
      </c>
      <c r="BF134" t="str">
        <f t="shared" si="71"/>
        <v>A</v>
      </c>
      <c r="BG134" t="str">
        <f>"0,00"</f>
        <v>0,00</v>
      </c>
      <c r="BH134" t="str">
        <f>"0,00"</f>
        <v>0,00</v>
      </c>
      <c r="BI134" t="str">
        <f t="shared" si="53"/>
        <v>EVENTUAL</v>
      </c>
      <c r="BJ134" t="str">
        <f t="shared" si="72"/>
        <v>1</v>
      </c>
      <c r="BK134" t="str">
        <f t="shared" si="73"/>
        <v>Farmacia</v>
      </c>
      <c r="BL134" t="str">
        <f>""</f>
        <v/>
      </c>
      <c r="BM134" t="str">
        <f>"VARILUX ESPECIALISTA SELECT"</f>
        <v>VARILUX ESPECIALISTA SELECT</v>
      </c>
      <c r="BN134" t="str">
        <f>"NA"</f>
        <v>NA</v>
      </c>
      <c r="BO134" t="str">
        <f>"FOCO VARILUX DIGITAL"</f>
        <v>FOCO VARILUX DIGITAL</v>
      </c>
      <c r="BP134" t="str">
        <f>""</f>
        <v/>
      </c>
      <c r="BQ134" t="str">
        <f>""</f>
        <v/>
      </c>
      <c r="BR134" t="str">
        <f>""</f>
        <v/>
      </c>
      <c r="BS134" t="str">
        <f>""</f>
        <v/>
      </c>
      <c r="BT134" t="str">
        <f>""</f>
        <v/>
      </c>
      <c r="BU134" t="str">
        <f>""</f>
        <v/>
      </c>
      <c r="BV134" t="str">
        <f>"5"</f>
        <v>5</v>
      </c>
      <c r="BW134" t="str">
        <f>"80"</f>
        <v>80</v>
      </c>
    </row>
    <row r="135" spans="1:75" x14ac:dyDescent="0.35">
      <c r="A135">
        <v>138056</v>
      </c>
      <c r="B135" t="str">
        <f t="shared" si="65"/>
        <v>A</v>
      </c>
      <c r="C135" t="str">
        <f t="shared" si="66"/>
        <v>80</v>
      </c>
      <c r="D135" t="str">
        <f t="shared" si="67"/>
        <v>11121001</v>
      </c>
      <c r="E135" t="str">
        <f t="shared" si="68"/>
        <v>121001</v>
      </c>
      <c r="F135" t="str">
        <f t="shared" si="69"/>
        <v>JENIFER SANTOS</v>
      </c>
      <c r="G135" t="str">
        <f>"90275819000154"</f>
        <v>90275819000154</v>
      </c>
      <c r="H135" t="str">
        <f t="shared" ref="H135:H141" si="75">"0"</f>
        <v>0</v>
      </c>
      <c r="I135" t="str">
        <f t="shared" si="70"/>
        <v>CONTA OPTICA</v>
      </c>
      <c r="J135" t="str">
        <f>"HERMANN &amp; CIA LTDA ME"</f>
        <v>HERMANN &amp; CIA LTDA ME</v>
      </c>
      <c r="K135" t="str">
        <f>"HERMANN &amp; CIA LTDA ME (713)"</f>
        <v>HERMANN &amp; CIA LTDA ME (713)</v>
      </c>
      <c r="L135" t="str">
        <f>""</f>
        <v/>
      </c>
      <c r="M135" t="str">
        <f>""</f>
        <v/>
      </c>
      <c r="N135" t="str">
        <f>"glauciahermann@uol.com.br"</f>
        <v>glauciahermann@uol.com.br</v>
      </c>
      <c r="O135" t="str">
        <f>""</f>
        <v/>
      </c>
      <c r="P135" t="str">
        <f>"AVENIDA JULIO DE CASTILHOS"</f>
        <v>AVENIDA JULIO DE CASTILHOS</v>
      </c>
      <c r="Q135" t="str">
        <f>"1121"</f>
        <v>1121</v>
      </c>
      <c r="R135" t="str">
        <f>""</f>
        <v/>
      </c>
      <c r="S135" t="str">
        <f>"1379"</f>
        <v>1379</v>
      </c>
      <c r="T135" t="str">
        <f>"98600000"</f>
        <v>98600000</v>
      </c>
      <c r="U135" t="str">
        <f t="shared" si="74"/>
        <v>CENTRO</v>
      </c>
      <c r="V135" t="str">
        <f>"TRÊS PASSOS"</f>
        <v>TRÊS PASSOS</v>
      </c>
      <c r="W135" t="str">
        <f>"RS"</f>
        <v>RS</v>
      </c>
      <c r="X135" t="str">
        <f>"55"</f>
        <v>55</v>
      </c>
      <c r="Y135" t="str">
        <f>"35221248"</f>
        <v>35221248</v>
      </c>
      <c r="Z135" t="str">
        <f>""</f>
        <v/>
      </c>
      <c r="AA135" t="str">
        <f>""</f>
        <v/>
      </c>
      <c r="AB135" t="str">
        <f>""</f>
        <v/>
      </c>
      <c r="AC135" t="str">
        <f>""</f>
        <v/>
      </c>
      <c r="AD135" t="str">
        <f>""</f>
        <v/>
      </c>
      <c r="AE135" t="str">
        <f>""</f>
        <v/>
      </c>
      <c r="AF135" t="str">
        <f>""</f>
        <v/>
      </c>
      <c r="AG135" t="str">
        <f>"S"</f>
        <v>S</v>
      </c>
      <c r="AH135" t="str">
        <f>""</f>
        <v/>
      </c>
      <c r="AI135" t="str">
        <f>""</f>
        <v/>
      </c>
      <c r="AJ135" t="str">
        <f>""</f>
        <v/>
      </c>
      <c r="AK135" t="str">
        <f>""</f>
        <v/>
      </c>
      <c r="AL135" t="str">
        <f>""</f>
        <v/>
      </c>
      <c r="AM135" t="str">
        <f>""</f>
        <v/>
      </c>
      <c r="AN135" t="str">
        <f>""</f>
        <v/>
      </c>
      <c r="AO135" t="str">
        <f>""</f>
        <v/>
      </c>
      <c r="AP135" t="str">
        <f>""</f>
        <v/>
      </c>
      <c r="AQ135" t="str">
        <f t="shared" ref="AQ135:AU136" si="76">"N"</f>
        <v>N</v>
      </c>
      <c r="AR135" t="str">
        <f t="shared" si="76"/>
        <v>N</v>
      </c>
      <c r="AS135" t="str">
        <f t="shared" si="76"/>
        <v>N</v>
      </c>
      <c r="AT135" t="str">
        <f t="shared" si="76"/>
        <v>N</v>
      </c>
      <c r="AU135" t="str">
        <f t="shared" si="76"/>
        <v>N</v>
      </c>
      <c r="AV135" t="str">
        <f>""</f>
        <v/>
      </c>
      <c r="AW135" t="str">
        <f>""</f>
        <v/>
      </c>
      <c r="AX135" t="str">
        <f>""</f>
        <v/>
      </c>
      <c r="AY135" t="str">
        <f>""</f>
        <v/>
      </c>
      <c r="AZ135" t="str">
        <f>""</f>
        <v/>
      </c>
      <c r="BA135" t="str">
        <f>""</f>
        <v/>
      </c>
      <c r="BB135" t="str">
        <f>"01/07/2021 13:53:04"</f>
        <v>01/07/2021 13:53:04</v>
      </c>
      <c r="BC135" t="str">
        <f>"08/04/2022 14:03:43"</f>
        <v>08/04/2022 14:03:43</v>
      </c>
      <c r="BD135" t="str">
        <f>""</f>
        <v/>
      </c>
      <c r="BE135" t="str">
        <f>""</f>
        <v/>
      </c>
      <c r="BF135" t="str">
        <f t="shared" si="71"/>
        <v>A</v>
      </c>
      <c r="BG135" t="str">
        <f>""</f>
        <v/>
      </c>
      <c r="BH135" t="str">
        <f>"0,00"</f>
        <v>0,00</v>
      </c>
      <c r="BI135" t="str">
        <f t="shared" si="53"/>
        <v>EVENTUAL</v>
      </c>
      <c r="BJ135" t="str">
        <f t="shared" si="72"/>
        <v>1</v>
      </c>
      <c r="BK135" t="str">
        <f t="shared" si="73"/>
        <v>Farmacia</v>
      </c>
      <c r="BL135" t="str">
        <f>""</f>
        <v/>
      </c>
      <c r="BM135" t="str">
        <f>"VARILUX ESPECIALISTA PLATINE"</f>
        <v>VARILUX ESPECIALISTA PLATINE</v>
      </c>
      <c r="BN135" t="str">
        <f>"NA"</f>
        <v>NA</v>
      </c>
      <c r="BO135" t="str">
        <f>"FOCO VARILUX DIGITAL"</f>
        <v>FOCO VARILUX DIGITAL</v>
      </c>
      <c r="BP135" t="str">
        <f>""</f>
        <v/>
      </c>
      <c r="BQ135" t="str">
        <f>""</f>
        <v/>
      </c>
      <c r="BR135" t="str">
        <f>"01/07/2021"</f>
        <v>01/07/2021</v>
      </c>
      <c r="BS135" t="str">
        <f>"08/04/2022"</f>
        <v>08/04/2022</v>
      </c>
      <c r="BT135" t="str">
        <f>""</f>
        <v/>
      </c>
      <c r="BU135" t="str">
        <f>""</f>
        <v/>
      </c>
      <c r="BV135" t="str">
        <f>""</f>
        <v/>
      </c>
      <c r="BW135" t="str">
        <f>"Não visitado"</f>
        <v>Não visitado</v>
      </c>
    </row>
    <row r="136" spans="1:75" x14ac:dyDescent="0.35">
      <c r="A136">
        <v>138057</v>
      </c>
      <c r="B136" t="str">
        <f t="shared" si="65"/>
        <v>A</v>
      </c>
      <c r="C136" t="str">
        <f t="shared" si="66"/>
        <v>80</v>
      </c>
      <c r="D136" t="str">
        <f t="shared" si="67"/>
        <v>11121001</v>
      </c>
      <c r="E136" t="str">
        <f t="shared" si="68"/>
        <v>121001</v>
      </c>
      <c r="F136" t="str">
        <f t="shared" si="69"/>
        <v>JENIFER SANTOS</v>
      </c>
      <c r="G136" t="str">
        <f>"80997109000184"</f>
        <v>80997109000184</v>
      </c>
      <c r="H136" t="str">
        <f t="shared" si="75"/>
        <v>0</v>
      </c>
      <c r="I136" t="str">
        <f t="shared" si="70"/>
        <v>CONTA OPTICA</v>
      </c>
      <c r="J136" t="str">
        <f>"HF JOALHERIA E OTICA LTDA ME"</f>
        <v>HF JOALHERIA E OTICA LTDA ME</v>
      </c>
      <c r="K136" t="str">
        <f>"HF JOALHERIA E OTICA LTDA ME (208)"</f>
        <v>HF JOALHERIA E OTICA LTDA ME (208)</v>
      </c>
      <c r="L136" t="str">
        <f>""</f>
        <v/>
      </c>
      <c r="M136" t="str">
        <f>""</f>
        <v/>
      </c>
      <c r="N136" t="str">
        <f>"fabiano@oticasgasparetto.com.br"</f>
        <v>fabiano@oticasgasparetto.com.br</v>
      </c>
      <c r="O136" t="str">
        <f>""</f>
        <v/>
      </c>
      <c r="P136" t="str">
        <f>"RUA BARAO DO RIO BRANCO"</f>
        <v>RUA BARAO DO RIO BRANCO</v>
      </c>
      <c r="Q136" t="str">
        <f>"284"</f>
        <v>284</v>
      </c>
      <c r="R136" t="str">
        <f>"E - SALA 10"</f>
        <v>E - SALA 10</v>
      </c>
      <c r="S136" t="str">
        <f>"1287"</f>
        <v>1287</v>
      </c>
      <c r="T136" t="str">
        <f>"89802100"</f>
        <v>89802100</v>
      </c>
      <c r="U136" t="str">
        <f t="shared" si="74"/>
        <v>CENTRO</v>
      </c>
      <c r="V136" t="str">
        <f>"CHAPECÓ"</f>
        <v>CHAPECÓ</v>
      </c>
      <c r="W136" t="str">
        <f t="shared" ref="W136:W143" si="77">"SC"</f>
        <v>SC</v>
      </c>
      <c r="X136" t="str">
        <f>"49"</f>
        <v>49</v>
      </c>
      <c r="Y136" t="str">
        <f>"33233826"</f>
        <v>33233826</v>
      </c>
      <c r="Z136" t="str">
        <f>""</f>
        <v/>
      </c>
      <c r="AA136" t="str">
        <f>""</f>
        <v/>
      </c>
      <c r="AB136" t="str">
        <f>""</f>
        <v/>
      </c>
      <c r="AC136" t="str">
        <f>""</f>
        <v/>
      </c>
      <c r="AD136" t="str">
        <f>""</f>
        <v/>
      </c>
      <c r="AE136" t="str">
        <f>""</f>
        <v/>
      </c>
      <c r="AF136" t="str">
        <f>""</f>
        <v/>
      </c>
      <c r="AG136" t="str">
        <f>"S"</f>
        <v>S</v>
      </c>
      <c r="AH136" t="str">
        <f>""</f>
        <v/>
      </c>
      <c r="AI136" t="str">
        <f>""</f>
        <v/>
      </c>
      <c r="AJ136" t="str">
        <f>""</f>
        <v/>
      </c>
      <c r="AK136" t="str">
        <f>""</f>
        <v/>
      </c>
      <c r="AL136" t="str">
        <f>""</f>
        <v/>
      </c>
      <c r="AM136" t="str">
        <f>""</f>
        <v/>
      </c>
      <c r="AN136" t="str">
        <f>""</f>
        <v/>
      </c>
      <c r="AO136" t="str">
        <f>""</f>
        <v/>
      </c>
      <c r="AP136" t="str">
        <f>""</f>
        <v/>
      </c>
      <c r="AQ136" t="str">
        <f t="shared" si="76"/>
        <v>N</v>
      </c>
      <c r="AR136" t="str">
        <f t="shared" si="76"/>
        <v>N</v>
      </c>
      <c r="AS136" t="str">
        <f t="shared" si="76"/>
        <v>N</v>
      </c>
      <c r="AT136" t="str">
        <f t="shared" si="76"/>
        <v>N</v>
      </c>
      <c r="AU136" t="str">
        <f t="shared" si="76"/>
        <v>N</v>
      </c>
      <c r="AV136" t="str">
        <f>""</f>
        <v/>
      </c>
      <c r="AW136" t="str">
        <f>""</f>
        <v/>
      </c>
      <c r="AX136" t="str">
        <f>""</f>
        <v/>
      </c>
      <c r="AY136" t="str">
        <f>""</f>
        <v/>
      </c>
      <c r="AZ136" t="str">
        <f>""</f>
        <v/>
      </c>
      <c r="BA136" t="str">
        <f>""</f>
        <v/>
      </c>
      <c r="BB136" t="str">
        <f>"01/07/2021 13:53:04"</f>
        <v>01/07/2021 13:53:04</v>
      </c>
      <c r="BC136" t="str">
        <f>"12/04/2022 16:50:55"</f>
        <v>12/04/2022 16:50:55</v>
      </c>
      <c r="BD136" t="str">
        <f>""</f>
        <v/>
      </c>
      <c r="BE136" t="str">
        <f>""</f>
        <v/>
      </c>
      <c r="BF136" t="str">
        <f t="shared" si="71"/>
        <v>A</v>
      </c>
      <c r="BG136" t="str">
        <f>""</f>
        <v/>
      </c>
      <c r="BH136" t="str">
        <f>"0,00"</f>
        <v>0,00</v>
      </c>
      <c r="BI136" t="str">
        <f t="shared" si="53"/>
        <v>EVENTUAL</v>
      </c>
      <c r="BJ136" t="str">
        <f t="shared" si="72"/>
        <v>1</v>
      </c>
      <c r="BK136" t="str">
        <f t="shared" si="73"/>
        <v>Farmacia</v>
      </c>
      <c r="BL136" t="str">
        <f>""</f>
        <v/>
      </c>
      <c r="BM136" t="str">
        <f>"NÃO É VARILUX ESPECIALISTA"</f>
        <v>NÃO É VARILUX ESPECIALISTA</v>
      </c>
      <c r="BN136" t="str">
        <f>"NA"</f>
        <v>NA</v>
      </c>
      <c r="BO136" t="str">
        <f>"FOCO VARILUX DIGITAL"</f>
        <v>FOCO VARILUX DIGITAL</v>
      </c>
      <c r="BP136" t="str">
        <f>""</f>
        <v/>
      </c>
      <c r="BQ136" t="str">
        <f>""</f>
        <v/>
      </c>
      <c r="BR136" t="str">
        <f>"01/07/2021"</f>
        <v>01/07/2021</v>
      </c>
      <c r="BS136" t="str">
        <f>"12/04/2022"</f>
        <v>12/04/2022</v>
      </c>
      <c r="BT136" t="str">
        <f>""</f>
        <v/>
      </c>
      <c r="BU136" t="str">
        <f>""</f>
        <v/>
      </c>
      <c r="BV136" t="str">
        <f>""</f>
        <v/>
      </c>
      <c r="BW136" t="str">
        <f>"262"</f>
        <v>262</v>
      </c>
    </row>
    <row r="137" spans="1:75" x14ac:dyDescent="0.35">
      <c r="A137">
        <v>120454</v>
      </c>
      <c r="B137" t="str">
        <f t="shared" si="65"/>
        <v>A</v>
      </c>
      <c r="C137" t="str">
        <f t="shared" si="66"/>
        <v>80</v>
      </c>
      <c r="D137" t="str">
        <f t="shared" si="67"/>
        <v>11121001</v>
      </c>
      <c r="E137" t="str">
        <f t="shared" si="68"/>
        <v>121001</v>
      </c>
      <c r="F137" t="str">
        <f t="shared" si="69"/>
        <v>JENIFER SANTOS</v>
      </c>
      <c r="G137" t="str">
        <f>"03803177000114"</f>
        <v>03803177000114</v>
      </c>
      <c r="H137" t="str">
        <f t="shared" si="75"/>
        <v>0</v>
      </c>
      <c r="I137" t="str">
        <f t="shared" si="70"/>
        <v>CONTA OPTICA</v>
      </c>
      <c r="J137" t="str">
        <f>"HORA JOIAS LTDA ME"</f>
        <v>HORA JOIAS LTDA ME</v>
      </c>
      <c r="K137" t="str">
        <f>"HORA JOIAS LTDA ME (455)"</f>
        <v>HORA JOIAS LTDA ME (455)</v>
      </c>
      <c r="L137" t="str">
        <f>""</f>
        <v/>
      </c>
      <c r="M137" t="str">
        <f>""</f>
        <v/>
      </c>
      <c r="N137" t="str">
        <f>"hora.joias@yahoo.com.br"</f>
        <v>hora.joias@yahoo.com.br</v>
      </c>
      <c r="O137" t="str">
        <f>""</f>
        <v/>
      </c>
      <c r="P137" t="str">
        <f>"RUA RUI BARBOSA"</f>
        <v>RUA RUI BARBOSA</v>
      </c>
      <c r="Q137" t="str">
        <f>"261"</f>
        <v>261</v>
      </c>
      <c r="R137" t="str">
        <f>"SALA 01"</f>
        <v>SALA 01</v>
      </c>
      <c r="S137" t="str">
        <f>"1288"</f>
        <v>1288</v>
      </c>
      <c r="T137" t="str">
        <f>"89820000"</f>
        <v>89820000</v>
      </c>
      <c r="U137" t="str">
        <f t="shared" si="74"/>
        <v>CENTRO</v>
      </c>
      <c r="V137" t="str">
        <f>"XANXERE"</f>
        <v>XANXERE</v>
      </c>
      <c r="W137" t="str">
        <f t="shared" si="77"/>
        <v>SC</v>
      </c>
      <c r="X137" t="str">
        <f>"49"</f>
        <v>49</v>
      </c>
      <c r="Y137" t="str">
        <f>"34339630"</f>
        <v>34339630</v>
      </c>
      <c r="Z137" t="str">
        <f>""</f>
        <v/>
      </c>
      <c r="AA137" t="str">
        <f>""</f>
        <v/>
      </c>
      <c r="AB137" t="str">
        <f>""</f>
        <v/>
      </c>
      <c r="AC137" t="str">
        <f>""</f>
        <v/>
      </c>
      <c r="AD137" t="str">
        <f>""</f>
        <v/>
      </c>
      <c r="AE137" t="str">
        <f>""</f>
        <v/>
      </c>
      <c r="AF137" t="str">
        <f>""</f>
        <v/>
      </c>
      <c r="AG137" t="str">
        <f>""</f>
        <v/>
      </c>
      <c r="AH137" t="str">
        <f>""</f>
        <v/>
      </c>
      <c r="AI137" t="str">
        <f>""</f>
        <v/>
      </c>
      <c r="AJ137" t="str">
        <f>""</f>
        <v/>
      </c>
      <c r="AK137" t="str">
        <f>""</f>
        <v/>
      </c>
      <c r="AL137" t="str">
        <f>""</f>
        <v/>
      </c>
      <c r="AM137" t="str">
        <f>""</f>
        <v/>
      </c>
      <c r="AN137" t="str">
        <f>""</f>
        <v/>
      </c>
      <c r="AO137" t="str">
        <f>""</f>
        <v/>
      </c>
      <c r="AP137" t="str">
        <f>""</f>
        <v/>
      </c>
      <c r="AQ137" t="str">
        <f>""</f>
        <v/>
      </c>
      <c r="AR137" t="str">
        <f>""</f>
        <v/>
      </c>
      <c r="AS137" t="str">
        <f>""</f>
        <v/>
      </c>
      <c r="AT137" t="str">
        <f>""</f>
        <v/>
      </c>
      <c r="AU137" t="str">
        <f>""</f>
        <v/>
      </c>
      <c r="AV137" t="str">
        <f>""</f>
        <v/>
      </c>
      <c r="AW137" t="str">
        <f>""</f>
        <v/>
      </c>
      <c r="AX137" t="str">
        <f>""</f>
        <v/>
      </c>
      <c r="AY137" t="str">
        <f>""</f>
        <v/>
      </c>
      <c r="AZ137" t="str">
        <f>""</f>
        <v/>
      </c>
      <c r="BA137" t="str">
        <f>""</f>
        <v/>
      </c>
      <c r="BB137" t="str">
        <f>"18/09/2020 22:12:34"</f>
        <v>18/09/2020 22:12:34</v>
      </c>
      <c r="BC137" t="str">
        <f>""</f>
        <v/>
      </c>
      <c r="BD137" t="str">
        <f>""</f>
        <v/>
      </c>
      <c r="BE137" t="str">
        <f>""</f>
        <v/>
      </c>
      <c r="BF137" t="str">
        <f t="shared" si="71"/>
        <v>A</v>
      </c>
      <c r="BG137" t="str">
        <f>""</f>
        <v/>
      </c>
      <c r="BH137" t="str">
        <f>""</f>
        <v/>
      </c>
      <c r="BI137" t="str">
        <f t="shared" si="53"/>
        <v>EVENTUAL</v>
      </c>
      <c r="BJ137" t="str">
        <f t="shared" si="72"/>
        <v>1</v>
      </c>
      <c r="BK137" t="str">
        <f t="shared" si="73"/>
        <v>Farmacia</v>
      </c>
      <c r="BL137" t="str">
        <f>""</f>
        <v/>
      </c>
      <c r="BM137" t="str">
        <f>"NÃO É VARILUX ESPECIALISTA"</f>
        <v>NÃO É VARILUX ESPECIALISTA</v>
      </c>
      <c r="BN137" t="str">
        <f>"NA"</f>
        <v>NA</v>
      </c>
      <c r="BO137" t="str">
        <f>"OUTROS"</f>
        <v>OUTROS</v>
      </c>
      <c r="BP137" t="str">
        <f>""</f>
        <v/>
      </c>
      <c r="BQ137" t="str">
        <f>""</f>
        <v/>
      </c>
      <c r="BR137" t="str">
        <f>"18/09/2020"</f>
        <v>18/09/2020</v>
      </c>
      <c r="BS137" t="str">
        <f>""</f>
        <v/>
      </c>
      <c r="BT137" t="str">
        <f>""</f>
        <v/>
      </c>
      <c r="BU137" t="str">
        <f>""</f>
        <v/>
      </c>
      <c r="BV137" t="str">
        <f>"2"</f>
        <v>2</v>
      </c>
      <c r="BW137" t="str">
        <f>"1"</f>
        <v>1</v>
      </c>
    </row>
    <row r="138" spans="1:75" x14ac:dyDescent="0.35">
      <c r="A138">
        <v>156773</v>
      </c>
      <c r="B138" t="str">
        <f t="shared" si="65"/>
        <v>A</v>
      </c>
      <c r="C138" t="str">
        <f t="shared" si="66"/>
        <v>80</v>
      </c>
      <c r="D138" t="str">
        <f t="shared" si="67"/>
        <v>11121001</v>
      </c>
      <c r="E138" t="str">
        <f t="shared" si="68"/>
        <v>121001</v>
      </c>
      <c r="F138" t="str">
        <f t="shared" si="69"/>
        <v>JENIFER SANTOS</v>
      </c>
      <c r="G138" t="str">
        <f>"21573495000118"</f>
        <v>21573495000118</v>
      </c>
      <c r="H138" t="str">
        <f t="shared" si="75"/>
        <v>0</v>
      </c>
      <c r="I138" t="str">
        <f t="shared" si="70"/>
        <v>CONTA OPTICA</v>
      </c>
      <c r="J138" t="str">
        <f>"HORT E SOUZA OTICA LTDA ME"</f>
        <v>HORT E SOUZA OTICA LTDA ME</v>
      </c>
      <c r="K138" t="str">
        <f>"OTICA VANGUARDA (2190)"</f>
        <v>OTICA VANGUARDA (2190)</v>
      </c>
      <c r="L138" t="str">
        <f>""</f>
        <v/>
      </c>
      <c r="M138" t="str">
        <f>""</f>
        <v/>
      </c>
      <c r="N138" t="str">
        <f>"RODHORT@GMAIL.COM"</f>
        <v>RODHORT@GMAIL.COM</v>
      </c>
      <c r="O138" t="str">
        <f>""</f>
        <v/>
      </c>
      <c r="P138" t="str">
        <f>"RUA FELIPE SCHMIDT"</f>
        <v>RUA FELIPE SCHMIDT</v>
      </c>
      <c r="Q138" t="str">
        <f>"467"</f>
        <v>467</v>
      </c>
      <c r="R138" t="str">
        <f>"SALA 05"</f>
        <v>SALA 05</v>
      </c>
      <c r="S138" t="str">
        <f>"1281"</f>
        <v>1281</v>
      </c>
      <c r="T138" t="str">
        <f>"89300000"</f>
        <v>89300000</v>
      </c>
      <c r="U138" t="str">
        <f t="shared" si="74"/>
        <v>CENTRO</v>
      </c>
      <c r="V138" t="str">
        <f>"MAFRA"</f>
        <v>MAFRA</v>
      </c>
      <c r="W138" t="str">
        <f t="shared" si="77"/>
        <v>SC</v>
      </c>
      <c r="X138" t="str">
        <f>"47"</f>
        <v>47</v>
      </c>
      <c r="Y138" t="str">
        <f>"36424703"</f>
        <v>36424703</v>
      </c>
      <c r="Z138" t="str">
        <f>""</f>
        <v/>
      </c>
      <c r="AA138" t="str">
        <f>""</f>
        <v/>
      </c>
      <c r="AB138" t="str">
        <f>""</f>
        <v/>
      </c>
      <c r="AC138" t="str">
        <f>""</f>
        <v/>
      </c>
      <c r="AD138" t="str">
        <f>""</f>
        <v/>
      </c>
      <c r="AE138" t="str">
        <f>""</f>
        <v/>
      </c>
      <c r="AF138" t="str">
        <f>""</f>
        <v/>
      </c>
      <c r="AG138" t="str">
        <f>""</f>
        <v/>
      </c>
      <c r="AH138" t="str">
        <f>""</f>
        <v/>
      </c>
      <c r="AI138" t="str">
        <f>""</f>
        <v/>
      </c>
      <c r="AJ138" t="str">
        <f>""</f>
        <v/>
      </c>
      <c r="AK138" t="str">
        <f>""</f>
        <v/>
      </c>
      <c r="AL138" t="str">
        <f>""</f>
        <v/>
      </c>
      <c r="AM138" t="str">
        <f>""</f>
        <v/>
      </c>
      <c r="AN138" t="str">
        <f>""</f>
        <v/>
      </c>
      <c r="AO138" t="str">
        <f>""</f>
        <v/>
      </c>
      <c r="AP138" t="str">
        <f>""</f>
        <v/>
      </c>
      <c r="AQ138" t="str">
        <f>""</f>
        <v/>
      </c>
      <c r="AR138" t="str">
        <f>""</f>
        <v/>
      </c>
      <c r="AS138" t="str">
        <f>""</f>
        <v/>
      </c>
      <c r="AT138" t="str">
        <f>""</f>
        <v/>
      </c>
      <c r="AU138" t="str">
        <f>""</f>
        <v/>
      </c>
      <c r="AV138" t="str">
        <f>""</f>
        <v/>
      </c>
      <c r="AW138" t="str">
        <f>""</f>
        <v/>
      </c>
      <c r="AX138" t="str">
        <f>""</f>
        <v/>
      </c>
      <c r="AY138" t="str">
        <f>""</f>
        <v/>
      </c>
      <c r="AZ138" t="str">
        <f>""</f>
        <v/>
      </c>
      <c r="BA138" t="str">
        <f>""</f>
        <v/>
      </c>
      <c r="BB138" t="str">
        <f>"06/07/2023 12:07:48"</f>
        <v>06/07/2023 12:07:48</v>
      </c>
      <c r="BC138" t="str">
        <f>""</f>
        <v/>
      </c>
      <c r="BD138" t="str">
        <f>""</f>
        <v/>
      </c>
      <c r="BE138" t="str">
        <f>""</f>
        <v/>
      </c>
      <c r="BF138" t="str">
        <f t="shared" si="71"/>
        <v>A</v>
      </c>
      <c r="BG138" t="str">
        <f>""</f>
        <v/>
      </c>
      <c r="BH138" t="str">
        <f>""</f>
        <v/>
      </c>
      <c r="BI138" t="str">
        <f t="shared" si="53"/>
        <v>EVENTUAL</v>
      </c>
      <c r="BJ138" t="str">
        <f t="shared" si="72"/>
        <v>1</v>
      </c>
      <c r="BK138" t="str">
        <f t="shared" si="73"/>
        <v>Farmacia</v>
      </c>
      <c r="BL138" t="str">
        <f>""</f>
        <v/>
      </c>
      <c r="BM138" t="str">
        <f>""</f>
        <v/>
      </c>
      <c r="BN138" t="str">
        <f>""</f>
        <v/>
      </c>
      <c r="BO138" t="str">
        <f>""</f>
        <v/>
      </c>
      <c r="BP138" t="str">
        <f>""</f>
        <v/>
      </c>
      <c r="BQ138" t="str">
        <f>""</f>
        <v/>
      </c>
      <c r="BR138" t="str">
        <f>"06/07/2023"</f>
        <v>06/07/2023</v>
      </c>
      <c r="BS138" t="str">
        <f>""</f>
        <v/>
      </c>
      <c r="BT138" t="str">
        <f>""</f>
        <v/>
      </c>
      <c r="BU138" t="str">
        <f>""</f>
        <v/>
      </c>
      <c r="BV138" t="str">
        <f>""</f>
        <v/>
      </c>
      <c r="BW138" t="str">
        <f>"Não visitado"</f>
        <v>Não visitado</v>
      </c>
    </row>
    <row r="139" spans="1:75" x14ac:dyDescent="0.35">
      <c r="A139">
        <v>156748</v>
      </c>
      <c r="B139" t="str">
        <f t="shared" si="65"/>
        <v>A</v>
      </c>
      <c r="C139" t="str">
        <f t="shared" si="66"/>
        <v>80</v>
      </c>
      <c r="D139" t="str">
        <f t="shared" si="67"/>
        <v>11121001</v>
      </c>
      <c r="E139" t="str">
        <f t="shared" si="68"/>
        <v>121001</v>
      </c>
      <c r="F139" t="str">
        <f t="shared" si="69"/>
        <v>JENIFER SANTOS</v>
      </c>
      <c r="G139" t="str">
        <f>"46410695000180"</f>
        <v>46410695000180</v>
      </c>
      <c r="H139" t="str">
        <f t="shared" si="75"/>
        <v>0</v>
      </c>
      <c r="I139" t="str">
        <f t="shared" si="70"/>
        <v>CONTA OPTICA</v>
      </c>
      <c r="J139" t="str">
        <f>"HORUS JOALHERIA E OTICA LTDA"</f>
        <v>HORUS JOALHERIA E OTICA LTDA</v>
      </c>
      <c r="K139" t="str">
        <f>"OJO BY MR.RAY (4626)"</f>
        <v>OJO BY MR.RAY (4626)</v>
      </c>
      <c r="L139" t="str">
        <f>""</f>
        <v/>
      </c>
      <c r="M139" t="str">
        <f>""</f>
        <v/>
      </c>
      <c r="N139" t="str">
        <f>"JOINVILLE@OJOMRRAY.COM.BR"</f>
        <v>JOINVILLE@OJOMRRAY.COM.BR</v>
      </c>
      <c r="O139" t="str">
        <f>""</f>
        <v/>
      </c>
      <c r="P139" t="str">
        <f>"ROLF WIEST"</f>
        <v>ROLF WIEST</v>
      </c>
      <c r="Q139" t="str">
        <f>"333"</f>
        <v>333</v>
      </c>
      <c r="R139" t="str">
        <f>"LOJA L27"</f>
        <v>LOJA L27</v>
      </c>
      <c r="S139" t="str">
        <f>"1279"</f>
        <v>1279</v>
      </c>
      <c r="T139" t="str">
        <f>"89223005"</f>
        <v>89223005</v>
      </c>
      <c r="U139" t="str">
        <f>"BOM RETIRO"</f>
        <v>BOM RETIRO</v>
      </c>
      <c r="V139" t="str">
        <f>"JOINVILLE"</f>
        <v>JOINVILLE</v>
      </c>
      <c r="W139" t="str">
        <f t="shared" si="77"/>
        <v>SC</v>
      </c>
      <c r="X139" t="str">
        <f>"47"</f>
        <v>47</v>
      </c>
      <c r="Y139" t="str">
        <f>"30439010"</f>
        <v>30439010</v>
      </c>
      <c r="Z139" t="str">
        <f>""</f>
        <v/>
      </c>
      <c r="AA139" t="str">
        <f>""</f>
        <v/>
      </c>
      <c r="AB139" t="str">
        <f>""</f>
        <v/>
      </c>
      <c r="AC139" t="str">
        <f>""</f>
        <v/>
      </c>
      <c r="AD139" t="str">
        <f>""</f>
        <v/>
      </c>
      <c r="AE139" t="str">
        <f>""</f>
        <v/>
      </c>
      <c r="AF139" t="str">
        <f>""</f>
        <v/>
      </c>
      <c r="AG139" t="str">
        <f>""</f>
        <v/>
      </c>
      <c r="AH139" t="str">
        <f>""</f>
        <v/>
      </c>
      <c r="AI139" t="str">
        <f>""</f>
        <v/>
      </c>
      <c r="AJ139" t="str">
        <f>""</f>
        <v/>
      </c>
      <c r="AK139" t="str">
        <f>""</f>
        <v/>
      </c>
      <c r="AL139" t="str">
        <f>""</f>
        <v/>
      </c>
      <c r="AM139" t="str">
        <f>""</f>
        <v/>
      </c>
      <c r="AN139" t="str">
        <f>""</f>
        <v/>
      </c>
      <c r="AO139" t="str">
        <f>""</f>
        <v/>
      </c>
      <c r="AP139" t="str">
        <f>""</f>
        <v/>
      </c>
      <c r="AQ139" t="str">
        <f>""</f>
        <v/>
      </c>
      <c r="AR139" t="str">
        <f>""</f>
        <v/>
      </c>
      <c r="AS139" t="str">
        <f>""</f>
        <v/>
      </c>
      <c r="AT139" t="str">
        <f>""</f>
        <v/>
      </c>
      <c r="AU139" t="str">
        <f>""</f>
        <v/>
      </c>
      <c r="AV139" t="str">
        <f>""</f>
        <v/>
      </c>
      <c r="AW139" t="str">
        <f>""</f>
        <v/>
      </c>
      <c r="AX139" t="str">
        <f>""</f>
        <v/>
      </c>
      <c r="AY139" t="str">
        <f>""</f>
        <v/>
      </c>
      <c r="AZ139" t="str">
        <f>""</f>
        <v/>
      </c>
      <c r="BA139" t="str">
        <f>""</f>
        <v/>
      </c>
      <c r="BB139" t="str">
        <f>"06/07/2023 12:07:48"</f>
        <v>06/07/2023 12:07:48</v>
      </c>
      <c r="BC139" t="str">
        <f>""</f>
        <v/>
      </c>
      <c r="BD139" t="str">
        <f>""</f>
        <v/>
      </c>
      <c r="BE139" t="str">
        <f>""</f>
        <v/>
      </c>
      <c r="BF139" t="str">
        <f t="shared" si="71"/>
        <v>A</v>
      </c>
      <c r="BG139" t="str">
        <f>""</f>
        <v/>
      </c>
      <c r="BH139" t="str">
        <f>""</f>
        <v/>
      </c>
      <c r="BI139" t="str">
        <f t="shared" si="53"/>
        <v>EVENTUAL</v>
      </c>
      <c r="BJ139" t="str">
        <f t="shared" si="72"/>
        <v>1</v>
      </c>
      <c r="BK139" t="str">
        <f t="shared" si="73"/>
        <v>Farmacia</v>
      </c>
      <c r="BL139" t="str">
        <f>""</f>
        <v/>
      </c>
      <c r="BM139" t="str">
        <f>""</f>
        <v/>
      </c>
      <c r="BN139" t="str">
        <f>""</f>
        <v/>
      </c>
      <c r="BO139" t="str">
        <f>""</f>
        <v/>
      </c>
      <c r="BP139" t="str">
        <f>""</f>
        <v/>
      </c>
      <c r="BQ139" t="str">
        <f>""</f>
        <v/>
      </c>
      <c r="BR139" t="str">
        <f>"06/07/2023"</f>
        <v>06/07/2023</v>
      </c>
      <c r="BS139" t="str">
        <f>""</f>
        <v/>
      </c>
      <c r="BT139" t="str">
        <f>""</f>
        <v/>
      </c>
      <c r="BU139" t="str">
        <f>""</f>
        <v/>
      </c>
      <c r="BV139" t="str">
        <f>""</f>
        <v/>
      </c>
      <c r="BW139" t="str">
        <f>"2"</f>
        <v>2</v>
      </c>
    </row>
    <row r="140" spans="1:75" x14ac:dyDescent="0.35">
      <c r="A140">
        <v>156746</v>
      </c>
      <c r="B140" t="str">
        <f t="shared" si="65"/>
        <v>A</v>
      </c>
      <c r="C140" t="str">
        <f t="shared" si="66"/>
        <v>80</v>
      </c>
      <c r="D140" t="str">
        <f t="shared" si="67"/>
        <v>11121001</v>
      </c>
      <c r="E140" t="str">
        <f t="shared" si="68"/>
        <v>121001</v>
      </c>
      <c r="F140" t="str">
        <f t="shared" si="69"/>
        <v>JENIFER SANTOS</v>
      </c>
      <c r="G140" t="str">
        <f>"36561816000131"</f>
        <v>36561816000131</v>
      </c>
      <c r="H140" t="str">
        <f t="shared" si="75"/>
        <v>0</v>
      </c>
      <c r="I140" t="str">
        <f t="shared" si="70"/>
        <v>CONTA OPTICA</v>
      </c>
      <c r="J140" t="str">
        <f>"I K OTICA LTDA"</f>
        <v>I K OTICA LTDA</v>
      </c>
      <c r="K140" t="str">
        <f>"OTICA DINIZ (4645)"</f>
        <v>OTICA DINIZ (4645)</v>
      </c>
      <c r="L140" t="str">
        <f>""</f>
        <v/>
      </c>
      <c r="M140" t="str">
        <f>""</f>
        <v/>
      </c>
      <c r="N140" t="str">
        <f>"OTICADINIZAVENTUREIRO@GMAIL.COM"</f>
        <v>OTICADINIZAVENTUREIRO@GMAIL.COM</v>
      </c>
      <c r="O140" t="str">
        <f>""</f>
        <v/>
      </c>
      <c r="P140" t="str">
        <f>"RUA TUIUTI"</f>
        <v>RUA TUIUTI</v>
      </c>
      <c r="Q140" t="str">
        <f>"2295"</f>
        <v>2295</v>
      </c>
      <c r="R140" t="str">
        <f>"SALA 104"</f>
        <v>SALA 104</v>
      </c>
      <c r="S140" t="str">
        <f>"1279"</f>
        <v>1279</v>
      </c>
      <c r="T140" t="str">
        <f>"89226000"</f>
        <v>89226000</v>
      </c>
      <c r="U140" t="str">
        <f>"AVENTUREIRO"</f>
        <v>AVENTUREIRO</v>
      </c>
      <c r="V140" t="str">
        <f>"JOINVILLE"</f>
        <v>JOINVILLE</v>
      </c>
      <c r="W140" t="str">
        <f t="shared" si="77"/>
        <v>SC</v>
      </c>
      <c r="X140" t="str">
        <f>"47"</f>
        <v>47</v>
      </c>
      <c r="Y140" t="str">
        <f>"32784223"</f>
        <v>32784223</v>
      </c>
      <c r="Z140" t="str">
        <f>""</f>
        <v/>
      </c>
      <c r="AA140" t="str">
        <f>""</f>
        <v/>
      </c>
      <c r="AB140" t="str">
        <f>""</f>
        <v/>
      </c>
      <c r="AC140" t="str">
        <f>""</f>
        <v/>
      </c>
      <c r="AD140" t="str">
        <f>""</f>
        <v/>
      </c>
      <c r="AE140" t="str">
        <f>""</f>
        <v/>
      </c>
      <c r="AF140" t="str">
        <f>""</f>
        <v/>
      </c>
      <c r="AG140" t="str">
        <f>""</f>
        <v/>
      </c>
      <c r="AH140" t="str">
        <f>""</f>
        <v/>
      </c>
      <c r="AI140" t="str">
        <f>""</f>
        <v/>
      </c>
      <c r="AJ140" t="str">
        <f>""</f>
        <v/>
      </c>
      <c r="AK140" t="str">
        <f>""</f>
        <v/>
      </c>
      <c r="AL140" t="str">
        <f>""</f>
        <v/>
      </c>
      <c r="AM140" t="str">
        <f>""</f>
        <v/>
      </c>
      <c r="AN140" t="str">
        <f>""</f>
        <v/>
      </c>
      <c r="AO140" t="str">
        <f>""</f>
        <v/>
      </c>
      <c r="AP140" t="str">
        <f>""</f>
        <v/>
      </c>
      <c r="AQ140" t="str">
        <f>""</f>
        <v/>
      </c>
      <c r="AR140" t="str">
        <f>""</f>
        <v/>
      </c>
      <c r="AS140" t="str">
        <f>""</f>
        <v/>
      </c>
      <c r="AT140" t="str">
        <f>""</f>
        <v/>
      </c>
      <c r="AU140" t="str">
        <f>""</f>
        <v/>
      </c>
      <c r="AV140" t="str">
        <f>""</f>
        <v/>
      </c>
      <c r="AW140" t="str">
        <f>""</f>
        <v/>
      </c>
      <c r="AX140" t="str">
        <f>""</f>
        <v/>
      </c>
      <c r="AY140" t="str">
        <f>""</f>
        <v/>
      </c>
      <c r="AZ140" t="str">
        <f>""</f>
        <v/>
      </c>
      <c r="BA140" t="str">
        <f>""</f>
        <v/>
      </c>
      <c r="BB140" t="str">
        <f>"06/07/2023 12:07:48"</f>
        <v>06/07/2023 12:07:48</v>
      </c>
      <c r="BC140" t="str">
        <f>""</f>
        <v/>
      </c>
      <c r="BD140" t="str">
        <f>""</f>
        <v/>
      </c>
      <c r="BE140" t="str">
        <f>""</f>
        <v/>
      </c>
      <c r="BF140" t="str">
        <f t="shared" si="71"/>
        <v>A</v>
      </c>
      <c r="BG140" t="str">
        <f>""</f>
        <v/>
      </c>
      <c r="BH140" t="str">
        <f>""</f>
        <v/>
      </c>
      <c r="BI140" t="str">
        <f t="shared" si="53"/>
        <v>EVENTUAL</v>
      </c>
      <c r="BJ140" t="str">
        <f t="shared" si="72"/>
        <v>1</v>
      </c>
      <c r="BK140" t="str">
        <f t="shared" si="73"/>
        <v>Farmacia</v>
      </c>
      <c r="BL140" t="str">
        <f>""</f>
        <v/>
      </c>
      <c r="BM140" t="str">
        <f>""</f>
        <v/>
      </c>
      <c r="BN140" t="str">
        <f>""</f>
        <v/>
      </c>
      <c r="BO140" t="str">
        <f>""</f>
        <v/>
      </c>
      <c r="BP140" t="str">
        <f>""</f>
        <v/>
      </c>
      <c r="BQ140" t="str">
        <f>""</f>
        <v/>
      </c>
      <c r="BR140" t="str">
        <f>"06/07/2023"</f>
        <v>06/07/2023</v>
      </c>
      <c r="BS140" t="str">
        <f>""</f>
        <v/>
      </c>
      <c r="BT140" t="str">
        <f>""</f>
        <v/>
      </c>
      <c r="BU140" t="str">
        <f>""</f>
        <v/>
      </c>
      <c r="BV140" t="str">
        <f>""</f>
        <v/>
      </c>
      <c r="BW140" t="str">
        <f>"45"</f>
        <v>45</v>
      </c>
    </row>
    <row r="141" spans="1:75" x14ac:dyDescent="0.35">
      <c r="A141">
        <v>138063</v>
      </c>
      <c r="B141" t="str">
        <f t="shared" si="65"/>
        <v>A</v>
      </c>
      <c r="C141" t="str">
        <f t="shared" si="66"/>
        <v>80</v>
      </c>
      <c r="D141" t="str">
        <f t="shared" si="67"/>
        <v>11121001</v>
      </c>
      <c r="E141" t="str">
        <f t="shared" si="68"/>
        <v>121001</v>
      </c>
      <c r="F141" t="str">
        <f t="shared" si="69"/>
        <v>JENIFER SANTOS</v>
      </c>
      <c r="G141" t="str">
        <f>"25377455000151"</f>
        <v>25377455000151</v>
      </c>
      <c r="H141" t="str">
        <f t="shared" si="75"/>
        <v>0</v>
      </c>
      <c r="I141" t="str">
        <f t="shared" si="70"/>
        <v>CONTA OPTICA</v>
      </c>
      <c r="J141" t="str">
        <f>"IRMAOS CANDATEN LTDA - ME"</f>
        <v>IRMAOS CANDATEN LTDA - ME</v>
      </c>
      <c r="K141" t="str">
        <f>"CHILLI BEANS (3792)"</f>
        <v>CHILLI BEANS (3792)</v>
      </c>
      <c r="L141" t="str">
        <f>""</f>
        <v/>
      </c>
      <c r="M141" t="str">
        <f>""</f>
        <v/>
      </c>
      <c r="N141" t="str">
        <f>"candateng@gmail.com"</f>
        <v>candateng@gmail.com</v>
      </c>
      <c r="O141" t="str">
        <f>""</f>
        <v/>
      </c>
      <c r="P141" t="str">
        <f>"RUA R 15 DE NOVEMBRO"</f>
        <v>RUA R 15 DE NOVEMBRO</v>
      </c>
      <c r="Q141" t="str">
        <f>"434"</f>
        <v>434</v>
      </c>
      <c r="R141" t="str">
        <f>""</f>
        <v/>
      </c>
      <c r="S141" t="str">
        <f>"1289"</f>
        <v>1289</v>
      </c>
      <c r="T141" t="str">
        <f>"89900000"</f>
        <v>89900000</v>
      </c>
      <c r="U141" t="str">
        <f>"CENTRO"</f>
        <v>CENTRO</v>
      </c>
      <c r="V141" t="str">
        <f>"SÃO MIGUEL DO OESTE"</f>
        <v>SÃO MIGUEL DO OESTE</v>
      </c>
      <c r="W141" t="str">
        <f t="shared" si="77"/>
        <v>SC</v>
      </c>
      <c r="X141" t="str">
        <f>"49"</f>
        <v>49</v>
      </c>
      <c r="Y141" t="str">
        <f>"36228272"</f>
        <v>36228272</v>
      </c>
      <c r="Z141" t="str">
        <f>""</f>
        <v/>
      </c>
      <c r="AA141" t="str">
        <f>""</f>
        <v/>
      </c>
      <c r="AB141" t="str">
        <f>""</f>
        <v/>
      </c>
      <c r="AC141" t="str">
        <f>""</f>
        <v/>
      </c>
      <c r="AD141" t="str">
        <f>""</f>
        <v/>
      </c>
      <c r="AE141" t="str">
        <f>""</f>
        <v/>
      </c>
      <c r="AF141" t="str">
        <f>""</f>
        <v/>
      </c>
      <c r="AG141" t="str">
        <f>"S"</f>
        <v>S</v>
      </c>
      <c r="AH141" t="str">
        <f>""</f>
        <v/>
      </c>
      <c r="AI141" t="str">
        <f>""</f>
        <v/>
      </c>
      <c r="AJ141" t="str">
        <f>""</f>
        <v/>
      </c>
      <c r="AK141" t="str">
        <f>""</f>
        <v/>
      </c>
      <c r="AL141" t="str">
        <f>""</f>
        <v/>
      </c>
      <c r="AM141" t="str">
        <f>""</f>
        <v/>
      </c>
      <c r="AN141" t="str">
        <f>""</f>
        <v/>
      </c>
      <c r="AO141" t="str">
        <f>""</f>
        <v/>
      </c>
      <c r="AP141" t="str">
        <f>""</f>
        <v/>
      </c>
      <c r="AQ141" t="str">
        <f>"N"</f>
        <v>N</v>
      </c>
      <c r="AR141" t="str">
        <f>"N"</f>
        <v>N</v>
      </c>
      <c r="AS141" t="str">
        <f>"N"</f>
        <v>N</v>
      </c>
      <c r="AT141" t="str">
        <f>"N"</f>
        <v>N</v>
      </c>
      <c r="AU141" t="str">
        <f>"N"</f>
        <v>N</v>
      </c>
      <c r="AV141" t="str">
        <f>""</f>
        <v/>
      </c>
      <c r="AW141" t="str">
        <f>""</f>
        <v/>
      </c>
      <c r="AX141" t="str">
        <f>""</f>
        <v/>
      </c>
      <c r="AY141" t="str">
        <f>""</f>
        <v/>
      </c>
      <c r="AZ141" t="str">
        <f>""</f>
        <v/>
      </c>
      <c r="BA141" t="str">
        <f>""</f>
        <v/>
      </c>
      <c r="BB141" t="str">
        <f>"01/07/2021 13:53:04"</f>
        <v>01/07/2021 13:53:04</v>
      </c>
      <c r="BC141" t="str">
        <f>"19/11/2021 14:28:55"</f>
        <v>19/11/2021 14:28:55</v>
      </c>
      <c r="BD141" t="str">
        <f>""</f>
        <v/>
      </c>
      <c r="BE141" t="str">
        <f>""</f>
        <v/>
      </c>
      <c r="BF141" t="str">
        <f t="shared" si="71"/>
        <v>A</v>
      </c>
      <c r="BG141" t="str">
        <f>""</f>
        <v/>
      </c>
      <c r="BH141" t="str">
        <f>"0,00"</f>
        <v>0,00</v>
      </c>
      <c r="BI141" t="str">
        <f t="shared" si="53"/>
        <v>EVENTUAL</v>
      </c>
      <c r="BJ141" t="str">
        <f t="shared" si="72"/>
        <v>1</v>
      </c>
      <c r="BK141" t="str">
        <f t="shared" si="73"/>
        <v>Farmacia</v>
      </c>
      <c r="BL141" t="str">
        <f>""</f>
        <v/>
      </c>
      <c r="BM141" t="str">
        <f>"NÃO É VARILUX ESPECIALISTA"</f>
        <v>NÃO É VARILUX ESPECIALISTA</v>
      </c>
      <c r="BN141" t="str">
        <f>"NA"</f>
        <v>NA</v>
      </c>
      <c r="BO141" t="str">
        <f>"FOCO VARILUX"</f>
        <v>FOCO VARILUX</v>
      </c>
      <c r="BP141" t="str">
        <f>""</f>
        <v/>
      </c>
      <c r="BQ141" t="str">
        <f>""</f>
        <v/>
      </c>
      <c r="BR141" t="str">
        <f>"01/07/2021"</f>
        <v>01/07/2021</v>
      </c>
      <c r="BS141" t="str">
        <f>"19/11/2021"</f>
        <v>19/11/2021</v>
      </c>
      <c r="BT141" t="str">
        <f>""</f>
        <v/>
      </c>
      <c r="BU141" t="str">
        <f>""</f>
        <v/>
      </c>
      <c r="BV141" t="str">
        <f>""</f>
        <v/>
      </c>
      <c r="BW141" t="str">
        <f>"Não visitado"</f>
        <v>Não visitado</v>
      </c>
    </row>
    <row r="142" spans="1:75" x14ac:dyDescent="0.35">
      <c r="A142">
        <v>783</v>
      </c>
      <c r="B142" t="str">
        <f t="shared" si="65"/>
        <v>A</v>
      </c>
      <c r="C142" t="str">
        <f t="shared" si="66"/>
        <v>80</v>
      </c>
      <c r="D142" t="str">
        <f t="shared" si="67"/>
        <v>11121001</v>
      </c>
      <c r="E142" t="str">
        <f t="shared" si="68"/>
        <v>121001</v>
      </c>
      <c r="F142" t="str">
        <f t="shared" si="69"/>
        <v>JENIFER SANTOS</v>
      </c>
      <c r="G142" t="str">
        <f>"01432128000197"</f>
        <v>01432128000197</v>
      </c>
      <c r="H142" t="str">
        <f>""</f>
        <v/>
      </c>
      <c r="I142" t="str">
        <f t="shared" si="70"/>
        <v>CONTA OPTICA</v>
      </c>
      <c r="J142" t="str">
        <f>"ISAMARA FERNANDES COAN DA SILVA ME"</f>
        <v>ISAMARA FERNANDES COAN DA SILVA ME</v>
      </c>
      <c r="K142" t="str">
        <f>"OTICA COAN (1670)"</f>
        <v>OTICA COAN (1670)</v>
      </c>
      <c r="L142" t="str">
        <f>""</f>
        <v/>
      </c>
      <c r="M142" t="str">
        <f>""</f>
        <v/>
      </c>
      <c r="N142" t="str">
        <f>"adm.coan@outlook.com"</f>
        <v>adm.coan@outlook.com</v>
      </c>
      <c r="O142" t="str">
        <f>""</f>
        <v/>
      </c>
      <c r="P142" t="str">
        <f>"AVENIDA ANDRE RODRIGUES DE FREITAS"</f>
        <v>AVENIDA ANDRE RODRIGUES DE FREITAS</v>
      </c>
      <c r="Q142" t="str">
        <f>"508"</f>
        <v>508</v>
      </c>
      <c r="R142" t="str">
        <f>"SALA 02"</f>
        <v>SALA 02</v>
      </c>
      <c r="S142" t="str">
        <f>"1280"</f>
        <v>1280</v>
      </c>
      <c r="T142" t="str">
        <f>"89249000"</f>
        <v>89249000</v>
      </c>
      <c r="U142" t="str">
        <f>"ITAPEMA DO NORTE"</f>
        <v>ITAPEMA DO NORTE</v>
      </c>
      <c r="V142" t="str">
        <f>"ITAPOÁ"</f>
        <v>ITAPOÁ</v>
      </c>
      <c r="W142" t="str">
        <f t="shared" si="77"/>
        <v>SC</v>
      </c>
      <c r="X142" t="str">
        <f>"47"</f>
        <v>47</v>
      </c>
      <c r="Y142" t="str">
        <f>"34431890"</f>
        <v>34431890</v>
      </c>
      <c r="Z142" t="str">
        <f>""</f>
        <v/>
      </c>
      <c r="AA142" t="str">
        <f>""</f>
        <v/>
      </c>
      <c r="AB142" t="str">
        <f>""</f>
        <v/>
      </c>
      <c r="AC142" t="str">
        <f>""</f>
        <v/>
      </c>
      <c r="AD142" t="str">
        <f>""</f>
        <v/>
      </c>
      <c r="AE142" t="str">
        <f>""</f>
        <v/>
      </c>
      <c r="AF142" t="str">
        <f>""</f>
        <v/>
      </c>
      <c r="AG142" t="str">
        <f>""</f>
        <v/>
      </c>
      <c r="AH142" t="str">
        <f>""</f>
        <v/>
      </c>
      <c r="AI142" t="str">
        <f>""</f>
        <v/>
      </c>
      <c r="AJ142" t="str">
        <f t="shared" ref="AJ142:AL143" si="78">"0"</f>
        <v>0</v>
      </c>
      <c r="AK142" t="str">
        <f t="shared" si="78"/>
        <v>0</v>
      </c>
      <c r="AL142" t="str">
        <f t="shared" si="78"/>
        <v>0</v>
      </c>
      <c r="AM142" t="str">
        <f>""</f>
        <v/>
      </c>
      <c r="AN142" t="str">
        <f>""</f>
        <v/>
      </c>
      <c r="AO142" t="str">
        <f>""</f>
        <v/>
      </c>
      <c r="AP142" t="str">
        <f>""</f>
        <v/>
      </c>
      <c r="AQ142" t="str">
        <f>""</f>
        <v/>
      </c>
      <c r="AR142" t="str">
        <f>""</f>
        <v/>
      </c>
      <c r="AS142" t="str">
        <f>""</f>
        <v/>
      </c>
      <c r="AT142" t="str">
        <f>""</f>
        <v/>
      </c>
      <c r="AU142" t="str">
        <f>""</f>
        <v/>
      </c>
      <c r="AV142" t="str">
        <f>""</f>
        <v/>
      </c>
      <c r="AW142" t="str">
        <f>""</f>
        <v/>
      </c>
      <c r="AX142" t="str">
        <f>""</f>
        <v/>
      </c>
      <c r="AY142" t="str">
        <f>""</f>
        <v/>
      </c>
      <c r="AZ142" t="str">
        <f>""</f>
        <v/>
      </c>
      <c r="BA142" t="str">
        <f>""</f>
        <v/>
      </c>
      <c r="BB142" t="str">
        <f>"27/07/2018 09:25:51"</f>
        <v>27/07/2018 09:25:51</v>
      </c>
      <c r="BC142" t="str">
        <f>""</f>
        <v/>
      </c>
      <c r="BD142" t="str">
        <f>""</f>
        <v/>
      </c>
      <c r="BE142" t="str">
        <f>"783"</f>
        <v>783</v>
      </c>
      <c r="BF142" t="str">
        <f t="shared" si="71"/>
        <v>A</v>
      </c>
      <c r="BG142" t="str">
        <f>"0,00"</f>
        <v>0,00</v>
      </c>
      <c r="BH142" t="str">
        <f>"0,00"</f>
        <v>0,00</v>
      </c>
      <c r="BI142" t="str">
        <f t="shared" si="53"/>
        <v>EVENTUAL</v>
      </c>
      <c r="BJ142" t="str">
        <f t="shared" si="72"/>
        <v>1</v>
      </c>
      <c r="BK142" t="str">
        <f t="shared" si="73"/>
        <v>Farmacia</v>
      </c>
      <c r="BL142" t="str">
        <f>""</f>
        <v/>
      </c>
      <c r="BM142" t="str">
        <f>"NÃO É VARILUX ESPECIALISTA"</f>
        <v>NÃO É VARILUX ESPECIALISTA</v>
      </c>
      <c r="BN142" t="str">
        <f>"NA"</f>
        <v>NA</v>
      </c>
      <c r="BO142" t="str">
        <f>"OUTROS"</f>
        <v>OUTROS</v>
      </c>
      <c r="BP142" t="str">
        <f>""</f>
        <v/>
      </c>
      <c r="BQ142" t="str">
        <f>""</f>
        <v/>
      </c>
      <c r="BR142" t="str">
        <f>"27/07/2018"</f>
        <v>27/07/2018</v>
      </c>
      <c r="BS142" t="str">
        <f>""</f>
        <v/>
      </c>
      <c r="BT142" t="str">
        <f>""</f>
        <v/>
      </c>
      <c r="BU142" t="str">
        <f>""</f>
        <v/>
      </c>
      <c r="BV142" t="str">
        <f>"9"</f>
        <v>9</v>
      </c>
      <c r="BW142" t="str">
        <f>"Não visitado"</f>
        <v>Não visitado</v>
      </c>
    </row>
    <row r="143" spans="1:75" x14ac:dyDescent="0.35">
      <c r="A143">
        <v>120353</v>
      </c>
      <c r="B143" t="str">
        <f t="shared" si="65"/>
        <v>A</v>
      </c>
      <c r="C143" t="str">
        <f t="shared" si="66"/>
        <v>80</v>
      </c>
      <c r="D143" t="str">
        <f t="shared" si="67"/>
        <v>11121001</v>
      </c>
      <c r="E143" t="str">
        <f t="shared" si="68"/>
        <v>121001</v>
      </c>
      <c r="F143" t="str">
        <f t="shared" si="69"/>
        <v>JENIFER SANTOS</v>
      </c>
      <c r="G143" t="str">
        <f>"03393948000142"</f>
        <v>03393948000142</v>
      </c>
      <c r="H143" t="str">
        <f>"0"</f>
        <v>0</v>
      </c>
      <c r="I143" t="str">
        <f t="shared" si="70"/>
        <v>CONTA OPTICA</v>
      </c>
      <c r="J143" t="str">
        <f>"ISAQUE DUTRA DE LIMA E CIA LTDA"</f>
        <v>ISAQUE DUTRA DE LIMA E CIA LTDA</v>
      </c>
      <c r="K143" t="str">
        <f>"JOALHERIA PEROLA (1701)"</f>
        <v>JOALHERIA PEROLA (1701)</v>
      </c>
      <c r="L143" t="str">
        <f>""</f>
        <v/>
      </c>
      <c r="M143" t="str">
        <f>""</f>
        <v/>
      </c>
      <c r="N143" t="str">
        <f>"oticaperola@hbinfo.com.br"</f>
        <v>oticaperola@hbinfo.com.br</v>
      </c>
      <c r="O143" t="str">
        <f>""</f>
        <v/>
      </c>
      <c r="P143" t="str">
        <f>"RUA IRMAOS RUDECK"</f>
        <v>RUA IRMAOS RUDECK</v>
      </c>
      <c r="Q143" t="str">
        <f>"166"</f>
        <v>166</v>
      </c>
      <c r="R143" t="str">
        <f>""</f>
        <v/>
      </c>
      <c r="S143" t="str">
        <f>"1284"</f>
        <v>1284</v>
      </c>
      <c r="T143" t="str">
        <f>"89580000"</f>
        <v>89580000</v>
      </c>
      <c r="U143" t="str">
        <f>"CENTRO"</f>
        <v>CENTRO</v>
      </c>
      <c r="V143" t="str">
        <f>"FRAIBURGO"</f>
        <v>FRAIBURGO</v>
      </c>
      <c r="W143" t="str">
        <f t="shared" si="77"/>
        <v>SC</v>
      </c>
      <c r="X143" t="str">
        <f>"49"</f>
        <v>49</v>
      </c>
      <c r="Y143" t="str">
        <f>"32465039"</f>
        <v>32465039</v>
      </c>
      <c r="Z143" t="str">
        <f>""</f>
        <v/>
      </c>
      <c r="AA143" t="str">
        <f>""</f>
        <v/>
      </c>
      <c r="AB143" t="str">
        <f>""</f>
        <v/>
      </c>
      <c r="AC143" t="str">
        <f>""</f>
        <v/>
      </c>
      <c r="AD143" t="str">
        <f>""</f>
        <v/>
      </c>
      <c r="AE143" t="str">
        <f>""</f>
        <v/>
      </c>
      <c r="AF143" t="str">
        <f>""</f>
        <v/>
      </c>
      <c r="AG143" t="str">
        <f>""</f>
        <v/>
      </c>
      <c r="AH143" t="str">
        <f>""</f>
        <v/>
      </c>
      <c r="AI143" t="str">
        <f>""</f>
        <v/>
      </c>
      <c r="AJ143" t="str">
        <f t="shared" si="78"/>
        <v>0</v>
      </c>
      <c r="AK143" t="str">
        <f t="shared" si="78"/>
        <v>0</v>
      </c>
      <c r="AL143" t="str">
        <f t="shared" si="78"/>
        <v>0</v>
      </c>
      <c r="AM143" t="str">
        <f>""</f>
        <v/>
      </c>
      <c r="AN143" t="str">
        <f>""</f>
        <v/>
      </c>
      <c r="AO143" t="str">
        <f>""</f>
        <v/>
      </c>
      <c r="AP143" t="str">
        <f>""</f>
        <v/>
      </c>
      <c r="AQ143" t="str">
        <f>""</f>
        <v/>
      </c>
      <c r="AR143" t="str">
        <f>""</f>
        <v/>
      </c>
      <c r="AS143" t="str">
        <f>""</f>
        <v/>
      </c>
      <c r="AT143" t="str">
        <f>""</f>
        <v/>
      </c>
      <c r="AU143" t="str">
        <f>""</f>
        <v/>
      </c>
      <c r="AV143" t="str">
        <f>""</f>
        <v/>
      </c>
      <c r="AW143" t="str">
        <f>""</f>
        <v/>
      </c>
      <c r="AX143" t="str">
        <f>""</f>
        <v/>
      </c>
      <c r="AY143" t="str">
        <f>""</f>
        <v/>
      </c>
      <c r="AZ143" t="str">
        <f>""</f>
        <v/>
      </c>
      <c r="BA143" t="str">
        <f>""</f>
        <v/>
      </c>
      <c r="BB143" t="str">
        <f>"18/09/2020 22:12:34"</f>
        <v>18/09/2020 22:12:34</v>
      </c>
      <c r="BC143" t="str">
        <f>""</f>
        <v/>
      </c>
      <c r="BD143" t="str">
        <f>""</f>
        <v/>
      </c>
      <c r="BE143" t="str">
        <f>""</f>
        <v/>
      </c>
      <c r="BF143" t="str">
        <f t="shared" si="71"/>
        <v>A</v>
      </c>
      <c r="BG143" t="str">
        <f>"0,00"</f>
        <v>0,00</v>
      </c>
      <c r="BH143" t="str">
        <f>"0,00"</f>
        <v>0,00</v>
      </c>
      <c r="BI143" t="str">
        <f t="shared" si="53"/>
        <v>EVENTUAL</v>
      </c>
      <c r="BJ143" t="str">
        <f t="shared" si="72"/>
        <v>1</v>
      </c>
      <c r="BK143" t="str">
        <f t="shared" si="73"/>
        <v>Farmacia</v>
      </c>
      <c r="BL143" t="str">
        <f>""</f>
        <v/>
      </c>
      <c r="BM143" t="str">
        <f>"NÃO É VARILUX ESPECIALISTA"</f>
        <v>NÃO É VARILUX ESPECIALISTA</v>
      </c>
      <c r="BN143" t="str">
        <f>"NA"</f>
        <v>NA</v>
      </c>
      <c r="BO143" t="str">
        <f>"FOCO VARILUX DIGITAL"</f>
        <v>FOCO VARILUX DIGITAL</v>
      </c>
      <c r="BP143" t="str">
        <f>""</f>
        <v/>
      </c>
      <c r="BQ143" t="str">
        <f>""</f>
        <v/>
      </c>
      <c r="BR143" t="str">
        <f>"18/09/2020"</f>
        <v>18/09/2020</v>
      </c>
      <c r="BS143" t="str">
        <f>""</f>
        <v/>
      </c>
      <c r="BT143" t="str">
        <f>""</f>
        <v/>
      </c>
      <c r="BU143" t="str">
        <f>""</f>
        <v/>
      </c>
      <c r="BV143" t="str">
        <f>"1"</f>
        <v>1</v>
      </c>
      <c r="BW143" t="str">
        <f>"4"</f>
        <v>4</v>
      </c>
    </row>
    <row r="144" spans="1:75" x14ac:dyDescent="0.35">
      <c r="A144">
        <v>157553</v>
      </c>
      <c r="B144" t="str">
        <f t="shared" si="65"/>
        <v>A</v>
      </c>
      <c r="C144" t="str">
        <f t="shared" si="66"/>
        <v>80</v>
      </c>
      <c r="D144" t="str">
        <f t="shared" si="67"/>
        <v>11121001</v>
      </c>
      <c r="E144" t="str">
        <f t="shared" si="68"/>
        <v>121001</v>
      </c>
      <c r="F144" t="str">
        <f t="shared" si="69"/>
        <v>JENIFER SANTOS</v>
      </c>
      <c r="G144" t="str">
        <f>"06206386000179"</f>
        <v>06206386000179</v>
      </c>
      <c r="H144" t="str">
        <f>"0"</f>
        <v>0</v>
      </c>
      <c r="I144" t="str">
        <f t="shared" si="70"/>
        <v>CONTA OPTICA</v>
      </c>
      <c r="J144" t="str">
        <f>"IVAN ROGERIO FREITAS SCIESSERE"</f>
        <v>IVAN ROGERIO FREITAS SCIESSERE</v>
      </c>
      <c r="K144" t="str">
        <f>"IVAN ROGERIO FREITAS SCIESSERE (1372)"</f>
        <v>IVAN ROGERIO FREITAS SCIESSERE (1372)</v>
      </c>
      <c r="L144" t="str">
        <f>""</f>
        <v/>
      </c>
      <c r="M144" t="str">
        <f>""</f>
        <v/>
      </c>
      <c r="N144" t="str">
        <f>"ivan@sciessere.com.br"</f>
        <v>ivan@sciessere.com.br</v>
      </c>
      <c r="O144" t="str">
        <f>""</f>
        <v/>
      </c>
      <c r="P144" t="str">
        <f>"RUA GENERAL NETTO"</f>
        <v>RUA GENERAL NETTO</v>
      </c>
      <c r="Q144" t="str">
        <f>"383"</f>
        <v>383</v>
      </c>
      <c r="R144" t="str">
        <f>"LOJA 01"</f>
        <v>LOJA 01</v>
      </c>
      <c r="S144" t="str">
        <f>"1383"</f>
        <v>1383</v>
      </c>
      <c r="T144" t="str">
        <f>"99010023"</f>
        <v>99010023</v>
      </c>
      <c r="U144" t="str">
        <f>"CENTRO"</f>
        <v>CENTRO</v>
      </c>
      <c r="V144" t="str">
        <f>"PASSO FUNDO"</f>
        <v>PASSO FUNDO</v>
      </c>
      <c r="W144" t="str">
        <f>"RS"</f>
        <v>RS</v>
      </c>
      <c r="X144" t="str">
        <f>"54"</f>
        <v>54</v>
      </c>
      <c r="Y144" t="str">
        <f>"30453085"</f>
        <v>30453085</v>
      </c>
      <c r="Z144" t="str">
        <f>""</f>
        <v/>
      </c>
      <c r="AA144" t="str">
        <f>""</f>
        <v/>
      </c>
      <c r="AB144" t="str">
        <f>""</f>
        <v/>
      </c>
      <c r="AC144" t="str">
        <f>""</f>
        <v/>
      </c>
      <c r="AD144" t="str">
        <f>""</f>
        <v/>
      </c>
      <c r="AE144" t="str">
        <f>""</f>
        <v/>
      </c>
      <c r="AF144" t="str">
        <f>""</f>
        <v/>
      </c>
      <c r="AG144" t="str">
        <f>""</f>
        <v/>
      </c>
      <c r="AH144" t="str">
        <f>""</f>
        <v/>
      </c>
      <c r="AI144" t="str">
        <f>""</f>
        <v/>
      </c>
      <c r="AJ144" t="str">
        <f>""</f>
        <v/>
      </c>
      <c r="AK144" t="str">
        <f>""</f>
        <v/>
      </c>
      <c r="AL144" t="str">
        <f>""</f>
        <v/>
      </c>
      <c r="AM144" t="str">
        <f>""</f>
        <v/>
      </c>
      <c r="AN144" t="str">
        <f>""</f>
        <v/>
      </c>
      <c r="AO144" t="str">
        <f>""</f>
        <v/>
      </c>
      <c r="AP144" t="str">
        <f>""</f>
        <v/>
      </c>
      <c r="AQ144" t="str">
        <f>""</f>
        <v/>
      </c>
      <c r="AR144" t="str">
        <f>""</f>
        <v/>
      </c>
      <c r="AS144" t="str">
        <f>""</f>
        <v/>
      </c>
      <c r="AT144" t="str">
        <f>""</f>
        <v/>
      </c>
      <c r="AU144" t="str">
        <f>""</f>
        <v/>
      </c>
      <c r="AV144" t="str">
        <f>""</f>
        <v/>
      </c>
      <c r="AW144" t="str">
        <f>""</f>
        <v/>
      </c>
      <c r="AX144" t="str">
        <f>""</f>
        <v/>
      </c>
      <c r="AY144" t="str">
        <f>""</f>
        <v/>
      </c>
      <c r="AZ144" t="str">
        <f>""</f>
        <v/>
      </c>
      <c r="BA144" t="str">
        <f>""</f>
        <v/>
      </c>
      <c r="BB144" t="str">
        <f>"11/07/2023 02:14:29"</f>
        <v>11/07/2023 02:14:29</v>
      </c>
      <c r="BC144" t="str">
        <f>""</f>
        <v/>
      </c>
      <c r="BD144" t="str">
        <f>""</f>
        <v/>
      </c>
      <c r="BE144" t="str">
        <f>""</f>
        <v/>
      </c>
      <c r="BF144" t="str">
        <f t="shared" si="71"/>
        <v>A</v>
      </c>
      <c r="BG144" t="str">
        <f>""</f>
        <v/>
      </c>
      <c r="BH144" t="str">
        <f>""</f>
        <v/>
      </c>
      <c r="BI144" t="str">
        <f t="shared" si="53"/>
        <v>EVENTUAL</v>
      </c>
      <c r="BJ144" t="str">
        <f t="shared" si="72"/>
        <v>1</v>
      </c>
      <c r="BK144" t="str">
        <f t="shared" si="73"/>
        <v>Farmacia</v>
      </c>
      <c r="BL144" t="str">
        <f>""</f>
        <v/>
      </c>
      <c r="BM144" t="str">
        <f>""</f>
        <v/>
      </c>
      <c r="BN144" t="str">
        <f>""</f>
        <v/>
      </c>
      <c r="BO144" t="str">
        <f>""</f>
        <v/>
      </c>
      <c r="BP144" t="str">
        <f>""</f>
        <v/>
      </c>
      <c r="BQ144" t="str">
        <f>""</f>
        <v/>
      </c>
      <c r="BR144" t="str">
        <f>"11/07/2023"</f>
        <v>11/07/2023</v>
      </c>
      <c r="BS144" t="str">
        <f>""</f>
        <v/>
      </c>
      <c r="BT144" t="str">
        <f>""</f>
        <v/>
      </c>
      <c r="BU144" t="str">
        <f>""</f>
        <v/>
      </c>
      <c r="BV144" t="str">
        <f>""</f>
        <v/>
      </c>
      <c r="BW144" t="str">
        <f>"Não visitado"</f>
        <v>Não visitado</v>
      </c>
    </row>
    <row r="145" spans="1:75" x14ac:dyDescent="0.35">
      <c r="A145">
        <v>120408</v>
      </c>
      <c r="B145" t="str">
        <f t="shared" si="65"/>
        <v>A</v>
      </c>
      <c r="C145" t="str">
        <f t="shared" si="66"/>
        <v>80</v>
      </c>
      <c r="D145" t="str">
        <f t="shared" si="67"/>
        <v>11121001</v>
      </c>
      <c r="E145" t="str">
        <f t="shared" si="68"/>
        <v>121001</v>
      </c>
      <c r="F145" t="str">
        <f t="shared" si="69"/>
        <v>JENIFER SANTOS</v>
      </c>
      <c r="G145" t="str">
        <f>"05825052000110"</f>
        <v>05825052000110</v>
      </c>
      <c r="H145" t="str">
        <f>"0"</f>
        <v>0</v>
      </c>
      <c r="I145" t="str">
        <f t="shared" si="70"/>
        <v>CONTA OPTICA</v>
      </c>
      <c r="J145" t="str">
        <f>"IVANILDA RAFAIN PIANA E CIA LTDA"</f>
        <v>IVANILDA RAFAIN PIANA E CIA LTDA</v>
      </c>
      <c r="K145" t="str">
        <f>"IVANILDA RAFAIN PIANA (886)"</f>
        <v>IVANILDA RAFAIN PIANA (886)</v>
      </c>
      <c r="L145" t="str">
        <f>""</f>
        <v/>
      </c>
      <c r="M145" t="str">
        <f>""</f>
        <v/>
      </c>
      <c r="N145" t="str">
        <f>"oticapiana@outlook.com"</f>
        <v>oticapiana@outlook.com</v>
      </c>
      <c r="O145" t="str">
        <f>""</f>
        <v/>
      </c>
      <c r="P145" t="str">
        <f>"RUA GUILHERME FRANCESCON"</f>
        <v>RUA GUILHERME FRANCESCON</v>
      </c>
      <c r="Q145" t="str">
        <f>"126"</f>
        <v>126</v>
      </c>
      <c r="R145" t="str">
        <f>""</f>
        <v/>
      </c>
      <c r="S145" t="str">
        <f>"1390"</f>
        <v>1390</v>
      </c>
      <c r="T145" t="str">
        <f>"99830000"</f>
        <v>99830000</v>
      </c>
      <c r="U145" t="str">
        <f>"CENTRO"</f>
        <v>CENTRO</v>
      </c>
      <c r="V145" t="str">
        <f>"GAURAMA"</f>
        <v>GAURAMA</v>
      </c>
      <c r="W145" t="str">
        <f>"RS"</f>
        <v>RS</v>
      </c>
      <c r="X145" t="str">
        <f>"54"</f>
        <v>54</v>
      </c>
      <c r="Y145" t="str">
        <f>"33911329"</f>
        <v>33911329</v>
      </c>
      <c r="Z145" t="str">
        <f>""</f>
        <v/>
      </c>
      <c r="AA145" t="str">
        <f>""</f>
        <v/>
      </c>
      <c r="AB145" t="str">
        <f>""</f>
        <v/>
      </c>
      <c r="AC145" t="str">
        <f>""</f>
        <v/>
      </c>
      <c r="AD145" t="str">
        <f>""</f>
        <v/>
      </c>
      <c r="AE145" t="str">
        <f>""</f>
        <v/>
      </c>
      <c r="AF145" t="str">
        <f>""</f>
        <v/>
      </c>
      <c r="AG145" t="str">
        <f>"N"</f>
        <v>N</v>
      </c>
      <c r="AH145" t="str">
        <f>"N"</f>
        <v>N</v>
      </c>
      <c r="AI145" t="str">
        <f>""</f>
        <v/>
      </c>
      <c r="AJ145" t="str">
        <f>"0"</f>
        <v>0</v>
      </c>
      <c r="AK145" t="str">
        <f>"0"</f>
        <v>0</v>
      </c>
      <c r="AL145" t="str">
        <f>"0"</f>
        <v>0</v>
      </c>
      <c r="AM145" t="str">
        <f>""</f>
        <v/>
      </c>
      <c r="AN145" t="str">
        <f>""</f>
        <v/>
      </c>
      <c r="AO145" t="str">
        <f>""</f>
        <v/>
      </c>
      <c r="AP145" t="str">
        <f>""</f>
        <v/>
      </c>
      <c r="AQ145" t="str">
        <f>""</f>
        <v/>
      </c>
      <c r="AR145" t="str">
        <f>""</f>
        <v/>
      </c>
      <c r="AS145" t="str">
        <f>""</f>
        <v/>
      </c>
      <c r="AT145" t="str">
        <f>""</f>
        <v/>
      </c>
      <c r="AU145" t="str">
        <f>""</f>
        <v/>
      </c>
      <c r="AV145" t="str">
        <f>""</f>
        <v/>
      </c>
      <c r="AW145" t="str">
        <f>""</f>
        <v/>
      </c>
      <c r="AX145" t="str">
        <f>""</f>
        <v/>
      </c>
      <c r="AY145" t="str">
        <f>""</f>
        <v/>
      </c>
      <c r="AZ145" t="str">
        <f>""</f>
        <v/>
      </c>
      <c r="BA145" t="str">
        <f>""</f>
        <v/>
      </c>
      <c r="BB145" t="str">
        <f>"18/09/2020 22:12:34"</f>
        <v>18/09/2020 22:12:34</v>
      </c>
      <c r="BC145" t="str">
        <f>""</f>
        <v/>
      </c>
      <c r="BD145" t="str">
        <f>""</f>
        <v/>
      </c>
      <c r="BE145" t="str">
        <f>""</f>
        <v/>
      </c>
      <c r="BF145" t="str">
        <f t="shared" si="71"/>
        <v>A</v>
      </c>
      <c r="BG145" t="str">
        <f>"0,00"</f>
        <v>0,00</v>
      </c>
      <c r="BH145" t="str">
        <f>"0,00"</f>
        <v>0,00</v>
      </c>
      <c r="BI145" t="str">
        <f t="shared" si="53"/>
        <v>EVENTUAL</v>
      </c>
      <c r="BJ145" t="str">
        <f t="shared" si="72"/>
        <v>1</v>
      </c>
      <c r="BK145" t="str">
        <f t="shared" si="73"/>
        <v>Farmacia</v>
      </c>
      <c r="BL145" t="str">
        <f>""</f>
        <v/>
      </c>
      <c r="BM145" t="str">
        <f>"NÃO É VARILUX ESPECIALISTA"</f>
        <v>NÃO É VARILUX ESPECIALISTA</v>
      </c>
      <c r="BN145" t="str">
        <f>"NA"</f>
        <v>NA</v>
      </c>
      <c r="BO145" t="str">
        <f>"FOCO KODAK 1"</f>
        <v>FOCO KODAK 1</v>
      </c>
      <c r="BP145" t="str">
        <f>"ÓTICA INDEPENDENTE"</f>
        <v>ÓTICA INDEPENDENTE</v>
      </c>
      <c r="BQ145" t="str">
        <f>""</f>
        <v/>
      </c>
      <c r="BR145" t="str">
        <f>"18/09/2020"</f>
        <v>18/09/2020</v>
      </c>
      <c r="BS145" t="str">
        <f>""</f>
        <v/>
      </c>
      <c r="BT145" t="str">
        <f>""</f>
        <v/>
      </c>
      <c r="BU145" t="str">
        <f>""</f>
        <v/>
      </c>
      <c r="BV145" t="str">
        <f>"9"</f>
        <v>9</v>
      </c>
      <c r="BW145" t="str">
        <f>"60"</f>
        <v>60</v>
      </c>
    </row>
    <row r="146" spans="1:75" x14ac:dyDescent="0.35">
      <c r="A146">
        <v>157504</v>
      </c>
      <c r="B146" t="str">
        <f t="shared" si="65"/>
        <v>A</v>
      </c>
      <c r="C146" t="str">
        <f t="shared" si="66"/>
        <v>80</v>
      </c>
      <c r="D146" t="str">
        <f t="shared" si="67"/>
        <v>11121001</v>
      </c>
      <c r="E146" t="str">
        <f t="shared" si="68"/>
        <v>121001</v>
      </c>
      <c r="F146" t="str">
        <f t="shared" si="69"/>
        <v>JENIFER SANTOS</v>
      </c>
      <c r="G146" t="str">
        <f>"06181835000171"</f>
        <v>06181835000171</v>
      </c>
      <c r="H146" t="str">
        <f>"0"</f>
        <v>0</v>
      </c>
      <c r="I146" t="str">
        <f t="shared" si="70"/>
        <v>CONTA OPTICA</v>
      </c>
      <c r="J146" t="str">
        <f>"JACKSON DE MEDEIROS E CIA LTDA"</f>
        <v>JACKSON DE MEDEIROS E CIA LTDA</v>
      </c>
      <c r="K146" t="str">
        <f>"OTICA AURORA (2059)"</f>
        <v>OTICA AURORA (2059)</v>
      </c>
      <c r="L146" t="str">
        <f>""</f>
        <v/>
      </c>
      <c r="M146" t="str">
        <f>""</f>
        <v/>
      </c>
      <c r="N146" t="str">
        <f>"OTICASAURORA@GMAIL.COM"</f>
        <v>OTICASAURORA@GMAIL.COM</v>
      </c>
      <c r="O146" t="str">
        <f>""</f>
        <v/>
      </c>
      <c r="P146" t="str">
        <f>"RUA SANTA CATARINA"</f>
        <v>RUA SANTA CATARINA</v>
      </c>
      <c r="Q146" t="str">
        <f>"426"</f>
        <v>426</v>
      </c>
      <c r="R146" t="str">
        <f>""</f>
        <v/>
      </c>
      <c r="S146" t="str">
        <f>"1279"</f>
        <v>1279</v>
      </c>
      <c r="T146" t="str">
        <f>"89211300"</f>
        <v>89211300</v>
      </c>
      <c r="U146" t="str">
        <f>"FLORESTA"</f>
        <v>FLORESTA</v>
      </c>
      <c r="V146" t="str">
        <f>"JOINVILLE"</f>
        <v>JOINVILLE</v>
      </c>
      <c r="W146" t="str">
        <f>"SC"</f>
        <v>SC</v>
      </c>
      <c r="X146" t="str">
        <f>"47"</f>
        <v>47</v>
      </c>
      <c r="Y146" t="str">
        <f>"34361823"</f>
        <v>34361823</v>
      </c>
      <c r="Z146" t="str">
        <f>""</f>
        <v/>
      </c>
      <c r="AA146" t="str">
        <f>""</f>
        <v/>
      </c>
      <c r="AB146" t="str">
        <f>""</f>
        <v/>
      </c>
      <c r="AC146" t="str">
        <f>""</f>
        <v/>
      </c>
      <c r="AD146" t="str">
        <f>""</f>
        <v/>
      </c>
      <c r="AE146" t="str">
        <f>""</f>
        <v/>
      </c>
      <c r="AF146" t="str">
        <f>""</f>
        <v/>
      </c>
      <c r="AG146" t="str">
        <f>""</f>
        <v/>
      </c>
      <c r="AH146" t="str">
        <f>""</f>
        <v/>
      </c>
      <c r="AI146" t="str">
        <f>""</f>
        <v/>
      </c>
      <c r="AJ146" t="str">
        <f>""</f>
        <v/>
      </c>
      <c r="AK146" t="str">
        <f>""</f>
        <v/>
      </c>
      <c r="AL146" t="str">
        <f>""</f>
        <v/>
      </c>
      <c r="AM146" t="str">
        <f>""</f>
        <v/>
      </c>
      <c r="AN146" t="str">
        <f>""</f>
        <v/>
      </c>
      <c r="AO146" t="str">
        <f>""</f>
        <v/>
      </c>
      <c r="AP146" t="str">
        <f>""</f>
        <v/>
      </c>
      <c r="AQ146" t="str">
        <f>""</f>
        <v/>
      </c>
      <c r="AR146" t="str">
        <f>""</f>
        <v/>
      </c>
      <c r="AS146" t="str">
        <f>""</f>
        <v/>
      </c>
      <c r="AT146" t="str">
        <f>""</f>
        <v/>
      </c>
      <c r="AU146" t="str">
        <f>""</f>
        <v/>
      </c>
      <c r="AV146" t="str">
        <f>""</f>
        <v/>
      </c>
      <c r="AW146" t="str">
        <f>""</f>
        <v/>
      </c>
      <c r="AX146" t="str">
        <f>""</f>
        <v/>
      </c>
      <c r="AY146" t="str">
        <f>""</f>
        <v/>
      </c>
      <c r="AZ146" t="str">
        <f>""</f>
        <v/>
      </c>
      <c r="BA146" t="str">
        <f>""</f>
        <v/>
      </c>
      <c r="BB146" t="str">
        <f>"11/07/2023 02:14:29"</f>
        <v>11/07/2023 02:14:29</v>
      </c>
      <c r="BC146" t="str">
        <f>""</f>
        <v/>
      </c>
      <c r="BD146" t="str">
        <f>""</f>
        <v/>
      </c>
      <c r="BE146" t="str">
        <f>""</f>
        <v/>
      </c>
      <c r="BF146" t="str">
        <f t="shared" si="71"/>
        <v>A</v>
      </c>
      <c r="BG146" t="str">
        <f>""</f>
        <v/>
      </c>
      <c r="BH146" t="str">
        <f>""</f>
        <v/>
      </c>
      <c r="BI146" t="str">
        <f t="shared" si="53"/>
        <v>EVENTUAL</v>
      </c>
      <c r="BJ146" t="str">
        <f t="shared" si="72"/>
        <v>1</v>
      </c>
      <c r="BK146" t="str">
        <f t="shared" si="73"/>
        <v>Farmacia</v>
      </c>
      <c r="BL146" t="str">
        <f>""</f>
        <v/>
      </c>
      <c r="BM146" t="str">
        <f>""</f>
        <v/>
      </c>
      <c r="BN146" t="str">
        <f>""</f>
        <v/>
      </c>
      <c r="BO146" t="str">
        <f>""</f>
        <v/>
      </c>
      <c r="BP146" t="str">
        <f>""</f>
        <v/>
      </c>
      <c r="BQ146" t="str">
        <f>""</f>
        <v/>
      </c>
      <c r="BR146" t="str">
        <f>"11/07/2023"</f>
        <v>11/07/2023</v>
      </c>
      <c r="BS146" t="str">
        <f>""</f>
        <v/>
      </c>
      <c r="BT146" t="str">
        <f>""</f>
        <v/>
      </c>
      <c r="BU146" t="str">
        <f>""</f>
        <v/>
      </c>
      <c r="BV146" t="str">
        <f>""</f>
        <v/>
      </c>
      <c r="BW146" t="str">
        <f>"37"</f>
        <v>37</v>
      </c>
    </row>
    <row r="147" spans="1:75" x14ac:dyDescent="0.35">
      <c r="A147">
        <v>144563</v>
      </c>
      <c r="B147" t="str">
        <f t="shared" si="65"/>
        <v>A</v>
      </c>
      <c r="C147" t="str">
        <f t="shared" si="66"/>
        <v>80</v>
      </c>
      <c r="D147" t="str">
        <f t="shared" si="67"/>
        <v>11121001</v>
      </c>
      <c r="E147" t="str">
        <f t="shared" si="68"/>
        <v>121001</v>
      </c>
      <c r="F147" t="str">
        <f t="shared" si="69"/>
        <v>JENIFER SANTOS</v>
      </c>
      <c r="G147" t="str">
        <f>"10475437000135"</f>
        <v>10475437000135</v>
      </c>
      <c r="H147" t="str">
        <f>""</f>
        <v/>
      </c>
      <c r="I147" t="str">
        <f t="shared" si="70"/>
        <v>CONTA OPTICA</v>
      </c>
      <c r="J147" t="str">
        <f>"JAKUBIAK E CIA LTDA"</f>
        <v>JAKUBIAK E CIA LTDA</v>
      </c>
      <c r="K147" t="str">
        <f>"BELLA BIJU (3362)"</f>
        <v>BELLA BIJU (3362)</v>
      </c>
      <c r="L147" t="str">
        <f>""</f>
        <v/>
      </c>
      <c r="M147" t="str">
        <f>""</f>
        <v/>
      </c>
      <c r="N147" t="str">
        <f>"cristiane_jakubiak@hotmail.com"</f>
        <v>cristiane_jakubiak@hotmail.com</v>
      </c>
      <c r="O147" t="str">
        <f>""</f>
        <v/>
      </c>
      <c r="P147" t="str">
        <f>"AVENIDA PRESIDENTE GETULIO VARGAS"</f>
        <v>AVENIDA PRESIDENTE GETULIO VARGAS</v>
      </c>
      <c r="Q147" t="str">
        <f>"214"</f>
        <v>214</v>
      </c>
      <c r="R147" t="str">
        <f>""</f>
        <v/>
      </c>
      <c r="S147" t="str">
        <f>"1281"</f>
        <v>1281</v>
      </c>
      <c r="T147" t="str">
        <f>"89340000"</f>
        <v>89340000</v>
      </c>
      <c r="U147" t="str">
        <f>"CENTRO"</f>
        <v>CENTRO</v>
      </c>
      <c r="V147" t="str">
        <f>"ITAIOPOLIS"</f>
        <v>ITAIOPOLIS</v>
      </c>
      <c r="W147" t="str">
        <f>"SC"</f>
        <v>SC</v>
      </c>
      <c r="X147" t="str">
        <f>"47"</f>
        <v>47</v>
      </c>
      <c r="Y147" t="str">
        <f>"36522934"</f>
        <v>36522934</v>
      </c>
      <c r="Z147" t="str">
        <f>""</f>
        <v/>
      </c>
      <c r="AA147" t="str">
        <f>""</f>
        <v/>
      </c>
      <c r="AB147" t="str">
        <f>""</f>
        <v/>
      </c>
      <c r="AC147" t="str">
        <f>""</f>
        <v/>
      </c>
      <c r="AD147" t="str">
        <f>""</f>
        <v/>
      </c>
      <c r="AE147" t="str">
        <f>""</f>
        <v/>
      </c>
      <c r="AF147" t="str">
        <f>""</f>
        <v/>
      </c>
      <c r="AG147" t="str">
        <f>""</f>
        <v/>
      </c>
      <c r="AH147" t="str">
        <f>""</f>
        <v/>
      </c>
      <c r="AI147" t="str">
        <f>""</f>
        <v/>
      </c>
      <c r="AJ147" t="str">
        <f>"0"</f>
        <v>0</v>
      </c>
      <c r="AK147" t="str">
        <f>"0"</f>
        <v>0</v>
      </c>
      <c r="AL147" t="str">
        <f>"0"</f>
        <v>0</v>
      </c>
      <c r="AM147" t="str">
        <f>""</f>
        <v/>
      </c>
      <c r="AN147" t="str">
        <f>""</f>
        <v/>
      </c>
      <c r="AO147" t="str">
        <f>""</f>
        <v/>
      </c>
      <c r="AP147" t="str">
        <f>""</f>
        <v/>
      </c>
      <c r="AQ147" t="str">
        <f>""</f>
        <v/>
      </c>
      <c r="AR147" t="str">
        <f>""</f>
        <v/>
      </c>
      <c r="AS147" t="str">
        <f>""</f>
        <v/>
      </c>
      <c r="AT147" t="str">
        <f>""</f>
        <v/>
      </c>
      <c r="AU147" t="str">
        <f>""</f>
        <v/>
      </c>
      <c r="AV147" t="str">
        <f>""</f>
        <v/>
      </c>
      <c r="AW147" t="str">
        <f>""</f>
        <v/>
      </c>
      <c r="AX147" t="str">
        <f>""</f>
        <v/>
      </c>
      <c r="AY147" t="str">
        <f>""</f>
        <v/>
      </c>
      <c r="AZ147" t="str">
        <f>""</f>
        <v/>
      </c>
      <c r="BA147" t="str">
        <f>""</f>
        <v/>
      </c>
      <c r="BB147" t="str">
        <f>""</f>
        <v/>
      </c>
      <c r="BC147" t="str">
        <f>""</f>
        <v/>
      </c>
      <c r="BD147" t="str">
        <f>""</f>
        <v/>
      </c>
      <c r="BE147" t="str">
        <f>""</f>
        <v/>
      </c>
      <c r="BF147" t="str">
        <f t="shared" si="71"/>
        <v>A</v>
      </c>
      <c r="BG147" t="str">
        <f>"0,00"</f>
        <v>0,00</v>
      </c>
      <c r="BH147" t="str">
        <f>"0,00"</f>
        <v>0,00</v>
      </c>
      <c r="BI147" t="str">
        <f t="shared" si="53"/>
        <v>EVENTUAL</v>
      </c>
      <c r="BJ147" t="str">
        <f t="shared" si="72"/>
        <v>1</v>
      </c>
      <c r="BK147" t="str">
        <f t="shared" si="73"/>
        <v>Farmacia</v>
      </c>
      <c r="BL147" t="str">
        <f>""</f>
        <v/>
      </c>
      <c r="BM147" t="str">
        <f>"NÃO É VARILUX ESPECIALISTA"</f>
        <v>NÃO É VARILUX ESPECIALISTA</v>
      </c>
      <c r="BN147" t="str">
        <f>"EL360"</f>
        <v>EL360</v>
      </c>
      <c r="BO147" t="str">
        <f>"OUTROS"</f>
        <v>OUTROS</v>
      </c>
      <c r="BP147" t="str">
        <f>""</f>
        <v/>
      </c>
      <c r="BQ147" t="str">
        <f>""</f>
        <v/>
      </c>
      <c r="BR147" t="str">
        <f>""</f>
        <v/>
      </c>
      <c r="BS147" t="str">
        <f>""</f>
        <v/>
      </c>
      <c r="BT147" t="str">
        <f>""</f>
        <v/>
      </c>
      <c r="BU147" t="str">
        <f>""</f>
        <v/>
      </c>
      <c r="BV147" t="str">
        <f>"9"</f>
        <v>9</v>
      </c>
      <c r="BW147" t="str">
        <f>"50"</f>
        <v>50</v>
      </c>
    </row>
    <row r="148" spans="1:75" x14ac:dyDescent="0.35">
      <c r="A148">
        <v>157570</v>
      </c>
      <c r="B148" t="str">
        <f t="shared" si="65"/>
        <v>A</v>
      </c>
      <c r="C148" t="str">
        <f t="shared" si="66"/>
        <v>80</v>
      </c>
      <c r="D148" t="str">
        <f t="shared" si="67"/>
        <v>11121001</v>
      </c>
      <c r="E148" t="str">
        <f t="shared" si="68"/>
        <v>121001</v>
      </c>
      <c r="F148" t="str">
        <f t="shared" si="69"/>
        <v>JENIFER SANTOS</v>
      </c>
      <c r="G148" t="str">
        <f>"34555574000148"</f>
        <v>34555574000148</v>
      </c>
      <c r="H148" t="str">
        <f>"0"</f>
        <v>0</v>
      </c>
      <c r="I148" t="str">
        <f t="shared" si="70"/>
        <v>CONTA OPTICA</v>
      </c>
      <c r="J148" t="str">
        <f>"JARAGUA DO SUL COMERCIO VAREJISTA DE OPTICA LTDA"</f>
        <v>JARAGUA DO SUL COMERCIO VAREJISTA DE OPTICA LTDA</v>
      </c>
      <c r="K148" t="str">
        <f>"MERCADAO DOS OCULOS (4048)"</f>
        <v>MERCADAO DOS OCULOS (4048)</v>
      </c>
      <c r="L148" t="str">
        <f>""</f>
        <v/>
      </c>
      <c r="M148" t="str">
        <f>""</f>
        <v/>
      </c>
      <c r="N148" t="str">
        <f>"SC-JARAGUADOSUL@MERCADAODOSOCULOS.COM.BR"</f>
        <v>SC-JARAGUADOSUL@MERCADAODOSOCULOS.COM.BR</v>
      </c>
      <c r="O148" t="str">
        <f>""</f>
        <v/>
      </c>
      <c r="P148" t="str">
        <f>"RUA MARECHAL DEODORO DA FONSECA"</f>
        <v>RUA MARECHAL DEODORO DA FONSECA</v>
      </c>
      <c r="Q148" t="str">
        <f>"401"</f>
        <v>401</v>
      </c>
      <c r="R148" t="str">
        <f>""</f>
        <v/>
      </c>
      <c r="S148" t="str">
        <f>"1280"</f>
        <v>1280</v>
      </c>
      <c r="T148" t="str">
        <f>"89251700"</f>
        <v>89251700</v>
      </c>
      <c r="U148" t="str">
        <f>"CENTRO"</f>
        <v>CENTRO</v>
      </c>
      <c r="V148" t="str">
        <f>"JARAGUA DO SUL"</f>
        <v>JARAGUA DO SUL</v>
      </c>
      <c r="W148" t="str">
        <f>"SC"</f>
        <v>SC</v>
      </c>
      <c r="X148" t="str">
        <f>"47"</f>
        <v>47</v>
      </c>
      <c r="Y148" t="str">
        <f>"30552393"</f>
        <v>30552393</v>
      </c>
      <c r="Z148" t="str">
        <f>""</f>
        <v/>
      </c>
      <c r="AA148" t="str">
        <f>""</f>
        <v/>
      </c>
      <c r="AB148" t="str">
        <f>""</f>
        <v/>
      </c>
      <c r="AC148" t="str">
        <f>""</f>
        <v/>
      </c>
      <c r="AD148" t="str">
        <f>""</f>
        <v/>
      </c>
      <c r="AE148" t="str">
        <f>""</f>
        <v/>
      </c>
      <c r="AF148" t="str">
        <f>""</f>
        <v/>
      </c>
      <c r="AG148" t="str">
        <f>""</f>
        <v/>
      </c>
      <c r="AH148" t="str">
        <f>""</f>
        <v/>
      </c>
      <c r="AI148" t="str">
        <f>""</f>
        <v/>
      </c>
      <c r="AJ148" t="str">
        <f>""</f>
        <v/>
      </c>
      <c r="AK148" t="str">
        <f>""</f>
        <v/>
      </c>
      <c r="AL148" t="str">
        <f>""</f>
        <v/>
      </c>
      <c r="AM148" t="str">
        <f>""</f>
        <v/>
      </c>
      <c r="AN148" t="str">
        <f>""</f>
        <v/>
      </c>
      <c r="AO148" t="str">
        <f>""</f>
        <v/>
      </c>
      <c r="AP148" t="str">
        <f>""</f>
        <v/>
      </c>
      <c r="AQ148" t="str">
        <f>""</f>
        <v/>
      </c>
      <c r="AR148" t="str">
        <f>""</f>
        <v/>
      </c>
      <c r="AS148" t="str">
        <f>""</f>
        <v/>
      </c>
      <c r="AT148" t="str">
        <f>""</f>
        <v/>
      </c>
      <c r="AU148" t="str">
        <f>""</f>
        <v/>
      </c>
      <c r="AV148" t="str">
        <f>""</f>
        <v/>
      </c>
      <c r="AW148" t="str">
        <f>""</f>
        <v/>
      </c>
      <c r="AX148" t="str">
        <f>""</f>
        <v/>
      </c>
      <c r="AY148" t="str">
        <f>""</f>
        <v/>
      </c>
      <c r="AZ148" t="str">
        <f>""</f>
        <v/>
      </c>
      <c r="BA148" t="str">
        <f>""</f>
        <v/>
      </c>
      <c r="BB148" t="str">
        <f>"11/07/2023 02:14:29"</f>
        <v>11/07/2023 02:14:29</v>
      </c>
      <c r="BC148" t="str">
        <f>""</f>
        <v/>
      </c>
      <c r="BD148" t="str">
        <f>""</f>
        <v/>
      </c>
      <c r="BE148" t="str">
        <f>""</f>
        <v/>
      </c>
      <c r="BF148" t="str">
        <f t="shared" si="71"/>
        <v>A</v>
      </c>
      <c r="BG148" t="str">
        <f>""</f>
        <v/>
      </c>
      <c r="BH148" t="str">
        <f>""</f>
        <v/>
      </c>
      <c r="BI148" t="str">
        <f t="shared" si="53"/>
        <v>EVENTUAL</v>
      </c>
      <c r="BJ148" t="str">
        <f t="shared" si="72"/>
        <v>1</v>
      </c>
      <c r="BK148" t="str">
        <f t="shared" si="73"/>
        <v>Farmacia</v>
      </c>
      <c r="BL148" t="str">
        <f>""</f>
        <v/>
      </c>
      <c r="BM148" t="str">
        <f>""</f>
        <v/>
      </c>
      <c r="BN148" t="str">
        <f>""</f>
        <v/>
      </c>
      <c r="BO148" t="str">
        <f>""</f>
        <v/>
      </c>
      <c r="BP148" t="str">
        <f>""</f>
        <v/>
      </c>
      <c r="BQ148" t="str">
        <f>""</f>
        <v/>
      </c>
      <c r="BR148" t="str">
        <f>"11/07/2023"</f>
        <v>11/07/2023</v>
      </c>
      <c r="BS148" t="str">
        <f>""</f>
        <v/>
      </c>
      <c r="BT148" t="str">
        <f>""</f>
        <v/>
      </c>
      <c r="BU148" t="str">
        <f>""</f>
        <v/>
      </c>
      <c r="BV148" t="str">
        <f>""</f>
        <v/>
      </c>
      <c r="BW148" t="str">
        <f>"37"</f>
        <v>37</v>
      </c>
    </row>
    <row r="149" spans="1:75" x14ac:dyDescent="0.35">
      <c r="A149">
        <v>138871</v>
      </c>
      <c r="B149" t="str">
        <f t="shared" si="65"/>
        <v>A</v>
      </c>
      <c r="C149" t="str">
        <f t="shared" si="66"/>
        <v>80</v>
      </c>
      <c r="D149" t="str">
        <f t="shared" si="67"/>
        <v>11121001</v>
      </c>
      <c r="E149" t="str">
        <f t="shared" si="68"/>
        <v>121001</v>
      </c>
      <c r="F149" t="str">
        <f t="shared" si="69"/>
        <v>JENIFER SANTOS</v>
      </c>
      <c r="G149" t="str">
        <f>"93055622000106"</f>
        <v>93055622000106</v>
      </c>
      <c r="H149" t="str">
        <f>"0"</f>
        <v>0</v>
      </c>
      <c r="I149" t="str">
        <f t="shared" si="70"/>
        <v>CONTA OPTICA</v>
      </c>
      <c r="J149" t="str">
        <f>"JEFFERSON LUIZ KURA ME"</f>
        <v>JEFFERSON LUIZ KURA ME</v>
      </c>
      <c r="K149" t="str">
        <f>"JEFFERSON LUIZ KURA ME (725)"</f>
        <v>JEFFERSON LUIZ KURA ME (725)</v>
      </c>
      <c r="L149" t="str">
        <f>""</f>
        <v/>
      </c>
      <c r="M149" t="str">
        <f>""</f>
        <v/>
      </c>
      <c r="N149" t="str">
        <f>"alinedalmaso@hotmail.com"</f>
        <v>alinedalmaso@hotmail.com</v>
      </c>
      <c r="O149" t="str">
        <f>""</f>
        <v/>
      </c>
      <c r="P149" t="str">
        <f>"RUA CORONEL CHICUTA"</f>
        <v>RUA CORONEL CHICUTA</v>
      </c>
      <c r="Q149" t="str">
        <f>"332"</f>
        <v>332</v>
      </c>
      <c r="R149" t="str">
        <f>""</f>
        <v/>
      </c>
      <c r="S149" t="str">
        <f>"1383"</f>
        <v>1383</v>
      </c>
      <c r="T149" t="str">
        <f>"99020030"</f>
        <v>99020030</v>
      </c>
      <c r="U149" t="str">
        <f>"VILA NICOLAU VERGUEIRO"</f>
        <v>VILA NICOLAU VERGUEIRO</v>
      </c>
      <c r="V149" t="str">
        <f>"PASSO FUNDO"</f>
        <v>PASSO FUNDO</v>
      </c>
      <c r="W149" t="str">
        <f>"RS"</f>
        <v>RS</v>
      </c>
      <c r="X149" t="str">
        <f>"54"</f>
        <v>54</v>
      </c>
      <c r="Y149" t="str">
        <f>"33114506"</f>
        <v>33114506</v>
      </c>
      <c r="Z149" t="str">
        <f>""</f>
        <v/>
      </c>
      <c r="AA149" t="str">
        <f>""</f>
        <v/>
      </c>
      <c r="AB149" t="str">
        <f>""</f>
        <v/>
      </c>
      <c r="AC149" t="str">
        <f>""</f>
        <v/>
      </c>
      <c r="AD149" t="str">
        <f>""</f>
        <v/>
      </c>
      <c r="AE149" t="str">
        <f>""</f>
        <v/>
      </c>
      <c r="AF149" t="str">
        <f>""</f>
        <v/>
      </c>
      <c r="AG149" t="str">
        <f>"S"</f>
        <v>S</v>
      </c>
      <c r="AH149" t="str">
        <f>""</f>
        <v/>
      </c>
      <c r="AI149" t="str">
        <f>""</f>
        <v/>
      </c>
      <c r="AJ149" t="str">
        <f>""</f>
        <v/>
      </c>
      <c r="AK149" t="str">
        <f>""</f>
        <v/>
      </c>
      <c r="AL149" t="str">
        <f>""</f>
        <v/>
      </c>
      <c r="AM149" t="str">
        <f>""</f>
        <v/>
      </c>
      <c r="AN149" t="str">
        <f>""</f>
        <v/>
      </c>
      <c r="AO149" t="str">
        <f>""</f>
        <v/>
      </c>
      <c r="AP149" t="str">
        <f>""</f>
        <v/>
      </c>
      <c r="AQ149" t="str">
        <f>"N"</f>
        <v>N</v>
      </c>
      <c r="AR149" t="str">
        <f>"N"</f>
        <v>N</v>
      </c>
      <c r="AS149" t="str">
        <f>"N"</f>
        <v>N</v>
      </c>
      <c r="AT149" t="str">
        <f>"N"</f>
        <v>N</v>
      </c>
      <c r="AU149" t="str">
        <f>"N"</f>
        <v>N</v>
      </c>
      <c r="AV149" t="str">
        <f>""</f>
        <v/>
      </c>
      <c r="AW149" t="str">
        <f>""</f>
        <v/>
      </c>
      <c r="AX149" t="str">
        <f>""</f>
        <v/>
      </c>
      <c r="AY149" t="str">
        <f>""</f>
        <v/>
      </c>
      <c r="AZ149" t="str">
        <f>""</f>
        <v/>
      </c>
      <c r="BA149" t="str">
        <f>""</f>
        <v/>
      </c>
      <c r="BB149" t="str">
        <f>"15/07/2021 10:57:44"</f>
        <v>15/07/2021 10:57:44</v>
      </c>
      <c r="BC149" t="str">
        <f>"26/04/2022 10:10:22"</f>
        <v>26/04/2022 10:10:22</v>
      </c>
      <c r="BD149" t="str">
        <f>""</f>
        <v/>
      </c>
      <c r="BE149" t="str">
        <f>""</f>
        <v/>
      </c>
      <c r="BF149" t="str">
        <f t="shared" si="71"/>
        <v>A</v>
      </c>
      <c r="BG149" t="str">
        <f>""</f>
        <v/>
      </c>
      <c r="BH149" t="str">
        <f t="shared" ref="BH149:BH154" si="79">"0,00"</f>
        <v>0,00</v>
      </c>
      <c r="BI149" t="str">
        <f t="shared" si="53"/>
        <v>EVENTUAL</v>
      </c>
      <c r="BJ149" t="str">
        <f t="shared" si="72"/>
        <v>1</v>
      </c>
      <c r="BK149" t="str">
        <f t="shared" si="73"/>
        <v>Farmacia</v>
      </c>
      <c r="BL149" t="str">
        <f>""</f>
        <v/>
      </c>
      <c r="BM149" t="str">
        <f>"NÃO É VARILUX ESPECIALISTA"</f>
        <v>NÃO É VARILUX ESPECIALISTA</v>
      </c>
      <c r="BN149" t="str">
        <f>"EL360"</f>
        <v>EL360</v>
      </c>
      <c r="BO149" t="str">
        <f>"FOCO VARILUX DIGITAL"</f>
        <v>FOCO VARILUX DIGITAL</v>
      </c>
      <c r="BP149" t="str">
        <f>""</f>
        <v/>
      </c>
      <c r="BQ149" t="str">
        <f>""</f>
        <v/>
      </c>
      <c r="BR149" t="str">
        <f>"15/07/2021"</f>
        <v>15/07/2021</v>
      </c>
      <c r="BS149" t="str">
        <f>"26/04/2022"</f>
        <v>26/04/2022</v>
      </c>
      <c r="BT149" t="str">
        <f>""</f>
        <v/>
      </c>
      <c r="BU149" t="str">
        <f>""</f>
        <v/>
      </c>
      <c r="BV149" t="str">
        <f>""</f>
        <v/>
      </c>
      <c r="BW149" t="str">
        <f>"Não visitado"</f>
        <v>Não visitado</v>
      </c>
    </row>
    <row r="150" spans="1:75" x14ac:dyDescent="0.35">
      <c r="A150">
        <v>144588</v>
      </c>
      <c r="B150" t="str">
        <f t="shared" si="65"/>
        <v>A</v>
      </c>
      <c r="C150" t="str">
        <f t="shared" si="66"/>
        <v>80</v>
      </c>
      <c r="D150" t="str">
        <f t="shared" si="67"/>
        <v>11121001</v>
      </c>
      <c r="E150" t="str">
        <f t="shared" si="68"/>
        <v>121001</v>
      </c>
      <c r="F150" t="str">
        <f t="shared" si="69"/>
        <v>JENIFER SANTOS</v>
      </c>
      <c r="G150" t="str">
        <f>"37097041000158"</f>
        <v>37097041000158</v>
      </c>
      <c r="H150" t="str">
        <f>""</f>
        <v/>
      </c>
      <c r="I150" t="str">
        <f t="shared" si="70"/>
        <v>CONTA OPTICA</v>
      </c>
      <c r="J150" t="str">
        <f>"JJCN COMERCIO DE OTICA E RELOJOARIA LTDA"</f>
        <v>JJCN COMERCIO DE OTICA E RELOJOARIA LTDA</v>
      </c>
      <c r="K150" t="str">
        <f>"MAY STYLE OTICA (4157)"</f>
        <v>MAY STYLE OTICA (4157)</v>
      </c>
      <c r="L150" t="str">
        <f>""</f>
        <v/>
      </c>
      <c r="M150" t="str">
        <f>""</f>
        <v/>
      </c>
      <c r="N150" t="str">
        <f>"mayoticastyle@gmail.com"</f>
        <v>mayoticastyle@gmail.com</v>
      </c>
      <c r="O150" t="str">
        <f>""</f>
        <v/>
      </c>
      <c r="P150" t="str">
        <f>"RUA LAGES"</f>
        <v>RUA LAGES</v>
      </c>
      <c r="Q150" t="str">
        <f>"598"</f>
        <v>598</v>
      </c>
      <c r="R150" t="str">
        <f>"SALA 01"</f>
        <v>SALA 01</v>
      </c>
      <c r="S150" t="str">
        <f>"1277"</f>
        <v>1277</v>
      </c>
      <c r="T150" t="str">
        <f>"89201205"</f>
        <v>89201205</v>
      </c>
      <c r="U150" t="str">
        <f t="shared" ref="U150:U156" si="80">"CENTRO"</f>
        <v>CENTRO</v>
      </c>
      <c r="V150" t="str">
        <f>"JOINVILLE"</f>
        <v>JOINVILLE</v>
      </c>
      <c r="W150" t="str">
        <f t="shared" ref="W150:W167" si="81">"SC"</f>
        <v>SC</v>
      </c>
      <c r="X150" t="str">
        <f>"47"</f>
        <v>47</v>
      </c>
      <c r="Y150" t="str">
        <f>"30303132"</f>
        <v>30303132</v>
      </c>
      <c r="Z150" t="str">
        <f>""</f>
        <v/>
      </c>
      <c r="AA150" t="str">
        <f>""</f>
        <v/>
      </c>
      <c r="AB150" t="str">
        <f>""</f>
        <v/>
      </c>
      <c r="AC150" t="str">
        <f>""</f>
        <v/>
      </c>
      <c r="AD150" t="str">
        <f>""</f>
        <v/>
      </c>
      <c r="AE150" t="str">
        <f>""</f>
        <v/>
      </c>
      <c r="AF150" t="str">
        <f>""</f>
        <v/>
      </c>
      <c r="AG150" t="str">
        <f>""</f>
        <v/>
      </c>
      <c r="AH150" t="str">
        <f>""</f>
        <v/>
      </c>
      <c r="AI150" t="str">
        <f>""</f>
        <v/>
      </c>
      <c r="AJ150" t="str">
        <f t="shared" ref="AJ150:AL151" si="82">"0"</f>
        <v>0</v>
      </c>
      <c r="AK150" t="str">
        <f t="shared" si="82"/>
        <v>0</v>
      </c>
      <c r="AL150" t="str">
        <f t="shared" si="82"/>
        <v>0</v>
      </c>
      <c r="AM150" t="str">
        <f>""</f>
        <v/>
      </c>
      <c r="AN150" t="str">
        <f>""</f>
        <v/>
      </c>
      <c r="AO150" t="str">
        <f>""</f>
        <v/>
      </c>
      <c r="AP150" t="str">
        <f>""</f>
        <v/>
      </c>
      <c r="AQ150" t="str">
        <f>""</f>
        <v/>
      </c>
      <c r="AR150" t="str">
        <f>""</f>
        <v/>
      </c>
      <c r="AS150" t="str">
        <f>""</f>
        <v/>
      </c>
      <c r="AT150" t="str">
        <f>""</f>
        <v/>
      </c>
      <c r="AU150" t="str">
        <f>""</f>
        <v/>
      </c>
      <c r="AV150" t="str">
        <f>""</f>
        <v/>
      </c>
      <c r="AW150" t="str">
        <f>""</f>
        <v/>
      </c>
      <c r="AX150" t="str">
        <f>""</f>
        <v/>
      </c>
      <c r="AY150" t="str">
        <f>""</f>
        <v/>
      </c>
      <c r="AZ150" t="str">
        <f>""</f>
        <v/>
      </c>
      <c r="BA150" t="str">
        <f>""</f>
        <v/>
      </c>
      <c r="BB150" t="str">
        <f>""</f>
        <v/>
      </c>
      <c r="BC150" t="str">
        <f>""</f>
        <v/>
      </c>
      <c r="BD150" t="str">
        <f>""</f>
        <v/>
      </c>
      <c r="BE150" t="str">
        <f>""</f>
        <v/>
      </c>
      <c r="BF150" t="str">
        <f t="shared" si="71"/>
        <v>A</v>
      </c>
      <c r="BG150" t="str">
        <f>"0,00"</f>
        <v>0,00</v>
      </c>
      <c r="BH150" t="str">
        <f t="shared" si="79"/>
        <v>0,00</v>
      </c>
      <c r="BI150" t="str">
        <f t="shared" si="53"/>
        <v>EVENTUAL</v>
      </c>
      <c r="BJ150" t="str">
        <f t="shared" si="72"/>
        <v>1</v>
      </c>
      <c r="BK150" t="str">
        <f t="shared" si="73"/>
        <v>Farmacia</v>
      </c>
      <c r="BL150" t="str">
        <f>""</f>
        <v/>
      </c>
      <c r="BM150" t="str">
        <f>"NÃO É VARILUX ESPECIALISTA"</f>
        <v>NÃO É VARILUX ESPECIALISTA</v>
      </c>
      <c r="BN150" t="str">
        <f>"NA"</f>
        <v>NA</v>
      </c>
      <c r="BO150" t="str">
        <f>"FOCO KODAK 2"</f>
        <v>FOCO KODAK 2</v>
      </c>
      <c r="BP150" t="str">
        <f>""</f>
        <v/>
      </c>
      <c r="BQ150" t="str">
        <f>""</f>
        <v/>
      </c>
      <c r="BR150" t="str">
        <f>""</f>
        <v/>
      </c>
      <c r="BS150" t="str">
        <f>""</f>
        <v/>
      </c>
      <c r="BT150" t="str">
        <f>""</f>
        <v/>
      </c>
      <c r="BU150" t="str">
        <f>""</f>
        <v/>
      </c>
      <c r="BV150" t="str">
        <f>"9"</f>
        <v>9</v>
      </c>
      <c r="BW150" t="str">
        <f>"52"</f>
        <v>52</v>
      </c>
    </row>
    <row r="151" spans="1:75" x14ac:dyDescent="0.35">
      <c r="A151">
        <v>144576</v>
      </c>
      <c r="B151" t="str">
        <f t="shared" si="65"/>
        <v>A</v>
      </c>
      <c r="C151" t="str">
        <f t="shared" si="66"/>
        <v>80</v>
      </c>
      <c r="D151" t="str">
        <f t="shared" si="67"/>
        <v>11121001</v>
      </c>
      <c r="E151" t="str">
        <f t="shared" si="68"/>
        <v>121001</v>
      </c>
      <c r="F151" t="str">
        <f t="shared" si="69"/>
        <v>JENIFER SANTOS</v>
      </c>
      <c r="G151" t="str">
        <f>"17011783000101"</f>
        <v>17011783000101</v>
      </c>
      <c r="H151" t="str">
        <f>""</f>
        <v/>
      </c>
      <c r="I151" t="str">
        <f t="shared" si="70"/>
        <v>CONTA OPTICA</v>
      </c>
      <c r="J151" t="str">
        <f>"JLM COMERCIO DE ARTIGOS DE OPTICA LTDA ME"</f>
        <v>JLM COMERCIO DE ARTIGOS DE OPTICA LTDA ME</v>
      </c>
      <c r="K151" t="str">
        <f>"OPTICA ETERNA (1945)"</f>
        <v>OPTICA ETERNA (1945)</v>
      </c>
      <c r="L151" t="str">
        <f>""</f>
        <v/>
      </c>
      <c r="M151" t="str">
        <f>""</f>
        <v/>
      </c>
      <c r="N151" t="str">
        <f>"otica_eterna@hotmail.com"</f>
        <v>otica_eterna@hotmail.com</v>
      </c>
      <c r="O151" t="str">
        <f>""</f>
        <v/>
      </c>
      <c r="P151" t="str">
        <f>"RUA EXPEDICIONARIO GUMERCINDO DA SILVA"</f>
        <v>RUA EXPEDICIONARIO GUMERCINDO DA SILVA</v>
      </c>
      <c r="Q151" t="str">
        <f>"130"</f>
        <v>130</v>
      </c>
      <c r="R151" t="str">
        <f>"SALA 6"</f>
        <v>SALA 6</v>
      </c>
      <c r="S151" t="str">
        <f>"1280"</f>
        <v>1280</v>
      </c>
      <c r="T151" t="str">
        <f>"89252000"</f>
        <v>89252000</v>
      </c>
      <c r="U151" t="str">
        <f t="shared" si="80"/>
        <v>CENTRO</v>
      </c>
      <c r="V151" t="str">
        <f>"JARAGUÁ DO SUL"</f>
        <v>JARAGUÁ DO SUL</v>
      </c>
      <c r="W151" t="str">
        <f t="shared" si="81"/>
        <v>SC</v>
      </c>
      <c r="X151" t="str">
        <f>"47"</f>
        <v>47</v>
      </c>
      <c r="Y151" t="str">
        <f>"33706276"</f>
        <v>33706276</v>
      </c>
      <c r="Z151" t="str">
        <f>""</f>
        <v/>
      </c>
      <c r="AA151" t="str">
        <f>""</f>
        <v/>
      </c>
      <c r="AB151" t="str">
        <f>""</f>
        <v/>
      </c>
      <c r="AC151" t="str">
        <f>""</f>
        <v/>
      </c>
      <c r="AD151" t="str">
        <f>""</f>
        <v/>
      </c>
      <c r="AE151" t="str">
        <f>""</f>
        <v/>
      </c>
      <c r="AF151" t="str">
        <f>""</f>
        <v/>
      </c>
      <c r="AG151" t="str">
        <f>""</f>
        <v/>
      </c>
      <c r="AH151" t="str">
        <f>""</f>
        <v/>
      </c>
      <c r="AI151" t="str">
        <f>""</f>
        <v/>
      </c>
      <c r="AJ151" t="str">
        <f t="shared" si="82"/>
        <v>0</v>
      </c>
      <c r="AK151" t="str">
        <f t="shared" si="82"/>
        <v>0</v>
      </c>
      <c r="AL151" t="str">
        <f t="shared" si="82"/>
        <v>0</v>
      </c>
      <c r="AM151" t="str">
        <f>""</f>
        <v/>
      </c>
      <c r="AN151" t="str">
        <f>""</f>
        <v/>
      </c>
      <c r="AO151" t="str">
        <f>""</f>
        <v/>
      </c>
      <c r="AP151" t="str">
        <f>""</f>
        <v/>
      </c>
      <c r="AQ151" t="str">
        <f>""</f>
        <v/>
      </c>
      <c r="AR151" t="str">
        <f>""</f>
        <v/>
      </c>
      <c r="AS151" t="str">
        <f>""</f>
        <v/>
      </c>
      <c r="AT151" t="str">
        <f>""</f>
        <v/>
      </c>
      <c r="AU151" t="str">
        <f>""</f>
        <v/>
      </c>
      <c r="AV151" t="str">
        <f>""</f>
        <v/>
      </c>
      <c r="AW151" t="str">
        <f>""</f>
        <v/>
      </c>
      <c r="AX151" t="str">
        <f>""</f>
        <v/>
      </c>
      <c r="AY151" t="str">
        <f>""</f>
        <v/>
      </c>
      <c r="AZ151" t="str">
        <f>""</f>
        <v/>
      </c>
      <c r="BA151" t="str">
        <f>""</f>
        <v/>
      </c>
      <c r="BB151" t="str">
        <f>""</f>
        <v/>
      </c>
      <c r="BC151" t="str">
        <f>""</f>
        <v/>
      </c>
      <c r="BD151" t="str">
        <f>""</f>
        <v/>
      </c>
      <c r="BE151" t="str">
        <f>""</f>
        <v/>
      </c>
      <c r="BF151" t="str">
        <f t="shared" si="71"/>
        <v>A</v>
      </c>
      <c r="BG151" t="str">
        <f>"0,00"</f>
        <v>0,00</v>
      </c>
      <c r="BH151" t="str">
        <f t="shared" si="79"/>
        <v>0,00</v>
      </c>
      <c r="BI151" t="str">
        <f t="shared" si="53"/>
        <v>EVENTUAL</v>
      </c>
      <c r="BJ151" t="str">
        <f t="shared" si="72"/>
        <v>1</v>
      </c>
      <c r="BK151" t="str">
        <f t="shared" si="73"/>
        <v>Farmacia</v>
      </c>
      <c r="BL151" t="str">
        <f>""</f>
        <v/>
      </c>
      <c r="BM151" t="str">
        <f>"NÃO É VARILUX ESPECIALISTA"</f>
        <v>NÃO É VARILUX ESPECIALISTA</v>
      </c>
      <c r="BN151" t="str">
        <f>"NA"</f>
        <v>NA</v>
      </c>
      <c r="BO151" t="str">
        <f>"OUTROS"</f>
        <v>OUTROS</v>
      </c>
      <c r="BP151" t="str">
        <f>""</f>
        <v/>
      </c>
      <c r="BQ151" t="str">
        <f>""</f>
        <v/>
      </c>
      <c r="BR151" t="str">
        <f>""</f>
        <v/>
      </c>
      <c r="BS151" t="str">
        <f>""</f>
        <v/>
      </c>
      <c r="BT151" t="str">
        <f>""</f>
        <v/>
      </c>
      <c r="BU151" t="str">
        <f>""</f>
        <v/>
      </c>
      <c r="BV151" t="str">
        <f>"8"</f>
        <v>8</v>
      </c>
      <c r="BW151" t="str">
        <f>"72"</f>
        <v>72</v>
      </c>
    </row>
    <row r="152" spans="1:75" x14ac:dyDescent="0.35">
      <c r="A152">
        <v>138073</v>
      </c>
      <c r="B152" t="str">
        <f t="shared" si="65"/>
        <v>A</v>
      </c>
      <c r="C152" t="str">
        <f t="shared" si="66"/>
        <v>80</v>
      </c>
      <c r="D152" t="str">
        <f t="shared" si="67"/>
        <v>11121001</v>
      </c>
      <c r="E152" t="str">
        <f t="shared" si="68"/>
        <v>121001</v>
      </c>
      <c r="F152" t="str">
        <f t="shared" si="69"/>
        <v>JENIFER SANTOS</v>
      </c>
      <c r="G152" t="str">
        <f>"86248218000185"</f>
        <v>86248218000185</v>
      </c>
      <c r="H152" t="str">
        <f>"0"</f>
        <v>0</v>
      </c>
      <c r="I152" t="str">
        <f t="shared" si="70"/>
        <v>CONTA OPTICA</v>
      </c>
      <c r="J152" t="str">
        <f>"JOALHERIA CONFIANCA LTDA"</f>
        <v>JOALHERIA CONFIANCA LTDA</v>
      </c>
      <c r="K152" t="str">
        <f>"JOALHERIA CONFIANCA LTDA (149)"</f>
        <v>JOALHERIA CONFIANCA LTDA (149)</v>
      </c>
      <c r="L152" t="str">
        <f>""</f>
        <v/>
      </c>
      <c r="M152" t="str">
        <f>""</f>
        <v/>
      </c>
      <c r="N152" t="str">
        <f>"joalheriaconfiancasmo@hotmail.com"</f>
        <v>joalheriaconfiancasmo@hotmail.com</v>
      </c>
      <c r="O152" t="str">
        <f>""</f>
        <v/>
      </c>
      <c r="P152" t="str">
        <f>"RUA ALMIRANTE TAMANDARE"</f>
        <v>RUA ALMIRANTE TAMANDARE</v>
      </c>
      <c r="Q152" t="str">
        <f>"540"</f>
        <v>540</v>
      </c>
      <c r="R152" t="str">
        <f>""</f>
        <v/>
      </c>
      <c r="S152" t="str">
        <f>"1289"</f>
        <v>1289</v>
      </c>
      <c r="T152" t="str">
        <f>"89900000"</f>
        <v>89900000</v>
      </c>
      <c r="U152" t="str">
        <f t="shared" si="80"/>
        <v>CENTRO</v>
      </c>
      <c r="V152" t="str">
        <f>"SÃO MIGUEL DO OESTE"</f>
        <v>SÃO MIGUEL DO OESTE</v>
      </c>
      <c r="W152" t="str">
        <f t="shared" si="81"/>
        <v>SC</v>
      </c>
      <c r="X152" t="str">
        <f>"49"</f>
        <v>49</v>
      </c>
      <c r="Y152" t="str">
        <f>"36220093"</f>
        <v>36220093</v>
      </c>
      <c r="Z152" t="str">
        <f>""</f>
        <v/>
      </c>
      <c r="AA152" t="str">
        <f>""</f>
        <v/>
      </c>
      <c r="AB152" t="str">
        <f>""</f>
        <v/>
      </c>
      <c r="AC152" t="str">
        <f>""</f>
        <v/>
      </c>
      <c r="AD152" t="str">
        <f>""</f>
        <v/>
      </c>
      <c r="AE152" t="str">
        <f>""</f>
        <v/>
      </c>
      <c r="AF152" t="str">
        <f>""</f>
        <v/>
      </c>
      <c r="AG152" t="str">
        <f>"S"</f>
        <v>S</v>
      </c>
      <c r="AH152" t="str">
        <f>""</f>
        <v/>
      </c>
      <c r="AI152" t="str">
        <f>""</f>
        <v/>
      </c>
      <c r="AJ152" t="str">
        <f>""</f>
        <v/>
      </c>
      <c r="AK152" t="str">
        <f>""</f>
        <v/>
      </c>
      <c r="AL152" t="str">
        <f>""</f>
        <v/>
      </c>
      <c r="AM152" t="str">
        <f>""</f>
        <v/>
      </c>
      <c r="AN152" t="str">
        <f>""</f>
        <v/>
      </c>
      <c r="AO152" t="str">
        <f>""</f>
        <v/>
      </c>
      <c r="AP152" t="str">
        <f>""</f>
        <v/>
      </c>
      <c r="AQ152" t="str">
        <f t="shared" ref="AQ152:AU153" si="83">"N"</f>
        <v>N</v>
      </c>
      <c r="AR152" t="str">
        <f t="shared" si="83"/>
        <v>N</v>
      </c>
      <c r="AS152" t="str">
        <f t="shared" si="83"/>
        <v>N</v>
      </c>
      <c r="AT152" t="str">
        <f t="shared" si="83"/>
        <v>N</v>
      </c>
      <c r="AU152" t="str">
        <f t="shared" si="83"/>
        <v>N</v>
      </c>
      <c r="AV152" t="str">
        <f>""</f>
        <v/>
      </c>
      <c r="AW152" t="str">
        <f>""</f>
        <v/>
      </c>
      <c r="AX152" t="str">
        <f>""</f>
        <v/>
      </c>
      <c r="AY152" t="str">
        <f>""</f>
        <v/>
      </c>
      <c r="AZ152" t="str">
        <f>""</f>
        <v/>
      </c>
      <c r="BA152" t="str">
        <f>""</f>
        <v/>
      </c>
      <c r="BB152" t="str">
        <f>"01/07/2021 13:53:04"</f>
        <v>01/07/2021 13:53:04</v>
      </c>
      <c r="BC152" t="str">
        <f>"22/11/2021 13:46:14"</f>
        <v>22/11/2021 13:46:14</v>
      </c>
      <c r="BD152" t="str">
        <f>""</f>
        <v/>
      </c>
      <c r="BE152" t="str">
        <f>""</f>
        <v/>
      </c>
      <c r="BF152" t="str">
        <f t="shared" si="71"/>
        <v>A</v>
      </c>
      <c r="BG152" t="str">
        <f>""</f>
        <v/>
      </c>
      <c r="BH152" t="str">
        <f t="shared" si="79"/>
        <v>0,00</v>
      </c>
      <c r="BI152" t="str">
        <f t="shared" si="53"/>
        <v>EVENTUAL</v>
      </c>
      <c r="BJ152" t="str">
        <f t="shared" si="72"/>
        <v>1</v>
      </c>
      <c r="BK152" t="str">
        <f t="shared" si="73"/>
        <v>Farmacia</v>
      </c>
      <c r="BL152" t="str">
        <f>""</f>
        <v/>
      </c>
      <c r="BM152" t="str">
        <f>"NÃO É VARILUX ESPECIALISTA"</f>
        <v>NÃO É VARILUX ESPECIALISTA</v>
      </c>
      <c r="BN152" t="str">
        <f>"NA"</f>
        <v>NA</v>
      </c>
      <c r="BO152" t="str">
        <f>"FOCO KODAK 2"</f>
        <v>FOCO KODAK 2</v>
      </c>
      <c r="BP152" t="str">
        <f>""</f>
        <v/>
      </c>
      <c r="BQ152" t="str">
        <f>""</f>
        <v/>
      </c>
      <c r="BR152" t="str">
        <f>"01/07/2021"</f>
        <v>01/07/2021</v>
      </c>
      <c r="BS152" t="str">
        <f>"22/11/2021"</f>
        <v>22/11/2021</v>
      </c>
      <c r="BT152" t="str">
        <f>""</f>
        <v/>
      </c>
      <c r="BU152" t="str">
        <f>""</f>
        <v/>
      </c>
      <c r="BV152" t="str">
        <f>""</f>
        <v/>
      </c>
      <c r="BW152" t="str">
        <f>"15"</f>
        <v>15</v>
      </c>
    </row>
    <row r="153" spans="1:75" x14ac:dyDescent="0.35">
      <c r="A153">
        <v>138074</v>
      </c>
      <c r="B153" t="str">
        <f t="shared" si="65"/>
        <v>A</v>
      </c>
      <c r="C153" t="str">
        <f t="shared" si="66"/>
        <v>80</v>
      </c>
      <c r="D153" t="str">
        <f t="shared" si="67"/>
        <v>11121001</v>
      </c>
      <c r="E153" t="str">
        <f t="shared" si="68"/>
        <v>121001</v>
      </c>
      <c r="F153" t="str">
        <f t="shared" si="69"/>
        <v>JENIFER SANTOS</v>
      </c>
      <c r="G153" t="str">
        <f>"80447659000120"</f>
        <v>80447659000120</v>
      </c>
      <c r="H153" t="str">
        <f>"0"</f>
        <v>0</v>
      </c>
      <c r="I153" t="str">
        <f t="shared" si="70"/>
        <v>CONTA OPTICA</v>
      </c>
      <c r="J153" t="str">
        <f>"JOALHERIA E OPTICA COLLA LTDA ME"</f>
        <v>JOALHERIA E OPTICA COLLA LTDA ME</v>
      </c>
      <c r="K153" t="str">
        <f>"JOALHERIA E OPTICA COLLA LTDA ME (1380)"</f>
        <v>JOALHERIA E OPTICA COLLA LTDA ME (1380)</v>
      </c>
      <c r="L153" t="str">
        <f>""</f>
        <v/>
      </c>
      <c r="M153" t="str">
        <f>""</f>
        <v/>
      </c>
      <c r="N153" t="str">
        <f>"suzicolla@gmail.com"</f>
        <v>suzicolla@gmail.com</v>
      </c>
      <c r="O153" t="str">
        <f>""</f>
        <v/>
      </c>
      <c r="P153" t="str">
        <f>"RUA MARECHAL DEODORO"</f>
        <v>RUA MARECHAL DEODORO</v>
      </c>
      <c r="Q153" t="str">
        <f>"890"</f>
        <v>890</v>
      </c>
      <c r="R153" t="str">
        <f>""</f>
        <v/>
      </c>
      <c r="S153" t="str">
        <f>""</f>
        <v/>
      </c>
      <c r="T153" t="str">
        <f>"89700174"</f>
        <v>89700174</v>
      </c>
      <c r="U153" t="str">
        <f t="shared" si="80"/>
        <v>CENTRO</v>
      </c>
      <c r="V153" t="str">
        <f>"CONCÓRDIA"</f>
        <v>CONCÓRDIA</v>
      </c>
      <c r="W153" t="str">
        <f t="shared" si="81"/>
        <v>SC</v>
      </c>
      <c r="X153" t="str">
        <f>"49"</f>
        <v>49</v>
      </c>
      <c r="Y153" t="str">
        <f>"34420815"</f>
        <v>34420815</v>
      </c>
      <c r="Z153" t="str">
        <f>""</f>
        <v/>
      </c>
      <c r="AA153" t="str">
        <f>""</f>
        <v/>
      </c>
      <c r="AB153" t="str">
        <f>""</f>
        <v/>
      </c>
      <c r="AC153" t="str">
        <f>""</f>
        <v/>
      </c>
      <c r="AD153" t="str">
        <f>""</f>
        <v/>
      </c>
      <c r="AE153" t="str">
        <f>""</f>
        <v/>
      </c>
      <c r="AF153" t="str">
        <f>""</f>
        <v/>
      </c>
      <c r="AG153" t="str">
        <f>"S"</f>
        <v>S</v>
      </c>
      <c r="AH153" t="str">
        <f>""</f>
        <v/>
      </c>
      <c r="AI153" t="str">
        <f>""</f>
        <v/>
      </c>
      <c r="AJ153" t="str">
        <f>""</f>
        <v/>
      </c>
      <c r="AK153" t="str">
        <f>""</f>
        <v/>
      </c>
      <c r="AL153" t="str">
        <f>""</f>
        <v/>
      </c>
      <c r="AM153" t="str">
        <f>""</f>
        <v/>
      </c>
      <c r="AN153" t="str">
        <f>""</f>
        <v/>
      </c>
      <c r="AO153" t="str">
        <f>""</f>
        <v/>
      </c>
      <c r="AP153" t="str">
        <f>""</f>
        <v/>
      </c>
      <c r="AQ153" t="str">
        <f t="shared" si="83"/>
        <v>N</v>
      </c>
      <c r="AR153" t="str">
        <f t="shared" si="83"/>
        <v>N</v>
      </c>
      <c r="AS153" t="str">
        <f t="shared" si="83"/>
        <v>N</v>
      </c>
      <c r="AT153" t="str">
        <f t="shared" si="83"/>
        <v>N</v>
      </c>
      <c r="AU153" t="str">
        <f t="shared" si="83"/>
        <v>N</v>
      </c>
      <c r="AV153" t="str">
        <f>""</f>
        <v/>
      </c>
      <c r="AW153" t="str">
        <f>""</f>
        <v/>
      </c>
      <c r="AX153" t="str">
        <f>""</f>
        <v/>
      </c>
      <c r="AY153" t="str">
        <f>""</f>
        <v/>
      </c>
      <c r="AZ153" t="str">
        <f>""</f>
        <v/>
      </c>
      <c r="BA153" t="str">
        <f>""</f>
        <v/>
      </c>
      <c r="BB153" t="str">
        <f>"01/07/2021 13:53:04"</f>
        <v>01/07/2021 13:53:04</v>
      </c>
      <c r="BC153" t="str">
        <f>"07/07/2022 15:22:59"</f>
        <v>07/07/2022 15:22:59</v>
      </c>
      <c r="BD153" t="str">
        <f>""</f>
        <v/>
      </c>
      <c r="BE153" t="str">
        <f>""</f>
        <v/>
      </c>
      <c r="BF153" t="str">
        <f t="shared" si="71"/>
        <v>A</v>
      </c>
      <c r="BG153" t="str">
        <f>""</f>
        <v/>
      </c>
      <c r="BH153" t="str">
        <f t="shared" si="79"/>
        <v>0,00</v>
      </c>
      <c r="BI153" t="str">
        <f t="shared" si="53"/>
        <v>EVENTUAL</v>
      </c>
      <c r="BJ153" t="str">
        <f t="shared" si="72"/>
        <v>1</v>
      </c>
      <c r="BK153" t="str">
        <f t="shared" si="73"/>
        <v>Farmacia</v>
      </c>
      <c r="BL153" t="str">
        <f>""</f>
        <v/>
      </c>
      <c r="BM153" t="str">
        <f>"VARILUX ESPECIALISTA SELECT"</f>
        <v>VARILUX ESPECIALISTA SELECT</v>
      </c>
      <c r="BN153" t="str">
        <f>"NA"</f>
        <v>NA</v>
      </c>
      <c r="BO153" t="str">
        <f>"FOCO VARILUX DIGITAL"</f>
        <v>FOCO VARILUX DIGITAL</v>
      </c>
      <c r="BP153" t="str">
        <f>""</f>
        <v/>
      </c>
      <c r="BQ153" t="str">
        <f>""</f>
        <v/>
      </c>
      <c r="BR153" t="str">
        <f>"01/07/2021"</f>
        <v>01/07/2021</v>
      </c>
      <c r="BS153" t="str">
        <f>"07/07/2022"</f>
        <v>07/07/2022</v>
      </c>
      <c r="BT153" t="str">
        <f>""</f>
        <v/>
      </c>
      <c r="BU153" t="str">
        <f>""</f>
        <v/>
      </c>
      <c r="BV153" t="str">
        <f>""</f>
        <v/>
      </c>
      <c r="BW153" t="str">
        <f>"32"</f>
        <v>32</v>
      </c>
    </row>
    <row r="154" spans="1:75" x14ac:dyDescent="0.35">
      <c r="A154">
        <v>1303</v>
      </c>
      <c r="B154" t="str">
        <f t="shared" si="65"/>
        <v>A</v>
      </c>
      <c r="C154" t="str">
        <f t="shared" si="66"/>
        <v>80</v>
      </c>
      <c r="D154" t="str">
        <f t="shared" si="67"/>
        <v>11121001</v>
      </c>
      <c r="E154" t="str">
        <f t="shared" si="68"/>
        <v>121001</v>
      </c>
      <c r="F154" t="str">
        <f t="shared" si="69"/>
        <v>JENIFER SANTOS</v>
      </c>
      <c r="G154" t="str">
        <f>"07867870000101"</f>
        <v>07867870000101</v>
      </c>
      <c r="H154" t="str">
        <f>""</f>
        <v/>
      </c>
      <c r="I154" t="str">
        <f t="shared" si="70"/>
        <v>CONTA OPTICA</v>
      </c>
      <c r="J154" t="str">
        <f>"JOALHERIA E OPTICA MALMGREN LTDA ME"</f>
        <v>JOALHERIA E OPTICA MALMGREN LTDA ME</v>
      </c>
      <c r="K154" t="str">
        <f>"JOALHERIA E OPTICA MALMGREN (1969)"</f>
        <v>JOALHERIA E OPTICA MALMGREN (1969)</v>
      </c>
      <c r="L154" t="str">
        <f>""</f>
        <v/>
      </c>
      <c r="M154" t="str">
        <f>""</f>
        <v/>
      </c>
      <c r="N154" t="str">
        <f>"joiasmalmgren@yahoo.com.br"</f>
        <v>joiasmalmgren@yahoo.com.br</v>
      </c>
      <c r="O154" t="str">
        <f>""</f>
        <v/>
      </c>
      <c r="P154" t="str">
        <f>"RUA NEREU RAMOS"</f>
        <v>RUA NEREU RAMOS</v>
      </c>
      <c r="Q154" t="str">
        <f>"65"</f>
        <v>65</v>
      </c>
      <c r="R154" t="str">
        <f>""</f>
        <v/>
      </c>
      <c r="S154" t="str">
        <f>"1280"</f>
        <v>1280</v>
      </c>
      <c r="T154" t="str">
        <f>"89278000"</f>
        <v>89278000</v>
      </c>
      <c r="U154" t="str">
        <f t="shared" si="80"/>
        <v>CENTRO</v>
      </c>
      <c r="V154" t="str">
        <f>"CORUPÁ"</f>
        <v>CORUPÁ</v>
      </c>
      <c r="W154" t="str">
        <f t="shared" si="81"/>
        <v>SC</v>
      </c>
      <c r="X154" t="str">
        <f t="shared" ref="X154:X160" si="84">"47"</f>
        <v>47</v>
      </c>
      <c r="Y154" t="str">
        <f>"33750615"</f>
        <v>33750615</v>
      </c>
      <c r="Z154" t="str">
        <f>""</f>
        <v/>
      </c>
      <c r="AA154" t="str">
        <f>""</f>
        <v/>
      </c>
      <c r="AB154" t="str">
        <f>""</f>
        <v/>
      </c>
      <c r="AC154" t="str">
        <f>""</f>
        <v/>
      </c>
      <c r="AD154" t="str">
        <f>""</f>
        <v/>
      </c>
      <c r="AE154" t="str">
        <f>""</f>
        <v/>
      </c>
      <c r="AF154" t="str">
        <f>""</f>
        <v/>
      </c>
      <c r="AG154" t="str">
        <f>""</f>
        <v/>
      </c>
      <c r="AH154" t="str">
        <f>""</f>
        <v/>
      </c>
      <c r="AI154" t="str">
        <f>""</f>
        <v/>
      </c>
      <c r="AJ154" t="str">
        <f>"0"</f>
        <v>0</v>
      </c>
      <c r="AK154" t="str">
        <f>"0"</f>
        <v>0</v>
      </c>
      <c r="AL154" t="str">
        <f>"0"</f>
        <v>0</v>
      </c>
      <c r="AM154" t="str">
        <f>""</f>
        <v/>
      </c>
      <c r="AN154" t="str">
        <f>""</f>
        <v/>
      </c>
      <c r="AO154" t="str">
        <f>""</f>
        <v/>
      </c>
      <c r="AP154" t="str">
        <f>""</f>
        <v/>
      </c>
      <c r="AQ154" t="str">
        <f>""</f>
        <v/>
      </c>
      <c r="AR154" t="str">
        <f>""</f>
        <v/>
      </c>
      <c r="AS154" t="str">
        <f>""</f>
        <v/>
      </c>
      <c r="AT154" t="str">
        <f>""</f>
        <v/>
      </c>
      <c r="AU154" t="str">
        <f>""</f>
        <v/>
      </c>
      <c r="AV154" t="str">
        <f>""</f>
        <v/>
      </c>
      <c r="AW154" t="str">
        <f>""</f>
        <v/>
      </c>
      <c r="AX154" t="str">
        <f>""</f>
        <v/>
      </c>
      <c r="AY154" t="str">
        <f>""</f>
        <v/>
      </c>
      <c r="AZ154" t="str">
        <f>""</f>
        <v/>
      </c>
      <c r="BA154" t="str">
        <f>""</f>
        <v/>
      </c>
      <c r="BB154" t="str">
        <f>"27/07/2018 09:26:14"</f>
        <v>27/07/2018 09:26:14</v>
      </c>
      <c r="BC154" t="str">
        <f>""</f>
        <v/>
      </c>
      <c r="BD154" t="str">
        <f>""</f>
        <v/>
      </c>
      <c r="BE154" t="str">
        <f>"1303"</f>
        <v>1303</v>
      </c>
      <c r="BF154" t="str">
        <f t="shared" si="71"/>
        <v>A</v>
      </c>
      <c r="BG154" t="str">
        <f>"0,00"</f>
        <v>0,00</v>
      </c>
      <c r="BH154" t="str">
        <f t="shared" si="79"/>
        <v>0,00</v>
      </c>
      <c r="BI154" t="str">
        <f t="shared" si="53"/>
        <v>EVENTUAL</v>
      </c>
      <c r="BJ154" t="str">
        <f t="shared" si="72"/>
        <v>1</v>
      </c>
      <c r="BK154" t="str">
        <f t="shared" si="73"/>
        <v>Farmacia</v>
      </c>
      <c r="BL154" t="str">
        <f>""</f>
        <v/>
      </c>
      <c r="BM154" t="str">
        <f>"VARILUX ESPECIALISTA SELECT"</f>
        <v>VARILUX ESPECIALISTA SELECT</v>
      </c>
      <c r="BN154" t="str">
        <f>"NA"</f>
        <v>NA</v>
      </c>
      <c r="BO154" t="str">
        <f>"FOCO VARILUX DIGITAL"</f>
        <v>FOCO VARILUX DIGITAL</v>
      </c>
      <c r="BP154" t="str">
        <f>""</f>
        <v/>
      </c>
      <c r="BQ154" t="str">
        <f>""</f>
        <v/>
      </c>
      <c r="BR154" t="str">
        <f>"27/07/2018"</f>
        <v>27/07/2018</v>
      </c>
      <c r="BS154" t="str">
        <f>""</f>
        <v/>
      </c>
      <c r="BT154" t="str">
        <f>""</f>
        <v/>
      </c>
      <c r="BU154" t="str">
        <f>""</f>
        <v/>
      </c>
      <c r="BV154" t="str">
        <f>"5"</f>
        <v>5</v>
      </c>
      <c r="BW154" t="str">
        <f>"Não visitado"</f>
        <v>Não visitado</v>
      </c>
    </row>
    <row r="155" spans="1:75" x14ac:dyDescent="0.35">
      <c r="A155">
        <v>157507</v>
      </c>
      <c r="B155" t="str">
        <f t="shared" si="65"/>
        <v>A</v>
      </c>
      <c r="C155" t="str">
        <f t="shared" si="66"/>
        <v>80</v>
      </c>
      <c r="D155" t="str">
        <f t="shared" si="67"/>
        <v>11121001</v>
      </c>
      <c r="E155" t="str">
        <f t="shared" si="68"/>
        <v>121001</v>
      </c>
      <c r="F155" t="str">
        <f t="shared" si="69"/>
        <v>JENIFER SANTOS</v>
      </c>
      <c r="G155" t="str">
        <f>"09169751000100"</f>
        <v>09169751000100</v>
      </c>
      <c r="H155" t="str">
        <f>"0"</f>
        <v>0</v>
      </c>
      <c r="I155" t="str">
        <f t="shared" si="70"/>
        <v>CONTA OPTICA</v>
      </c>
      <c r="J155" t="str">
        <f>"JOALHERIA E OTICA ALINE LTDA"</f>
        <v>JOALHERIA E OTICA ALINE LTDA</v>
      </c>
      <c r="K155" t="str">
        <f>"PALADIO SIMARA JOALHERIA E OTICA (1374)"</f>
        <v>PALADIO SIMARA JOALHERIA E OTICA (1374)</v>
      </c>
      <c r="L155" t="str">
        <f>""</f>
        <v/>
      </c>
      <c r="M155" t="str">
        <f>""</f>
        <v/>
      </c>
      <c r="N155" t="str">
        <f>"paladio@paladiosimara.com.br"</f>
        <v>paladio@paladiosimara.com.br</v>
      </c>
      <c r="O155" t="str">
        <f>""</f>
        <v/>
      </c>
      <c r="P155" t="str">
        <f>"RUA VINTE E OITO DE AGOSTO"</f>
        <v>RUA VINTE E OITO DE AGOSTO</v>
      </c>
      <c r="Q155" t="str">
        <f>"1455"</f>
        <v>1455</v>
      </c>
      <c r="R155" t="str">
        <f>"SALA 01"</f>
        <v>SALA 01</v>
      </c>
      <c r="S155" t="str">
        <f>"1280"</f>
        <v>1280</v>
      </c>
      <c r="T155" t="str">
        <f>"89270000"</f>
        <v>89270000</v>
      </c>
      <c r="U155" t="str">
        <f t="shared" si="80"/>
        <v>CENTRO</v>
      </c>
      <c r="V155" t="str">
        <f>"GUARAMIRIM"</f>
        <v>GUARAMIRIM</v>
      </c>
      <c r="W155" t="str">
        <f t="shared" si="81"/>
        <v>SC</v>
      </c>
      <c r="X155" t="str">
        <f t="shared" si="84"/>
        <v>47</v>
      </c>
      <c r="Y155" t="str">
        <f>"33713130"</f>
        <v>33713130</v>
      </c>
      <c r="Z155" t="str">
        <f>""</f>
        <v/>
      </c>
      <c r="AA155" t="str">
        <f>""</f>
        <v/>
      </c>
      <c r="AB155" t="str">
        <f>""</f>
        <v/>
      </c>
      <c r="AC155" t="str">
        <f>""</f>
        <v/>
      </c>
      <c r="AD155" t="str">
        <f>""</f>
        <v/>
      </c>
      <c r="AE155" t="str">
        <f>""</f>
        <v/>
      </c>
      <c r="AF155" t="str">
        <f>""</f>
        <v/>
      </c>
      <c r="AG155" t="str">
        <f>""</f>
        <v/>
      </c>
      <c r="AH155" t="str">
        <f>""</f>
        <v/>
      </c>
      <c r="AI155" t="str">
        <f>""</f>
        <v/>
      </c>
      <c r="AJ155" t="str">
        <f>""</f>
        <v/>
      </c>
      <c r="AK155" t="str">
        <f>""</f>
        <v/>
      </c>
      <c r="AL155" t="str">
        <f>""</f>
        <v/>
      </c>
      <c r="AM155" t="str">
        <f>""</f>
        <v/>
      </c>
      <c r="AN155" t="str">
        <f>""</f>
        <v/>
      </c>
      <c r="AO155" t="str">
        <f>""</f>
        <v/>
      </c>
      <c r="AP155" t="str">
        <f>""</f>
        <v/>
      </c>
      <c r="AQ155" t="str">
        <f>""</f>
        <v/>
      </c>
      <c r="AR155" t="str">
        <f>""</f>
        <v/>
      </c>
      <c r="AS155" t="str">
        <f>""</f>
        <v/>
      </c>
      <c r="AT155" t="str">
        <f>""</f>
        <v/>
      </c>
      <c r="AU155" t="str">
        <f>""</f>
        <v/>
      </c>
      <c r="AV155" t="str">
        <f>""</f>
        <v/>
      </c>
      <c r="AW155" t="str">
        <f>""</f>
        <v/>
      </c>
      <c r="AX155" t="str">
        <f>""</f>
        <v/>
      </c>
      <c r="AY155" t="str">
        <f>""</f>
        <v/>
      </c>
      <c r="AZ155" t="str">
        <f>""</f>
        <v/>
      </c>
      <c r="BA155" t="str">
        <f>""</f>
        <v/>
      </c>
      <c r="BB155" t="str">
        <f>"11/07/2023 02:14:29"</f>
        <v>11/07/2023 02:14:29</v>
      </c>
      <c r="BC155" t="str">
        <f>""</f>
        <v/>
      </c>
      <c r="BD155" t="str">
        <f>""</f>
        <v/>
      </c>
      <c r="BE155" t="str">
        <f>""</f>
        <v/>
      </c>
      <c r="BF155" t="str">
        <f t="shared" si="71"/>
        <v>A</v>
      </c>
      <c r="BG155" t="str">
        <f>""</f>
        <v/>
      </c>
      <c r="BH155" t="str">
        <f>""</f>
        <v/>
      </c>
      <c r="BI155" t="str">
        <f t="shared" si="53"/>
        <v>EVENTUAL</v>
      </c>
      <c r="BJ155" t="str">
        <f t="shared" si="72"/>
        <v>1</v>
      </c>
      <c r="BK155" t="str">
        <f t="shared" si="73"/>
        <v>Farmacia</v>
      </c>
      <c r="BL155" t="str">
        <f>""</f>
        <v/>
      </c>
      <c r="BM155" t="str">
        <f>""</f>
        <v/>
      </c>
      <c r="BN155" t="str">
        <f>""</f>
        <v/>
      </c>
      <c r="BO155" t="str">
        <f>""</f>
        <v/>
      </c>
      <c r="BP155" t="str">
        <f>""</f>
        <v/>
      </c>
      <c r="BQ155" t="str">
        <f>""</f>
        <v/>
      </c>
      <c r="BR155" t="str">
        <f>"11/07/2023"</f>
        <v>11/07/2023</v>
      </c>
      <c r="BS155" t="str">
        <f>""</f>
        <v/>
      </c>
      <c r="BT155" t="str">
        <f>""</f>
        <v/>
      </c>
      <c r="BU155" t="str">
        <f>""</f>
        <v/>
      </c>
      <c r="BV155" t="str">
        <f>""</f>
        <v/>
      </c>
      <c r="BW155" t="str">
        <f>"24"</f>
        <v>24</v>
      </c>
    </row>
    <row r="156" spans="1:75" x14ac:dyDescent="0.35">
      <c r="A156">
        <v>127575</v>
      </c>
      <c r="B156" t="str">
        <f t="shared" si="65"/>
        <v>A</v>
      </c>
      <c r="C156" t="str">
        <f t="shared" si="66"/>
        <v>80</v>
      </c>
      <c r="D156" t="str">
        <f t="shared" si="67"/>
        <v>11121001</v>
      </c>
      <c r="E156" t="str">
        <f t="shared" si="68"/>
        <v>121001</v>
      </c>
      <c r="F156" t="str">
        <f t="shared" si="69"/>
        <v>JENIFER SANTOS</v>
      </c>
      <c r="G156" t="str">
        <f>"09169751000291"</f>
        <v>09169751000291</v>
      </c>
      <c r="H156" t="str">
        <f>"0"</f>
        <v>0</v>
      </c>
      <c r="I156" t="str">
        <f t="shared" si="70"/>
        <v>CONTA OPTICA</v>
      </c>
      <c r="J156" t="str">
        <f>"JOALHERIA E OTICA ALINE LTDA ME"</f>
        <v>JOALHERIA E OTICA ALINE LTDA ME</v>
      </c>
      <c r="K156" t="str">
        <f>"PALADIO SIMARA JOALHERIA E OTICA (1432)"</f>
        <v>PALADIO SIMARA JOALHERIA E OTICA (1432)</v>
      </c>
      <c r="L156" t="str">
        <f>""</f>
        <v/>
      </c>
      <c r="M156" t="str">
        <f>""</f>
        <v/>
      </c>
      <c r="N156" t="str">
        <f>"tutela@dominioboxe.com.br"</f>
        <v>tutela@dominioboxe.com.br</v>
      </c>
      <c r="O156" t="str">
        <f>""</f>
        <v/>
      </c>
      <c r="P156" t="str">
        <f>"RUA DO PRINCIPE"</f>
        <v>RUA DO PRINCIPE</v>
      </c>
      <c r="Q156" t="str">
        <f>"429"</f>
        <v>429</v>
      </c>
      <c r="R156" t="str">
        <f>"SALA 02"</f>
        <v>SALA 02</v>
      </c>
      <c r="S156" t="str">
        <f>"1277"</f>
        <v>1277</v>
      </c>
      <c r="T156" t="str">
        <f>"89201001"</f>
        <v>89201001</v>
      </c>
      <c r="U156" t="str">
        <f t="shared" si="80"/>
        <v>CENTRO</v>
      </c>
      <c r="V156" t="str">
        <f>"JOINVILLE"</f>
        <v>JOINVILLE</v>
      </c>
      <c r="W156" t="str">
        <f t="shared" si="81"/>
        <v>SC</v>
      </c>
      <c r="X156" t="str">
        <f t="shared" si="84"/>
        <v>47</v>
      </c>
      <c r="Y156" t="str">
        <f>"32752214"</f>
        <v>32752214</v>
      </c>
      <c r="Z156" t="str">
        <f>""</f>
        <v/>
      </c>
      <c r="AA156" t="str">
        <f>""</f>
        <v/>
      </c>
      <c r="AB156" t="str">
        <f>""</f>
        <v/>
      </c>
      <c r="AC156" t="str">
        <f>""</f>
        <v/>
      </c>
      <c r="AD156" t="str">
        <f>""</f>
        <v/>
      </c>
      <c r="AE156" t="str">
        <f>""</f>
        <v/>
      </c>
      <c r="AF156" t="str">
        <f>""</f>
        <v/>
      </c>
      <c r="AG156" t="str">
        <f>""</f>
        <v/>
      </c>
      <c r="AH156" t="str">
        <f>""</f>
        <v/>
      </c>
      <c r="AI156" t="str">
        <f>""</f>
        <v/>
      </c>
      <c r="AJ156" t="str">
        <f t="shared" ref="AJ156:AL159" si="85">"0"</f>
        <v>0</v>
      </c>
      <c r="AK156" t="str">
        <f t="shared" si="85"/>
        <v>0</v>
      </c>
      <c r="AL156" t="str">
        <f t="shared" si="85"/>
        <v>0</v>
      </c>
      <c r="AM156" t="str">
        <f>""</f>
        <v/>
      </c>
      <c r="AN156" t="str">
        <f>""</f>
        <v/>
      </c>
      <c r="AO156" t="str">
        <f>""</f>
        <v/>
      </c>
      <c r="AP156" t="str">
        <f>""</f>
        <v/>
      </c>
      <c r="AQ156" t="str">
        <f>""</f>
        <v/>
      </c>
      <c r="AR156" t="str">
        <f>""</f>
        <v/>
      </c>
      <c r="AS156" t="str">
        <f>""</f>
        <v/>
      </c>
      <c r="AT156" t="str">
        <f>""</f>
        <v/>
      </c>
      <c r="AU156" t="str">
        <f>""</f>
        <v/>
      </c>
      <c r="AV156" t="str">
        <f>""</f>
        <v/>
      </c>
      <c r="AW156" t="str">
        <f>""</f>
        <v/>
      </c>
      <c r="AX156" t="str">
        <f>""</f>
        <v/>
      </c>
      <c r="AY156" t="str">
        <f>""</f>
        <v/>
      </c>
      <c r="AZ156" t="str">
        <f>""</f>
        <v/>
      </c>
      <c r="BA156" t="str">
        <f>""</f>
        <v/>
      </c>
      <c r="BB156" t="str">
        <f>"07/10/2020 09:08:38"</f>
        <v>07/10/2020 09:08:38</v>
      </c>
      <c r="BC156" t="str">
        <f>""</f>
        <v/>
      </c>
      <c r="BD156" t="str">
        <f>""</f>
        <v/>
      </c>
      <c r="BE156" t="str">
        <f>""</f>
        <v/>
      </c>
      <c r="BF156" t="str">
        <f t="shared" si="71"/>
        <v>A</v>
      </c>
      <c r="BG156" t="str">
        <f t="shared" ref="BG156:BH159" si="86">"0,00"</f>
        <v>0,00</v>
      </c>
      <c r="BH156" t="str">
        <f t="shared" si="86"/>
        <v>0,00</v>
      </c>
      <c r="BI156" t="str">
        <f t="shared" si="53"/>
        <v>EVENTUAL</v>
      </c>
      <c r="BJ156" t="str">
        <f t="shared" si="72"/>
        <v>1</v>
      </c>
      <c r="BK156" t="str">
        <f t="shared" si="73"/>
        <v>Farmacia</v>
      </c>
      <c r="BL156" t="str">
        <f>""</f>
        <v/>
      </c>
      <c r="BM156" t="str">
        <f>"NÃO É VARILUX ESPECIALISTA"</f>
        <v>NÃO É VARILUX ESPECIALISTA</v>
      </c>
      <c r="BN156" t="str">
        <f>"NA"</f>
        <v>NA</v>
      </c>
      <c r="BO156" t="str">
        <f>"FOCO VARILUX DIGITAL"</f>
        <v>FOCO VARILUX DIGITAL</v>
      </c>
      <c r="BP156" t="str">
        <f>""</f>
        <v/>
      </c>
      <c r="BQ156" t="str">
        <f>""</f>
        <v/>
      </c>
      <c r="BR156" t="str">
        <f>"07/10/2020"</f>
        <v>07/10/2020</v>
      </c>
      <c r="BS156" t="str">
        <f>""</f>
        <v/>
      </c>
      <c r="BT156" t="str">
        <f>""</f>
        <v/>
      </c>
      <c r="BU156" t="str">
        <f>""</f>
        <v/>
      </c>
      <c r="BV156" t="str">
        <f>"9"</f>
        <v>9</v>
      </c>
      <c r="BW156" t="str">
        <f>"24"</f>
        <v>24</v>
      </c>
    </row>
    <row r="157" spans="1:75" x14ac:dyDescent="0.35">
      <c r="A157">
        <v>144496</v>
      </c>
      <c r="B157" t="str">
        <f t="shared" si="65"/>
        <v>A</v>
      </c>
      <c r="C157" t="str">
        <f t="shared" si="66"/>
        <v>80</v>
      </c>
      <c r="D157" t="str">
        <f t="shared" si="67"/>
        <v>11121001</v>
      </c>
      <c r="E157" t="str">
        <f t="shared" si="68"/>
        <v>121001</v>
      </c>
      <c r="F157" t="str">
        <f t="shared" si="69"/>
        <v>JENIFER SANTOS</v>
      </c>
      <c r="G157" t="str">
        <f>"86131323000130"</f>
        <v>86131323000130</v>
      </c>
      <c r="H157" t="str">
        <f>""</f>
        <v/>
      </c>
      <c r="I157" t="str">
        <f t="shared" si="70"/>
        <v>CONTA OPTICA</v>
      </c>
      <c r="J157" t="str">
        <f>"JOALHERIA E OTICA BIZ LTDA ME"</f>
        <v>JOALHERIA E OTICA BIZ LTDA ME</v>
      </c>
      <c r="K157" t="str">
        <f>"JOALHERIA E OTICA BIZ LTDA ME (492)"</f>
        <v>JOALHERIA E OTICA BIZ LTDA ME (492)</v>
      </c>
      <c r="L157" t="str">
        <f>""</f>
        <v/>
      </c>
      <c r="M157" t="str">
        <f>""</f>
        <v/>
      </c>
      <c r="N157" t="str">
        <f>"anbrebiz@terra.com.br"</f>
        <v>anbrebiz@terra.com.br</v>
      </c>
      <c r="O157" t="str">
        <f>""</f>
        <v/>
      </c>
      <c r="P157" t="str">
        <f>"RUA DOUTOR LAURO MUELLER"</f>
        <v>RUA DOUTOR LAURO MUELLER</v>
      </c>
      <c r="Q157" t="str">
        <f>"39"</f>
        <v>39</v>
      </c>
      <c r="R157" t="str">
        <f>""</f>
        <v/>
      </c>
      <c r="S157" t="str">
        <f>"1280"</f>
        <v>1280</v>
      </c>
      <c r="T157" t="str">
        <f>"89240000"</f>
        <v>89240000</v>
      </c>
      <c r="U157" t="str">
        <f>"NAO INFORMADO"</f>
        <v>NAO INFORMADO</v>
      </c>
      <c r="V157" t="str">
        <f>"SÃO FRANCISCO DO SUL"</f>
        <v>SÃO FRANCISCO DO SUL</v>
      </c>
      <c r="W157" t="str">
        <f t="shared" si="81"/>
        <v>SC</v>
      </c>
      <c r="X157" t="str">
        <f t="shared" si="84"/>
        <v>47</v>
      </c>
      <c r="Y157" t="str">
        <f>"34441191"</f>
        <v>34441191</v>
      </c>
      <c r="Z157" t="str">
        <f>""</f>
        <v/>
      </c>
      <c r="AA157" t="str">
        <f>""</f>
        <v/>
      </c>
      <c r="AB157" t="str">
        <f>""</f>
        <v/>
      </c>
      <c r="AC157" t="str">
        <f>""</f>
        <v/>
      </c>
      <c r="AD157" t="str">
        <f>""</f>
        <v/>
      </c>
      <c r="AE157" t="str">
        <f>""</f>
        <v/>
      </c>
      <c r="AF157" t="str">
        <f>""</f>
        <v/>
      </c>
      <c r="AG157" t="str">
        <f>""</f>
        <v/>
      </c>
      <c r="AH157" t="str">
        <f>""</f>
        <v/>
      </c>
      <c r="AI157" t="str">
        <f>""</f>
        <v/>
      </c>
      <c r="AJ157" t="str">
        <f t="shared" si="85"/>
        <v>0</v>
      </c>
      <c r="AK157" t="str">
        <f t="shared" si="85"/>
        <v>0</v>
      </c>
      <c r="AL157" t="str">
        <f t="shared" si="85"/>
        <v>0</v>
      </c>
      <c r="AM157" t="str">
        <f>""</f>
        <v/>
      </c>
      <c r="AN157" t="str">
        <f>""</f>
        <v/>
      </c>
      <c r="AO157" t="str">
        <f>""</f>
        <v/>
      </c>
      <c r="AP157" t="str">
        <f>""</f>
        <v/>
      </c>
      <c r="AQ157" t="str">
        <f>""</f>
        <v/>
      </c>
      <c r="AR157" t="str">
        <f>""</f>
        <v/>
      </c>
      <c r="AS157" t="str">
        <f>""</f>
        <v/>
      </c>
      <c r="AT157" t="str">
        <f>""</f>
        <v/>
      </c>
      <c r="AU157" t="str">
        <f>""</f>
        <v/>
      </c>
      <c r="AV157" t="str">
        <f>""</f>
        <v/>
      </c>
      <c r="AW157" t="str">
        <f>""</f>
        <v/>
      </c>
      <c r="AX157" t="str">
        <f>""</f>
        <v/>
      </c>
      <c r="AY157" t="str">
        <f>""</f>
        <v/>
      </c>
      <c r="AZ157" t="str">
        <f>""</f>
        <v/>
      </c>
      <c r="BA157" t="str">
        <f>""</f>
        <v/>
      </c>
      <c r="BB157" t="str">
        <f>""</f>
        <v/>
      </c>
      <c r="BC157" t="str">
        <f>""</f>
        <v/>
      </c>
      <c r="BD157" t="str">
        <f>""</f>
        <v/>
      </c>
      <c r="BE157" t="str">
        <f>""</f>
        <v/>
      </c>
      <c r="BF157" t="str">
        <f t="shared" si="71"/>
        <v>A</v>
      </c>
      <c r="BG157" t="str">
        <f t="shared" si="86"/>
        <v>0,00</v>
      </c>
      <c r="BH157" t="str">
        <f t="shared" si="86"/>
        <v>0,00</v>
      </c>
      <c r="BI157" t="str">
        <f t="shared" si="53"/>
        <v>EVENTUAL</v>
      </c>
      <c r="BJ157" t="str">
        <f t="shared" si="72"/>
        <v>1</v>
      </c>
      <c r="BK157" t="str">
        <f t="shared" si="73"/>
        <v>Farmacia</v>
      </c>
      <c r="BL157" t="str">
        <f>""</f>
        <v/>
      </c>
      <c r="BM157" t="str">
        <f>"NÃO É VARILUX ESPECIALISTA"</f>
        <v>NÃO É VARILUX ESPECIALISTA</v>
      </c>
      <c r="BN157" t="str">
        <f>"EL360"</f>
        <v>EL360</v>
      </c>
      <c r="BO157" t="str">
        <f>"FOCO KODAK 2"</f>
        <v>FOCO KODAK 2</v>
      </c>
      <c r="BP157" t="str">
        <f>""</f>
        <v/>
      </c>
      <c r="BQ157" t="str">
        <f>""</f>
        <v/>
      </c>
      <c r="BR157" t="str">
        <f>""</f>
        <v/>
      </c>
      <c r="BS157" t="str">
        <f>""</f>
        <v/>
      </c>
      <c r="BT157" t="str">
        <f>""</f>
        <v/>
      </c>
      <c r="BU157" t="str">
        <f>""</f>
        <v/>
      </c>
      <c r="BV157" t="str">
        <f>"6"</f>
        <v>6</v>
      </c>
      <c r="BW157" t="str">
        <f>"10"</f>
        <v>10</v>
      </c>
    </row>
    <row r="158" spans="1:75" x14ac:dyDescent="0.35">
      <c r="A158">
        <v>144487</v>
      </c>
      <c r="B158" t="str">
        <f t="shared" si="65"/>
        <v>A</v>
      </c>
      <c r="C158" t="str">
        <f t="shared" si="66"/>
        <v>80</v>
      </c>
      <c r="D158" t="str">
        <f t="shared" si="67"/>
        <v>11121001</v>
      </c>
      <c r="E158" t="str">
        <f t="shared" si="68"/>
        <v>121001</v>
      </c>
      <c r="F158" t="str">
        <f t="shared" si="69"/>
        <v>JENIFER SANTOS</v>
      </c>
      <c r="G158" t="str">
        <f>"73352429000111"</f>
        <v>73352429000111</v>
      </c>
      <c r="H158" t="str">
        <f>""</f>
        <v/>
      </c>
      <c r="I158" t="str">
        <f t="shared" si="70"/>
        <v>CONTA OPTICA</v>
      </c>
      <c r="J158" t="str">
        <f>"JOALHERIA E OTICA BRILIANCY LTDA ME"</f>
        <v>JOALHERIA E OTICA BRILIANCY LTDA ME</v>
      </c>
      <c r="K158" t="str">
        <f>"BRILIANCY - MATRIZ (1122)"</f>
        <v>BRILIANCY - MATRIZ (1122)</v>
      </c>
      <c r="L158" t="str">
        <f>""</f>
        <v/>
      </c>
      <c r="M158" t="str">
        <f>""</f>
        <v/>
      </c>
      <c r="N158" t="str">
        <f>"briliancyjoias@yahoo.com.br"</f>
        <v>briliancyjoias@yahoo.com.br</v>
      </c>
      <c r="O158" t="str">
        <f>""</f>
        <v/>
      </c>
      <c r="P158" t="str">
        <f>"RUA 28 DE AGOSTO"</f>
        <v>RUA 28 DE AGOSTO</v>
      </c>
      <c r="Q158" t="str">
        <f>"1369"</f>
        <v>1369</v>
      </c>
      <c r="R158" t="str">
        <f>"SALA 02"</f>
        <v>SALA 02</v>
      </c>
      <c r="S158" t="str">
        <f>"1280"</f>
        <v>1280</v>
      </c>
      <c r="T158" t="str">
        <f>"89270000"</f>
        <v>89270000</v>
      </c>
      <c r="U158" t="str">
        <f>"CENTRO"</f>
        <v>CENTRO</v>
      </c>
      <c r="V158" t="str">
        <f>"GUARAMIRIM"</f>
        <v>GUARAMIRIM</v>
      </c>
      <c r="W158" t="str">
        <f t="shared" si="81"/>
        <v>SC</v>
      </c>
      <c r="X158" t="str">
        <f t="shared" si="84"/>
        <v>47</v>
      </c>
      <c r="Y158" t="str">
        <f>"33731519"</f>
        <v>33731519</v>
      </c>
      <c r="Z158" t="str">
        <f>""</f>
        <v/>
      </c>
      <c r="AA158" t="str">
        <f>""</f>
        <v/>
      </c>
      <c r="AB158" t="str">
        <f>""</f>
        <v/>
      </c>
      <c r="AC158" t="str">
        <f>""</f>
        <v/>
      </c>
      <c r="AD158" t="str">
        <f>""</f>
        <v/>
      </c>
      <c r="AE158" t="str">
        <f>""</f>
        <v/>
      </c>
      <c r="AF158" t="str">
        <f>""</f>
        <v/>
      </c>
      <c r="AG158" t="str">
        <f>""</f>
        <v/>
      </c>
      <c r="AH158" t="str">
        <f>""</f>
        <v/>
      </c>
      <c r="AI158" t="str">
        <f>""</f>
        <v/>
      </c>
      <c r="AJ158" t="str">
        <f t="shared" si="85"/>
        <v>0</v>
      </c>
      <c r="AK158" t="str">
        <f t="shared" si="85"/>
        <v>0</v>
      </c>
      <c r="AL158" t="str">
        <f t="shared" si="85"/>
        <v>0</v>
      </c>
      <c r="AM158" t="str">
        <f>""</f>
        <v/>
      </c>
      <c r="AN158" t="str">
        <f>""</f>
        <v/>
      </c>
      <c r="AO158" t="str">
        <f>""</f>
        <v/>
      </c>
      <c r="AP158" t="str">
        <f>""</f>
        <v/>
      </c>
      <c r="AQ158" t="str">
        <f>""</f>
        <v/>
      </c>
      <c r="AR158" t="str">
        <f>""</f>
        <v/>
      </c>
      <c r="AS158" t="str">
        <f>""</f>
        <v/>
      </c>
      <c r="AT158" t="str">
        <f>""</f>
        <v/>
      </c>
      <c r="AU158" t="str">
        <f>""</f>
        <v/>
      </c>
      <c r="AV158" t="str">
        <f>""</f>
        <v/>
      </c>
      <c r="AW158" t="str">
        <f>""</f>
        <v/>
      </c>
      <c r="AX158" t="str">
        <f>""</f>
        <v/>
      </c>
      <c r="AY158" t="str">
        <f>""</f>
        <v/>
      </c>
      <c r="AZ158" t="str">
        <f>""</f>
        <v/>
      </c>
      <c r="BA158" t="str">
        <f>""</f>
        <v/>
      </c>
      <c r="BB158" t="str">
        <f>""</f>
        <v/>
      </c>
      <c r="BC158" t="str">
        <f>""</f>
        <v/>
      </c>
      <c r="BD158" t="str">
        <f>""</f>
        <v/>
      </c>
      <c r="BE158" t="str">
        <f>""</f>
        <v/>
      </c>
      <c r="BF158" t="str">
        <f t="shared" si="71"/>
        <v>A</v>
      </c>
      <c r="BG158" t="str">
        <f t="shared" si="86"/>
        <v>0,00</v>
      </c>
      <c r="BH158" t="str">
        <f t="shared" si="86"/>
        <v>0,00</v>
      </c>
      <c r="BI158" t="str">
        <f t="shared" ref="BI158:BI221" si="87">"EVENTUAL"</f>
        <v>EVENTUAL</v>
      </c>
      <c r="BJ158" t="str">
        <f t="shared" si="72"/>
        <v>1</v>
      </c>
      <c r="BK158" t="str">
        <f t="shared" si="73"/>
        <v>Farmacia</v>
      </c>
      <c r="BL158" t="str">
        <f>""</f>
        <v/>
      </c>
      <c r="BM158" t="str">
        <f>"NÃO É VARILUX ESPECIALISTA"</f>
        <v>NÃO É VARILUX ESPECIALISTA</v>
      </c>
      <c r="BN158" t="str">
        <f t="shared" ref="BN158:BN165" si="88">"NA"</f>
        <v>NA</v>
      </c>
      <c r="BO158" t="str">
        <f>"OUTROS"</f>
        <v>OUTROS</v>
      </c>
      <c r="BP158" t="str">
        <f>""</f>
        <v/>
      </c>
      <c r="BQ158" t="str">
        <f>""</f>
        <v/>
      </c>
      <c r="BR158" t="str">
        <f>""</f>
        <v/>
      </c>
      <c r="BS158" t="str">
        <f>""</f>
        <v/>
      </c>
      <c r="BT158" t="str">
        <f>""</f>
        <v/>
      </c>
      <c r="BU158" t="str">
        <f>""</f>
        <v/>
      </c>
      <c r="BV158" t="str">
        <f>"6"</f>
        <v>6</v>
      </c>
      <c r="BW158" t="str">
        <f>"Não visitado"</f>
        <v>Não visitado</v>
      </c>
    </row>
    <row r="159" spans="1:75" x14ac:dyDescent="0.35">
      <c r="A159">
        <v>118737</v>
      </c>
      <c r="B159" t="str">
        <f t="shared" si="65"/>
        <v>A</v>
      </c>
      <c r="C159" t="str">
        <f t="shared" si="66"/>
        <v>80</v>
      </c>
      <c r="D159" t="str">
        <f t="shared" si="67"/>
        <v>11121001</v>
      </c>
      <c r="E159" t="str">
        <f t="shared" si="68"/>
        <v>121001</v>
      </c>
      <c r="F159" t="str">
        <f t="shared" si="69"/>
        <v>JENIFER SANTOS</v>
      </c>
      <c r="G159" t="str">
        <f>"01540052000113"</f>
        <v>01540052000113</v>
      </c>
      <c r="H159" t="str">
        <f>""</f>
        <v/>
      </c>
      <c r="I159" t="str">
        <f t="shared" si="70"/>
        <v>CONTA OPTICA</v>
      </c>
      <c r="J159" t="str">
        <f>"JOALHERIA E OTICA CAIO LTDA ME"</f>
        <v>JOALHERIA E OTICA CAIO LTDA ME</v>
      </c>
      <c r="K159" t="str">
        <f>"JOALHERIA E OTICA CAIO LTDA ME (995)"</f>
        <v>JOALHERIA E OTICA CAIO LTDA ME (995)</v>
      </c>
      <c r="L159" t="str">
        <f>""</f>
        <v/>
      </c>
      <c r="M159" t="str">
        <f>""</f>
        <v/>
      </c>
      <c r="N159" t="str">
        <f>"caiofernando44@gmail.com"</f>
        <v>caiofernando44@gmail.com</v>
      </c>
      <c r="O159" t="str">
        <f>""</f>
        <v/>
      </c>
      <c r="P159" t="str">
        <f>"RUA MARECHAL CASTELO BRANCO"</f>
        <v>RUA MARECHAL CASTELO BRANCO</v>
      </c>
      <c r="Q159" t="str">
        <f>"3246"</f>
        <v>3246</v>
      </c>
      <c r="R159" t="str">
        <f>"SALA 06"</f>
        <v>SALA 06</v>
      </c>
      <c r="S159" t="str">
        <f>"1280"</f>
        <v>1280</v>
      </c>
      <c r="T159" t="str">
        <f>"89275000"</f>
        <v>89275000</v>
      </c>
      <c r="U159" t="str">
        <f>"CENTRO"</f>
        <v>CENTRO</v>
      </c>
      <c r="V159" t="str">
        <f>"SCHROEDER"</f>
        <v>SCHROEDER</v>
      </c>
      <c r="W159" t="str">
        <f t="shared" si="81"/>
        <v>SC</v>
      </c>
      <c r="X159" t="str">
        <f t="shared" si="84"/>
        <v>47</v>
      </c>
      <c r="Y159" t="str">
        <f>"33741711"</f>
        <v>33741711</v>
      </c>
      <c r="Z159" t="str">
        <f>""</f>
        <v/>
      </c>
      <c r="AA159" t="str">
        <f>""</f>
        <v/>
      </c>
      <c r="AB159" t="str">
        <f>""</f>
        <v/>
      </c>
      <c r="AC159" t="str">
        <f>""</f>
        <v/>
      </c>
      <c r="AD159" t="str">
        <f>""</f>
        <v/>
      </c>
      <c r="AE159" t="str">
        <f>""</f>
        <v/>
      </c>
      <c r="AF159" t="str">
        <f>""</f>
        <v/>
      </c>
      <c r="AG159" t="str">
        <f>""</f>
        <v/>
      </c>
      <c r="AH159" t="str">
        <f>""</f>
        <v/>
      </c>
      <c r="AI159" t="str">
        <f>""</f>
        <v/>
      </c>
      <c r="AJ159" t="str">
        <f t="shared" si="85"/>
        <v>0</v>
      </c>
      <c r="AK159" t="str">
        <f t="shared" si="85"/>
        <v>0</v>
      </c>
      <c r="AL159" t="str">
        <f t="shared" si="85"/>
        <v>0</v>
      </c>
      <c r="AM159" t="str">
        <f>""</f>
        <v/>
      </c>
      <c r="AN159" t="str">
        <f>""</f>
        <v/>
      </c>
      <c r="AO159" t="str">
        <f>""</f>
        <v/>
      </c>
      <c r="AP159" t="str">
        <f>""</f>
        <v/>
      </c>
      <c r="AQ159" t="str">
        <f>""</f>
        <v/>
      </c>
      <c r="AR159" t="str">
        <f>""</f>
        <v/>
      </c>
      <c r="AS159" t="str">
        <f>""</f>
        <v/>
      </c>
      <c r="AT159" t="str">
        <f>""</f>
        <v/>
      </c>
      <c r="AU159" t="str">
        <f>""</f>
        <v/>
      </c>
      <c r="AV159" t="str">
        <f>""</f>
        <v/>
      </c>
      <c r="AW159" t="str">
        <f>""</f>
        <v/>
      </c>
      <c r="AX159" t="str">
        <f>""</f>
        <v/>
      </c>
      <c r="AY159" t="str">
        <f>""</f>
        <v/>
      </c>
      <c r="AZ159" t="str">
        <f>""</f>
        <v/>
      </c>
      <c r="BA159" t="str">
        <f>""</f>
        <v/>
      </c>
      <c r="BB159" t="str">
        <f>""</f>
        <v/>
      </c>
      <c r="BC159" t="str">
        <f>""</f>
        <v/>
      </c>
      <c r="BD159" t="str">
        <f>""</f>
        <v/>
      </c>
      <c r="BE159" t="str">
        <f>""</f>
        <v/>
      </c>
      <c r="BF159" t="str">
        <f t="shared" si="71"/>
        <v>A</v>
      </c>
      <c r="BG159" t="str">
        <f t="shared" si="86"/>
        <v>0,00</v>
      </c>
      <c r="BH159" t="str">
        <f t="shared" si="86"/>
        <v>0,00</v>
      </c>
      <c r="BI159" t="str">
        <f t="shared" si="87"/>
        <v>EVENTUAL</v>
      </c>
      <c r="BJ159" t="str">
        <f t="shared" si="72"/>
        <v>1</v>
      </c>
      <c r="BK159" t="str">
        <f t="shared" si="73"/>
        <v>Farmacia</v>
      </c>
      <c r="BL159" t="str">
        <f>""</f>
        <v/>
      </c>
      <c r="BM159" t="str">
        <f>"NÃO É VARILUX ESPECIALISTA"</f>
        <v>NÃO É VARILUX ESPECIALISTA</v>
      </c>
      <c r="BN159" t="str">
        <f t="shared" si="88"/>
        <v>NA</v>
      </c>
      <c r="BO159" t="str">
        <f>"OUTROS"</f>
        <v>OUTROS</v>
      </c>
      <c r="BP159" t="str">
        <f>""</f>
        <v/>
      </c>
      <c r="BQ159" t="str">
        <f>""</f>
        <v/>
      </c>
      <c r="BR159" t="str">
        <f>""</f>
        <v/>
      </c>
      <c r="BS159" t="str">
        <f>""</f>
        <v/>
      </c>
      <c r="BT159" t="str">
        <f>""</f>
        <v/>
      </c>
      <c r="BU159" t="str">
        <f>""</f>
        <v/>
      </c>
      <c r="BV159" t="str">
        <f>"9"</f>
        <v>9</v>
      </c>
      <c r="BW159" t="str">
        <f>"Não visitado"</f>
        <v>Não visitado</v>
      </c>
    </row>
    <row r="160" spans="1:75" x14ac:dyDescent="0.35">
      <c r="A160">
        <v>144741</v>
      </c>
      <c r="B160" t="str">
        <f t="shared" si="65"/>
        <v>A</v>
      </c>
      <c r="C160" t="str">
        <f t="shared" si="66"/>
        <v>80</v>
      </c>
      <c r="D160" t="str">
        <f t="shared" si="67"/>
        <v>11121001</v>
      </c>
      <c r="E160" t="str">
        <f t="shared" si="68"/>
        <v>121001</v>
      </c>
      <c r="F160" t="str">
        <f t="shared" si="69"/>
        <v>JENIFER SANTOS</v>
      </c>
      <c r="G160" t="str">
        <f>"17115241000189"</f>
        <v>17115241000189</v>
      </c>
      <c r="H160" t="str">
        <f>""</f>
        <v/>
      </c>
      <c r="I160" t="str">
        <f t="shared" si="70"/>
        <v>CONTA OPTICA</v>
      </c>
      <c r="J160" t="str">
        <f>"JOALHERIA E OTICA DAIMAR LTDA ME"</f>
        <v>JOALHERIA E OTICA DAIMAR LTDA ME</v>
      </c>
      <c r="K160" t="str">
        <f>"PALADIO SIMARA JOALHERIA E OTICA (1954)"</f>
        <v>PALADIO SIMARA JOALHERIA E OTICA (1954)</v>
      </c>
      <c r="L160" t="str">
        <f>""</f>
        <v/>
      </c>
      <c r="M160" t="str">
        <f>""</f>
        <v/>
      </c>
      <c r="N160" t="str">
        <f>"tutela@dominioboxe.com.br"</f>
        <v>tutela@dominioboxe.com.br</v>
      </c>
      <c r="O160" t="str">
        <f>""</f>
        <v/>
      </c>
      <c r="P160" t="str">
        <f>"AVENIDA GETULIO VARGAS"</f>
        <v>AVENIDA GETULIO VARGAS</v>
      </c>
      <c r="Q160" t="str">
        <f>"268"</f>
        <v>268</v>
      </c>
      <c r="R160" t="str">
        <f>"LOJA 112"</f>
        <v>LOJA 112</v>
      </c>
      <c r="S160" t="str">
        <f>"1280"</f>
        <v>1280</v>
      </c>
      <c r="T160" t="str">
        <f>"89251000"</f>
        <v>89251000</v>
      </c>
      <c r="U160" t="str">
        <f>"CENTRO"</f>
        <v>CENTRO</v>
      </c>
      <c r="V160" t="str">
        <f>"JARAGUA DO SUL"</f>
        <v>JARAGUA DO SUL</v>
      </c>
      <c r="W160" t="str">
        <f t="shared" si="81"/>
        <v>SC</v>
      </c>
      <c r="X160" t="str">
        <f t="shared" si="84"/>
        <v>47</v>
      </c>
      <c r="Y160" t="str">
        <f>"33701969"</f>
        <v>33701969</v>
      </c>
      <c r="Z160" t="str">
        <f>""</f>
        <v/>
      </c>
      <c r="AA160" t="str">
        <f>""</f>
        <v/>
      </c>
      <c r="AB160" t="str">
        <f>""</f>
        <v/>
      </c>
      <c r="AC160" t="str">
        <f>""</f>
        <v/>
      </c>
      <c r="AD160" t="str">
        <f>""</f>
        <v/>
      </c>
      <c r="AE160" t="str">
        <f>""</f>
        <v/>
      </c>
      <c r="AF160" t="str">
        <f>""</f>
        <v/>
      </c>
      <c r="AG160" t="str">
        <f>""</f>
        <v/>
      </c>
      <c r="AH160" t="str">
        <f>""</f>
        <v/>
      </c>
      <c r="AI160" t="str">
        <f>""</f>
        <v/>
      </c>
      <c r="AJ160" t="str">
        <f>""</f>
        <v/>
      </c>
      <c r="AK160" t="str">
        <f>""</f>
        <v/>
      </c>
      <c r="AL160" t="str">
        <f>""</f>
        <v/>
      </c>
      <c r="AM160" t="str">
        <f>""</f>
        <v/>
      </c>
      <c r="AN160" t="str">
        <f>""</f>
        <v/>
      </c>
      <c r="AO160" t="str">
        <f>""</f>
        <v/>
      </c>
      <c r="AP160" t="str">
        <f>""</f>
        <v/>
      </c>
      <c r="AQ160" t="str">
        <f>""</f>
        <v/>
      </c>
      <c r="AR160" t="str">
        <f>""</f>
        <v/>
      </c>
      <c r="AS160" t="str">
        <f>""</f>
        <v/>
      </c>
      <c r="AT160" t="str">
        <f>""</f>
        <v/>
      </c>
      <c r="AU160" t="str">
        <f>""</f>
        <v/>
      </c>
      <c r="AV160" t="str">
        <f>""</f>
        <v/>
      </c>
      <c r="AW160" t="str">
        <f>""</f>
        <v/>
      </c>
      <c r="AX160" t="str">
        <f>""</f>
        <v/>
      </c>
      <c r="AY160" t="str">
        <f>""</f>
        <v/>
      </c>
      <c r="AZ160" t="str">
        <f>""</f>
        <v/>
      </c>
      <c r="BA160" t="str">
        <f>""</f>
        <v/>
      </c>
      <c r="BB160" t="str">
        <f>""</f>
        <v/>
      </c>
      <c r="BC160" t="str">
        <f>""</f>
        <v/>
      </c>
      <c r="BD160" t="str">
        <f>""</f>
        <v/>
      </c>
      <c r="BE160" t="str">
        <f>""</f>
        <v/>
      </c>
      <c r="BF160" t="str">
        <f t="shared" si="71"/>
        <v>A</v>
      </c>
      <c r="BG160" t="str">
        <f>""</f>
        <v/>
      </c>
      <c r="BH160" t="str">
        <f>""</f>
        <v/>
      </c>
      <c r="BI160" t="str">
        <f t="shared" si="87"/>
        <v>EVENTUAL</v>
      </c>
      <c r="BJ160" t="str">
        <f t="shared" si="72"/>
        <v>1</v>
      </c>
      <c r="BK160" t="str">
        <f t="shared" si="73"/>
        <v>Farmacia</v>
      </c>
      <c r="BL160" t="str">
        <f>""</f>
        <v/>
      </c>
      <c r="BM160" t="str">
        <f>"VARILUX ESPECIALISTA SELECT"</f>
        <v>VARILUX ESPECIALISTA SELECT</v>
      </c>
      <c r="BN160" t="str">
        <f t="shared" si="88"/>
        <v>NA</v>
      </c>
      <c r="BO160" t="str">
        <f>"FOCO VARILUX DIGITAL"</f>
        <v>FOCO VARILUX DIGITAL</v>
      </c>
      <c r="BP160" t="str">
        <f>""</f>
        <v/>
      </c>
      <c r="BQ160" t="str">
        <f>""</f>
        <v/>
      </c>
      <c r="BR160" t="str">
        <f>""</f>
        <v/>
      </c>
      <c r="BS160" t="str">
        <f>""</f>
        <v/>
      </c>
      <c r="BT160" t="str">
        <f>""</f>
        <v/>
      </c>
      <c r="BU160" t="str">
        <f>""</f>
        <v/>
      </c>
      <c r="BV160" t="str">
        <f>"1"</f>
        <v>1</v>
      </c>
      <c r="BW160" t="str">
        <f>"24"</f>
        <v>24</v>
      </c>
    </row>
    <row r="161" spans="1:75" x14ac:dyDescent="0.35">
      <c r="A161">
        <v>138078</v>
      </c>
      <c r="B161" t="str">
        <f t="shared" si="65"/>
        <v>A</v>
      </c>
      <c r="C161" t="str">
        <f t="shared" si="66"/>
        <v>80</v>
      </c>
      <c r="D161" t="str">
        <f t="shared" si="67"/>
        <v>11121001</v>
      </c>
      <c r="E161" t="str">
        <f t="shared" si="68"/>
        <v>121001</v>
      </c>
      <c r="F161" t="str">
        <f t="shared" si="69"/>
        <v>JENIFER SANTOS</v>
      </c>
      <c r="G161" t="str">
        <f>"83233254000187"</f>
        <v>83233254000187</v>
      </c>
      <c r="H161" t="str">
        <f>"0"</f>
        <v>0</v>
      </c>
      <c r="I161" t="str">
        <f t="shared" si="70"/>
        <v>CONTA OPTICA</v>
      </c>
      <c r="J161" t="str">
        <f>"JOALHERIA E OTICA DOM BOSCO LTDA"</f>
        <v>JOALHERIA E OTICA DOM BOSCO LTDA</v>
      </c>
      <c r="K161" t="str">
        <f>"OTICA DOM BOSCO (157)"</f>
        <v>OTICA DOM BOSCO (157)</v>
      </c>
      <c r="L161" t="str">
        <f>""</f>
        <v/>
      </c>
      <c r="M161" t="str">
        <f>""</f>
        <v/>
      </c>
      <c r="N161" t="str">
        <f>"joalhedombosco@joalhedombosco.com.br"</f>
        <v>joalhedombosco@joalhedombosco.com.br</v>
      </c>
      <c r="O161" t="str">
        <f>""</f>
        <v/>
      </c>
      <c r="P161" t="str">
        <f>"RUA GETULIO DORNELES VARGAS"</f>
        <v>RUA GETULIO DORNELES VARGAS</v>
      </c>
      <c r="Q161" t="str">
        <f>"461"</f>
        <v>461</v>
      </c>
      <c r="R161" t="str">
        <f>"N"</f>
        <v>N</v>
      </c>
      <c r="S161" t="str">
        <f>"1287"</f>
        <v>1287</v>
      </c>
      <c r="T161" t="str">
        <f>"89802000"</f>
        <v>89802000</v>
      </c>
      <c r="U161" t="str">
        <f>"CENTRO"</f>
        <v>CENTRO</v>
      </c>
      <c r="V161" t="str">
        <f>"CHAPECÓ"</f>
        <v>CHAPECÓ</v>
      </c>
      <c r="W161" t="str">
        <f t="shared" si="81"/>
        <v>SC</v>
      </c>
      <c r="X161" t="str">
        <f>"49"</f>
        <v>49</v>
      </c>
      <c r="Y161" t="str">
        <f>"33237658"</f>
        <v>33237658</v>
      </c>
      <c r="Z161" t="str">
        <f>""</f>
        <v/>
      </c>
      <c r="AA161" t="str">
        <f>""</f>
        <v/>
      </c>
      <c r="AB161" t="str">
        <f>""</f>
        <v/>
      </c>
      <c r="AC161" t="str">
        <f>""</f>
        <v/>
      </c>
      <c r="AD161" t="str">
        <f>""</f>
        <v/>
      </c>
      <c r="AE161" t="str">
        <f>""</f>
        <v/>
      </c>
      <c r="AF161" t="str">
        <f>""</f>
        <v/>
      </c>
      <c r="AG161" t="str">
        <f>"S"</f>
        <v>S</v>
      </c>
      <c r="AH161" t="str">
        <f>""</f>
        <v/>
      </c>
      <c r="AI161" t="str">
        <f>""</f>
        <v/>
      </c>
      <c r="AJ161" t="str">
        <f>""</f>
        <v/>
      </c>
      <c r="AK161" t="str">
        <f>""</f>
        <v/>
      </c>
      <c r="AL161" t="str">
        <f>""</f>
        <v/>
      </c>
      <c r="AM161" t="str">
        <f>""</f>
        <v/>
      </c>
      <c r="AN161" t="str">
        <f>""</f>
        <v/>
      </c>
      <c r="AO161" t="str">
        <f>""</f>
        <v/>
      </c>
      <c r="AP161" t="str">
        <f>""</f>
        <v/>
      </c>
      <c r="AQ161" t="str">
        <f>"N"</f>
        <v>N</v>
      </c>
      <c r="AR161" t="str">
        <f>"N"</f>
        <v>N</v>
      </c>
      <c r="AS161" t="str">
        <f>"N"</f>
        <v>N</v>
      </c>
      <c r="AT161" t="str">
        <f>"N"</f>
        <v>N</v>
      </c>
      <c r="AU161" t="str">
        <f>"N"</f>
        <v>N</v>
      </c>
      <c r="AV161" t="str">
        <f>""</f>
        <v/>
      </c>
      <c r="AW161" t="str">
        <f>""</f>
        <v/>
      </c>
      <c r="AX161" t="str">
        <f>""</f>
        <v/>
      </c>
      <c r="AY161" t="str">
        <f>""</f>
        <v/>
      </c>
      <c r="AZ161" t="str">
        <f>""</f>
        <v/>
      </c>
      <c r="BA161" t="str">
        <f>""</f>
        <v/>
      </c>
      <c r="BB161" t="str">
        <f>"01/07/2021 13:53:04"</f>
        <v>01/07/2021 13:53:04</v>
      </c>
      <c r="BC161" t="str">
        <f>"01/07/2022 13:38:45"</f>
        <v>01/07/2022 13:38:45</v>
      </c>
      <c r="BD161" t="str">
        <f>""</f>
        <v/>
      </c>
      <c r="BE161" t="str">
        <f>""</f>
        <v/>
      </c>
      <c r="BF161" t="str">
        <f t="shared" si="71"/>
        <v>A</v>
      </c>
      <c r="BG161" t="str">
        <f>""</f>
        <v/>
      </c>
      <c r="BH161" t="str">
        <f>"0,00"</f>
        <v>0,00</v>
      </c>
      <c r="BI161" t="str">
        <f t="shared" si="87"/>
        <v>EVENTUAL</v>
      </c>
      <c r="BJ161" t="str">
        <f t="shared" si="72"/>
        <v>1</v>
      </c>
      <c r="BK161" t="str">
        <f t="shared" si="73"/>
        <v>Farmacia</v>
      </c>
      <c r="BL161" t="str">
        <f>""</f>
        <v/>
      </c>
      <c r="BM161" t="str">
        <f>"VARILUX ESPECIALISTA SELECT"</f>
        <v>VARILUX ESPECIALISTA SELECT</v>
      </c>
      <c r="BN161" t="str">
        <f t="shared" si="88"/>
        <v>NA</v>
      </c>
      <c r="BO161" t="str">
        <f>"FOCO VARILUX DIGITAL"</f>
        <v>FOCO VARILUX DIGITAL</v>
      </c>
      <c r="BP161" t="str">
        <f>""</f>
        <v/>
      </c>
      <c r="BQ161" t="str">
        <f>""</f>
        <v/>
      </c>
      <c r="BR161" t="str">
        <f>"01/07/2021"</f>
        <v>01/07/2021</v>
      </c>
      <c r="BS161" t="str">
        <f>"01/07/2022"</f>
        <v>01/07/2022</v>
      </c>
      <c r="BT161" t="str">
        <f>""</f>
        <v/>
      </c>
      <c r="BU161" t="str">
        <f>""</f>
        <v/>
      </c>
      <c r="BV161" t="str">
        <f>""</f>
        <v/>
      </c>
      <c r="BW161" t="str">
        <f>"16"</f>
        <v>16</v>
      </c>
    </row>
    <row r="162" spans="1:75" x14ac:dyDescent="0.35">
      <c r="A162">
        <v>144490</v>
      </c>
      <c r="B162" t="str">
        <f t="shared" si="65"/>
        <v>A</v>
      </c>
      <c r="C162" t="str">
        <f t="shared" si="66"/>
        <v>80</v>
      </c>
      <c r="D162" t="str">
        <f t="shared" si="67"/>
        <v>11121001</v>
      </c>
      <c r="E162" t="str">
        <f t="shared" si="68"/>
        <v>121001</v>
      </c>
      <c r="F162" t="str">
        <f t="shared" si="69"/>
        <v>JENIFER SANTOS</v>
      </c>
      <c r="G162" t="str">
        <f>"82944331000144"</f>
        <v>82944331000144</v>
      </c>
      <c r="H162" t="str">
        <f>""</f>
        <v/>
      </c>
      <c r="I162" t="str">
        <f t="shared" si="70"/>
        <v>CONTA OPTICA</v>
      </c>
      <c r="J162" t="str">
        <f>"JOALHERIA E OTICA PALADIO LTDA"</f>
        <v>JOALHERIA E OTICA PALADIO LTDA</v>
      </c>
      <c r="K162" t="str">
        <f>"JOALHERIA E OTICA PALADIO LTDA (163)"</f>
        <v>JOALHERIA E OTICA PALADIO LTDA (163)</v>
      </c>
      <c r="L162" t="str">
        <f>""</f>
        <v/>
      </c>
      <c r="M162" t="str">
        <f>""</f>
        <v/>
      </c>
      <c r="N162" t="str">
        <f>"tutela@dominioboxe.com.br"</f>
        <v>tutela@dominioboxe.com.br</v>
      </c>
      <c r="O162" t="str">
        <f>""</f>
        <v/>
      </c>
      <c r="P162" t="str">
        <f>"AVENIDA MARECHAL DEODORO DA FONSECA"</f>
        <v>AVENIDA MARECHAL DEODORO DA FONSECA</v>
      </c>
      <c r="Q162" t="str">
        <f>"97"</f>
        <v>97</v>
      </c>
      <c r="R162" t="str">
        <f>"SALA 01"</f>
        <v>SALA 01</v>
      </c>
      <c r="S162" t="str">
        <f>"1280"</f>
        <v>1280</v>
      </c>
      <c r="T162" t="str">
        <f>"89251701"</f>
        <v>89251701</v>
      </c>
      <c r="U162" t="str">
        <f>"CENTRO"</f>
        <v>CENTRO</v>
      </c>
      <c r="V162" t="str">
        <f>"JARAGUA DO SUL"</f>
        <v>JARAGUA DO SUL</v>
      </c>
      <c r="W162" t="str">
        <f t="shared" si="81"/>
        <v>SC</v>
      </c>
      <c r="X162" t="str">
        <f>"47"</f>
        <v>47</v>
      </c>
      <c r="Y162" t="str">
        <f>"32752214"</f>
        <v>32752214</v>
      </c>
      <c r="Z162" t="str">
        <f>""</f>
        <v/>
      </c>
      <c r="AA162" t="str">
        <f>""</f>
        <v/>
      </c>
      <c r="AB162" t="str">
        <f>""</f>
        <v/>
      </c>
      <c r="AC162" t="str">
        <f>""</f>
        <v/>
      </c>
      <c r="AD162" t="str">
        <f>""</f>
        <v/>
      </c>
      <c r="AE162" t="str">
        <f>""</f>
        <v/>
      </c>
      <c r="AF162" t="str">
        <f>""</f>
        <v/>
      </c>
      <c r="AG162" t="str">
        <f>""</f>
        <v/>
      </c>
      <c r="AH162" t="str">
        <f>""</f>
        <v/>
      </c>
      <c r="AI162" t="str">
        <f>""</f>
        <v/>
      </c>
      <c r="AJ162" t="str">
        <f>"0"</f>
        <v>0</v>
      </c>
      <c r="AK162" t="str">
        <f>"0"</f>
        <v>0</v>
      </c>
      <c r="AL162" t="str">
        <f>"0"</f>
        <v>0</v>
      </c>
      <c r="AM162" t="str">
        <f>""</f>
        <v/>
      </c>
      <c r="AN162" t="str">
        <f>""</f>
        <v/>
      </c>
      <c r="AO162" t="str">
        <f>""</f>
        <v/>
      </c>
      <c r="AP162" t="str">
        <f>""</f>
        <v/>
      </c>
      <c r="AQ162" t="str">
        <f>""</f>
        <v/>
      </c>
      <c r="AR162" t="str">
        <f>""</f>
        <v/>
      </c>
      <c r="AS162" t="str">
        <f>""</f>
        <v/>
      </c>
      <c r="AT162" t="str">
        <f>""</f>
        <v/>
      </c>
      <c r="AU162" t="str">
        <f>""</f>
        <v/>
      </c>
      <c r="AV162" t="str">
        <f>""</f>
        <v/>
      </c>
      <c r="AW162" t="str">
        <f>""</f>
        <v/>
      </c>
      <c r="AX162" t="str">
        <f>""</f>
        <v/>
      </c>
      <c r="AY162" t="str">
        <f>""</f>
        <v/>
      </c>
      <c r="AZ162" t="str">
        <f>""</f>
        <v/>
      </c>
      <c r="BA162" t="str">
        <f>""</f>
        <v/>
      </c>
      <c r="BB162" t="str">
        <f>""</f>
        <v/>
      </c>
      <c r="BC162" t="str">
        <f>""</f>
        <v/>
      </c>
      <c r="BD162" t="str">
        <f>""</f>
        <v/>
      </c>
      <c r="BE162" t="str">
        <f>""</f>
        <v/>
      </c>
      <c r="BF162" t="str">
        <f t="shared" si="71"/>
        <v>A</v>
      </c>
      <c r="BG162" t="str">
        <f>"0,00"</f>
        <v>0,00</v>
      </c>
      <c r="BH162" t="str">
        <f>"0,00"</f>
        <v>0,00</v>
      </c>
      <c r="BI162" t="str">
        <f t="shared" si="87"/>
        <v>EVENTUAL</v>
      </c>
      <c r="BJ162" t="str">
        <f t="shared" si="72"/>
        <v>1</v>
      </c>
      <c r="BK162" t="str">
        <f t="shared" si="73"/>
        <v>Farmacia</v>
      </c>
      <c r="BL162" t="str">
        <f>""</f>
        <v/>
      </c>
      <c r="BM162" t="str">
        <f>"VARILUX ESPECIALISTA SELECT"</f>
        <v>VARILUX ESPECIALISTA SELECT</v>
      </c>
      <c r="BN162" t="str">
        <f t="shared" si="88"/>
        <v>NA</v>
      </c>
      <c r="BO162" t="str">
        <f>"FOCO VARILUX DIGITAL"</f>
        <v>FOCO VARILUX DIGITAL</v>
      </c>
      <c r="BP162" t="str">
        <f>""</f>
        <v/>
      </c>
      <c r="BQ162" t="str">
        <f>""</f>
        <v/>
      </c>
      <c r="BR162" t="str">
        <f>""</f>
        <v/>
      </c>
      <c r="BS162" t="str">
        <f>""</f>
        <v/>
      </c>
      <c r="BT162" t="str">
        <f>""</f>
        <v/>
      </c>
      <c r="BU162" t="str">
        <f>""</f>
        <v/>
      </c>
      <c r="BV162" t="str">
        <f>"1"</f>
        <v>1</v>
      </c>
      <c r="BW162" t="str">
        <f>"24"</f>
        <v>24</v>
      </c>
    </row>
    <row r="163" spans="1:75" x14ac:dyDescent="0.35">
      <c r="A163">
        <v>138079</v>
      </c>
      <c r="B163" t="str">
        <f t="shared" si="65"/>
        <v>A</v>
      </c>
      <c r="C163" t="str">
        <f t="shared" si="66"/>
        <v>80</v>
      </c>
      <c r="D163" t="str">
        <f t="shared" si="67"/>
        <v>11121001</v>
      </c>
      <c r="E163" t="str">
        <f t="shared" si="68"/>
        <v>121001</v>
      </c>
      <c r="F163" t="str">
        <f t="shared" si="69"/>
        <v>JENIFER SANTOS</v>
      </c>
      <c r="G163" t="str">
        <f>"79229522000110"</f>
        <v>79229522000110</v>
      </c>
      <c r="H163" t="str">
        <f>"0"</f>
        <v>0</v>
      </c>
      <c r="I163" t="str">
        <f t="shared" si="70"/>
        <v>CONTA OPTICA</v>
      </c>
      <c r="J163" t="str">
        <f>"JOALHERIA E OTICA PINHEIRO LTDA"</f>
        <v>JOALHERIA E OTICA PINHEIRO LTDA</v>
      </c>
      <c r="K163" t="str">
        <f>"JOALHERIA E OTICA PINHEIRO (320)"</f>
        <v>JOALHERIA E OTICA PINHEIRO (320)</v>
      </c>
      <c r="L163" t="str">
        <f>""</f>
        <v/>
      </c>
      <c r="M163" t="str">
        <f>""</f>
        <v/>
      </c>
      <c r="N163" t="str">
        <f>"notas@cofrenfe.com.br"</f>
        <v>notas@cofrenfe.com.br</v>
      </c>
      <c r="O163" t="str">
        <f>""</f>
        <v/>
      </c>
      <c r="P163" t="str">
        <f>"RUA CORONEL FARRAPO"</f>
        <v>RUA CORONEL FARRAPO</v>
      </c>
      <c r="Q163" t="str">
        <f>"1025"</f>
        <v>1025</v>
      </c>
      <c r="R163" t="str">
        <f>""</f>
        <v/>
      </c>
      <c r="S163" t="str">
        <f>"1285"</f>
        <v>1285</v>
      </c>
      <c r="T163" t="str">
        <f>"89620000"</f>
        <v>89620000</v>
      </c>
      <c r="U163" t="str">
        <f>"NAO INFORMADO"</f>
        <v>NAO INFORMADO</v>
      </c>
      <c r="V163" t="str">
        <f>"CAMPOS NOVOS"</f>
        <v>CAMPOS NOVOS</v>
      </c>
      <c r="W163" t="str">
        <f t="shared" si="81"/>
        <v>SC</v>
      </c>
      <c r="X163" t="str">
        <f>"49"</f>
        <v>49</v>
      </c>
      <c r="Y163" t="str">
        <f>"35412886"</f>
        <v>35412886</v>
      </c>
      <c r="Z163" t="str">
        <f>""</f>
        <v/>
      </c>
      <c r="AA163" t="str">
        <f>""</f>
        <v/>
      </c>
      <c r="AB163" t="str">
        <f>""</f>
        <v/>
      </c>
      <c r="AC163" t="str">
        <f>""</f>
        <v/>
      </c>
      <c r="AD163" t="str">
        <f>""</f>
        <v/>
      </c>
      <c r="AE163" t="str">
        <f>""</f>
        <v/>
      </c>
      <c r="AF163" t="str">
        <f>""</f>
        <v/>
      </c>
      <c r="AG163" t="str">
        <f>"S"</f>
        <v>S</v>
      </c>
      <c r="AH163" t="str">
        <f>""</f>
        <v/>
      </c>
      <c r="AI163" t="str">
        <f>""</f>
        <v/>
      </c>
      <c r="AJ163" t="str">
        <f>""</f>
        <v/>
      </c>
      <c r="AK163" t="str">
        <f>""</f>
        <v/>
      </c>
      <c r="AL163" t="str">
        <f>""</f>
        <v/>
      </c>
      <c r="AM163" t="str">
        <f>""</f>
        <v/>
      </c>
      <c r="AN163" t="str">
        <f>""</f>
        <v/>
      </c>
      <c r="AO163" t="str">
        <f>""</f>
        <v/>
      </c>
      <c r="AP163" t="str">
        <f>""</f>
        <v/>
      </c>
      <c r="AQ163" t="str">
        <f>"N"</f>
        <v>N</v>
      </c>
      <c r="AR163" t="str">
        <f>"N"</f>
        <v>N</v>
      </c>
      <c r="AS163" t="str">
        <f>"N"</f>
        <v>N</v>
      </c>
      <c r="AT163" t="str">
        <f>"N"</f>
        <v>N</v>
      </c>
      <c r="AU163" t="str">
        <f>"N"</f>
        <v>N</v>
      </c>
      <c r="AV163" t="str">
        <f>""</f>
        <v/>
      </c>
      <c r="AW163" t="str">
        <f>""</f>
        <v/>
      </c>
      <c r="AX163" t="str">
        <f>""</f>
        <v/>
      </c>
      <c r="AY163" t="str">
        <f>""</f>
        <v/>
      </c>
      <c r="AZ163" t="str">
        <f>""</f>
        <v/>
      </c>
      <c r="BA163" t="str">
        <f>""</f>
        <v/>
      </c>
      <c r="BB163" t="str">
        <f>"01/07/2021 13:53:04"</f>
        <v>01/07/2021 13:53:04</v>
      </c>
      <c r="BC163" t="str">
        <f>"07/02/2022 15:17:02"</f>
        <v>07/02/2022 15:17:02</v>
      </c>
      <c r="BD163" t="str">
        <f>""</f>
        <v/>
      </c>
      <c r="BE163" t="str">
        <f>""</f>
        <v/>
      </c>
      <c r="BF163" t="str">
        <f t="shared" si="71"/>
        <v>A</v>
      </c>
      <c r="BG163" t="str">
        <f>""</f>
        <v/>
      </c>
      <c r="BH163" t="str">
        <f>"0,00"</f>
        <v>0,00</v>
      </c>
      <c r="BI163" t="str">
        <f t="shared" si="87"/>
        <v>EVENTUAL</v>
      </c>
      <c r="BJ163" t="str">
        <f t="shared" si="72"/>
        <v>1</v>
      </c>
      <c r="BK163" t="str">
        <f t="shared" si="73"/>
        <v>Farmacia</v>
      </c>
      <c r="BL163" t="str">
        <f>""</f>
        <v/>
      </c>
      <c r="BM163" t="str">
        <f>"VARILUX ESPECIALISTA SELECT"</f>
        <v>VARILUX ESPECIALISTA SELECT</v>
      </c>
      <c r="BN163" t="str">
        <f t="shared" si="88"/>
        <v>NA</v>
      </c>
      <c r="BO163" t="str">
        <f>"FOCO VARILUX DIGITAL"</f>
        <v>FOCO VARILUX DIGITAL</v>
      </c>
      <c r="BP163" t="str">
        <f>""</f>
        <v/>
      </c>
      <c r="BQ163" t="str">
        <f>""</f>
        <v/>
      </c>
      <c r="BR163" t="str">
        <f>"01/07/2021"</f>
        <v>01/07/2021</v>
      </c>
      <c r="BS163" t="str">
        <f>"07/02/2022"</f>
        <v>07/02/2022</v>
      </c>
      <c r="BT163" t="str">
        <f>""</f>
        <v/>
      </c>
      <c r="BU163" t="str">
        <f>""</f>
        <v/>
      </c>
      <c r="BV163" t="str">
        <f>""</f>
        <v/>
      </c>
      <c r="BW163" t="str">
        <f>"330"</f>
        <v>330</v>
      </c>
    </row>
    <row r="164" spans="1:75" x14ac:dyDescent="0.35">
      <c r="A164">
        <v>120443</v>
      </c>
      <c r="B164" t="str">
        <f t="shared" si="65"/>
        <v>A</v>
      </c>
      <c r="C164" t="str">
        <f t="shared" si="66"/>
        <v>80</v>
      </c>
      <c r="D164" t="str">
        <f t="shared" si="67"/>
        <v>11121001</v>
      </c>
      <c r="E164" t="str">
        <f t="shared" si="68"/>
        <v>121001</v>
      </c>
      <c r="F164" t="str">
        <f t="shared" si="69"/>
        <v>JENIFER SANTOS</v>
      </c>
      <c r="G164" t="str">
        <f>"03724961000137"</f>
        <v>03724961000137</v>
      </c>
      <c r="H164" t="str">
        <f>"0"</f>
        <v>0</v>
      </c>
      <c r="I164" t="str">
        <f t="shared" si="70"/>
        <v>CONTA OPTICA</v>
      </c>
      <c r="J164" t="str">
        <f>"JOALHERIA E OTICA PONTUAL LTDA ME"</f>
        <v>JOALHERIA E OTICA PONTUAL LTDA ME</v>
      </c>
      <c r="K164" t="str">
        <f>"JOALHERIA E OTICA PONTUAL LTDA ME (551)"</f>
        <v>JOALHERIA E OTICA PONTUAL LTDA ME (551)</v>
      </c>
      <c r="L164" t="str">
        <f>""</f>
        <v/>
      </c>
      <c r="M164" t="str">
        <f>""</f>
        <v/>
      </c>
      <c r="N164" t="str">
        <f>"gui_zale@hotmail.com"</f>
        <v>gui_zale@hotmail.com</v>
      </c>
      <c r="O164" t="str">
        <f>""</f>
        <v/>
      </c>
      <c r="P164" t="str">
        <f>"RUA CORONEL FARRAPO"</f>
        <v>RUA CORONEL FARRAPO</v>
      </c>
      <c r="Q164" t="str">
        <f>"1016"</f>
        <v>1016</v>
      </c>
      <c r="R164" t="str">
        <f>""</f>
        <v/>
      </c>
      <c r="S164" t="str">
        <f>"1285"</f>
        <v>1285</v>
      </c>
      <c r="T164" t="str">
        <f>"89620000"</f>
        <v>89620000</v>
      </c>
      <c r="U164" t="str">
        <f>"NAO INFORMADO"</f>
        <v>NAO INFORMADO</v>
      </c>
      <c r="V164" t="str">
        <f>"CAMPOS NOVOS"</f>
        <v>CAMPOS NOVOS</v>
      </c>
      <c r="W164" t="str">
        <f t="shared" si="81"/>
        <v>SC</v>
      </c>
      <c r="X164" t="str">
        <f>"49"</f>
        <v>49</v>
      </c>
      <c r="Y164" t="str">
        <f>"35410850"</f>
        <v>35410850</v>
      </c>
      <c r="Z164" t="str">
        <f>""</f>
        <v/>
      </c>
      <c r="AA164" t="str">
        <f>""</f>
        <v/>
      </c>
      <c r="AB164" t="str">
        <f>""</f>
        <v/>
      </c>
      <c r="AC164" t="str">
        <f>""</f>
        <v/>
      </c>
      <c r="AD164" t="str">
        <f>""</f>
        <v/>
      </c>
      <c r="AE164" t="str">
        <f>""</f>
        <v/>
      </c>
      <c r="AF164" t="str">
        <f>""</f>
        <v/>
      </c>
      <c r="AG164" t="str">
        <f>""</f>
        <v/>
      </c>
      <c r="AH164" t="str">
        <f>""</f>
        <v/>
      </c>
      <c r="AI164" t="str">
        <f>""</f>
        <v/>
      </c>
      <c r="AJ164" t="str">
        <f>"0"</f>
        <v>0</v>
      </c>
      <c r="AK164" t="str">
        <f>"0"</f>
        <v>0</v>
      </c>
      <c r="AL164" t="str">
        <f>"0"</f>
        <v>0</v>
      </c>
      <c r="AM164" t="str">
        <f>""</f>
        <v/>
      </c>
      <c r="AN164" t="str">
        <f>""</f>
        <v/>
      </c>
      <c r="AO164" t="str">
        <f>""</f>
        <v/>
      </c>
      <c r="AP164" t="str">
        <f>""</f>
        <v/>
      </c>
      <c r="AQ164" t="str">
        <f>""</f>
        <v/>
      </c>
      <c r="AR164" t="str">
        <f>""</f>
        <v/>
      </c>
      <c r="AS164" t="str">
        <f>""</f>
        <v/>
      </c>
      <c r="AT164" t="str">
        <f>""</f>
        <v/>
      </c>
      <c r="AU164" t="str">
        <f>""</f>
        <v/>
      </c>
      <c r="AV164" t="str">
        <f>""</f>
        <v/>
      </c>
      <c r="AW164" t="str">
        <f>""</f>
        <v/>
      </c>
      <c r="AX164" t="str">
        <f>""</f>
        <v/>
      </c>
      <c r="AY164" t="str">
        <f>""</f>
        <v/>
      </c>
      <c r="AZ164" t="str">
        <f>""</f>
        <v/>
      </c>
      <c r="BA164" t="str">
        <f>""</f>
        <v/>
      </c>
      <c r="BB164" t="str">
        <f>"18/09/2020 22:12:34"</f>
        <v>18/09/2020 22:12:34</v>
      </c>
      <c r="BC164" t="str">
        <f>""</f>
        <v/>
      </c>
      <c r="BD164" t="str">
        <f>""</f>
        <v/>
      </c>
      <c r="BE164" t="str">
        <f>""</f>
        <v/>
      </c>
      <c r="BF164" t="str">
        <f t="shared" si="71"/>
        <v>A</v>
      </c>
      <c r="BG164" t="str">
        <f>"0,00"</f>
        <v>0,00</v>
      </c>
      <c r="BH164" t="str">
        <f>"0,00"</f>
        <v>0,00</v>
      </c>
      <c r="BI164" t="str">
        <f t="shared" si="87"/>
        <v>EVENTUAL</v>
      </c>
      <c r="BJ164" t="str">
        <f t="shared" si="72"/>
        <v>1</v>
      </c>
      <c r="BK164" t="str">
        <f t="shared" si="73"/>
        <v>Farmacia</v>
      </c>
      <c r="BL164" t="str">
        <f>""</f>
        <v/>
      </c>
      <c r="BM164" t="str">
        <f>"NÃO É VARILUX ESPECIALISTA"</f>
        <v>NÃO É VARILUX ESPECIALISTA</v>
      </c>
      <c r="BN164" t="str">
        <f t="shared" si="88"/>
        <v>NA</v>
      </c>
      <c r="BO164" t="str">
        <f>"FOCO VARILUX"</f>
        <v>FOCO VARILUX</v>
      </c>
      <c r="BP164" t="str">
        <f>""</f>
        <v/>
      </c>
      <c r="BQ164" t="str">
        <f>""</f>
        <v/>
      </c>
      <c r="BR164" t="str">
        <f>"18/09/2020"</f>
        <v>18/09/2020</v>
      </c>
      <c r="BS164" t="str">
        <f>""</f>
        <v/>
      </c>
      <c r="BT164" t="str">
        <f>""</f>
        <v/>
      </c>
      <c r="BU164" t="str">
        <f>""</f>
        <v/>
      </c>
      <c r="BV164" t="str">
        <f>"5"</f>
        <v>5</v>
      </c>
      <c r="BW164" t="str">
        <f>"94"</f>
        <v>94</v>
      </c>
    </row>
    <row r="165" spans="1:75" x14ac:dyDescent="0.35">
      <c r="A165">
        <v>138081</v>
      </c>
      <c r="B165" t="str">
        <f t="shared" si="65"/>
        <v>A</v>
      </c>
      <c r="C165" t="str">
        <f t="shared" si="66"/>
        <v>80</v>
      </c>
      <c r="D165" t="str">
        <f t="shared" si="67"/>
        <v>11121001</v>
      </c>
      <c r="E165" t="str">
        <f t="shared" si="68"/>
        <v>121001</v>
      </c>
      <c r="F165" t="str">
        <f t="shared" si="69"/>
        <v>JENIFER SANTOS</v>
      </c>
      <c r="G165" t="str">
        <f>"80481971000130"</f>
        <v>80481971000130</v>
      </c>
      <c r="H165" t="str">
        <f>"0"</f>
        <v>0</v>
      </c>
      <c r="I165" t="str">
        <f t="shared" si="70"/>
        <v>CONTA OPTICA</v>
      </c>
      <c r="J165" t="str">
        <f>"JOALHERIA E OTICA RS LTDA"</f>
        <v>JOALHERIA E OTICA RS LTDA</v>
      </c>
      <c r="K165" t="str">
        <f>"JOALHERIA E OTICA RS LTDA (164)"</f>
        <v>JOALHERIA E OTICA RS LTDA (164)</v>
      </c>
      <c r="L165" t="str">
        <f>""</f>
        <v/>
      </c>
      <c r="M165" t="str">
        <f>""</f>
        <v/>
      </c>
      <c r="N165" t="str">
        <f>""</f>
        <v/>
      </c>
      <c r="O165" t="str">
        <f>""</f>
        <v/>
      </c>
      <c r="P165" t="str">
        <f>"PRAÇA LAURO MULLER"</f>
        <v>PRAÇA LAURO MULLER</v>
      </c>
      <c r="Q165" t="str">
        <f>"451"</f>
        <v>451</v>
      </c>
      <c r="R165" t="str">
        <f>""</f>
        <v/>
      </c>
      <c r="S165" t="str">
        <f>"1285"</f>
        <v>1285</v>
      </c>
      <c r="T165" t="str">
        <f>"89620000"</f>
        <v>89620000</v>
      </c>
      <c r="U165" t="str">
        <f>"NAO INFORMADO"</f>
        <v>NAO INFORMADO</v>
      </c>
      <c r="V165" t="str">
        <f>"CAMPOS NOVOS"</f>
        <v>CAMPOS NOVOS</v>
      </c>
      <c r="W165" t="str">
        <f t="shared" si="81"/>
        <v>SC</v>
      </c>
      <c r="X165" t="str">
        <f>"49"</f>
        <v>49</v>
      </c>
      <c r="Y165" t="str">
        <f>"35410535"</f>
        <v>35410535</v>
      </c>
      <c r="Z165" t="str">
        <f>""</f>
        <v/>
      </c>
      <c r="AA165" t="str">
        <f>""</f>
        <v/>
      </c>
      <c r="AB165" t="str">
        <f>""</f>
        <v/>
      </c>
      <c r="AC165" t="str">
        <f>""</f>
        <v/>
      </c>
      <c r="AD165" t="str">
        <f>""</f>
        <v/>
      </c>
      <c r="AE165" t="str">
        <f>""</f>
        <v/>
      </c>
      <c r="AF165" t="str">
        <f>""</f>
        <v/>
      </c>
      <c r="AG165" t="str">
        <f>"S"</f>
        <v>S</v>
      </c>
      <c r="AH165" t="str">
        <f>""</f>
        <v/>
      </c>
      <c r="AI165" t="str">
        <f>""</f>
        <v/>
      </c>
      <c r="AJ165" t="str">
        <f>""</f>
        <v/>
      </c>
      <c r="AK165" t="str">
        <f>""</f>
        <v/>
      </c>
      <c r="AL165" t="str">
        <f>""</f>
        <v/>
      </c>
      <c r="AM165" t="str">
        <f>""</f>
        <v/>
      </c>
      <c r="AN165" t="str">
        <f>""</f>
        <v/>
      </c>
      <c r="AO165" t="str">
        <f>""</f>
        <v/>
      </c>
      <c r="AP165" t="str">
        <f>""</f>
        <v/>
      </c>
      <c r="AQ165" t="str">
        <f>"N"</f>
        <v>N</v>
      </c>
      <c r="AR165" t="str">
        <f>"N"</f>
        <v>N</v>
      </c>
      <c r="AS165" t="str">
        <f>"N"</f>
        <v>N</v>
      </c>
      <c r="AT165" t="str">
        <f>"N"</f>
        <v>N</v>
      </c>
      <c r="AU165" t="str">
        <f>"N"</f>
        <v>N</v>
      </c>
      <c r="AV165" t="str">
        <f>""</f>
        <v/>
      </c>
      <c r="AW165" t="str">
        <f>""</f>
        <v/>
      </c>
      <c r="AX165" t="str">
        <f>""</f>
        <v/>
      </c>
      <c r="AY165" t="str">
        <f>""</f>
        <v/>
      </c>
      <c r="AZ165" t="str">
        <f>""</f>
        <v/>
      </c>
      <c r="BA165" t="str">
        <f>""</f>
        <v/>
      </c>
      <c r="BB165" t="str">
        <f>"01/07/2021 13:53:04"</f>
        <v>01/07/2021 13:53:04</v>
      </c>
      <c r="BC165" t="str">
        <f>"22/11/2021 17:06:44"</f>
        <v>22/11/2021 17:06:44</v>
      </c>
      <c r="BD165" t="str">
        <f>""</f>
        <v/>
      </c>
      <c r="BE165" t="str">
        <f>""</f>
        <v/>
      </c>
      <c r="BF165" t="str">
        <f t="shared" si="71"/>
        <v>A</v>
      </c>
      <c r="BG165" t="str">
        <f>""</f>
        <v/>
      </c>
      <c r="BH165" t="str">
        <f>"0,00"</f>
        <v>0,00</v>
      </c>
      <c r="BI165" t="str">
        <f t="shared" si="87"/>
        <v>EVENTUAL</v>
      </c>
      <c r="BJ165" t="str">
        <f t="shared" si="72"/>
        <v>1</v>
      </c>
      <c r="BK165" t="str">
        <f t="shared" si="73"/>
        <v>Farmacia</v>
      </c>
      <c r="BL165" t="str">
        <f>""</f>
        <v/>
      </c>
      <c r="BM165" t="str">
        <f>"NÃO É VARILUX ESPECIALISTA"</f>
        <v>NÃO É VARILUX ESPECIALISTA</v>
      </c>
      <c r="BN165" t="str">
        <f t="shared" si="88"/>
        <v>NA</v>
      </c>
      <c r="BO165" t="str">
        <f>"FOCO VARILUX"</f>
        <v>FOCO VARILUX</v>
      </c>
      <c r="BP165" t="str">
        <f>""</f>
        <v/>
      </c>
      <c r="BQ165" t="str">
        <f>""</f>
        <v/>
      </c>
      <c r="BR165" t="str">
        <f>"01/07/2021"</f>
        <v>01/07/2021</v>
      </c>
      <c r="BS165" t="str">
        <f>"22/11/2021"</f>
        <v>22/11/2021</v>
      </c>
      <c r="BT165" t="str">
        <f>""</f>
        <v/>
      </c>
      <c r="BU165" t="str">
        <f>""</f>
        <v/>
      </c>
      <c r="BV165" t="str">
        <f>""</f>
        <v/>
      </c>
      <c r="BW165" t="str">
        <f>"50"</f>
        <v>50</v>
      </c>
    </row>
    <row r="166" spans="1:75" x14ac:dyDescent="0.35">
      <c r="A166">
        <v>156807</v>
      </c>
      <c r="B166" t="str">
        <f t="shared" si="65"/>
        <v>A</v>
      </c>
      <c r="C166" t="str">
        <f t="shared" si="66"/>
        <v>80</v>
      </c>
      <c r="D166" t="str">
        <f t="shared" si="67"/>
        <v>11121001</v>
      </c>
      <c r="E166" t="str">
        <f t="shared" si="68"/>
        <v>121001</v>
      </c>
      <c r="F166" t="str">
        <f t="shared" si="69"/>
        <v>JENIFER SANTOS</v>
      </c>
      <c r="G166" t="str">
        <f>"81595654000107"</f>
        <v>81595654000107</v>
      </c>
      <c r="H166" t="str">
        <f>"0"</f>
        <v>0</v>
      </c>
      <c r="I166" t="str">
        <f t="shared" si="70"/>
        <v>CONTA OPTICA</v>
      </c>
      <c r="J166" t="str">
        <f>"JOALHERIA E OTICA SCHEIDE LTDA"</f>
        <v>JOALHERIA E OTICA SCHEIDE LTDA</v>
      </c>
      <c r="K166" t="str">
        <f>"JOALHERIA E OTICA SCHEIDE (485)"</f>
        <v>JOALHERIA E OTICA SCHEIDE (485)</v>
      </c>
      <c r="L166" t="str">
        <f>""</f>
        <v/>
      </c>
      <c r="M166" t="str">
        <f>""</f>
        <v/>
      </c>
      <c r="N166" t="str">
        <f>"MARCOSSCHEIDE@YAHOO.COM.BR"</f>
        <v>MARCOSSCHEIDE@YAHOO.COM.BR</v>
      </c>
      <c r="O166" t="str">
        <f>""</f>
        <v/>
      </c>
      <c r="P166" t="str">
        <f>"ARGOLO"</f>
        <v>ARGOLO</v>
      </c>
      <c r="Q166" t="str">
        <f>"64"</f>
        <v>64</v>
      </c>
      <c r="R166" t="str">
        <f>""</f>
        <v/>
      </c>
      <c r="S166" t="str">
        <f>"1280"</f>
        <v>1280</v>
      </c>
      <c r="T166" t="str">
        <f>"89290000"</f>
        <v>89290000</v>
      </c>
      <c r="U166" t="str">
        <f>"CENTRO"</f>
        <v>CENTRO</v>
      </c>
      <c r="V166" t="str">
        <f>"SAO BENTO DO SUL"</f>
        <v>SAO BENTO DO SUL</v>
      </c>
      <c r="W166" t="str">
        <f t="shared" si="81"/>
        <v>SC</v>
      </c>
      <c r="X166" t="str">
        <f>"47"</f>
        <v>47</v>
      </c>
      <c r="Y166" t="str">
        <f>"36340426"</f>
        <v>36340426</v>
      </c>
      <c r="Z166" t="str">
        <f>""</f>
        <v/>
      </c>
      <c r="AA166" t="str">
        <f>""</f>
        <v/>
      </c>
      <c r="AB166" t="str">
        <f>""</f>
        <v/>
      </c>
      <c r="AC166" t="str">
        <f>""</f>
        <v/>
      </c>
      <c r="AD166" t="str">
        <f>""</f>
        <v/>
      </c>
      <c r="AE166" t="str">
        <f>""</f>
        <v/>
      </c>
      <c r="AF166" t="str">
        <f>""</f>
        <v/>
      </c>
      <c r="AG166" t="str">
        <f>""</f>
        <v/>
      </c>
      <c r="AH166" t="str">
        <f>""</f>
        <v/>
      </c>
      <c r="AI166" t="str">
        <f>""</f>
        <v/>
      </c>
      <c r="AJ166" t="str">
        <f>""</f>
        <v/>
      </c>
      <c r="AK166" t="str">
        <f>""</f>
        <v/>
      </c>
      <c r="AL166" t="str">
        <f>""</f>
        <v/>
      </c>
      <c r="AM166" t="str">
        <f>""</f>
        <v/>
      </c>
      <c r="AN166" t="str">
        <f>""</f>
        <v/>
      </c>
      <c r="AO166" t="str">
        <f>""</f>
        <v/>
      </c>
      <c r="AP166" t="str">
        <f>""</f>
        <v/>
      </c>
      <c r="AQ166" t="str">
        <f>""</f>
        <v/>
      </c>
      <c r="AR166" t="str">
        <f>""</f>
        <v/>
      </c>
      <c r="AS166" t="str">
        <f>""</f>
        <v/>
      </c>
      <c r="AT166" t="str">
        <f>""</f>
        <v/>
      </c>
      <c r="AU166" t="str">
        <f>""</f>
        <v/>
      </c>
      <c r="AV166" t="str">
        <f>""</f>
        <v/>
      </c>
      <c r="AW166" t="str">
        <f>""</f>
        <v/>
      </c>
      <c r="AX166" t="str">
        <f>""</f>
        <v/>
      </c>
      <c r="AY166" t="str">
        <f>""</f>
        <v/>
      </c>
      <c r="AZ166" t="str">
        <f>""</f>
        <v/>
      </c>
      <c r="BA166" t="str">
        <f>""</f>
        <v/>
      </c>
      <c r="BB166" t="str">
        <f>"06/07/2023 12:07:48"</f>
        <v>06/07/2023 12:07:48</v>
      </c>
      <c r="BC166" t="str">
        <f>""</f>
        <v/>
      </c>
      <c r="BD166" t="str">
        <f>""</f>
        <v/>
      </c>
      <c r="BE166" t="str">
        <f>""</f>
        <v/>
      </c>
      <c r="BF166" t="str">
        <f t="shared" si="71"/>
        <v>A</v>
      </c>
      <c r="BG166" t="str">
        <f>""</f>
        <v/>
      </c>
      <c r="BH166" t="str">
        <f>""</f>
        <v/>
      </c>
      <c r="BI166" t="str">
        <f t="shared" si="87"/>
        <v>EVENTUAL</v>
      </c>
      <c r="BJ166" t="str">
        <f t="shared" si="72"/>
        <v>1</v>
      </c>
      <c r="BK166" t="str">
        <f t="shared" si="73"/>
        <v>Farmacia</v>
      </c>
      <c r="BL166" t="str">
        <f>""</f>
        <v/>
      </c>
      <c r="BM166" t="str">
        <f>""</f>
        <v/>
      </c>
      <c r="BN166" t="str">
        <f>""</f>
        <v/>
      </c>
      <c r="BO166" t="str">
        <f>""</f>
        <v/>
      </c>
      <c r="BP166" t="str">
        <f>""</f>
        <v/>
      </c>
      <c r="BQ166" t="str">
        <f>""</f>
        <v/>
      </c>
      <c r="BR166" t="str">
        <f>"06/07/2023"</f>
        <v>06/07/2023</v>
      </c>
      <c r="BS166" t="str">
        <f>""</f>
        <v/>
      </c>
      <c r="BT166" t="str">
        <f>""</f>
        <v/>
      </c>
      <c r="BU166" t="str">
        <f>""</f>
        <v/>
      </c>
      <c r="BV166" t="str">
        <f>""</f>
        <v/>
      </c>
      <c r="BW166" t="str">
        <f>"Não visitado"</f>
        <v>Não visitado</v>
      </c>
    </row>
    <row r="167" spans="1:75" x14ac:dyDescent="0.35">
      <c r="A167">
        <v>144745</v>
      </c>
      <c r="B167" t="str">
        <f t="shared" si="65"/>
        <v>A</v>
      </c>
      <c r="C167" t="str">
        <f t="shared" si="66"/>
        <v>80</v>
      </c>
      <c r="D167" t="str">
        <f t="shared" si="67"/>
        <v>11121001</v>
      </c>
      <c r="E167" t="str">
        <f t="shared" si="68"/>
        <v>121001</v>
      </c>
      <c r="F167" t="str">
        <f t="shared" si="69"/>
        <v>JENIFER SANTOS</v>
      </c>
      <c r="G167" t="str">
        <f>"79880381000109"</f>
        <v>79880381000109</v>
      </c>
      <c r="H167" t="str">
        <f>""</f>
        <v/>
      </c>
      <c r="I167" t="str">
        <f t="shared" si="70"/>
        <v>CONTA OPTICA</v>
      </c>
      <c r="J167" t="str">
        <f>"JOALHERIA E OTICA SIMARA LTDA"</f>
        <v>JOALHERIA E OTICA SIMARA LTDA</v>
      </c>
      <c r="K167" t="str">
        <f>"JOALHERIA E OTICA SIMARA LTDA (177)"</f>
        <v>JOALHERIA E OTICA SIMARA LTDA (177)</v>
      </c>
      <c r="L167" t="str">
        <f>""</f>
        <v/>
      </c>
      <c r="M167" t="str">
        <f>""</f>
        <v/>
      </c>
      <c r="N167" t="str">
        <f>"tutela@dominioboxe.com.br"</f>
        <v>tutela@dominioboxe.com.br</v>
      </c>
      <c r="O167" t="str">
        <f>""</f>
        <v/>
      </c>
      <c r="P167" t="str">
        <f>"RUA MARECHAL DEODORO DA FONSECA"</f>
        <v>RUA MARECHAL DEODORO DA FONSECA</v>
      </c>
      <c r="Q167" t="str">
        <f>"744"</f>
        <v>744</v>
      </c>
      <c r="R167" t="str">
        <f>"SALA 03"</f>
        <v>SALA 03</v>
      </c>
      <c r="S167" t="str">
        <f>"1280"</f>
        <v>1280</v>
      </c>
      <c r="T167" t="str">
        <f>"89251700"</f>
        <v>89251700</v>
      </c>
      <c r="U167" t="str">
        <f>"CENTRO"</f>
        <v>CENTRO</v>
      </c>
      <c r="V167" t="str">
        <f>"JARAGUÁ DO SUL"</f>
        <v>JARAGUÁ DO SUL</v>
      </c>
      <c r="W167" t="str">
        <f t="shared" si="81"/>
        <v>SC</v>
      </c>
      <c r="X167" t="str">
        <f>"47"</f>
        <v>47</v>
      </c>
      <c r="Y167" t="str">
        <f>"32752479"</f>
        <v>32752479</v>
      </c>
      <c r="Z167" t="str">
        <f>""</f>
        <v/>
      </c>
      <c r="AA167" t="str">
        <f>""</f>
        <v/>
      </c>
      <c r="AB167" t="str">
        <f>""</f>
        <v/>
      </c>
      <c r="AC167" t="str">
        <f>""</f>
        <v/>
      </c>
      <c r="AD167" t="str">
        <f>""</f>
        <v/>
      </c>
      <c r="AE167" t="str">
        <f>""</f>
        <v/>
      </c>
      <c r="AF167" t="str">
        <f>""</f>
        <v/>
      </c>
      <c r="AG167" t="str">
        <f>""</f>
        <v/>
      </c>
      <c r="AH167" t="str">
        <f>""</f>
        <v/>
      </c>
      <c r="AI167" t="str">
        <f>""</f>
        <v/>
      </c>
      <c r="AJ167" t="str">
        <f>"0"</f>
        <v>0</v>
      </c>
      <c r="AK167" t="str">
        <f>"0"</f>
        <v>0</v>
      </c>
      <c r="AL167" t="str">
        <f>"0"</f>
        <v>0</v>
      </c>
      <c r="AM167" t="str">
        <f>""</f>
        <v/>
      </c>
      <c r="AN167" t="str">
        <f>""</f>
        <v/>
      </c>
      <c r="AO167" t="str">
        <f>""</f>
        <v/>
      </c>
      <c r="AP167" t="str">
        <f>""</f>
        <v/>
      </c>
      <c r="AQ167" t="str">
        <f>""</f>
        <v/>
      </c>
      <c r="AR167" t="str">
        <f>""</f>
        <v/>
      </c>
      <c r="AS167" t="str">
        <f>""</f>
        <v/>
      </c>
      <c r="AT167" t="str">
        <f>""</f>
        <v/>
      </c>
      <c r="AU167" t="str">
        <f>""</f>
        <v/>
      </c>
      <c r="AV167" t="str">
        <f>""</f>
        <v/>
      </c>
      <c r="AW167" t="str">
        <f>""</f>
        <v/>
      </c>
      <c r="AX167" t="str">
        <f>""</f>
        <v/>
      </c>
      <c r="AY167" t="str">
        <f>""</f>
        <v/>
      </c>
      <c r="AZ167" t="str">
        <f>""</f>
        <v/>
      </c>
      <c r="BA167" t="str">
        <f>""</f>
        <v/>
      </c>
      <c r="BB167" t="str">
        <f>""</f>
        <v/>
      </c>
      <c r="BC167" t="str">
        <f>""</f>
        <v/>
      </c>
      <c r="BD167" t="str">
        <f>""</f>
        <v/>
      </c>
      <c r="BE167" t="str">
        <f>""</f>
        <v/>
      </c>
      <c r="BF167" t="str">
        <f t="shared" si="71"/>
        <v>A</v>
      </c>
      <c r="BG167" t="str">
        <f>"0,00"</f>
        <v>0,00</v>
      </c>
      <c r="BH167" t="str">
        <f>"0,00"</f>
        <v>0,00</v>
      </c>
      <c r="BI167" t="str">
        <f t="shared" si="87"/>
        <v>EVENTUAL</v>
      </c>
      <c r="BJ167" t="str">
        <f t="shared" si="72"/>
        <v>1</v>
      </c>
      <c r="BK167" t="str">
        <f t="shared" si="73"/>
        <v>Farmacia</v>
      </c>
      <c r="BL167" t="str">
        <f>""</f>
        <v/>
      </c>
      <c r="BM167" t="str">
        <f>"VARILUX ESPECIALISTA SELECT"</f>
        <v>VARILUX ESPECIALISTA SELECT</v>
      </c>
      <c r="BN167" t="str">
        <f>"NA"</f>
        <v>NA</v>
      </c>
      <c r="BO167" t="str">
        <f>"FOCO VARILUX DIGITAL"</f>
        <v>FOCO VARILUX DIGITAL</v>
      </c>
      <c r="BP167" t="str">
        <f>""</f>
        <v/>
      </c>
      <c r="BQ167" t="str">
        <f>""</f>
        <v/>
      </c>
      <c r="BR167" t="str">
        <f>""</f>
        <v/>
      </c>
      <c r="BS167" t="str">
        <f>""</f>
        <v/>
      </c>
      <c r="BT167" t="str">
        <f>""</f>
        <v/>
      </c>
      <c r="BU167" t="str">
        <f>""</f>
        <v/>
      </c>
      <c r="BV167" t="str">
        <f>"1"</f>
        <v>1</v>
      </c>
      <c r="BW167" t="str">
        <f>"31"</f>
        <v>31</v>
      </c>
    </row>
    <row r="168" spans="1:75" x14ac:dyDescent="0.35">
      <c r="A168">
        <v>138082</v>
      </c>
      <c r="B168" t="str">
        <f t="shared" si="65"/>
        <v>A</v>
      </c>
      <c r="C168" t="str">
        <f t="shared" si="66"/>
        <v>80</v>
      </c>
      <c r="D168" t="str">
        <f t="shared" si="67"/>
        <v>11121001</v>
      </c>
      <c r="E168" t="str">
        <f t="shared" si="68"/>
        <v>121001</v>
      </c>
      <c r="F168" t="str">
        <f t="shared" si="69"/>
        <v>JENIFER SANTOS</v>
      </c>
      <c r="G168" t="str">
        <f>"88484076000180"</f>
        <v>88484076000180</v>
      </c>
      <c r="H168" t="str">
        <f>"0"</f>
        <v>0</v>
      </c>
      <c r="I168" t="str">
        <f t="shared" si="70"/>
        <v>CONTA OPTICA</v>
      </c>
      <c r="J168" t="str">
        <f>"JOALHERIA E OTICA VIECELLI  LTDA"</f>
        <v>JOALHERIA E OTICA VIECELLI  LTDA</v>
      </c>
      <c r="K168" t="str">
        <f>"JOALHERIA E OTICA CONFIANCA (76)"</f>
        <v>JOALHERIA E OTICA CONFIANCA (76)</v>
      </c>
      <c r="L168" t="str">
        <f>""</f>
        <v/>
      </c>
      <c r="M168" t="str">
        <f>""</f>
        <v/>
      </c>
      <c r="N168" t="str">
        <f>"joalheria.ivo@hotmail.com"</f>
        <v>joalheria.ivo@hotmail.com</v>
      </c>
      <c r="O168" t="str">
        <f>""</f>
        <v/>
      </c>
      <c r="P168" t="str">
        <f>"RUA DO COMERCIO"</f>
        <v>RUA DO COMERCIO</v>
      </c>
      <c r="Q168" t="str">
        <f>"790"</f>
        <v>790</v>
      </c>
      <c r="R168" t="str">
        <f>""</f>
        <v/>
      </c>
      <c r="S168" t="str">
        <f>"1377"</f>
        <v>1377</v>
      </c>
      <c r="T168" t="str">
        <f>"98400000"</f>
        <v>98400000</v>
      </c>
      <c r="U168" t="str">
        <f>"CENTRO"</f>
        <v>CENTRO</v>
      </c>
      <c r="V168" t="str">
        <f>"FREDERICO WESTPHALEN"</f>
        <v>FREDERICO WESTPHALEN</v>
      </c>
      <c r="W168" t="str">
        <f>"RS"</f>
        <v>RS</v>
      </c>
      <c r="X168" t="str">
        <f>"55"</f>
        <v>55</v>
      </c>
      <c r="Y168" t="str">
        <f>"37441442"</f>
        <v>37441442</v>
      </c>
      <c r="Z168" t="str">
        <f>""</f>
        <v/>
      </c>
      <c r="AA168" t="str">
        <f>""</f>
        <v/>
      </c>
      <c r="AB168" t="str">
        <f>""</f>
        <v/>
      </c>
      <c r="AC168" t="str">
        <f>""</f>
        <v/>
      </c>
      <c r="AD168" t="str">
        <f>""</f>
        <v/>
      </c>
      <c r="AE168" t="str">
        <f>""</f>
        <v/>
      </c>
      <c r="AF168" t="str">
        <f>""</f>
        <v/>
      </c>
      <c r="AG168" t="str">
        <f>"S"</f>
        <v>S</v>
      </c>
      <c r="AH168" t="str">
        <f>""</f>
        <v/>
      </c>
      <c r="AI168" t="str">
        <f>""</f>
        <v/>
      </c>
      <c r="AJ168" t="str">
        <f>""</f>
        <v/>
      </c>
      <c r="AK168" t="str">
        <f>""</f>
        <v/>
      </c>
      <c r="AL168" t="str">
        <f>""</f>
        <v/>
      </c>
      <c r="AM168" t="str">
        <f>""</f>
        <v/>
      </c>
      <c r="AN168" t="str">
        <f>""</f>
        <v/>
      </c>
      <c r="AO168" t="str">
        <f>""</f>
        <v/>
      </c>
      <c r="AP168" t="str">
        <f>""</f>
        <v/>
      </c>
      <c r="AQ168" t="str">
        <f>"N"</f>
        <v>N</v>
      </c>
      <c r="AR168" t="str">
        <f>"N"</f>
        <v>N</v>
      </c>
      <c r="AS168" t="str">
        <f>"N"</f>
        <v>N</v>
      </c>
      <c r="AT168" t="str">
        <f>"N"</f>
        <v>N</v>
      </c>
      <c r="AU168" t="str">
        <f>"N"</f>
        <v>N</v>
      </c>
      <c r="AV168" t="str">
        <f>""</f>
        <v/>
      </c>
      <c r="AW168" t="str">
        <f>""</f>
        <v/>
      </c>
      <c r="AX168" t="str">
        <f>""</f>
        <v/>
      </c>
      <c r="AY168" t="str">
        <f>""</f>
        <v/>
      </c>
      <c r="AZ168" t="str">
        <f>""</f>
        <v/>
      </c>
      <c r="BA168" t="str">
        <f>""</f>
        <v/>
      </c>
      <c r="BB168" t="str">
        <f>"01/07/2021 13:53:04"</f>
        <v>01/07/2021 13:53:04</v>
      </c>
      <c r="BC168" t="str">
        <f>"18/03/2022 15:00:32"</f>
        <v>18/03/2022 15:00:32</v>
      </c>
      <c r="BD168" t="str">
        <f>""</f>
        <v/>
      </c>
      <c r="BE168" t="str">
        <f>""</f>
        <v/>
      </c>
      <c r="BF168" t="str">
        <f t="shared" si="71"/>
        <v>A</v>
      </c>
      <c r="BG168" t="str">
        <f>""</f>
        <v/>
      </c>
      <c r="BH168" t="str">
        <f>"0,00"</f>
        <v>0,00</v>
      </c>
      <c r="BI168" t="str">
        <f t="shared" si="87"/>
        <v>EVENTUAL</v>
      </c>
      <c r="BJ168" t="str">
        <f t="shared" si="72"/>
        <v>1</v>
      </c>
      <c r="BK168" t="str">
        <f t="shared" si="73"/>
        <v>Farmacia</v>
      </c>
      <c r="BL168" t="str">
        <f>""</f>
        <v/>
      </c>
      <c r="BM168" t="str">
        <f>"NÃO É VARILUX ESPECIALISTA"</f>
        <v>NÃO É VARILUX ESPECIALISTA</v>
      </c>
      <c r="BN168" t="str">
        <f>"NA"</f>
        <v>NA</v>
      </c>
      <c r="BO168" t="str">
        <f>"FOCO KODAK 2"</f>
        <v>FOCO KODAK 2</v>
      </c>
      <c r="BP168" t="str">
        <f>""</f>
        <v/>
      </c>
      <c r="BQ168" t="str">
        <f>""</f>
        <v/>
      </c>
      <c r="BR168" t="str">
        <f>"01/07/2021"</f>
        <v>01/07/2021</v>
      </c>
      <c r="BS168" t="str">
        <f>"18/03/2022"</f>
        <v>18/03/2022</v>
      </c>
      <c r="BT168" t="str">
        <f>""</f>
        <v/>
      </c>
      <c r="BU168" t="str">
        <f>""</f>
        <v/>
      </c>
      <c r="BV168" t="str">
        <f>""</f>
        <v/>
      </c>
      <c r="BW168" t="str">
        <f>"Não visitado"</f>
        <v>Não visitado</v>
      </c>
    </row>
    <row r="169" spans="1:75" x14ac:dyDescent="0.35">
      <c r="A169">
        <v>144476</v>
      </c>
      <c r="B169" t="str">
        <f t="shared" si="65"/>
        <v>A</v>
      </c>
      <c r="C169" t="str">
        <f t="shared" si="66"/>
        <v>80</v>
      </c>
      <c r="D169" t="str">
        <f t="shared" si="67"/>
        <v>11121001</v>
      </c>
      <c r="E169" t="str">
        <f t="shared" si="68"/>
        <v>121001</v>
      </c>
      <c r="F169" t="str">
        <f t="shared" si="69"/>
        <v>JENIFER SANTOS</v>
      </c>
      <c r="G169" t="str">
        <f>"97554122000161"</f>
        <v>97554122000161</v>
      </c>
      <c r="H169" t="str">
        <f>""</f>
        <v/>
      </c>
      <c r="I169" t="str">
        <f t="shared" si="70"/>
        <v>CONTA OPTICA</v>
      </c>
      <c r="J169" t="str">
        <f>"JOALHERIA E OTICA VITORIA LTDA ME"</f>
        <v>JOALHERIA E OTICA VITORIA LTDA ME</v>
      </c>
      <c r="K169" t="str">
        <f>"JOALHERIA E OTICA VITORIA (2025)"</f>
        <v>JOALHERIA E OTICA VITORIA (2025)</v>
      </c>
      <c r="L169" t="str">
        <f>""</f>
        <v/>
      </c>
      <c r="M169" t="str">
        <f>""</f>
        <v/>
      </c>
      <c r="N169" t="str">
        <f>"marquesm.ramon@gmail.com"</f>
        <v>marquesm.ramon@gmail.com</v>
      </c>
      <c r="O169" t="str">
        <f>""</f>
        <v/>
      </c>
      <c r="P169" t="str">
        <f>"RUA ABDON BATISTA"</f>
        <v>RUA ABDON BATISTA</v>
      </c>
      <c r="Q169" t="str">
        <f>"190"</f>
        <v>190</v>
      </c>
      <c r="R169" t="str">
        <f>"SALA 3"</f>
        <v>SALA 3</v>
      </c>
      <c r="S169" t="str">
        <f>"1277"</f>
        <v>1277</v>
      </c>
      <c r="T169" t="str">
        <f>"89201010"</f>
        <v>89201010</v>
      </c>
      <c r="U169" t="str">
        <f>"CENTRO"</f>
        <v>CENTRO</v>
      </c>
      <c r="V169" t="str">
        <f>"JOINVILLE"</f>
        <v>JOINVILLE</v>
      </c>
      <c r="W169" t="str">
        <f>"SC"</f>
        <v>SC</v>
      </c>
      <c r="X169" t="str">
        <f>"47"</f>
        <v>47</v>
      </c>
      <c r="Y169" t="str">
        <f>"34338494"</f>
        <v>34338494</v>
      </c>
      <c r="Z169" t="str">
        <f>""</f>
        <v/>
      </c>
      <c r="AA169" t="str">
        <f>""</f>
        <v/>
      </c>
      <c r="AB169" t="str">
        <f>""</f>
        <v/>
      </c>
      <c r="AC169" t="str">
        <f>""</f>
        <v/>
      </c>
      <c r="AD169" t="str">
        <f>""</f>
        <v/>
      </c>
      <c r="AE169" t="str">
        <f>""</f>
        <v/>
      </c>
      <c r="AF169" t="str">
        <f>""</f>
        <v/>
      </c>
      <c r="AG169" t="str">
        <f>""</f>
        <v/>
      </c>
      <c r="AH169" t="str">
        <f>""</f>
        <v/>
      </c>
      <c r="AI169" t="str">
        <f>""</f>
        <v/>
      </c>
      <c r="AJ169" t="str">
        <f>"0"</f>
        <v>0</v>
      </c>
      <c r="AK169" t="str">
        <f>"0"</f>
        <v>0</v>
      </c>
      <c r="AL169" t="str">
        <f>"0"</f>
        <v>0</v>
      </c>
      <c r="AM169" t="str">
        <f>""</f>
        <v/>
      </c>
      <c r="AN169" t="str">
        <f>""</f>
        <v/>
      </c>
      <c r="AO169" t="str">
        <f>""</f>
        <v/>
      </c>
      <c r="AP169" t="str">
        <f>""</f>
        <v/>
      </c>
      <c r="AQ169" t="str">
        <f>""</f>
        <v/>
      </c>
      <c r="AR169" t="str">
        <f>""</f>
        <v/>
      </c>
      <c r="AS169" t="str">
        <f>""</f>
        <v/>
      </c>
      <c r="AT169" t="str">
        <f>""</f>
        <v/>
      </c>
      <c r="AU169" t="str">
        <f>""</f>
        <v/>
      </c>
      <c r="AV169" t="str">
        <f>""</f>
        <v/>
      </c>
      <c r="AW169" t="str">
        <f>""</f>
        <v/>
      </c>
      <c r="AX169" t="str">
        <f>""</f>
        <v/>
      </c>
      <c r="AY169" t="str">
        <f>""</f>
        <v/>
      </c>
      <c r="AZ169" t="str">
        <f>""</f>
        <v/>
      </c>
      <c r="BA169" t="str">
        <f>""</f>
        <v/>
      </c>
      <c r="BB169" t="str">
        <f>""</f>
        <v/>
      </c>
      <c r="BC169" t="str">
        <f>""</f>
        <v/>
      </c>
      <c r="BD169" t="str">
        <f>""</f>
        <v/>
      </c>
      <c r="BE169" t="str">
        <f>""</f>
        <v/>
      </c>
      <c r="BF169" t="str">
        <f t="shared" si="71"/>
        <v>A</v>
      </c>
      <c r="BG169" t="str">
        <f>"0,00"</f>
        <v>0,00</v>
      </c>
      <c r="BH169" t="str">
        <f>"0,00"</f>
        <v>0,00</v>
      </c>
      <c r="BI169" t="str">
        <f t="shared" si="87"/>
        <v>EVENTUAL</v>
      </c>
      <c r="BJ169" t="str">
        <f t="shared" si="72"/>
        <v>1</v>
      </c>
      <c r="BK169" t="str">
        <f t="shared" si="73"/>
        <v>Farmacia</v>
      </c>
      <c r="BL169" t="str">
        <f>""</f>
        <v/>
      </c>
      <c r="BM169" t="str">
        <f>"NÃO É VARILUX ESPECIALISTA"</f>
        <v>NÃO É VARILUX ESPECIALISTA</v>
      </c>
      <c r="BN169" t="str">
        <f>"EL360"</f>
        <v>EL360</v>
      </c>
      <c r="BO169" t="str">
        <f>"OUTROS"</f>
        <v>OUTROS</v>
      </c>
      <c r="BP169" t="str">
        <f>""</f>
        <v/>
      </c>
      <c r="BQ169" t="str">
        <f>""</f>
        <v/>
      </c>
      <c r="BR169" t="str">
        <f>""</f>
        <v/>
      </c>
      <c r="BS169" t="str">
        <f>""</f>
        <v/>
      </c>
      <c r="BT169" t="str">
        <f>""</f>
        <v/>
      </c>
      <c r="BU169" t="str">
        <f>""</f>
        <v/>
      </c>
      <c r="BV169" t="str">
        <f>"2"</f>
        <v>2</v>
      </c>
      <c r="BW169" t="str">
        <f>"Não visitado"</f>
        <v>Não visitado</v>
      </c>
    </row>
    <row r="170" spans="1:75" x14ac:dyDescent="0.35">
      <c r="A170">
        <v>157562</v>
      </c>
      <c r="B170" t="str">
        <f t="shared" si="65"/>
        <v>A</v>
      </c>
      <c r="C170" t="str">
        <f t="shared" si="66"/>
        <v>80</v>
      </c>
      <c r="D170" t="str">
        <f t="shared" si="67"/>
        <v>11121001</v>
      </c>
      <c r="E170" t="str">
        <f t="shared" si="68"/>
        <v>121001</v>
      </c>
      <c r="F170" t="str">
        <f t="shared" si="69"/>
        <v>JENIFER SANTOS</v>
      </c>
      <c r="G170" t="str">
        <f>"80502305000130"</f>
        <v>80502305000130</v>
      </c>
      <c r="H170" t="str">
        <f>"0"</f>
        <v>0</v>
      </c>
      <c r="I170" t="str">
        <f t="shared" si="70"/>
        <v>CONTA OPTICA</v>
      </c>
      <c r="J170" t="str">
        <f>"JOALHERIA MARIELLA LTDA ME"</f>
        <v>JOALHERIA MARIELLA LTDA ME</v>
      </c>
      <c r="K170" t="str">
        <f>"JOALHERIA MARIELLA LTDA (173)"</f>
        <v>JOALHERIA MARIELLA LTDA (173)</v>
      </c>
      <c r="L170" t="str">
        <f>""</f>
        <v/>
      </c>
      <c r="M170" t="str">
        <f>""</f>
        <v/>
      </c>
      <c r="N170" t="str">
        <f>"mariellaacasadosoculos@hotmail.com"</f>
        <v>mariellaacasadosoculos@hotmail.com</v>
      </c>
      <c r="O170" t="str">
        <f>""</f>
        <v/>
      </c>
      <c r="P170" t="str">
        <f>"SALOMAO CARNEIRO ALMEIDA"</f>
        <v>SALOMAO CARNEIRO ALMEIDA</v>
      </c>
      <c r="Q170" t="str">
        <f>"800"</f>
        <v>800</v>
      </c>
      <c r="R170" t="str">
        <f>"CP. 338"</f>
        <v>CP. 338</v>
      </c>
      <c r="S170" t="str">
        <f>"1284"</f>
        <v>1284</v>
      </c>
      <c r="T170" t="str">
        <f>"89520000"</f>
        <v>89520000</v>
      </c>
      <c r="U170" t="str">
        <f>"NAO INFORMADO"</f>
        <v>NAO INFORMADO</v>
      </c>
      <c r="V170" t="str">
        <f>"CURITIBANOS"</f>
        <v>CURITIBANOS</v>
      </c>
      <c r="W170" t="str">
        <f>"SC"</f>
        <v>SC</v>
      </c>
      <c r="X170" t="str">
        <f>"49"</f>
        <v>49</v>
      </c>
      <c r="Y170" t="str">
        <f>"32450404"</f>
        <v>32450404</v>
      </c>
      <c r="Z170" t="str">
        <f>""</f>
        <v/>
      </c>
      <c r="AA170" t="str">
        <f>""</f>
        <v/>
      </c>
      <c r="AB170" t="str">
        <f>""</f>
        <v/>
      </c>
      <c r="AC170" t="str">
        <f>""</f>
        <v/>
      </c>
      <c r="AD170" t="str">
        <f>""</f>
        <v/>
      </c>
      <c r="AE170" t="str">
        <f>""</f>
        <v/>
      </c>
      <c r="AF170" t="str">
        <f>""</f>
        <v/>
      </c>
      <c r="AG170" t="str">
        <f>""</f>
        <v/>
      </c>
      <c r="AH170" t="str">
        <f>""</f>
        <v/>
      </c>
      <c r="AI170" t="str">
        <f>""</f>
        <v/>
      </c>
      <c r="AJ170" t="str">
        <f>""</f>
        <v/>
      </c>
      <c r="AK170" t="str">
        <f>""</f>
        <v/>
      </c>
      <c r="AL170" t="str">
        <f>""</f>
        <v/>
      </c>
      <c r="AM170" t="str">
        <f>""</f>
        <v/>
      </c>
      <c r="AN170" t="str">
        <f>""</f>
        <v/>
      </c>
      <c r="AO170" t="str">
        <f>""</f>
        <v/>
      </c>
      <c r="AP170" t="str">
        <f>""</f>
        <v/>
      </c>
      <c r="AQ170" t="str">
        <f>""</f>
        <v/>
      </c>
      <c r="AR170" t="str">
        <f>""</f>
        <v/>
      </c>
      <c r="AS170" t="str">
        <f>""</f>
        <v/>
      </c>
      <c r="AT170" t="str">
        <f>""</f>
        <v/>
      </c>
      <c r="AU170" t="str">
        <f>""</f>
        <v/>
      </c>
      <c r="AV170" t="str">
        <f>""</f>
        <v/>
      </c>
      <c r="AW170" t="str">
        <f>""</f>
        <v/>
      </c>
      <c r="AX170" t="str">
        <f>""</f>
        <v/>
      </c>
      <c r="AY170" t="str">
        <f>""</f>
        <v/>
      </c>
      <c r="AZ170" t="str">
        <f>""</f>
        <v/>
      </c>
      <c r="BA170" t="str">
        <f>""</f>
        <v/>
      </c>
      <c r="BB170" t="str">
        <f>"11/07/2023 02:14:29"</f>
        <v>11/07/2023 02:14:29</v>
      </c>
      <c r="BC170" t="str">
        <f>""</f>
        <v/>
      </c>
      <c r="BD170" t="str">
        <f>""</f>
        <v/>
      </c>
      <c r="BE170" t="str">
        <f>""</f>
        <v/>
      </c>
      <c r="BF170" t="str">
        <f t="shared" si="71"/>
        <v>A</v>
      </c>
      <c r="BG170" t="str">
        <f>""</f>
        <v/>
      </c>
      <c r="BH170" t="str">
        <f>""</f>
        <v/>
      </c>
      <c r="BI170" t="str">
        <f t="shared" si="87"/>
        <v>EVENTUAL</v>
      </c>
      <c r="BJ170" t="str">
        <f t="shared" si="72"/>
        <v>1</v>
      </c>
      <c r="BK170" t="str">
        <f t="shared" si="73"/>
        <v>Farmacia</v>
      </c>
      <c r="BL170" t="str">
        <f>""</f>
        <v/>
      </c>
      <c r="BM170" t="str">
        <f>""</f>
        <v/>
      </c>
      <c r="BN170" t="str">
        <f>""</f>
        <v/>
      </c>
      <c r="BO170" t="str">
        <f>""</f>
        <v/>
      </c>
      <c r="BP170" t="str">
        <f>""</f>
        <v/>
      </c>
      <c r="BQ170" t="str">
        <f>""</f>
        <v/>
      </c>
      <c r="BR170" t="str">
        <f>"11/07/2023"</f>
        <v>11/07/2023</v>
      </c>
      <c r="BS170" t="str">
        <f>""</f>
        <v/>
      </c>
      <c r="BT170" t="str">
        <f>""</f>
        <v/>
      </c>
      <c r="BU170" t="str">
        <f>""</f>
        <v/>
      </c>
      <c r="BV170" t="str">
        <f>""</f>
        <v/>
      </c>
      <c r="BW170" t="str">
        <f>"Não visitado"</f>
        <v>Não visitado</v>
      </c>
    </row>
    <row r="171" spans="1:75" x14ac:dyDescent="0.35">
      <c r="A171">
        <v>156778</v>
      </c>
      <c r="B171" t="str">
        <f t="shared" si="65"/>
        <v>A</v>
      </c>
      <c r="C171" t="str">
        <f t="shared" si="66"/>
        <v>80</v>
      </c>
      <c r="D171" t="str">
        <f t="shared" si="67"/>
        <v>11121001</v>
      </c>
      <c r="E171" t="str">
        <f t="shared" si="68"/>
        <v>121001</v>
      </c>
      <c r="F171" t="str">
        <f t="shared" si="69"/>
        <v>JENIFER SANTOS</v>
      </c>
      <c r="G171" t="str">
        <f>"84703768000111"</f>
        <v>84703768000111</v>
      </c>
      <c r="H171" t="str">
        <f>"0"</f>
        <v>0</v>
      </c>
      <c r="I171" t="str">
        <f t="shared" si="70"/>
        <v>CONTA OPTICA</v>
      </c>
      <c r="J171" t="str">
        <f>"JOALHERIA PARIS LTDA ME"</f>
        <v>JOALHERIA PARIS LTDA ME</v>
      </c>
      <c r="K171" t="str">
        <f>"JOALHERIA PARIS (2069)"</f>
        <v>JOALHERIA PARIS (2069)</v>
      </c>
      <c r="L171" t="str">
        <f>""</f>
        <v/>
      </c>
      <c r="M171" t="str">
        <f>""</f>
        <v/>
      </c>
      <c r="N171" t="str">
        <f>"JOALHERIAPARIS@HOTMAIL.COM"</f>
        <v>JOALHERIAPARIS@HOTMAIL.COM</v>
      </c>
      <c r="O171" t="str">
        <f>""</f>
        <v/>
      </c>
      <c r="P171" t="str">
        <f>"RUA MAX COLIN"</f>
        <v>RUA MAX COLIN</v>
      </c>
      <c r="Q171" t="str">
        <f>"1143"</f>
        <v>1143</v>
      </c>
      <c r="R171" t="str">
        <f>"SALA1"</f>
        <v>SALA1</v>
      </c>
      <c r="S171" t="str">
        <f>"1278"</f>
        <v>1278</v>
      </c>
      <c r="T171" t="str">
        <f>"89204041"</f>
        <v>89204041</v>
      </c>
      <c r="U171" t="str">
        <f>"AMERICA"</f>
        <v>AMERICA</v>
      </c>
      <c r="V171" t="str">
        <f>"JOINVILLE"</f>
        <v>JOINVILLE</v>
      </c>
      <c r="W171" t="str">
        <f>"SC"</f>
        <v>SC</v>
      </c>
      <c r="X171" t="str">
        <f>"47"</f>
        <v>47</v>
      </c>
      <c r="Y171" t="str">
        <f>"34225828"</f>
        <v>34225828</v>
      </c>
      <c r="Z171" t="str">
        <f>""</f>
        <v/>
      </c>
      <c r="AA171" t="str">
        <f>""</f>
        <v/>
      </c>
      <c r="AB171" t="str">
        <f>""</f>
        <v/>
      </c>
      <c r="AC171" t="str">
        <f>""</f>
        <v/>
      </c>
      <c r="AD171" t="str">
        <f>""</f>
        <v/>
      </c>
      <c r="AE171" t="str">
        <f>""</f>
        <v/>
      </c>
      <c r="AF171" t="str">
        <f>""</f>
        <v/>
      </c>
      <c r="AG171" t="str">
        <f>""</f>
        <v/>
      </c>
      <c r="AH171" t="str">
        <f>""</f>
        <v/>
      </c>
      <c r="AI171" t="str">
        <f>""</f>
        <v/>
      </c>
      <c r="AJ171" t="str">
        <f>""</f>
        <v/>
      </c>
      <c r="AK171" t="str">
        <f>""</f>
        <v/>
      </c>
      <c r="AL171" t="str">
        <f>""</f>
        <v/>
      </c>
      <c r="AM171" t="str">
        <f>""</f>
        <v/>
      </c>
      <c r="AN171" t="str">
        <f>""</f>
        <v/>
      </c>
      <c r="AO171" t="str">
        <f>""</f>
        <v/>
      </c>
      <c r="AP171" t="str">
        <f>""</f>
        <v/>
      </c>
      <c r="AQ171" t="str">
        <f>""</f>
        <v/>
      </c>
      <c r="AR171" t="str">
        <f>""</f>
        <v/>
      </c>
      <c r="AS171" t="str">
        <f>""</f>
        <v/>
      </c>
      <c r="AT171" t="str">
        <f>""</f>
        <v/>
      </c>
      <c r="AU171" t="str">
        <f>""</f>
        <v/>
      </c>
      <c r="AV171" t="str">
        <f>""</f>
        <v/>
      </c>
      <c r="AW171" t="str">
        <f>""</f>
        <v/>
      </c>
      <c r="AX171" t="str">
        <f>""</f>
        <v/>
      </c>
      <c r="AY171" t="str">
        <f>""</f>
        <v/>
      </c>
      <c r="AZ171" t="str">
        <f>""</f>
        <v/>
      </c>
      <c r="BA171" t="str">
        <f>""</f>
        <v/>
      </c>
      <c r="BB171" t="str">
        <f>"06/07/2023 12:07:48"</f>
        <v>06/07/2023 12:07:48</v>
      </c>
      <c r="BC171" t="str">
        <f>""</f>
        <v/>
      </c>
      <c r="BD171" t="str">
        <f>""</f>
        <v/>
      </c>
      <c r="BE171" t="str">
        <f>""</f>
        <v/>
      </c>
      <c r="BF171" t="str">
        <f t="shared" si="71"/>
        <v>A</v>
      </c>
      <c r="BG171" t="str">
        <f>""</f>
        <v/>
      </c>
      <c r="BH171" t="str">
        <f>""</f>
        <v/>
      </c>
      <c r="BI171" t="str">
        <f t="shared" si="87"/>
        <v>EVENTUAL</v>
      </c>
      <c r="BJ171" t="str">
        <f t="shared" si="72"/>
        <v>1</v>
      </c>
      <c r="BK171" t="str">
        <f t="shared" si="73"/>
        <v>Farmacia</v>
      </c>
      <c r="BL171" t="str">
        <f>""</f>
        <v/>
      </c>
      <c r="BM171" t="str">
        <f>""</f>
        <v/>
      </c>
      <c r="BN171" t="str">
        <f>""</f>
        <v/>
      </c>
      <c r="BO171" t="str">
        <f>""</f>
        <v/>
      </c>
      <c r="BP171" t="str">
        <f>""</f>
        <v/>
      </c>
      <c r="BQ171" t="str">
        <f>""</f>
        <v/>
      </c>
      <c r="BR171" t="str">
        <f>"06/07/2023"</f>
        <v>06/07/2023</v>
      </c>
      <c r="BS171" t="str">
        <f>""</f>
        <v/>
      </c>
      <c r="BT171" t="str">
        <f>""</f>
        <v/>
      </c>
      <c r="BU171" t="str">
        <f>""</f>
        <v/>
      </c>
      <c r="BV171" t="str">
        <f>""</f>
        <v/>
      </c>
      <c r="BW171" t="str">
        <f>"Não visitado"</f>
        <v>Não visitado</v>
      </c>
    </row>
    <row r="172" spans="1:75" x14ac:dyDescent="0.35">
      <c r="A172">
        <v>144492</v>
      </c>
      <c r="B172" t="str">
        <f t="shared" si="65"/>
        <v>A</v>
      </c>
      <c r="C172" t="str">
        <f t="shared" si="66"/>
        <v>80</v>
      </c>
      <c r="D172" t="str">
        <f t="shared" si="67"/>
        <v>11121001</v>
      </c>
      <c r="E172" t="str">
        <f t="shared" si="68"/>
        <v>121001</v>
      </c>
      <c r="F172" t="str">
        <f t="shared" si="69"/>
        <v>JENIFER SANTOS</v>
      </c>
      <c r="G172" t="str">
        <f>"85100360000118"</f>
        <v>85100360000118</v>
      </c>
      <c r="H172" t="str">
        <f>""</f>
        <v/>
      </c>
      <c r="I172" t="str">
        <f t="shared" si="70"/>
        <v>CONTA OPTICA</v>
      </c>
      <c r="J172" t="str">
        <f>"JOALHERIA PRECIOSA EIRELI"</f>
        <v>JOALHERIA PRECIOSA EIRELI</v>
      </c>
      <c r="K172" t="str">
        <f>"JOALHERIA PRECIOSA (1830)"</f>
        <v>JOALHERIA PRECIOSA (1830)</v>
      </c>
      <c r="L172" t="str">
        <f>""</f>
        <v/>
      </c>
      <c r="M172" t="str">
        <f>""</f>
        <v/>
      </c>
      <c r="N172" t="str">
        <f>""</f>
        <v/>
      </c>
      <c r="O172" t="str">
        <f>""</f>
        <v/>
      </c>
      <c r="P172" t="str">
        <f>"RUA ANGELO RUBINI"</f>
        <v>RUA ANGELO RUBINI</v>
      </c>
      <c r="Q172" t="str">
        <f>"1256"</f>
        <v>1256</v>
      </c>
      <c r="R172" t="str">
        <f>"SALA 04"</f>
        <v>SALA 04</v>
      </c>
      <c r="S172" t="str">
        <f>"1280"</f>
        <v>1280</v>
      </c>
      <c r="T172" t="str">
        <f>"89260000"</f>
        <v>89260000</v>
      </c>
      <c r="U172" t="str">
        <f>"BARRA DO RIO CERRO"</f>
        <v>BARRA DO RIO CERRO</v>
      </c>
      <c r="V172" t="str">
        <f>"JARAGUÁ DO SUL"</f>
        <v>JARAGUÁ DO SUL</v>
      </c>
      <c r="W172" t="str">
        <f>"SC"</f>
        <v>SC</v>
      </c>
      <c r="X172" t="str">
        <f>"47"</f>
        <v>47</v>
      </c>
      <c r="Y172" t="str">
        <f>"33761299"</f>
        <v>33761299</v>
      </c>
      <c r="Z172" t="str">
        <f>""</f>
        <v/>
      </c>
      <c r="AA172" t="str">
        <f>""</f>
        <v/>
      </c>
      <c r="AB172" t="str">
        <f>""</f>
        <v/>
      </c>
      <c r="AC172" t="str">
        <f>""</f>
        <v/>
      </c>
      <c r="AD172" t="str">
        <f>""</f>
        <v/>
      </c>
      <c r="AE172" t="str">
        <f>""</f>
        <v/>
      </c>
      <c r="AF172" t="str">
        <f>""</f>
        <v/>
      </c>
      <c r="AG172" t="str">
        <f>"S"</f>
        <v>S</v>
      </c>
      <c r="AH172" t="str">
        <f>""</f>
        <v/>
      </c>
      <c r="AI172" t="str">
        <f>""</f>
        <v/>
      </c>
      <c r="AJ172" t="str">
        <f>"0"</f>
        <v>0</v>
      </c>
      <c r="AK172" t="str">
        <f>"0"</f>
        <v>0</v>
      </c>
      <c r="AL172" t="str">
        <f>"0"</f>
        <v>0</v>
      </c>
      <c r="AM172" t="str">
        <f>""</f>
        <v/>
      </c>
      <c r="AN172" t="str">
        <f>""</f>
        <v/>
      </c>
      <c r="AO172" t="str">
        <f>""</f>
        <v/>
      </c>
      <c r="AP172" t="str">
        <f>""</f>
        <v/>
      </c>
      <c r="AQ172" t="str">
        <f t="shared" ref="AQ172:AU173" si="89">"N"</f>
        <v>N</v>
      </c>
      <c r="AR172" t="str">
        <f t="shared" si="89"/>
        <v>N</v>
      </c>
      <c r="AS172" t="str">
        <f t="shared" si="89"/>
        <v>N</v>
      </c>
      <c r="AT172" t="str">
        <f t="shared" si="89"/>
        <v>N</v>
      </c>
      <c r="AU172" t="str">
        <f t="shared" si="89"/>
        <v>N</v>
      </c>
      <c r="AV172" t="str">
        <f>""</f>
        <v/>
      </c>
      <c r="AW172" t="str">
        <f>""</f>
        <v/>
      </c>
      <c r="AX172" t="str">
        <f>""</f>
        <v/>
      </c>
      <c r="AY172" t="str">
        <f>""</f>
        <v/>
      </c>
      <c r="AZ172" t="str">
        <f>""</f>
        <v/>
      </c>
      <c r="BA172" t="str">
        <f>""</f>
        <v/>
      </c>
      <c r="BB172" t="str">
        <f>""</f>
        <v/>
      </c>
      <c r="BC172" t="str">
        <f>"12/01/2022 15:40:46"</f>
        <v>12/01/2022 15:40:46</v>
      </c>
      <c r="BD172" t="str">
        <f>""</f>
        <v/>
      </c>
      <c r="BE172" t="str">
        <f>""</f>
        <v/>
      </c>
      <c r="BF172" t="str">
        <f t="shared" si="71"/>
        <v>A</v>
      </c>
      <c r="BG172" t="str">
        <f>"0,00"</f>
        <v>0,00</v>
      </c>
      <c r="BH172" t="str">
        <f>"0,00"</f>
        <v>0,00</v>
      </c>
      <c r="BI172" t="str">
        <f t="shared" si="87"/>
        <v>EVENTUAL</v>
      </c>
      <c r="BJ172" t="str">
        <f t="shared" si="72"/>
        <v>1</v>
      </c>
      <c r="BK172" t="str">
        <f t="shared" si="73"/>
        <v>Farmacia</v>
      </c>
      <c r="BL172" t="str">
        <f>""</f>
        <v/>
      </c>
      <c r="BM172" t="str">
        <f>"VARILUX ESPECIALISTA SELECT"</f>
        <v>VARILUX ESPECIALISTA SELECT</v>
      </c>
      <c r="BN172" t="str">
        <f>"NA"</f>
        <v>NA</v>
      </c>
      <c r="BO172" t="str">
        <f>"FOCO VARILUX DIGITAL"</f>
        <v>FOCO VARILUX DIGITAL</v>
      </c>
      <c r="BP172" t="str">
        <f>""</f>
        <v/>
      </c>
      <c r="BQ172" t="str">
        <f>""</f>
        <v/>
      </c>
      <c r="BR172" t="str">
        <f>""</f>
        <v/>
      </c>
      <c r="BS172" t="str">
        <f>"12/01/2022"</f>
        <v>12/01/2022</v>
      </c>
      <c r="BT172" t="str">
        <f>""</f>
        <v/>
      </c>
      <c r="BU172" t="str">
        <f>""</f>
        <v/>
      </c>
      <c r="BV172" t="str">
        <f>"5"</f>
        <v>5</v>
      </c>
      <c r="BW172" t="str">
        <f>"16"</f>
        <v>16</v>
      </c>
    </row>
    <row r="173" spans="1:75" x14ac:dyDescent="0.35">
      <c r="A173">
        <v>138086</v>
      </c>
      <c r="B173" t="str">
        <f t="shared" si="65"/>
        <v>A</v>
      </c>
      <c r="C173" t="str">
        <f t="shared" si="66"/>
        <v>80</v>
      </c>
      <c r="D173" t="str">
        <f t="shared" si="67"/>
        <v>11121001</v>
      </c>
      <c r="E173" t="str">
        <f t="shared" si="68"/>
        <v>121001</v>
      </c>
      <c r="F173" t="str">
        <f t="shared" si="69"/>
        <v>JENIFER SANTOS</v>
      </c>
      <c r="G173" t="str">
        <f>"87020764000127"</f>
        <v>87020764000127</v>
      </c>
      <c r="H173" t="str">
        <f>"0"</f>
        <v>0</v>
      </c>
      <c r="I173" t="str">
        <f t="shared" si="70"/>
        <v>CONTA OPTICA</v>
      </c>
      <c r="J173" t="str">
        <f>"JOALHERIA SCIESSERE LTDA"</f>
        <v>JOALHERIA SCIESSERE LTDA</v>
      </c>
      <c r="K173" t="str">
        <f>"JOALHERIA SCIESSERE LTDA (878)"</f>
        <v>JOALHERIA SCIESSERE LTDA (878)</v>
      </c>
      <c r="L173" t="str">
        <f>""</f>
        <v/>
      </c>
      <c r="M173" t="str">
        <f>""</f>
        <v/>
      </c>
      <c r="N173" t="str">
        <f>"adelmir.adm@sciessere.com.br"</f>
        <v>adelmir.adm@sciessere.com.br</v>
      </c>
      <c r="O173" t="str">
        <f>""</f>
        <v/>
      </c>
      <c r="P173" t="str">
        <f>"RUA MOROM"</f>
        <v>RUA MOROM</v>
      </c>
      <c r="Q173" t="str">
        <f>"1611"</f>
        <v>1611</v>
      </c>
      <c r="R173" t="str">
        <f>""</f>
        <v/>
      </c>
      <c r="S173" t="str">
        <f>"1383"</f>
        <v>1383</v>
      </c>
      <c r="T173" t="str">
        <f>"99010033"</f>
        <v>99010033</v>
      </c>
      <c r="U173" t="str">
        <f>"CENTRO"</f>
        <v>CENTRO</v>
      </c>
      <c r="V173" t="str">
        <f>"PASSO FUNDO"</f>
        <v>PASSO FUNDO</v>
      </c>
      <c r="W173" t="str">
        <f>"RS"</f>
        <v>RS</v>
      </c>
      <c r="X173" t="str">
        <f>"54"</f>
        <v>54</v>
      </c>
      <c r="Y173" t="str">
        <f>"33136807"</f>
        <v>33136807</v>
      </c>
      <c r="Z173" t="str">
        <f>""</f>
        <v/>
      </c>
      <c r="AA173" t="str">
        <f>""</f>
        <v/>
      </c>
      <c r="AB173" t="str">
        <f>""</f>
        <v/>
      </c>
      <c r="AC173" t="str">
        <f>""</f>
        <v/>
      </c>
      <c r="AD173" t="str">
        <f>""</f>
        <v/>
      </c>
      <c r="AE173" t="str">
        <f>""</f>
        <v/>
      </c>
      <c r="AF173" t="str">
        <f>""</f>
        <v/>
      </c>
      <c r="AG173" t="str">
        <f>"S"</f>
        <v>S</v>
      </c>
      <c r="AH173" t="str">
        <f>""</f>
        <v/>
      </c>
      <c r="AI173" t="str">
        <f>""</f>
        <v/>
      </c>
      <c r="AJ173" t="str">
        <f>""</f>
        <v/>
      </c>
      <c r="AK173" t="str">
        <f>""</f>
        <v/>
      </c>
      <c r="AL173" t="str">
        <f>""</f>
        <v/>
      </c>
      <c r="AM173" t="str">
        <f>""</f>
        <v/>
      </c>
      <c r="AN173" t="str">
        <f>""</f>
        <v/>
      </c>
      <c r="AO173" t="str">
        <f>""</f>
        <v/>
      </c>
      <c r="AP173" t="str">
        <f>""</f>
        <v/>
      </c>
      <c r="AQ173" t="str">
        <f t="shared" si="89"/>
        <v>N</v>
      </c>
      <c r="AR173" t="str">
        <f t="shared" si="89"/>
        <v>N</v>
      </c>
      <c r="AS173" t="str">
        <f t="shared" si="89"/>
        <v>N</v>
      </c>
      <c r="AT173" t="str">
        <f t="shared" si="89"/>
        <v>N</v>
      </c>
      <c r="AU173" t="str">
        <f t="shared" si="89"/>
        <v>N</v>
      </c>
      <c r="AV173" t="str">
        <f>""</f>
        <v/>
      </c>
      <c r="AW173" t="str">
        <f>""</f>
        <v/>
      </c>
      <c r="AX173" t="str">
        <f>""</f>
        <v/>
      </c>
      <c r="AY173" t="str">
        <f>""</f>
        <v/>
      </c>
      <c r="AZ173" t="str">
        <f>""</f>
        <v/>
      </c>
      <c r="BA173" t="str">
        <f>""</f>
        <v/>
      </c>
      <c r="BB173" t="str">
        <f>"01/07/2021 13:53:04"</f>
        <v>01/07/2021 13:53:04</v>
      </c>
      <c r="BC173" t="str">
        <f>"18/05/2022 10:36:31"</f>
        <v>18/05/2022 10:36:31</v>
      </c>
      <c r="BD173" t="str">
        <f>""</f>
        <v/>
      </c>
      <c r="BE173" t="str">
        <f>""</f>
        <v/>
      </c>
      <c r="BF173" t="str">
        <f t="shared" si="71"/>
        <v>A</v>
      </c>
      <c r="BG173" t="str">
        <f>""</f>
        <v/>
      </c>
      <c r="BH173" t="str">
        <f>"0,00"</f>
        <v>0,00</v>
      </c>
      <c r="BI173" t="str">
        <f t="shared" si="87"/>
        <v>EVENTUAL</v>
      </c>
      <c r="BJ173" t="str">
        <f t="shared" si="72"/>
        <v>1</v>
      </c>
      <c r="BK173" t="str">
        <f t="shared" si="73"/>
        <v>Farmacia</v>
      </c>
      <c r="BL173" t="str">
        <f>""</f>
        <v/>
      </c>
      <c r="BM173" t="str">
        <f>"NÃO É VARILUX ESPECIALISTA"</f>
        <v>NÃO É VARILUX ESPECIALISTA</v>
      </c>
      <c r="BN173" t="str">
        <f>"NA"</f>
        <v>NA</v>
      </c>
      <c r="BO173" t="str">
        <f>"FOCO VARILUX DIGITAL"</f>
        <v>FOCO VARILUX DIGITAL</v>
      </c>
      <c r="BP173" t="str">
        <f>""</f>
        <v/>
      </c>
      <c r="BQ173" t="str">
        <f>""</f>
        <v/>
      </c>
      <c r="BR173" t="str">
        <f>"01/07/2021"</f>
        <v>01/07/2021</v>
      </c>
      <c r="BS173" t="str">
        <f>"18/05/2022"</f>
        <v>18/05/2022</v>
      </c>
      <c r="BT173" t="str">
        <f>""</f>
        <v/>
      </c>
      <c r="BU173" t="str">
        <f>""</f>
        <v/>
      </c>
      <c r="BV173" t="str">
        <f>""</f>
        <v/>
      </c>
      <c r="BW173" t="str">
        <f>"101"</f>
        <v>101</v>
      </c>
    </row>
    <row r="174" spans="1:75" x14ac:dyDescent="0.35">
      <c r="A174">
        <v>144488</v>
      </c>
      <c r="B174" t="str">
        <f t="shared" si="65"/>
        <v>A</v>
      </c>
      <c r="C174" t="str">
        <f t="shared" si="66"/>
        <v>80</v>
      </c>
      <c r="D174" t="str">
        <f t="shared" si="67"/>
        <v>11121001</v>
      </c>
      <c r="E174" t="str">
        <f t="shared" si="68"/>
        <v>121001</v>
      </c>
      <c r="F174" t="str">
        <f t="shared" si="69"/>
        <v>JENIFER SANTOS</v>
      </c>
      <c r="G174" t="str">
        <f>"79274767000169"</f>
        <v>79274767000169</v>
      </c>
      <c r="H174" t="str">
        <f>""</f>
        <v/>
      </c>
      <c r="I174" t="str">
        <f t="shared" si="70"/>
        <v>CONTA OPTICA</v>
      </c>
      <c r="J174" t="str">
        <f>"JOALHERIA SEIFERT LTDA EPP"</f>
        <v>JOALHERIA SEIFERT LTDA EPP</v>
      </c>
      <c r="K174" t="str">
        <f>"JOALHERIA SEIFERT LTDA (176)"</f>
        <v>JOALHERIA SEIFERT LTDA (176)</v>
      </c>
      <c r="L174" t="str">
        <f>""</f>
        <v/>
      </c>
      <c r="M174" t="str">
        <f>""</f>
        <v/>
      </c>
      <c r="N174" t="str">
        <f>"seifert@seifert.com.br"</f>
        <v>seifert@seifert.com.br</v>
      </c>
      <c r="O174" t="str">
        <f>""</f>
        <v/>
      </c>
      <c r="P174" t="str">
        <f>"RUA MARECHAL FLORIANO PEIXOTO"</f>
        <v>RUA MARECHAL FLORIANO PEIXOTO</v>
      </c>
      <c r="Q174" t="str">
        <f>"29"</f>
        <v>29</v>
      </c>
      <c r="R174" t="str">
        <f>""</f>
        <v/>
      </c>
      <c r="S174" t="str">
        <f>"1280"</f>
        <v>1280</v>
      </c>
      <c r="T174" t="str">
        <f>"89251150"</f>
        <v>89251150</v>
      </c>
      <c r="U174" t="str">
        <f>"CENTRO"</f>
        <v>CENTRO</v>
      </c>
      <c r="V174" t="str">
        <f>"JARAGUÁ DO SUL"</f>
        <v>JARAGUÁ DO SUL</v>
      </c>
      <c r="W174" t="str">
        <f>"SC"</f>
        <v>SC</v>
      </c>
      <c r="X174" t="str">
        <f>"47"</f>
        <v>47</v>
      </c>
      <c r="Y174" t="str">
        <f>"33711911"</f>
        <v>33711911</v>
      </c>
      <c r="Z174" t="str">
        <f>""</f>
        <v/>
      </c>
      <c r="AA174" t="str">
        <f>""</f>
        <v/>
      </c>
      <c r="AB174" t="str">
        <f>""</f>
        <v/>
      </c>
      <c r="AC174" t="str">
        <f>""</f>
        <v/>
      </c>
      <c r="AD174" t="str">
        <f>""</f>
        <v/>
      </c>
      <c r="AE174" t="str">
        <f>""</f>
        <v/>
      </c>
      <c r="AF174" t="str">
        <f>""</f>
        <v/>
      </c>
      <c r="AG174" t="str">
        <f>""</f>
        <v/>
      </c>
      <c r="AH174" t="str">
        <f>""</f>
        <v/>
      </c>
      <c r="AI174" t="str">
        <f>""</f>
        <v/>
      </c>
      <c r="AJ174" t="str">
        <f>"0"</f>
        <v>0</v>
      </c>
      <c r="AK174" t="str">
        <f>"0"</f>
        <v>0</v>
      </c>
      <c r="AL174" t="str">
        <f>"0"</f>
        <v>0</v>
      </c>
      <c r="AM174" t="str">
        <f>""</f>
        <v/>
      </c>
      <c r="AN174" t="str">
        <f>""</f>
        <v/>
      </c>
      <c r="AO174" t="str">
        <f>""</f>
        <v/>
      </c>
      <c r="AP174" t="str">
        <f>""</f>
        <v/>
      </c>
      <c r="AQ174" t="str">
        <f>""</f>
        <v/>
      </c>
      <c r="AR174" t="str">
        <f>""</f>
        <v/>
      </c>
      <c r="AS174" t="str">
        <f>""</f>
        <v/>
      </c>
      <c r="AT174" t="str">
        <f>""</f>
        <v/>
      </c>
      <c r="AU174" t="str">
        <f>""</f>
        <v/>
      </c>
      <c r="AV174" t="str">
        <f>""</f>
        <v/>
      </c>
      <c r="AW174" t="str">
        <f>""</f>
        <v/>
      </c>
      <c r="AX174" t="str">
        <f>""</f>
        <v/>
      </c>
      <c r="AY174" t="str">
        <f>""</f>
        <v/>
      </c>
      <c r="AZ174" t="str">
        <f>""</f>
        <v/>
      </c>
      <c r="BA174" t="str">
        <f>""</f>
        <v/>
      </c>
      <c r="BB174" t="str">
        <f>""</f>
        <v/>
      </c>
      <c r="BC174" t="str">
        <f>""</f>
        <v/>
      </c>
      <c r="BD174" t="str">
        <f>""</f>
        <v/>
      </c>
      <c r="BE174" t="str">
        <f>""</f>
        <v/>
      </c>
      <c r="BF174" t="str">
        <f t="shared" si="71"/>
        <v>A</v>
      </c>
      <c r="BG174" t="str">
        <f>"0,00"</f>
        <v>0,00</v>
      </c>
      <c r="BH174" t="str">
        <f>"0,00"</f>
        <v>0,00</v>
      </c>
      <c r="BI174" t="str">
        <f t="shared" si="87"/>
        <v>EVENTUAL</v>
      </c>
      <c r="BJ174" t="str">
        <f t="shared" si="72"/>
        <v>1</v>
      </c>
      <c r="BK174" t="str">
        <f t="shared" si="73"/>
        <v>Farmacia</v>
      </c>
      <c r="BL174" t="str">
        <f>""</f>
        <v/>
      </c>
      <c r="BM174" t="str">
        <f>"VARILUX ESPECIALISTA SELECT"</f>
        <v>VARILUX ESPECIALISTA SELECT</v>
      </c>
      <c r="BN174" t="str">
        <f>"NA"</f>
        <v>NA</v>
      </c>
      <c r="BO174" t="str">
        <f>"FOCO VARILUX DIGITAL"</f>
        <v>FOCO VARILUX DIGITAL</v>
      </c>
      <c r="BP174" t="str">
        <f>""</f>
        <v/>
      </c>
      <c r="BQ174" t="str">
        <f>""</f>
        <v/>
      </c>
      <c r="BR174" t="str">
        <f>""</f>
        <v/>
      </c>
      <c r="BS174" t="str">
        <f>""</f>
        <v/>
      </c>
      <c r="BT174" t="str">
        <f>""</f>
        <v/>
      </c>
      <c r="BU174" t="str">
        <f>""</f>
        <v/>
      </c>
      <c r="BV174" t="str">
        <f>"3"</f>
        <v>3</v>
      </c>
      <c r="BW174" t="str">
        <f>"18"</f>
        <v>18</v>
      </c>
    </row>
    <row r="175" spans="1:75" x14ac:dyDescent="0.35">
      <c r="A175">
        <v>157544</v>
      </c>
      <c r="B175" t="str">
        <f t="shared" si="65"/>
        <v>A</v>
      </c>
      <c r="C175" t="str">
        <f t="shared" si="66"/>
        <v>80</v>
      </c>
      <c r="D175" t="str">
        <f t="shared" si="67"/>
        <v>11121001</v>
      </c>
      <c r="E175" t="str">
        <f t="shared" si="68"/>
        <v>121001</v>
      </c>
      <c r="F175" t="str">
        <f t="shared" si="69"/>
        <v>JENIFER SANTOS</v>
      </c>
      <c r="G175" t="str">
        <f>"95592853000176"</f>
        <v>95592853000176</v>
      </c>
      <c r="H175" t="str">
        <f>"0"</f>
        <v>0</v>
      </c>
      <c r="I175" t="str">
        <f t="shared" si="70"/>
        <v>CONTA OPTICA</v>
      </c>
      <c r="J175" t="str">
        <f>"JOALHERIA TECNOTICA LTDA"</f>
        <v>JOALHERIA TECNOTICA LTDA</v>
      </c>
      <c r="K175" t="str">
        <f>"BRASOPTICA (2195)"</f>
        <v>BRASOPTICA (2195)</v>
      </c>
      <c r="L175" t="str">
        <f>""</f>
        <v/>
      </c>
      <c r="M175" t="str">
        <f>""</f>
        <v/>
      </c>
      <c r="N175" t="str">
        <f>"GUSTAVO@BRASOPTICA.COM.BR"</f>
        <v>GUSTAVO@BRASOPTICA.COM.BR</v>
      </c>
      <c r="O175" t="str">
        <f>""</f>
        <v/>
      </c>
      <c r="P175" t="str">
        <f>"RUA URUGUAI"</f>
        <v>RUA URUGUAI</v>
      </c>
      <c r="Q175" t="str">
        <f>"1570"</f>
        <v>1570</v>
      </c>
      <c r="R175" t="str">
        <f>"SALAS 06 E 07"</f>
        <v>SALAS 06 E 07</v>
      </c>
      <c r="S175" t="str">
        <f>"1383"</f>
        <v>1383</v>
      </c>
      <c r="T175" t="str">
        <f>"99010111"</f>
        <v>99010111</v>
      </c>
      <c r="U175" t="str">
        <f>"CENTRO"</f>
        <v>CENTRO</v>
      </c>
      <c r="V175" t="str">
        <f>"PASSO FUNDO"</f>
        <v>PASSO FUNDO</v>
      </c>
      <c r="W175" t="str">
        <f>"RS"</f>
        <v>RS</v>
      </c>
      <c r="X175" t="str">
        <f>"54"</f>
        <v>54</v>
      </c>
      <c r="Y175" t="str">
        <f>"21035742"</f>
        <v>21035742</v>
      </c>
      <c r="Z175" t="str">
        <f>""</f>
        <v/>
      </c>
      <c r="AA175" t="str">
        <f>""</f>
        <v/>
      </c>
      <c r="AB175" t="str">
        <f>""</f>
        <v/>
      </c>
      <c r="AC175" t="str">
        <f>""</f>
        <v/>
      </c>
      <c r="AD175" t="str">
        <f>""</f>
        <v/>
      </c>
      <c r="AE175" t="str">
        <f>""</f>
        <v/>
      </c>
      <c r="AF175" t="str">
        <f>""</f>
        <v/>
      </c>
      <c r="AG175" t="str">
        <f>""</f>
        <v/>
      </c>
      <c r="AH175" t="str">
        <f>""</f>
        <v/>
      </c>
      <c r="AI175" t="str">
        <f>""</f>
        <v/>
      </c>
      <c r="AJ175" t="str">
        <f>""</f>
        <v/>
      </c>
      <c r="AK175" t="str">
        <f>""</f>
        <v/>
      </c>
      <c r="AL175" t="str">
        <f>""</f>
        <v/>
      </c>
      <c r="AM175" t="str">
        <f>""</f>
        <v/>
      </c>
      <c r="AN175" t="str">
        <f>""</f>
        <v/>
      </c>
      <c r="AO175" t="str">
        <f>""</f>
        <v/>
      </c>
      <c r="AP175" t="str">
        <f>""</f>
        <v/>
      </c>
      <c r="AQ175" t="str">
        <f>""</f>
        <v/>
      </c>
      <c r="AR175" t="str">
        <f>""</f>
        <v/>
      </c>
      <c r="AS175" t="str">
        <f>""</f>
        <v/>
      </c>
      <c r="AT175" t="str">
        <f>""</f>
        <v/>
      </c>
      <c r="AU175" t="str">
        <f>""</f>
        <v/>
      </c>
      <c r="AV175" t="str">
        <f>""</f>
        <v/>
      </c>
      <c r="AW175" t="str">
        <f>""</f>
        <v/>
      </c>
      <c r="AX175" t="str">
        <f>""</f>
        <v/>
      </c>
      <c r="AY175" t="str">
        <f>""</f>
        <v/>
      </c>
      <c r="AZ175" t="str">
        <f>""</f>
        <v/>
      </c>
      <c r="BA175" t="str">
        <f>""</f>
        <v/>
      </c>
      <c r="BB175" t="str">
        <f>"11/07/2023 02:14:29"</f>
        <v>11/07/2023 02:14:29</v>
      </c>
      <c r="BC175" t="str">
        <f>""</f>
        <v/>
      </c>
      <c r="BD175" t="str">
        <f>""</f>
        <v/>
      </c>
      <c r="BE175" t="str">
        <f>""</f>
        <v/>
      </c>
      <c r="BF175" t="str">
        <f t="shared" si="71"/>
        <v>A</v>
      </c>
      <c r="BG175" t="str">
        <f>""</f>
        <v/>
      </c>
      <c r="BH175" t="str">
        <f>""</f>
        <v/>
      </c>
      <c r="BI175" t="str">
        <f t="shared" si="87"/>
        <v>EVENTUAL</v>
      </c>
      <c r="BJ175" t="str">
        <f t="shared" si="72"/>
        <v>1</v>
      </c>
      <c r="BK175" t="str">
        <f t="shared" si="73"/>
        <v>Farmacia</v>
      </c>
      <c r="BL175" t="str">
        <f>""</f>
        <v/>
      </c>
      <c r="BM175" t="str">
        <f>""</f>
        <v/>
      </c>
      <c r="BN175" t="str">
        <f>""</f>
        <v/>
      </c>
      <c r="BO175" t="str">
        <f>""</f>
        <v/>
      </c>
      <c r="BP175" t="str">
        <f>""</f>
        <v/>
      </c>
      <c r="BQ175" t="str">
        <f>""</f>
        <v/>
      </c>
      <c r="BR175" t="str">
        <f>"11/07/2023"</f>
        <v>11/07/2023</v>
      </c>
      <c r="BS175" t="str">
        <f>""</f>
        <v/>
      </c>
      <c r="BT175" t="str">
        <f>""</f>
        <v/>
      </c>
      <c r="BU175" t="str">
        <f>""</f>
        <v/>
      </c>
      <c r="BV175" t="str">
        <f>""</f>
        <v/>
      </c>
      <c r="BW175" t="str">
        <f>"Não visitado"</f>
        <v>Não visitado</v>
      </c>
    </row>
    <row r="176" spans="1:75" x14ac:dyDescent="0.35">
      <c r="A176">
        <v>1224</v>
      </c>
      <c r="B176" t="str">
        <f t="shared" si="65"/>
        <v>A</v>
      </c>
      <c r="C176" t="str">
        <f t="shared" si="66"/>
        <v>80</v>
      </c>
      <c r="D176" t="str">
        <f t="shared" si="67"/>
        <v>11121001</v>
      </c>
      <c r="E176" t="str">
        <f t="shared" si="68"/>
        <v>121001</v>
      </c>
      <c r="F176" t="str">
        <f t="shared" si="69"/>
        <v>JENIFER SANTOS</v>
      </c>
      <c r="G176" t="str">
        <f>"00402005000140"</f>
        <v>00402005000140</v>
      </c>
      <c r="H176" t="str">
        <f>""</f>
        <v/>
      </c>
      <c r="I176" t="str">
        <f t="shared" si="70"/>
        <v>CONTA OPTICA</v>
      </c>
      <c r="J176" t="str">
        <f>"JOALHERIA ZABER LTDA EPP"</f>
        <v>JOALHERIA ZABER LTDA EPP</v>
      </c>
      <c r="K176" t="str">
        <f>"JOALHERIA ZABER LTDA EPP (672)"</f>
        <v>JOALHERIA ZABER LTDA EPP (672)</v>
      </c>
      <c r="L176" t="str">
        <f>""</f>
        <v/>
      </c>
      <c r="M176" t="str">
        <f>""</f>
        <v/>
      </c>
      <c r="N176" t="str">
        <f>"joalheriazaber@gmail.com"</f>
        <v>joalheriazaber@gmail.com</v>
      </c>
      <c r="O176" t="str">
        <f>""</f>
        <v/>
      </c>
      <c r="P176" t="str">
        <f>"AVENIDA MARECHAL DEODORO DA FONSECA"</f>
        <v>AVENIDA MARECHAL DEODORO DA FONSECA</v>
      </c>
      <c r="Q176" t="str">
        <f>"173"</f>
        <v>173</v>
      </c>
      <c r="R176" t="str">
        <f>""</f>
        <v/>
      </c>
      <c r="S176" t="str">
        <f>"1280"</f>
        <v>1280</v>
      </c>
      <c r="T176" t="str">
        <f>"89251700"</f>
        <v>89251700</v>
      </c>
      <c r="U176" t="str">
        <f>"CENTRO"</f>
        <v>CENTRO</v>
      </c>
      <c r="V176" t="str">
        <f>"JARAGUÁ DO SUL"</f>
        <v>JARAGUÁ DO SUL</v>
      </c>
      <c r="W176" t="str">
        <f t="shared" ref="W176:W186" si="90">"SC"</f>
        <v>SC</v>
      </c>
      <c r="X176" t="str">
        <f>"47"</f>
        <v>47</v>
      </c>
      <c r="Y176" t="str">
        <f>"33718583"</f>
        <v>33718583</v>
      </c>
      <c r="Z176" t="str">
        <f>""</f>
        <v/>
      </c>
      <c r="AA176" t="str">
        <f>""</f>
        <v/>
      </c>
      <c r="AB176" t="str">
        <f>""</f>
        <v/>
      </c>
      <c r="AC176" t="str">
        <f>""</f>
        <v/>
      </c>
      <c r="AD176" t="str">
        <f>""</f>
        <v/>
      </c>
      <c r="AE176" t="str">
        <f>""</f>
        <v/>
      </c>
      <c r="AF176" t="str">
        <f>""</f>
        <v/>
      </c>
      <c r="AG176" t="str">
        <f>""</f>
        <v/>
      </c>
      <c r="AH176" t="str">
        <f>""</f>
        <v/>
      </c>
      <c r="AI176" t="str">
        <f>""</f>
        <v/>
      </c>
      <c r="AJ176" t="str">
        <f>"0"</f>
        <v>0</v>
      </c>
      <c r="AK176" t="str">
        <f>"0"</f>
        <v>0</v>
      </c>
      <c r="AL176" t="str">
        <f>"0"</f>
        <v>0</v>
      </c>
      <c r="AM176" t="str">
        <f>""</f>
        <v/>
      </c>
      <c r="AN176" t="str">
        <f>""</f>
        <v/>
      </c>
      <c r="AO176" t="str">
        <f>""</f>
        <v/>
      </c>
      <c r="AP176" t="str">
        <f>""</f>
        <v/>
      </c>
      <c r="AQ176" t="str">
        <f>""</f>
        <v/>
      </c>
      <c r="AR176" t="str">
        <f>""</f>
        <v/>
      </c>
      <c r="AS176" t="str">
        <f>""</f>
        <v/>
      </c>
      <c r="AT176" t="str">
        <f>""</f>
        <v/>
      </c>
      <c r="AU176" t="str">
        <f>""</f>
        <v/>
      </c>
      <c r="AV176" t="str">
        <f>""</f>
        <v/>
      </c>
      <c r="AW176" t="str">
        <f>""</f>
        <v/>
      </c>
      <c r="AX176" t="str">
        <f>""</f>
        <v/>
      </c>
      <c r="AY176" t="str">
        <f>""</f>
        <v/>
      </c>
      <c r="AZ176" t="str">
        <f>""</f>
        <v/>
      </c>
      <c r="BA176" t="str">
        <f>""</f>
        <v/>
      </c>
      <c r="BB176" t="str">
        <f>"27/07/2018 09:26:10"</f>
        <v>27/07/2018 09:26:10</v>
      </c>
      <c r="BC176" t="str">
        <f>""</f>
        <v/>
      </c>
      <c r="BD176" t="str">
        <f>""</f>
        <v/>
      </c>
      <c r="BE176" t="str">
        <f>"1224"</f>
        <v>1224</v>
      </c>
      <c r="BF176" t="str">
        <f t="shared" si="71"/>
        <v>A</v>
      </c>
      <c r="BG176" t="str">
        <f>"0,00"</f>
        <v>0,00</v>
      </c>
      <c r="BH176" t="str">
        <f>"0,00"</f>
        <v>0,00</v>
      </c>
      <c r="BI176" t="str">
        <f t="shared" si="87"/>
        <v>EVENTUAL</v>
      </c>
      <c r="BJ176" t="str">
        <f t="shared" si="72"/>
        <v>1</v>
      </c>
      <c r="BK176" t="str">
        <f t="shared" si="73"/>
        <v>Farmacia</v>
      </c>
      <c r="BL176" t="str">
        <f>""</f>
        <v/>
      </c>
      <c r="BM176" t="str">
        <f>"NÃO É VARILUX ESPECIALISTA"</f>
        <v>NÃO É VARILUX ESPECIALISTA</v>
      </c>
      <c r="BN176" t="str">
        <f>"NA"</f>
        <v>NA</v>
      </c>
      <c r="BO176" t="str">
        <f>"FOCO KODAK 2"</f>
        <v>FOCO KODAK 2</v>
      </c>
      <c r="BP176" t="str">
        <f>""</f>
        <v/>
      </c>
      <c r="BQ176" t="str">
        <f>""</f>
        <v/>
      </c>
      <c r="BR176" t="str">
        <f>"27/07/2018"</f>
        <v>27/07/2018</v>
      </c>
      <c r="BS176" t="str">
        <f>""</f>
        <v/>
      </c>
      <c r="BT176" t="str">
        <f>""</f>
        <v/>
      </c>
      <c r="BU176" t="str">
        <f>""</f>
        <v/>
      </c>
      <c r="BV176" t="str">
        <f>"6"</f>
        <v>6</v>
      </c>
      <c r="BW176" t="str">
        <f>"46"</f>
        <v>46</v>
      </c>
    </row>
    <row r="177" spans="1:75" x14ac:dyDescent="0.35">
      <c r="A177">
        <v>138091</v>
      </c>
      <c r="B177" t="str">
        <f t="shared" si="65"/>
        <v>A</v>
      </c>
      <c r="C177" t="str">
        <f t="shared" si="66"/>
        <v>80</v>
      </c>
      <c r="D177" t="str">
        <f t="shared" si="67"/>
        <v>11121001</v>
      </c>
      <c r="E177" t="str">
        <f t="shared" si="68"/>
        <v>121001</v>
      </c>
      <c r="F177" t="str">
        <f t="shared" si="69"/>
        <v>JENIFER SANTOS</v>
      </c>
      <c r="G177" t="str">
        <f>"73225260000139"</f>
        <v>73225260000139</v>
      </c>
      <c r="H177" t="str">
        <f>"0"</f>
        <v>0</v>
      </c>
      <c r="I177" t="str">
        <f t="shared" si="70"/>
        <v>CONTA OPTICA</v>
      </c>
      <c r="J177" t="str">
        <f>"JOIAS E RELOGIOS CAVALCANTI LTDA"</f>
        <v>JOIAS E RELOGIOS CAVALCANTI LTDA</v>
      </c>
      <c r="K177" t="str">
        <f>"CIA DO RELOGIO (308)"</f>
        <v>CIA DO RELOGIO (308)</v>
      </c>
      <c r="L177" t="str">
        <f>""</f>
        <v/>
      </c>
      <c r="M177" t="str">
        <f>""</f>
        <v/>
      </c>
      <c r="N177" t="str">
        <f>"joiaserelogioscavalcanti@hotmail.com"</f>
        <v>joiaserelogioscavalcanti@hotmail.com</v>
      </c>
      <c r="O177" t="str">
        <f>""</f>
        <v/>
      </c>
      <c r="P177" t="str">
        <f>"RUA GETULIO DORNELES VARGAS"</f>
        <v>RUA GETULIO DORNELES VARGAS</v>
      </c>
      <c r="Q177" t="str">
        <f>"381"</f>
        <v>381</v>
      </c>
      <c r="R177" t="str">
        <f>""</f>
        <v/>
      </c>
      <c r="S177" t="str">
        <f>"1287"</f>
        <v>1287</v>
      </c>
      <c r="T177" t="str">
        <f>"89802000"</f>
        <v>89802000</v>
      </c>
      <c r="U177" t="str">
        <f>"CENTRO"</f>
        <v>CENTRO</v>
      </c>
      <c r="V177" t="str">
        <f>"CHAPECÓ"</f>
        <v>CHAPECÓ</v>
      </c>
      <c r="W177" t="str">
        <f t="shared" si="90"/>
        <v>SC</v>
      </c>
      <c r="X177" t="str">
        <f>"49"</f>
        <v>49</v>
      </c>
      <c r="Y177" t="str">
        <f>"33239427"</f>
        <v>33239427</v>
      </c>
      <c r="Z177" t="str">
        <f>""</f>
        <v/>
      </c>
      <c r="AA177" t="str">
        <f>""</f>
        <v/>
      </c>
      <c r="AB177" t="str">
        <f>""</f>
        <v/>
      </c>
      <c r="AC177" t="str">
        <f>""</f>
        <v/>
      </c>
      <c r="AD177" t="str">
        <f>""</f>
        <v/>
      </c>
      <c r="AE177" t="str">
        <f>""</f>
        <v/>
      </c>
      <c r="AF177" t="str">
        <f>""</f>
        <v/>
      </c>
      <c r="AG177" t="str">
        <f>"S"</f>
        <v>S</v>
      </c>
      <c r="AH177" t="str">
        <f>""</f>
        <v/>
      </c>
      <c r="AI177" t="str">
        <f>""</f>
        <v/>
      </c>
      <c r="AJ177" t="str">
        <f>""</f>
        <v/>
      </c>
      <c r="AK177" t="str">
        <f>""</f>
        <v/>
      </c>
      <c r="AL177" t="str">
        <f>""</f>
        <v/>
      </c>
      <c r="AM177" t="str">
        <f>""</f>
        <v/>
      </c>
      <c r="AN177" t="str">
        <f>""</f>
        <v/>
      </c>
      <c r="AO177" t="str">
        <f>""</f>
        <v/>
      </c>
      <c r="AP177" t="str">
        <f>""</f>
        <v/>
      </c>
      <c r="AQ177" t="str">
        <f>"N"</f>
        <v>N</v>
      </c>
      <c r="AR177" t="str">
        <f>"N"</f>
        <v>N</v>
      </c>
      <c r="AS177" t="str">
        <f>"N"</f>
        <v>N</v>
      </c>
      <c r="AT177" t="str">
        <f>"N"</f>
        <v>N</v>
      </c>
      <c r="AU177" t="str">
        <f>"N"</f>
        <v>N</v>
      </c>
      <c r="AV177" t="str">
        <f>""</f>
        <v/>
      </c>
      <c r="AW177" t="str">
        <f>""</f>
        <v/>
      </c>
      <c r="AX177" t="str">
        <f>""</f>
        <v/>
      </c>
      <c r="AY177" t="str">
        <f>""</f>
        <v/>
      </c>
      <c r="AZ177" t="str">
        <f>""</f>
        <v/>
      </c>
      <c r="BA177" t="str">
        <f>""</f>
        <v/>
      </c>
      <c r="BB177" t="str">
        <f>"01/07/2021 13:53:04"</f>
        <v>01/07/2021 13:53:04</v>
      </c>
      <c r="BC177" t="str">
        <f>"16/03/2022 10:05:23"</f>
        <v>16/03/2022 10:05:23</v>
      </c>
      <c r="BD177" t="str">
        <f>""</f>
        <v/>
      </c>
      <c r="BE177" t="str">
        <f>""</f>
        <v/>
      </c>
      <c r="BF177" t="str">
        <f t="shared" si="71"/>
        <v>A</v>
      </c>
      <c r="BG177" t="str">
        <f>""</f>
        <v/>
      </c>
      <c r="BH177" t="str">
        <f>"0,00"</f>
        <v>0,00</v>
      </c>
      <c r="BI177" t="str">
        <f t="shared" si="87"/>
        <v>EVENTUAL</v>
      </c>
      <c r="BJ177" t="str">
        <f t="shared" si="72"/>
        <v>1</v>
      </c>
      <c r="BK177" t="str">
        <f t="shared" si="73"/>
        <v>Farmacia</v>
      </c>
      <c r="BL177" t="str">
        <f>""</f>
        <v/>
      </c>
      <c r="BM177" t="str">
        <f>"NÃO É VARILUX ESPECIALISTA"</f>
        <v>NÃO É VARILUX ESPECIALISTA</v>
      </c>
      <c r="BN177" t="str">
        <f>"NA"</f>
        <v>NA</v>
      </c>
      <c r="BO177" t="str">
        <f>"FOCO VARILUX DIGITAL"</f>
        <v>FOCO VARILUX DIGITAL</v>
      </c>
      <c r="BP177" t="str">
        <f>""</f>
        <v/>
      </c>
      <c r="BQ177" t="str">
        <f>""</f>
        <v/>
      </c>
      <c r="BR177" t="str">
        <f>"01/07/2021"</f>
        <v>01/07/2021</v>
      </c>
      <c r="BS177" t="str">
        <f>"16/03/2022"</f>
        <v>16/03/2022</v>
      </c>
      <c r="BT177" t="str">
        <f>""</f>
        <v/>
      </c>
      <c r="BU177" t="str">
        <f>""</f>
        <v/>
      </c>
      <c r="BV177" t="str">
        <f>""</f>
        <v/>
      </c>
      <c r="BW177" t="str">
        <f>"311"</f>
        <v>311</v>
      </c>
    </row>
    <row r="178" spans="1:75" x14ac:dyDescent="0.35">
      <c r="A178">
        <v>144818</v>
      </c>
      <c r="B178" t="str">
        <f t="shared" si="65"/>
        <v>A</v>
      </c>
      <c r="C178" t="str">
        <f t="shared" si="66"/>
        <v>80</v>
      </c>
      <c r="D178" t="str">
        <f t="shared" si="67"/>
        <v>11121001</v>
      </c>
      <c r="E178" t="str">
        <f t="shared" si="68"/>
        <v>121001</v>
      </c>
      <c r="F178" t="str">
        <f t="shared" si="69"/>
        <v>JENIFER SANTOS</v>
      </c>
      <c r="G178" t="str">
        <f>"42243783000184"</f>
        <v>42243783000184</v>
      </c>
      <c r="H178" t="str">
        <f>""</f>
        <v/>
      </c>
      <c r="I178" t="str">
        <f t="shared" si="70"/>
        <v>CONTA OPTICA</v>
      </c>
      <c r="J178" t="str">
        <f>"JOIB COMERCIO DE PRODUTOS OTICOS LTDA"</f>
        <v>JOIB COMERCIO DE PRODUTOS OTICOS LTDA</v>
      </c>
      <c r="K178" t="str">
        <f>"OTICAS CAROL (4339)"</f>
        <v>OTICAS CAROL (4339)</v>
      </c>
      <c r="L178" t="str">
        <f>""</f>
        <v/>
      </c>
      <c r="M178" t="str">
        <f>""</f>
        <v/>
      </c>
      <c r="N178" t="str">
        <f>"ADM.SC@OTICASCAROL.COM.BR"</f>
        <v>ADM.SC@OTICASCAROL.COM.BR</v>
      </c>
      <c r="O178" t="str">
        <f>""</f>
        <v/>
      </c>
      <c r="P178" t="str">
        <f>"RUA BLUMENAU"</f>
        <v>RUA BLUMENAU</v>
      </c>
      <c r="Q178" t="str">
        <f>"64"</f>
        <v>64</v>
      </c>
      <c r="R178" t="str">
        <f>"LOJA 16"</f>
        <v>LOJA 16</v>
      </c>
      <c r="S178" t="str">
        <f>""</f>
        <v/>
      </c>
      <c r="T178" t="str">
        <f>"89204250"</f>
        <v>89204250</v>
      </c>
      <c r="U178" t="str">
        <f>"AMERICA"</f>
        <v>AMERICA</v>
      </c>
      <c r="V178" t="str">
        <f>"JOINVILLE"</f>
        <v>JOINVILLE</v>
      </c>
      <c r="W178" t="str">
        <f t="shared" si="90"/>
        <v>SC</v>
      </c>
      <c r="X178" t="str">
        <f>"48"</f>
        <v>48</v>
      </c>
      <c r="Y178" t="str">
        <f>"32259791"</f>
        <v>32259791</v>
      </c>
      <c r="Z178" t="str">
        <f>""</f>
        <v/>
      </c>
      <c r="AA178" t="str">
        <f>""</f>
        <v/>
      </c>
      <c r="AB178" t="str">
        <f>""</f>
        <v/>
      </c>
      <c r="AC178" t="str">
        <f>""</f>
        <v/>
      </c>
      <c r="AD178" t="str">
        <f>""</f>
        <v/>
      </c>
      <c r="AE178" t="str">
        <f>""</f>
        <v/>
      </c>
      <c r="AF178" t="str">
        <f>""</f>
        <v/>
      </c>
      <c r="AG178" t="str">
        <f>""</f>
        <v/>
      </c>
      <c r="AH178" t="str">
        <f>""</f>
        <v/>
      </c>
      <c r="AI178" t="str">
        <f>""</f>
        <v/>
      </c>
      <c r="AJ178" t="str">
        <f>""</f>
        <v/>
      </c>
      <c r="AK178" t="str">
        <f>""</f>
        <v/>
      </c>
      <c r="AL178" t="str">
        <f>""</f>
        <v/>
      </c>
      <c r="AM178" t="str">
        <f>""</f>
        <v/>
      </c>
      <c r="AN178" t="str">
        <f>""</f>
        <v/>
      </c>
      <c r="AO178" t="str">
        <f>""</f>
        <v/>
      </c>
      <c r="AP178" t="str">
        <f>""</f>
        <v/>
      </c>
      <c r="AQ178" t="str">
        <f>""</f>
        <v/>
      </c>
      <c r="AR178" t="str">
        <f>""</f>
        <v/>
      </c>
      <c r="AS178" t="str">
        <f>""</f>
        <v/>
      </c>
      <c r="AT178" t="str">
        <f>""</f>
        <v/>
      </c>
      <c r="AU178" t="str">
        <f>""</f>
        <v/>
      </c>
      <c r="AV178" t="str">
        <f>""</f>
        <v/>
      </c>
      <c r="AW178" t="str">
        <f>""</f>
        <v/>
      </c>
      <c r="AX178" t="str">
        <f>""</f>
        <v/>
      </c>
      <c r="AY178" t="str">
        <f>""</f>
        <v/>
      </c>
      <c r="AZ178" t="str">
        <f>""</f>
        <v/>
      </c>
      <c r="BA178" t="str">
        <f>""</f>
        <v/>
      </c>
      <c r="BB178" t="str">
        <f>""</f>
        <v/>
      </c>
      <c r="BC178" t="str">
        <f>""</f>
        <v/>
      </c>
      <c r="BD178" t="str">
        <f>""</f>
        <v/>
      </c>
      <c r="BE178" t="str">
        <f>""</f>
        <v/>
      </c>
      <c r="BF178" t="str">
        <f t="shared" si="71"/>
        <v>A</v>
      </c>
      <c r="BG178" t="str">
        <f>""</f>
        <v/>
      </c>
      <c r="BH178" t="str">
        <f>""</f>
        <v/>
      </c>
      <c r="BI178" t="str">
        <f t="shared" si="87"/>
        <v>EVENTUAL</v>
      </c>
      <c r="BJ178" t="str">
        <f t="shared" si="72"/>
        <v>1</v>
      </c>
      <c r="BK178" t="str">
        <f t="shared" si="73"/>
        <v>Farmacia</v>
      </c>
      <c r="BL178" t="str">
        <f>""</f>
        <v/>
      </c>
      <c r="BM178" t="str">
        <f>"NÃO É VARILUX ESPECIALISTA"</f>
        <v>NÃO É VARILUX ESPECIALISTA</v>
      </c>
      <c r="BN178" t="str">
        <f>"NA"</f>
        <v>NA</v>
      </c>
      <c r="BO178" t="str">
        <f>"FOCO VARILUX DIGITAL"</f>
        <v>FOCO VARILUX DIGITAL</v>
      </c>
      <c r="BP178" t="str">
        <f>""</f>
        <v/>
      </c>
      <c r="BQ178" t="str">
        <f>""</f>
        <v/>
      </c>
      <c r="BR178" t="str">
        <f>""</f>
        <v/>
      </c>
      <c r="BS178" t="str">
        <f>""</f>
        <v/>
      </c>
      <c r="BT178" t="str">
        <f>""</f>
        <v/>
      </c>
      <c r="BU178" t="str">
        <f>""</f>
        <v/>
      </c>
      <c r="BV178" t="str">
        <f>""</f>
        <v/>
      </c>
      <c r="BW178" t="str">
        <f>"155"</f>
        <v>155</v>
      </c>
    </row>
    <row r="179" spans="1:75" x14ac:dyDescent="0.35">
      <c r="A179">
        <v>156768</v>
      </c>
      <c r="B179" t="str">
        <f t="shared" si="65"/>
        <v>A</v>
      </c>
      <c r="C179" t="str">
        <f t="shared" si="66"/>
        <v>80</v>
      </c>
      <c r="D179" t="str">
        <f t="shared" si="67"/>
        <v>11121001</v>
      </c>
      <c r="E179" t="str">
        <f t="shared" si="68"/>
        <v>121001</v>
      </c>
      <c r="F179" t="str">
        <f t="shared" si="69"/>
        <v>JENIFER SANTOS</v>
      </c>
      <c r="G179" t="str">
        <f>"28845271000167"</f>
        <v>28845271000167</v>
      </c>
      <c r="H179" t="str">
        <f>"0"</f>
        <v>0</v>
      </c>
      <c r="I179" t="str">
        <f t="shared" si="70"/>
        <v>CONTA OPTICA</v>
      </c>
      <c r="J179" t="str">
        <f>"JONATHAN PAIVA CUNHA EIRELI ME"</f>
        <v>JONATHAN PAIVA CUNHA EIRELI ME</v>
      </c>
      <c r="K179" t="str">
        <f>"OTICAS DINIZ (3850)"</f>
        <v>OTICAS DINIZ (3850)</v>
      </c>
      <c r="L179" t="str">
        <f>""</f>
        <v/>
      </c>
      <c r="M179" t="str">
        <f>""</f>
        <v/>
      </c>
      <c r="N179" t="str">
        <f>"LAB.DINIZUNIAO@GMAIL.COM"</f>
        <v>LAB.DINIZUNIAO@GMAIL.COM</v>
      </c>
      <c r="O179" t="str">
        <f>""</f>
        <v/>
      </c>
      <c r="P179" t="str">
        <f>"RUA FRANCISCO DE PAULA PEREIRA"</f>
        <v>RUA FRANCISCO DE PAULA PEREIRA</v>
      </c>
      <c r="Q179" t="str">
        <f>"400"</f>
        <v>400</v>
      </c>
      <c r="R179" t="str">
        <f>"SALA 1"</f>
        <v>SALA 1</v>
      </c>
      <c r="S179" t="str">
        <f>"1283"</f>
        <v>1283</v>
      </c>
      <c r="T179" t="str">
        <f>"89460000"</f>
        <v>89460000</v>
      </c>
      <c r="U179" t="str">
        <f t="shared" ref="U179:U187" si="91">"CENTRO"</f>
        <v>CENTRO</v>
      </c>
      <c r="V179" t="str">
        <f>"CANOINHAS"</f>
        <v>CANOINHAS</v>
      </c>
      <c r="W179" t="str">
        <f t="shared" si="90"/>
        <v>SC</v>
      </c>
      <c r="X179" t="str">
        <f>"42"</f>
        <v>42</v>
      </c>
      <c r="Y179" t="str">
        <f>"99677129"</f>
        <v>99677129</v>
      </c>
      <c r="Z179" t="str">
        <f>""</f>
        <v/>
      </c>
      <c r="AA179" t="str">
        <f>""</f>
        <v/>
      </c>
      <c r="AB179" t="str">
        <f>""</f>
        <v/>
      </c>
      <c r="AC179" t="str">
        <f>""</f>
        <v/>
      </c>
      <c r="AD179" t="str">
        <f>""</f>
        <v/>
      </c>
      <c r="AE179" t="str">
        <f>""</f>
        <v/>
      </c>
      <c r="AF179" t="str">
        <f>""</f>
        <v/>
      </c>
      <c r="AG179" t="str">
        <f>""</f>
        <v/>
      </c>
      <c r="AH179" t="str">
        <f>""</f>
        <v/>
      </c>
      <c r="AI179" t="str">
        <f>""</f>
        <v/>
      </c>
      <c r="AJ179" t="str">
        <f>""</f>
        <v/>
      </c>
      <c r="AK179" t="str">
        <f>""</f>
        <v/>
      </c>
      <c r="AL179" t="str">
        <f>""</f>
        <v/>
      </c>
      <c r="AM179" t="str">
        <f>""</f>
        <v/>
      </c>
      <c r="AN179" t="str">
        <f>""</f>
        <v/>
      </c>
      <c r="AO179" t="str">
        <f>""</f>
        <v/>
      </c>
      <c r="AP179" t="str">
        <f>""</f>
        <v/>
      </c>
      <c r="AQ179" t="str">
        <f>""</f>
        <v/>
      </c>
      <c r="AR179" t="str">
        <f>""</f>
        <v/>
      </c>
      <c r="AS179" t="str">
        <f>""</f>
        <v/>
      </c>
      <c r="AT179" t="str">
        <f>""</f>
        <v/>
      </c>
      <c r="AU179" t="str">
        <f>""</f>
        <v/>
      </c>
      <c r="AV179" t="str">
        <f>""</f>
        <v/>
      </c>
      <c r="AW179" t="str">
        <f>""</f>
        <v/>
      </c>
      <c r="AX179" t="str">
        <f>""</f>
        <v/>
      </c>
      <c r="AY179" t="str">
        <f>""</f>
        <v/>
      </c>
      <c r="AZ179" t="str">
        <f>""</f>
        <v/>
      </c>
      <c r="BA179" t="str">
        <f>""</f>
        <v/>
      </c>
      <c r="BB179" t="str">
        <f>"06/07/2023 12:07:48"</f>
        <v>06/07/2023 12:07:48</v>
      </c>
      <c r="BC179" t="str">
        <f>""</f>
        <v/>
      </c>
      <c r="BD179" t="str">
        <f>""</f>
        <v/>
      </c>
      <c r="BE179" t="str">
        <f>""</f>
        <v/>
      </c>
      <c r="BF179" t="str">
        <f t="shared" si="71"/>
        <v>A</v>
      </c>
      <c r="BG179" t="str">
        <f>""</f>
        <v/>
      </c>
      <c r="BH179" t="str">
        <f>""</f>
        <v/>
      </c>
      <c r="BI179" t="str">
        <f t="shared" si="87"/>
        <v>EVENTUAL</v>
      </c>
      <c r="BJ179" t="str">
        <f t="shared" si="72"/>
        <v>1</v>
      </c>
      <c r="BK179" t="str">
        <f t="shared" si="73"/>
        <v>Farmacia</v>
      </c>
      <c r="BL179" t="str">
        <f>""</f>
        <v/>
      </c>
      <c r="BM179" t="str">
        <f>""</f>
        <v/>
      </c>
      <c r="BN179" t="str">
        <f>""</f>
        <v/>
      </c>
      <c r="BO179" t="str">
        <f>""</f>
        <v/>
      </c>
      <c r="BP179" t="str">
        <f>""</f>
        <v/>
      </c>
      <c r="BQ179" t="str">
        <f>""</f>
        <v/>
      </c>
      <c r="BR179" t="str">
        <f>"06/07/2023"</f>
        <v>06/07/2023</v>
      </c>
      <c r="BS179" t="str">
        <f>""</f>
        <v/>
      </c>
      <c r="BT179" t="str">
        <f>""</f>
        <v/>
      </c>
      <c r="BU179" t="str">
        <f>""</f>
        <v/>
      </c>
      <c r="BV179" t="str">
        <f>""</f>
        <v/>
      </c>
      <c r="BW179" t="str">
        <f>"Não visitado"</f>
        <v>Não visitado</v>
      </c>
    </row>
    <row r="180" spans="1:75" x14ac:dyDescent="0.35">
      <c r="A180">
        <v>118723</v>
      </c>
      <c r="B180" t="str">
        <f t="shared" si="65"/>
        <v>A</v>
      </c>
      <c r="C180" t="str">
        <f t="shared" si="66"/>
        <v>80</v>
      </c>
      <c r="D180" t="str">
        <f t="shared" si="67"/>
        <v>11121001</v>
      </c>
      <c r="E180" t="str">
        <f t="shared" si="68"/>
        <v>121001</v>
      </c>
      <c r="F180" t="str">
        <f t="shared" si="69"/>
        <v>JENIFER SANTOS</v>
      </c>
      <c r="G180" t="str">
        <f>"08900451000197"</f>
        <v>08900451000197</v>
      </c>
      <c r="H180" t="str">
        <f>""</f>
        <v/>
      </c>
      <c r="I180" t="str">
        <f t="shared" si="70"/>
        <v>CONTA OPTICA</v>
      </c>
      <c r="J180" t="str">
        <f>"JOSE ERNANI FREITAS JUNIOR ME"</f>
        <v>JOSE ERNANI FREITAS JUNIOR ME</v>
      </c>
      <c r="K180" t="str">
        <f>"OTICA LUX (1319)"</f>
        <v>OTICA LUX (1319)</v>
      </c>
      <c r="L180" t="str">
        <f>""</f>
        <v/>
      </c>
      <c r="M180" t="str">
        <f>""</f>
        <v/>
      </c>
      <c r="N180" t="str">
        <f>"otica.lux@gmail.com"</f>
        <v>otica.lux@gmail.com</v>
      </c>
      <c r="O180" t="str">
        <f>""</f>
        <v/>
      </c>
      <c r="P180" t="str">
        <f>"RUA ABDON BATISTA"</f>
        <v>RUA ABDON BATISTA</v>
      </c>
      <c r="Q180" t="str">
        <f>"56"</f>
        <v>56</v>
      </c>
      <c r="R180" t="str">
        <f>"SALA 02"</f>
        <v>SALA 02</v>
      </c>
      <c r="S180" t="str">
        <f>"1277"</f>
        <v>1277</v>
      </c>
      <c r="T180" t="str">
        <f>"89201010"</f>
        <v>89201010</v>
      </c>
      <c r="U180" t="str">
        <f t="shared" si="91"/>
        <v>CENTRO</v>
      </c>
      <c r="V180" t="str">
        <f>"JOINVILLE"</f>
        <v>JOINVILLE</v>
      </c>
      <c r="W180" t="str">
        <f t="shared" si="90"/>
        <v>SC</v>
      </c>
      <c r="X180" t="str">
        <f>"47"</f>
        <v>47</v>
      </c>
      <c r="Y180" t="str">
        <f>"30275101"</f>
        <v>30275101</v>
      </c>
      <c r="Z180" t="str">
        <f>""</f>
        <v/>
      </c>
      <c r="AA180" t="str">
        <f>""</f>
        <v/>
      </c>
      <c r="AB180" t="str">
        <f>""</f>
        <v/>
      </c>
      <c r="AC180" t="str">
        <f>""</f>
        <v/>
      </c>
      <c r="AD180" t="str">
        <f>""</f>
        <v/>
      </c>
      <c r="AE180" t="str">
        <f>""</f>
        <v/>
      </c>
      <c r="AF180" t="str">
        <f>""</f>
        <v/>
      </c>
      <c r="AG180" t="str">
        <f>""</f>
        <v/>
      </c>
      <c r="AH180" t="str">
        <f>""</f>
        <v/>
      </c>
      <c r="AI180" t="str">
        <f>""</f>
        <v/>
      </c>
      <c r="AJ180" t="str">
        <f>"0"</f>
        <v>0</v>
      </c>
      <c r="AK180" t="str">
        <f>"0"</f>
        <v>0</v>
      </c>
      <c r="AL180" t="str">
        <f>"0"</f>
        <v>0</v>
      </c>
      <c r="AM180" t="str">
        <f>""</f>
        <v/>
      </c>
      <c r="AN180" t="str">
        <f>""</f>
        <v/>
      </c>
      <c r="AO180" t="str">
        <f>""</f>
        <v/>
      </c>
      <c r="AP180" t="str">
        <f>""</f>
        <v/>
      </c>
      <c r="AQ180" t="str">
        <f>""</f>
        <v/>
      </c>
      <c r="AR180" t="str">
        <f>""</f>
        <v/>
      </c>
      <c r="AS180" t="str">
        <f>""</f>
        <v/>
      </c>
      <c r="AT180" t="str">
        <f>""</f>
        <v/>
      </c>
      <c r="AU180" t="str">
        <f>""</f>
        <v/>
      </c>
      <c r="AV180" t="str">
        <f>""</f>
        <v/>
      </c>
      <c r="AW180" t="str">
        <f>""</f>
        <v/>
      </c>
      <c r="AX180" t="str">
        <f>""</f>
        <v/>
      </c>
      <c r="AY180" t="str">
        <f>""</f>
        <v/>
      </c>
      <c r="AZ180" t="str">
        <f>""</f>
        <v/>
      </c>
      <c r="BA180" t="str">
        <f>""</f>
        <v/>
      </c>
      <c r="BB180" t="str">
        <f>""</f>
        <v/>
      </c>
      <c r="BC180" t="str">
        <f>""</f>
        <v/>
      </c>
      <c r="BD180" t="str">
        <f>""</f>
        <v/>
      </c>
      <c r="BE180" t="str">
        <f>""</f>
        <v/>
      </c>
      <c r="BF180" t="str">
        <f t="shared" si="71"/>
        <v>A</v>
      </c>
      <c r="BG180" t="str">
        <f>"0,00"</f>
        <v>0,00</v>
      </c>
      <c r="BH180" t="str">
        <f>"0,00"</f>
        <v>0,00</v>
      </c>
      <c r="BI180" t="str">
        <f t="shared" si="87"/>
        <v>EVENTUAL</v>
      </c>
      <c r="BJ180" t="str">
        <f t="shared" si="72"/>
        <v>1</v>
      </c>
      <c r="BK180" t="str">
        <f t="shared" si="73"/>
        <v>Farmacia</v>
      </c>
      <c r="BL180" t="str">
        <f>""</f>
        <v/>
      </c>
      <c r="BM180" t="str">
        <f>"NÃO É VARILUX ESPECIALISTA"</f>
        <v>NÃO É VARILUX ESPECIALISTA</v>
      </c>
      <c r="BN180" t="str">
        <f>"NA"</f>
        <v>NA</v>
      </c>
      <c r="BO180" t="str">
        <f>"FOCO KODAK 2"</f>
        <v>FOCO KODAK 2</v>
      </c>
      <c r="BP180" t="str">
        <f>""</f>
        <v/>
      </c>
      <c r="BQ180" t="str">
        <f>""</f>
        <v/>
      </c>
      <c r="BR180" t="str">
        <f>""</f>
        <v/>
      </c>
      <c r="BS180" t="str">
        <f>""</f>
        <v/>
      </c>
      <c r="BT180" t="str">
        <f>""</f>
        <v/>
      </c>
      <c r="BU180" t="str">
        <f>""</f>
        <v/>
      </c>
      <c r="BV180" t="str">
        <f>"8"</f>
        <v>8</v>
      </c>
      <c r="BW180" t="str">
        <f>"79"</f>
        <v>79</v>
      </c>
    </row>
    <row r="181" spans="1:75" x14ac:dyDescent="0.35">
      <c r="A181">
        <v>144817</v>
      </c>
      <c r="B181" t="str">
        <f t="shared" si="65"/>
        <v>A</v>
      </c>
      <c r="C181" t="str">
        <f t="shared" si="66"/>
        <v>80</v>
      </c>
      <c r="D181" t="str">
        <f t="shared" si="67"/>
        <v>11121001</v>
      </c>
      <c r="E181" t="str">
        <f t="shared" si="68"/>
        <v>121001</v>
      </c>
      <c r="F181" t="str">
        <f t="shared" si="69"/>
        <v>JENIFER SANTOS</v>
      </c>
      <c r="G181" t="str">
        <f>"39517870000178"</f>
        <v>39517870000178</v>
      </c>
      <c r="H181" t="str">
        <f>""</f>
        <v/>
      </c>
      <c r="I181" t="str">
        <f t="shared" si="70"/>
        <v>CONTA OPTICA</v>
      </c>
      <c r="J181" t="str">
        <f>"JOSE VANDERLEI BECKER 70266824072"</f>
        <v>JOSE VANDERLEI BECKER 70266824072</v>
      </c>
      <c r="K181" t="str">
        <f>"ENGENHEIRO DOS OCULOS (4344)"</f>
        <v>ENGENHEIRO DOS OCULOS (4344)</v>
      </c>
      <c r="L181" t="str">
        <f>""</f>
        <v/>
      </c>
      <c r="M181" t="str">
        <f>""</f>
        <v/>
      </c>
      <c r="N181" t="str">
        <f>"CASABECKER197@GMAIL.COM"</f>
        <v>CASABECKER197@GMAIL.COM</v>
      </c>
      <c r="O181" t="str">
        <f>""</f>
        <v/>
      </c>
      <c r="P181" t="str">
        <f>"RUA DO PRINCIPE"</f>
        <v>RUA DO PRINCIPE</v>
      </c>
      <c r="Q181" t="str">
        <f>"550"</f>
        <v>550</v>
      </c>
      <c r="R181" t="str">
        <f>"SALA 7"</f>
        <v>SALA 7</v>
      </c>
      <c r="S181" t="str">
        <f>"1277"</f>
        <v>1277</v>
      </c>
      <c r="T181" t="str">
        <f>"89201001"</f>
        <v>89201001</v>
      </c>
      <c r="U181" t="str">
        <f t="shared" si="91"/>
        <v>CENTRO</v>
      </c>
      <c r="V181" t="str">
        <f>"JOINVILLE"</f>
        <v>JOINVILLE</v>
      </c>
      <c r="W181" t="str">
        <f t="shared" si="90"/>
        <v>SC</v>
      </c>
      <c r="X181" t="str">
        <f>"47"</f>
        <v>47</v>
      </c>
      <c r="Y181" t="str">
        <f>"996960579"</f>
        <v>996960579</v>
      </c>
      <c r="Z181" t="str">
        <f>""</f>
        <v/>
      </c>
      <c r="AA181" t="str">
        <f>""</f>
        <v/>
      </c>
      <c r="AB181" t="str">
        <f>""</f>
        <v/>
      </c>
      <c r="AC181" t="str">
        <f>""</f>
        <v/>
      </c>
      <c r="AD181" t="str">
        <f>""</f>
        <v/>
      </c>
      <c r="AE181" t="str">
        <f>""</f>
        <v/>
      </c>
      <c r="AF181" t="str">
        <f>""</f>
        <v/>
      </c>
      <c r="AG181" t="str">
        <f>""</f>
        <v/>
      </c>
      <c r="AH181" t="str">
        <f>""</f>
        <v/>
      </c>
      <c r="AI181" t="str">
        <f>""</f>
        <v/>
      </c>
      <c r="AJ181" t="str">
        <f>""</f>
        <v/>
      </c>
      <c r="AK181" t="str">
        <f>""</f>
        <v/>
      </c>
      <c r="AL181" t="str">
        <f>""</f>
        <v/>
      </c>
      <c r="AM181" t="str">
        <f>""</f>
        <v/>
      </c>
      <c r="AN181" t="str">
        <f>""</f>
        <v/>
      </c>
      <c r="AO181" t="str">
        <f>""</f>
        <v/>
      </c>
      <c r="AP181" t="str">
        <f>""</f>
        <v/>
      </c>
      <c r="AQ181" t="str">
        <f>""</f>
        <v/>
      </c>
      <c r="AR181" t="str">
        <f>""</f>
        <v/>
      </c>
      <c r="AS181" t="str">
        <f>""</f>
        <v/>
      </c>
      <c r="AT181" t="str">
        <f>""</f>
        <v/>
      </c>
      <c r="AU181" t="str">
        <f>""</f>
        <v/>
      </c>
      <c r="AV181" t="str">
        <f>""</f>
        <v/>
      </c>
      <c r="AW181" t="str">
        <f>""</f>
        <v/>
      </c>
      <c r="AX181" t="str">
        <f>""</f>
        <v/>
      </c>
      <c r="AY181" t="str">
        <f>""</f>
        <v/>
      </c>
      <c r="AZ181" t="str">
        <f>""</f>
        <v/>
      </c>
      <c r="BA181" t="str">
        <f>""</f>
        <v/>
      </c>
      <c r="BB181" t="str">
        <f>""</f>
        <v/>
      </c>
      <c r="BC181" t="str">
        <f>""</f>
        <v/>
      </c>
      <c r="BD181" t="str">
        <f>""</f>
        <v/>
      </c>
      <c r="BE181" t="str">
        <f>""</f>
        <v/>
      </c>
      <c r="BF181" t="str">
        <f t="shared" si="71"/>
        <v>A</v>
      </c>
      <c r="BG181" t="str">
        <f>""</f>
        <v/>
      </c>
      <c r="BH181" t="str">
        <f>""</f>
        <v/>
      </c>
      <c r="BI181" t="str">
        <f t="shared" si="87"/>
        <v>EVENTUAL</v>
      </c>
      <c r="BJ181" t="str">
        <f t="shared" si="72"/>
        <v>1</v>
      </c>
      <c r="BK181" t="str">
        <f t="shared" si="73"/>
        <v>Farmacia</v>
      </c>
      <c r="BL181" t="str">
        <f>""</f>
        <v/>
      </c>
      <c r="BM181" t="str">
        <f>"NÃO É VARILUX ESPECIALISTA"</f>
        <v>NÃO É VARILUX ESPECIALISTA</v>
      </c>
      <c r="BN181" t="str">
        <f>"NA"</f>
        <v>NA</v>
      </c>
      <c r="BO181" t="str">
        <f>""</f>
        <v/>
      </c>
      <c r="BP181" t="str">
        <f>""</f>
        <v/>
      </c>
      <c r="BQ181" t="str">
        <f>""</f>
        <v/>
      </c>
      <c r="BR181" t="str">
        <f>""</f>
        <v/>
      </c>
      <c r="BS181" t="str">
        <f>""</f>
        <v/>
      </c>
      <c r="BT181" t="str">
        <f>""</f>
        <v/>
      </c>
      <c r="BU181" t="str">
        <f>""</f>
        <v/>
      </c>
      <c r="BV181" t="str">
        <f>""</f>
        <v/>
      </c>
      <c r="BW181" t="str">
        <f>"7"</f>
        <v>7</v>
      </c>
    </row>
    <row r="182" spans="1:75" x14ac:dyDescent="0.35">
      <c r="A182">
        <v>157509</v>
      </c>
      <c r="B182" t="str">
        <f t="shared" si="65"/>
        <v>A</v>
      </c>
      <c r="C182" t="str">
        <f t="shared" si="66"/>
        <v>80</v>
      </c>
      <c r="D182" t="str">
        <f t="shared" si="67"/>
        <v>11121001</v>
      </c>
      <c r="E182" t="str">
        <f t="shared" si="68"/>
        <v>121001</v>
      </c>
      <c r="F182" t="str">
        <f t="shared" si="69"/>
        <v>JENIFER SANTOS</v>
      </c>
      <c r="G182" t="str">
        <f>"07515904000107"</f>
        <v>07515904000107</v>
      </c>
      <c r="H182" t="str">
        <f>"0"</f>
        <v>0</v>
      </c>
      <c r="I182" t="str">
        <f t="shared" si="70"/>
        <v>CONTA OPTICA</v>
      </c>
      <c r="J182" t="str">
        <f>"JOVIER'S COM. OTICA  RELOJOARIA LTDA ME"</f>
        <v>JOVIER'S COM. OTICA  RELOJOARIA LTDA ME</v>
      </c>
      <c r="K182" t="str">
        <f>"OTICA MAY RELOJOARIA (770)"</f>
        <v>OTICA MAY RELOJOARIA (770)</v>
      </c>
      <c r="L182" t="str">
        <f>""</f>
        <v/>
      </c>
      <c r="M182" t="str">
        <f>""</f>
        <v/>
      </c>
      <c r="N182" t="str">
        <f>"oticamay@gmail.com"</f>
        <v>oticamay@gmail.com</v>
      </c>
      <c r="O182" t="str">
        <f>""</f>
        <v/>
      </c>
      <c r="P182" t="str">
        <f>"RUA DOUTOR JOAO COLIN"</f>
        <v>RUA DOUTOR JOAO COLIN</v>
      </c>
      <c r="Q182" t="str">
        <f>"69"</f>
        <v>69</v>
      </c>
      <c r="R182" t="str">
        <f>"SALA 02"</f>
        <v>SALA 02</v>
      </c>
      <c r="S182" t="str">
        <f>"1277"</f>
        <v>1277</v>
      </c>
      <c r="T182" t="str">
        <f>"89201300"</f>
        <v>89201300</v>
      </c>
      <c r="U182" t="str">
        <f t="shared" si="91"/>
        <v>CENTRO</v>
      </c>
      <c r="V182" t="str">
        <f>"JOINVILLE"</f>
        <v>JOINVILLE</v>
      </c>
      <c r="W182" t="str">
        <f t="shared" si="90"/>
        <v>SC</v>
      </c>
      <c r="X182" t="str">
        <f>"47"</f>
        <v>47</v>
      </c>
      <c r="Y182" t="str">
        <f>"30289755"</f>
        <v>30289755</v>
      </c>
      <c r="Z182" t="str">
        <f>""</f>
        <v/>
      </c>
      <c r="AA182" t="str">
        <f>""</f>
        <v/>
      </c>
      <c r="AB182" t="str">
        <f>""</f>
        <v/>
      </c>
      <c r="AC182" t="str">
        <f>""</f>
        <v/>
      </c>
      <c r="AD182" t="str">
        <f>""</f>
        <v/>
      </c>
      <c r="AE182" t="str">
        <f>""</f>
        <v/>
      </c>
      <c r="AF182" t="str">
        <f>""</f>
        <v/>
      </c>
      <c r="AG182" t="str">
        <f>""</f>
        <v/>
      </c>
      <c r="AH182" t="str">
        <f>""</f>
        <v/>
      </c>
      <c r="AI182" t="str">
        <f>""</f>
        <v/>
      </c>
      <c r="AJ182" t="str">
        <f>""</f>
        <v/>
      </c>
      <c r="AK182" t="str">
        <f>""</f>
        <v/>
      </c>
      <c r="AL182" t="str">
        <f>""</f>
        <v/>
      </c>
      <c r="AM182" t="str">
        <f>""</f>
        <v/>
      </c>
      <c r="AN182" t="str">
        <f>""</f>
        <v/>
      </c>
      <c r="AO182" t="str">
        <f>""</f>
        <v/>
      </c>
      <c r="AP182" t="str">
        <f>""</f>
        <v/>
      </c>
      <c r="AQ182" t="str">
        <f>""</f>
        <v/>
      </c>
      <c r="AR182" t="str">
        <f>""</f>
        <v/>
      </c>
      <c r="AS182" t="str">
        <f>""</f>
        <v/>
      </c>
      <c r="AT182" t="str">
        <f>""</f>
        <v/>
      </c>
      <c r="AU182" t="str">
        <f>""</f>
        <v/>
      </c>
      <c r="AV182" t="str">
        <f>""</f>
        <v/>
      </c>
      <c r="AW182" t="str">
        <f>""</f>
        <v/>
      </c>
      <c r="AX182" t="str">
        <f>""</f>
        <v/>
      </c>
      <c r="AY182" t="str">
        <f>""</f>
        <v/>
      </c>
      <c r="AZ182" t="str">
        <f>""</f>
        <v/>
      </c>
      <c r="BA182" t="str">
        <f>""</f>
        <v/>
      </c>
      <c r="BB182" t="str">
        <f>"11/07/2023 02:14:29"</f>
        <v>11/07/2023 02:14:29</v>
      </c>
      <c r="BC182" t="str">
        <f>""</f>
        <v/>
      </c>
      <c r="BD182" t="str">
        <f>""</f>
        <v/>
      </c>
      <c r="BE182" t="str">
        <f>""</f>
        <v/>
      </c>
      <c r="BF182" t="str">
        <f t="shared" si="71"/>
        <v>A</v>
      </c>
      <c r="BG182" t="str">
        <f>""</f>
        <v/>
      </c>
      <c r="BH182" t="str">
        <f>""</f>
        <v/>
      </c>
      <c r="BI182" t="str">
        <f t="shared" si="87"/>
        <v>EVENTUAL</v>
      </c>
      <c r="BJ182" t="str">
        <f t="shared" si="72"/>
        <v>1</v>
      </c>
      <c r="BK182" t="str">
        <f t="shared" si="73"/>
        <v>Farmacia</v>
      </c>
      <c r="BL182" t="str">
        <f>""</f>
        <v/>
      </c>
      <c r="BM182" t="str">
        <f>""</f>
        <v/>
      </c>
      <c r="BN182" t="str">
        <f>""</f>
        <v/>
      </c>
      <c r="BO182" t="str">
        <f>""</f>
        <v/>
      </c>
      <c r="BP182" t="str">
        <f>""</f>
        <v/>
      </c>
      <c r="BQ182" t="str">
        <f>""</f>
        <v/>
      </c>
      <c r="BR182" t="str">
        <f>"11/07/2023"</f>
        <v>11/07/2023</v>
      </c>
      <c r="BS182" t="str">
        <f>""</f>
        <v/>
      </c>
      <c r="BT182" t="str">
        <f>""</f>
        <v/>
      </c>
      <c r="BU182" t="str">
        <f>""</f>
        <v/>
      </c>
      <c r="BV182" t="str">
        <f>""</f>
        <v/>
      </c>
      <c r="BW182" t="str">
        <f>"11"</f>
        <v>11</v>
      </c>
    </row>
    <row r="183" spans="1:75" x14ac:dyDescent="0.35">
      <c r="A183">
        <v>144743</v>
      </c>
      <c r="B183" t="str">
        <f t="shared" si="65"/>
        <v>A</v>
      </c>
      <c r="C183" t="str">
        <f t="shared" si="66"/>
        <v>80</v>
      </c>
      <c r="D183" t="str">
        <f t="shared" si="67"/>
        <v>11121001</v>
      </c>
      <c r="E183" t="str">
        <f t="shared" si="68"/>
        <v>121001</v>
      </c>
      <c r="F183" t="str">
        <f t="shared" si="69"/>
        <v>JENIFER SANTOS</v>
      </c>
      <c r="G183" t="str">
        <f>"28257816000114"</f>
        <v>28257816000114</v>
      </c>
      <c r="H183" t="str">
        <f>""</f>
        <v/>
      </c>
      <c r="I183" t="str">
        <f t="shared" si="70"/>
        <v>CONTA OPTICA</v>
      </c>
      <c r="J183" t="str">
        <f>"JSCENTRO COMERCIO DE PRODUTOS OPTICOS EIRELI"</f>
        <v>JSCENTRO COMERCIO DE PRODUTOS OPTICOS EIRELI</v>
      </c>
      <c r="K183" t="str">
        <f>"OTICAS CAROL (3813)"</f>
        <v>OTICAS CAROL (3813)</v>
      </c>
      <c r="L183" t="str">
        <f>""</f>
        <v/>
      </c>
      <c r="M183" t="str">
        <f>""</f>
        <v/>
      </c>
      <c r="N183" t="str">
        <f>"leo.menon@oticascarol.com.br"</f>
        <v>leo.menon@oticascarol.com.br</v>
      </c>
      <c r="O183" t="str">
        <f>""</f>
        <v/>
      </c>
      <c r="P183" t="str">
        <f>"RUA MARECHAL DEODORO DA FONSECA"</f>
        <v>RUA MARECHAL DEODORO DA FONSECA</v>
      </c>
      <c r="Q183" t="str">
        <f>"192"</f>
        <v>192</v>
      </c>
      <c r="R183" t="str">
        <f>"SALA 1"</f>
        <v>SALA 1</v>
      </c>
      <c r="S183" t="str">
        <f>"1280"</f>
        <v>1280</v>
      </c>
      <c r="T183" t="str">
        <f>"89251700"</f>
        <v>89251700</v>
      </c>
      <c r="U183" t="str">
        <f t="shared" si="91"/>
        <v>CENTRO</v>
      </c>
      <c r="V183" t="str">
        <f>"JARAGUÁ DO SUL"</f>
        <v>JARAGUÁ DO SUL</v>
      </c>
      <c r="W183" t="str">
        <f t="shared" si="90"/>
        <v>SC</v>
      </c>
      <c r="X183" t="str">
        <f>"47"</f>
        <v>47</v>
      </c>
      <c r="Y183" t="str">
        <f>"30179336"</f>
        <v>30179336</v>
      </c>
      <c r="Z183" t="str">
        <f>""</f>
        <v/>
      </c>
      <c r="AA183" t="str">
        <f>""</f>
        <v/>
      </c>
      <c r="AB183" t="str">
        <f>""</f>
        <v/>
      </c>
      <c r="AC183" t="str">
        <f>""</f>
        <v/>
      </c>
      <c r="AD183" t="str">
        <f>""</f>
        <v/>
      </c>
      <c r="AE183" t="str">
        <f>""</f>
        <v/>
      </c>
      <c r="AF183" t="str">
        <f>""</f>
        <v/>
      </c>
      <c r="AG183" t="str">
        <f>"S"</f>
        <v>S</v>
      </c>
      <c r="AH183" t="str">
        <f>""</f>
        <v/>
      </c>
      <c r="AI183" t="str">
        <f>""</f>
        <v/>
      </c>
      <c r="AJ183" t="str">
        <f t="shared" ref="AJ183:AL184" si="92">"0"</f>
        <v>0</v>
      </c>
      <c r="AK183" t="str">
        <f t="shared" si="92"/>
        <v>0</v>
      </c>
      <c r="AL183" t="str">
        <f t="shared" si="92"/>
        <v>0</v>
      </c>
      <c r="AM183" t="str">
        <f>""</f>
        <v/>
      </c>
      <c r="AN183" t="str">
        <f>""</f>
        <v/>
      </c>
      <c r="AO183" t="str">
        <f>""</f>
        <v/>
      </c>
      <c r="AP183" t="str">
        <f>""</f>
        <v/>
      </c>
      <c r="AQ183" t="str">
        <f>"N"</f>
        <v>N</v>
      </c>
      <c r="AR183" t="str">
        <f>"N"</f>
        <v>N</v>
      </c>
      <c r="AS183" t="str">
        <f>"N"</f>
        <v>N</v>
      </c>
      <c r="AT183" t="str">
        <f>"N"</f>
        <v>N</v>
      </c>
      <c r="AU183" t="str">
        <f>"N"</f>
        <v>N</v>
      </c>
      <c r="AV183" t="str">
        <f>""</f>
        <v/>
      </c>
      <c r="AW183" t="str">
        <f>""</f>
        <v/>
      </c>
      <c r="AX183" t="str">
        <f>""</f>
        <v/>
      </c>
      <c r="AY183" t="str">
        <f>""</f>
        <v/>
      </c>
      <c r="AZ183" t="str">
        <f>""</f>
        <v/>
      </c>
      <c r="BA183" t="str">
        <f>""</f>
        <v/>
      </c>
      <c r="BB183" t="str">
        <f>""</f>
        <v/>
      </c>
      <c r="BC183" t="str">
        <f>""</f>
        <v/>
      </c>
      <c r="BD183" t="str">
        <f>""</f>
        <v/>
      </c>
      <c r="BE183" t="str">
        <f>""</f>
        <v/>
      </c>
      <c r="BF183" t="str">
        <f t="shared" si="71"/>
        <v>A</v>
      </c>
      <c r="BG183" t="str">
        <f>"0,00"</f>
        <v>0,00</v>
      </c>
      <c r="BH183" t="str">
        <f>"0,00"</f>
        <v>0,00</v>
      </c>
      <c r="BI183" t="str">
        <f t="shared" si="87"/>
        <v>EVENTUAL</v>
      </c>
      <c r="BJ183" t="str">
        <f t="shared" si="72"/>
        <v>1</v>
      </c>
      <c r="BK183" t="str">
        <f t="shared" si="73"/>
        <v>Farmacia</v>
      </c>
      <c r="BL183" t="str">
        <f>""</f>
        <v/>
      </c>
      <c r="BM183" t="str">
        <f>"VARILUX ESPECIALISTA PLATINE"</f>
        <v>VARILUX ESPECIALISTA PLATINE</v>
      </c>
      <c r="BN183" t="str">
        <f>"NA"</f>
        <v>NA</v>
      </c>
      <c r="BO183" t="str">
        <f>"FOCO VARILUX DIGITAL"</f>
        <v>FOCO VARILUX DIGITAL</v>
      </c>
      <c r="BP183" t="str">
        <f>""</f>
        <v/>
      </c>
      <c r="BQ183" t="str">
        <f>""</f>
        <v/>
      </c>
      <c r="BR183" t="str">
        <f>""</f>
        <v/>
      </c>
      <c r="BS183" t="str">
        <f>""</f>
        <v/>
      </c>
      <c r="BT183" t="str">
        <f>""</f>
        <v/>
      </c>
      <c r="BU183" t="str">
        <f>""</f>
        <v/>
      </c>
      <c r="BV183" t="str">
        <f>"1"</f>
        <v>1</v>
      </c>
      <c r="BW183" t="str">
        <f>"28"</f>
        <v>28</v>
      </c>
    </row>
    <row r="184" spans="1:75" x14ac:dyDescent="0.35">
      <c r="A184">
        <v>144744</v>
      </c>
      <c r="B184" t="str">
        <f t="shared" si="65"/>
        <v>A</v>
      </c>
      <c r="C184" t="str">
        <f t="shared" si="66"/>
        <v>80</v>
      </c>
      <c r="D184" t="str">
        <f t="shared" si="67"/>
        <v>11121001</v>
      </c>
      <c r="E184" t="str">
        <f t="shared" si="68"/>
        <v>121001</v>
      </c>
      <c r="F184" t="str">
        <f t="shared" si="69"/>
        <v>JENIFER SANTOS</v>
      </c>
      <c r="G184" t="str">
        <f>"28257816000203"</f>
        <v>28257816000203</v>
      </c>
      <c r="H184" t="str">
        <f>""</f>
        <v/>
      </c>
      <c r="I184" t="str">
        <f t="shared" si="70"/>
        <v>CONTA OPTICA</v>
      </c>
      <c r="J184" t="str">
        <f>"JSCENTRO COMERCIO DE PRODUTOS OPTICOS EIRELI"</f>
        <v>JSCENTRO COMERCIO DE PRODUTOS OPTICOS EIRELI</v>
      </c>
      <c r="K184" t="str">
        <f>"OTICAS CAROL (3891)"</f>
        <v>OTICAS CAROL (3891)</v>
      </c>
      <c r="L184" t="str">
        <f>""</f>
        <v/>
      </c>
      <c r="M184" t="str">
        <f>""</f>
        <v/>
      </c>
      <c r="N184" t="str">
        <f>"leo.menon@oticascarol.com.br"</f>
        <v>leo.menon@oticascarol.com.br</v>
      </c>
      <c r="O184" t="str">
        <f>""</f>
        <v/>
      </c>
      <c r="P184" t="str">
        <f>"AVENIDA GETULIO VARGAS"</f>
        <v>AVENIDA GETULIO VARGAS</v>
      </c>
      <c r="Q184" t="str">
        <f>"268"</f>
        <v>268</v>
      </c>
      <c r="R184" t="str">
        <f>""</f>
        <v/>
      </c>
      <c r="S184" t="str">
        <f>"1280"</f>
        <v>1280</v>
      </c>
      <c r="T184" t="str">
        <f>"89251000"</f>
        <v>89251000</v>
      </c>
      <c r="U184" t="str">
        <f t="shared" si="91"/>
        <v>CENTRO</v>
      </c>
      <c r="V184" t="str">
        <f>"JARAGUÁ DO SUL"</f>
        <v>JARAGUÁ DO SUL</v>
      </c>
      <c r="W184" t="str">
        <f t="shared" si="90"/>
        <v>SC</v>
      </c>
      <c r="X184" t="str">
        <f>"47"</f>
        <v>47</v>
      </c>
      <c r="Y184" t="str">
        <f>"30858532"</f>
        <v>30858532</v>
      </c>
      <c r="Z184" t="str">
        <f>""</f>
        <v/>
      </c>
      <c r="AA184" t="str">
        <f>""</f>
        <v/>
      </c>
      <c r="AB184" t="str">
        <f>""</f>
        <v/>
      </c>
      <c r="AC184" t="str">
        <f>""</f>
        <v/>
      </c>
      <c r="AD184" t="str">
        <f>""</f>
        <v/>
      </c>
      <c r="AE184" t="str">
        <f>""</f>
        <v/>
      </c>
      <c r="AF184" t="str">
        <f>""</f>
        <v/>
      </c>
      <c r="AG184" t="str">
        <f>""</f>
        <v/>
      </c>
      <c r="AH184" t="str">
        <f>""</f>
        <v/>
      </c>
      <c r="AI184" t="str">
        <f>""</f>
        <v/>
      </c>
      <c r="AJ184" t="str">
        <f t="shared" si="92"/>
        <v>0</v>
      </c>
      <c r="AK184" t="str">
        <f t="shared" si="92"/>
        <v>0</v>
      </c>
      <c r="AL184" t="str">
        <f t="shared" si="92"/>
        <v>0</v>
      </c>
      <c r="AM184" t="str">
        <f>""</f>
        <v/>
      </c>
      <c r="AN184" t="str">
        <f>""</f>
        <v/>
      </c>
      <c r="AO184" t="str">
        <f>""</f>
        <v/>
      </c>
      <c r="AP184" t="str">
        <f>""</f>
        <v/>
      </c>
      <c r="AQ184" t="str">
        <f>""</f>
        <v/>
      </c>
      <c r="AR184" t="str">
        <f>""</f>
        <v/>
      </c>
      <c r="AS184" t="str">
        <f>""</f>
        <v/>
      </c>
      <c r="AT184" t="str">
        <f>""</f>
        <v/>
      </c>
      <c r="AU184" t="str">
        <f>""</f>
        <v/>
      </c>
      <c r="AV184" t="str">
        <f>""</f>
        <v/>
      </c>
      <c r="AW184" t="str">
        <f>""</f>
        <v/>
      </c>
      <c r="AX184" t="str">
        <f>""</f>
        <v/>
      </c>
      <c r="AY184" t="str">
        <f>""</f>
        <v/>
      </c>
      <c r="AZ184" t="str">
        <f>""</f>
        <v/>
      </c>
      <c r="BA184" t="str">
        <f>""</f>
        <v/>
      </c>
      <c r="BB184" t="str">
        <f>""</f>
        <v/>
      </c>
      <c r="BC184" t="str">
        <f>""</f>
        <v/>
      </c>
      <c r="BD184" t="str">
        <f>""</f>
        <v/>
      </c>
      <c r="BE184" t="str">
        <f>""</f>
        <v/>
      </c>
      <c r="BF184" t="str">
        <f t="shared" si="71"/>
        <v>A</v>
      </c>
      <c r="BG184" t="str">
        <f>"0,00"</f>
        <v>0,00</v>
      </c>
      <c r="BH184" t="str">
        <f>"0,00"</f>
        <v>0,00</v>
      </c>
      <c r="BI184" t="str">
        <f t="shared" si="87"/>
        <v>EVENTUAL</v>
      </c>
      <c r="BJ184" t="str">
        <f t="shared" si="72"/>
        <v>1</v>
      </c>
      <c r="BK184" t="str">
        <f t="shared" si="73"/>
        <v>Farmacia</v>
      </c>
      <c r="BL184" t="str">
        <f>""</f>
        <v/>
      </c>
      <c r="BM184" t="str">
        <f>"VARILUX ESPECIALISTA PLATINE"</f>
        <v>VARILUX ESPECIALISTA PLATINE</v>
      </c>
      <c r="BN184" t="str">
        <f>"NA"</f>
        <v>NA</v>
      </c>
      <c r="BO184" t="str">
        <f>"FOCO VARILUX DIGITAL"</f>
        <v>FOCO VARILUX DIGITAL</v>
      </c>
      <c r="BP184" t="str">
        <f>""</f>
        <v/>
      </c>
      <c r="BQ184" t="str">
        <f>""</f>
        <v/>
      </c>
      <c r="BR184" t="str">
        <f>""</f>
        <v/>
      </c>
      <c r="BS184" t="str">
        <f>""</f>
        <v/>
      </c>
      <c r="BT184" t="str">
        <f>""</f>
        <v/>
      </c>
      <c r="BU184" t="str">
        <f>""</f>
        <v/>
      </c>
      <c r="BV184" t="str">
        <f>"1"</f>
        <v>1</v>
      </c>
      <c r="BW184" t="str">
        <f>"155"</f>
        <v>155</v>
      </c>
    </row>
    <row r="185" spans="1:75" x14ac:dyDescent="0.35">
      <c r="A185">
        <v>158729</v>
      </c>
      <c r="B185" t="str">
        <f t="shared" si="65"/>
        <v>A</v>
      </c>
      <c r="C185" t="str">
        <f t="shared" si="66"/>
        <v>80</v>
      </c>
      <c r="D185" t="str">
        <f t="shared" si="67"/>
        <v>11121001</v>
      </c>
      <c r="E185" t="str">
        <f t="shared" si="68"/>
        <v>121001</v>
      </c>
      <c r="F185" t="str">
        <f t="shared" si="69"/>
        <v>JENIFER SANTOS</v>
      </c>
      <c r="G185" t="str">
        <f>"50610557000112"</f>
        <v>50610557000112</v>
      </c>
      <c r="H185" t="str">
        <f>""</f>
        <v/>
      </c>
      <c r="I185" t="str">
        <f t="shared" si="70"/>
        <v>CONTA OPTICA</v>
      </c>
      <c r="J185" t="str">
        <f>"JSUL COMERCIO DE PRODUTOS OTICOS LTDA"</f>
        <v>JSUL COMERCIO DE PRODUTOS OTICOS LTDA</v>
      </c>
      <c r="K185" t="str">
        <f>"OTICAS CAROL (4728)"</f>
        <v>OTICAS CAROL (4728)</v>
      </c>
      <c r="L185" t="str">
        <f>""</f>
        <v/>
      </c>
      <c r="M185" t="str">
        <f>""</f>
        <v/>
      </c>
      <c r="N185" t="str">
        <f>"ADM.SC@OTICASCAROL.COM.BR"</f>
        <v>ADM.SC@OTICASCAROL.COM.BR</v>
      </c>
      <c r="O185" t="str">
        <f>""</f>
        <v/>
      </c>
      <c r="P185" t="str">
        <f>"MARECHAL DEODORO DA FONSECA"</f>
        <v>MARECHAL DEODORO DA FONSECA</v>
      </c>
      <c r="Q185" t="str">
        <f>"819"</f>
        <v>819</v>
      </c>
      <c r="R185" t="str">
        <f>"SALA 01"</f>
        <v>SALA 01</v>
      </c>
      <c r="S185" t="str">
        <f>"1280"</f>
        <v>1280</v>
      </c>
      <c r="T185" t="str">
        <f>"89251700"</f>
        <v>89251700</v>
      </c>
      <c r="U185" t="str">
        <f t="shared" si="91"/>
        <v>CENTRO</v>
      </c>
      <c r="V185" t="str">
        <f>"JARAGUA DO SUL"</f>
        <v>JARAGUA DO SUL</v>
      </c>
      <c r="W185" t="str">
        <f t="shared" si="90"/>
        <v>SC</v>
      </c>
      <c r="X185" t="str">
        <f>"48"</f>
        <v>48</v>
      </c>
      <c r="Y185" t="str">
        <f>"32259791"</f>
        <v>32259791</v>
      </c>
      <c r="Z185" t="str">
        <f>""</f>
        <v/>
      </c>
      <c r="AA185" t="str">
        <f>""</f>
        <v/>
      </c>
      <c r="AB185" t="str">
        <f>""</f>
        <v/>
      </c>
      <c r="AC185" t="str">
        <f>""</f>
        <v/>
      </c>
      <c r="AD185" t="str">
        <f>""</f>
        <v/>
      </c>
      <c r="AE185" t="str">
        <f>""</f>
        <v/>
      </c>
      <c r="AF185" t="str">
        <f>""</f>
        <v/>
      </c>
      <c r="AG185" t="str">
        <f>""</f>
        <v/>
      </c>
      <c r="AH185" t="str">
        <f>""</f>
        <v/>
      </c>
      <c r="AI185" t="str">
        <f>""</f>
        <v/>
      </c>
      <c r="AJ185" t="str">
        <f>""</f>
        <v/>
      </c>
      <c r="AK185" t="str">
        <f>""</f>
        <v/>
      </c>
      <c r="AL185" t="str">
        <f>""</f>
        <v/>
      </c>
      <c r="AM185" t="str">
        <f>""</f>
        <v/>
      </c>
      <c r="AN185" t="str">
        <f>""</f>
        <v/>
      </c>
      <c r="AO185" t="str">
        <f>""</f>
        <v/>
      </c>
      <c r="AP185" t="str">
        <f>""</f>
        <v/>
      </c>
      <c r="AQ185" t="str">
        <f>""</f>
        <v/>
      </c>
      <c r="AR185" t="str">
        <f>""</f>
        <v/>
      </c>
      <c r="AS185" t="str">
        <f>""</f>
        <v/>
      </c>
      <c r="AT185" t="str">
        <f>""</f>
        <v/>
      </c>
      <c r="AU185" t="str">
        <f>""</f>
        <v/>
      </c>
      <c r="AV185" t="str">
        <f>""</f>
        <v/>
      </c>
      <c r="AW185" t="str">
        <f>""</f>
        <v/>
      </c>
      <c r="AX185" t="str">
        <f>""</f>
        <v/>
      </c>
      <c r="AY185" t="str">
        <f>""</f>
        <v/>
      </c>
      <c r="AZ185" t="str">
        <f>""</f>
        <v/>
      </c>
      <c r="BA185" t="str">
        <f>""</f>
        <v/>
      </c>
      <c r="BB185" t="str">
        <f>"17/08/2023 16:48:06"</f>
        <v>17/08/2023 16:48:06</v>
      </c>
      <c r="BC185" t="str">
        <f>""</f>
        <v/>
      </c>
      <c r="BD185" t="str">
        <f>""</f>
        <v/>
      </c>
      <c r="BE185" t="str">
        <f>""</f>
        <v/>
      </c>
      <c r="BF185" t="str">
        <f t="shared" si="71"/>
        <v>A</v>
      </c>
      <c r="BG185" t="str">
        <f>""</f>
        <v/>
      </c>
      <c r="BH185" t="str">
        <f>""</f>
        <v/>
      </c>
      <c r="BI185" t="str">
        <f t="shared" si="87"/>
        <v>EVENTUAL</v>
      </c>
      <c r="BJ185" t="str">
        <f t="shared" si="72"/>
        <v>1</v>
      </c>
      <c r="BK185" t="str">
        <f t="shared" si="73"/>
        <v>Farmacia</v>
      </c>
      <c r="BL185" t="str">
        <f>""</f>
        <v/>
      </c>
      <c r="BM185" t="str">
        <f>""</f>
        <v/>
      </c>
      <c r="BN185" t="str">
        <f>""</f>
        <v/>
      </c>
      <c r="BO185" t="str">
        <f>""</f>
        <v/>
      </c>
      <c r="BP185" t="str">
        <f>""</f>
        <v/>
      </c>
      <c r="BQ185" t="str">
        <f>""</f>
        <v/>
      </c>
      <c r="BR185" t="str">
        <f>"17/08/2023"</f>
        <v>17/08/2023</v>
      </c>
      <c r="BS185" t="str">
        <f>""</f>
        <v/>
      </c>
      <c r="BT185" t="str">
        <f>""</f>
        <v/>
      </c>
      <c r="BU185" t="str">
        <f>""</f>
        <v/>
      </c>
      <c r="BV185" t="str">
        <f>""</f>
        <v/>
      </c>
      <c r="BW185" t="str">
        <f>"Não visitado"</f>
        <v>Não visitado</v>
      </c>
    </row>
    <row r="186" spans="1:75" x14ac:dyDescent="0.35">
      <c r="A186">
        <v>120295</v>
      </c>
      <c r="B186" t="str">
        <f t="shared" si="65"/>
        <v>A</v>
      </c>
      <c r="C186" t="str">
        <f t="shared" si="66"/>
        <v>80</v>
      </c>
      <c r="D186" t="str">
        <f t="shared" si="67"/>
        <v>11121001</v>
      </c>
      <c r="E186" t="str">
        <f t="shared" si="68"/>
        <v>121001</v>
      </c>
      <c r="F186" t="str">
        <f t="shared" si="69"/>
        <v>JENIFER SANTOS</v>
      </c>
      <c r="G186" t="str">
        <f>"00245916000101"</f>
        <v>00245916000101</v>
      </c>
      <c r="H186" t="str">
        <f>"0"</f>
        <v>0</v>
      </c>
      <c r="I186" t="str">
        <f t="shared" si="70"/>
        <v>CONTA OPTICA</v>
      </c>
      <c r="J186" t="str">
        <f>"JUARES FERREIRA DA SILVA ME"</f>
        <v>JUARES FERREIRA DA SILVA ME</v>
      </c>
      <c r="K186" t="str">
        <f>"NOVA OTICA (2204)"</f>
        <v>NOVA OTICA (2204)</v>
      </c>
      <c r="L186" t="str">
        <f>""</f>
        <v/>
      </c>
      <c r="M186" t="str">
        <f>""</f>
        <v/>
      </c>
      <c r="N186" t="str">
        <f>"novaoticamh@hotmail.com"</f>
        <v>novaoticamh@hotmail.com</v>
      </c>
      <c r="O186" t="str">
        <f>""</f>
        <v/>
      </c>
      <c r="P186" t="str">
        <f>"AVENIDA SUL BRASIL"</f>
        <v>AVENIDA SUL BRASIL</v>
      </c>
      <c r="Q186" t="str">
        <f>"583"</f>
        <v>583</v>
      </c>
      <c r="R186" t="str">
        <f>"SALA 01"</f>
        <v>SALA 01</v>
      </c>
      <c r="S186" t="str">
        <f>"1288"</f>
        <v>1288</v>
      </c>
      <c r="T186" t="str">
        <f>"89874000"</f>
        <v>89874000</v>
      </c>
      <c r="U186" t="str">
        <f t="shared" si="91"/>
        <v>CENTRO</v>
      </c>
      <c r="V186" t="str">
        <f>"MARAVILHA"</f>
        <v>MARAVILHA</v>
      </c>
      <c r="W186" t="str">
        <f t="shared" si="90"/>
        <v>SC</v>
      </c>
      <c r="X186" t="str">
        <f>"49"</f>
        <v>49</v>
      </c>
      <c r="Y186" t="str">
        <f>"36640280"</f>
        <v>36640280</v>
      </c>
      <c r="Z186" t="str">
        <f>""</f>
        <v/>
      </c>
      <c r="AA186" t="str">
        <f>""</f>
        <v/>
      </c>
      <c r="AB186" t="str">
        <f>""</f>
        <v/>
      </c>
      <c r="AC186" t="str">
        <f>""</f>
        <v/>
      </c>
      <c r="AD186" t="str">
        <f>""</f>
        <v/>
      </c>
      <c r="AE186" t="str">
        <f>""</f>
        <v/>
      </c>
      <c r="AF186" t="str">
        <f>""</f>
        <v/>
      </c>
      <c r="AG186" t="str">
        <f>""</f>
        <v/>
      </c>
      <c r="AH186" t="str">
        <f>""</f>
        <v/>
      </c>
      <c r="AI186" t="str">
        <f>""</f>
        <v/>
      </c>
      <c r="AJ186" t="str">
        <f>"0"</f>
        <v>0</v>
      </c>
      <c r="AK186" t="str">
        <f>"0"</f>
        <v>0</v>
      </c>
      <c r="AL186" t="str">
        <f>"0"</f>
        <v>0</v>
      </c>
      <c r="AM186" t="str">
        <f>""</f>
        <v/>
      </c>
      <c r="AN186" t="str">
        <f>""</f>
        <v/>
      </c>
      <c r="AO186" t="str">
        <f>""</f>
        <v/>
      </c>
      <c r="AP186" t="str">
        <f>""</f>
        <v/>
      </c>
      <c r="AQ186" t="str">
        <f>""</f>
        <v/>
      </c>
      <c r="AR186" t="str">
        <f>""</f>
        <v/>
      </c>
      <c r="AS186" t="str">
        <f>""</f>
        <v/>
      </c>
      <c r="AT186" t="str">
        <f>""</f>
        <v/>
      </c>
      <c r="AU186" t="str">
        <f>""</f>
        <v/>
      </c>
      <c r="AV186" t="str">
        <f>""</f>
        <v/>
      </c>
      <c r="AW186" t="str">
        <f>""</f>
        <v/>
      </c>
      <c r="AX186" t="str">
        <f>""</f>
        <v/>
      </c>
      <c r="AY186" t="str">
        <f>""</f>
        <v/>
      </c>
      <c r="AZ186" t="str">
        <f>""</f>
        <v/>
      </c>
      <c r="BA186" t="str">
        <f>""</f>
        <v/>
      </c>
      <c r="BB186" t="str">
        <f>"18/09/2020 22:12:34"</f>
        <v>18/09/2020 22:12:34</v>
      </c>
      <c r="BC186" t="str">
        <f>""</f>
        <v/>
      </c>
      <c r="BD186" t="str">
        <f>""</f>
        <v/>
      </c>
      <c r="BE186" t="str">
        <f>""</f>
        <v/>
      </c>
      <c r="BF186" t="str">
        <f t="shared" si="71"/>
        <v>A</v>
      </c>
      <c r="BG186" t="str">
        <f>"0,00"</f>
        <v>0,00</v>
      </c>
      <c r="BH186" t="str">
        <f>"0,00"</f>
        <v>0,00</v>
      </c>
      <c r="BI186" t="str">
        <f t="shared" si="87"/>
        <v>EVENTUAL</v>
      </c>
      <c r="BJ186" t="str">
        <f t="shared" si="72"/>
        <v>1</v>
      </c>
      <c r="BK186" t="str">
        <f t="shared" si="73"/>
        <v>Farmacia</v>
      </c>
      <c r="BL186" t="str">
        <f>""</f>
        <v/>
      </c>
      <c r="BM186" t="str">
        <f>"NÃO É VARILUX ESPECIALISTA"</f>
        <v>NÃO É VARILUX ESPECIALISTA</v>
      </c>
      <c r="BN186" t="str">
        <f>"NA"</f>
        <v>NA</v>
      </c>
      <c r="BO186" t="str">
        <f>"FOCO VARILUX"</f>
        <v>FOCO VARILUX</v>
      </c>
      <c r="BP186" t="str">
        <f>""</f>
        <v/>
      </c>
      <c r="BQ186" t="str">
        <f>""</f>
        <v/>
      </c>
      <c r="BR186" t="str">
        <f>"18/09/2020"</f>
        <v>18/09/2020</v>
      </c>
      <c r="BS186" t="str">
        <f>""</f>
        <v/>
      </c>
      <c r="BT186" t="str">
        <f>""</f>
        <v/>
      </c>
      <c r="BU186" t="str">
        <f>""</f>
        <v/>
      </c>
      <c r="BV186" t="str">
        <f>"5"</f>
        <v>5</v>
      </c>
      <c r="BW186" t="str">
        <f>"1"</f>
        <v>1</v>
      </c>
    </row>
    <row r="187" spans="1:75" x14ac:dyDescent="0.35">
      <c r="A187">
        <v>120404</v>
      </c>
      <c r="B187" t="str">
        <f t="shared" si="65"/>
        <v>A</v>
      </c>
      <c r="C187" t="str">
        <f t="shared" si="66"/>
        <v>80</v>
      </c>
      <c r="D187" t="str">
        <f t="shared" si="67"/>
        <v>11121001</v>
      </c>
      <c r="E187" t="str">
        <f t="shared" si="68"/>
        <v>121001</v>
      </c>
      <c r="F187" t="str">
        <f t="shared" si="69"/>
        <v>JENIFER SANTOS</v>
      </c>
      <c r="G187" t="str">
        <f>"03741880000145"</f>
        <v>03741880000145</v>
      </c>
      <c r="H187" t="str">
        <f>"0"</f>
        <v>0</v>
      </c>
      <c r="I187" t="str">
        <f t="shared" si="70"/>
        <v>CONTA OPTICA</v>
      </c>
      <c r="J187" t="str">
        <f>"JUCARA FATIMA BELINKEVICIUS"</f>
        <v>JUCARA FATIMA BELINKEVICIUS</v>
      </c>
      <c r="K187" t="str">
        <f>"GOLD OPTICA JOALHERIA (816)"</f>
        <v>GOLD OPTICA JOALHERIA (816)</v>
      </c>
      <c r="L187" t="str">
        <f>""</f>
        <v/>
      </c>
      <c r="M187" t="str">
        <f>""</f>
        <v/>
      </c>
      <c r="N187" t="str">
        <f>""</f>
        <v/>
      </c>
      <c r="O187" t="str">
        <f>""</f>
        <v/>
      </c>
      <c r="P187" t="str">
        <f>"AVENIDA MAURICIO CARDOSO"</f>
        <v>AVENIDA MAURICIO CARDOSO</v>
      </c>
      <c r="Q187" t="str">
        <f>"225"</f>
        <v>225</v>
      </c>
      <c r="R187" t="str">
        <f>""</f>
        <v/>
      </c>
      <c r="S187" t="str">
        <f>"1389"</f>
        <v>1389</v>
      </c>
      <c r="T187" t="str">
        <f>"99700000"</f>
        <v>99700000</v>
      </c>
      <c r="U187" t="str">
        <f t="shared" si="91"/>
        <v>CENTRO</v>
      </c>
      <c r="V187" t="str">
        <f>"ERECHIM"</f>
        <v>ERECHIM</v>
      </c>
      <c r="W187" t="str">
        <f>"RS"</f>
        <v>RS</v>
      </c>
      <c r="X187" t="str">
        <f>"54"</f>
        <v>54</v>
      </c>
      <c r="Y187" t="str">
        <f>"35226956"</f>
        <v>35226956</v>
      </c>
      <c r="Z187" t="str">
        <f>""</f>
        <v/>
      </c>
      <c r="AA187" t="str">
        <f>""</f>
        <v/>
      </c>
      <c r="AB187" t="str">
        <f>""</f>
        <v/>
      </c>
      <c r="AC187" t="str">
        <f>""</f>
        <v/>
      </c>
      <c r="AD187" t="str">
        <f>""</f>
        <v/>
      </c>
      <c r="AE187" t="str">
        <f>""</f>
        <v/>
      </c>
      <c r="AF187" t="str">
        <f>""</f>
        <v/>
      </c>
      <c r="AG187" t="str">
        <f>""</f>
        <v/>
      </c>
      <c r="AH187" t="str">
        <f>""</f>
        <v/>
      </c>
      <c r="AI187" t="str">
        <f>""</f>
        <v/>
      </c>
      <c r="AJ187" t="str">
        <f>""</f>
        <v/>
      </c>
      <c r="AK187" t="str">
        <f>""</f>
        <v/>
      </c>
      <c r="AL187" t="str">
        <f>""</f>
        <v/>
      </c>
      <c r="AM187" t="str">
        <f>""</f>
        <v/>
      </c>
      <c r="AN187" t="str">
        <f>""</f>
        <v/>
      </c>
      <c r="AO187" t="str">
        <f>""</f>
        <v/>
      </c>
      <c r="AP187" t="str">
        <f>""</f>
        <v/>
      </c>
      <c r="AQ187" t="str">
        <f>""</f>
        <v/>
      </c>
      <c r="AR187" t="str">
        <f>""</f>
        <v/>
      </c>
      <c r="AS187" t="str">
        <f>""</f>
        <v/>
      </c>
      <c r="AT187" t="str">
        <f>""</f>
        <v/>
      </c>
      <c r="AU187" t="str">
        <f>""</f>
        <v/>
      </c>
      <c r="AV187" t="str">
        <f>""</f>
        <v/>
      </c>
      <c r="AW187" t="str">
        <f>""</f>
        <v/>
      </c>
      <c r="AX187" t="str">
        <f>""</f>
        <v/>
      </c>
      <c r="AY187" t="str">
        <f>""</f>
        <v/>
      </c>
      <c r="AZ187" t="str">
        <f>""</f>
        <v/>
      </c>
      <c r="BA187" t="str">
        <f>""</f>
        <v/>
      </c>
      <c r="BB187" t="str">
        <f>"18/09/2020 22:12:34"</f>
        <v>18/09/2020 22:12:34</v>
      </c>
      <c r="BC187" t="str">
        <f>""</f>
        <v/>
      </c>
      <c r="BD187" t="str">
        <f>""</f>
        <v/>
      </c>
      <c r="BE187" t="str">
        <f>""</f>
        <v/>
      </c>
      <c r="BF187" t="str">
        <f t="shared" si="71"/>
        <v>A</v>
      </c>
      <c r="BG187" t="str">
        <f>""</f>
        <v/>
      </c>
      <c r="BH187" t="str">
        <f>""</f>
        <v/>
      </c>
      <c r="BI187" t="str">
        <f t="shared" si="87"/>
        <v>EVENTUAL</v>
      </c>
      <c r="BJ187" t="str">
        <f t="shared" si="72"/>
        <v>1</v>
      </c>
      <c r="BK187" t="str">
        <f t="shared" si="73"/>
        <v>Farmacia</v>
      </c>
      <c r="BL187" t="str">
        <f>""</f>
        <v/>
      </c>
      <c r="BM187" t="str">
        <f>"NÃO É VARILUX ESPECIALISTA"</f>
        <v>NÃO É VARILUX ESPECIALISTA</v>
      </c>
      <c r="BN187" t="str">
        <f>"NA"</f>
        <v>NA</v>
      </c>
      <c r="BO187" t="str">
        <f>"FOCO KODAK 2"</f>
        <v>FOCO KODAK 2</v>
      </c>
      <c r="BP187" t="str">
        <f>""</f>
        <v/>
      </c>
      <c r="BQ187" t="str">
        <f>""</f>
        <v/>
      </c>
      <c r="BR187" t="str">
        <f>"18/09/2020"</f>
        <v>18/09/2020</v>
      </c>
      <c r="BS187" t="str">
        <f>""</f>
        <v/>
      </c>
      <c r="BT187" t="str">
        <f>""</f>
        <v/>
      </c>
      <c r="BU187" t="str">
        <f>""</f>
        <v/>
      </c>
      <c r="BV187" t="str">
        <f>"2"</f>
        <v>2</v>
      </c>
      <c r="BW187" t="str">
        <f>"Não visitado"</f>
        <v>Não visitado</v>
      </c>
    </row>
    <row r="188" spans="1:75" x14ac:dyDescent="0.35">
      <c r="A188">
        <v>144515</v>
      </c>
      <c r="B188" t="str">
        <f t="shared" si="65"/>
        <v>A</v>
      </c>
      <c r="C188" t="str">
        <f t="shared" si="66"/>
        <v>80</v>
      </c>
      <c r="D188" t="str">
        <f t="shared" si="67"/>
        <v>11121001</v>
      </c>
      <c r="E188" t="str">
        <f t="shared" si="68"/>
        <v>121001</v>
      </c>
      <c r="F188" t="str">
        <f t="shared" si="69"/>
        <v>JENIFER SANTOS</v>
      </c>
      <c r="G188" t="str">
        <f>"33328498000175"</f>
        <v>33328498000175</v>
      </c>
      <c r="H188" t="str">
        <f>""</f>
        <v/>
      </c>
      <c r="I188" t="str">
        <f t="shared" si="70"/>
        <v>CONTA OPTICA</v>
      </c>
      <c r="J188" t="str">
        <f>"JULIANA DA SILVA MELO"</f>
        <v>JULIANA DA SILVA MELO</v>
      </c>
      <c r="K188" t="str">
        <f>"OTICA DINIZ (4018)"</f>
        <v>OTICA DINIZ (4018)</v>
      </c>
      <c r="L188" t="str">
        <f>""</f>
        <v/>
      </c>
      <c r="M188" t="str">
        <f>""</f>
        <v/>
      </c>
      <c r="N188" t="str">
        <f>"juliana-diniz1@hotmail.com"</f>
        <v>juliana-diniz1@hotmail.com</v>
      </c>
      <c r="O188" t="str">
        <f>""</f>
        <v/>
      </c>
      <c r="P188" t="str">
        <f>"RUA IRIRIU"</f>
        <v>RUA IRIRIU</v>
      </c>
      <c r="Q188" t="str">
        <f>"997"</f>
        <v>997</v>
      </c>
      <c r="R188" t="str">
        <f>"SALA05"</f>
        <v>SALA05</v>
      </c>
      <c r="S188" t="str">
        <f>""</f>
        <v/>
      </c>
      <c r="T188" t="str">
        <f>"89221515"</f>
        <v>89221515</v>
      </c>
      <c r="U188" t="str">
        <f>"SAGUACU"</f>
        <v>SAGUACU</v>
      </c>
      <c r="V188" t="str">
        <f>"JOINVILLE"</f>
        <v>JOINVILLE</v>
      </c>
      <c r="W188" t="str">
        <f>"SC"</f>
        <v>SC</v>
      </c>
      <c r="X188" t="str">
        <f>"47"</f>
        <v>47</v>
      </c>
      <c r="Y188" t="str">
        <f>"30253055"</f>
        <v>30253055</v>
      </c>
      <c r="Z188" t="str">
        <f>""</f>
        <v/>
      </c>
      <c r="AA188" t="str">
        <f>""</f>
        <v/>
      </c>
      <c r="AB188" t="str">
        <f>""</f>
        <v/>
      </c>
      <c r="AC188" t="str">
        <f>""</f>
        <v/>
      </c>
      <c r="AD188" t="str">
        <f>""</f>
        <v/>
      </c>
      <c r="AE188" t="str">
        <f>""</f>
        <v/>
      </c>
      <c r="AF188" t="str">
        <f>""</f>
        <v/>
      </c>
      <c r="AG188" t="str">
        <f>""</f>
        <v/>
      </c>
      <c r="AH188" t="str">
        <f>""</f>
        <v/>
      </c>
      <c r="AI188" t="str">
        <f>""</f>
        <v/>
      </c>
      <c r="AJ188" t="str">
        <f>"0"</f>
        <v>0</v>
      </c>
      <c r="AK188" t="str">
        <f>"0"</f>
        <v>0</v>
      </c>
      <c r="AL188" t="str">
        <f>"0"</f>
        <v>0</v>
      </c>
      <c r="AM188" t="str">
        <f>""</f>
        <v/>
      </c>
      <c r="AN188" t="str">
        <f>""</f>
        <v/>
      </c>
      <c r="AO188" t="str">
        <f>""</f>
        <v/>
      </c>
      <c r="AP188" t="str">
        <f>""</f>
        <v/>
      </c>
      <c r="AQ188" t="str">
        <f>""</f>
        <v/>
      </c>
      <c r="AR188" t="str">
        <f>""</f>
        <v/>
      </c>
      <c r="AS188" t="str">
        <f>""</f>
        <v/>
      </c>
      <c r="AT188" t="str">
        <f>""</f>
        <v/>
      </c>
      <c r="AU188" t="str">
        <f>""</f>
        <v/>
      </c>
      <c r="AV188" t="str">
        <f>""</f>
        <v/>
      </c>
      <c r="AW188" t="str">
        <f>""</f>
        <v/>
      </c>
      <c r="AX188" t="str">
        <f>""</f>
        <v/>
      </c>
      <c r="AY188" t="str">
        <f>""</f>
        <v/>
      </c>
      <c r="AZ188" t="str">
        <f>""</f>
        <v/>
      </c>
      <c r="BA188" t="str">
        <f>""</f>
        <v/>
      </c>
      <c r="BB188" t="str">
        <f>""</f>
        <v/>
      </c>
      <c r="BC188" t="str">
        <f>""</f>
        <v/>
      </c>
      <c r="BD188" t="str">
        <f>""</f>
        <v/>
      </c>
      <c r="BE188" t="str">
        <f>""</f>
        <v/>
      </c>
      <c r="BF188" t="str">
        <f t="shared" si="71"/>
        <v>A</v>
      </c>
      <c r="BG188" t="str">
        <f>"0,00"</f>
        <v>0,00</v>
      </c>
      <c r="BH188" t="str">
        <f>"0,00"</f>
        <v>0,00</v>
      </c>
      <c r="BI188" t="str">
        <f t="shared" si="87"/>
        <v>EVENTUAL</v>
      </c>
      <c r="BJ188" t="str">
        <f t="shared" si="72"/>
        <v>1</v>
      </c>
      <c r="BK188" t="str">
        <f t="shared" si="73"/>
        <v>Farmacia</v>
      </c>
      <c r="BL188" t="str">
        <f>""</f>
        <v/>
      </c>
      <c r="BM188" t="str">
        <f>"NÃO É VARILUX ESPECIALISTA"</f>
        <v>NÃO É VARILUX ESPECIALISTA</v>
      </c>
      <c r="BN188" t="str">
        <f>"NA"</f>
        <v>NA</v>
      </c>
      <c r="BO188" t="str">
        <f>"OUTROS"</f>
        <v>OUTROS</v>
      </c>
      <c r="BP188" t="str">
        <f>""</f>
        <v/>
      </c>
      <c r="BQ188" t="str">
        <f>""</f>
        <v/>
      </c>
      <c r="BR188" t="str">
        <f>""</f>
        <v/>
      </c>
      <c r="BS188" t="str">
        <f>""</f>
        <v/>
      </c>
      <c r="BT188" t="str">
        <f>""</f>
        <v/>
      </c>
      <c r="BU188" t="str">
        <f>""</f>
        <v/>
      </c>
      <c r="BV188" t="str">
        <f>"9"</f>
        <v>9</v>
      </c>
      <c r="BW188" t="str">
        <f>"156"</f>
        <v>156</v>
      </c>
    </row>
    <row r="189" spans="1:75" x14ac:dyDescent="0.35">
      <c r="A189">
        <v>138100</v>
      </c>
      <c r="B189" t="str">
        <f t="shared" si="65"/>
        <v>A</v>
      </c>
      <c r="C189" t="str">
        <f t="shared" si="66"/>
        <v>80</v>
      </c>
      <c r="D189" t="str">
        <f t="shared" si="67"/>
        <v>11121001</v>
      </c>
      <c r="E189" t="str">
        <f t="shared" si="68"/>
        <v>121001</v>
      </c>
      <c r="F189" t="str">
        <f t="shared" si="69"/>
        <v>JENIFER SANTOS</v>
      </c>
      <c r="G189" t="str">
        <f>"87662326000162"</f>
        <v>87662326000162</v>
      </c>
      <c r="H189" t="str">
        <f>"0"</f>
        <v>0</v>
      </c>
      <c r="I189" t="str">
        <f t="shared" si="70"/>
        <v>CONTA OPTICA</v>
      </c>
      <c r="J189" t="str">
        <f>"JULIO FONTOURA E CIA LTDA"</f>
        <v>JULIO FONTOURA E CIA LTDA</v>
      </c>
      <c r="K189" t="str">
        <f>"OPTICA SANTA LUZIA (26)"</f>
        <v>OPTICA SANTA LUZIA (26)</v>
      </c>
      <c r="L189" t="str">
        <f>""</f>
        <v/>
      </c>
      <c r="M189" t="str">
        <f>""</f>
        <v/>
      </c>
      <c r="N189" t="str">
        <f>"juliofw@gmail.com"</f>
        <v>juliofw@gmail.com</v>
      </c>
      <c r="O189" t="str">
        <f>""</f>
        <v/>
      </c>
      <c r="P189" t="str">
        <f>"RUA DO COMERCIO"</f>
        <v>RUA DO COMERCIO</v>
      </c>
      <c r="Q189" t="str">
        <f>"617"</f>
        <v>617</v>
      </c>
      <c r="R189" t="str">
        <f>""</f>
        <v/>
      </c>
      <c r="S189" t="str">
        <f>"1377"</f>
        <v>1377</v>
      </c>
      <c r="T189" t="str">
        <f>"98400000"</f>
        <v>98400000</v>
      </c>
      <c r="U189" t="str">
        <f>"CENTRO"</f>
        <v>CENTRO</v>
      </c>
      <c r="V189" t="str">
        <f>"FREDERICO WESTPHALEN"</f>
        <v>FREDERICO WESTPHALEN</v>
      </c>
      <c r="W189" t="str">
        <f>"RS"</f>
        <v>RS</v>
      </c>
      <c r="X189" t="str">
        <f>"55"</f>
        <v>55</v>
      </c>
      <c r="Y189" t="str">
        <f>"37441652"</f>
        <v>37441652</v>
      </c>
      <c r="Z189" t="str">
        <f>""</f>
        <v/>
      </c>
      <c r="AA189" t="str">
        <f>""</f>
        <v/>
      </c>
      <c r="AB189" t="str">
        <f>""</f>
        <v/>
      </c>
      <c r="AC189" t="str">
        <f>""</f>
        <v/>
      </c>
      <c r="AD189" t="str">
        <f>""</f>
        <v/>
      </c>
      <c r="AE189" t="str">
        <f>""</f>
        <v/>
      </c>
      <c r="AF189" t="str">
        <f>""</f>
        <v/>
      </c>
      <c r="AG189" t="str">
        <f>"S"</f>
        <v>S</v>
      </c>
      <c r="AH189" t="str">
        <f>""</f>
        <v/>
      </c>
      <c r="AI189" t="str">
        <f>""</f>
        <v/>
      </c>
      <c r="AJ189" t="str">
        <f>""</f>
        <v/>
      </c>
      <c r="AK189" t="str">
        <f>""</f>
        <v/>
      </c>
      <c r="AL189" t="str">
        <f>""</f>
        <v/>
      </c>
      <c r="AM189" t="str">
        <f>""</f>
        <v/>
      </c>
      <c r="AN189" t="str">
        <f>""</f>
        <v/>
      </c>
      <c r="AO189" t="str">
        <f>""</f>
        <v/>
      </c>
      <c r="AP189" t="str">
        <f>""</f>
        <v/>
      </c>
      <c r="AQ189" t="str">
        <f t="shared" ref="AQ189:AU190" si="93">"N"</f>
        <v>N</v>
      </c>
      <c r="AR189" t="str">
        <f t="shared" si="93"/>
        <v>N</v>
      </c>
      <c r="AS189" t="str">
        <f t="shared" si="93"/>
        <v>N</v>
      </c>
      <c r="AT189" t="str">
        <f t="shared" si="93"/>
        <v>N</v>
      </c>
      <c r="AU189" t="str">
        <f t="shared" si="93"/>
        <v>N</v>
      </c>
      <c r="AV189" t="str">
        <f>""</f>
        <v/>
      </c>
      <c r="AW189" t="str">
        <f>""</f>
        <v/>
      </c>
      <c r="AX189" t="str">
        <f>""</f>
        <v/>
      </c>
      <c r="AY189" t="str">
        <f>""</f>
        <v/>
      </c>
      <c r="AZ189" t="str">
        <f>""</f>
        <v/>
      </c>
      <c r="BA189" t="str">
        <f>""</f>
        <v/>
      </c>
      <c r="BB189" t="str">
        <f>"01/07/2021 13:53:04"</f>
        <v>01/07/2021 13:53:04</v>
      </c>
      <c r="BC189" t="str">
        <f>"18/04/2022 14:38:55"</f>
        <v>18/04/2022 14:38:55</v>
      </c>
      <c r="BD189" t="str">
        <f>""</f>
        <v/>
      </c>
      <c r="BE189" t="str">
        <f>""</f>
        <v/>
      </c>
      <c r="BF189" t="str">
        <f t="shared" si="71"/>
        <v>A</v>
      </c>
      <c r="BG189" t="str">
        <f>""</f>
        <v/>
      </c>
      <c r="BH189" t="str">
        <f>"0,00"</f>
        <v>0,00</v>
      </c>
      <c r="BI189" t="str">
        <f t="shared" si="87"/>
        <v>EVENTUAL</v>
      </c>
      <c r="BJ189" t="str">
        <f t="shared" si="72"/>
        <v>1</v>
      </c>
      <c r="BK189" t="str">
        <f t="shared" si="73"/>
        <v>Farmacia</v>
      </c>
      <c r="BL189" t="str">
        <f>""</f>
        <v/>
      </c>
      <c r="BM189" t="str">
        <f>"VARILUX ESPECIALISTA SELECT"</f>
        <v>VARILUX ESPECIALISTA SELECT</v>
      </c>
      <c r="BN189" t="str">
        <f>"NA"</f>
        <v>NA</v>
      </c>
      <c r="BO189" t="str">
        <f>"FOCO VARILUX DIGITAL"</f>
        <v>FOCO VARILUX DIGITAL</v>
      </c>
      <c r="BP189" t="str">
        <f>""</f>
        <v/>
      </c>
      <c r="BQ189" t="str">
        <f>""</f>
        <v/>
      </c>
      <c r="BR189" t="str">
        <f>"01/07/2021"</f>
        <v>01/07/2021</v>
      </c>
      <c r="BS189" t="str">
        <f>"18/04/2022"</f>
        <v>18/04/2022</v>
      </c>
      <c r="BT189" t="str">
        <f>""</f>
        <v/>
      </c>
      <c r="BU189" t="str">
        <f>""</f>
        <v/>
      </c>
      <c r="BV189" t="str">
        <f>""</f>
        <v/>
      </c>
      <c r="BW189" t="str">
        <f>"3"</f>
        <v>3</v>
      </c>
    </row>
    <row r="190" spans="1:75" x14ac:dyDescent="0.35">
      <c r="A190">
        <v>138101</v>
      </c>
      <c r="B190" t="str">
        <f t="shared" si="65"/>
        <v>A</v>
      </c>
      <c r="C190" t="str">
        <f t="shared" si="66"/>
        <v>80</v>
      </c>
      <c r="D190" t="str">
        <f t="shared" si="67"/>
        <v>11121001</v>
      </c>
      <c r="E190" t="str">
        <f t="shared" si="68"/>
        <v>121001</v>
      </c>
      <c r="F190" t="str">
        <f t="shared" si="69"/>
        <v>JENIFER SANTOS</v>
      </c>
      <c r="G190" t="str">
        <f>"78217858000108"</f>
        <v>78217858000108</v>
      </c>
      <c r="H190" t="str">
        <f>"0"</f>
        <v>0</v>
      </c>
      <c r="I190" t="str">
        <f t="shared" si="70"/>
        <v>CONTA OPTICA</v>
      </c>
      <c r="J190" t="str">
        <f>"JURANDIR WALTER HEYDT ME"</f>
        <v>JURANDIR WALTER HEYDT ME</v>
      </c>
      <c r="K190" t="str">
        <f>"JURANDIR WALTER HEYDT (194)"</f>
        <v>JURANDIR WALTER HEYDT (194)</v>
      </c>
      <c r="L190" t="str">
        <f>""</f>
        <v/>
      </c>
      <c r="M190" t="str">
        <f>""</f>
        <v/>
      </c>
      <c r="N190" t="str">
        <f>"minerva@mhnet.com.br"</f>
        <v>minerva@mhnet.com.br</v>
      </c>
      <c r="O190" t="str">
        <f>""</f>
        <v/>
      </c>
      <c r="P190" t="str">
        <f>"RUA SUL BRASIL"</f>
        <v>RUA SUL BRASIL</v>
      </c>
      <c r="Q190" t="str">
        <f>"215"</f>
        <v>215</v>
      </c>
      <c r="R190" t="str">
        <f>""</f>
        <v/>
      </c>
      <c r="S190" t="str">
        <f>"1288"</f>
        <v>1288</v>
      </c>
      <c r="T190" t="str">
        <f>"89874000"</f>
        <v>89874000</v>
      </c>
      <c r="U190" t="str">
        <f>"CENTRO"</f>
        <v>CENTRO</v>
      </c>
      <c r="V190" t="str">
        <f>"MARAVILHA"</f>
        <v>MARAVILHA</v>
      </c>
      <c r="W190" t="str">
        <f t="shared" ref="W190:W197" si="94">"SC"</f>
        <v>SC</v>
      </c>
      <c r="X190" t="str">
        <f>"49"</f>
        <v>49</v>
      </c>
      <c r="Y190" t="str">
        <f>"36640180"</f>
        <v>36640180</v>
      </c>
      <c r="Z190" t="str">
        <f>""</f>
        <v/>
      </c>
      <c r="AA190" t="str">
        <f>""</f>
        <v/>
      </c>
      <c r="AB190" t="str">
        <f>""</f>
        <v/>
      </c>
      <c r="AC190" t="str">
        <f>""</f>
        <v/>
      </c>
      <c r="AD190" t="str">
        <f>""</f>
        <v/>
      </c>
      <c r="AE190" t="str">
        <f>""</f>
        <v/>
      </c>
      <c r="AF190" t="str">
        <f>""</f>
        <v/>
      </c>
      <c r="AG190" t="str">
        <f>"S"</f>
        <v>S</v>
      </c>
      <c r="AH190" t="str">
        <f>""</f>
        <v/>
      </c>
      <c r="AI190" t="str">
        <f>""</f>
        <v/>
      </c>
      <c r="AJ190" t="str">
        <f>""</f>
        <v/>
      </c>
      <c r="AK190" t="str">
        <f>""</f>
        <v/>
      </c>
      <c r="AL190" t="str">
        <f>""</f>
        <v/>
      </c>
      <c r="AM190" t="str">
        <f>""</f>
        <v/>
      </c>
      <c r="AN190" t="str">
        <f>""</f>
        <v/>
      </c>
      <c r="AO190" t="str">
        <f>""</f>
        <v/>
      </c>
      <c r="AP190" t="str">
        <f>""</f>
        <v/>
      </c>
      <c r="AQ190" t="str">
        <f t="shared" si="93"/>
        <v>N</v>
      </c>
      <c r="AR190" t="str">
        <f t="shared" si="93"/>
        <v>N</v>
      </c>
      <c r="AS190" t="str">
        <f t="shared" si="93"/>
        <v>N</v>
      </c>
      <c r="AT190" t="str">
        <f t="shared" si="93"/>
        <v>N</v>
      </c>
      <c r="AU190" t="str">
        <f t="shared" si="93"/>
        <v>N</v>
      </c>
      <c r="AV190" t="str">
        <f>""</f>
        <v/>
      </c>
      <c r="AW190" t="str">
        <f>""</f>
        <v/>
      </c>
      <c r="AX190" t="str">
        <f>""</f>
        <v/>
      </c>
      <c r="AY190" t="str">
        <f>""</f>
        <v/>
      </c>
      <c r="AZ190" t="str">
        <f>""</f>
        <v/>
      </c>
      <c r="BA190" t="str">
        <f>""</f>
        <v/>
      </c>
      <c r="BB190" t="str">
        <f>"01/07/2021 13:53:04"</f>
        <v>01/07/2021 13:53:04</v>
      </c>
      <c r="BC190" t="str">
        <f>"04/04/2022 09:33:53"</f>
        <v>04/04/2022 09:33:53</v>
      </c>
      <c r="BD190" t="str">
        <f>""</f>
        <v/>
      </c>
      <c r="BE190" t="str">
        <f>""</f>
        <v/>
      </c>
      <c r="BF190" t="str">
        <f t="shared" si="71"/>
        <v>A</v>
      </c>
      <c r="BG190" t="str">
        <f>""</f>
        <v/>
      </c>
      <c r="BH190" t="str">
        <f>"0,00"</f>
        <v>0,00</v>
      </c>
      <c r="BI190" t="str">
        <f t="shared" si="87"/>
        <v>EVENTUAL</v>
      </c>
      <c r="BJ190" t="str">
        <f t="shared" si="72"/>
        <v>1</v>
      </c>
      <c r="BK190" t="str">
        <f t="shared" si="73"/>
        <v>Farmacia</v>
      </c>
      <c r="BL190" t="str">
        <f>""</f>
        <v/>
      </c>
      <c r="BM190" t="str">
        <f>"NÃO É VARILUX ESPECIALISTA"</f>
        <v>NÃO É VARILUX ESPECIALISTA</v>
      </c>
      <c r="BN190" t="str">
        <f>"NA"</f>
        <v>NA</v>
      </c>
      <c r="BO190" t="str">
        <f>"FOCO VARILUX"</f>
        <v>FOCO VARILUX</v>
      </c>
      <c r="BP190" t="str">
        <f>""</f>
        <v/>
      </c>
      <c r="BQ190" t="str">
        <f>""</f>
        <v/>
      </c>
      <c r="BR190" t="str">
        <f>"01/07/2021"</f>
        <v>01/07/2021</v>
      </c>
      <c r="BS190" t="str">
        <f>"04/04/2022"</f>
        <v>04/04/2022</v>
      </c>
      <c r="BT190" t="str">
        <f>""</f>
        <v/>
      </c>
      <c r="BU190" t="str">
        <f>""</f>
        <v/>
      </c>
      <c r="BV190" t="str">
        <f>""</f>
        <v/>
      </c>
      <c r="BW190" t="str">
        <f>"39"</f>
        <v>39</v>
      </c>
    </row>
    <row r="191" spans="1:75" x14ac:dyDescent="0.35">
      <c r="A191">
        <v>157568</v>
      </c>
      <c r="B191" t="str">
        <f t="shared" si="65"/>
        <v>A</v>
      </c>
      <c r="C191" t="str">
        <f t="shared" si="66"/>
        <v>80</v>
      </c>
      <c r="D191" t="str">
        <f t="shared" si="67"/>
        <v>11121001</v>
      </c>
      <c r="E191" t="str">
        <f t="shared" si="68"/>
        <v>121001</v>
      </c>
      <c r="F191" t="str">
        <f t="shared" si="69"/>
        <v>JENIFER SANTOS</v>
      </c>
      <c r="G191" t="str">
        <f>"39576307000170"</f>
        <v>39576307000170</v>
      </c>
      <c r="H191" t="str">
        <f>"0"</f>
        <v>0</v>
      </c>
      <c r="I191" t="str">
        <f t="shared" si="70"/>
        <v>CONTA OPTICA</v>
      </c>
      <c r="J191" t="str">
        <f>"K &amp; P COMERCIO DE ARTIGOS OTICOS LTDA"</f>
        <v>K &amp; P COMERCIO DE ARTIGOS OTICOS LTDA</v>
      </c>
      <c r="K191" t="str">
        <f>"MERCADAO DOS OCULOS (4231)"</f>
        <v>MERCADAO DOS OCULOS (4231)</v>
      </c>
      <c r="L191" t="str">
        <f>""</f>
        <v/>
      </c>
      <c r="M191" t="str">
        <f>""</f>
        <v/>
      </c>
      <c r="N191" t="str">
        <f>"SC-GUARAMIRIM@MERCADAODOSOCULOS.COM.BR"</f>
        <v>SC-GUARAMIRIM@MERCADAODOSOCULOS.COM.BR</v>
      </c>
      <c r="O191" t="str">
        <f>""</f>
        <v/>
      </c>
      <c r="P191" t="str">
        <f>"RUA 28 DE AGOSTO"</f>
        <v>RUA 28 DE AGOSTO</v>
      </c>
      <c r="Q191" t="str">
        <f>"1640"</f>
        <v>1640</v>
      </c>
      <c r="R191" t="str">
        <f>"SALA 03"</f>
        <v>SALA 03</v>
      </c>
      <c r="S191" t="str">
        <f>"1280"</f>
        <v>1280</v>
      </c>
      <c r="T191" t="str">
        <f>"89270000"</f>
        <v>89270000</v>
      </c>
      <c r="U191" t="str">
        <f>"CENTRO"</f>
        <v>CENTRO</v>
      </c>
      <c r="V191" t="str">
        <f>"GUARAMIRIM"</f>
        <v>GUARAMIRIM</v>
      </c>
      <c r="W191" t="str">
        <f t="shared" si="94"/>
        <v>SC</v>
      </c>
      <c r="X191" t="str">
        <f>"47"</f>
        <v>47</v>
      </c>
      <c r="Y191" t="str">
        <f>"999077981"</f>
        <v>999077981</v>
      </c>
      <c r="Z191" t="str">
        <f>""</f>
        <v/>
      </c>
      <c r="AA191" t="str">
        <f>""</f>
        <v/>
      </c>
      <c r="AB191" t="str">
        <f>""</f>
        <v/>
      </c>
      <c r="AC191" t="str">
        <f>""</f>
        <v/>
      </c>
      <c r="AD191" t="str">
        <f>""</f>
        <v/>
      </c>
      <c r="AE191" t="str">
        <f>""</f>
        <v/>
      </c>
      <c r="AF191" t="str">
        <f>""</f>
        <v/>
      </c>
      <c r="AG191" t="str">
        <f>""</f>
        <v/>
      </c>
      <c r="AH191" t="str">
        <f>""</f>
        <v/>
      </c>
      <c r="AI191" t="str">
        <f>""</f>
        <v/>
      </c>
      <c r="AJ191" t="str">
        <f>""</f>
        <v/>
      </c>
      <c r="AK191" t="str">
        <f>""</f>
        <v/>
      </c>
      <c r="AL191" t="str">
        <f>""</f>
        <v/>
      </c>
      <c r="AM191" t="str">
        <f>""</f>
        <v/>
      </c>
      <c r="AN191" t="str">
        <f>""</f>
        <v/>
      </c>
      <c r="AO191" t="str">
        <f>""</f>
        <v/>
      </c>
      <c r="AP191" t="str">
        <f>""</f>
        <v/>
      </c>
      <c r="AQ191" t="str">
        <f>""</f>
        <v/>
      </c>
      <c r="AR191" t="str">
        <f>""</f>
        <v/>
      </c>
      <c r="AS191" t="str">
        <f>""</f>
        <v/>
      </c>
      <c r="AT191" t="str">
        <f>""</f>
        <v/>
      </c>
      <c r="AU191" t="str">
        <f>""</f>
        <v/>
      </c>
      <c r="AV191" t="str">
        <f>""</f>
        <v/>
      </c>
      <c r="AW191" t="str">
        <f>""</f>
        <v/>
      </c>
      <c r="AX191" t="str">
        <f>""</f>
        <v/>
      </c>
      <c r="AY191" t="str">
        <f>""</f>
        <v/>
      </c>
      <c r="AZ191" t="str">
        <f>""</f>
        <v/>
      </c>
      <c r="BA191" t="str">
        <f>""</f>
        <v/>
      </c>
      <c r="BB191" t="str">
        <f>"11/07/2023 02:14:29"</f>
        <v>11/07/2023 02:14:29</v>
      </c>
      <c r="BC191" t="str">
        <f>""</f>
        <v/>
      </c>
      <c r="BD191" t="str">
        <f>""</f>
        <v/>
      </c>
      <c r="BE191" t="str">
        <f>""</f>
        <v/>
      </c>
      <c r="BF191" t="str">
        <f t="shared" si="71"/>
        <v>A</v>
      </c>
      <c r="BG191" t="str">
        <f>""</f>
        <v/>
      </c>
      <c r="BH191" t="str">
        <f>""</f>
        <v/>
      </c>
      <c r="BI191" t="str">
        <f t="shared" si="87"/>
        <v>EVENTUAL</v>
      </c>
      <c r="BJ191" t="str">
        <f t="shared" si="72"/>
        <v>1</v>
      </c>
      <c r="BK191" t="str">
        <f t="shared" si="73"/>
        <v>Farmacia</v>
      </c>
      <c r="BL191" t="str">
        <f>""</f>
        <v/>
      </c>
      <c r="BM191" t="str">
        <f>""</f>
        <v/>
      </c>
      <c r="BN191" t="str">
        <f>""</f>
        <v/>
      </c>
      <c r="BO191" t="str">
        <f>""</f>
        <v/>
      </c>
      <c r="BP191" t="str">
        <f>""</f>
        <v/>
      </c>
      <c r="BQ191" t="str">
        <f>""</f>
        <v/>
      </c>
      <c r="BR191" t="str">
        <f>"11/07/2023"</f>
        <v>11/07/2023</v>
      </c>
      <c r="BS191" t="str">
        <f>""</f>
        <v/>
      </c>
      <c r="BT191" t="str">
        <f>""</f>
        <v/>
      </c>
      <c r="BU191" t="str">
        <f>""</f>
        <v/>
      </c>
      <c r="BV191" t="str">
        <f>""</f>
        <v/>
      </c>
      <c r="BW191" t="str">
        <f>"37"</f>
        <v>37</v>
      </c>
    </row>
    <row r="192" spans="1:75" x14ac:dyDescent="0.35">
      <c r="A192">
        <v>138102</v>
      </c>
      <c r="B192" t="str">
        <f t="shared" si="65"/>
        <v>A</v>
      </c>
      <c r="C192" t="str">
        <f t="shared" si="66"/>
        <v>80</v>
      </c>
      <c r="D192" t="str">
        <f t="shared" si="67"/>
        <v>11121001</v>
      </c>
      <c r="E192" t="str">
        <f t="shared" si="68"/>
        <v>121001</v>
      </c>
      <c r="F192" t="str">
        <f t="shared" si="69"/>
        <v>JENIFER SANTOS</v>
      </c>
      <c r="G192" t="str">
        <f>"75816926000159"</f>
        <v>75816926000159</v>
      </c>
      <c r="H192" t="str">
        <f>"0"</f>
        <v>0</v>
      </c>
      <c r="I192" t="str">
        <f t="shared" si="70"/>
        <v>CONTA OPTICA</v>
      </c>
      <c r="J192" t="str">
        <f>"KAFER E KAFER LTDA ME"</f>
        <v>KAFER E KAFER LTDA ME</v>
      </c>
      <c r="K192" t="str">
        <f>"KAFER E KAFER (550)"</f>
        <v>KAFER E KAFER (550)</v>
      </c>
      <c r="L192" t="str">
        <f>""</f>
        <v/>
      </c>
      <c r="M192" t="str">
        <f>""</f>
        <v/>
      </c>
      <c r="N192" t="str">
        <f>"oticacruzeiroxx@hotmail.com"</f>
        <v>oticacruzeiroxx@hotmail.com</v>
      </c>
      <c r="O192" t="str">
        <f>""</f>
        <v/>
      </c>
      <c r="P192" t="str">
        <f>"AVENIDA PLINIO ARLINDO DE NES"</f>
        <v>AVENIDA PLINIO ARLINDO DE NES</v>
      </c>
      <c r="Q192" t="str">
        <f>"1045"</f>
        <v>1045</v>
      </c>
      <c r="R192" t="str">
        <f>""</f>
        <v/>
      </c>
      <c r="S192" t="str">
        <f>"1288"</f>
        <v>1288</v>
      </c>
      <c r="T192" t="str">
        <f>"89825000"</f>
        <v>89825000</v>
      </c>
      <c r="U192" t="str">
        <f>"CENTRO"</f>
        <v>CENTRO</v>
      </c>
      <c r="V192" t="str">
        <f>"XAXIM"</f>
        <v>XAXIM</v>
      </c>
      <c r="W192" t="str">
        <f t="shared" si="94"/>
        <v>SC</v>
      </c>
      <c r="X192" t="str">
        <f>"49"</f>
        <v>49</v>
      </c>
      <c r="Y192" t="str">
        <f>"33531448"</f>
        <v>33531448</v>
      </c>
      <c r="Z192" t="str">
        <f>""</f>
        <v/>
      </c>
      <c r="AA192" t="str">
        <f>""</f>
        <v/>
      </c>
      <c r="AB192" t="str">
        <f>""</f>
        <v/>
      </c>
      <c r="AC192" t="str">
        <f>""</f>
        <v/>
      </c>
      <c r="AD192" t="str">
        <f>""</f>
        <v/>
      </c>
      <c r="AE192" t="str">
        <f>""</f>
        <v/>
      </c>
      <c r="AF192" t="str">
        <f>""</f>
        <v/>
      </c>
      <c r="AG192" t="str">
        <f>"S"</f>
        <v>S</v>
      </c>
      <c r="AH192" t="str">
        <f>""</f>
        <v/>
      </c>
      <c r="AI192" t="str">
        <f>""</f>
        <v/>
      </c>
      <c r="AJ192" t="str">
        <f>""</f>
        <v/>
      </c>
      <c r="AK192" t="str">
        <f>""</f>
        <v/>
      </c>
      <c r="AL192" t="str">
        <f>""</f>
        <v/>
      </c>
      <c r="AM192" t="str">
        <f>""</f>
        <v/>
      </c>
      <c r="AN192" t="str">
        <f>""</f>
        <v/>
      </c>
      <c r="AO192" t="str">
        <f>""</f>
        <v/>
      </c>
      <c r="AP192" t="str">
        <f>""</f>
        <v/>
      </c>
      <c r="AQ192" t="str">
        <f>"N"</f>
        <v>N</v>
      </c>
      <c r="AR192" t="str">
        <f>"N"</f>
        <v>N</v>
      </c>
      <c r="AS192" t="str">
        <f>"N"</f>
        <v>N</v>
      </c>
      <c r="AT192" t="str">
        <f>"N"</f>
        <v>N</v>
      </c>
      <c r="AU192" t="str">
        <f>"N"</f>
        <v>N</v>
      </c>
      <c r="AV192" t="str">
        <f>""</f>
        <v/>
      </c>
      <c r="AW192" t="str">
        <f>""</f>
        <v/>
      </c>
      <c r="AX192" t="str">
        <f>""</f>
        <v/>
      </c>
      <c r="AY192" t="str">
        <f>""</f>
        <v/>
      </c>
      <c r="AZ192" t="str">
        <f>""</f>
        <v/>
      </c>
      <c r="BA192" t="str">
        <f>""</f>
        <v/>
      </c>
      <c r="BB192" t="str">
        <f>"01/07/2021 13:53:04"</f>
        <v>01/07/2021 13:53:04</v>
      </c>
      <c r="BC192" t="str">
        <f>"23/05/2022 10:48:53"</f>
        <v>23/05/2022 10:48:53</v>
      </c>
      <c r="BD192" t="str">
        <f>""</f>
        <v/>
      </c>
      <c r="BE192" t="str">
        <f>""</f>
        <v/>
      </c>
      <c r="BF192" t="str">
        <f t="shared" si="71"/>
        <v>A</v>
      </c>
      <c r="BG192" t="str">
        <f>""</f>
        <v/>
      </c>
      <c r="BH192" t="str">
        <f>"0,00"</f>
        <v>0,00</v>
      </c>
      <c r="BI192" t="str">
        <f t="shared" si="87"/>
        <v>EVENTUAL</v>
      </c>
      <c r="BJ192" t="str">
        <f t="shared" si="72"/>
        <v>1</v>
      </c>
      <c r="BK192" t="str">
        <f t="shared" si="73"/>
        <v>Farmacia</v>
      </c>
      <c r="BL192" t="str">
        <f>""</f>
        <v/>
      </c>
      <c r="BM192" t="str">
        <f>"NÃO É VARILUX ESPECIALISTA"</f>
        <v>NÃO É VARILUX ESPECIALISTA</v>
      </c>
      <c r="BN192" t="str">
        <f>"EL360"</f>
        <v>EL360</v>
      </c>
      <c r="BO192" t="str">
        <f>"OUTROS"</f>
        <v>OUTROS</v>
      </c>
      <c r="BP192" t="str">
        <f>""</f>
        <v/>
      </c>
      <c r="BQ192" t="str">
        <f>""</f>
        <v/>
      </c>
      <c r="BR192" t="str">
        <f>"01/07/2021"</f>
        <v>01/07/2021</v>
      </c>
      <c r="BS192" t="str">
        <f>"23/05/2022"</f>
        <v>23/05/2022</v>
      </c>
      <c r="BT192" t="str">
        <f>""</f>
        <v/>
      </c>
      <c r="BU192" t="str">
        <f>""</f>
        <v/>
      </c>
      <c r="BV192" t="str">
        <f>""</f>
        <v/>
      </c>
      <c r="BW192" t="str">
        <f>"Não visitado"</f>
        <v>Não visitado</v>
      </c>
    </row>
    <row r="193" spans="1:75" x14ac:dyDescent="0.35">
      <c r="A193">
        <v>953</v>
      </c>
      <c r="B193" t="str">
        <f t="shared" si="65"/>
        <v>A</v>
      </c>
      <c r="C193" t="str">
        <f t="shared" si="66"/>
        <v>80</v>
      </c>
      <c r="D193" t="str">
        <f t="shared" si="67"/>
        <v>11121001</v>
      </c>
      <c r="E193" t="str">
        <f t="shared" si="68"/>
        <v>121001</v>
      </c>
      <c r="F193" t="str">
        <f t="shared" si="69"/>
        <v>JENIFER SANTOS</v>
      </c>
      <c r="G193" t="str">
        <f>"09264764000169"</f>
        <v>09264764000169</v>
      </c>
      <c r="H193" t="str">
        <f>""</f>
        <v/>
      </c>
      <c r="I193" t="str">
        <f t="shared" si="70"/>
        <v>CONTA OPTICA</v>
      </c>
      <c r="J193" t="str">
        <f>"KLETOS JOALHERIA E OTICA LTDA"</f>
        <v>KLETOS JOALHERIA E OTICA LTDA</v>
      </c>
      <c r="K193" t="str">
        <f>"JOALHERIA E OTICA ROLF (1882)"</f>
        <v>JOALHERIA E OTICA ROLF (1882)</v>
      </c>
      <c r="L193" t="str">
        <f>""</f>
        <v/>
      </c>
      <c r="M193" t="str">
        <f>""</f>
        <v/>
      </c>
      <c r="N193" t="str">
        <f>"oticarolf@gmail.com"</f>
        <v>oticarolf@gmail.com</v>
      </c>
      <c r="O193" t="str">
        <f>""</f>
        <v/>
      </c>
      <c r="P193" t="str">
        <f>"RUA FELIPE SCHMIDT"</f>
        <v>RUA FELIPE SCHMIDT</v>
      </c>
      <c r="Q193" t="str">
        <f>"244"</f>
        <v>244</v>
      </c>
      <c r="R193" t="str">
        <f>""</f>
        <v/>
      </c>
      <c r="S193" t="str">
        <f>"1280"</f>
        <v>1280</v>
      </c>
      <c r="T193" t="str">
        <f>"89290000"</f>
        <v>89290000</v>
      </c>
      <c r="U193" t="str">
        <f>"CENTRO"</f>
        <v>CENTRO</v>
      </c>
      <c r="V193" t="str">
        <f>"SAO BENTO DO SUL"</f>
        <v>SAO BENTO DO SUL</v>
      </c>
      <c r="W193" t="str">
        <f t="shared" si="94"/>
        <v>SC</v>
      </c>
      <c r="X193" t="str">
        <f>"47"</f>
        <v>47</v>
      </c>
      <c r="Y193" t="str">
        <f>"36334660"</f>
        <v>36334660</v>
      </c>
      <c r="Z193" t="str">
        <f>""</f>
        <v/>
      </c>
      <c r="AA193" t="str">
        <f>""</f>
        <v/>
      </c>
      <c r="AB193" t="str">
        <f>""</f>
        <v/>
      </c>
      <c r="AC193" t="str">
        <f>""</f>
        <v/>
      </c>
      <c r="AD193" t="str">
        <f>""</f>
        <v/>
      </c>
      <c r="AE193" t="str">
        <f>""</f>
        <v/>
      </c>
      <c r="AF193" t="str">
        <f>""</f>
        <v/>
      </c>
      <c r="AG193" t="str">
        <f>""</f>
        <v/>
      </c>
      <c r="AH193" t="str">
        <f>""</f>
        <v/>
      </c>
      <c r="AI193" t="str">
        <f>""</f>
        <v/>
      </c>
      <c r="AJ193" t="str">
        <f>"0"</f>
        <v>0</v>
      </c>
      <c r="AK193" t="str">
        <f>"0"</f>
        <v>0</v>
      </c>
      <c r="AL193" t="str">
        <f>"0"</f>
        <v>0</v>
      </c>
      <c r="AM193" t="str">
        <f>""</f>
        <v/>
      </c>
      <c r="AN193" t="str">
        <f>""</f>
        <v/>
      </c>
      <c r="AO193" t="str">
        <f>""</f>
        <v/>
      </c>
      <c r="AP193" t="str">
        <f>""</f>
        <v/>
      </c>
      <c r="AQ193" t="str">
        <f>""</f>
        <v/>
      </c>
      <c r="AR193" t="str">
        <f>""</f>
        <v/>
      </c>
      <c r="AS193" t="str">
        <f>""</f>
        <v/>
      </c>
      <c r="AT193" t="str">
        <f>""</f>
        <v/>
      </c>
      <c r="AU193" t="str">
        <f>""</f>
        <v/>
      </c>
      <c r="AV193" t="str">
        <f>""</f>
        <v/>
      </c>
      <c r="AW193" t="str">
        <f>""</f>
        <v/>
      </c>
      <c r="AX193" t="str">
        <f>""</f>
        <v/>
      </c>
      <c r="AY193" t="str">
        <f>""</f>
        <v/>
      </c>
      <c r="AZ193" t="str">
        <f>""</f>
        <v/>
      </c>
      <c r="BA193" t="str">
        <f>""</f>
        <v/>
      </c>
      <c r="BB193" t="str">
        <f>"27/07/2018 09:25:55"</f>
        <v>27/07/2018 09:25:55</v>
      </c>
      <c r="BC193" t="str">
        <f>""</f>
        <v/>
      </c>
      <c r="BD193" t="str">
        <f>""</f>
        <v/>
      </c>
      <c r="BE193" t="str">
        <f>"953"</f>
        <v>953</v>
      </c>
      <c r="BF193" t="str">
        <f t="shared" si="71"/>
        <v>A</v>
      </c>
      <c r="BG193" t="str">
        <f>"0,00"</f>
        <v>0,00</v>
      </c>
      <c r="BH193" t="str">
        <f>"0,00"</f>
        <v>0,00</v>
      </c>
      <c r="BI193" t="str">
        <f t="shared" si="87"/>
        <v>EVENTUAL</v>
      </c>
      <c r="BJ193" t="str">
        <f t="shared" si="72"/>
        <v>1</v>
      </c>
      <c r="BK193" t="str">
        <f t="shared" si="73"/>
        <v>Farmacia</v>
      </c>
      <c r="BL193" t="str">
        <f>""</f>
        <v/>
      </c>
      <c r="BM193" t="str">
        <f>"VARILUX ESPECIALISTA SELECT"</f>
        <v>VARILUX ESPECIALISTA SELECT</v>
      </c>
      <c r="BN193" t="str">
        <f>"NA"</f>
        <v>NA</v>
      </c>
      <c r="BO193" t="str">
        <f>"FOCO VARILUX DIGITAL"</f>
        <v>FOCO VARILUX DIGITAL</v>
      </c>
      <c r="BP193" t="str">
        <f>""</f>
        <v/>
      </c>
      <c r="BQ193" t="str">
        <f>""</f>
        <v/>
      </c>
      <c r="BR193" t="str">
        <f>"27/07/2018"</f>
        <v>27/07/2018</v>
      </c>
      <c r="BS193" t="str">
        <f>""</f>
        <v/>
      </c>
      <c r="BT193" t="str">
        <f>""</f>
        <v/>
      </c>
      <c r="BU193" t="str">
        <f>""</f>
        <v/>
      </c>
      <c r="BV193" t="str">
        <f>"1"</f>
        <v>1</v>
      </c>
      <c r="BW193" t="str">
        <f>"Não visitado"</f>
        <v>Não visitado</v>
      </c>
    </row>
    <row r="194" spans="1:75" x14ac:dyDescent="0.35">
      <c r="A194">
        <v>157564</v>
      </c>
      <c r="B194" t="str">
        <f t="shared" ref="B194:B257" si="95">"A"</f>
        <v>A</v>
      </c>
      <c r="C194" t="str">
        <f t="shared" ref="C194:C257" si="96">"80"</f>
        <v>80</v>
      </c>
      <c r="D194" t="str">
        <f t="shared" ref="D194:D257" si="97">"11121001"</f>
        <v>11121001</v>
      </c>
      <c r="E194" t="str">
        <f t="shared" ref="E194:E257" si="98">"121001"</f>
        <v>121001</v>
      </c>
      <c r="F194" t="str">
        <f t="shared" ref="F194:F257" si="99">"JENIFER SANTOS"</f>
        <v>JENIFER SANTOS</v>
      </c>
      <c r="G194" t="str">
        <f>"50631947000179"</f>
        <v>50631947000179</v>
      </c>
      <c r="H194" t="str">
        <f>"0"</f>
        <v>0</v>
      </c>
      <c r="I194" t="str">
        <f t="shared" ref="I194:I257" si="100">"CONTA OPTICA"</f>
        <v>CONTA OPTICA</v>
      </c>
      <c r="J194" t="str">
        <f>"KRAMBECK ARTIGOS OPTICOS LTDA"</f>
        <v>KRAMBECK ARTIGOS OPTICOS LTDA</v>
      </c>
      <c r="K194" t="str">
        <f>"OTICA RECORD (4715)"</f>
        <v>OTICA RECORD (4715)</v>
      </c>
      <c r="L194" t="str">
        <f>""</f>
        <v/>
      </c>
      <c r="M194" t="str">
        <f>""</f>
        <v/>
      </c>
      <c r="N194" t="str">
        <f>"FINANCEIRO@OTICARECORD.COM.BR"</f>
        <v>FINANCEIRO@OTICARECORD.COM.BR</v>
      </c>
      <c r="O194" t="str">
        <f>""</f>
        <v/>
      </c>
      <c r="P194" t="str">
        <f>"CORONEL JOSE SEVERIANO MAIA"</f>
        <v>CORONEL JOSE SEVERIANO MAIA</v>
      </c>
      <c r="Q194" t="str">
        <f>"902"</f>
        <v>902</v>
      </c>
      <c r="R194" t="str">
        <f>"SALA LOJA"</f>
        <v>SALA LOJA</v>
      </c>
      <c r="S194" t="str">
        <f>""</f>
        <v/>
      </c>
      <c r="T194" t="str">
        <f>"89300333"</f>
        <v>89300333</v>
      </c>
      <c r="U194" t="str">
        <f>"VILA BUENOS AIRES"</f>
        <v>VILA BUENOS AIRES</v>
      </c>
      <c r="V194" t="str">
        <f>"MAFRA"</f>
        <v>MAFRA</v>
      </c>
      <c r="W194" t="str">
        <f t="shared" si="94"/>
        <v>SC</v>
      </c>
      <c r="X194" t="str">
        <f>"47"</f>
        <v>47</v>
      </c>
      <c r="Y194" t="str">
        <f>"34071189"</f>
        <v>34071189</v>
      </c>
      <c r="Z194" t="str">
        <f>""</f>
        <v/>
      </c>
      <c r="AA194" t="str">
        <f>""</f>
        <v/>
      </c>
      <c r="AB194" t="str">
        <f>""</f>
        <v/>
      </c>
      <c r="AC194" t="str">
        <f>""</f>
        <v/>
      </c>
      <c r="AD194" t="str">
        <f>""</f>
        <v/>
      </c>
      <c r="AE194" t="str">
        <f>""</f>
        <v/>
      </c>
      <c r="AF194" t="str">
        <f>""</f>
        <v/>
      </c>
      <c r="AG194" t="str">
        <f>""</f>
        <v/>
      </c>
      <c r="AH194" t="str">
        <f>""</f>
        <v/>
      </c>
      <c r="AI194" t="str">
        <f>""</f>
        <v/>
      </c>
      <c r="AJ194" t="str">
        <f>""</f>
        <v/>
      </c>
      <c r="AK194" t="str">
        <f>""</f>
        <v/>
      </c>
      <c r="AL194" t="str">
        <f>""</f>
        <v/>
      </c>
      <c r="AM194" t="str">
        <f>""</f>
        <v/>
      </c>
      <c r="AN194" t="str">
        <f>""</f>
        <v/>
      </c>
      <c r="AO194" t="str">
        <f>""</f>
        <v/>
      </c>
      <c r="AP194" t="str">
        <f>""</f>
        <v/>
      </c>
      <c r="AQ194" t="str">
        <f>""</f>
        <v/>
      </c>
      <c r="AR194" t="str">
        <f>""</f>
        <v/>
      </c>
      <c r="AS194" t="str">
        <f>""</f>
        <v/>
      </c>
      <c r="AT194" t="str">
        <f>""</f>
        <v/>
      </c>
      <c r="AU194" t="str">
        <f>""</f>
        <v/>
      </c>
      <c r="AV194" t="str">
        <f>""</f>
        <v/>
      </c>
      <c r="AW194" t="str">
        <f>""</f>
        <v/>
      </c>
      <c r="AX194" t="str">
        <f>""</f>
        <v/>
      </c>
      <c r="AY194" t="str">
        <f>""</f>
        <v/>
      </c>
      <c r="AZ194" t="str">
        <f>""</f>
        <v/>
      </c>
      <c r="BA194" t="str">
        <f>""</f>
        <v/>
      </c>
      <c r="BB194" t="str">
        <f>"11/07/2023 02:14:29"</f>
        <v>11/07/2023 02:14:29</v>
      </c>
      <c r="BC194" t="str">
        <f>""</f>
        <v/>
      </c>
      <c r="BD194" t="str">
        <f>""</f>
        <v/>
      </c>
      <c r="BE194" t="str">
        <f>""</f>
        <v/>
      </c>
      <c r="BF194" t="str">
        <f t="shared" ref="BF194:BF257" si="101">"A"</f>
        <v>A</v>
      </c>
      <c r="BG194" t="str">
        <f>""</f>
        <v/>
      </c>
      <c r="BH194" t="str">
        <f>""</f>
        <v/>
      </c>
      <c r="BI194" t="str">
        <f t="shared" si="87"/>
        <v>EVENTUAL</v>
      </c>
      <c r="BJ194" t="str">
        <f t="shared" ref="BJ194:BJ257" si="102">"1"</f>
        <v>1</v>
      </c>
      <c r="BK194" t="str">
        <f t="shared" ref="BK194:BK257" si="103">"Farmacia"</f>
        <v>Farmacia</v>
      </c>
      <c r="BL194" t="str">
        <f>""</f>
        <v/>
      </c>
      <c r="BM194" t="str">
        <f>""</f>
        <v/>
      </c>
      <c r="BN194" t="str">
        <f>""</f>
        <v/>
      </c>
      <c r="BO194" t="str">
        <f>""</f>
        <v/>
      </c>
      <c r="BP194" t="str">
        <f>""</f>
        <v/>
      </c>
      <c r="BQ194" t="str">
        <f>""</f>
        <v/>
      </c>
      <c r="BR194" t="str">
        <f>"11/07/2023"</f>
        <v>11/07/2023</v>
      </c>
      <c r="BS194" t="str">
        <f>""</f>
        <v/>
      </c>
      <c r="BT194" t="str">
        <f>""</f>
        <v/>
      </c>
      <c r="BU194" t="str">
        <f>""</f>
        <v/>
      </c>
      <c r="BV194" t="str">
        <f>""</f>
        <v/>
      </c>
      <c r="BW194" t="str">
        <f>"58"</f>
        <v>58</v>
      </c>
    </row>
    <row r="195" spans="1:75" x14ac:dyDescent="0.35">
      <c r="A195">
        <v>144643</v>
      </c>
      <c r="B195" t="str">
        <f t="shared" si="95"/>
        <v>A</v>
      </c>
      <c r="C195" t="str">
        <f t="shared" si="96"/>
        <v>80</v>
      </c>
      <c r="D195" t="str">
        <f t="shared" si="97"/>
        <v>11121001</v>
      </c>
      <c r="E195" t="str">
        <f t="shared" si="98"/>
        <v>121001</v>
      </c>
      <c r="F195" t="str">
        <f t="shared" si="99"/>
        <v>JENIFER SANTOS</v>
      </c>
      <c r="G195" t="str">
        <f>"34626097000164"</f>
        <v>34626097000164</v>
      </c>
      <c r="H195" t="str">
        <f>""</f>
        <v/>
      </c>
      <c r="I195" t="str">
        <f t="shared" si="100"/>
        <v>CONTA OPTICA</v>
      </c>
      <c r="J195" t="str">
        <f>"KRAMBECK COMERCIO VAREJISTA DE ARTIGOS DE OPTICA LTDA"</f>
        <v>KRAMBECK COMERCIO VAREJISTA DE ARTIGOS DE OPTICA LTDA</v>
      </c>
      <c r="K195" t="str">
        <f>"MERCADAO DOS OCULOS (4061)"</f>
        <v>MERCADAO DOS OCULOS (4061)</v>
      </c>
      <c r="L195" t="str">
        <f>""</f>
        <v/>
      </c>
      <c r="M195" t="str">
        <f>""</f>
        <v/>
      </c>
      <c r="N195" t="str">
        <f>"sc-mafra@mercadaodosoculos.com.br"</f>
        <v>sc-mafra@mercadaodosoculos.com.br</v>
      </c>
      <c r="O195" t="str">
        <f>""</f>
        <v/>
      </c>
      <c r="P195" t="str">
        <f>"RUA FELIPE SCHMIDT"</f>
        <v>RUA FELIPE SCHMIDT</v>
      </c>
      <c r="Q195" t="str">
        <f>"141"</f>
        <v>141</v>
      </c>
      <c r="R195" t="str">
        <f>""</f>
        <v/>
      </c>
      <c r="S195" t="str">
        <f>""</f>
        <v/>
      </c>
      <c r="T195" t="str">
        <f>"89300178"</f>
        <v>89300178</v>
      </c>
      <c r="U195" t="str">
        <f>"CENTRO I BAIXADA"</f>
        <v>CENTRO I BAIXADA</v>
      </c>
      <c r="V195" t="str">
        <f>"MAFRA"</f>
        <v>MAFRA</v>
      </c>
      <c r="W195" t="str">
        <f t="shared" si="94"/>
        <v>SC</v>
      </c>
      <c r="X195" t="str">
        <f>"47"</f>
        <v>47</v>
      </c>
      <c r="Y195" t="str">
        <f>"30120814"</f>
        <v>30120814</v>
      </c>
      <c r="Z195" t="str">
        <f>""</f>
        <v/>
      </c>
      <c r="AA195" t="str">
        <f>""</f>
        <v/>
      </c>
      <c r="AB195" t="str">
        <f>""</f>
        <v/>
      </c>
      <c r="AC195" t="str">
        <f>""</f>
        <v/>
      </c>
      <c r="AD195" t="str">
        <f>""</f>
        <v/>
      </c>
      <c r="AE195" t="str">
        <f>""</f>
        <v/>
      </c>
      <c r="AF195" t="str">
        <f>""</f>
        <v/>
      </c>
      <c r="AG195" t="str">
        <f>""</f>
        <v/>
      </c>
      <c r="AH195" t="str">
        <f>""</f>
        <v/>
      </c>
      <c r="AI195" t="str">
        <f>""</f>
        <v/>
      </c>
      <c r="AJ195" t="str">
        <f t="shared" ref="AJ195:AL197" si="104">"0"</f>
        <v>0</v>
      </c>
      <c r="AK195" t="str">
        <f t="shared" si="104"/>
        <v>0</v>
      </c>
      <c r="AL195" t="str">
        <f t="shared" si="104"/>
        <v>0</v>
      </c>
      <c r="AM195" t="str">
        <f>""</f>
        <v/>
      </c>
      <c r="AN195" t="str">
        <f>""</f>
        <v/>
      </c>
      <c r="AO195" t="str">
        <f>""</f>
        <v/>
      </c>
      <c r="AP195" t="str">
        <f>""</f>
        <v/>
      </c>
      <c r="AQ195" t="str">
        <f>""</f>
        <v/>
      </c>
      <c r="AR195" t="str">
        <f>""</f>
        <v/>
      </c>
      <c r="AS195" t="str">
        <f>""</f>
        <v/>
      </c>
      <c r="AT195" t="str">
        <f>""</f>
        <v/>
      </c>
      <c r="AU195" t="str">
        <f>""</f>
        <v/>
      </c>
      <c r="AV195" t="str">
        <f>""</f>
        <v/>
      </c>
      <c r="AW195" t="str">
        <f>""</f>
        <v/>
      </c>
      <c r="AX195" t="str">
        <f>""</f>
        <v/>
      </c>
      <c r="AY195" t="str">
        <f>""</f>
        <v/>
      </c>
      <c r="AZ195" t="str">
        <f>""</f>
        <v/>
      </c>
      <c r="BA195" t="str">
        <f>""</f>
        <v/>
      </c>
      <c r="BB195" t="str">
        <f>""</f>
        <v/>
      </c>
      <c r="BC195" t="str">
        <f>""</f>
        <v/>
      </c>
      <c r="BD195" t="str">
        <f>""</f>
        <v/>
      </c>
      <c r="BE195" t="str">
        <f>""</f>
        <v/>
      </c>
      <c r="BF195" t="str">
        <f t="shared" si="101"/>
        <v>A</v>
      </c>
      <c r="BG195" t="str">
        <f t="shared" ref="BG195:BH197" si="105">"0,00"</f>
        <v>0,00</v>
      </c>
      <c r="BH195" t="str">
        <f t="shared" si="105"/>
        <v>0,00</v>
      </c>
      <c r="BI195" t="str">
        <f t="shared" si="87"/>
        <v>EVENTUAL</v>
      </c>
      <c r="BJ195" t="str">
        <f t="shared" si="102"/>
        <v>1</v>
      </c>
      <c r="BK195" t="str">
        <f t="shared" si="103"/>
        <v>Farmacia</v>
      </c>
      <c r="BL195" t="str">
        <f>""</f>
        <v/>
      </c>
      <c r="BM195" t="str">
        <f>"NÃO É VARILUX ESPECIALISTA"</f>
        <v>NÃO É VARILUX ESPECIALISTA</v>
      </c>
      <c r="BN195" t="str">
        <f>"NA"</f>
        <v>NA</v>
      </c>
      <c r="BO195" t="str">
        <f>"FOCO KODAK 2"</f>
        <v>FOCO KODAK 2</v>
      </c>
      <c r="BP195" t="str">
        <f>""</f>
        <v/>
      </c>
      <c r="BQ195" t="str">
        <f>""</f>
        <v/>
      </c>
      <c r="BR195" t="str">
        <f>""</f>
        <v/>
      </c>
      <c r="BS195" t="str">
        <f>""</f>
        <v/>
      </c>
      <c r="BT195" t="str">
        <f>""</f>
        <v/>
      </c>
      <c r="BU195" t="str">
        <f>""</f>
        <v/>
      </c>
      <c r="BV195" t="str">
        <f>"2"</f>
        <v>2</v>
      </c>
      <c r="BW195" t="str">
        <f>"252"</f>
        <v>252</v>
      </c>
    </row>
    <row r="196" spans="1:75" x14ac:dyDescent="0.35">
      <c r="A196">
        <v>144644</v>
      </c>
      <c r="B196" t="str">
        <f t="shared" si="95"/>
        <v>A</v>
      </c>
      <c r="C196" t="str">
        <f t="shared" si="96"/>
        <v>80</v>
      </c>
      <c r="D196" t="str">
        <f t="shared" si="97"/>
        <v>11121001</v>
      </c>
      <c r="E196" t="str">
        <f t="shared" si="98"/>
        <v>121001</v>
      </c>
      <c r="F196" t="str">
        <f t="shared" si="99"/>
        <v>JENIFER SANTOS</v>
      </c>
      <c r="G196" t="str">
        <f>"34626097000245"</f>
        <v>34626097000245</v>
      </c>
      <c r="H196" t="str">
        <f>""</f>
        <v/>
      </c>
      <c r="I196" t="str">
        <f t="shared" si="100"/>
        <v>CONTA OPTICA</v>
      </c>
      <c r="J196" t="str">
        <f>"KRAMBECK COMERCIO VAREJISTA DE ARTIGOS DE OPTICA LTDA"</f>
        <v>KRAMBECK COMERCIO VAREJISTA DE ARTIGOS DE OPTICA LTDA</v>
      </c>
      <c r="K196" t="str">
        <f>"MERCADAO DOS OCULOS (4062)"</f>
        <v>MERCADAO DOS OCULOS (4062)</v>
      </c>
      <c r="L196" t="str">
        <f>""</f>
        <v/>
      </c>
      <c r="M196" t="str">
        <f>""</f>
        <v/>
      </c>
      <c r="N196" t="str">
        <f>"sc-saobentodosul@mercadaodosoculos.com.br"</f>
        <v>sc-saobentodosul@mercadaodosoculos.com.br</v>
      </c>
      <c r="O196" t="str">
        <f>""</f>
        <v/>
      </c>
      <c r="P196" t="str">
        <f>"RUA JORGE LACERDA"</f>
        <v>RUA JORGE LACERDA</v>
      </c>
      <c r="Q196" t="str">
        <f>"129"</f>
        <v>129</v>
      </c>
      <c r="R196" t="str">
        <f>""</f>
        <v/>
      </c>
      <c r="S196" t="str">
        <f>""</f>
        <v/>
      </c>
      <c r="T196" t="str">
        <f>"89280175"</f>
        <v>89280175</v>
      </c>
      <c r="U196" t="str">
        <f>"CENTRO"</f>
        <v>CENTRO</v>
      </c>
      <c r="V196" t="str">
        <f>"SÃO BENTO DO SUL"</f>
        <v>SÃO BENTO DO SUL</v>
      </c>
      <c r="W196" t="str">
        <f t="shared" si="94"/>
        <v>SC</v>
      </c>
      <c r="X196" t="str">
        <f>"47"</f>
        <v>47</v>
      </c>
      <c r="Y196" t="str">
        <f>"30125611"</f>
        <v>30125611</v>
      </c>
      <c r="Z196" t="str">
        <f>""</f>
        <v/>
      </c>
      <c r="AA196" t="str">
        <f>""</f>
        <v/>
      </c>
      <c r="AB196" t="str">
        <f>""</f>
        <v/>
      </c>
      <c r="AC196" t="str">
        <f>""</f>
        <v/>
      </c>
      <c r="AD196" t="str">
        <f>""</f>
        <v/>
      </c>
      <c r="AE196" t="str">
        <f>""</f>
        <v/>
      </c>
      <c r="AF196" t="str">
        <f>""</f>
        <v/>
      </c>
      <c r="AG196" t="str">
        <f>""</f>
        <v/>
      </c>
      <c r="AH196" t="str">
        <f>""</f>
        <v/>
      </c>
      <c r="AI196" t="str">
        <f>""</f>
        <v/>
      </c>
      <c r="AJ196" t="str">
        <f t="shared" si="104"/>
        <v>0</v>
      </c>
      <c r="AK196" t="str">
        <f t="shared" si="104"/>
        <v>0</v>
      </c>
      <c r="AL196" t="str">
        <f t="shared" si="104"/>
        <v>0</v>
      </c>
      <c r="AM196" t="str">
        <f>""</f>
        <v/>
      </c>
      <c r="AN196" t="str">
        <f>""</f>
        <v/>
      </c>
      <c r="AO196" t="str">
        <f>""</f>
        <v/>
      </c>
      <c r="AP196" t="str">
        <f>""</f>
        <v/>
      </c>
      <c r="AQ196" t="str">
        <f>""</f>
        <v/>
      </c>
      <c r="AR196" t="str">
        <f>""</f>
        <v/>
      </c>
      <c r="AS196" t="str">
        <f>""</f>
        <v/>
      </c>
      <c r="AT196" t="str">
        <f>""</f>
        <v/>
      </c>
      <c r="AU196" t="str">
        <f>""</f>
        <v/>
      </c>
      <c r="AV196" t="str">
        <f>""</f>
        <v/>
      </c>
      <c r="AW196" t="str">
        <f>""</f>
        <v/>
      </c>
      <c r="AX196" t="str">
        <f>""</f>
        <v/>
      </c>
      <c r="AY196" t="str">
        <f>""</f>
        <v/>
      </c>
      <c r="AZ196" t="str">
        <f>""</f>
        <v/>
      </c>
      <c r="BA196" t="str">
        <f>""</f>
        <v/>
      </c>
      <c r="BB196" t="str">
        <f>""</f>
        <v/>
      </c>
      <c r="BC196" t="str">
        <f>""</f>
        <v/>
      </c>
      <c r="BD196" t="str">
        <f>""</f>
        <v/>
      </c>
      <c r="BE196" t="str">
        <f>""</f>
        <v/>
      </c>
      <c r="BF196" t="str">
        <f t="shared" si="101"/>
        <v>A</v>
      </c>
      <c r="BG196" t="str">
        <f t="shared" si="105"/>
        <v>0,00</v>
      </c>
      <c r="BH196" t="str">
        <f t="shared" si="105"/>
        <v>0,00</v>
      </c>
      <c r="BI196" t="str">
        <f t="shared" si="87"/>
        <v>EVENTUAL</v>
      </c>
      <c r="BJ196" t="str">
        <f t="shared" si="102"/>
        <v>1</v>
      </c>
      <c r="BK196" t="str">
        <f t="shared" si="103"/>
        <v>Farmacia</v>
      </c>
      <c r="BL196" t="str">
        <f>""</f>
        <v/>
      </c>
      <c r="BM196" t="str">
        <f>"NÃO É VARILUX ESPECIALISTA"</f>
        <v>NÃO É VARILUX ESPECIALISTA</v>
      </c>
      <c r="BN196" t="str">
        <f>"NA"</f>
        <v>NA</v>
      </c>
      <c r="BO196" t="str">
        <f>"FOCO KODAK 1"</f>
        <v>FOCO KODAK 1</v>
      </c>
      <c r="BP196" t="str">
        <f>""</f>
        <v/>
      </c>
      <c r="BQ196" t="str">
        <f>""</f>
        <v/>
      </c>
      <c r="BR196" t="str">
        <f>""</f>
        <v/>
      </c>
      <c r="BS196" t="str">
        <f>""</f>
        <v/>
      </c>
      <c r="BT196" t="str">
        <f>""</f>
        <v/>
      </c>
      <c r="BU196" t="str">
        <f>""</f>
        <v/>
      </c>
      <c r="BV196" t="str">
        <f>"2"</f>
        <v>2</v>
      </c>
      <c r="BW196" t="str">
        <f>"106"</f>
        <v>106</v>
      </c>
    </row>
    <row r="197" spans="1:75" x14ac:dyDescent="0.35">
      <c r="A197">
        <v>784</v>
      </c>
      <c r="B197" t="str">
        <f t="shared" si="95"/>
        <v>A</v>
      </c>
      <c r="C197" t="str">
        <f t="shared" si="96"/>
        <v>80</v>
      </c>
      <c r="D197" t="str">
        <f t="shared" si="97"/>
        <v>11121001</v>
      </c>
      <c r="E197" t="str">
        <f t="shared" si="98"/>
        <v>121001</v>
      </c>
      <c r="F197" t="str">
        <f t="shared" si="99"/>
        <v>JENIFER SANTOS</v>
      </c>
      <c r="G197" t="str">
        <f>"01552283000147"</f>
        <v>01552283000147</v>
      </c>
      <c r="H197" t="str">
        <f>""</f>
        <v/>
      </c>
      <c r="I197" t="str">
        <f t="shared" si="100"/>
        <v>CONTA OPTICA</v>
      </c>
      <c r="J197" t="str">
        <f>"KRAMBECK JOALHERIA E OPTICA LTDA  EPP"</f>
        <v>KRAMBECK JOALHERIA E OPTICA LTDA  EPP</v>
      </c>
      <c r="K197" t="str">
        <f>"RELOJOARIA RECORD (1248)"</f>
        <v>RELOJOARIA RECORD (1248)</v>
      </c>
      <c r="L197" t="str">
        <f>""</f>
        <v/>
      </c>
      <c r="M197" t="str">
        <f>""</f>
        <v/>
      </c>
      <c r="N197" t="str">
        <f>"record@netuno.com.br"</f>
        <v>record@netuno.com.br</v>
      </c>
      <c r="O197" t="str">
        <f>""</f>
        <v/>
      </c>
      <c r="P197" t="str">
        <f>"RUA FELIPE SCHMIDT"</f>
        <v>RUA FELIPE SCHMIDT</v>
      </c>
      <c r="Q197" t="str">
        <f>"172"</f>
        <v>172</v>
      </c>
      <c r="R197" t="str">
        <f>""</f>
        <v/>
      </c>
      <c r="S197" t="str">
        <f>"1281"</f>
        <v>1281</v>
      </c>
      <c r="T197" t="str">
        <f>"89300000"</f>
        <v>89300000</v>
      </c>
      <c r="U197" t="str">
        <f>"CENTRO"</f>
        <v>CENTRO</v>
      </c>
      <c r="V197" t="str">
        <f>"MAFRA"</f>
        <v>MAFRA</v>
      </c>
      <c r="W197" t="str">
        <f t="shared" si="94"/>
        <v>SC</v>
      </c>
      <c r="X197" t="str">
        <f>"47"</f>
        <v>47</v>
      </c>
      <c r="Y197" t="str">
        <f>"36420171"</f>
        <v>36420171</v>
      </c>
      <c r="Z197" t="str">
        <f>""</f>
        <v/>
      </c>
      <c r="AA197" t="str">
        <f>""</f>
        <v/>
      </c>
      <c r="AB197" t="str">
        <f>""</f>
        <v/>
      </c>
      <c r="AC197" t="str">
        <f>""</f>
        <v/>
      </c>
      <c r="AD197" t="str">
        <f>""</f>
        <v/>
      </c>
      <c r="AE197" t="str">
        <f>""</f>
        <v/>
      </c>
      <c r="AF197" t="str">
        <f>""</f>
        <v/>
      </c>
      <c r="AG197" t="str">
        <f>""</f>
        <v/>
      </c>
      <c r="AH197" t="str">
        <f>""</f>
        <v/>
      </c>
      <c r="AI197" t="str">
        <f>""</f>
        <v/>
      </c>
      <c r="AJ197" t="str">
        <f t="shared" si="104"/>
        <v>0</v>
      </c>
      <c r="AK197" t="str">
        <f t="shared" si="104"/>
        <v>0</v>
      </c>
      <c r="AL197" t="str">
        <f t="shared" si="104"/>
        <v>0</v>
      </c>
      <c r="AM197" t="str">
        <f>""</f>
        <v/>
      </c>
      <c r="AN197" t="str">
        <f>""</f>
        <v/>
      </c>
      <c r="AO197" t="str">
        <f>""</f>
        <v/>
      </c>
      <c r="AP197" t="str">
        <f>""</f>
        <v/>
      </c>
      <c r="AQ197" t="str">
        <f>""</f>
        <v/>
      </c>
      <c r="AR197" t="str">
        <f>""</f>
        <v/>
      </c>
      <c r="AS197" t="str">
        <f>""</f>
        <v/>
      </c>
      <c r="AT197" t="str">
        <f>""</f>
        <v/>
      </c>
      <c r="AU197" t="str">
        <f>""</f>
        <v/>
      </c>
      <c r="AV197" t="str">
        <f>""</f>
        <v/>
      </c>
      <c r="AW197" t="str">
        <f>""</f>
        <v/>
      </c>
      <c r="AX197" t="str">
        <f>""</f>
        <v/>
      </c>
      <c r="AY197" t="str">
        <f>""</f>
        <v/>
      </c>
      <c r="AZ197" t="str">
        <f>""</f>
        <v/>
      </c>
      <c r="BA197" t="str">
        <f>""</f>
        <v/>
      </c>
      <c r="BB197" t="str">
        <f>"27/07/2018 09:25:51"</f>
        <v>27/07/2018 09:25:51</v>
      </c>
      <c r="BC197" t="str">
        <f>""</f>
        <v/>
      </c>
      <c r="BD197" t="str">
        <f>""</f>
        <v/>
      </c>
      <c r="BE197" t="str">
        <f>"784"</f>
        <v>784</v>
      </c>
      <c r="BF197" t="str">
        <f t="shared" si="101"/>
        <v>A</v>
      </c>
      <c r="BG197" t="str">
        <f t="shared" si="105"/>
        <v>0,00</v>
      </c>
      <c r="BH197" t="str">
        <f t="shared" si="105"/>
        <v>0,00</v>
      </c>
      <c r="BI197" t="str">
        <f t="shared" si="87"/>
        <v>EVENTUAL</v>
      </c>
      <c r="BJ197" t="str">
        <f t="shared" si="102"/>
        <v>1</v>
      </c>
      <c r="BK197" t="str">
        <f t="shared" si="103"/>
        <v>Farmacia</v>
      </c>
      <c r="BL197" t="str">
        <f>""</f>
        <v/>
      </c>
      <c r="BM197" t="str">
        <f>"VARILUX ESPECIALISTA PREMIER"</f>
        <v>VARILUX ESPECIALISTA PREMIER</v>
      </c>
      <c r="BN197" t="str">
        <f>"NA"</f>
        <v>NA</v>
      </c>
      <c r="BO197" t="str">
        <f>"FOCO VARILUX DIGITAL"</f>
        <v>FOCO VARILUX DIGITAL</v>
      </c>
      <c r="BP197" t="str">
        <f>""</f>
        <v/>
      </c>
      <c r="BQ197" t="str">
        <f>""</f>
        <v/>
      </c>
      <c r="BR197" t="str">
        <f>"27/07/2018"</f>
        <v>27/07/2018</v>
      </c>
      <c r="BS197" t="str">
        <f>""</f>
        <v/>
      </c>
      <c r="BT197" t="str">
        <f>""</f>
        <v/>
      </c>
      <c r="BU197" t="str">
        <f>""</f>
        <v/>
      </c>
      <c r="BV197" t="str">
        <f>"1"</f>
        <v>1</v>
      </c>
      <c r="BW197" t="str">
        <f>"58"</f>
        <v>58</v>
      </c>
    </row>
    <row r="198" spans="1:75" x14ac:dyDescent="0.35">
      <c r="A198">
        <v>138104</v>
      </c>
      <c r="B198" t="str">
        <f t="shared" si="95"/>
        <v>A</v>
      </c>
      <c r="C198" t="str">
        <f t="shared" si="96"/>
        <v>80</v>
      </c>
      <c r="D198" t="str">
        <f t="shared" si="97"/>
        <v>11121001</v>
      </c>
      <c r="E198" t="str">
        <f t="shared" si="98"/>
        <v>121001</v>
      </c>
      <c r="F198" t="str">
        <f t="shared" si="99"/>
        <v>JENIFER SANTOS</v>
      </c>
      <c r="G198" t="str">
        <f>"89429823000140"</f>
        <v>89429823000140</v>
      </c>
      <c r="H198" t="str">
        <f>"0"</f>
        <v>0</v>
      </c>
      <c r="I198" t="str">
        <f t="shared" si="100"/>
        <v>CONTA OPTICA</v>
      </c>
      <c r="J198" t="str">
        <f>"KREISCHE E CIA LTDA ME"</f>
        <v>KREISCHE E CIA LTDA ME</v>
      </c>
      <c r="K198" t="str">
        <f>"KREISCHE &amp; CIA LTDA (198)"</f>
        <v>KREISCHE &amp; CIA LTDA (198)</v>
      </c>
      <c r="L198" t="str">
        <f>""</f>
        <v/>
      </c>
      <c r="M198" t="str">
        <f>""</f>
        <v/>
      </c>
      <c r="N198" t="str">
        <f>"oticalanger@gmail.com"</f>
        <v>oticalanger@gmail.com</v>
      </c>
      <c r="O198" t="str">
        <f>""</f>
        <v/>
      </c>
      <c r="P198" t="str">
        <f>"AVENIDA MAURICIO CARDOSO"</f>
        <v>AVENIDA MAURICIO CARDOSO</v>
      </c>
      <c r="Q198" t="str">
        <f>"293"</f>
        <v>293</v>
      </c>
      <c r="R198" t="str">
        <f>""</f>
        <v/>
      </c>
      <c r="S198" t="str">
        <f>""</f>
        <v/>
      </c>
      <c r="T198" t="str">
        <f>"99700600"</f>
        <v>99700600</v>
      </c>
      <c r="U198" t="str">
        <f>"CENTRO"</f>
        <v>CENTRO</v>
      </c>
      <c r="V198" t="str">
        <f>"ERECHIM"</f>
        <v>ERECHIM</v>
      </c>
      <c r="W198" t="str">
        <f>"RS"</f>
        <v>RS</v>
      </c>
      <c r="X198" t="str">
        <f>"54"</f>
        <v>54</v>
      </c>
      <c r="Y198" t="str">
        <f>"33211208"</f>
        <v>33211208</v>
      </c>
      <c r="Z198" t="str">
        <f>""</f>
        <v/>
      </c>
      <c r="AA198" t="str">
        <f>""</f>
        <v/>
      </c>
      <c r="AB198" t="str">
        <f>""</f>
        <v/>
      </c>
      <c r="AC198" t="str">
        <f>""</f>
        <v/>
      </c>
      <c r="AD198" t="str">
        <f>""</f>
        <v/>
      </c>
      <c r="AE198" t="str">
        <f>""</f>
        <v/>
      </c>
      <c r="AF198" t="str">
        <f>""</f>
        <v/>
      </c>
      <c r="AG198" t="str">
        <f>"S"</f>
        <v>S</v>
      </c>
      <c r="AH198" t="str">
        <f>""</f>
        <v/>
      </c>
      <c r="AI198" t="str">
        <f>""</f>
        <v/>
      </c>
      <c r="AJ198" t="str">
        <f>""</f>
        <v/>
      </c>
      <c r="AK198" t="str">
        <f>""</f>
        <v/>
      </c>
      <c r="AL198" t="str">
        <f>""</f>
        <v/>
      </c>
      <c r="AM198" t="str">
        <f>""</f>
        <v/>
      </c>
      <c r="AN198" t="str">
        <f>""</f>
        <v/>
      </c>
      <c r="AO198" t="str">
        <f>""</f>
        <v/>
      </c>
      <c r="AP198" t="str">
        <f>""</f>
        <v/>
      </c>
      <c r="AQ198" t="str">
        <f>"N"</f>
        <v>N</v>
      </c>
      <c r="AR198" t="str">
        <f>"N"</f>
        <v>N</v>
      </c>
      <c r="AS198" t="str">
        <f>"N"</f>
        <v>N</v>
      </c>
      <c r="AT198" t="str">
        <f>"N"</f>
        <v>N</v>
      </c>
      <c r="AU198" t="str">
        <f>"N"</f>
        <v>N</v>
      </c>
      <c r="AV198" t="str">
        <f>""</f>
        <v/>
      </c>
      <c r="AW198" t="str">
        <f>""</f>
        <v/>
      </c>
      <c r="AX198" t="str">
        <f>""</f>
        <v/>
      </c>
      <c r="AY198" t="str">
        <f>""</f>
        <v/>
      </c>
      <c r="AZ198" t="str">
        <f>""</f>
        <v/>
      </c>
      <c r="BA198" t="str">
        <f>""</f>
        <v/>
      </c>
      <c r="BB198" t="str">
        <f>"01/07/2021 13:53:04"</f>
        <v>01/07/2021 13:53:04</v>
      </c>
      <c r="BC198" t="str">
        <f>"06/05/2022 09:46:18"</f>
        <v>06/05/2022 09:46:18</v>
      </c>
      <c r="BD198" t="str">
        <f>""</f>
        <v/>
      </c>
      <c r="BE198" t="str">
        <f>""</f>
        <v/>
      </c>
      <c r="BF198" t="str">
        <f t="shared" si="101"/>
        <v>A</v>
      </c>
      <c r="BG198" t="str">
        <f>""</f>
        <v/>
      </c>
      <c r="BH198" t="str">
        <f>"0,00"</f>
        <v>0,00</v>
      </c>
      <c r="BI198" t="str">
        <f t="shared" si="87"/>
        <v>EVENTUAL</v>
      </c>
      <c r="BJ198" t="str">
        <f t="shared" si="102"/>
        <v>1</v>
      </c>
      <c r="BK198" t="str">
        <f t="shared" si="103"/>
        <v>Farmacia</v>
      </c>
      <c r="BL198" t="str">
        <f>""</f>
        <v/>
      </c>
      <c r="BM198" t="str">
        <f>"VARILUX ESPECIALISTA SELECT"</f>
        <v>VARILUX ESPECIALISTA SELECT</v>
      </c>
      <c r="BN198" t="str">
        <f>"NA"</f>
        <v>NA</v>
      </c>
      <c r="BO198" t="str">
        <f>"FOCO VARILUX DIGITAL"</f>
        <v>FOCO VARILUX DIGITAL</v>
      </c>
      <c r="BP198" t="str">
        <f>""</f>
        <v/>
      </c>
      <c r="BQ198" t="str">
        <f>""</f>
        <v/>
      </c>
      <c r="BR198" t="str">
        <f>"01/07/2021"</f>
        <v>01/07/2021</v>
      </c>
      <c r="BS198" t="str">
        <f>"06/05/2022"</f>
        <v>06/05/2022</v>
      </c>
      <c r="BT198" t="str">
        <f>""</f>
        <v/>
      </c>
      <c r="BU198" t="str">
        <f>""</f>
        <v/>
      </c>
      <c r="BV198" t="str">
        <f>""</f>
        <v/>
      </c>
      <c r="BW198" t="str">
        <f>"4"</f>
        <v>4</v>
      </c>
    </row>
    <row r="199" spans="1:75" x14ac:dyDescent="0.35">
      <c r="A199">
        <v>1239</v>
      </c>
      <c r="B199" t="str">
        <f t="shared" si="95"/>
        <v>A</v>
      </c>
      <c r="C199" t="str">
        <f t="shared" si="96"/>
        <v>80</v>
      </c>
      <c r="D199" t="str">
        <f t="shared" si="97"/>
        <v>11121001</v>
      </c>
      <c r="E199" t="str">
        <f t="shared" si="98"/>
        <v>121001</v>
      </c>
      <c r="F199" t="str">
        <f t="shared" si="99"/>
        <v>JENIFER SANTOS</v>
      </c>
      <c r="G199" t="str">
        <f>"01874381000109"</f>
        <v>01874381000109</v>
      </c>
      <c r="H199" t="str">
        <f>""</f>
        <v/>
      </c>
      <c r="I199" t="str">
        <f t="shared" si="100"/>
        <v>CONTA OPTICA</v>
      </c>
      <c r="J199" t="str">
        <f>"KUCHENBEKER JOALHEIROS LTDA"</f>
        <v>KUCHENBEKER JOALHEIROS LTDA</v>
      </c>
      <c r="K199" t="str">
        <f>"KUCHENBEKER JOALHEIROS LTDA (685)"</f>
        <v>KUCHENBEKER JOALHEIROS LTDA (685)</v>
      </c>
      <c r="L199" t="str">
        <f>""</f>
        <v/>
      </c>
      <c r="M199" t="str">
        <f>""</f>
        <v/>
      </c>
      <c r="N199" t="str">
        <f>"ja.kuchen@gmail.com"</f>
        <v>ja.kuchen@gmail.com</v>
      </c>
      <c r="O199" t="str">
        <f>""</f>
        <v/>
      </c>
      <c r="P199" t="str">
        <f>"AVENIDA MARECHAL DEODORO DA FONSECA"</f>
        <v>AVENIDA MARECHAL DEODORO DA FONSECA</v>
      </c>
      <c r="Q199" t="str">
        <f>"632"</f>
        <v>632</v>
      </c>
      <c r="R199" t="str">
        <f>"SALA 04"</f>
        <v>SALA 04</v>
      </c>
      <c r="S199" t="str">
        <f>"1280"</f>
        <v>1280</v>
      </c>
      <c r="T199" t="str">
        <f>"89251700"</f>
        <v>89251700</v>
      </c>
      <c r="U199" t="str">
        <f>"CENTRO"</f>
        <v>CENTRO</v>
      </c>
      <c r="V199" t="str">
        <f>"JARAGUÁ DO SUL"</f>
        <v>JARAGUÁ DO SUL</v>
      </c>
      <c r="W199" t="str">
        <f t="shared" ref="W199:W207" si="106">"SC"</f>
        <v>SC</v>
      </c>
      <c r="X199" t="str">
        <f>"47"</f>
        <v>47</v>
      </c>
      <c r="Y199" t="str">
        <f>"32752866"</f>
        <v>32752866</v>
      </c>
      <c r="Z199" t="str">
        <f>""</f>
        <v/>
      </c>
      <c r="AA199" t="str">
        <f>""</f>
        <v/>
      </c>
      <c r="AB199" t="str">
        <f>""</f>
        <v/>
      </c>
      <c r="AC199" t="str">
        <f>""</f>
        <v/>
      </c>
      <c r="AD199" t="str">
        <f>""</f>
        <v/>
      </c>
      <c r="AE199" t="str">
        <f>""</f>
        <v/>
      </c>
      <c r="AF199" t="str">
        <f>""</f>
        <v/>
      </c>
      <c r="AG199" t="str">
        <f>""</f>
        <v/>
      </c>
      <c r="AH199" t="str">
        <f>""</f>
        <v/>
      </c>
      <c r="AI199" t="str">
        <f>""</f>
        <v/>
      </c>
      <c r="AJ199" t="str">
        <f>"0"</f>
        <v>0</v>
      </c>
      <c r="AK199" t="str">
        <f>"0"</f>
        <v>0</v>
      </c>
      <c r="AL199" t="str">
        <f>"0"</f>
        <v>0</v>
      </c>
      <c r="AM199" t="str">
        <f>""</f>
        <v/>
      </c>
      <c r="AN199" t="str">
        <f>""</f>
        <v/>
      </c>
      <c r="AO199" t="str">
        <f>""</f>
        <v/>
      </c>
      <c r="AP199" t="str">
        <f>""</f>
        <v/>
      </c>
      <c r="AQ199" t="str">
        <f>""</f>
        <v/>
      </c>
      <c r="AR199" t="str">
        <f>""</f>
        <v/>
      </c>
      <c r="AS199" t="str">
        <f>""</f>
        <v/>
      </c>
      <c r="AT199" t="str">
        <f>""</f>
        <v/>
      </c>
      <c r="AU199" t="str">
        <f>""</f>
        <v/>
      </c>
      <c r="AV199" t="str">
        <f>""</f>
        <v/>
      </c>
      <c r="AW199" t="str">
        <f>""</f>
        <v/>
      </c>
      <c r="AX199" t="str">
        <f>""</f>
        <v/>
      </c>
      <c r="AY199" t="str">
        <f>""</f>
        <v/>
      </c>
      <c r="AZ199" t="str">
        <f>""</f>
        <v/>
      </c>
      <c r="BA199" t="str">
        <f>""</f>
        <v/>
      </c>
      <c r="BB199" t="str">
        <f>"27/07/2018 09:26:11"</f>
        <v>27/07/2018 09:26:11</v>
      </c>
      <c r="BC199" t="str">
        <f>""</f>
        <v/>
      </c>
      <c r="BD199" t="str">
        <f>""</f>
        <v/>
      </c>
      <c r="BE199" t="str">
        <f>"1239"</f>
        <v>1239</v>
      </c>
      <c r="BF199" t="str">
        <f t="shared" si="101"/>
        <v>A</v>
      </c>
      <c r="BG199" t="str">
        <f>"0,00"</f>
        <v>0,00</v>
      </c>
      <c r="BH199" t="str">
        <f>"0,00"</f>
        <v>0,00</v>
      </c>
      <c r="BI199" t="str">
        <f t="shared" si="87"/>
        <v>EVENTUAL</v>
      </c>
      <c r="BJ199" t="str">
        <f t="shared" si="102"/>
        <v>1</v>
      </c>
      <c r="BK199" t="str">
        <f t="shared" si="103"/>
        <v>Farmacia</v>
      </c>
      <c r="BL199" t="str">
        <f>""</f>
        <v/>
      </c>
      <c r="BM199" t="str">
        <f>"NÃO É VARILUX ESPECIALISTA"</f>
        <v>NÃO É VARILUX ESPECIALISTA</v>
      </c>
      <c r="BN199" t="str">
        <f>"NA"</f>
        <v>NA</v>
      </c>
      <c r="BO199" t="str">
        <f>"FOCO VARILUX"</f>
        <v>FOCO VARILUX</v>
      </c>
      <c r="BP199" t="str">
        <f>""</f>
        <v/>
      </c>
      <c r="BQ199" t="str">
        <f>""</f>
        <v/>
      </c>
      <c r="BR199" t="str">
        <f>"27/07/2018"</f>
        <v>27/07/2018</v>
      </c>
      <c r="BS199" t="str">
        <f>""</f>
        <v/>
      </c>
      <c r="BT199" t="str">
        <f>""</f>
        <v/>
      </c>
      <c r="BU199" t="str">
        <f>""</f>
        <v/>
      </c>
      <c r="BV199" t="str">
        <f>"5"</f>
        <v>5</v>
      </c>
      <c r="BW199" t="str">
        <f>"Não visitado"</f>
        <v>Não visitado</v>
      </c>
    </row>
    <row r="200" spans="1:75" x14ac:dyDescent="0.35">
      <c r="A200">
        <v>157573</v>
      </c>
      <c r="B200" t="str">
        <f t="shared" si="95"/>
        <v>A</v>
      </c>
      <c r="C200" t="str">
        <f t="shared" si="96"/>
        <v>80</v>
      </c>
      <c r="D200" t="str">
        <f t="shared" si="97"/>
        <v>11121001</v>
      </c>
      <c r="E200" t="str">
        <f t="shared" si="98"/>
        <v>121001</v>
      </c>
      <c r="F200" t="str">
        <f t="shared" si="99"/>
        <v>JENIFER SANTOS</v>
      </c>
      <c r="G200" t="str">
        <f>"30124751000180"</f>
        <v>30124751000180</v>
      </c>
      <c r="H200" t="str">
        <f>"0"</f>
        <v>0</v>
      </c>
      <c r="I200" t="str">
        <f t="shared" si="100"/>
        <v>CONTA OPTICA</v>
      </c>
      <c r="J200" t="str">
        <f>"KW COMERCIO DE ARTIGOS OTICOS LTDA"</f>
        <v>KW COMERCIO DE ARTIGOS OTICOS LTDA</v>
      </c>
      <c r="K200" t="str">
        <f>"KW COMERCIO DE ARTIGOS OTICOS LTDA  (3909)"</f>
        <v>KW COMERCIO DE ARTIGOS OTICOS LTDA  (3909)</v>
      </c>
      <c r="L200" t="str">
        <f>""</f>
        <v/>
      </c>
      <c r="M200" t="str">
        <f>""</f>
        <v/>
      </c>
      <c r="N200" t="str">
        <f>"ANA-KNOP@HOTMAIL.COM"</f>
        <v>ANA-KNOP@HOTMAIL.COM</v>
      </c>
      <c r="O200" t="str">
        <f>""</f>
        <v/>
      </c>
      <c r="P200" t="str">
        <f>"RUA BARAO DO RIO BRANCO"</f>
        <v>RUA BARAO DO RIO BRANCO</v>
      </c>
      <c r="Q200" t="str">
        <f>"402"</f>
        <v>402</v>
      </c>
      <c r="R200" t="str">
        <f>""</f>
        <v/>
      </c>
      <c r="S200" t="str">
        <f>""</f>
        <v/>
      </c>
      <c r="T200" t="str">
        <f>"89280478"</f>
        <v>89280478</v>
      </c>
      <c r="U200" t="str">
        <f>"CENTRO"</f>
        <v>CENTRO</v>
      </c>
      <c r="V200" t="str">
        <f>"SAO BENTO DO SUL"</f>
        <v>SAO BENTO DO SUL</v>
      </c>
      <c r="W200" t="str">
        <f t="shared" si="106"/>
        <v>SC</v>
      </c>
      <c r="X200" t="str">
        <f>"41"</f>
        <v>41</v>
      </c>
      <c r="Y200" t="str">
        <f>"99633286"</f>
        <v>99633286</v>
      </c>
      <c r="Z200" t="str">
        <f>""</f>
        <v/>
      </c>
      <c r="AA200" t="str">
        <f>""</f>
        <v/>
      </c>
      <c r="AB200" t="str">
        <f>""</f>
        <v/>
      </c>
      <c r="AC200" t="str">
        <f>""</f>
        <v/>
      </c>
      <c r="AD200" t="str">
        <f>""</f>
        <v/>
      </c>
      <c r="AE200" t="str">
        <f>""</f>
        <v/>
      </c>
      <c r="AF200" t="str">
        <f>""</f>
        <v/>
      </c>
      <c r="AG200" t="str">
        <f>""</f>
        <v/>
      </c>
      <c r="AH200" t="str">
        <f>""</f>
        <v/>
      </c>
      <c r="AI200" t="str">
        <f>""</f>
        <v/>
      </c>
      <c r="AJ200" t="str">
        <f>""</f>
        <v/>
      </c>
      <c r="AK200" t="str">
        <f>""</f>
        <v/>
      </c>
      <c r="AL200" t="str">
        <f>""</f>
        <v/>
      </c>
      <c r="AM200" t="str">
        <f>""</f>
        <v/>
      </c>
      <c r="AN200" t="str">
        <f>""</f>
        <v/>
      </c>
      <c r="AO200" t="str">
        <f>""</f>
        <v/>
      </c>
      <c r="AP200" t="str">
        <f>""</f>
        <v/>
      </c>
      <c r="AQ200" t="str">
        <f>""</f>
        <v/>
      </c>
      <c r="AR200" t="str">
        <f>""</f>
        <v/>
      </c>
      <c r="AS200" t="str">
        <f>""</f>
        <v/>
      </c>
      <c r="AT200" t="str">
        <f>""</f>
        <v/>
      </c>
      <c r="AU200" t="str">
        <f>""</f>
        <v/>
      </c>
      <c r="AV200" t="str">
        <f>""</f>
        <v/>
      </c>
      <c r="AW200" t="str">
        <f>""</f>
        <v/>
      </c>
      <c r="AX200" t="str">
        <f>""</f>
        <v/>
      </c>
      <c r="AY200" t="str">
        <f>""</f>
        <v/>
      </c>
      <c r="AZ200" t="str">
        <f>""</f>
        <v/>
      </c>
      <c r="BA200" t="str">
        <f>""</f>
        <v/>
      </c>
      <c r="BB200" t="str">
        <f>"11/07/2023 02:14:29"</f>
        <v>11/07/2023 02:14:29</v>
      </c>
      <c r="BC200" t="str">
        <f>""</f>
        <v/>
      </c>
      <c r="BD200" t="str">
        <f>""</f>
        <v/>
      </c>
      <c r="BE200" t="str">
        <f>""</f>
        <v/>
      </c>
      <c r="BF200" t="str">
        <f t="shared" si="101"/>
        <v>A</v>
      </c>
      <c r="BG200" t="str">
        <f>""</f>
        <v/>
      </c>
      <c r="BH200" t="str">
        <f>""</f>
        <v/>
      </c>
      <c r="BI200" t="str">
        <f t="shared" si="87"/>
        <v>EVENTUAL</v>
      </c>
      <c r="BJ200" t="str">
        <f t="shared" si="102"/>
        <v>1</v>
      </c>
      <c r="BK200" t="str">
        <f t="shared" si="103"/>
        <v>Farmacia</v>
      </c>
      <c r="BL200" t="str">
        <f>""</f>
        <v/>
      </c>
      <c r="BM200" t="str">
        <f>""</f>
        <v/>
      </c>
      <c r="BN200" t="str">
        <f>""</f>
        <v/>
      </c>
      <c r="BO200" t="str">
        <f>""</f>
        <v/>
      </c>
      <c r="BP200" t="str">
        <f>""</f>
        <v/>
      </c>
      <c r="BQ200" t="str">
        <f>""</f>
        <v/>
      </c>
      <c r="BR200" t="str">
        <f>"11/07/2023"</f>
        <v>11/07/2023</v>
      </c>
      <c r="BS200" t="str">
        <f>""</f>
        <v/>
      </c>
      <c r="BT200" t="str">
        <f>""</f>
        <v/>
      </c>
      <c r="BU200" t="str">
        <f>""</f>
        <v/>
      </c>
      <c r="BV200" t="str">
        <f>""</f>
        <v/>
      </c>
      <c r="BW200" t="str">
        <f>"Não visitado"</f>
        <v>Não visitado</v>
      </c>
    </row>
    <row r="201" spans="1:75" x14ac:dyDescent="0.35">
      <c r="A201">
        <v>157530</v>
      </c>
      <c r="B201" t="str">
        <f t="shared" si="95"/>
        <v>A</v>
      </c>
      <c r="C201" t="str">
        <f t="shared" si="96"/>
        <v>80</v>
      </c>
      <c r="D201" t="str">
        <f t="shared" si="97"/>
        <v>11121001</v>
      </c>
      <c r="E201" t="str">
        <f t="shared" si="98"/>
        <v>121001</v>
      </c>
      <c r="F201" t="str">
        <f t="shared" si="99"/>
        <v>JENIFER SANTOS</v>
      </c>
      <c r="G201" t="str">
        <f>"28473264000181"</f>
        <v>28473264000181</v>
      </c>
      <c r="H201" t="str">
        <f>"0"</f>
        <v>0</v>
      </c>
      <c r="I201" t="str">
        <f t="shared" si="100"/>
        <v>CONTA OPTICA</v>
      </c>
      <c r="J201" t="str">
        <f>"LA VIE OTICA &amp; JOALHERIA LTDA"</f>
        <v>LA VIE OTICA &amp; JOALHERIA LTDA</v>
      </c>
      <c r="K201" t="str">
        <f>"LA VIE OTICA E JOALHERIA  (3834)"</f>
        <v>LA VIE OTICA E JOALHERIA  (3834)</v>
      </c>
      <c r="L201" t="str">
        <f>""</f>
        <v/>
      </c>
      <c r="M201" t="str">
        <f>""</f>
        <v/>
      </c>
      <c r="N201" t="str">
        <f>"LAVIEOTICACHAPECO@GMAIL.COM"</f>
        <v>LAVIEOTICACHAPECO@GMAIL.COM</v>
      </c>
      <c r="O201" t="str">
        <f>""</f>
        <v/>
      </c>
      <c r="P201" t="str">
        <f>"PORTO ALEGRE - D"</f>
        <v>PORTO ALEGRE - D</v>
      </c>
      <c r="Q201" t="str">
        <f>"79"</f>
        <v>79</v>
      </c>
      <c r="R201" t="str">
        <f>"LETRA D SL 6"</f>
        <v>LETRA D SL 6</v>
      </c>
      <c r="S201" t="str">
        <f>"1287"</f>
        <v>1287</v>
      </c>
      <c r="T201" t="str">
        <f>"89802130"</f>
        <v>89802130</v>
      </c>
      <c r="U201" t="str">
        <f>"SANTA MARIA"</f>
        <v>SANTA MARIA</v>
      </c>
      <c r="V201" t="str">
        <f>"CHAPECO"</f>
        <v>CHAPECO</v>
      </c>
      <c r="W201" t="str">
        <f t="shared" si="106"/>
        <v>SC</v>
      </c>
      <c r="X201" t="str">
        <f>"49"</f>
        <v>49</v>
      </c>
      <c r="Y201" t="str">
        <f>"31993314"</f>
        <v>31993314</v>
      </c>
      <c r="Z201" t="str">
        <f>""</f>
        <v/>
      </c>
      <c r="AA201" t="str">
        <f>""</f>
        <v/>
      </c>
      <c r="AB201" t="str">
        <f>""</f>
        <v/>
      </c>
      <c r="AC201" t="str">
        <f>""</f>
        <v/>
      </c>
      <c r="AD201" t="str">
        <f>""</f>
        <v/>
      </c>
      <c r="AE201" t="str">
        <f>""</f>
        <v/>
      </c>
      <c r="AF201" t="str">
        <f>""</f>
        <v/>
      </c>
      <c r="AG201" t="str">
        <f>""</f>
        <v/>
      </c>
      <c r="AH201" t="str">
        <f>""</f>
        <v/>
      </c>
      <c r="AI201" t="str">
        <f>""</f>
        <v/>
      </c>
      <c r="AJ201" t="str">
        <f>""</f>
        <v/>
      </c>
      <c r="AK201" t="str">
        <f>""</f>
        <v/>
      </c>
      <c r="AL201" t="str">
        <f>""</f>
        <v/>
      </c>
      <c r="AM201" t="str">
        <f>""</f>
        <v/>
      </c>
      <c r="AN201" t="str">
        <f>""</f>
        <v/>
      </c>
      <c r="AO201" t="str">
        <f>""</f>
        <v/>
      </c>
      <c r="AP201" t="str">
        <f>""</f>
        <v/>
      </c>
      <c r="AQ201" t="str">
        <f>""</f>
        <v/>
      </c>
      <c r="AR201" t="str">
        <f>""</f>
        <v/>
      </c>
      <c r="AS201" t="str">
        <f>""</f>
        <v/>
      </c>
      <c r="AT201" t="str">
        <f>""</f>
        <v/>
      </c>
      <c r="AU201" t="str">
        <f>""</f>
        <v/>
      </c>
      <c r="AV201" t="str">
        <f>""</f>
        <v/>
      </c>
      <c r="AW201" t="str">
        <f>""</f>
        <v/>
      </c>
      <c r="AX201" t="str">
        <f>""</f>
        <v/>
      </c>
      <c r="AY201" t="str">
        <f>""</f>
        <v/>
      </c>
      <c r="AZ201" t="str">
        <f>""</f>
        <v/>
      </c>
      <c r="BA201" t="str">
        <f>""</f>
        <v/>
      </c>
      <c r="BB201" t="str">
        <f>"11/07/2023 02:14:29"</f>
        <v>11/07/2023 02:14:29</v>
      </c>
      <c r="BC201" t="str">
        <f>""</f>
        <v/>
      </c>
      <c r="BD201" t="str">
        <f>""</f>
        <v/>
      </c>
      <c r="BE201" t="str">
        <f>""</f>
        <v/>
      </c>
      <c r="BF201" t="str">
        <f t="shared" si="101"/>
        <v>A</v>
      </c>
      <c r="BG201" t="str">
        <f>""</f>
        <v/>
      </c>
      <c r="BH201" t="str">
        <f>""</f>
        <v/>
      </c>
      <c r="BI201" t="str">
        <f t="shared" si="87"/>
        <v>EVENTUAL</v>
      </c>
      <c r="BJ201" t="str">
        <f t="shared" si="102"/>
        <v>1</v>
      </c>
      <c r="BK201" t="str">
        <f t="shared" si="103"/>
        <v>Farmacia</v>
      </c>
      <c r="BL201" t="str">
        <f>""</f>
        <v/>
      </c>
      <c r="BM201" t="str">
        <f>""</f>
        <v/>
      </c>
      <c r="BN201" t="str">
        <f>""</f>
        <v/>
      </c>
      <c r="BO201" t="str">
        <f>""</f>
        <v/>
      </c>
      <c r="BP201" t="str">
        <f>""</f>
        <v/>
      </c>
      <c r="BQ201" t="str">
        <f>""</f>
        <v/>
      </c>
      <c r="BR201" t="str">
        <f>"11/07/2023"</f>
        <v>11/07/2023</v>
      </c>
      <c r="BS201" t="str">
        <f>""</f>
        <v/>
      </c>
      <c r="BT201" t="str">
        <f>""</f>
        <v/>
      </c>
      <c r="BU201" t="str">
        <f>""</f>
        <v/>
      </c>
      <c r="BV201" t="str">
        <f>""</f>
        <v/>
      </c>
      <c r="BW201" t="str">
        <f>"Não visitado"</f>
        <v>Não visitado</v>
      </c>
    </row>
    <row r="202" spans="1:75" x14ac:dyDescent="0.35">
      <c r="A202">
        <v>138106</v>
      </c>
      <c r="B202" t="str">
        <f t="shared" si="95"/>
        <v>A</v>
      </c>
      <c r="C202" t="str">
        <f t="shared" si="96"/>
        <v>80</v>
      </c>
      <c r="D202" t="str">
        <f t="shared" si="97"/>
        <v>11121001</v>
      </c>
      <c r="E202" t="str">
        <f t="shared" si="98"/>
        <v>121001</v>
      </c>
      <c r="F202" t="str">
        <f t="shared" si="99"/>
        <v>JENIFER SANTOS</v>
      </c>
      <c r="G202" t="str">
        <f>"28473264000262"</f>
        <v>28473264000262</v>
      </c>
      <c r="H202" t="str">
        <f>"0"</f>
        <v>0</v>
      </c>
      <c r="I202" t="str">
        <f t="shared" si="100"/>
        <v>CONTA OPTICA</v>
      </c>
      <c r="J202" t="str">
        <f>"LA VIE OTICA E JOALHERIA EIRELI"</f>
        <v>LA VIE OTICA E JOALHERIA EIRELI</v>
      </c>
      <c r="K202" t="str">
        <f>"OTICA LA VIE (4008)"</f>
        <v>OTICA LA VIE (4008)</v>
      </c>
      <c r="L202" t="str">
        <f>""</f>
        <v/>
      </c>
      <c r="M202" t="str">
        <f>""</f>
        <v/>
      </c>
      <c r="N202" t="str">
        <f>"lavieoticachapeco@gmail.com"</f>
        <v>lavieoticachapeco@gmail.com</v>
      </c>
      <c r="O202" t="str">
        <f>""</f>
        <v/>
      </c>
      <c r="P202" t="str">
        <f>"RUA GETULIO DORNELES VARGAS"</f>
        <v>RUA GETULIO DORNELES VARGAS</v>
      </c>
      <c r="Q202" t="str">
        <f>"1210"</f>
        <v>1210</v>
      </c>
      <c r="R202" t="str">
        <f>""</f>
        <v/>
      </c>
      <c r="S202" t="str">
        <f>""</f>
        <v/>
      </c>
      <c r="T202" t="str">
        <f>"89801002"</f>
        <v>89801002</v>
      </c>
      <c r="U202" t="str">
        <f>"CENTRO"</f>
        <v>CENTRO</v>
      </c>
      <c r="V202" t="str">
        <f>"CHAPECÓ"</f>
        <v>CHAPECÓ</v>
      </c>
      <c r="W202" t="str">
        <f t="shared" si="106"/>
        <v>SC</v>
      </c>
      <c r="X202" t="str">
        <f>"49"</f>
        <v>49</v>
      </c>
      <c r="Y202" t="str">
        <f>"31993392"</f>
        <v>31993392</v>
      </c>
      <c r="Z202" t="str">
        <f>""</f>
        <v/>
      </c>
      <c r="AA202" t="str">
        <f>""</f>
        <v/>
      </c>
      <c r="AB202" t="str">
        <f>""</f>
        <v/>
      </c>
      <c r="AC202" t="str">
        <f>""</f>
        <v/>
      </c>
      <c r="AD202" t="str">
        <f>""</f>
        <v/>
      </c>
      <c r="AE202" t="str">
        <f>""</f>
        <v/>
      </c>
      <c r="AF202" t="str">
        <f>""</f>
        <v/>
      </c>
      <c r="AG202" t="str">
        <f>"S"</f>
        <v>S</v>
      </c>
      <c r="AH202" t="str">
        <f>""</f>
        <v/>
      </c>
      <c r="AI202" t="str">
        <f>""</f>
        <v/>
      </c>
      <c r="AJ202" t="str">
        <f>""</f>
        <v/>
      </c>
      <c r="AK202" t="str">
        <f>""</f>
        <v/>
      </c>
      <c r="AL202" t="str">
        <f>""</f>
        <v/>
      </c>
      <c r="AM202" t="str">
        <f>""</f>
        <v/>
      </c>
      <c r="AN202" t="str">
        <f>""</f>
        <v/>
      </c>
      <c r="AO202" t="str">
        <f>""</f>
        <v/>
      </c>
      <c r="AP202" t="str">
        <f>""</f>
        <v/>
      </c>
      <c r="AQ202" t="str">
        <f>"N"</f>
        <v>N</v>
      </c>
      <c r="AR202" t="str">
        <f>"N"</f>
        <v>N</v>
      </c>
      <c r="AS202" t="str">
        <f>"N"</f>
        <v>N</v>
      </c>
      <c r="AT202" t="str">
        <f>"N"</f>
        <v>N</v>
      </c>
      <c r="AU202" t="str">
        <f>"N"</f>
        <v>N</v>
      </c>
      <c r="AV202" t="str">
        <f>""</f>
        <v/>
      </c>
      <c r="AW202" t="str">
        <f>""</f>
        <v/>
      </c>
      <c r="AX202" t="str">
        <f>""</f>
        <v/>
      </c>
      <c r="AY202" t="str">
        <f>""</f>
        <v/>
      </c>
      <c r="AZ202" t="str">
        <f>""</f>
        <v/>
      </c>
      <c r="BA202" t="str">
        <f>""</f>
        <v/>
      </c>
      <c r="BB202" t="str">
        <f>"01/07/2021 13:53:04"</f>
        <v>01/07/2021 13:53:04</v>
      </c>
      <c r="BC202" t="str">
        <f>"10/03/2022 14:13:06"</f>
        <v>10/03/2022 14:13:06</v>
      </c>
      <c r="BD202" t="str">
        <f>""</f>
        <v/>
      </c>
      <c r="BE202" t="str">
        <f>""</f>
        <v/>
      </c>
      <c r="BF202" t="str">
        <f t="shared" si="101"/>
        <v>A</v>
      </c>
      <c r="BG202" t="str">
        <f>""</f>
        <v/>
      </c>
      <c r="BH202" t="str">
        <f>"0,00"</f>
        <v>0,00</v>
      </c>
      <c r="BI202" t="str">
        <f t="shared" si="87"/>
        <v>EVENTUAL</v>
      </c>
      <c r="BJ202" t="str">
        <f t="shared" si="102"/>
        <v>1</v>
      </c>
      <c r="BK202" t="str">
        <f t="shared" si="103"/>
        <v>Farmacia</v>
      </c>
      <c r="BL202" t="str">
        <f>""</f>
        <v/>
      </c>
      <c r="BM202" t="str">
        <f>"NÃO É VARILUX ESPECIALISTA"</f>
        <v>NÃO É VARILUX ESPECIALISTA</v>
      </c>
      <c r="BN202" t="str">
        <f>"NA"</f>
        <v>NA</v>
      </c>
      <c r="BO202" t="str">
        <f>"FOCO KODAK 2"</f>
        <v>FOCO KODAK 2</v>
      </c>
      <c r="BP202" t="str">
        <f>""</f>
        <v/>
      </c>
      <c r="BQ202" t="str">
        <f>""</f>
        <v/>
      </c>
      <c r="BR202" t="str">
        <f>"01/07/2021"</f>
        <v>01/07/2021</v>
      </c>
      <c r="BS202" t="str">
        <f>"10/03/2022"</f>
        <v>10/03/2022</v>
      </c>
      <c r="BT202" t="str">
        <f>""</f>
        <v/>
      </c>
      <c r="BU202" t="str">
        <f>""</f>
        <v/>
      </c>
      <c r="BV202" t="str">
        <f>""</f>
        <v/>
      </c>
      <c r="BW202" t="str">
        <f>"46"</f>
        <v>46</v>
      </c>
    </row>
    <row r="203" spans="1:75" x14ac:dyDescent="0.35">
      <c r="A203">
        <v>144442</v>
      </c>
      <c r="B203" t="str">
        <f t="shared" si="95"/>
        <v>A</v>
      </c>
      <c r="C203" t="str">
        <f t="shared" si="96"/>
        <v>80</v>
      </c>
      <c r="D203" t="str">
        <f t="shared" si="97"/>
        <v>11121001</v>
      </c>
      <c r="E203" t="str">
        <f t="shared" si="98"/>
        <v>121001</v>
      </c>
      <c r="F203" t="str">
        <f t="shared" si="99"/>
        <v>JENIFER SANTOS</v>
      </c>
      <c r="G203" t="str">
        <f>"13904349000108"</f>
        <v>13904349000108</v>
      </c>
      <c r="H203" t="str">
        <f>""</f>
        <v/>
      </c>
      <c r="I203" t="str">
        <f t="shared" si="100"/>
        <v>CONTA OPTICA</v>
      </c>
      <c r="J203" t="str">
        <f>"LAMOUR COMERCIO DE OTICA E RELOJOARIA LTDA ME"</f>
        <v>LAMOUR COMERCIO DE OTICA E RELOJOARIA LTDA ME</v>
      </c>
      <c r="K203" t="str">
        <f>"OTICA MAY (2293)"</f>
        <v>OTICA MAY (2293)</v>
      </c>
      <c r="L203" t="str">
        <f>""</f>
        <v/>
      </c>
      <c r="M203" t="str">
        <f>""</f>
        <v/>
      </c>
      <c r="N203" t="str">
        <f>"oticamay@gmail.com"</f>
        <v>oticamay@gmail.com</v>
      </c>
      <c r="O203" t="str">
        <f>""</f>
        <v/>
      </c>
      <c r="P203" t="str">
        <f>"RUA NOVE DE MARCO"</f>
        <v>RUA NOVE DE MARCO</v>
      </c>
      <c r="Q203" t="str">
        <f>"478"</f>
        <v>478</v>
      </c>
      <c r="R203" t="str">
        <f>"LOJA A"</f>
        <v>LOJA A</v>
      </c>
      <c r="S203" t="str">
        <f>"1277"</f>
        <v>1277</v>
      </c>
      <c r="T203" t="str">
        <f>"89201400"</f>
        <v>89201400</v>
      </c>
      <c r="U203" t="str">
        <f>"CENTRO"</f>
        <v>CENTRO</v>
      </c>
      <c r="V203" t="str">
        <f>"JOINVILLE"</f>
        <v>JOINVILLE</v>
      </c>
      <c r="W203" t="str">
        <f t="shared" si="106"/>
        <v>SC</v>
      </c>
      <c r="X203" t="str">
        <f>"47"</f>
        <v>47</v>
      </c>
      <c r="Y203" t="str">
        <f>"30292132"</f>
        <v>30292132</v>
      </c>
      <c r="Z203" t="str">
        <f>""</f>
        <v/>
      </c>
      <c r="AA203" t="str">
        <f>""</f>
        <v/>
      </c>
      <c r="AB203" t="str">
        <f>""</f>
        <v/>
      </c>
      <c r="AC203" t="str">
        <f>""</f>
        <v/>
      </c>
      <c r="AD203" t="str">
        <f>""</f>
        <v/>
      </c>
      <c r="AE203" t="str">
        <f>""</f>
        <v/>
      </c>
      <c r="AF203" t="str">
        <f>""</f>
        <v/>
      </c>
      <c r="AG203" t="str">
        <f>""</f>
        <v/>
      </c>
      <c r="AH203" t="str">
        <f>""</f>
        <v/>
      </c>
      <c r="AI203" t="str">
        <f>""</f>
        <v/>
      </c>
      <c r="AJ203" t="str">
        <f t="shared" ref="AJ203:AL204" si="107">"0"</f>
        <v>0</v>
      </c>
      <c r="AK203" t="str">
        <f t="shared" si="107"/>
        <v>0</v>
      </c>
      <c r="AL203" t="str">
        <f t="shared" si="107"/>
        <v>0</v>
      </c>
      <c r="AM203" t="str">
        <f>""</f>
        <v/>
      </c>
      <c r="AN203" t="str">
        <f>""</f>
        <v/>
      </c>
      <c r="AO203" t="str">
        <f>""</f>
        <v/>
      </c>
      <c r="AP203" t="str">
        <f>""</f>
        <v/>
      </c>
      <c r="AQ203" t="str">
        <f>""</f>
        <v/>
      </c>
      <c r="AR203" t="str">
        <f>""</f>
        <v/>
      </c>
      <c r="AS203" t="str">
        <f>""</f>
        <v/>
      </c>
      <c r="AT203" t="str">
        <f>""</f>
        <v/>
      </c>
      <c r="AU203" t="str">
        <f>""</f>
        <v/>
      </c>
      <c r="AV203" t="str">
        <f>""</f>
        <v/>
      </c>
      <c r="AW203" t="str">
        <f>""</f>
        <v/>
      </c>
      <c r="AX203" t="str">
        <f>""</f>
        <v/>
      </c>
      <c r="AY203" t="str">
        <f>""</f>
        <v/>
      </c>
      <c r="AZ203" t="str">
        <f>""</f>
        <v/>
      </c>
      <c r="BA203" t="str">
        <f>""</f>
        <v/>
      </c>
      <c r="BB203" t="str">
        <f>""</f>
        <v/>
      </c>
      <c r="BC203" t="str">
        <f>""</f>
        <v/>
      </c>
      <c r="BD203" t="str">
        <f>""</f>
        <v/>
      </c>
      <c r="BE203" t="str">
        <f>""</f>
        <v/>
      </c>
      <c r="BF203" t="str">
        <f t="shared" si="101"/>
        <v>A</v>
      </c>
      <c r="BG203" t="str">
        <f>"0,00"</f>
        <v>0,00</v>
      </c>
      <c r="BH203" t="str">
        <f>"0,00"</f>
        <v>0,00</v>
      </c>
      <c r="BI203" t="str">
        <f t="shared" si="87"/>
        <v>EVENTUAL</v>
      </c>
      <c r="BJ203" t="str">
        <f t="shared" si="102"/>
        <v>1</v>
      </c>
      <c r="BK203" t="str">
        <f t="shared" si="103"/>
        <v>Farmacia</v>
      </c>
      <c r="BL203" t="str">
        <f>""</f>
        <v/>
      </c>
      <c r="BM203" t="str">
        <f>"NÃO É VARILUX ESPECIALISTA"</f>
        <v>NÃO É VARILUX ESPECIALISTA</v>
      </c>
      <c r="BN203" t="str">
        <f>"EL360"</f>
        <v>EL360</v>
      </c>
      <c r="BO203" t="str">
        <f>"FOCO VARILUX DIGITAL"</f>
        <v>FOCO VARILUX DIGITAL</v>
      </c>
      <c r="BP203" t="str">
        <f>""</f>
        <v/>
      </c>
      <c r="BQ203" t="str">
        <f>""</f>
        <v/>
      </c>
      <c r="BR203" t="str">
        <f>""</f>
        <v/>
      </c>
      <c r="BS203" t="str">
        <f>""</f>
        <v/>
      </c>
      <c r="BT203" t="str">
        <f>""</f>
        <v/>
      </c>
      <c r="BU203" t="str">
        <f>""</f>
        <v/>
      </c>
      <c r="BV203" t="str">
        <f>"1"</f>
        <v>1</v>
      </c>
      <c r="BW203" t="str">
        <f>"52"</f>
        <v>52</v>
      </c>
    </row>
    <row r="204" spans="1:75" x14ac:dyDescent="0.35">
      <c r="A204">
        <v>118720</v>
      </c>
      <c r="B204" t="str">
        <f t="shared" si="95"/>
        <v>A</v>
      </c>
      <c r="C204" t="str">
        <f t="shared" si="96"/>
        <v>80</v>
      </c>
      <c r="D204" t="str">
        <f t="shared" si="97"/>
        <v>11121001</v>
      </c>
      <c r="E204" t="str">
        <f t="shared" si="98"/>
        <v>121001</v>
      </c>
      <c r="F204" t="str">
        <f t="shared" si="99"/>
        <v>JENIFER SANTOS</v>
      </c>
      <c r="G204" t="str">
        <f>"04705095000108"</f>
        <v>04705095000108</v>
      </c>
      <c r="H204" t="str">
        <f>""</f>
        <v/>
      </c>
      <c r="I204" t="str">
        <f t="shared" si="100"/>
        <v>CONTA OPTICA</v>
      </c>
      <c r="J204" t="str">
        <f>"LEVI ARRIFANO SILVA ME"</f>
        <v>LEVI ARRIFANO SILVA ME</v>
      </c>
      <c r="K204" t="str">
        <f>"OTICA ARRIFANO (693)"</f>
        <v>OTICA ARRIFANO (693)</v>
      </c>
      <c r="L204" t="str">
        <f>""</f>
        <v/>
      </c>
      <c r="M204" t="str">
        <f>""</f>
        <v/>
      </c>
      <c r="N204" t="str">
        <f>"tutsh@hotmail.com"</f>
        <v>tutsh@hotmail.com</v>
      </c>
      <c r="O204" t="str">
        <f>""</f>
        <v/>
      </c>
      <c r="P204" t="str">
        <f>"RUA DO PRINCIPE"</f>
        <v>RUA DO PRINCIPE</v>
      </c>
      <c r="Q204" t="str">
        <f>"429"</f>
        <v>429</v>
      </c>
      <c r="R204" t="str">
        <f>"SALA 05"</f>
        <v>SALA 05</v>
      </c>
      <c r="S204" t="str">
        <f>"1277"</f>
        <v>1277</v>
      </c>
      <c r="T204" t="str">
        <f>"89201001"</f>
        <v>89201001</v>
      </c>
      <c r="U204" t="str">
        <f>"CENTRO"</f>
        <v>CENTRO</v>
      </c>
      <c r="V204" t="str">
        <f>"JOINVILLE"</f>
        <v>JOINVILLE</v>
      </c>
      <c r="W204" t="str">
        <f t="shared" si="106"/>
        <v>SC</v>
      </c>
      <c r="X204" t="str">
        <f>"47"</f>
        <v>47</v>
      </c>
      <c r="Y204" t="str">
        <f>"30252030"</f>
        <v>30252030</v>
      </c>
      <c r="Z204" t="str">
        <f>""</f>
        <v/>
      </c>
      <c r="AA204" t="str">
        <f>""</f>
        <v/>
      </c>
      <c r="AB204" t="str">
        <f>""</f>
        <v/>
      </c>
      <c r="AC204" t="str">
        <f>""</f>
        <v/>
      </c>
      <c r="AD204" t="str">
        <f>""</f>
        <v/>
      </c>
      <c r="AE204" t="str">
        <f>""</f>
        <v/>
      </c>
      <c r="AF204" t="str">
        <f>""</f>
        <v/>
      </c>
      <c r="AG204" t="str">
        <f>""</f>
        <v/>
      </c>
      <c r="AH204" t="str">
        <f>""</f>
        <v/>
      </c>
      <c r="AI204" t="str">
        <f>""</f>
        <v/>
      </c>
      <c r="AJ204" t="str">
        <f t="shared" si="107"/>
        <v>0</v>
      </c>
      <c r="AK204" t="str">
        <f t="shared" si="107"/>
        <v>0</v>
      </c>
      <c r="AL204" t="str">
        <f t="shared" si="107"/>
        <v>0</v>
      </c>
      <c r="AM204" t="str">
        <f>""</f>
        <v/>
      </c>
      <c r="AN204" t="str">
        <f>""</f>
        <v/>
      </c>
      <c r="AO204" t="str">
        <f>""</f>
        <v/>
      </c>
      <c r="AP204" t="str">
        <f>""</f>
        <v/>
      </c>
      <c r="AQ204" t="str">
        <f>""</f>
        <v/>
      </c>
      <c r="AR204" t="str">
        <f>""</f>
        <v/>
      </c>
      <c r="AS204" t="str">
        <f>""</f>
        <v/>
      </c>
      <c r="AT204" t="str">
        <f>""</f>
        <v/>
      </c>
      <c r="AU204" t="str">
        <f>""</f>
        <v/>
      </c>
      <c r="AV204" t="str">
        <f>""</f>
        <v/>
      </c>
      <c r="AW204" t="str">
        <f>""</f>
        <v/>
      </c>
      <c r="AX204" t="str">
        <f>""</f>
        <v/>
      </c>
      <c r="AY204" t="str">
        <f>""</f>
        <v/>
      </c>
      <c r="AZ204" t="str">
        <f>""</f>
        <v/>
      </c>
      <c r="BA204" t="str">
        <f>""</f>
        <v/>
      </c>
      <c r="BB204" t="str">
        <f>""</f>
        <v/>
      </c>
      <c r="BC204" t="str">
        <f>""</f>
        <v/>
      </c>
      <c r="BD204" t="str">
        <f>""</f>
        <v/>
      </c>
      <c r="BE204" t="str">
        <f>""</f>
        <v/>
      </c>
      <c r="BF204" t="str">
        <f t="shared" si="101"/>
        <v>A</v>
      </c>
      <c r="BG204" t="str">
        <f>"0,00"</f>
        <v>0,00</v>
      </c>
      <c r="BH204" t="str">
        <f>"0,00"</f>
        <v>0,00</v>
      </c>
      <c r="BI204" t="str">
        <f t="shared" si="87"/>
        <v>EVENTUAL</v>
      </c>
      <c r="BJ204" t="str">
        <f t="shared" si="102"/>
        <v>1</v>
      </c>
      <c r="BK204" t="str">
        <f t="shared" si="103"/>
        <v>Farmacia</v>
      </c>
      <c r="BL204" t="str">
        <f>""</f>
        <v/>
      </c>
      <c r="BM204" t="str">
        <f>"NÃO É VARILUX ESPECIALISTA"</f>
        <v>NÃO É VARILUX ESPECIALISTA</v>
      </c>
      <c r="BN204" t="str">
        <f t="shared" ref="BN204:BN209" si="108">"NA"</f>
        <v>NA</v>
      </c>
      <c r="BO204" t="str">
        <f>"OUTROS"</f>
        <v>OUTROS</v>
      </c>
      <c r="BP204" t="str">
        <f>""</f>
        <v/>
      </c>
      <c r="BQ204" t="str">
        <f>""</f>
        <v/>
      </c>
      <c r="BR204" t="str">
        <f>""</f>
        <v/>
      </c>
      <c r="BS204" t="str">
        <f>""</f>
        <v/>
      </c>
      <c r="BT204" t="str">
        <f>""</f>
        <v/>
      </c>
      <c r="BU204" t="str">
        <f>""</f>
        <v/>
      </c>
      <c r="BV204" t="str">
        <f>"9"</f>
        <v>9</v>
      </c>
      <c r="BW204" t="str">
        <f>"Não visitado"</f>
        <v>Não visitado</v>
      </c>
    </row>
    <row r="205" spans="1:75" x14ac:dyDescent="0.35">
      <c r="A205">
        <v>138109</v>
      </c>
      <c r="B205" t="str">
        <f t="shared" si="95"/>
        <v>A</v>
      </c>
      <c r="C205" t="str">
        <f t="shared" si="96"/>
        <v>80</v>
      </c>
      <c r="D205" t="str">
        <f t="shared" si="97"/>
        <v>11121001</v>
      </c>
      <c r="E205" t="str">
        <f t="shared" si="98"/>
        <v>121001</v>
      </c>
      <c r="F205" t="str">
        <f t="shared" si="99"/>
        <v>JENIFER SANTOS</v>
      </c>
      <c r="G205" t="str">
        <f>"81782534000119"</f>
        <v>81782534000119</v>
      </c>
      <c r="H205" t="str">
        <f>"0"</f>
        <v>0</v>
      </c>
      <c r="I205" t="str">
        <f t="shared" si="100"/>
        <v>CONTA OPTICA</v>
      </c>
      <c r="J205" t="str">
        <f>"LHV JOALHERIA E OTICA VEDANI LTDA - ME"</f>
        <v>LHV JOALHERIA E OTICA VEDANI LTDA - ME</v>
      </c>
      <c r="K205" t="str">
        <f>"RELOJOARIA E OTICA VEDANI (1104)"</f>
        <v>RELOJOARIA E OTICA VEDANI (1104)</v>
      </c>
      <c r="L205" t="str">
        <f>""</f>
        <v/>
      </c>
      <c r="M205" t="str">
        <f>""</f>
        <v/>
      </c>
      <c r="N205" t="str">
        <f>"vedani@hbinfo.com.br"</f>
        <v>vedani@hbinfo.com.br</v>
      </c>
      <c r="O205" t="str">
        <f>""</f>
        <v/>
      </c>
      <c r="P205" t="str">
        <f>"AVENIDA RENE FREY"</f>
        <v>AVENIDA RENE FREY</v>
      </c>
      <c r="Q205" t="str">
        <f>"584"</f>
        <v>584</v>
      </c>
      <c r="R205" t="str">
        <f>"LOJA 02"</f>
        <v>LOJA 02</v>
      </c>
      <c r="S205" t="str">
        <f>"1284"</f>
        <v>1284</v>
      </c>
      <c r="T205" t="str">
        <f>"89580000"</f>
        <v>89580000</v>
      </c>
      <c r="U205" t="str">
        <f>"CENTRO"</f>
        <v>CENTRO</v>
      </c>
      <c r="V205" t="str">
        <f>"FRAIBURGO"</f>
        <v>FRAIBURGO</v>
      </c>
      <c r="W205" t="str">
        <f t="shared" si="106"/>
        <v>SC</v>
      </c>
      <c r="X205" t="str">
        <f>"49"</f>
        <v>49</v>
      </c>
      <c r="Y205" t="str">
        <f>"32463003"</f>
        <v>32463003</v>
      </c>
      <c r="Z205" t="str">
        <f>""</f>
        <v/>
      </c>
      <c r="AA205" t="str">
        <f>""</f>
        <v/>
      </c>
      <c r="AB205" t="str">
        <f>""</f>
        <v/>
      </c>
      <c r="AC205" t="str">
        <f>""</f>
        <v/>
      </c>
      <c r="AD205" t="str">
        <f>""</f>
        <v/>
      </c>
      <c r="AE205" t="str">
        <f>""</f>
        <v/>
      </c>
      <c r="AF205" t="str">
        <f>""</f>
        <v/>
      </c>
      <c r="AG205" t="str">
        <f>"S"</f>
        <v>S</v>
      </c>
      <c r="AH205" t="str">
        <f>""</f>
        <v/>
      </c>
      <c r="AI205" t="str">
        <f>""</f>
        <v/>
      </c>
      <c r="AJ205" t="str">
        <f>""</f>
        <v/>
      </c>
      <c r="AK205" t="str">
        <f>""</f>
        <v/>
      </c>
      <c r="AL205" t="str">
        <f>""</f>
        <v/>
      </c>
      <c r="AM205" t="str">
        <f>""</f>
        <v/>
      </c>
      <c r="AN205" t="str">
        <f>""</f>
        <v/>
      </c>
      <c r="AO205" t="str">
        <f>""</f>
        <v/>
      </c>
      <c r="AP205" t="str">
        <f>""</f>
        <v/>
      </c>
      <c r="AQ205" t="str">
        <f>"N"</f>
        <v>N</v>
      </c>
      <c r="AR205" t="str">
        <f>"N"</f>
        <v>N</v>
      </c>
      <c r="AS205" t="str">
        <f>"N"</f>
        <v>N</v>
      </c>
      <c r="AT205" t="str">
        <f>"N"</f>
        <v>N</v>
      </c>
      <c r="AU205" t="str">
        <f>"N"</f>
        <v>N</v>
      </c>
      <c r="AV205" t="str">
        <f>""</f>
        <v/>
      </c>
      <c r="AW205" t="str">
        <f>""</f>
        <v/>
      </c>
      <c r="AX205" t="str">
        <f>""</f>
        <v/>
      </c>
      <c r="AY205" t="str">
        <f>""</f>
        <v/>
      </c>
      <c r="AZ205" t="str">
        <f>""</f>
        <v/>
      </c>
      <c r="BA205" t="str">
        <f>""</f>
        <v/>
      </c>
      <c r="BB205" t="str">
        <f>"01/07/2021 13:53:04"</f>
        <v>01/07/2021 13:53:04</v>
      </c>
      <c r="BC205" t="str">
        <f>"31/05/2022 15:43:42"</f>
        <v>31/05/2022 15:43:42</v>
      </c>
      <c r="BD205" t="str">
        <f>""</f>
        <v/>
      </c>
      <c r="BE205" t="str">
        <f>""</f>
        <v/>
      </c>
      <c r="BF205" t="str">
        <f t="shared" si="101"/>
        <v>A</v>
      </c>
      <c r="BG205" t="str">
        <f>""</f>
        <v/>
      </c>
      <c r="BH205" t="str">
        <f>"0,00"</f>
        <v>0,00</v>
      </c>
      <c r="BI205" t="str">
        <f t="shared" si="87"/>
        <v>EVENTUAL</v>
      </c>
      <c r="BJ205" t="str">
        <f t="shared" si="102"/>
        <v>1</v>
      </c>
      <c r="BK205" t="str">
        <f t="shared" si="103"/>
        <v>Farmacia</v>
      </c>
      <c r="BL205" t="str">
        <f>""</f>
        <v/>
      </c>
      <c r="BM205" t="str">
        <f>"VARILUX ESPECIALISTA SELECT"</f>
        <v>VARILUX ESPECIALISTA SELECT</v>
      </c>
      <c r="BN205" t="str">
        <f t="shared" si="108"/>
        <v>NA</v>
      </c>
      <c r="BO205" t="str">
        <f>"FOCO VARILUX DIGITAL"</f>
        <v>FOCO VARILUX DIGITAL</v>
      </c>
      <c r="BP205" t="str">
        <f>""</f>
        <v/>
      </c>
      <c r="BQ205" t="str">
        <f>""</f>
        <v/>
      </c>
      <c r="BR205" t="str">
        <f>"01/07/2021"</f>
        <v>01/07/2021</v>
      </c>
      <c r="BS205" t="str">
        <f>"31/05/2022"</f>
        <v>31/05/2022</v>
      </c>
      <c r="BT205" t="str">
        <f>""</f>
        <v/>
      </c>
      <c r="BU205" t="str">
        <f>""</f>
        <v/>
      </c>
      <c r="BV205" t="str">
        <f>""</f>
        <v/>
      </c>
      <c r="BW205" t="str">
        <f>"32"</f>
        <v>32</v>
      </c>
    </row>
    <row r="206" spans="1:75" x14ac:dyDescent="0.35">
      <c r="A206">
        <v>144831</v>
      </c>
      <c r="B206" t="str">
        <f t="shared" si="95"/>
        <v>A</v>
      </c>
      <c r="C206" t="str">
        <f t="shared" si="96"/>
        <v>80</v>
      </c>
      <c r="D206" t="str">
        <f t="shared" si="97"/>
        <v>11121001</v>
      </c>
      <c r="E206" t="str">
        <f t="shared" si="98"/>
        <v>121001</v>
      </c>
      <c r="F206" t="str">
        <f t="shared" si="99"/>
        <v>JENIFER SANTOS</v>
      </c>
      <c r="G206" t="str">
        <f>"41498651000130"</f>
        <v>41498651000130</v>
      </c>
      <c r="H206" t="str">
        <f>""</f>
        <v/>
      </c>
      <c r="I206" t="str">
        <f t="shared" si="100"/>
        <v>CONTA OPTICA</v>
      </c>
      <c r="J206" t="str">
        <f>"LINHARES COMERCIO DE ARTIGOS OTICOS LTDA"</f>
        <v>LINHARES COMERCIO DE ARTIGOS OTICOS LTDA</v>
      </c>
      <c r="K206" t="str">
        <f>"MEDDEM OTICA'S (4367)"</f>
        <v>MEDDEM OTICA'S (4367)</v>
      </c>
      <c r="L206" t="str">
        <f>""</f>
        <v/>
      </c>
      <c r="M206" t="str">
        <f>""</f>
        <v/>
      </c>
      <c r="N206" t="str">
        <f>"LINHARESLIMITADA@HOTMAIL.COM"</f>
        <v>LINHARESLIMITADA@HOTMAIL.COM</v>
      </c>
      <c r="O206" t="str">
        <f>""</f>
        <v/>
      </c>
      <c r="P206" t="str">
        <f>"RUA ABDON BATISTA"</f>
        <v>RUA ABDON BATISTA</v>
      </c>
      <c r="Q206" t="str">
        <f>"121"</f>
        <v>121</v>
      </c>
      <c r="R206" t="str">
        <f>"LOJA 06"</f>
        <v>LOJA 06</v>
      </c>
      <c r="S206" t="str">
        <f>"1279"</f>
        <v>1279</v>
      </c>
      <c r="T206" t="str">
        <f>"89211307"</f>
        <v>89211307</v>
      </c>
      <c r="U206" t="str">
        <f>"CENTRO"</f>
        <v>CENTRO</v>
      </c>
      <c r="V206" t="str">
        <f>"JOINVILLE"</f>
        <v>JOINVILLE</v>
      </c>
      <c r="W206" t="str">
        <f t="shared" si="106"/>
        <v>SC</v>
      </c>
      <c r="X206" t="str">
        <f>"47"</f>
        <v>47</v>
      </c>
      <c r="Y206" t="str">
        <f>"30136373"</f>
        <v>30136373</v>
      </c>
      <c r="Z206" t="str">
        <f>""</f>
        <v/>
      </c>
      <c r="AA206" t="str">
        <f>""</f>
        <v/>
      </c>
      <c r="AB206" t="str">
        <f>""</f>
        <v/>
      </c>
      <c r="AC206" t="str">
        <f>""</f>
        <v/>
      </c>
      <c r="AD206" t="str">
        <f>""</f>
        <v/>
      </c>
      <c r="AE206" t="str">
        <f>""</f>
        <v/>
      </c>
      <c r="AF206" t="str">
        <f>""</f>
        <v/>
      </c>
      <c r="AG206" t="str">
        <f>""</f>
        <v/>
      </c>
      <c r="AH206" t="str">
        <f>""</f>
        <v/>
      </c>
      <c r="AI206" t="str">
        <f>""</f>
        <v/>
      </c>
      <c r="AJ206" t="str">
        <f>""</f>
        <v/>
      </c>
      <c r="AK206" t="str">
        <f>""</f>
        <v/>
      </c>
      <c r="AL206" t="str">
        <f>""</f>
        <v/>
      </c>
      <c r="AM206" t="str">
        <f>""</f>
        <v/>
      </c>
      <c r="AN206" t="str">
        <f>""</f>
        <v/>
      </c>
      <c r="AO206" t="str">
        <f>""</f>
        <v/>
      </c>
      <c r="AP206" t="str">
        <f>""</f>
        <v/>
      </c>
      <c r="AQ206" t="str">
        <f>""</f>
        <v/>
      </c>
      <c r="AR206" t="str">
        <f>""</f>
        <v/>
      </c>
      <c r="AS206" t="str">
        <f>""</f>
        <v/>
      </c>
      <c r="AT206" t="str">
        <f>""</f>
        <v/>
      </c>
      <c r="AU206" t="str">
        <f>""</f>
        <v/>
      </c>
      <c r="AV206" t="str">
        <f>""</f>
        <v/>
      </c>
      <c r="AW206" t="str">
        <f>""</f>
        <v/>
      </c>
      <c r="AX206" t="str">
        <f>""</f>
        <v/>
      </c>
      <c r="AY206" t="str">
        <f>""</f>
        <v/>
      </c>
      <c r="AZ206" t="str">
        <f>""</f>
        <v/>
      </c>
      <c r="BA206" t="str">
        <f>""</f>
        <v/>
      </c>
      <c r="BB206" t="str">
        <f>""</f>
        <v/>
      </c>
      <c r="BC206" t="str">
        <f>""</f>
        <v/>
      </c>
      <c r="BD206" t="str">
        <f>""</f>
        <v/>
      </c>
      <c r="BE206" t="str">
        <f>""</f>
        <v/>
      </c>
      <c r="BF206" t="str">
        <f t="shared" si="101"/>
        <v>A</v>
      </c>
      <c r="BG206" t="str">
        <f>""</f>
        <v/>
      </c>
      <c r="BH206" t="str">
        <f>""</f>
        <v/>
      </c>
      <c r="BI206" t="str">
        <f t="shared" si="87"/>
        <v>EVENTUAL</v>
      </c>
      <c r="BJ206" t="str">
        <f t="shared" si="102"/>
        <v>1</v>
      </c>
      <c r="BK206" t="str">
        <f t="shared" si="103"/>
        <v>Farmacia</v>
      </c>
      <c r="BL206" t="str">
        <f>""</f>
        <v/>
      </c>
      <c r="BM206" t="str">
        <f>"NÃO É VARILUX ESPECIALISTA"</f>
        <v>NÃO É VARILUX ESPECIALISTA</v>
      </c>
      <c r="BN206" t="str">
        <f t="shared" si="108"/>
        <v>NA</v>
      </c>
      <c r="BO206" t="str">
        <f>""</f>
        <v/>
      </c>
      <c r="BP206" t="str">
        <f>""</f>
        <v/>
      </c>
      <c r="BQ206" t="str">
        <f>""</f>
        <v/>
      </c>
      <c r="BR206" t="str">
        <f>""</f>
        <v/>
      </c>
      <c r="BS206" t="str">
        <f>""</f>
        <v/>
      </c>
      <c r="BT206" t="str">
        <f>""</f>
        <v/>
      </c>
      <c r="BU206" t="str">
        <f>""</f>
        <v/>
      </c>
      <c r="BV206" t="str">
        <f>""</f>
        <v/>
      </c>
      <c r="BW206" t="str">
        <f>"Não visitado"</f>
        <v>Não visitado</v>
      </c>
    </row>
    <row r="207" spans="1:75" x14ac:dyDescent="0.35">
      <c r="A207">
        <v>120542</v>
      </c>
      <c r="B207" t="str">
        <f t="shared" si="95"/>
        <v>A</v>
      </c>
      <c r="C207" t="str">
        <f t="shared" si="96"/>
        <v>80</v>
      </c>
      <c r="D207" t="str">
        <f t="shared" si="97"/>
        <v>11121001</v>
      </c>
      <c r="E207" t="str">
        <f t="shared" si="98"/>
        <v>121001</v>
      </c>
      <c r="F207" t="str">
        <f t="shared" si="99"/>
        <v>JENIFER SANTOS</v>
      </c>
      <c r="G207" t="str">
        <f>"05862049000258"</f>
        <v>05862049000258</v>
      </c>
      <c r="H207" t="str">
        <f>"0"</f>
        <v>0</v>
      </c>
      <c r="I207" t="str">
        <f t="shared" si="100"/>
        <v>CONTA OPTICA</v>
      </c>
      <c r="J207" t="str">
        <f>"LOOK OCULOS &amp; RELOGIOS LTDA"</f>
        <v>LOOK OCULOS &amp; RELOGIOS LTDA</v>
      </c>
      <c r="K207" t="str">
        <f>"LOOK OCULOS &amp; RELOGIOS LTDA (821)"</f>
        <v>LOOK OCULOS &amp; RELOGIOS LTDA (821)</v>
      </c>
      <c r="L207" t="str">
        <f>""</f>
        <v/>
      </c>
      <c r="M207" t="str">
        <f>""</f>
        <v/>
      </c>
      <c r="N207" t="str">
        <f>"lookoculos@ig.com.br"</f>
        <v>lookoculos@ig.com.br</v>
      </c>
      <c r="O207" t="str">
        <f>""</f>
        <v/>
      </c>
      <c r="P207" t="str">
        <f>"AVENIDA ROLF WIEST"</f>
        <v>AVENIDA ROLF WIEST</v>
      </c>
      <c r="Q207" t="str">
        <f>"333"</f>
        <v>333</v>
      </c>
      <c r="R207" t="str">
        <f>"LOJA 28"</f>
        <v>LOJA 28</v>
      </c>
      <c r="S207" t="str">
        <f>"1279"</f>
        <v>1279</v>
      </c>
      <c r="T207" t="str">
        <f>"89223005"</f>
        <v>89223005</v>
      </c>
      <c r="U207" t="str">
        <f>"BOM RETIRO"</f>
        <v>BOM RETIRO</v>
      </c>
      <c r="V207" t="str">
        <f>"JOINVILLE"</f>
        <v>JOINVILLE</v>
      </c>
      <c r="W207" t="str">
        <f t="shared" si="106"/>
        <v>SC</v>
      </c>
      <c r="X207" t="str">
        <f>"47"</f>
        <v>47</v>
      </c>
      <c r="Y207" t="str">
        <f>"30439413"</f>
        <v>30439413</v>
      </c>
      <c r="Z207" t="str">
        <f>""</f>
        <v/>
      </c>
      <c r="AA207" t="str">
        <f>""</f>
        <v/>
      </c>
      <c r="AB207" t="str">
        <f>""</f>
        <v/>
      </c>
      <c r="AC207" t="str">
        <f>""</f>
        <v/>
      </c>
      <c r="AD207" t="str">
        <f>""</f>
        <v/>
      </c>
      <c r="AE207" t="str">
        <f>""</f>
        <v/>
      </c>
      <c r="AF207" t="str">
        <f>""</f>
        <v/>
      </c>
      <c r="AG207" t="str">
        <f>""</f>
        <v/>
      </c>
      <c r="AH207" t="str">
        <f>""</f>
        <v/>
      </c>
      <c r="AI207" t="str">
        <f>""</f>
        <v/>
      </c>
      <c r="AJ207" t="str">
        <f>""</f>
        <v/>
      </c>
      <c r="AK207" t="str">
        <f>""</f>
        <v/>
      </c>
      <c r="AL207" t="str">
        <f>""</f>
        <v/>
      </c>
      <c r="AM207" t="str">
        <f>""</f>
        <v/>
      </c>
      <c r="AN207" t="str">
        <f>""</f>
        <v/>
      </c>
      <c r="AO207" t="str">
        <f>""</f>
        <v/>
      </c>
      <c r="AP207" t="str">
        <f>""</f>
        <v/>
      </c>
      <c r="AQ207" t="str">
        <f>""</f>
        <v/>
      </c>
      <c r="AR207" t="str">
        <f>""</f>
        <v/>
      </c>
      <c r="AS207" t="str">
        <f>""</f>
        <v/>
      </c>
      <c r="AT207" t="str">
        <f>""</f>
        <v/>
      </c>
      <c r="AU207" t="str">
        <f>""</f>
        <v/>
      </c>
      <c r="AV207" t="str">
        <f>""</f>
        <v/>
      </c>
      <c r="AW207" t="str">
        <f>""</f>
        <v/>
      </c>
      <c r="AX207" t="str">
        <f>""</f>
        <v/>
      </c>
      <c r="AY207" t="str">
        <f>""</f>
        <v/>
      </c>
      <c r="AZ207" t="str">
        <f>""</f>
        <v/>
      </c>
      <c r="BA207" t="str">
        <f>""</f>
        <v/>
      </c>
      <c r="BB207" t="str">
        <f>"22/09/2020 15:29:33"</f>
        <v>22/09/2020 15:29:33</v>
      </c>
      <c r="BC207" t="str">
        <f>""</f>
        <v/>
      </c>
      <c r="BD207" t="str">
        <f>""</f>
        <v/>
      </c>
      <c r="BE207" t="str">
        <f>""</f>
        <v/>
      </c>
      <c r="BF207" t="str">
        <f t="shared" si="101"/>
        <v>A</v>
      </c>
      <c r="BG207" t="str">
        <f>""</f>
        <v/>
      </c>
      <c r="BH207" t="str">
        <f>""</f>
        <v/>
      </c>
      <c r="BI207" t="str">
        <f t="shared" si="87"/>
        <v>EVENTUAL</v>
      </c>
      <c r="BJ207" t="str">
        <f t="shared" si="102"/>
        <v>1</v>
      </c>
      <c r="BK207" t="str">
        <f t="shared" si="103"/>
        <v>Farmacia</v>
      </c>
      <c r="BL207" t="str">
        <f>""</f>
        <v/>
      </c>
      <c r="BM207" t="str">
        <f>"NÃO É VARILUX ESPECIALISTA"</f>
        <v>NÃO É VARILUX ESPECIALISTA</v>
      </c>
      <c r="BN207" t="str">
        <f t="shared" si="108"/>
        <v>NA</v>
      </c>
      <c r="BO207" t="str">
        <f>"OUTROS"</f>
        <v>OUTROS</v>
      </c>
      <c r="BP207" t="str">
        <f>""</f>
        <v/>
      </c>
      <c r="BQ207" t="str">
        <f>""</f>
        <v/>
      </c>
      <c r="BR207" t="str">
        <f>"22/09/2020"</f>
        <v>22/09/2020</v>
      </c>
      <c r="BS207" t="str">
        <f>""</f>
        <v/>
      </c>
      <c r="BT207" t="str">
        <f>""</f>
        <v/>
      </c>
      <c r="BU207" t="str">
        <f>""</f>
        <v/>
      </c>
      <c r="BV207" t="str">
        <f>"9"</f>
        <v>9</v>
      </c>
      <c r="BW207" t="str">
        <f>"Não visitado"</f>
        <v>Não visitado</v>
      </c>
    </row>
    <row r="208" spans="1:75" x14ac:dyDescent="0.35">
      <c r="A208">
        <v>138114</v>
      </c>
      <c r="B208" t="str">
        <f t="shared" si="95"/>
        <v>A</v>
      </c>
      <c r="C208" t="str">
        <f t="shared" si="96"/>
        <v>80</v>
      </c>
      <c r="D208" t="str">
        <f t="shared" si="97"/>
        <v>11121001</v>
      </c>
      <c r="E208" t="str">
        <f t="shared" si="98"/>
        <v>121001</v>
      </c>
      <c r="F208" t="str">
        <f t="shared" si="99"/>
        <v>JENIFER SANTOS</v>
      </c>
      <c r="G208" t="str">
        <f>"98105455000176"</f>
        <v>98105455000176</v>
      </c>
      <c r="H208" t="str">
        <f>"0"</f>
        <v>0</v>
      </c>
      <c r="I208" t="str">
        <f t="shared" si="100"/>
        <v>CONTA OPTICA</v>
      </c>
      <c r="J208" t="str">
        <f>"LUIZ F BRUST E CIA LTDA"</f>
        <v>LUIZ F BRUST E CIA LTDA</v>
      </c>
      <c r="K208" t="str">
        <f>"OTICA BRUST (709)"</f>
        <v>OTICA BRUST (709)</v>
      </c>
      <c r="L208" t="str">
        <f>""</f>
        <v/>
      </c>
      <c r="M208" t="str">
        <f>""</f>
        <v/>
      </c>
      <c r="N208" t="str">
        <f>"oticabrust@gmail.com"</f>
        <v>oticabrust@gmail.com</v>
      </c>
      <c r="O208" t="str">
        <f>""</f>
        <v/>
      </c>
      <c r="P208" t="str">
        <f>"AVENIDA JULIO DE CASTILHOS"</f>
        <v>AVENIDA JULIO DE CASTILHOS</v>
      </c>
      <c r="Q208" t="str">
        <f>"290"</f>
        <v>290</v>
      </c>
      <c r="R208" t="str">
        <f>""</f>
        <v/>
      </c>
      <c r="S208" t="str">
        <f>"1379"</f>
        <v>1379</v>
      </c>
      <c r="T208" t="str">
        <f>"98600000"</f>
        <v>98600000</v>
      </c>
      <c r="U208" t="str">
        <f t="shared" ref="U208:U213" si="109">"CENTRO"</f>
        <v>CENTRO</v>
      </c>
      <c r="V208" t="str">
        <f>"TRÊS PASSOS"</f>
        <v>TRÊS PASSOS</v>
      </c>
      <c r="W208" t="str">
        <f>"RS"</f>
        <v>RS</v>
      </c>
      <c r="X208" t="str">
        <f>"55"</f>
        <v>55</v>
      </c>
      <c r="Y208" t="str">
        <f>"35221060"</f>
        <v>35221060</v>
      </c>
      <c r="Z208" t="str">
        <f>""</f>
        <v/>
      </c>
      <c r="AA208" t="str">
        <f>""</f>
        <v/>
      </c>
      <c r="AB208" t="str">
        <f>""</f>
        <v/>
      </c>
      <c r="AC208" t="str">
        <f>""</f>
        <v/>
      </c>
      <c r="AD208" t="str">
        <f>""</f>
        <v/>
      </c>
      <c r="AE208" t="str">
        <f>""</f>
        <v/>
      </c>
      <c r="AF208" t="str">
        <f>""</f>
        <v/>
      </c>
      <c r="AG208" t="str">
        <f>"S"</f>
        <v>S</v>
      </c>
      <c r="AH208" t="str">
        <f>""</f>
        <v/>
      </c>
      <c r="AI208" t="str">
        <f>""</f>
        <v/>
      </c>
      <c r="AJ208" t="str">
        <f>""</f>
        <v/>
      </c>
      <c r="AK208" t="str">
        <f>""</f>
        <v/>
      </c>
      <c r="AL208" t="str">
        <f>""</f>
        <v/>
      </c>
      <c r="AM208" t="str">
        <f>""</f>
        <v/>
      </c>
      <c r="AN208" t="str">
        <f>""</f>
        <v/>
      </c>
      <c r="AO208" t="str">
        <f>""</f>
        <v/>
      </c>
      <c r="AP208" t="str">
        <f>""</f>
        <v/>
      </c>
      <c r="AQ208" t="str">
        <f t="shared" ref="AQ208:AU209" si="110">"N"</f>
        <v>N</v>
      </c>
      <c r="AR208" t="str">
        <f t="shared" si="110"/>
        <v>N</v>
      </c>
      <c r="AS208" t="str">
        <f t="shared" si="110"/>
        <v>N</v>
      </c>
      <c r="AT208" t="str">
        <f t="shared" si="110"/>
        <v>N</v>
      </c>
      <c r="AU208" t="str">
        <f t="shared" si="110"/>
        <v>N</v>
      </c>
      <c r="AV208" t="str">
        <f>""</f>
        <v/>
      </c>
      <c r="AW208" t="str">
        <f>""</f>
        <v/>
      </c>
      <c r="AX208" t="str">
        <f>""</f>
        <v/>
      </c>
      <c r="AY208" t="str">
        <f>""</f>
        <v/>
      </c>
      <c r="AZ208" t="str">
        <f>""</f>
        <v/>
      </c>
      <c r="BA208" t="str">
        <f>""</f>
        <v/>
      </c>
      <c r="BB208" t="str">
        <f>"01/07/2021 13:53:04"</f>
        <v>01/07/2021 13:53:04</v>
      </c>
      <c r="BC208" t="str">
        <f>"02/05/2022 11:11:11"</f>
        <v>02/05/2022 11:11:11</v>
      </c>
      <c r="BD208" t="str">
        <f>""</f>
        <v/>
      </c>
      <c r="BE208" t="str">
        <f>""</f>
        <v/>
      </c>
      <c r="BF208" t="str">
        <f t="shared" si="101"/>
        <v>A</v>
      </c>
      <c r="BG208" t="str">
        <f>""</f>
        <v/>
      </c>
      <c r="BH208" t="str">
        <f>"0,00"</f>
        <v>0,00</v>
      </c>
      <c r="BI208" t="str">
        <f t="shared" si="87"/>
        <v>EVENTUAL</v>
      </c>
      <c r="BJ208" t="str">
        <f t="shared" si="102"/>
        <v>1</v>
      </c>
      <c r="BK208" t="str">
        <f t="shared" si="103"/>
        <v>Farmacia</v>
      </c>
      <c r="BL208" t="str">
        <f>""</f>
        <v/>
      </c>
      <c r="BM208" t="str">
        <f>"VARILUX ESPECIALISTA PLATINE"</f>
        <v>VARILUX ESPECIALISTA PLATINE</v>
      </c>
      <c r="BN208" t="str">
        <f t="shared" si="108"/>
        <v>NA</v>
      </c>
      <c r="BO208" t="str">
        <f>"FOCO VARILUX DIGITAL"</f>
        <v>FOCO VARILUX DIGITAL</v>
      </c>
      <c r="BP208" t="str">
        <f>""</f>
        <v/>
      </c>
      <c r="BQ208" t="str">
        <f>""</f>
        <v/>
      </c>
      <c r="BR208" t="str">
        <f>"01/07/2021"</f>
        <v>01/07/2021</v>
      </c>
      <c r="BS208" t="str">
        <f>"02/05/2022"</f>
        <v>02/05/2022</v>
      </c>
      <c r="BT208" t="str">
        <f>""</f>
        <v/>
      </c>
      <c r="BU208" t="str">
        <f>""</f>
        <v/>
      </c>
      <c r="BV208" t="str">
        <f>""</f>
        <v/>
      </c>
      <c r="BW208" t="str">
        <f>"3"</f>
        <v>3</v>
      </c>
    </row>
    <row r="209" spans="1:75" x14ac:dyDescent="0.35">
      <c r="A209">
        <v>138116</v>
      </c>
      <c r="B209" t="str">
        <f t="shared" si="95"/>
        <v>A</v>
      </c>
      <c r="C209" t="str">
        <f t="shared" si="96"/>
        <v>80</v>
      </c>
      <c r="D209" t="str">
        <f t="shared" si="97"/>
        <v>11121001</v>
      </c>
      <c r="E209" t="str">
        <f t="shared" si="98"/>
        <v>121001</v>
      </c>
      <c r="F209" t="str">
        <f t="shared" si="99"/>
        <v>JENIFER SANTOS</v>
      </c>
      <c r="G209" t="str">
        <f>"41132763000173"</f>
        <v>41132763000173</v>
      </c>
      <c r="H209" t="str">
        <f>"0"</f>
        <v>0</v>
      </c>
      <c r="I209" t="str">
        <f t="shared" si="100"/>
        <v>CONTA OPTICA</v>
      </c>
      <c r="J209" t="str">
        <f>"LUMITA OTICA LTDA"</f>
        <v>LUMITA OTICA LTDA</v>
      </c>
      <c r="K209" t="str">
        <f>"LUMITA OTICA (4295)"</f>
        <v>LUMITA OTICA (4295)</v>
      </c>
      <c r="L209" t="str">
        <f>""</f>
        <v/>
      </c>
      <c r="M209" t="str">
        <f>""</f>
        <v/>
      </c>
      <c r="N209" t="str">
        <f>"LUMITAOTICA@GMAIL.COM"</f>
        <v>LUMITAOTICA@GMAIL.COM</v>
      </c>
      <c r="O209" t="str">
        <f>""</f>
        <v/>
      </c>
      <c r="P209" t="str">
        <f>"AVENIDA PORTO ALEGRE"</f>
        <v>AVENIDA PORTO ALEGRE</v>
      </c>
      <c r="Q209" t="str">
        <f>"165"</f>
        <v>165</v>
      </c>
      <c r="R209" t="str">
        <f>"LETRA E"</f>
        <v>LETRA E</v>
      </c>
      <c r="S209" t="str">
        <f>"1287"</f>
        <v>1287</v>
      </c>
      <c r="T209" t="str">
        <f>"89802131"</f>
        <v>89802131</v>
      </c>
      <c r="U209" t="str">
        <f t="shared" si="109"/>
        <v>CENTRO</v>
      </c>
      <c r="V209" t="str">
        <f>"CHAPECÓ"</f>
        <v>CHAPECÓ</v>
      </c>
      <c r="W209" t="str">
        <f t="shared" ref="W209:W217" si="111">"SC"</f>
        <v>SC</v>
      </c>
      <c r="X209" t="str">
        <f>"49"</f>
        <v>49</v>
      </c>
      <c r="Y209" t="str">
        <f>"33251900"</f>
        <v>33251900</v>
      </c>
      <c r="Z209" t="str">
        <f>""</f>
        <v/>
      </c>
      <c r="AA209" t="str">
        <f>""</f>
        <v/>
      </c>
      <c r="AB209" t="str">
        <f>""</f>
        <v/>
      </c>
      <c r="AC209" t="str">
        <f>""</f>
        <v/>
      </c>
      <c r="AD209" t="str">
        <f>""</f>
        <v/>
      </c>
      <c r="AE209" t="str">
        <f>""</f>
        <v/>
      </c>
      <c r="AF209" t="str">
        <f>""</f>
        <v/>
      </c>
      <c r="AG209" t="str">
        <f>"S"</f>
        <v>S</v>
      </c>
      <c r="AH209" t="str">
        <f>""</f>
        <v/>
      </c>
      <c r="AI209" t="str">
        <f>""</f>
        <v/>
      </c>
      <c r="AJ209" t="str">
        <f>""</f>
        <v/>
      </c>
      <c r="AK209" t="str">
        <f>""</f>
        <v/>
      </c>
      <c r="AL209" t="str">
        <f>""</f>
        <v/>
      </c>
      <c r="AM209" t="str">
        <f>""</f>
        <v/>
      </c>
      <c r="AN209" t="str">
        <f>""</f>
        <v/>
      </c>
      <c r="AO209" t="str">
        <f>""</f>
        <v/>
      </c>
      <c r="AP209" t="str">
        <f>""</f>
        <v/>
      </c>
      <c r="AQ209" t="str">
        <f t="shared" si="110"/>
        <v>N</v>
      </c>
      <c r="AR209" t="str">
        <f t="shared" si="110"/>
        <v>N</v>
      </c>
      <c r="AS209" t="str">
        <f t="shared" si="110"/>
        <v>N</v>
      </c>
      <c r="AT209" t="str">
        <f t="shared" si="110"/>
        <v>N</v>
      </c>
      <c r="AU209" t="str">
        <f t="shared" si="110"/>
        <v>N</v>
      </c>
      <c r="AV209" t="str">
        <f>""</f>
        <v/>
      </c>
      <c r="AW209" t="str">
        <f>""</f>
        <v/>
      </c>
      <c r="AX209" t="str">
        <f>""</f>
        <v/>
      </c>
      <c r="AY209" t="str">
        <f>""</f>
        <v/>
      </c>
      <c r="AZ209" t="str">
        <f>""</f>
        <v/>
      </c>
      <c r="BA209" t="str">
        <f>""</f>
        <v/>
      </c>
      <c r="BB209" t="str">
        <f>"01/07/2021 13:53:04"</f>
        <v>01/07/2021 13:53:04</v>
      </c>
      <c r="BC209" t="str">
        <f>"01/07/2022 13:37:40"</f>
        <v>01/07/2022 13:37:40</v>
      </c>
      <c r="BD209" t="str">
        <f>""</f>
        <v/>
      </c>
      <c r="BE209" t="str">
        <f>""</f>
        <v/>
      </c>
      <c r="BF209" t="str">
        <f t="shared" si="101"/>
        <v>A</v>
      </c>
      <c r="BG209" t="str">
        <f>""</f>
        <v/>
      </c>
      <c r="BH209" t="str">
        <f>"0,00"</f>
        <v>0,00</v>
      </c>
      <c r="BI209" t="str">
        <f t="shared" si="87"/>
        <v>EVENTUAL</v>
      </c>
      <c r="BJ209" t="str">
        <f t="shared" si="102"/>
        <v>1</v>
      </c>
      <c r="BK209" t="str">
        <f t="shared" si="103"/>
        <v>Farmacia</v>
      </c>
      <c r="BL209" t="str">
        <f>""</f>
        <v/>
      </c>
      <c r="BM209" t="str">
        <f>"NÃO É VARILUX ESPECIALISTA"</f>
        <v>NÃO É VARILUX ESPECIALISTA</v>
      </c>
      <c r="BN209" t="str">
        <f t="shared" si="108"/>
        <v>NA</v>
      </c>
      <c r="BO209" t="str">
        <f>"FOCO VARILUX DIGITAL"</f>
        <v>FOCO VARILUX DIGITAL</v>
      </c>
      <c r="BP209" t="str">
        <f>""</f>
        <v/>
      </c>
      <c r="BQ209" t="str">
        <f>""</f>
        <v/>
      </c>
      <c r="BR209" t="str">
        <f>"01/07/2021"</f>
        <v>01/07/2021</v>
      </c>
      <c r="BS209" t="str">
        <f>"01/07/2022"</f>
        <v>01/07/2022</v>
      </c>
      <c r="BT209" t="str">
        <f>""</f>
        <v/>
      </c>
      <c r="BU209" t="str">
        <f>""</f>
        <v/>
      </c>
      <c r="BV209" t="str">
        <f>""</f>
        <v/>
      </c>
      <c r="BW209" t="str">
        <f>"15"</f>
        <v>15</v>
      </c>
    </row>
    <row r="210" spans="1:75" x14ac:dyDescent="0.35">
      <c r="A210">
        <v>156772</v>
      </c>
      <c r="B210" t="str">
        <f t="shared" si="95"/>
        <v>A</v>
      </c>
      <c r="C210" t="str">
        <f t="shared" si="96"/>
        <v>80</v>
      </c>
      <c r="D210" t="str">
        <f t="shared" si="97"/>
        <v>11121001</v>
      </c>
      <c r="E210" t="str">
        <f t="shared" si="98"/>
        <v>121001</v>
      </c>
      <c r="F210" t="str">
        <f t="shared" si="99"/>
        <v>JENIFER SANTOS</v>
      </c>
      <c r="G210" t="str">
        <f>"16564396000130"</f>
        <v>16564396000130</v>
      </c>
      <c r="H210" t="str">
        <f>"0"</f>
        <v>0</v>
      </c>
      <c r="I210" t="str">
        <f t="shared" si="100"/>
        <v>CONTA OPTICA</v>
      </c>
      <c r="J210" t="str">
        <f>"MABELLE OTJR LTDA"</f>
        <v>MABELLE OTJR LTDA</v>
      </c>
      <c r="K210" t="str">
        <f>"MABELLE OTICA JOIAS E RELOGIOS  (2205)"</f>
        <v>MABELLE OTICA JOIAS E RELOGIOS  (2205)</v>
      </c>
      <c r="L210" t="str">
        <f>""</f>
        <v/>
      </c>
      <c r="M210" t="str">
        <f>""</f>
        <v/>
      </c>
      <c r="N210" t="str">
        <f>"MABELLEJOALHERIA@GMAIL.COM"</f>
        <v>MABELLEJOALHERIA@GMAIL.COM</v>
      </c>
      <c r="O210" t="str">
        <f>""</f>
        <v/>
      </c>
      <c r="P210" t="str">
        <f>"RUA EXPEDICIONARIO GUMERCINDO DA SILVA"</f>
        <v>RUA EXPEDICIONARIO GUMERCINDO DA SILVA</v>
      </c>
      <c r="Q210" t="str">
        <f>"311"</f>
        <v>311</v>
      </c>
      <c r="R210" t="str">
        <f>"SALA 212"</f>
        <v>SALA 212</v>
      </c>
      <c r="S210" t="str">
        <f>"1280"</f>
        <v>1280</v>
      </c>
      <c r="T210" t="str">
        <f>"89252000"</f>
        <v>89252000</v>
      </c>
      <c r="U210" t="str">
        <f t="shared" si="109"/>
        <v>CENTRO</v>
      </c>
      <c r="V210" t="str">
        <f>"JARAGUA DO SUL"</f>
        <v>JARAGUA DO SUL</v>
      </c>
      <c r="W210" t="str">
        <f t="shared" si="111"/>
        <v>SC</v>
      </c>
      <c r="X210" t="str">
        <f>"47"</f>
        <v>47</v>
      </c>
      <c r="Y210" t="str">
        <f>"33717571"</f>
        <v>33717571</v>
      </c>
      <c r="Z210" t="str">
        <f>""</f>
        <v/>
      </c>
      <c r="AA210" t="str">
        <f>""</f>
        <v/>
      </c>
      <c r="AB210" t="str">
        <f>""</f>
        <v/>
      </c>
      <c r="AC210" t="str">
        <f>""</f>
        <v/>
      </c>
      <c r="AD210" t="str">
        <f>""</f>
        <v/>
      </c>
      <c r="AE210" t="str">
        <f>""</f>
        <v/>
      </c>
      <c r="AF210" t="str">
        <f>""</f>
        <v/>
      </c>
      <c r="AG210" t="str">
        <f>""</f>
        <v/>
      </c>
      <c r="AH210" t="str">
        <f>""</f>
        <v/>
      </c>
      <c r="AI210" t="str">
        <f>""</f>
        <v/>
      </c>
      <c r="AJ210" t="str">
        <f>""</f>
        <v/>
      </c>
      <c r="AK210" t="str">
        <f>""</f>
        <v/>
      </c>
      <c r="AL210" t="str">
        <f>""</f>
        <v/>
      </c>
      <c r="AM210" t="str">
        <f>""</f>
        <v/>
      </c>
      <c r="AN210" t="str">
        <f>""</f>
        <v/>
      </c>
      <c r="AO210" t="str">
        <f>""</f>
        <v/>
      </c>
      <c r="AP210" t="str">
        <f>""</f>
        <v/>
      </c>
      <c r="AQ210" t="str">
        <f>""</f>
        <v/>
      </c>
      <c r="AR210" t="str">
        <f>""</f>
        <v/>
      </c>
      <c r="AS210" t="str">
        <f>""</f>
        <v/>
      </c>
      <c r="AT210" t="str">
        <f>""</f>
        <v/>
      </c>
      <c r="AU210" t="str">
        <f>""</f>
        <v/>
      </c>
      <c r="AV210" t="str">
        <f>""</f>
        <v/>
      </c>
      <c r="AW210" t="str">
        <f>""</f>
        <v/>
      </c>
      <c r="AX210" t="str">
        <f>""</f>
        <v/>
      </c>
      <c r="AY210" t="str">
        <f>""</f>
        <v/>
      </c>
      <c r="AZ210" t="str">
        <f>""</f>
        <v/>
      </c>
      <c r="BA210" t="str">
        <f>""</f>
        <v/>
      </c>
      <c r="BB210" t="str">
        <f>"06/07/2023 12:07:48"</f>
        <v>06/07/2023 12:07:48</v>
      </c>
      <c r="BC210" t="str">
        <f>""</f>
        <v/>
      </c>
      <c r="BD210" t="str">
        <f>""</f>
        <v/>
      </c>
      <c r="BE210" t="str">
        <f>""</f>
        <v/>
      </c>
      <c r="BF210" t="str">
        <f t="shared" si="101"/>
        <v>A</v>
      </c>
      <c r="BG210" t="str">
        <f>""</f>
        <v/>
      </c>
      <c r="BH210" t="str">
        <f>""</f>
        <v/>
      </c>
      <c r="BI210" t="str">
        <f t="shared" si="87"/>
        <v>EVENTUAL</v>
      </c>
      <c r="BJ210" t="str">
        <f t="shared" si="102"/>
        <v>1</v>
      </c>
      <c r="BK210" t="str">
        <f t="shared" si="103"/>
        <v>Farmacia</v>
      </c>
      <c r="BL210" t="str">
        <f>""</f>
        <v/>
      </c>
      <c r="BM210" t="str">
        <f>""</f>
        <v/>
      </c>
      <c r="BN210" t="str">
        <f>""</f>
        <v/>
      </c>
      <c r="BO210" t="str">
        <f>""</f>
        <v/>
      </c>
      <c r="BP210" t="str">
        <f>""</f>
        <v/>
      </c>
      <c r="BQ210" t="str">
        <f>""</f>
        <v/>
      </c>
      <c r="BR210" t="str">
        <f>"06/07/2023"</f>
        <v>06/07/2023</v>
      </c>
      <c r="BS210" t="str">
        <f>""</f>
        <v/>
      </c>
      <c r="BT210" t="str">
        <f>""</f>
        <v/>
      </c>
      <c r="BU210" t="str">
        <f>""</f>
        <v/>
      </c>
      <c r="BV210" t="str">
        <f>""</f>
        <v/>
      </c>
      <c r="BW210" t="str">
        <f>"Não visitado"</f>
        <v>Não visitado</v>
      </c>
    </row>
    <row r="211" spans="1:75" x14ac:dyDescent="0.35">
      <c r="A211">
        <v>157556</v>
      </c>
      <c r="B211" t="str">
        <f t="shared" si="95"/>
        <v>A</v>
      </c>
      <c r="C211" t="str">
        <f t="shared" si="96"/>
        <v>80</v>
      </c>
      <c r="D211" t="str">
        <f t="shared" si="97"/>
        <v>11121001</v>
      </c>
      <c r="E211" t="str">
        <f t="shared" si="98"/>
        <v>121001</v>
      </c>
      <c r="F211" t="str">
        <f t="shared" si="99"/>
        <v>JENIFER SANTOS</v>
      </c>
      <c r="G211" t="str">
        <f>"01919270000163"</f>
        <v>01919270000163</v>
      </c>
      <c r="H211" t="str">
        <f>"0"</f>
        <v>0</v>
      </c>
      <c r="I211" t="str">
        <f t="shared" si="100"/>
        <v>CONTA OPTICA</v>
      </c>
      <c r="J211" t="str">
        <f>"MACIEL JOIAS LTDA"</f>
        <v>MACIEL JOIAS LTDA</v>
      </c>
      <c r="K211" t="str">
        <f>"SAFIRA JOIAS E RELOJOARIA (889)"</f>
        <v>SAFIRA JOIAS E RELOJOARIA (889)</v>
      </c>
      <c r="L211" t="str">
        <f>""</f>
        <v/>
      </c>
      <c r="M211" t="str">
        <f>""</f>
        <v/>
      </c>
      <c r="N211" t="str">
        <f>"SAFIRA.RELOJOARIA@YAHOO.COM.BR"</f>
        <v>SAFIRA.RELOJOARIA@YAHOO.COM.BR</v>
      </c>
      <c r="O211" t="str">
        <f>""</f>
        <v/>
      </c>
      <c r="P211" t="str">
        <f>"RUA OLIMPIO JULIO TORTATO"</f>
        <v>RUA OLIMPIO JULIO TORTATO</v>
      </c>
      <c r="Q211" t="str">
        <f>"53"</f>
        <v>53</v>
      </c>
      <c r="R211" t="str">
        <f>"SALA"</f>
        <v>SALA</v>
      </c>
      <c r="S211" t="str">
        <f>"1288"</f>
        <v>1288</v>
      </c>
      <c r="T211" t="str">
        <f>"89820000"</f>
        <v>89820000</v>
      </c>
      <c r="U211" t="str">
        <f t="shared" si="109"/>
        <v>CENTRO</v>
      </c>
      <c r="V211" t="str">
        <f>"XANXERE"</f>
        <v>XANXERE</v>
      </c>
      <c r="W211" t="str">
        <f t="shared" si="111"/>
        <v>SC</v>
      </c>
      <c r="X211" t="str">
        <f>"49"</f>
        <v>49</v>
      </c>
      <c r="Y211" t="str">
        <f>"34335316"</f>
        <v>34335316</v>
      </c>
      <c r="Z211" t="str">
        <f>""</f>
        <v/>
      </c>
      <c r="AA211" t="str">
        <f>""</f>
        <v/>
      </c>
      <c r="AB211" t="str">
        <f>""</f>
        <v/>
      </c>
      <c r="AC211" t="str">
        <f>""</f>
        <v/>
      </c>
      <c r="AD211" t="str">
        <f>""</f>
        <v/>
      </c>
      <c r="AE211" t="str">
        <f>""</f>
        <v/>
      </c>
      <c r="AF211" t="str">
        <f>""</f>
        <v/>
      </c>
      <c r="AG211" t="str">
        <f>""</f>
        <v/>
      </c>
      <c r="AH211" t="str">
        <f>""</f>
        <v/>
      </c>
      <c r="AI211" t="str">
        <f>""</f>
        <v/>
      </c>
      <c r="AJ211" t="str">
        <f>""</f>
        <v/>
      </c>
      <c r="AK211" t="str">
        <f>""</f>
        <v/>
      </c>
      <c r="AL211" t="str">
        <f>""</f>
        <v/>
      </c>
      <c r="AM211" t="str">
        <f>""</f>
        <v/>
      </c>
      <c r="AN211" t="str">
        <f>""</f>
        <v/>
      </c>
      <c r="AO211" t="str">
        <f>""</f>
        <v/>
      </c>
      <c r="AP211" t="str">
        <f>""</f>
        <v/>
      </c>
      <c r="AQ211" t="str">
        <f>""</f>
        <v/>
      </c>
      <c r="AR211" t="str">
        <f>""</f>
        <v/>
      </c>
      <c r="AS211" t="str">
        <f>""</f>
        <v/>
      </c>
      <c r="AT211" t="str">
        <f>""</f>
        <v/>
      </c>
      <c r="AU211" t="str">
        <f>""</f>
        <v/>
      </c>
      <c r="AV211" t="str">
        <f>""</f>
        <v/>
      </c>
      <c r="AW211" t="str">
        <f>""</f>
        <v/>
      </c>
      <c r="AX211" t="str">
        <f>""</f>
        <v/>
      </c>
      <c r="AY211" t="str">
        <f>""</f>
        <v/>
      </c>
      <c r="AZ211" t="str">
        <f>""</f>
        <v/>
      </c>
      <c r="BA211" t="str">
        <f>""</f>
        <v/>
      </c>
      <c r="BB211" t="str">
        <f>"11/07/2023 02:14:29"</f>
        <v>11/07/2023 02:14:29</v>
      </c>
      <c r="BC211" t="str">
        <f>""</f>
        <v/>
      </c>
      <c r="BD211" t="str">
        <f>""</f>
        <v/>
      </c>
      <c r="BE211" t="str">
        <f>""</f>
        <v/>
      </c>
      <c r="BF211" t="str">
        <f t="shared" si="101"/>
        <v>A</v>
      </c>
      <c r="BG211" t="str">
        <f>""</f>
        <v/>
      </c>
      <c r="BH211" t="str">
        <f>""</f>
        <v/>
      </c>
      <c r="BI211" t="str">
        <f t="shared" si="87"/>
        <v>EVENTUAL</v>
      </c>
      <c r="BJ211" t="str">
        <f t="shared" si="102"/>
        <v>1</v>
      </c>
      <c r="BK211" t="str">
        <f t="shared" si="103"/>
        <v>Farmacia</v>
      </c>
      <c r="BL211" t="str">
        <f>""</f>
        <v/>
      </c>
      <c r="BM211" t="str">
        <f>""</f>
        <v/>
      </c>
      <c r="BN211" t="str">
        <f>""</f>
        <v/>
      </c>
      <c r="BO211" t="str">
        <f>""</f>
        <v/>
      </c>
      <c r="BP211" t="str">
        <f>""</f>
        <v/>
      </c>
      <c r="BQ211" t="str">
        <f>""</f>
        <v/>
      </c>
      <c r="BR211" t="str">
        <f>"11/07/2023"</f>
        <v>11/07/2023</v>
      </c>
      <c r="BS211" t="str">
        <f>""</f>
        <v/>
      </c>
      <c r="BT211" t="str">
        <f>""</f>
        <v/>
      </c>
      <c r="BU211" t="str">
        <f>""</f>
        <v/>
      </c>
      <c r="BV211" t="str">
        <f>""</f>
        <v/>
      </c>
      <c r="BW211" t="str">
        <f>"Não visitado"</f>
        <v>Não visitado</v>
      </c>
    </row>
    <row r="212" spans="1:75" x14ac:dyDescent="0.35">
      <c r="A212">
        <v>144450</v>
      </c>
      <c r="B212" t="str">
        <f t="shared" si="95"/>
        <v>A</v>
      </c>
      <c r="C212" t="str">
        <f t="shared" si="96"/>
        <v>80</v>
      </c>
      <c r="D212" t="str">
        <f t="shared" si="97"/>
        <v>11121001</v>
      </c>
      <c r="E212" t="str">
        <f t="shared" si="98"/>
        <v>121001</v>
      </c>
      <c r="F212" t="str">
        <f t="shared" si="99"/>
        <v>JENIFER SANTOS</v>
      </c>
      <c r="G212" t="str">
        <f>"21042267000111"</f>
        <v>21042267000111</v>
      </c>
      <c r="H212" t="str">
        <f>""</f>
        <v/>
      </c>
      <c r="I212" t="str">
        <f t="shared" si="100"/>
        <v>CONTA OPTICA</v>
      </c>
      <c r="J212" t="str">
        <f>"MADRID OTICAS LTDA ME"</f>
        <v>MADRID OTICAS LTDA ME</v>
      </c>
      <c r="K212" t="str">
        <f>"OTICA MADRID (2183)"</f>
        <v>OTICA MADRID (2183)</v>
      </c>
      <c r="L212" t="str">
        <f>""</f>
        <v/>
      </c>
      <c r="M212" t="str">
        <f>""</f>
        <v/>
      </c>
      <c r="N212" t="str">
        <f>"madrid.oticas@gmail.com"</f>
        <v>madrid.oticas@gmail.com</v>
      </c>
      <c r="O212" t="str">
        <f>""</f>
        <v/>
      </c>
      <c r="P212" t="str">
        <f>"RUA TENENTE ARY RAUEN"</f>
        <v>RUA TENENTE ARY RAUEN</v>
      </c>
      <c r="Q212" t="str">
        <f>"756"</f>
        <v>756</v>
      </c>
      <c r="R212" t="str">
        <f>""</f>
        <v/>
      </c>
      <c r="S212" t="str">
        <f>"1281"</f>
        <v>1281</v>
      </c>
      <c r="T212" t="str">
        <f>"89300000"</f>
        <v>89300000</v>
      </c>
      <c r="U212" t="str">
        <f t="shared" si="109"/>
        <v>CENTRO</v>
      </c>
      <c r="V212" t="str">
        <f>"MAFRA"</f>
        <v>MAFRA</v>
      </c>
      <c r="W212" t="str">
        <f t="shared" si="111"/>
        <v>SC</v>
      </c>
      <c r="X212" t="str">
        <f>"47"</f>
        <v>47</v>
      </c>
      <c r="Y212" t="str">
        <f>"36427481"</f>
        <v>36427481</v>
      </c>
      <c r="Z212" t="str">
        <f>""</f>
        <v/>
      </c>
      <c r="AA212" t="str">
        <f>""</f>
        <v/>
      </c>
      <c r="AB212" t="str">
        <f>""</f>
        <v/>
      </c>
      <c r="AC212" t="str">
        <f>""</f>
        <v/>
      </c>
      <c r="AD212" t="str">
        <f>""</f>
        <v/>
      </c>
      <c r="AE212" t="str">
        <f>""</f>
        <v/>
      </c>
      <c r="AF212" t="str">
        <f>""</f>
        <v/>
      </c>
      <c r="AG212" t="str">
        <f>""</f>
        <v/>
      </c>
      <c r="AH212" t="str">
        <f>""</f>
        <v/>
      </c>
      <c r="AI212" t="str">
        <f>""</f>
        <v/>
      </c>
      <c r="AJ212" t="str">
        <f>"0"</f>
        <v>0</v>
      </c>
      <c r="AK212" t="str">
        <f>"0"</f>
        <v>0</v>
      </c>
      <c r="AL212" t="str">
        <f>"0"</f>
        <v>0</v>
      </c>
      <c r="AM212" t="str">
        <f>""</f>
        <v/>
      </c>
      <c r="AN212" t="str">
        <f>""</f>
        <v/>
      </c>
      <c r="AO212" t="str">
        <f>""</f>
        <v/>
      </c>
      <c r="AP212" t="str">
        <f>""</f>
        <v/>
      </c>
      <c r="AQ212" t="str">
        <f>""</f>
        <v/>
      </c>
      <c r="AR212" t="str">
        <f>""</f>
        <v/>
      </c>
      <c r="AS212" t="str">
        <f>""</f>
        <v/>
      </c>
      <c r="AT212" t="str">
        <f>""</f>
        <v/>
      </c>
      <c r="AU212" t="str">
        <f>""</f>
        <v/>
      </c>
      <c r="AV212" t="str">
        <f>""</f>
        <v/>
      </c>
      <c r="AW212" t="str">
        <f>""</f>
        <v/>
      </c>
      <c r="AX212" t="str">
        <f>""</f>
        <v/>
      </c>
      <c r="AY212" t="str">
        <f>""</f>
        <v/>
      </c>
      <c r="AZ212" t="str">
        <f>""</f>
        <v/>
      </c>
      <c r="BA212" t="str">
        <f>""</f>
        <v/>
      </c>
      <c r="BB212" t="str">
        <f>""</f>
        <v/>
      </c>
      <c r="BC212" t="str">
        <f>""</f>
        <v/>
      </c>
      <c r="BD212" t="str">
        <f>""</f>
        <v/>
      </c>
      <c r="BE212" t="str">
        <f>""</f>
        <v/>
      </c>
      <c r="BF212" t="str">
        <f t="shared" si="101"/>
        <v>A</v>
      </c>
      <c r="BG212" t="str">
        <f>"0,00"</f>
        <v>0,00</v>
      </c>
      <c r="BH212" t="str">
        <f>"0,00"</f>
        <v>0,00</v>
      </c>
      <c r="BI212" t="str">
        <f t="shared" si="87"/>
        <v>EVENTUAL</v>
      </c>
      <c r="BJ212" t="str">
        <f t="shared" si="102"/>
        <v>1</v>
      </c>
      <c r="BK212" t="str">
        <f t="shared" si="103"/>
        <v>Farmacia</v>
      </c>
      <c r="BL212" t="str">
        <f>""</f>
        <v/>
      </c>
      <c r="BM212" t="str">
        <f>"VARILUX ESPECIALISTA PLATINE"</f>
        <v>VARILUX ESPECIALISTA PLATINE</v>
      </c>
      <c r="BN212" t="str">
        <f t="shared" ref="BN212:BN217" si="112">"NA"</f>
        <v>NA</v>
      </c>
      <c r="BO212" t="str">
        <f>"FOCO VARILUX DIGITAL"</f>
        <v>FOCO VARILUX DIGITAL</v>
      </c>
      <c r="BP212" t="str">
        <f>""</f>
        <v/>
      </c>
      <c r="BQ212" t="str">
        <f>""</f>
        <v/>
      </c>
      <c r="BR212" t="str">
        <f>""</f>
        <v/>
      </c>
      <c r="BS212" t="str">
        <f>""</f>
        <v/>
      </c>
      <c r="BT212" t="str">
        <f>""</f>
        <v/>
      </c>
      <c r="BU212" t="str">
        <f>""</f>
        <v/>
      </c>
      <c r="BV212" t="str">
        <f>"1"</f>
        <v>1</v>
      </c>
      <c r="BW212" t="str">
        <f>"7"</f>
        <v>7</v>
      </c>
    </row>
    <row r="213" spans="1:75" x14ac:dyDescent="0.35">
      <c r="A213">
        <v>138118</v>
      </c>
      <c r="B213" t="str">
        <f t="shared" si="95"/>
        <v>A</v>
      </c>
      <c r="C213" t="str">
        <f t="shared" si="96"/>
        <v>80</v>
      </c>
      <c r="D213" t="str">
        <f t="shared" si="97"/>
        <v>11121001</v>
      </c>
      <c r="E213" t="str">
        <f t="shared" si="98"/>
        <v>121001</v>
      </c>
      <c r="F213" t="str">
        <f t="shared" si="99"/>
        <v>JENIFER SANTOS</v>
      </c>
      <c r="G213" t="str">
        <f>"83298166000163"</f>
        <v>83298166000163</v>
      </c>
      <c r="H213" t="str">
        <f>"0"</f>
        <v>0</v>
      </c>
      <c r="I213" t="str">
        <f t="shared" si="100"/>
        <v>CONTA OPTICA</v>
      </c>
      <c r="J213" t="str">
        <f>"MARCHESE E CIA LTDA"</f>
        <v>MARCHESE E CIA LTDA</v>
      </c>
      <c r="K213" t="str">
        <f>"JOALHEIRIA E OTICA MINERVA (566)"</f>
        <v>JOALHEIRIA E OTICA MINERVA (566)</v>
      </c>
      <c r="L213" t="str">
        <f>""</f>
        <v/>
      </c>
      <c r="M213" t="str">
        <f>""</f>
        <v/>
      </c>
      <c r="N213" t="str">
        <f>"joalheriaminerva@hotmail.com"</f>
        <v>joalheriaminerva@hotmail.com</v>
      </c>
      <c r="O213" t="str">
        <f>""</f>
        <v/>
      </c>
      <c r="P213" t="str">
        <f>"AVENIDA GETULIO DORNELES VARGAS"</f>
        <v>AVENIDA GETULIO DORNELES VARGAS</v>
      </c>
      <c r="Q213" t="str">
        <f>"372"</f>
        <v>372</v>
      </c>
      <c r="R213" t="str">
        <f>""</f>
        <v/>
      </c>
      <c r="S213" t="str">
        <f>"1287"</f>
        <v>1287</v>
      </c>
      <c r="T213" t="str">
        <f>"89801000"</f>
        <v>89801000</v>
      </c>
      <c r="U213" t="str">
        <f t="shared" si="109"/>
        <v>CENTRO</v>
      </c>
      <c r="V213" t="str">
        <f>"CHAPECÓ"</f>
        <v>CHAPECÓ</v>
      </c>
      <c r="W213" t="str">
        <f t="shared" si="111"/>
        <v>SC</v>
      </c>
      <c r="X213" t="str">
        <f>"49"</f>
        <v>49</v>
      </c>
      <c r="Y213" t="str">
        <f>"33223024"</f>
        <v>33223024</v>
      </c>
      <c r="Z213" t="str">
        <f>""</f>
        <v/>
      </c>
      <c r="AA213" t="str">
        <f>""</f>
        <v/>
      </c>
      <c r="AB213" t="str">
        <f>""</f>
        <v/>
      </c>
      <c r="AC213" t="str">
        <f>""</f>
        <v/>
      </c>
      <c r="AD213" t="str">
        <f>""</f>
        <v/>
      </c>
      <c r="AE213" t="str">
        <f>""</f>
        <v/>
      </c>
      <c r="AF213" t="str">
        <f>""</f>
        <v/>
      </c>
      <c r="AG213" t="str">
        <f>"S"</f>
        <v>S</v>
      </c>
      <c r="AH213" t="str">
        <f>""</f>
        <v/>
      </c>
      <c r="AI213" t="str">
        <f>""</f>
        <v/>
      </c>
      <c r="AJ213" t="str">
        <f>""</f>
        <v/>
      </c>
      <c r="AK213" t="str">
        <f>""</f>
        <v/>
      </c>
      <c r="AL213" t="str">
        <f>""</f>
        <v/>
      </c>
      <c r="AM213" t="str">
        <f>""</f>
        <v/>
      </c>
      <c r="AN213" t="str">
        <f>""</f>
        <v/>
      </c>
      <c r="AO213" t="str">
        <f>""</f>
        <v/>
      </c>
      <c r="AP213" t="str">
        <f>""</f>
        <v/>
      </c>
      <c r="AQ213" t="str">
        <f>"N"</f>
        <v>N</v>
      </c>
      <c r="AR213" t="str">
        <f>"N"</f>
        <v>N</v>
      </c>
      <c r="AS213" t="str">
        <f>"N"</f>
        <v>N</v>
      </c>
      <c r="AT213" t="str">
        <f>"N"</f>
        <v>N</v>
      </c>
      <c r="AU213" t="str">
        <f>"N"</f>
        <v>N</v>
      </c>
      <c r="AV213" t="str">
        <f>""</f>
        <v/>
      </c>
      <c r="AW213" t="str">
        <f>""</f>
        <v/>
      </c>
      <c r="AX213" t="str">
        <f>""</f>
        <v/>
      </c>
      <c r="AY213" t="str">
        <f>""</f>
        <v/>
      </c>
      <c r="AZ213" t="str">
        <f>""</f>
        <v/>
      </c>
      <c r="BA213" t="str">
        <f>""</f>
        <v/>
      </c>
      <c r="BB213" t="str">
        <f>"01/07/2021 13:53:04"</f>
        <v>01/07/2021 13:53:04</v>
      </c>
      <c r="BC213" t="str">
        <f>"11/11/2021 13:33:36"</f>
        <v>11/11/2021 13:33:36</v>
      </c>
      <c r="BD213" t="str">
        <f>""</f>
        <v/>
      </c>
      <c r="BE213" t="str">
        <f>""</f>
        <v/>
      </c>
      <c r="BF213" t="str">
        <f t="shared" si="101"/>
        <v>A</v>
      </c>
      <c r="BG213" t="str">
        <f>""</f>
        <v/>
      </c>
      <c r="BH213" t="str">
        <f>"0,00"</f>
        <v>0,00</v>
      </c>
      <c r="BI213" t="str">
        <f t="shared" si="87"/>
        <v>EVENTUAL</v>
      </c>
      <c r="BJ213" t="str">
        <f t="shared" si="102"/>
        <v>1</v>
      </c>
      <c r="BK213" t="str">
        <f t="shared" si="103"/>
        <v>Farmacia</v>
      </c>
      <c r="BL213" t="str">
        <f>""</f>
        <v/>
      </c>
      <c r="BM213" t="str">
        <f>"NÃO É VARILUX ESPECIALISTA"</f>
        <v>NÃO É VARILUX ESPECIALISTA</v>
      </c>
      <c r="BN213" t="str">
        <f t="shared" si="112"/>
        <v>NA</v>
      </c>
      <c r="BO213" t="str">
        <f>"FOCO KODAK 2"</f>
        <v>FOCO KODAK 2</v>
      </c>
      <c r="BP213" t="str">
        <f>""</f>
        <v/>
      </c>
      <c r="BQ213" t="str">
        <f>""</f>
        <v/>
      </c>
      <c r="BR213" t="str">
        <f>"01/07/2021"</f>
        <v>01/07/2021</v>
      </c>
      <c r="BS213" t="str">
        <f>"11/11/2021"</f>
        <v>11/11/2021</v>
      </c>
      <c r="BT213" t="str">
        <f>""</f>
        <v/>
      </c>
      <c r="BU213" t="str">
        <f>""</f>
        <v/>
      </c>
      <c r="BV213" t="str">
        <f>""</f>
        <v/>
      </c>
      <c r="BW213" t="str">
        <f>"Não visitado"</f>
        <v>Não visitado</v>
      </c>
    </row>
    <row r="214" spans="1:75" x14ac:dyDescent="0.35">
      <c r="A214">
        <v>120522</v>
      </c>
      <c r="B214" t="str">
        <f t="shared" si="95"/>
        <v>A</v>
      </c>
      <c r="C214" t="str">
        <f t="shared" si="96"/>
        <v>80</v>
      </c>
      <c r="D214" t="str">
        <f t="shared" si="97"/>
        <v>11121001</v>
      </c>
      <c r="E214" t="str">
        <f t="shared" si="98"/>
        <v>121001</v>
      </c>
      <c r="F214" t="str">
        <f t="shared" si="99"/>
        <v>JENIFER SANTOS</v>
      </c>
      <c r="G214" t="str">
        <f>"03567445000146"</f>
        <v>03567445000146</v>
      </c>
      <c r="H214" t="str">
        <f>"0"</f>
        <v>0</v>
      </c>
      <c r="I214" t="str">
        <f t="shared" si="100"/>
        <v>CONTA OPTICA</v>
      </c>
      <c r="J214" t="str">
        <f>"MARCIEL RODRIGUES DOS SANTOS ME"</f>
        <v>MARCIEL RODRIGUES DOS SANTOS ME</v>
      </c>
      <c r="K214" t="str">
        <f>"OTICA GLOBO (217)"</f>
        <v>OTICA GLOBO (217)</v>
      </c>
      <c r="L214" t="str">
        <f>""</f>
        <v/>
      </c>
      <c r="M214" t="str">
        <f>""</f>
        <v/>
      </c>
      <c r="N214" t="str">
        <f>"otica_globo@hotmail.com"</f>
        <v>otica_globo@hotmail.com</v>
      </c>
      <c r="O214" t="str">
        <f>""</f>
        <v/>
      </c>
      <c r="P214" t="str">
        <f>"RUA QUINZE DE NOVEMBRO"</f>
        <v>RUA QUINZE DE NOVEMBRO</v>
      </c>
      <c r="Q214" t="str">
        <f>"7053"</f>
        <v>7053</v>
      </c>
      <c r="R214" t="str">
        <f>""</f>
        <v/>
      </c>
      <c r="S214" t="str">
        <f>"1279"</f>
        <v>1279</v>
      </c>
      <c r="T214" t="str">
        <f>"89237000"</f>
        <v>89237000</v>
      </c>
      <c r="U214" t="str">
        <f>"VILA NOVA"</f>
        <v>VILA NOVA</v>
      </c>
      <c r="V214" t="str">
        <f>"JOINVILLE"</f>
        <v>JOINVILLE</v>
      </c>
      <c r="W214" t="str">
        <f t="shared" si="111"/>
        <v>SC</v>
      </c>
      <c r="X214" t="str">
        <f>"47"</f>
        <v>47</v>
      </c>
      <c r="Y214" t="str">
        <f>"34392267"</f>
        <v>34392267</v>
      </c>
      <c r="Z214" t="str">
        <f>""</f>
        <v/>
      </c>
      <c r="AA214" t="str">
        <f>""</f>
        <v/>
      </c>
      <c r="AB214" t="str">
        <f>""</f>
        <v/>
      </c>
      <c r="AC214" t="str">
        <f>""</f>
        <v/>
      </c>
      <c r="AD214" t="str">
        <f>""</f>
        <v/>
      </c>
      <c r="AE214" t="str">
        <f>""</f>
        <v/>
      </c>
      <c r="AF214" t="str">
        <f>""</f>
        <v/>
      </c>
      <c r="AG214" t="str">
        <f>""</f>
        <v/>
      </c>
      <c r="AH214" t="str">
        <f>""</f>
        <v/>
      </c>
      <c r="AI214" t="str">
        <f>""</f>
        <v/>
      </c>
      <c r="AJ214" t="str">
        <f>""</f>
        <v/>
      </c>
      <c r="AK214" t="str">
        <f>""</f>
        <v/>
      </c>
      <c r="AL214" t="str">
        <f>""</f>
        <v/>
      </c>
      <c r="AM214" t="str">
        <f>""</f>
        <v/>
      </c>
      <c r="AN214" t="str">
        <f>""</f>
        <v/>
      </c>
      <c r="AO214" t="str">
        <f>""</f>
        <v/>
      </c>
      <c r="AP214" t="str">
        <f>""</f>
        <v/>
      </c>
      <c r="AQ214" t="str">
        <f>""</f>
        <v/>
      </c>
      <c r="AR214" t="str">
        <f>""</f>
        <v/>
      </c>
      <c r="AS214" t="str">
        <f>""</f>
        <v/>
      </c>
      <c r="AT214" t="str">
        <f>""</f>
        <v/>
      </c>
      <c r="AU214" t="str">
        <f>""</f>
        <v/>
      </c>
      <c r="AV214" t="str">
        <f>""</f>
        <v/>
      </c>
      <c r="AW214" t="str">
        <f>""</f>
        <v/>
      </c>
      <c r="AX214" t="str">
        <f>""</f>
        <v/>
      </c>
      <c r="AY214" t="str">
        <f>""</f>
        <v/>
      </c>
      <c r="AZ214" t="str">
        <f>""</f>
        <v/>
      </c>
      <c r="BA214" t="str">
        <f>""</f>
        <v/>
      </c>
      <c r="BB214" t="str">
        <f>"22/09/2020 15:29:33"</f>
        <v>22/09/2020 15:29:33</v>
      </c>
      <c r="BC214" t="str">
        <f>""</f>
        <v/>
      </c>
      <c r="BD214" t="str">
        <f>""</f>
        <v/>
      </c>
      <c r="BE214" t="str">
        <f>""</f>
        <v/>
      </c>
      <c r="BF214" t="str">
        <f t="shared" si="101"/>
        <v>A</v>
      </c>
      <c r="BG214" t="str">
        <f>""</f>
        <v/>
      </c>
      <c r="BH214" t="str">
        <f>""</f>
        <v/>
      </c>
      <c r="BI214" t="str">
        <f t="shared" si="87"/>
        <v>EVENTUAL</v>
      </c>
      <c r="BJ214" t="str">
        <f t="shared" si="102"/>
        <v>1</v>
      </c>
      <c r="BK214" t="str">
        <f t="shared" si="103"/>
        <v>Farmacia</v>
      </c>
      <c r="BL214" t="str">
        <f>""</f>
        <v/>
      </c>
      <c r="BM214" t="str">
        <f>"NÃO É VARILUX ESPECIALISTA"</f>
        <v>NÃO É VARILUX ESPECIALISTA</v>
      </c>
      <c r="BN214" t="str">
        <f t="shared" si="112"/>
        <v>NA</v>
      </c>
      <c r="BO214" t="str">
        <f>"OUTROS"</f>
        <v>OUTROS</v>
      </c>
      <c r="BP214" t="str">
        <f>""</f>
        <v/>
      </c>
      <c r="BQ214" t="str">
        <f>""</f>
        <v/>
      </c>
      <c r="BR214" t="str">
        <f>"22/09/2020"</f>
        <v>22/09/2020</v>
      </c>
      <c r="BS214" t="str">
        <f>""</f>
        <v/>
      </c>
      <c r="BT214" t="str">
        <f>""</f>
        <v/>
      </c>
      <c r="BU214" t="str">
        <f>""</f>
        <v/>
      </c>
      <c r="BV214" t="str">
        <f>"9"</f>
        <v>9</v>
      </c>
      <c r="BW214" t="str">
        <f>"Não visitado"</f>
        <v>Não visitado</v>
      </c>
    </row>
    <row r="215" spans="1:75" x14ac:dyDescent="0.35">
      <c r="A215">
        <v>144813</v>
      </c>
      <c r="B215" t="str">
        <f t="shared" si="95"/>
        <v>A</v>
      </c>
      <c r="C215" t="str">
        <f t="shared" si="96"/>
        <v>80</v>
      </c>
      <c r="D215" t="str">
        <f t="shared" si="97"/>
        <v>11121001</v>
      </c>
      <c r="E215" t="str">
        <f t="shared" si="98"/>
        <v>121001</v>
      </c>
      <c r="F215" t="str">
        <f t="shared" si="99"/>
        <v>JENIFER SANTOS</v>
      </c>
      <c r="G215" t="str">
        <f>"41939975000167"</f>
        <v>41939975000167</v>
      </c>
      <c r="H215" t="str">
        <f>""</f>
        <v/>
      </c>
      <c r="I215" t="str">
        <f t="shared" si="100"/>
        <v>CONTA OPTICA</v>
      </c>
      <c r="J215" t="str">
        <f>"MARIA ALINE RODRIGUES PEREIRA 08031796939"</f>
        <v>MARIA ALINE RODRIGUES PEREIRA 08031796939</v>
      </c>
      <c r="K215" t="str">
        <f>"OTICA CENTRAL (4322)"</f>
        <v>OTICA CENTRAL (4322)</v>
      </c>
      <c r="L215" t="str">
        <f>""</f>
        <v/>
      </c>
      <c r="M215" t="str">
        <f>""</f>
        <v/>
      </c>
      <c r="N215" t="str">
        <f>"aline.rodrigues78nunes@gmail.com"</f>
        <v>aline.rodrigues78nunes@gmail.com</v>
      </c>
      <c r="O215" t="str">
        <f>""</f>
        <v/>
      </c>
      <c r="P215" t="str">
        <f>"MARECHAL DEODORO DA FONSECA"</f>
        <v>MARECHAL DEODORO DA FONSECA</v>
      </c>
      <c r="Q215" t="str">
        <f>"697"</f>
        <v>697</v>
      </c>
      <c r="R215" t="str">
        <f>"SALA 03"</f>
        <v>SALA 03</v>
      </c>
      <c r="S215" t="str">
        <f>"1280"</f>
        <v>1280</v>
      </c>
      <c r="T215" t="str">
        <f>"89251701"</f>
        <v>89251701</v>
      </c>
      <c r="U215" t="str">
        <f>"CENTRO"</f>
        <v>CENTRO</v>
      </c>
      <c r="V215" t="str">
        <f>"JARAGUÁ DO SUL"</f>
        <v>JARAGUÁ DO SUL</v>
      </c>
      <c r="W215" t="str">
        <f t="shared" si="111"/>
        <v>SC</v>
      </c>
      <c r="X215" t="str">
        <f>"47"</f>
        <v>47</v>
      </c>
      <c r="Y215" t="str">
        <f>"32795870"</f>
        <v>32795870</v>
      </c>
      <c r="Z215" t="str">
        <f>""</f>
        <v/>
      </c>
      <c r="AA215" t="str">
        <f>""</f>
        <v/>
      </c>
      <c r="AB215" t="str">
        <f>""</f>
        <v/>
      </c>
      <c r="AC215" t="str">
        <f>""</f>
        <v/>
      </c>
      <c r="AD215" t="str">
        <f>""</f>
        <v/>
      </c>
      <c r="AE215" t="str">
        <f>""</f>
        <v/>
      </c>
      <c r="AF215" t="str">
        <f>""</f>
        <v/>
      </c>
      <c r="AG215" t="str">
        <f>"S"</f>
        <v>S</v>
      </c>
      <c r="AH215" t="str">
        <f>""</f>
        <v/>
      </c>
      <c r="AI215" t="str">
        <f>""</f>
        <v/>
      </c>
      <c r="AJ215" t="str">
        <f>"0"</f>
        <v>0</v>
      </c>
      <c r="AK215" t="str">
        <f>"0"</f>
        <v>0</v>
      </c>
      <c r="AL215" t="str">
        <f>"0"</f>
        <v>0</v>
      </c>
      <c r="AM215" t="str">
        <f>""</f>
        <v/>
      </c>
      <c r="AN215" t="str">
        <f>""</f>
        <v/>
      </c>
      <c r="AO215" t="str">
        <f>""</f>
        <v/>
      </c>
      <c r="AP215" t="str">
        <f>""</f>
        <v/>
      </c>
      <c r="AQ215" t="str">
        <f t="shared" ref="AQ215:AU216" si="113">"N"</f>
        <v>N</v>
      </c>
      <c r="AR215" t="str">
        <f t="shared" si="113"/>
        <v>N</v>
      </c>
      <c r="AS215" t="str">
        <f t="shared" si="113"/>
        <v>N</v>
      </c>
      <c r="AT215" t="str">
        <f t="shared" si="113"/>
        <v>N</v>
      </c>
      <c r="AU215" t="str">
        <f t="shared" si="113"/>
        <v>N</v>
      </c>
      <c r="AV215" t="str">
        <f>""</f>
        <v/>
      </c>
      <c r="AW215" t="str">
        <f>""</f>
        <v/>
      </c>
      <c r="AX215" t="str">
        <f>""</f>
        <v/>
      </c>
      <c r="AY215" t="str">
        <f>""</f>
        <v/>
      </c>
      <c r="AZ215" t="str">
        <f>""</f>
        <v/>
      </c>
      <c r="BA215" t="str">
        <f>""</f>
        <v/>
      </c>
      <c r="BB215" t="str">
        <f>""</f>
        <v/>
      </c>
      <c r="BC215" t="str">
        <f>"29/12/2021 16:11:19"</f>
        <v>29/12/2021 16:11:19</v>
      </c>
      <c r="BD215" t="str">
        <f>""</f>
        <v/>
      </c>
      <c r="BE215" t="str">
        <f>""</f>
        <v/>
      </c>
      <c r="BF215" t="str">
        <f t="shared" si="101"/>
        <v>A</v>
      </c>
      <c r="BG215" t="str">
        <f>"0,00"</f>
        <v>0,00</v>
      </c>
      <c r="BH215" t="str">
        <f>"0,00"</f>
        <v>0,00</v>
      </c>
      <c r="BI215" t="str">
        <f t="shared" si="87"/>
        <v>EVENTUAL</v>
      </c>
      <c r="BJ215" t="str">
        <f t="shared" si="102"/>
        <v>1</v>
      </c>
      <c r="BK215" t="str">
        <f t="shared" si="103"/>
        <v>Farmacia</v>
      </c>
      <c r="BL215" t="str">
        <f>""</f>
        <v/>
      </c>
      <c r="BM215" t="str">
        <f>"NÃO É VARILUX ESPECIALISTA"</f>
        <v>NÃO É VARILUX ESPECIALISTA</v>
      </c>
      <c r="BN215" t="str">
        <f t="shared" si="112"/>
        <v>NA</v>
      </c>
      <c r="BO215" t="str">
        <f>"FOCO KODAK 2"</f>
        <v>FOCO KODAK 2</v>
      </c>
      <c r="BP215" t="str">
        <f>""</f>
        <v/>
      </c>
      <c r="BQ215" t="str">
        <f>""</f>
        <v/>
      </c>
      <c r="BR215" t="str">
        <f>""</f>
        <v/>
      </c>
      <c r="BS215" t="str">
        <f>"29/12/2021"</f>
        <v>29/12/2021</v>
      </c>
      <c r="BT215" t="str">
        <f>""</f>
        <v/>
      </c>
      <c r="BU215" t="str">
        <f>""</f>
        <v/>
      </c>
      <c r="BV215" t="str">
        <f>""</f>
        <v/>
      </c>
      <c r="BW215" t="str">
        <f>"16"</f>
        <v>16</v>
      </c>
    </row>
    <row r="216" spans="1:75" x14ac:dyDescent="0.35">
      <c r="A216">
        <v>138121</v>
      </c>
      <c r="B216" t="str">
        <f t="shared" si="95"/>
        <v>A</v>
      </c>
      <c r="C216" t="str">
        <f t="shared" si="96"/>
        <v>80</v>
      </c>
      <c r="D216" t="str">
        <f t="shared" si="97"/>
        <v>11121001</v>
      </c>
      <c r="E216" t="str">
        <f t="shared" si="98"/>
        <v>121001</v>
      </c>
      <c r="F216" t="str">
        <f t="shared" si="99"/>
        <v>JENIFER SANTOS</v>
      </c>
      <c r="G216" t="str">
        <f>"28867335000120"</f>
        <v>28867335000120</v>
      </c>
      <c r="H216" t="str">
        <f>"0"</f>
        <v>0</v>
      </c>
      <c r="I216" t="str">
        <f t="shared" si="100"/>
        <v>CONTA OPTICA</v>
      </c>
      <c r="J216" t="str">
        <f>"MARIELI ANTUNES DA SOLER OTICA"</f>
        <v>MARIELI ANTUNES DA SOLER OTICA</v>
      </c>
      <c r="K216" t="str">
        <f>"CHILLI BEANS (3874)"</f>
        <v>CHILLI BEANS (3874)</v>
      </c>
      <c r="L216" t="str">
        <f>""</f>
        <v/>
      </c>
      <c r="M216" t="str">
        <f>""</f>
        <v/>
      </c>
      <c r="N216" t="str">
        <f>"marieliantunes15@yahoo.com.br"</f>
        <v>marieliantunes15@yahoo.com.br</v>
      </c>
      <c r="O216" t="str">
        <f>""</f>
        <v/>
      </c>
      <c r="P216" t="str">
        <f>"AVENIDA BARAO DO RIO BRANCO"</f>
        <v>AVENIDA BARAO DO RIO BRANCO</v>
      </c>
      <c r="Q216" t="str">
        <f>"222"</f>
        <v>222</v>
      </c>
      <c r="R216" t="str">
        <f>"SALA 03"</f>
        <v>SALA 03</v>
      </c>
      <c r="S216" t="str">
        <f>"1284"</f>
        <v>1284</v>
      </c>
      <c r="T216" t="str">
        <f>"89500148"</f>
        <v>89500148</v>
      </c>
      <c r="U216" t="str">
        <f>"CENTRO"</f>
        <v>CENTRO</v>
      </c>
      <c r="V216" t="str">
        <f>"CAÇADOR"</f>
        <v>CAÇADOR</v>
      </c>
      <c r="W216" t="str">
        <f t="shared" si="111"/>
        <v>SC</v>
      </c>
      <c r="X216" t="str">
        <f>"49"</f>
        <v>49</v>
      </c>
      <c r="Y216" t="str">
        <f>"99994516"</f>
        <v>99994516</v>
      </c>
      <c r="Z216" t="str">
        <f>""</f>
        <v/>
      </c>
      <c r="AA216" t="str">
        <f>""</f>
        <v/>
      </c>
      <c r="AB216" t="str">
        <f>""</f>
        <v/>
      </c>
      <c r="AC216" t="str">
        <f>""</f>
        <v/>
      </c>
      <c r="AD216" t="str">
        <f>""</f>
        <v/>
      </c>
      <c r="AE216" t="str">
        <f>""</f>
        <v/>
      </c>
      <c r="AF216" t="str">
        <f>""</f>
        <v/>
      </c>
      <c r="AG216" t="str">
        <f>"S"</f>
        <v>S</v>
      </c>
      <c r="AH216" t="str">
        <f>""</f>
        <v/>
      </c>
      <c r="AI216" t="str">
        <f>""</f>
        <v/>
      </c>
      <c r="AJ216" t="str">
        <f>""</f>
        <v/>
      </c>
      <c r="AK216" t="str">
        <f>""</f>
        <v/>
      </c>
      <c r="AL216" t="str">
        <f>""</f>
        <v/>
      </c>
      <c r="AM216" t="str">
        <f>""</f>
        <v/>
      </c>
      <c r="AN216" t="str">
        <f>""</f>
        <v/>
      </c>
      <c r="AO216" t="str">
        <f>""</f>
        <v/>
      </c>
      <c r="AP216" t="str">
        <f>""</f>
        <v/>
      </c>
      <c r="AQ216" t="str">
        <f t="shared" si="113"/>
        <v>N</v>
      </c>
      <c r="AR216" t="str">
        <f t="shared" si="113"/>
        <v>N</v>
      </c>
      <c r="AS216" t="str">
        <f t="shared" si="113"/>
        <v>N</v>
      </c>
      <c r="AT216" t="str">
        <f t="shared" si="113"/>
        <v>N</v>
      </c>
      <c r="AU216" t="str">
        <f t="shared" si="113"/>
        <v>N</v>
      </c>
      <c r="AV216" t="str">
        <f>""</f>
        <v/>
      </c>
      <c r="AW216" t="str">
        <f>""</f>
        <v/>
      </c>
      <c r="AX216" t="str">
        <f>""</f>
        <v/>
      </c>
      <c r="AY216" t="str">
        <f>""</f>
        <v/>
      </c>
      <c r="AZ216" t="str">
        <f>""</f>
        <v/>
      </c>
      <c r="BA216" t="str">
        <f>""</f>
        <v/>
      </c>
      <c r="BB216" t="str">
        <f>"01/07/2021 13:53:04"</f>
        <v>01/07/2021 13:53:04</v>
      </c>
      <c r="BC216" t="str">
        <f>"22/03/2022 11:04:09"</f>
        <v>22/03/2022 11:04:09</v>
      </c>
      <c r="BD216" t="str">
        <f>""</f>
        <v/>
      </c>
      <c r="BE216" t="str">
        <f>""</f>
        <v/>
      </c>
      <c r="BF216" t="str">
        <f t="shared" si="101"/>
        <v>A</v>
      </c>
      <c r="BG216" t="str">
        <f>""</f>
        <v/>
      </c>
      <c r="BH216" t="str">
        <f>"0,00"</f>
        <v>0,00</v>
      </c>
      <c r="BI216" t="str">
        <f t="shared" si="87"/>
        <v>EVENTUAL</v>
      </c>
      <c r="BJ216" t="str">
        <f t="shared" si="102"/>
        <v>1</v>
      </c>
      <c r="BK216" t="str">
        <f t="shared" si="103"/>
        <v>Farmacia</v>
      </c>
      <c r="BL216" t="str">
        <f>""</f>
        <v/>
      </c>
      <c r="BM216" t="str">
        <f>"NÃO É VARILUX ESPECIALISTA"</f>
        <v>NÃO É VARILUX ESPECIALISTA</v>
      </c>
      <c r="BN216" t="str">
        <f t="shared" si="112"/>
        <v>NA</v>
      </c>
      <c r="BO216" t="str">
        <f>"FOCO VARILUX"</f>
        <v>FOCO VARILUX</v>
      </c>
      <c r="BP216" t="str">
        <f>""</f>
        <v/>
      </c>
      <c r="BQ216" t="str">
        <f>""</f>
        <v/>
      </c>
      <c r="BR216" t="str">
        <f>"01/07/2021"</f>
        <v>01/07/2021</v>
      </c>
      <c r="BS216" t="str">
        <f>"22/03/2022"</f>
        <v>22/03/2022</v>
      </c>
      <c r="BT216" t="str">
        <f>""</f>
        <v/>
      </c>
      <c r="BU216" t="str">
        <f>""</f>
        <v/>
      </c>
      <c r="BV216" t="str">
        <f>""</f>
        <v/>
      </c>
      <c r="BW216" t="str">
        <f>"92"</f>
        <v>92</v>
      </c>
    </row>
    <row r="217" spans="1:75" x14ac:dyDescent="0.35">
      <c r="A217">
        <v>120403</v>
      </c>
      <c r="B217" t="str">
        <f t="shared" si="95"/>
        <v>A</v>
      </c>
      <c r="C217" t="str">
        <f t="shared" si="96"/>
        <v>80</v>
      </c>
      <c r="D217" t="str">
        <f t="shared" si="97"/>
        <v>11121001</v>
      </c>
      <c r="E217" t="str">
        <f t="shared" si="98"/>
        <v>121001</v>
      </c>
      <c r="F217" t="str">
        <f t="shared" si="99"/>
        <v>JENIFER SANTOS</v>
      </c>
      <c r="G217" t="str">
        <f>"03756493000182"</f>
        <v>03756493000182</v>
      </c>
      <c r="H217" t="str">
        <f>"0"</f>
        <v>0</v>
      </c>
      <c r="I217" t="str">
        <f t="shared" si="100"/>
        <v>CONTA OPTICA</v>
      </c>
      <c r="J217" t="str">
        <f>"MARILENE LIMA DE OLIVEIRA ME"</f>
        <v>MARILENE LIMA DE OLIVEIRA ME</v>
      </c>
      <c r="K217" t="str">
        <f>"MARILENE LIMA DE OLIVEIRA ME (1227)"</f>
        <v>MARILENE LIMA DE OLIVEIRA ME (1227)</v>
      </c>
      <c r="L217" t="str">
        <f>""</f>
        <v/>
      </c>
      <c r="M217" t="str">
        <f>""</f>
        <v/>
      </c>
      <c r="N217" t="str">
        <f>"oticaoliveira@brturbo.com"</f>
        <v>oticaoliveira@brturbo.com</v>
      </c>
      <c r="O217" t="str">
        <f>""</f>
        <v/>
      </c>
      <c r="P217" t="str">
        <f>"RUA GETULIO DORNELES VARGAS"</f>
        <v>RUA GETULIO DORNELES VARGAS</v>
      </c>
      <c r="Q217" t="str">
        <f>"731"</f>
        <v>731</v>
      </c>
      <c r="R217" t="str">
        <f>"S"</f>
        <v>S</v>
      </c>
      <c r="S217" t="str">
        <f>"1287"</f>
        <v>1287</v>
      </c>
      <c r="T217" t="str">
        <f>"89807150"</f>
        <v>89807150</v>
      </c>
      <c r="U217" t="str">
        <f>"CENTRO"</f>
        <v>CENTRO</v>
      </c>
      <c r="V217" t="str">
        <f>"CHAPECO"</f>
        <v>CHAPECO</v>
      </c>
      <c r="W217" t="str">
        <f t="shared" si="111"/>
        <v>SC</v>
      </c>
      <c r="X217" t="str">
        <f>"49"</f>
        <v>49</v>
      </c>
      <c r="Y217" t="str">
        <f>"33295720"</f>
        <v>33295720</v>
      </c>
      <c r="Z217" t="str">
        <f>""</f>
        <v/>
      </c>
      <c r="AA217" t="str">
        <f>""</f>
        <v/>
      </c>
      <c r="AB217" t="str">
        <f>""</f>
        <v/>
      </c>
      <c r="AC217" t="str">
        <f>""</f>
        <v/>
      </c>
      <c r="AD217" t="str">
        <f>""</f>
        <v/>
      </c>
      <c r="AE217" t="str">
        <f>""</f>
        <v/>
      </c>
      <c r="AF217" t="str">
        <f>""</f>
        <v/>
      </c>
      <c r="AG217" t="str">
        <f>""</f>
        <v/>
      </c>
      <c r="AH217" t="str">
        <f>""</f>
        <v/>
      </c>
      <c r="AI217" t="str">
        <f>""</f>
        <v/>
      </c>
      <c r="AJ217" t="str">
        <f>"0"</f>
        <v>0</v>
      </c>
      <c r="AK217" t="str">
        <f>"0"</f>
        <v>0</v>
      </c>
      <c r="AL217" t="str">
        <f>"0"</f>
        <v>0</v>
      </c>
      <c r="AM217" t="str">
        <f>""</f>
        <v/>
      </c>
      <c r="AN217" t="str">
        <f>""</f>
        <v/>
      </c>
      <c r="AO217" t="str">
        <f>""</f>
        <v/>
      </c>
      <c r="AP217" t="str">
        <f>""</f>
        <v/>
      </c>
      <c r="AQ217" t="str">
        <f>""</f>
        <v/>
      </c>
      <c r="AR217" t="str">
        <f>""</f>
        <v/>
      </c>
      <c r="AS217" t="str">
        <f>""</f>
        <v/>
      </c>
      <c r="AT217" t="str">
        <f>""</f>
        <v/>
      </c>
      <c r="AU217" t="str">
        <f>""</f>
        <v/>
      </c>
      <c r="AV217" t="str">
        <f>""</f>
        <v/>
      </c>
      <c r="AW217" t="str">
        <f>""</f>
        <v/>
      </c>
      <c r="AX217" t="str">
        <f>""</f>
        <v/>
      </c>
      <c r="AY217" t="str">
        <f>""</f>
        <v/>
      </c>
      <c r="AZ217" t="str">
        <f>""</f>
        <v/>
      </c>
      <c r="BA217" t="str">
        <f>""</f>
        <v/>
      </c>
      <c r="BB217" t="str">
        <f>"18/09/2020 22:12:34"</f>
        <v>18/09/2020 22:12:34</v>
      </c>
      <c r="BC217" t="str">
        <f>""</f>
        <v/>
      </c>
      <c r="BD217" t="str">
        <f>""</f>
        <v/>
      </c>
      <c r="BE217" t="str">
        <f>""</f>
        <v/>
      </c>
      <c r="BF217" t="str">
        <f t="shared" si="101"/>
        <v>A</v>
      </c>
      <c r="BG217" t="str">
        <f>"0,00"</f>
        <v>0,00</v>
      </c>
      <c r="BH217" t="str">
        <f>"0,00"</f>
        <v>0,00</v>
      </c>
      <c r="BI217" t="str">
        <f t="shared" si="87"/>
        <v>EVENTUAL</v>
      </c>
      <c r="BJ217" t="str">
        <f t="shared" si="102"/>
        <v>1</v>
      </c>
      <c r="BK217" t="str">
        <f t="shared" si="103"/>
        <v>Farmacia</v>
      </c>
      <c r="BL217" t="str">
        <f>""</f>
        <v/>
      </c>
      <c r="BM217" t="str">
        <f>"NÃO É VARILUX ESPECIALISTA"</f>
        <v>NÃO É VARILUX ESPECIALISTA</v>
      </c>
      <c r="BN217" t="str">
        <f t="shared" si="112"/>
        <v>NA</v>
      </c>
      <c r="BO217" t="str">
        <f>"OUTROS"</f>
        <v>OUTROS</v>
      </c>
      <c r="BP217" t="str">
        <f>""</f>
        <v/>
      </c>
      <c r="BQ217" t="str">
        <f>""</f>
        <v/>
      </c>
      <c r="BR217" t="str">
        <f>"18/09/2020"</f>
        <v>18/09/2020</v>
      </c>
      <c r="BS217" t="str">
        <f>""</f>
        <v/>
      </c>
      <c r="BT217" t="str">
        <f>""</f>
        <v/>
      </c>
      <c r="BU217" t="str">
        <f>""</f>
        <v/>
      </c>
      <c r="BV217" t="str">
        <f>"9"</f>
        <v>9</v>
      </c>
      <c r="BW217" t="str">
        <f>"Não visitado"</f>
        <v>Não visitado</v>
      </c>
    </row>
    <row r="218" spans="1:75" x14ac:dyDescent="0.35">
      <c r="A218">
        <v>158728</v>
      </c>
      <c r="B218" t="str">
        <f t="shared" si="95"/>
        <v>A</v>
      </c>
      <c r="C218" t="str">
        <f t="shared" si="96"/>
        <v>80</v>
      </c>
      <c r="D218" t="str">
        <f t="shared" si="97"/>
        <v>11121001</v>
      </c>
      <c r="E218" t="str">
        <f t="shared" si="98"/>
        <v>121001</v>
      </c>
      <c r="F218" t="str">
        <f t="shared" si="99"/>
        <v>JENIFER SANTOS</v>
      </c>
      <c r="G218" t="str">
        <f>"36384682000120"</f>
        <v>36384682000120</v>
      </c>
      <c r="H218" t="str">
        <f>""</f>
        <v/>
      </c>
      <c r="I218" t="str">
        <f t="shared" si="100"/>
        <v>CONTA OPTICA</v>
      </c>
      <c r="J218" t="str">
        <f>"MARILUCE FREITAS 96614340000"</f>
        <v>MARILUCE FREITAS 96614340000</v>
      </c>
      <c r="K218" t="str">
        <f>"OPTICA BELLA VISTA (4730)"</f>
        <v>OPTICA BELLA VISTA (4730)</v>
      </c>
      <c r="L218" t="str">
        <f>""</f>
        <v/>
      </c>
      <c r="M218" t="str">
        <f>""</f>
        <v/>
      </c>
      <c r="N218" t="str">
        <f>"OPTICABELLAVISTAPF@HOTMAIL.COM"</f>
        <v>OPTICABELLAVISTAPF@HOTMAIL.COM</v>
      </c>
      <c r="O218" t="str">
        <f>""</f>
        <v/>
      </c>
      <c r="P218" t="str">
        <f>"RUA TEIXEIRA SOARES"</f>
        <v>RUA TEIXEIRA SOARES</v>
      </c>
      <c r="Q218" t="str">
        <f>"1045"</f>
        <v>1045</v>
      </c>
      <c r="R218" t="str">
        <f>"SALA 02"</f>
        <v>SALA 02</v>
      </c>
      <c r="S218" t="str">
        <f>""</f>
        <v/>
      </c>
      <c r="T218" t="str">
        <f>"99010080"</f>
        <v>99010080</v>
      </c>
      <c r="U218" t="str">
        <f>"CENTRO"</f>
        <v>CENTRO</v>
      </c>
      <c r="V218" t="str">
        <f>"PASSO FUNDO"</f>
        <v>PASSO FUNDO</v>
      </c>
      <c r="W218" t="str">
        <f>"RS"</f>
        <v>RS</v>
      </c>
      <c r="X218" t="str">
        <f>"54"</f>
        <v>54</v>
      </c>
      <c r="Y218" t="str">
        <f>"36225011"</f>
        <v>36225011</v>
      </c>
      <c r="Z218" t="str">
        <f>""</f>
        <v/>
      </c>
      <c r="AA218" t="str">
        <f>""</f>
        <v/>
      </c>
      <c r="AB218" t="str">
        <f>""</f>
        <v/>
      </c>
      <c r="AC218" t="str">
        <f>""</f>
        <v/>
      </c>
      <c r="AD218" t="str">
        <f>""</f>
        <v/>
      </c>
      <c r="AE218" t="str">
        <f>""</f>
        <v/>
      </c>
      <c r="AF218" t="str">
        <f>""</f>
        <v/>
      </c>
      <c r="AG218" t="str">
        <f>""</f>
        <v/>
      </c>
      <c r="AH218" t="str">
        <f>""</f>
        <v/>
      </c>
      <c r="AI218" t="str">
        <f>""</f>
        <v/>
      </c>
      <c r="AJ218" t="str">
        <f>""</f>
        <v/>
      </c>
      <c r="AK218" t="str">
        <f>""</f>
        <v/>
      </c>
      <c r="AL218" t="str">
        <f>""</f>
        <v/>
      </c>
      <c r="AM218" t="str">
        <f>""</f>
        <v/>
      </c>
      <c r="AN218" t="str">
        <f>""</f>
        <v/>
      </c>
      <c r="AO218" t="str">
        <f>""</f>
        <v/>
      </c>
      <c r="AP218" t="str">
        <f>""</f>
        <v/>
      </c>
      <c r="AQ218" t="str">
        <f>""</f>
        <v/>
      </c>
      <c r="AR218" t="str">
        <f>""</f>
        <v/>
      </c>
      <c r="AS218" t="str">
        <f>""</f>
        <v/>
      </c>
      <c r="AT218" t="str">
        <f>""</f>
        <v/>
      </c>
      <c r="AU218" t="str">
        <f>""</f>
        <v/>
      </c>
      <c r="AV218" t="str">
        <f>""</f>
        <v/>
      </c>
      <c r="AW218" t="str">
        <f>""</f>
        <v/>
      </c>
      <c r="AX218" t="str">
        <f>""</f>
        <v/>
      </c>
      <c r="AY218" t="str">
        <f>""</f>
        <v/>
      </c>
      <c r="AZ218" t="str">
        <f>""</f>
        <v/>
      </c>
      <c r="BA218" t="str">
        <f>""</f>
        <v/>
      </c>
      <c r="BB218" t="str">
        <f>"17/08/2023 16:48:06"</f>
        <v>17/08/2023 16:48:06</v>
      </c>
      <c r="BC218" t="str">
        <f>""</f>
        <v/>
      </c>
      <c r="BD218" t="str">
        <f>""</f>
        <v/>
      </c>
      <c r="BE218" t="str">
        <f>""</f>
        <v/>
      </c>
      <c r="BF218" t="str">
        <f t="shared" si="101"/>
        <v>A</v>
      </c>
      <c r="BG218" t="str">
        <f>""</f>
        <v/>
      </c>
      <c r="BH218" t="str">
        <f>""</f>
        <v/>
      </c>
      <c r="BI218" t="str">
        <f t="shared" si="87"/>
        <v>EVENTUAL</v>
      </c>
      <c r="BJ218" t="str">
        <f t="shared" si="102"/>
        <v>1</v>
      </c>
      <c r="BK218" t="str">
        <f t="shared" si="103"/>
        <v>Farmacia</v>
      </c>
      <c r="BL218" t="str">
        <f>""</f>
        <v/>
      </c>
      <c r="BM218" t="str">
        <f>""</f>
        <v/>
      </c>
      <c r="BN218" t="str">
        <f>""</f>
        <v/>
      </c>
      <c r="BO218" t="str">
        <f>""</f>
        <v/>
      </c>
      <c r="BP218" t="str">
        <f>""</f>
        <v/>
      </c>
      <c r="BQ218" t="str">
        <f>""</f>
        <v/>
      </c>
      <c r="BR218" t="str">
        <f>"17/08/2023"</f>
        <v>17/08/2023</v>
      </c>
      <c r="BS218" t="str">
        <f>""</f>
        <v/>
      </c>
      <c r="BT218" t="str">
        <f>""</f>
        <v/>
      </c>
      <c r="BU218" t="str">
        <f>""</f>
        <v/>
      </c>
      <c r="BV218" t="str">
        <f>""</f>
        <v/>
      </c>
      <c r="BW218" t="str">
        <f>"2"</f>
        <v>2</v>
      </c>
    </row>
    <row r="219" spans="1:75" x14ac:dyDescent="0.35">
      <c r="A219">
        <v>157500</v>
      </c>
      <c r="B219" t="str">
        <f t="shared" si="95"/>
        <v>A</v>
      </c>
      <c r="C219" t="str">
        <f t="shared" si="96"/>
        <v>80</v>
      </c>
      <c r="D219" t="str">
        <f t="shared" si="97"/>
        <v>11121001</v>
      </c>
      <c r="E219" t="str">
        <f t="shared" si="98"/>
        <v>121001</v>
      </c>
      <c r="F219" t="str">
        <f t="shared" si="99"/>
        <v>JENIFER SANTOS</v>
      </c>
      <c r="G219" t="str">
        <f>"08851522000109"</f>
        <v>08851522000109</v>
      </c>
      <c r="H219" t="str">
        <f>"0"</f>
        <v>0</v>
      </c>
      <c r="I219" t="str">
        <f t="shared" si="100"/>
        <v>CONTA OPTICA</v>
      </c>
      <c r="J219" t="str">
        <f>"MARIN E RECH OTICA LTDA"</f>
        <v>MARIN E RECH OTICA LTDA</v>
      </c>
      <c r="K219" t="str">
        <f>"OTICA MARIN (4112)"</f>
        <v>OTICA MARIN (4112)</v>
      </c>
      <c r="L219" t="str">
        <f>""</f>
        <v/>
      </c>
      <c r="M219" t="str">
        <f>""</f>
        <v/>
      </c>
      <c r="N219" t="str">
        <f>"OTICAMARIN2017@GMAIL.COM"</f>
        <v>OTICAMARIN2017@GMAIL.COM</v>
      </c>
      <c r="O219" t="str">
        <f>""</f>
        <v/>
      </c>
      <c r="P219" t="str">
        <f>"RUA SETE DE SETEMBRO"</f>
        <v>RUA SETE DE SETEMBRO</v>
      </c>
      <c r="Q219" t="str">
        <f>"59"</f>
        <v>59</v>
      </c>
      <c r="R219" t="str">
        <f>"SALA A"</f>
        <v>SALA A</v>
      </c>
      <c r="S219" t="str">
        <f>"1285"</f>
        <v>1285</v>
      </c>
      <c r="T219" t="str">
        <f>"89600000"</f>
        <v>89600000</v>
      </c>
      <c r="U219" t="str">
        <f>"CENTRO"</f>
        <v>CENTRO</v>
      </c>
      <c r="V219" t="str">
        <f>"JOACABA"</f>
        <v>JOACABA</v>
      </c>
      <c r="W219" t="str">
        <f t="shared" ref="W219:W228" si="114">"SC"</f>
        <v>SC</v>
      </c>
      <c r="X219" t="str">
        <f>"49"</f>
        <v>49</v>
      </c>
      <c r="Y219" t="str">
        <f>"35223745"</f>
        <v>35223745</v>
      </c>
      <c r="Z219" t="str">
        <f>""</f>
        <v/>
      </c>
      <c r="AA219" t="str">
        <f>""</f>
        <v/>
      </c>
      <c r="AB219" t="str">
        <f>""</f>
        <v/>
      </c>
      <c r="AC219" t="str">
        <f>""</f>
        <v/>
      </c>
      <c r="AD219" t="str">
        <f>""</f>
        <v/>
      </c>
      <c r="AE219" t="str">
        <f>""</f>
        <v/>
      </c>
      <c r="AF219" t="str">
        <f>""</f>
        <v/>
      </c>
      <c r="AG219" t="str">
        <f>""</f>
        <v/>
      </c>
      <c r="AH219" t="str">
        <f>""</f>
        <v/>
      </c>
      <c r="AI219" t="str">
        <f>""</f>
        <v/>
      </c>
      <c r="AJ219" t="str">
        <f>""</f>
        <v/>
      </c>
      <c r="AK219" t="str">
        <f>""</f>
        <v/>
      </c>
      <c r="AL219" t="str">
        <f>""</f>
        <v/>
      </c>
      <c r="AM219" t="str">
        <f>""</f>
        <v/>
      </c>
      <c r="AN219" t="str">
        <f>""</f>
        <v/>
      </c>
      <c r="AO219" t="str">
        <f>""</f>
        <v/>
      </c>
      <c r="AP219" t="str">
        <f>""</f>
        <v/>
      </c>
      <c r="AQ219" t="str">
        <f>""</f>
        <v/>
      </c>
      <c r="AR219" t="str">
        <f>""</f>
        <v/>
      </c>
      <c r="AS219" t="str">
        <f>""</f>
        <v/>
      </c>
      <c r="AT219" t="str">
        <f>""</f>
        <v/>
      </c>
      <c r="AU219" t="str">
        <f>""</f>
        <v/>
      </c>
      <c r="AV219" t="str">
        <f>""</f>
        <v/>
      </c>
      <c r="AW219" t="str">
        <f>""</f>
        <v/>
      </c>
      <c r="AX219" t="str">
        <f>""</f>
        <v/>
      </c>
      <c r="AY219" t="str">
        <f>""</f>
        <v/>
      </c>
      <c r="AZ219" t="str">
        <f>""</f>
        <v/>
      </c>
      <c r="BA219" t="str">
        <f>""</f>
        <v/>
      </c>
      <c r="BB219" t="str">
        <f>"11/07/2023 02:14:29"</f>
        <v>11/07/2023 02:14:29</v>
      </c>
      <c r="BC219" t="str">
        <f>""</f>
        <v/>
      </c>
      <c r="BD219" t="str">
        <f>""</f>
        <v/>
      </c>
      <c r="BE219" t="str">
        <f>""</f>
        <v/>
      </c>
      <c r="BF219" t="str">
        <f t="shared" si="101"/>
        <v>A</v>
      </c>
      <c r="BG219" t="str">
        <f>""</f>
        <v/>
      </c>
      <c r="BH219" t="str">
        <f>""</f>
        <v/>
      </c>
      <c r="BI219" t="str">
        <f t="shared" si="87"/>
        <v>EVENTUAL</v>
      </c>
      <c r="BJ219" t="str">
        <f t="shared" si="102"/>
        <v>1</v>
      </c>
      <c r="BK219" t="str">
        <f t="shared" si="103"/>
        <v>Farmacia</v>
      </c>
      <c r="BL219" t="str">
        <f>""</f>
        <v/>
      </c>
      <c r="BM219" t="str">
        <f>""</f>
        <v/>
      </c>
      <c r="BN219" t="str">
        <f>""</f>
        <v/>
      </c>
      <c r="BO219" t="str">
        <f>""</f>
        <v/>
      </c>
      <c r="BP219" t="str">
        <f>""</f>
        <v/>
      </c>
      <c r="BQ219" t="str">
        <f>""</f>
        <v/>
      </c>
      <c r="BR219" t="str">
        <f>"11/07/2023"</f>
        <v>11/07/2023</v>
      </c>
      <c r="BS219" t="str">
        <f>""</f>
        <v/>
      </c>
      <c r="BT219" t="str">
        <f>""</f>
        <v/>
      </c>
      <c r="BU219" t="str">
        <f>""</f>
        <v/>
      </c>
      <c r="BV219" t="str">
        <f>""</f>
        <v/>
      </c>
      <c r="BW219" t="str">
        <f>"4"</f>
        <v>4</v>
      </c>
    </row>
    <row r="220" spans="1:75" x14ac:dyDescent="0.35">
      <c r="A220">
        <v>120510</v>
      </c>
      <c r="B220" t="str">
        <f t="shared" si="95"/>
        <v>A</v>
      </c>
      <c r="C220" t="str">
        <f t="shared" si="96"/>
        <v>80</v>
      </c>
      <c r="D220" t="str">
        <f t="shared" si="97"/>
        <v>11121001</v>
      </c>
      <c r="E220" t="str">
        <f t="shared" si="98"/>
        <v>121001</v>
      </c>
      <c r="F220" t="str">
        <f t="shared" si="99"/>
        <v>JENIFER SANTOS</v>
      </c>
      <c r="G220" t="str">
        <f>"01111758000321"</f>
        <v>01111758000321</v>
      </c>
      <c r="H220" t="str">
        <f>"0"</f>
        <v>0</v>
      </c>
      <c r="I220" t="str">
        <f t="shared" si="100"/>
        <v>CONTA OPTICA</v>
      </c>
      <c r="J220" t="str">
        <f>"MARISLEI SCHIFTER"</f>
        <v>MARISLEI SCHIFTER</v>
      </c>
      <c r="K220" t="str">
        <f>"OTICA SANTA CECILIA (4122)"</f>
        <v>OTICA SANTA CECILIA (4122)</v>
      </c>
      <c r="L220" t="str">
        <f>""</f>
        <v/>
      </c>
      <c r="M220" t="str">
        <f>""</f>
        <v/>
      </c>
      <c r="N220" t="str">
        <f>"oticasantaceciliafilial@gmail.com"</f>
        <v>oticasantaceciliafilial@gmail.com</v>
      </c>
      <c r="O220" t="str">
        <f>""</f>
        <v/>
      </c>
      <c r="P220" t="str">
        <f>"RUA FELIPE SCHMIDT"</f>
        <v>RUA FELIPE SCHMIDT</v>
      </c>
      <c r="Q220" t="str">
        <f>"1030"</f>
        <v>1030</v>
      </c>
      <c r="R220" t="str">
        <f>"SALA 4"</f>
        <v>SALA 4</v>
      </c>
      <c r="S220" t="str">
        <f>""</f>
        <v/>
      </c>
      <c r="T220" t="str">
        <f>"89300074"</f>
        <v>89300074</v>
      </c>
      <c r="U220" t="str">
        <f>"CENTRO II ALTO DE MAFRA"</f>
        <v>CENTRO II ALTO DE MAFRA</v>
      </c>
      <c r="V220" t="str">
        <f>"MAFRA"</f>
        <v>MAFRA</v>
      </c>
      <c r="W220" t="str">
        <f t="shared" si="114"/>
        <v>SC</v>
      </c>
      <c r="X220" t="str">
        <f>"47"</f>
        <v>47</v>
      </c>
      <c r="Y220" t="str">
        <f>"30121414"</f>
        <v>30121414</v>
      </c>
      <c r="Z220" t="str">
        <f>""</f>
        <v/>
      </c>
      <c r="AA220" t="str">
        <f>""</f>
        <v/>
      </c>
      <c r="AB220" t="str">
        <f>""</f>
        <v/>
      </c>
      <c r="AC220" t="str">
        <f>""</f>
        <v/>
      </c>
      <c r="AD220" t="str">
        <f>""</f>
        <v/>
      </c>
      <c r="AE220" t="str">
        <f>""</f>
        <v/>
      </c>
      <c r="AF220" t="str">
        <f>""</f>
        <v/>
      </c>
      <c r="AG220" t="str">
        <f>""</f>
        <v/>
      </c>
      <c r="AH220" t="str">
        <f>""</f>
        <v/>
      </c>
      <c r="AI220" t="str">
        <f>""</f>
        <v/>
      </c>
      <c r="AJ220" t="str">
        <f t="shared" ref="AJ220:AL222" si="115">"0"</f>
        <v>0</v>
      </c>
      <c r="AK220" t="str">
        <f t="shared" si="115"/>
        <v>0</v>
      </c>
      <c r="AL220" t="str">
        <f t="shared" si="115"/>
        <v>0</v>
      </c>
      <c r="AM220" t="str">
        <f>""</f>
        <v/>
      </c>
      <c r="AN220" t="str">
        <f>""</f>
        <v/>
      </c>
      <c r="AO220" t="str">
        <f>""</f>
        <v/>
      </c>
      <c r="AP220" t="str">
        <f>""</f>
        <v/>
      </c>
      <c r="AQ220" t="str">
        <f>""</f>
        <v/>
      </c>
      <c r="AR220" t="str">
        <f>""</f>
        <v/>
      </c>
      <c r="AS220" t="str">
        <f>""</f>
        <v/>
      </c>
      <c r="AT220" t="str">
        <f>""</f>
        <v/>
      </c>
      <c r="AU220" t="str">
        <f>""</f>
        <v/>
      </c>
      <c r="AV220" t="str">
        <f>""</f>
        <v/>
      </c>
      <c r="AW220" t="str">
        <f>""</f>
        <v/>
      </c>
      <c r="AX220" t="str">
        <f>""</f>
        <v/>
      </c>
      <c r="AY220" t="str">
        <f>""</f>
        <v/>
      </c>
      <c r="AZ220" t="str">
        <f>""</f>
        <v/>
      </c>
      <c r="BA220" t="str">
        <f>""</f>
        <v/>
      </c>
      <c r="BB220" t="str">
        <f>"22/09/2020 15:29:33"</f>
        <v>22/09/2020 15:29:33</v>
      </c>
      <c r="BC220" t="str">
        <f>""</f>
        <v/>
      </c>
      <c r="BD220" t="str">
        <f>""</f>
        <v/>
      </c>
      <c r="BE220" t="str">
        <f>""</f>
        <v/>
      </c>
      <c r="BF220" t="str">
        <f t="shared" si="101"/>
        <v>A</v>
      </c>
      <c r="BG220" t="str">
        <f t="shared" ref="BG220:BH222" si="116">"0,00"</f>
        <v>0,00</v>
      </c>
      <c r="BH220" t="str">
        <f t="shared" si="116"/>
        <v>0,00</v>
      </c>
      <c r="BI220" t="str">
        <f t="shared" si="87"/>
        <v>EVENTUAL</v>
      </c>
      <c r="BJ220" t="str">
        <f t="shared" si="102"/>
        <v>1</v>
      </c>
      <c r="BK220" t="str">
        <f t="shared" si="103"/>
        <v>Farmacia</v>
      </c>
      <c r="BL220" t="str">
        <f>""</f>
        <v/>
      </c>
      <c r="BM220" t="str">
        <f>"NÃO É VARILUX ESPECIALISTA"</f>
        <v>NÃO É VARILUX ESPECIALISTA</v>
      </c>
      <c r="BN220" t="str">
        <f>"NA"</f>
        <v>NA</v>
      </c>
      <c r="BO220" t="str">
        <f>"FOCO VARILUX DIGITAL"</f>
        <v>FOCO VARILUX DIGITAL</v>
      </c>
      <c r="BP220" t="str">
        <f>""</f>
        <v/>
      </c>
      <c r="BQ220" t="str">
        <f>""</f>
        <v/>
      </c>
      <c r="BR220" t="str">
        <f>"22/09/2020"</f>
        <v>22/09/2020</v>
      </c>
      <c r="BS220" t="str">
        <f>""</f>
        <v/>
      </c>
      <c r="BT220" t="str">
        <f>""</f>
        <v/>
      </c>
      <c r="BU220" t="str">
        <f>""</f>
        <v/>
      </c>
      <c r="BV220" t="str">
        <f>"5"</f>
        <v>5</v>
      </c>
      <c r="BW220" t="str">
        <f>"45"</f>
        <v>45</v>
      </c>
    </row>
    <row r="221" spans="1:75" x14ac:dyDescent="0.35">
      <c r="A221">
        <v>780</v>
      </c>
      <c r="B221" t="str">
        <f t="shared" si="95"/>
        <v>A</v>
      </c>
      <c r="C221" t="str">
        <f t="shared" si="96"/>
        <v>80</v>
      </c>
      <c r="D221" t="str">
        <f t="shared" si="97"/>
        <v>11121001</v>
      </c>
      <c r="E221" t="str">
        <f t="shared" si="98"/>
        <v>121001</v>
      </c>
      <c r="F221" t="str">
        <f t="shared" si="99"/>
        <v>JENIFER SANTOS</v>
      </c>
      <c r="G221" t="str">
        <f>"01111758000160"</f>
        <v>01111758000160</v>
      </c>
      <c r="H221" t="str">
        <f>""</f>
        <v/>
      </c>
      <c r="I221" t="str">
        <f t="shared" si="100"/>
        <v>CONTA OPTICA</v>
      </c>
      <c r="J221" t="str">
        <f>"MARISLEI SCHIFTER"</f>
        <v>MARISLEI SCHIFTER</v>
      </c>
      <c r="K221" t="str">
        <f>"OTICA SANTA CECILIA (2104)"</f>
        <v>OTICA SANTA CECILIA (2104)</v>
      </c>
      <c r="L221" t="str">
        <f>""</f>
        <v/>
      </c>
      <c r="M221" t="str">
        <f>""</f>
        <v/>
      </c>
      <c r="N221" t="str">
        <f>"oticasantacecilia@hotmail.com"</f>
        <v>oticasantacecilia@hotmail.com</v>
      </c>
      <c r="O221" t="str">
        <f>""</f>
        <v/>
      </c>
      <c r="P221" t="str">
        <f>"RUA FELIPE SCHMIDT"</f>
        <v>RUA FELIPE SCHMIDT</v>
      </c>
      <c r="Q221" t="str">
        <f>"731"</f>
        <v>731</v>
      </c>
      <c r="R221" t="str">
        <f>"A"</f>
        <v>A</v>
      </c>
      <c r="S221" t="str">
        <f>"1281"</f>
        <v>1281</v>
      </c>
      <c r="T221" t="str">
        <f>"89300000"</f>
        <v>89300000</v>
      </c>
      <c r="U221" t="str">
        <f>"CENTRO"</f>
        <v>CENTRO</v>
      </c>
      <c r="V221" t="str">
        <f>"MAFRA"</f>
        <v>MAFRA</v>
      </c>
      <c r="W221" t="str">
        <f t="shared" si="114"/>
        <v>SC</v>
      </c>
      <c r="X221" t="str">
        <f>"47"</f>
        <v>47</v>
      </c>
      <c r="Y221" t="str">
        <f>"36424951"</f>
        <v>36424951</v>
      </c>
      <c r="Z221" t="str">
        <f>""</f>
        <v/>
      </c>
      <c r="AA221" t="str">
        <f>""</f>
        <v/>
      </c>
      <c r="AB221" t="str">
        <f>""</f>
        <v/>
      </c>
      <c r="AC221" t="str">
        <f>""</f>
        <v/>
      </c>
      <c r="AD221" t="str">
        <f>""</f>
        <v/>
      </c>
      <c r="AE221" t="str">
        <f>""</f>
        <v/>
      </c>
      <c r="AF221" t="str">
        <f>""</f>
        <v/>
      </c>
      <c r="AG221" t="str">
        <f>""</f>
        <v/>
      </c>
      <c r="AH221" t="str">
        <f>""</f>
        <v/>
      </c>
      <c r="AI221" t="str">
        <f>""</f>
        <v/>
      </c>
      <c r="AJ221" t="str">
        <f t="shared" si="115"/>
        <v>0</v>
      </c>
      <c r="AK221" t="str">
        <f t="shared" si="115"/>
        <v>0</v>
      </c>
      <c r="AL221" t="str">
        <f t="shared" si="115"/>
        <v>0</v>
      </c>
      <c r="AM221" t="str">
        <f>""</f>
        <v/>
      </c>
      <c r="AN221" t="str">
        <f>""</f>
        <v/>
      </c>
      <c r="AO221" t="str">
        <f>""</f>
        <v/>
      </c>
      <c r="AP221" t="str">
        <f>""</f>
        <v/>
      </c>
      <c r="AQ221" t="str">
        <f>""</f>
        <v/>
      </c>
      <c r="AR221" t="str">
        <f>""</f>
        <v/>
      </c>
      <c r="AS221" t="str">
        <f>""</f>
        <v/>
      </c>
      <c r="AT221" t="str">
        <f>""</f>
        <v/>
      </c>
      <c r="AU221" t="str">
        <f>""</f>
        <v/>
      </c>
      <c r="AV221" t="str">
        <f>""</f>
        <v/>
      </c>
      <c r="AW221" t="str">
        <f>""</f>
        <v/>
      </c>
      <c r="AX221" t="str">
        <f>""</f>
        <v/>
      </c>
      <c r="AY221" t="str">
        <f>""</f>
        <v/>
      </c>
      <c r="AZ221" t="str">
        <f>""</f>
        <v/>
      </c>
      <c r="BA221" t="str">
        <f>""</f>
        <v/>
      </c>
      <c r="BB221" t="str">
        <f>"27/07/2018 09:25:51"</f>
        <v>27/07/2018 09:25:51</v>
      </c>
      <c r="BC221" t="str">
        <f>""</f>
        <v/>
      </c>
      <c r="BD221" t="str">
        <f>""</f>
        <v/>
      </c>
      <c r="BE221" t="str">
        <f>"780"</f>
        <v>780</v>
      </c>
      <c r="BF221" t="str">
        <f t="shared" si="101"/>
        <v>A</v>
      </c>
      <c r="BG221" t="str">
        <f t="shared" si="116"/>
        <v>0,00</v>
      </c>
      <c r="BH221" t="str">
        <f t="shared" si="116"/>
        <v>0,00</v>
      </c>
      <c r="BI221" t="str">
        <f t="shared" si="87"/>
        <v>EVENTUAL</v>
      </c>
      <c r="BJ221" t="str">
        <f t="shared" si="102"/>
        <v>1</v>
      </c>
      <c r="BK221" t="str">
        <f t="shared" si="103"/>
        <v>Farmacia</v>
      </c>
      <c r="BL221" t="str">
        <f>""</f>
        <v/>
      </c>
      <c r="BM221" t="str">
        <f>"VARILUX ESPECIALISTA SELECT"</f>
        <v>VARILUX ESPECIALISTA SELECT</v>
      </c>
      <c r="BN221" t="str">
        <f>"NA"</f>
        <v>NA</v>
      </c>
      <c r="BO221" t="str">
        <f>"FOCO VARILUX DIGITAL"</f>
        <v>FOCO VARILUX DIGITAL</v>
      </c>
      <c r="BP221" t="str">
        <f>""</f>
        <v/>
      </c>
      <c r="BQ221" t="str">
        <f>""</f>
        <v/>
      </c>
      <c r="BR221" t="str">
        <f>"27/07/2018"</f>
        <v>27/07/2018</v>
      </c>
      <c r="BS221" t="str">
        <f>""</f>
        <v/>
      </c>
      <c r="BT221" t="str">
        <f>""</f>
        <v/>
      </c>
      <c r="BU221" t="str">
        <f>""</f>
        <v/>
      </c>
      <c r="BV221" t="str">
        <f>"1"</f>
        <v>1</v>
      </c>
      <c r="BW221" t="str">
        <f>"45"</f>
        <v>45</v>
      </c>
    </row>
    <row r="222" spans="1:75" x14ac:dyDescent="0.35">
      <c r="A222">
        <v>144468</v>
      </c>
      <c r="B222" t="str">
        <f t="shared" si="95"/>
        <v>A</v>
      </c>
      <c r="C222" t="str">
        <f t="shared" si="96"/>
        <v>80</v>
      </c>
      <c r="D222" t="str">
        <f t="shared" si="97"/>
        <v>11121001</v>
      </c>
      <c r="E222" t="str">
        <f t="shared" si="98"/>
        <v>121001</v>
      </c>
      <c r="F222" t="str">
        <f t="shared" si="99"/>
        <v>JENIFER SANTOS</v>
      </c>
      <c r="G222" t="str">
        <f>"82993684000568"</f>
        <v>82993684000568</v>
      </c>
      <c r="H222" t="str">
        <f>""</f>
        <v/>
      </c>
      <c r="I222" t="str">
        <f t="shared" si="100"/>
        <v>CONTA OPTICA</v>
      </c>
      <c r="J222" t="str">
        <f>"MARLISA ARMARINHOS PRESENTES E UTI DO LAR LTDA EPP"</f>
        <v>MARLISA ARMARINHOS PRESENTES E UTI DO LAR LTDA EPP</v>
      </c>
      <c r="K222" t="str">
        <f>"MARLISA ARMARINHOS PRESENTES UTILIDADES LTDA (1197)"</f>
        <v>MARLISA ARMARINHOS PRESENTES UTILIDADES LTDA (1197)</v>
      </c>
      <c r="L222" t="str">
        <f>""</f>
        <v/>
      </c>
      <c r="M222" t="str">
        <f>""</f>
        <v/>
      </c>
      <c r="N222" t="str">
        <f>"marlisa@marlisa.com.br"</f>
        <v>marlisa@marlisa.com.br</v>
      </c>
      <c r="O222" t="str">
        <f>""</f>
        <v/>
      </c>
      <c r="P222" t="str">
        <f>"RUA BARAO DO RIO BRANCO"</f>
        <v>RUA BARAO DO RIO BRANCO</v>
      </c>
      <c r="Q222" t="str">
        <f>"197"</f>
        <v>197</v>
      </c>
      <c r="R222" t="str">
        <f>"LOJA 13"</f>
        <v>LOJA 13</v>
      </c>
      <c r="S222" t="str">
        <f>"1280"</f>
        <v>1280</v>
      </c>
      <c r="T222" t="str">
        <f>"89290000"</f>
        <v>89290000</v>
      </c>
      <c r="U222" t="str">
        <f>"CENTRO"</f>
        <v>CENTRO</v>
      </c>
      <c r="V222" t="str">
        <f>"SAO BENTO DO SUL"</f>
        <v>SAO BENTO DO SUL</v>
      </c>
      <c r="W222" t="str">
        <f t="shared" si="114"/>
        <v>SC</v>
      </c>
      <c r="X222" t="str">
        <f>"47"</f>
        <v>47</v>
      </c>
      <c r="Y222" t="str">
        <f>"36340849"</f>
        <v>36340849</v>
      </c>
      <c r="Z222" t="str">
        <f>""</f>
        <v/>
      </c>
      <c r="AA222" t="str">
        <f>""</f>
        <v/>
      </c>
      <c r="AB222" t="str">
        <f>""</f>
        <v/>
      </c>
      <c r="AC222" t="str">
        <f>""</f>
        <v/>
      </c>
      <c r="AD222" t="str">
        <f>""</f>
        <v/>
      </c>
      <c r="AE222" t="str">
        <f>""</f>
        <v/>
      </c>
      <c r="AF222" t="str">
        <f>""</f>
        <v/>
      </c>
      <c r="AG222" t="str">
        <f>""</f>
        <v/>
      </c>
      <c r="AH222" t="str">
        <f>""</f>
        <v/>
      </c>
      <c r="AI222" t="str">
        <f>""</f>
        <v/>
      </c>
      <c r="AJ222" t="str">
        <f t="shared" si="115"/>
        <v>0</v>
      </c>
      <c r="AK222" t="str">
        <f t="shared" si="115"/>
        <v>0</v>
      </c>
      <c r="AL222" t="str">
        <f t="shared" si="115"/>
        <v>0</v>
      </c>
      <c r="AM222" t="str">
        <f>""</f>
        <v/>
      </c>
      <c r="AN222" t="str">
        <f>""</f>
        <v/>
      </c>
      <c r="AO222" t="str">
        <f>""</f>
        <v/>
      </c>
      <c r="AP222" t="str">
        <f>""</f>
        <v/>
      </c>
      <c r="AQ222" t="str">
        <f>""</f>
        <v/>
      </c>
      <c r="AR222" t="str">
        <f>""</f>
        <v/>
      </c>
      <c r="AS222" t="str">
        <f>""</f>
        <v/>
      </c>
      <c r="AT222" t="str">
        <f>""</f>
        <v/>
      </c>
      <c r="AU222" t="str">
        <f>""</f>
        <v/>
      </c>
      <c r="AV222" t="str">
        <f>""</f>
        <v/>
      </c>
      <c r="AW222" t="str">
        <f>""</f>
        <v/>
      </c>
      <c r="AX222" t="str">
        <f>""</f>
        <v/>
      </c>
      <c r="AY222" t="str">
        <f>""</f>
        <v/>
      </c>
      <c r="AZ222" t="str">
        <f>""</f>
        <v/>
      </c>
      <c r="BA222" t="str">
        <f>""</f>
        <v/>
      </c>
      <c r="BB222" t="str">
        <f>""</f>
        <v/>
      </c>
      <c r="BC222" t="str">
        <f>""</f>
        <v/>
      </c>
      <c r="BD222" t="str">
        <f>""</f>
        <v/>
      </c>
      <c r="BE222" t="str">
        <f>""</f>
        <v/>
      </c>
      <c r="BF222" t="str">
        <f t="shared" si="101"/>
        <v>A</v>
      </c>
      <c r="BG222" t="str">
        <f t="shared" si="116"/>
        <v>0,00</v>
      </c>
      <c r="BH222" t="str">
        <f t="shared" si="116"/>
        <v>0,00</v>
      </c>
      <c r="BI222" t="str">
        <f t="shared" ref="BI222:BI285" si="117">"EVENTUAL"</f>
        <v>EVENTUAL</v>
      </c>
      <c r="BJ222" t="str">
        <f t="shared" si="102"/>
        <v>1</v>
      </c>
      <c r="BK222" t="str">
        <f t="shared" si="103"/>
        <v>Farmacia</v>
      </c>
      <c r="BL222" t="str">
        <f>""</f>
        <v/>
      </c>
      <c r="BM222" t="str">
        <f>"VARILUX ESPECIALISTA PLATINE"</f>
        <v>VARILUX ESPECIALISTA PLATINE</v>
      </c>
      <c r="BN222" t="str">
        <f>"NA"</f>
        <v>NA</v>
      </c>
      <c r="BO222" t="str">
        <f>"FOCO VARILUX DIGITAL"</f>
        <v>FOCO VARILUX DIGITAL</v>
      </c>
      <c r="BP222" t="str">
        <f>""</f>
        <v/>
      </c>
      <c r="BQ222" t="str">
        <f>""</f>
        <v/>
      </c>
      <c r="BR222" t="str">
        <f>""</f>
        <v/>
      </c>
      <c r="BS222" t="str">
        <f>""</f>
        <v/>
      </c>
      <c r="BT222" t="str">
        <f>""</f>
        <v/>
      </c>
      <c r="BU222" t="str">
        <f>""</f>
        <v/>
      </c>
      <c r="BV222" t="str">
        <f>"1"</f>
        <v>1</v>
      </c>
      <c r="BW222" t="str">
        <f>"36"</f>
        <v>36</v>
      </c>
    </row>
    <row r="223" spans="1:75" x14ac:dyDescent="0.35">
      <c r="A223">
        <v>157581</v>
      </c>
      <c r="B223" t="str">
        <f t="shared" si="95"/>
        <v>A</v>
      </c>
      <c r="C223" t="str">
        <f t="shared" si="96"/>
        <v>80</v>
      </c>
      <c r="D223" t="str">
        <f t="shared" si="97"/>
        <v>11121001</v>
      </c>
      <c r="E223" t="str">
        <f t="shared" si="98"/>
        <v>121001</v>
      </c>
      <c r="F223" t="str">
        <f t="shared" si="99"/>
        <v>JENIFER SANTOS</v>
      </c>
      <c r="G223" t="str">
        <f>"07430554000178"</f>
        <v>07430554000178</v>
      </c>
      <c r="H223" t="str">
        <f>"0"</f>
        <v>0</v>
      </c>
      <c r="I223" t="str">
        <f t="shared" si="100"/>
        <v>CONTA OPTICA</v>
      </c>
      <c r="J223" t="str">
        <f>"MARLON RODRIGO HUBIE ME"</f>
        <v>MARLON RODRIGO HUBIE ME</v>
      </c>
      <c r="K223" t="str">
        <f>"OPTIHUBIE (1307)"</f>
        <v>OPTIHUBIE (1307)</v>
      </c>
      <c r="L223" t="str">
        <f>""</f>
        <v/>
      </c>
      <c r="M223" t="str">
        <f>""</f>
        <v/>
      </c>
      <c r="N223" t="str">
        <f>"mar77lon@pop.com.br"</f>
        <v>mar77lon@pop.com.br</v>
      </c>
      <c r="O223" t="str">
        <f>""</f>
        <v/>
      </c>
      <c r="P223" t="str">
        <f>"RUA FARROUPILHA"</f>
        <v>RUA FARROUPILHA</v>
      </c>
      <c r="Q223" t="str">
        <f>"57"</f>
        <v>57</v>
      </c>
      <c r="R223" t="str">
        <f>"APTO 201"</f>
        <v>APTO 201</v>
      </c>
      <c r="S223" t="str">
        <f>"1279"</f>
        <v>1279</v>
      </c>
      <c r="T223" t="str">
        <f>"89211320"</f>
        <v>89211320</v>
      </c>
      <c r="U223" t="str">
        <f>"FLORESTA"</f>
        <v>FLORESTA</v>
      </c>
      <c r="V223" t="str">
        <f>"JOINVILLE"</f>
        <v>JOINVILLE</v>
      </c>
      <c r="W223" t="str">
        <f t="shared" si="114"/>
        <v>SC</v>
      </c>
      <c r="X223" t="str">
        <f>"47"</f>
        <v>47</v>
      </c>
      <c r="Y223" t="str">
        <f>"32277555"</f>
        <v>32277555</v>
      </c>
      <c r="Z223" t="str">
        <f>""</f>
        <v/>
      </c>
      <c r="AA223" t="str">
        <f>""</f>
        <v/>
      </c>
      <c r="AB223" t="str">
        <f>""</f>
        <v/>
      </c>
      <c r="AC223" t="str">
        <f>""</f>
        <v/>
      </c>
      <c r="AD223" t="str">
        <f>""</f>
        <v/>
      </c>
      <c r="AE223" t="str">
        <f>""</f>
        <v/>
      </c>
      <c r="AF223" t="str">
        <f>""</f>
        <v/>
      </c>
      <c r="AG223" t="str">
        <f>""</f>
        <v/>
      </c>
      <c r="AH223" t="str">
        <f>""</f>
        <v/>
      </c>
      <c r="AI223" t="str">
        <f>""</f>
        <v/>
      </c>
      <c r="AJ223" t="str">
        <f>""</f>
        <v/>
      </c>
      <c r="AK223" t="str">
        <f>""</f>
        <v/>
      </c>
      <c r="AL223" t="str">
        <f>""</f>
        <v/>
      </c>
      <c r="AM223" t="str">
        <f>""</f>
        <v/>
      </c>
      <c r="AN223" t="str">
        <f>""</f>
        <v/>
      </c>
      <c r="AO223" t="str">
        <f>""</f>
        <v/>
      </c>
      <c r="AP223" t="str">
        <f>""</f>
        <v/>
      </c>
      <c r="AQ223" t="str">
        <f>""</f>
        <v/>
      </c>
      <c r="AR223" t="str">
        <f>""</f>
        <v/>
      </c>
      <c r="AS223" t="str">
        <f>""</f>
        <v/>
      </c>
      <c r="AT223" t="str">
        <f>""</f>
        <v/>
      </c>
      <c r="AU223" t="str">
        <f>""</f>
        <v/>
      </c>
      <c r="AV223" t="str">
        <f>""</f>
        <v/>
      </c>
      <c r="AW223" t="str">
        <f>""</f>
        <v/>
      </c>
      <c r="AX223" t="str">
        <f>""</f>
        <v/>
      </c>
      <c r="AY223" t="str">
        <f>""</f>
        <v/>
      </c>
      <c r="AZ223" t="str">
        <f>""</f>
        <v/>
      </c>
      <c r="BA223" t="str">
        <f>""</f>
        <v/>
      </c>
      <c r="BB223" t="str">
        <f>"11/07/2023 02:14:29"</f>
        <v>11/07/2023 02:14:29</v>
      </c>
      <c r="BC223" t="str">
        <f>""</f>
        <v/>
      </c>
      <c r="BD223" t="str">
        <f>""</f>
        <v/>
      </c>
      <c r="BE223" t="str">
        <f>""</f>
        <v/>
      </c>
      <c r="BF223" t="str">
        <f t="shared" si="101"/>
        <v>A</v>
      </c>
      <c r="BG223" t="str">
        <f>""</f>
        <v/>
      </c>
      <c r="BH223" t="str">
        <f>""</f>
        <v/>
      </c>
      <c r="BI223" t="str">
        <f t="shared" si="117"/>
        <v>EVENTUAL</v>
      </c>
      <c r="BJ223" t="str">
        <f t="shared" si="102"/>
        <v>1</v>
      </c>
      <c r="BK223" t="str">
        <f t="shared" si="103"/>
        <v>Farmacia</v>
      </c>
      <c r="BL223" t="str">
        <f>""</f>
        <v/>
      </c>
      <c r="BM223" t="str">
        <f>""</f>
        <v/>
      </c>
      <c r="BN223" t="str">
        <f>""</f>
        <v/>
      </c>
      <c r="BO223" t="str">
        <f>""</f>
        <v/>
      </c>
      <c r="BP223" t="str">
        <f>""</f>
        <v/>
      </c>
      <c r="BQ223" t="str">
        <f>""</f>
        <v/>
      </c>
      <c r="BR223" t="str">
        <f>"11/07/2023"</f>
        <v>11/07/2023</v>
      </c>
      <c r="BS223" t="str">
        <f>""</f>
        <v/>
      </c>
      <c r="BT223" t="str">
        <f>""</f>
        <v/>
      </c>
      <c r="BU223" t="str">
        <f>""</f>
        <v/>
      </c>
      <c r="BV223" t="str">
        <f>""</f>
        <v/>
      </c>
      <c r="BW223" t="str">
        <f>"Não visitado"</f>
        <v>Não visitado</v>
      </c>
    </row>
    <row r="224" spans="1:75" x14ac:dyDescent="0.35">
      <c r="A224">
        <v>144452</v>
      </c>
      <c r="B224" t="str">
        <f t="shared" si="95"/>
        <v>A</v>
      </c>
      <c r="C224" t="str">
        <f t="shared" si="96"/>
        <v>80</v>
      </c>
      <c r="D224" t="str">
        <f t="shared" si="97"/>
        <v>11121001</v>
      </c>
      <c r="E224" t="str">
        <f t="shared" si="98"/>
        <v>121001</v>
      </c>
      <c r="F224" t="str">
        <f t="shared" si="99"/>
        <v>JENIFER SANTOS</v>
      </c>
      <c r="G224" t="str">
        <f>"24691706000105"</f>
        <v>24691706000105</v>
      </c>
      <c r="H224" t="str">
        <f>""</f>
        <v/>
      </c>
      <c r="I224" t="str">
        <f t="shared" si="100"/>
        <v>CONTA OPTICA</v>
      </c>
      <c r="J224" t="str">
        <f>"MARQUES MEDEIROS PRODUTOS OPTICOS LTDA. - ME"</f>
        <v>MARQUES MEDEIROS PRODUTOS OPTICOS LTDA. - ME</v>
      </c>
      <c r="K224" t="str">
        <f>"OTICA BRILHANTE (3803)"</f>
        <v>OTICA BRILHANTE (3803)</v>
      </c>
      <c r="L224" t="str">
        <f>""</f>
        <v/>
      </c>
      <c r="M224" t="str">
        <f>""</f>
        <v/>
      </c>
      <c r="N224" t="str">
        <f>"brilhantedocs@gmail.com"</f>
        <v>brilhantedocs@gmail.com</v>
      </c>
      <c r="O224" t="str">
        <f>""</f>
        <v/>
      </c>
      <c r="P224" t="str">
        <f>"RUA ABDON BATISTA"</f>
        <v>RUA ABDON BATISTA</v>
      </c>
      <c r="Q224" t="str">
        <f>"190"</f>
        <v>190</v>
      </c>
      <c r="R224" t="str">
        <f>"SALA 03"</f>
        <v>SALA 03</v>
      </c>
      <c r="S224" t="str">
        <f>"1277"</f>
        <v>1277</v>
      </c>
      <c r="T224" t="str">
        <f>"89201010"</f>
        <v>89201010</v>
      </c>
      <c r="U224" t="str">
        <f t="shared" ref="U224:U229" si="118">"CENTRO"</f>
        <v>CENTRO</v>
      </c>
      <c r="V224" t="str">
        <f>"JOINVILLE"</f>
        <v>JOINVILLE</v>
      </c>
      <c r="W224" t="str">
        <f t="shared" si="114"/>
        <v>SC</v>
      </c>
      <c r="X224" t="str">
        <f>"47"</f>
        <v>47</v>
      </c>
      <c r="Y224" t="str">
        <f>"34338494"</f>
        <v>34338494</v>
      </c>
      <c r="Z224" t="str">
        <f>""</f>
        <v/>
      </c>
      <c r="AA224" t="str">
        <f>""</f>
        <v/>
      </c>
      <c r="AB224" t="str">
        <f>""</f>
        <v/>
      </c>
      <c r="AC224" t="str">
        <f>""</f>
        <v/>
      </c>
      <c r="AD224" t="str">
        <f>""</f>
        <v/>
      </c>
      <c r="AE224" t="str">
        <f>""</f>
        <v/>
      </c>
      <c r="AF224" t="str">
        <f>""</f>
        <v/>
      </c>
      <c r="AG224" t="str">
        <f>""</f>
        <v/>
      </c>
      <c r="AH224" t="str">
        <f>""</f>
        <v/>
      </c>
      <c r="AI224" t="str">
        <f>""</f>
        <v/>
      </c>
      <c r="AJ224" t="str">
        <f>"0"</f>
        <v>0</v>
      </c>
      <c r="AK224" t="str">
        <f>"0"</f>
        <v>0</v>
      </c>
      <c r="AL224" t="str">
        <f>"0"</f>
        <v>0</v>
      </c>
      <c r="AM224" t="str">
        <f>""</f>
        <v/>
      </c>
      <c r="AN224" t="str">
        <f>""</f>
        <v/>
      </c>
      <c r="AO224" t="str">
        <f>""</f>
        <v/>
      </c>
      <c r="AP224" t="str">
        <f>""</f>
        <v/>
      </c>
      <c r="AQ224" t="str">
        <f>""</f>
        <v/>
      </c>
      <c r="AR224" t="str">
        <f>""</f>
        <v/>
      </c>
      <c r="AS224" t="str">
        <f>""</f>
        <v/>
      </c>
      <c r="AT224" t="str">
        <f>""</f>
        <v/>
      </c>
      <c r="AU224" t="str">
        <f>""</f>
        <v/>
      </c>
      <c r="AV224" t="str">
        <f>""</f>
        <v/>
      </c>
      <c r="AW224" t="str">
        <f>""</f>
        <v/>
      </c>
      <c r="AX224" t="str">
        <f>""</f>
        <v/>
      </c>
      <c r="AY224" t="str">
        <f>""</f>
        <v/>
      </c>
      <c r="AZ224" t="str">
        <f>""</f>
        <v/>
      </c>
      <c r="BA224" t="str">
        <f>""</f>
        <v/>
      </c>
      <c r="BB224" t="str">
        <f>""</f>
        <v/>
      </c>
      <c r="BC224" t="str">
        <f>""</f>
        <v/>
      </c>
      <c r="BD224" t="str">
        <f>""</f>
        <v/>
      </c>
      <c r="BE224" t="str">
        <f>""</f>
        <v/>
      </c>
      <c r="BF224" t="str">
        <f t="shared" si="101"/>
        <v>A</v>
      </c>
      <c r="BG224" t="str">
        <f>"0,00"</f>
        <v>0,00</v>
      </c>
      <c r="BH224" t="str">
        <f>"0,00"</f>
        <v>0,00</v>
      </c>
      <c r="BI224" t="str">
        <f t="shared" si="117"/>
        <v>EVENTUAL</v>
      </c>
      <c r="BJ224" t="str">
        <f t="shared" si="102"/>
        <v>1</v>
      </c>
      <c r="BK224" t="str">
        <f t="shared" si="103"/>
        <v>Farmacia</v>
      </c>
      <c r="BL224" t="str">
        <f>""</f>
        <v/>
      </c>
      <c r="BM224" t="str">
        <f>"NÃO É VARILUX ESPECIALISTA"</f>
        <v>NÃO É VARILUX ESPECIALISTA</v>
      </c>
      <c r="BN224" t="str">
        <f>"NA"</f>
        <v>NA</v>
      </c>
      <c r="BO224" t="str">
        <f>"FOCO KODAK 2"</f>
        <v>FOCO KODAK 2</v>
      </c>
      <c r="BP224" t="str">
        <f>""</f>
        <v/>
      </c>
      <c r="BQ224" t="str">
        <f>""</f>
        <v/>
      </c>
      <c r="BR224" t="str">
        <f>""</f>
        <v/>
      </c>
      <c r="BS224" t="str">
        <f>""</f>
        <v/>
      </c>
      <c r="BT224" t="str">
        <f>""</f>
        <v/>
      </c>
      <c r="BU224" t="str">
        <f>""</f>
        <v/>
      </c>
      <c r="BV224" t="str">
        <f>"9"</f>
        <v>9</v>
      </c>
      <c r="BW224" t="str">
        <f>"Não visitado"</f>
        <v>Não visitado</v>
      </c>
    </row>
    <row r="225" spans="1:75" x14ac:dyDescent="0.35">
      <c r="A225">
        <v>138128</v>
      </c>
      <c r="B225" t="str">
        <f t="shared" si="95"/>
        <v>A</v>
      </c>
      <c r="C225" t="str">
        <f t="shared" si="96"/>
        <v>80</v>
      </c>
      <c r="D225" t="str">
        <f t="shared" si="97"/>
        <v>11121001</v>
      </c>
      <c r="E225" t="str">
        <f t="shared" si="98"/>
        <v>121001</v>
      </c>
      <c r="F225" t="str">
        <f t="shared" si="99"/>
        <v>JENIFER SANTOS</v>
      </c>
      <c r="G225" t="str">
        <f>"86248010000166"</f>
        <v>86248010000166</v>
      </c>
      <c r="H225" t="str">
        <f>"0"</f>
        <v>0</v>
      </c>
      <c r="I225" t="str">
        <f t="shared" si="100"/>
        <v>CONTA OPTICA</v>
      </c>
      <c r="J225" t="str">
        <f>"MESSER E MESSER LTDA"</f>
        <v>MESSER E MESSER LTDA</v>
      </c>
      <c r="K225" t="str">
        <f>"OTICA MODERNA (30)"</f>
        <v>OTICA MODERNA (30)</v>
      </c>
      <c r="L225" t="str">
        <f>""</f>
        <v/>
      </c>
      <c r="M225" t="str">
        <f>""</f>
        <v/>
      </c>
      <c r="N225" t="str">
        <f>"monemesser@hotmail.com"</f>
        <v>monemesser@hotmail.com</v>
      </c>
      <c r="O225" t="str">
        <f>""</f>
        <v/>
      </c>
      <c r="P225" t="str">
        <f>"RUA ALMIRANTE TAMANDARE"</f>
        <v>RUA ALMIRANTE TAMANDARE</v>
      </c>
      <c r="Q225" t="str">
        <f>"530"</f>
        <v>530</v>
      </c>
      <c r="R225" t="str">
        <f>""</f>
        <v/>
      </c>
      <c r="S225" t="str">
        <f>"1289"</f>
        <v>1289</v>
      </c>
      <c r="T225" t="str">
        <f>"89900000"</f>
        <v>89900000</v>
      </c>
      <c r="U225" t="str">
        <f t="shared" si="118"/>
        <v>CENTRO</v>
      </c>
      <c r="V225" t="str">
        <f>"SÃO MIGUEL DO OESTE"</f>
        <v>SÃO MIGUEL DO OESTE</v>
      </c>
      <c r="W225" t="str">
        <f t="shared" si="114"/>
        <v>SC</v>
      </c>
      <c r="X225" t="str">
        <f>"49"</f>
        <v>49</v>
      </c>
      <c r="Y225" t="str">
        <f>"36220391"</f>
        <v>36220391</v>
      </c>
      <c r="Z225" t="str">
        <f>""</f>
        <v/>
      </c>
      <c r="AA225" t="str">
        <f>""</f>
        <v/>
      </c>
      <c r="AB225" t="str">
        <f>""</f>
        <v/>
      </c>
      <c r="AC225" t="str">
        <f>""</f>
        <v/>
      </c>
      <c r="AD225" t="str">
        <f>""</f>
        <v/>
      </c>
      <c r="AE225" t="str">
        <f>""</f>
        <v/>
      </c>
      <c r="AF225" t="str">
        <f>""</f>
        <v/>
      </c>
      <c r="AG225" t="str">
        <f>"S"</f>
        <v>S</v>
      </c>
      <c r="AH225" t="str">
        <f>""</f>
        <v/>
      </c>
      <c r="AI225" t="str">
        <f>""</f>
        <v/>
      </c>
      <c r="AJ225" t="str">
        <f>""</f>
        <v/>
      </c>
      <c r="AK225" t="str">
        <f>""</f>
        <v/>
      </c>
      <c r="AL225" t="str">
        <f>""</f>
        <v/>
      </c>
      <c r="AM225" t="str">
        <f>""</f>
        <v/>
      </c>
      <c r="AN225" t="str">
        <f>""</f>
        <v/>
      </c>
      <c r="AO225" t="str">
        <f>""</f>
        <v/>
      </c>
      <c r="AP225" t="str">
        <f>""</f>
        <v/>
      </c>
      <c r="AQ225" t="str">
        <f>"N"</f>
        <v>N</v>
      </c>
      <c r="AR225" t="str">
        <f>"N"</f>
        <v>N</v>
      </c>
      <c r="AS225" t="str">
        <f>"N"</f>
        <v>N</v>
      </c>
      <c r="AT225" t="str">
        <f>"N"</f>
        <v>N</v>
      </c>
      <c r="AU225" t="str">
        <f>"N"</f>
        <v>N</v>
      </c>
      <c r="AV225" t="str">
        <f>""</f>
        <v/>
      </c>
      <c r="AW225" t="str">
        <f>""</f>
        <v/>
      </c>
      <c r="AX225" t="str">
        <f>""</f>
        <v/>
      </c>
      <c r="AY225" t="str">
        <f>""</f>
        <v/>
      </c>
      <c r="AZ225" t="str">
        <f>""</f>
        <v/>
      </c>
      <c r="BA225" t="str">
        <f>""</f>
        <v/>
      </c>
      <c r="BB225" t="str">
        <f>"01/07/2021 13:53:04"</f>
        <v>01/07/2021 13:53:04</v>
      </c>
      <c r="BC225" t="str">
        <f>"05/07/2022 15:13:47"</f>
        <v>05/07/2022 15:13:47</v>
      </c>
      <c r="BD225" t="str">
        <f>""</f>
        <v/>
      </c>
      <c r="BE225" t="str">
        <f>""</f>
        <v/>
      </c>
      <c r="BF225" t="str">
        <f t="shared" si="101"/>
        <v>A</v>
      </c>
      <c r="BG225" t="str">
        <f>""</f>
        <v/>
      </c>
      <c r="BH225" t="str">
        <f>"0,00"</f>
        <v>0,00</v>
      </c>
      <c r="BI225" t="str">
        <f t="shared" si="117"/>
        <v>EVENTUAL</v>
      </c>
      <c r="BJ225" t="str">
        <f t="shared" si="102"/>
        <v>1</v>
      </c>
      <c r="BK225" t="str">
        <f t="shared" si="103"/>
        <v>Farmacia</v>
      </c>
      <c r="BL225" t="str">
        <f>""</f>
        <v/>
      </c>
      <c r="BM225" t="str">
        <f>"VARILUX ESPECIALISTA SELECT"</f>
        <v>VARILUX ESPECIALISTA SELECT</v>
      </c>
      <c r="BN225" t="str">
        <f>"NA"</f>
        <v>NA</v>
      </c>
      <c r="BO225" t="str">
        <f>"FOCO VARILUX DIGITAL"</f>
        <v>FOCO VARILUX DIGITAL</v>
      </c>
      <c r="BP225" t="str">
        <f>""</f>
        <v/>
      </c>
      <c r="BQ225" t="str">
        <f>""</f>
        <v/>
      </c>
      <c r="BR225" t="str">
        <f>"01/07/2021"</f>
        <v>01/07/2021</v>
      </c>
      <c r="BS225" t="str">
        <f>"05/07/2022"</f>
        <v>05/07/2022</v>
      </c>
      <c r="BT225" t="str">
        <f>""</f>
        <v/>
      </c>
      <c r="BU225" t="str">
        <f>""</f>
        <v/>
      </c>
      <c r="BV225" t="str">
        <f>""</f>
        <v/>
      </c>
      <c r="BW225" t="str">
        <f>"32"</f>
        <v>32</v>
      </c>
    </row>
    <row r="226" spans="1:75" x14ac:dyDescent="0.35">
      <c r="A226">
        <v>144804</v>
      </c>
      <c r="B226" t="str">
        <f t="shared" si="95"/>
        <v>A</v>
      </c>
      <c r="C226" t="str">
        <f t="shared" si="96"/>
        <v>80</v>
      </c>
      <c r="D226" t="str">
        <f t="shared" si="97"/>
        <v>11121001</v>
      </c>
      <c r="E226" t="str">
        <f t="shared" si="98"/>
        <v>121001</v>
      </c>
      <c r="F226" t="str">
        <f t="shared" si="99"/>
        <v>JENIFER SANTOS</v>
      </c>
      <c r="G226" t="str">
        <f>"37056497000170"</f>
        <v>37056497000170</v>
      </c>
      <c r="H226" t="str">
        <f>""</f>
        <v/>
      </c>
      <c r="I226" t="str">
        <f t="shared" si="100"/>
        <v>CONTA OPTICA</v>
      </c>
      <c r="J226" t="str">
        <f>"MEUS OCULOS OTICA LIMITADA"</f>
        <v>MEUS OCULOS OTICA LIMITADA</v>
      </c>
      <c r="K226" t="str">
        <f>"MEUS OCULOS (4286)"</f>
        <v>MEUS OCULOS (4286)</v>
      </c>
      <c r="L226" t="str">
        <f>""</f>
        <v/>
      </c>
      <c r="M226" t="str">
        <f>""</f>
        <v/>
      </c>
      <c r="N226" t="str">
        <f>"oticameusoculos@gmail.com"</f>
        <v>oticameusoculos@gmail.com</v>
      </c>
      <c r="O226" t="str">
        <f>""</f>
        <v/>
      </c>
      <c r="P226" t="str">
        <f>"RUA NOVE DE MARCO"</f>
        <v>RUA NOVE DE MARCO</v>
      </c>
      <c r="Q226" t="str">
        <f>"485"</f>
        <v>485</v>
      </c>
      <c r="R226" t="str">
        <f>"LOJA 01"</f>
        <v>LOJA 01</v>
      </c>
      <c r="S226" t="str">
        <f>"1277"</f>
        <v>1277</v>
      </c>
      <c r="T226" t="str">
        <f>"89201400"</f>
        <v>89201400</v>
      </c>
      <c r="U226" t="str">
        <f t="shared" si="118"/>
        <v>CENTRO</v>
      </c>
      <c r="V226" t="str">
        <f>"JOINVILLE"</f>
        <v>JOINVILLE</v>
      </c>
      <c r="W226" t="str">
        <f t="shared" si="114"/>
        <v>SC</v>
      </c>
      <c r="X226" t="str">
        <f>"47"</f>
        <v>47</v>
      </c>
      <c r="Y226" t="str">
        <f>"996965959"</f>
        <v>996965959</v>
      </c>
      <c r="Z226" t="str">
        <f>""</f>
        <v/>
      </c>
      <c r="AA226" t="str">
        <f>""</f>
        <v/>
      </c>
      <c r="AB226" t="str">
        <f>""</f>
        <v/>
      </c>
      <c r="AC226" t="str">
        <f>""</f>
        <v/>
      </c>
      <c r="AD226" t="str">
        <f>""</f>
        <v/>
      </c>
      <c r="AE226" t="str">
        <f>""</f>
        <v/>
      </c>
      <c r="AF226" t="str">
        <f>""</f>
        <v/>
      </c>
      <c r="AG226" t="str">
        <f>""</f>
        <v/>
      </c>
      <c r="AH226" t="str">
        <f>""</f>
        <v/>
      </c>
      <c r="AI226" t="str">
        <f>""</f>
        <v/>
      </c>
      <c r="AJ226" t="str">
        <f t="shared" ref="AJ226:AL227" si="119">"0"</f>
        <v>0</v>
      </c>
      <c r="AK226" t="str">
        <f t="shared" si="119"/>
        <v>0</v>
      </c>
      <c r="AL226" t="str">
        <f t="shared" si="119"/>
        <v>0</v>
      </c>
      <c r="AM226" t="str">
        <f>""</f>
        <v/>
      </c>
      <c r="AN226" t="str">
        <f>""</f>
        <v/>
      </c>
      <c r="AO226" t="str">
        <f>""</f>
        <v/>
      </c>
      <c r="AP226" t="str">
        <f>""</f>
        <v/>
      </c>
      <c r="AQ226" t="str">
        <f>""</f>
        <v/>
      </c>
      <c r="AR226" t="str">
        <f>""</f>
        <v/>
      </c>
      <c r="AS226" t="str">
        <f>""</f>
        <v/>
      </c>
      <c r="AT226" t="str">
        <f>""</f>
        <v/>
      </c>
      <c r="AU226" t="str">
        <f>""</f>
        <v/>
      </c>
      <c r="AV226" t="str">
        <f>""</f>
        <v/>
      </c>
      <c r="AW226" t="str">
        <f>""</f>
        <v/>
      </c>
      <c r="AX226" t="str">
        <f>""</f>
        <v/>
      </c>
      <c r="AY226" t="str">
        <f>""</f>
        <v/>
      </c>
      <c r="AZ226" t="str">
        <f>""</f>
        <v/>
      </c>
      <c r="BA226" t="str">
        <f>""</f>
        <v/>
      </c>
      <c r="BB226" t="str">
        <f>""</f>
        <v/>
      </c>
      <c r="BC226" t="str">
        <f>""</f>
        <v/>
      </c>
      <c r="BD226" t="str">
        <f>""</f>
        <v/>
      </c>
      <c r="BE226" t="str">
        <f>""</f>
        <v/>
      </c>
      <c r="BF226" t="str">
        <f t="shared" si="101"/>
        <v>A</v>
      </c>
      <c r="BG226" t="str">
        <f>"0,00"</f>
        <v>0,00</v>
      </c>
      <c r="BH226" t="str">
        <f>"0,00"</f>
        <v>0,00</v>
      </c>
      <c r="BI226" t="str">
        <f t="shared" si="117"/>
        <v>EVENTUAL</v>
      </c>
      <c r="BJ226" t="str">
        <f t="shared" si="102"/>
        <v>1</v>
      </c>
      <c r="BK226" t="str">
        <f t="shared" si="103"/>
        <v>Farmacia</v>
      </c>
      <c r="BL226" t="str">
        <f>""</f>
        <v/>
      </c>
      <c r="BM226" t="str">
        <f>"NÃO É VARILUX ESPECIALISTA"</f>
        <v>NÃO É VARILUX ESPECIALISTA</v>
      </c>
      <c r="BN226" t="str">
        <f>"NA"</f>
        <v>NA</v>
      </c>
      <c r="BO226" t="str">
        <f>""</f>
        <v/>
      </c>
      <c r="BP226" t="str">
        <f>""</f>
        <v/>
      </c>
      <c r="BQ226" t="str">
        <f>""</f>
        <v/>
      </c>
      <c r="BR226" t="str">
        <f>""</f>
        <v/>
      </c>
      <c r="BS226" t="str">
        <f>""</f>
        <v/>
      </c>
      <c r="BT226" t="str">
        <f>""</f>
        <v/>
      </c>
      <c r="BU226" t="str">
        <f>""</f>
        <v/>
      </c>
      <c r="BV226" t="str">
        <f>""</f>
        <v/>
      </c>
      <c r="BW226" t="str">
        <f>"165"</f>
        <v>165</v>
      </c>
    </row>
    <row r="227" spans="1:75" x14ac:dyDescent="0.35">
      <c r="A227">
        <v>144451</v>
      </c>
      <c r="B227" t="str">
        <f t="shared" si="95"/>
        <v>A</v>
      </c>
      <c r="C227" t="str">
        <f t="shared" si="96"/>
        <v>80</v>
      </c>
      <c r="D227" t="str">
        <f t="shared" si="97"/>
        <v>11121001</v>
      </c>
      <c r="E227" t="str">
        <f t="shared" si="98"/>
        <v>121001</v>
      </c>
      <c r="F227" t="str">
        <f t="shared" si="99"/>
        <v>JENIFER SANTOS</v>
      </c>
      <c r="G227" t="str">
        <f>"24415591000126"</f>
        <v>24415591000126</v>
      </c>
      <c r="H227" t="str">
        <f>""</f>
        <v/>
      </c>
      <c r="I227" t="str">
        <f t="shared" si="100"/>
        <v>CONTA OPTICA</v>
      </c>
      <c r="J227" t="str">
        <f>"MHENRIQUE RELOJOARIA E OTICA EIRELI - ME"</f>
        <v>MHENRIQUE RELOJOARIA E OTICA EIRELI - ME</v>
      </c>
      <c r="K227" t="str">
        <f>"SOLLAR RELOJOARIA E OTICA (3311)"</f>
        <v>SOLLAR RELOJOARIA E OTICA (3311)</v>
      </c>
      <c r="L227" t="str">
        <f>""</f>
        <v/>
      </c>
      <c r="M227" t="str">
        <f>""</f>
        <v/>
      </c>
      <c r="N227" t="str">
        <f>"oticasollarsbs@yahoo.com.br"</f>
        <v>oticasollarsbs@yahoo.com.br</v>
      </c>
      <c r="O227" t="str">
        <f>""</f>
        <v/>
      </c>
      <c r="P227" t="str">
        <f>"RUA JOSE ZIPPERER"</f>
        <v>RUA JOSE ZIPPERER</v>
      </c>
      <c r="Q227" t="str">
        <f>"41"</f>
        <v>41</v>
      </c>
      <c r="R227" t="str">
        <f>""</f>
        <v/>
      </c>
      <c r="S227" t="str">
        <f>"1280"</f>
        <v>1280</v>
      </c>
      <c r="T227" t="str">
        <f>"89280352"</f>
        <v>89280352</v>
      </c>
      <c r="U227" t="str">
        <f t="shared" si="118"/>
        <v>CENTRO</v>
      </c>
      <c r="V227" t="str">
        <f>"SÃO BENTO DO SUL"</f>
        <v>SÃO BENTO DO SUL</v>
      </c>
      <c r="W227" t="str">
        <f t="shared" si="114"/>
        <v>SC</v>
      </c>
      <c r="X227" t="str">
        <f>"47"</f>
        <v>47</v>
      </c>
      <c r="Y227" t="str">
        <f>"36353408"</f>
        <v>36353408</v>
      </c>
      <c r="Z227" t="str">
        <f>""</f>
        <v/>
      </c>
      <c r="AA227" t="str">
        <f>""</f>
        <v/>
      </c>
      <c r="AB227" t="str">
        <f>""</f>
        <v/>
      </c>
      <c r="AC227" t="str">
        <f>""</f>
        <v/>
      </c>
      <c r="AD227" t="str">
        <f>""</f>
        <v/>
      </c>
      <c r="AE227" t="str">
        <f>""</f>
        <v/>
      </c>
      <c r="AF227" t="str">
        <f>""</f>
        <v/>
      </c>
      <c r="AG227" t="str">
        <f>""</f>
        <v/>
      </c>
      <c r="AH227" t="str">
        <f>""</f>
        <v/>
      </c>
      <c r="AI227" t="str">
        <f>""</f>
        <v/>
      </c>
      <c r="AJ227" t="str">
        <f t="shared" si="119"/>
        <v>0</v>
      </c>
      <c r="AK227" t="str">
        <f t="shared" si="119"/>
        <v>0</v>
      </c>
      <c r="AL227" t="str">
        <f t="shared" si="119"/>
        <v>0</v>
      </c>
      <c r="AM227" t="str">
        <f>""</f>
        <v/>
      </c>
      <c r="AN227" t="str">
        <f>""</f>
        <v/>
      </c>
      <c r="AO227" t="str">
        <f>""</f>
        <v/>
      </c>
      <c r="AP227" t="str">
        <f>""</f>
        <v/>
      </c>
      <c r="AQ227" t="str">
        <f>""</f>
        <v/>
      </c>
      <c r="AR227" t="str">
        <f>""</f>
        <v/>
      </c>
      <c r="AS227" t="str">
        <f>""</f>
        <v/>
      </c>
      <c r="AT227" t="str">
        <f>""</f>
        <v/>
      </c>
      <c r="AU227" t="str">
        <f>""</f>
        <v/>
      </c>
      <c r="AV227" t="str">
        <f>""</f>
        <v/>
      </c>
      <c r="AW227" t="str">
        <f>""</f>
        <v/>
      </c>
      <c r="AX227" t="str">
        <f>""</f>
        <v/>
      </c>
      <c r="AY227" t="str">
        <f>""</f>
        <v/>
      </c>
      <c r="AZ227" t="str">
        <f>""</f>
        <v/>
      </c>
      <c r="BA227" t="str">
        <f>""</f>
        <v/>
      </c>
      <c r="BB227" t="str">
        <f>""</f>
        <v/>
      </c>
      <c r="BC227" t="str">
        <f>""</f>
        <v/>
      </c>
      <c r="BD227" t="str">
        <f>""</f>
        <v/>
      </c>
      <c r="BE227" t="str">
        <f>""</f>
        <v/>
      </c>
      <c r="BF227" t="str">
        <f t="shared" si="101"/>
        <v>A</v>
      </c>
      <c r="BG227" t="str">
        <f>"0,00"</f>
        <v>0,00</v>
      </c>
      <c r="BH227" t="str">
        <f>"0,00"</f>
        <v>0,00</v>
      </c>
      <c r="BI227" t="str">
        <f t="shared" si="117"/>
        <v>EVENTUAL</v>
      </c>
      <c r="BJ227" t="str">
        <f t="shared" si="102"/>
        <v>1</v>
      </c>
      <c r="BK227" t="str">
        <f t="shared" si="103"/>
        <v>Farmacia</v>
      </c>
      <c r="BL227" t="str">
        <f>""</f>
        <v/>
      </c>
      <c r="BM227" t="str">
        <f>"NÃO É VARILUX ESPECIALISTA"</f>
        <v>NÃO É VARILUX ESPECIALISTA</v>
      </c>
      <c r="BN227" t="str">
        <f>"EL360"</f>
        <v>EL360</v>
      </c>
      <c r="BO227" t="str">
        <f>"FOCO KODAK 2"</f>
        <v>FOCO KODAK 2</v>
      </c>
      <c r="BP227" t="str">
        <f>""</f>
        <v/>
      </c>
      <c r="BQ227" t="str">
        <f>""</f>
        <v/>
      </c>
      <c r="BR227" t="str">
        <f>""</f>
        <v/>
      </c>
      <c r="BS227" t="str">
        <f>""</f>
        <v/>
      </c>
      <c r="BT227" t="str">
        <f>""</f>
        <v/>
      </c>
      <c r="BU227" t="str">
        <f>""</f>
        <v/>
      </c>
      <c r="BV227" t="str">
        <f>"6"</f>
        <v>6</v>
      </c>
      <c r="BW227" t="str">
        <f>"Não visitado"</f>
        <v>Não visitado</v>
      </c>
    </row>
    <row r="228" spans="1:75" x14ac:dyDescent="0.35">
      <c r="A228">
        <v>157517</v>
      </c>
      <c r="B228" t="str">
        <f t="shared" si="95"/>
        <v>A</v>
      </c>
      <c r="C228" t="str">
        <f t="shared" si="96"/>
        <v>80</v>
      </c>
      <c r="D228" t="str">
        <f t="shared" si="97"/>
        <v>11121001</v>
      </c>
      <c r="E228" t="str">
        <f t="shared" si="98"/>
        <v>121001</v>
      </c>
      <c r="F228" t="str">
        <f t="shared" si="99"/>
        <v>JENIFER SANTOS</v>
      </c>
      <c r="G228" t="str">
        <f>"44232187000124"</f>
        <v>44232187000124</v>
      </c>
      <c r="H228" t="str">
        <f>"0"</f>
        <v>0</v>
      </c>
      <c r="I228" t="str">
        <f t="shared" si="100"/>
        <v>CONTA OPTICA</v>
      </c>
      <c r="J228" t="str">
        <f>"MIGUEL EMPREENDIMENTOS LTDA"</f>
        <v>MIGUEL EMPREENDIMENTOS LTDA</v>
      </c>
      <c r="K228" t="str">
        <f>"MUITO MAIS OTICAS (4435)"</f>
        <v>MUITO MAIS OTICAS (4435)</v>
      </c>
      <c r="L228" t="str">
        <f>""</f>
        <v/>
      </c>
      <c r="M228" t="str">
        <f>""</f>
        <v/>
      </c>
      <c r="N228" t="str">
        <f>"MUITOMAISOTICASC@GMAIL.COM"</f>
        <v>MUITOMAISOTICASC@GMAIL.COM</v>
      </c>
      <c r="O228" t="str">
        <f>""</f>
        <v/>
      </c>
      <c r="P228" t="str">
        <f>"RUA BENJAMIN CONSTANT"</f>
        <v>RUA BENJAMIN CONSTANT</v>
      </c>
      <c r="Q228" t="str">
        <f>"284"</f>
        <v>284</v>
      </c>
      <c r="R228" t="str">
        <f>"LETRA LOJA 1"</f>
        <v>LETRA LOJA 1</v>
      </c>
      <c r="S228" t="str">
        <f>"1287"</f>
        <v>1287</v>
      </c>
      <c r="T228" t="str">
        <f>"89802200"</f>
        <v>89802200</v>
      </c>
      <c r="U228" t="str">
        <f t="shared" si="118"/>
        <v>CENTRO</v>
      </c>
      <c r="V228" t="str">
        <f>"CHAPECO"</f>
        <v>CHAPECO</v>
      </c>
      <c r="W228" t="str">
        <f t="shared" si="114"/>
        <v>SC</v>
      </c>
      <c r="X228" t="str">
        <f>"49"</f>
        <v>49</v>
      </c>
      <c r="Y228" t="str">
        <f>"33008762"</f>
        <v>33008762</v>
      </c>
      <c r="Z228" t="str">
        <f>""</f>
        <v/>
      </c>
      <c r="AA228" t="str">
        <f>""</f>
        <v/>
      </c>
      <c r="AB228" t="str">
        <f>""</f>
        <v/>
      </c>
      <c r="AC228" t="str">
        <f>""</f>
        <v/>
      </c>
      <c r="AD228" t="str">
        <f>""</f>
        <v/>
      </c>
      <c r="AE228" t="str">
        <f>""</f>
        <v/>
      </c>
      <c r="AF228" t="str">
        <f>""</f>
        <v/>
      </c>
      <c r="AG228" t="str">
        <f>""</f>
        <v/>
      </c>
      <c r="AH228" t="str">
        <f>""</f>
        <v/>
      </c>
      <c r="AI228" t="str">
        <f>""</f>
        <v/>
      </c>
      <c r="AJ228" t="str">
        <f>""</f>
        <v/>
      </c>
      <c r="AK228" t="str">
        <f>""</f>
        <v/>
      </c>
      <c r="AL228" t="str">
        <f>""</f>
        <v/>
      </c>
      <c r="AM228" t="str">
        <f>""</f>
        <v/>
      </c>
      <c r="AN228" t="str">
        <f>""</f>
        <v/>
      </c>
      <c r="AO228" t="str">
        <f>""</f>
        <v/>
      </c>
      <c r="AP228" t="str">
        <f>""</f>
        <v/>
      </c>
      <c r="AQ228" t="str">
        <f>""</f>
        <v/>
      </c>
      <c r="AR228" t="str">
        <f>""</f>
        <v/>
      </c>
      <c r="AS228" t="str">
        <f>""</f>
        <v/>
      </c>
      <c r="AT228" t="str">
        <f>""</f>
        <v/>
      </c>
      <c r="AU228" t="str">
        <f>""</f>
        <v/>
      </c>
      <c r="AV228" t="str">
        <f>""</f>
        <v/>
      </c>
      <c r="AW228" t="str">
        <f>""</f>
        <v/>
      </c>
      <c r="AX228" t="str">
        <f>""</f>
        <v/>
      </c>
      <c r="AY228" t="str">
        <f>""</f>
        <v/>
      </c>
      <c r="AZ228" t="str">
        <f>""</f>
        <v/>
      </c>
      <c r="BA228" t="str">
        <f>""</f>
        <v/>
      </c>
      <c r="BB228" t="str">
        <f>"11/07/2023 02:14:29"</f>
        <v>11/07/2023 02:14:29</v>
      </c>
      <c r="BC228" t="str">
        <f>""</f>
        <v/>
      </c>
      <c r="BD228" t="str">
        <f>""</f>
        <v/>
      </c>
      <c r="BE228" t="str">
        <f>""</f>
        <v/>
      </c>
      <c r="BF228" t="str">
        <f t="shared" si="101"/>
        <v>A</v>
      </c>
      <c r="BG228" t="str">
        <f>""</f>
        <v/>
      </c>
      <c r="BH228" t="str">
        <f>""</f>
        <v/>
      </c>
      <c r="BI228" t="str">
        <f t="shared" si="117"/>
        <v>EVENTUAL</v>
      </c>
      <c r="BJ228" t="str">
        <f t="shared" si="102"/>
        <v>1</v>
      </c>
      <c r="BK228" t="str">
        <f t="shared" si="103"/>
        <v>Farmacia</v>
      </c>
      <c r="BL228" t="str">
        <f>""</f>
        <v/>
      </c>
      <c r="BM228" t="str">
        <f>""</f>
        <v/>
      </c>
      <c r="BN228" t="str">
        <f>""</f>
        <v/>
      </c>
      <c r="BO228" t="str">
        <f>""</f>
        <v/>
      </c>
      <c r="BP228" t="str">
        <f>""</f>
        <v/>
      </c>
      <c r="BQ228" t="str">
        <f>""</f>
        <v/>
      </c>
      <c r="BR228" t="str">
        <f>"11/07/2023"</f>
        <v>11/07/2023</v>
      </c>
      <c r="BS228" t="str">
        <f>""</f>
        <v/>
      </c>
      <c r="BT228" t="str">
        <f>""</f>
        <v/>
      </c>
      <c r="BU228" t="str">
        <f>""</f>
        <v/>
      </c>
      <c r="BV228" t="str">
        <f>""</f>
        <v/>
      </c>
      <c r="BW228" t="str">
        <f>"Não visitado"</f>
        <v>Não visitado</v>
      </c>
    </row>
    <row r="229" spans="1:75" x14ac:dyDescent="0.35">
      <c r="A229">
        <v>156728</v>
      </c>
      <c r="B229" t="str">
        <f t="shared" si="95"/>
        <v>A</v>
      </c>
      <c r="C229" t="str">
        <f t="shared" si="96"/>
        <v>80</v>
      </c>
      <c r="D229" t="str">
        <f t="shared" si="97"/>
        <v>11121001</v>
      </c>
      <c r="E229" t="str">
        <f t="shared" si="98"/>
        <v>121001</v>
      </c>
      <c r="F229" t="str">
        <f t="shared" si="99"/>
        <v>JENIFER SANTOS</v>
      </c>
      <c r="G229" t="str">
        <f>"10189495000100"</f>
        <v>10189495000100</v>
      </c>
      <c r="H229" t="str">
        <f>"0"</f>
        <v>0</v>
      </c>
      <c r="I229" t="str">
        <f t="shared" si="100"/>
        <v>CONTA OPTICA</v>
      </c>
      <c r="J229" t="str">
        <f>"MJK JOALHERIA E OPTICA LTDA"</f>
        <v>MJK JOALHERIA E OPTICA LTDA</v>
      </c>
      <c r="K229" t="str">
        <f>"OPTICA EXOTICA (1483)"</f>
        <v>OPTICA EXOTICA (1483)</v>
      </c>
      <c r="L229" t="str">
        <f>""</f>
        <v/>
      </c>
      <c r="M229" t="str">
        <f>""</f>
        <v/>
      </c>
      <c r="N229" t="str">
        <f>"relojoariajorel@bol.com.br"</f>
        <v>relojoariajorel@bol.com.br</v>
      </c>
      <c r="O229" t="str">
        <f>""</f>
        <v/>
      </c>
      <c r="P229" t="str">
        <f>"RUA MOROM"</f>
        <v>RUA MOROM</v>
      </c>
      <c r="Q229" t="str">
        <f>"1780"</f>
        <v>1780</v>
      </c>
      <c r="R229" t="str">
        <f>""</f>
        <v/>
      </c>
      <c r="S229" t="str">
        <f>"1383"</f>
        <v>1383</v>
      </c>
      <c r="T229" t="str">
        <f>"99010031"</f>
        <v>99010031</v>
      </c>
      <c r="U229" t="str">
        <f t="shared" si="118"/>
        <v>CENTRO</v>
      </c>
      <c r="V229" t="str">
        <f>"PASSO FUNDO"</f>
        <v>PASSO FUNDO</v>
      </c>
      <c r="W229" t="str">
        <f>"RS"</f>
        <v>RS</v>
      </c>
      <c r="X229" t="str">
        <f>"54"</f>
        <v>54</v>
      </c>
      <c r="Y229" t="str">
        <f>"30454505"</f>
        <v>30454505</v>
      </c>
      <c r="Z229" t="str">
        <f>""</f>
        <v/>
      </c>
      <c r="AA229" t="str">
        <f>""</f>
        <v/>
      </c>
      <c r="AB229" t="str">
        <f>""</f>
        <v/>
      </c>
      <c r="AC229" t="str">
        <f>""</f>
        <v/>
      </c>
      <c r="AD229" t="str">
        <f>""</f>
        <v/>
      </c>
      <c r="AE229" t="str">
        <f>""</f>
        <v/>
      </c>
      <c r="AF229" t="str">
        <f>""</f>
        <v/>
      </c>
      <c r="AG229" t="str">
        <f>""</f>
        <v/>
      </c>
      <c r="AH229" t="str">
        <f>""</f>
        <v/>
      </c>
      <c r="AI229" t="str">
        <f>""</f>
        <v/>
      </c>
      <c r="AJ229" t="str">
        <f>""</f>
        <v/>
      </c>
      <c r="AK229" t="str">
        <f>""</f>
        <v/>
      </c>
      <c r="AL229" t="str">
        <f>""</f>
        <v/>
      </c>
      <c r="AM229" t="str">
        <f>""</f>
        <v/>
      </c>
      <c r="AN229" t="str">
        <f>""</f>
        <v/>
      </c>
      <c r="AO229" t="str">
        <f>""</f>
        <v/>
      </c>
      <c r="AP229" t="str">
        <f>""</f>
        <v/>
      </c>
      <c r="AQ229" t="str">
        <f>""</f>
        <v/>
      </c>
      <c r="AR229" t="str">
        <f>""</f>
        <v/>
      </c>
      <c r="AS229" t="str">
        <f>""</f>
        <v/>
      </c>
      <c r="AT229" t="str">
        <f>""</f>
        <v/>
      </c>
      <c r="AU229" t="str">
        <f>""</f>
        <v/>
      </c>
      <c r="AV229" t="str">
        <f>""</f>
        <v/>
      </c>
      <c r="AW229" t="str">
        <f>""</f>
        <v/>
      </c>
      <c r="AX229" t="str">
        <f>""</f>
        <v/>
      </c>
      <c r="AY229" t="str">
        <f>""</f>
        <v/>
      </c>
      <c r="AZ229" t="str">
        <f>""</f>
        <v/>
      </c>
      <c r="BA229" t="str">
        <f>""</f>
        <v/>
      </c>
      <c r="BB229" t="str">
        <f>"06/07/2023 12:07:48"</f>
        <v>06/07/2023 12:07:48</v>
      </c>
      <c r="BC229" t="str">
        <f>""</f>
        <v/>
      </c>
      <c r="BD229" t="str">
        <f>""</f>
        <v/>
      </c>
      <c r="BE229" t="str">
        <f>""</f>
        <v/>
      </c>
      <c r="BF229" t="str">
        <f t="shared" si="101"/>
        <v>A</v>
      </c>
      <c r="BG229" t="str">
        <f>""</f>
        <v/>
      </c>
      <c r="BH229" t="str">
        <f>""</f>
        <v/>
      </c>
      <c r="BI229" t="str">
        <f t="shared" si="117"/>
        <v>EVENTUAL</v>
      </c>
      <c r="BJ229" t="str">
        <f t="shared" si="102"/>
        <v>1</v>
      </c>
      <c r="BK229" t="str">
        <f t="shared" si="103"/>
        <v>Farmacia</v>
      </c>
      <c r="BL229" t="str">
        <f>""</f>
        <v/>
      </c>
      <c r="BM229" t="str">
        <f>""</f>
        <v/>
      </c>
      <c r="BN229" t="str">
        <f>""</f>
        <v/>
      </c>
      <c r="BO229" t="str">
        <f>""</f>
        <v/>
      </c>
      <c r="BP229" t="str">
        <f>""</f>
        <v/>
      </c>
      <c r="BQ229" t="str">
        <f>""</f>
        <v/>
      </c>
      <c r="BR229" t="str">
        <f>"06/07/2023"</f>
        <v>06/07/2023</v>
      </c>
      <c r="BS229" t="str">
        <f>""</f>
        <v/>
      </c>
      <c r="BT229" t="str">
        <f>""</f>
        <v/>
      </c>
      <c r="BU229" t="str">
        <f>""</f>
        <v/>
      </c>
      <c r="BV229" t="str">
        <f>""</f>
        <v/>
      </c>
      <c r="BW229" t="str">
        <f>"Não visitado"</f>
        <v>Não visitado</v>
      </c>
    </row>
    <row r="230" spans="1:75" x14ac:dyDescent="0.35">
      <c r="A230">
        <v>157533</v>
      </c>
      <c r="B230" t="str">
        <f t="shared" si="95"/>
        <v>A</v>
      </c>
      <c r="C230" t="str">
        <f t="shared" si="96"/>
        <v>80</v>
      </c>
      <c r="D230" t="str">
        <f t="shared" si="97"/>
        <v>11121001</v>
      </c>
      <c r="E230" t="str">
        <f t="shared" si="98"/>
        <v>121001</v>
      </c>
      <c r="F230" t="str">
        <f t="shared" si="99"/>
        <v>JENIFER SANTOS</v>
      </c>
      <c r="G230" t="str">
        <f>"14458854000120"</f>
        <v>14458854000120</v>
      </c>
      <c r="H230" t="str">
        <f>"0"</f>
        <v>0</v>
      </c>
      <c r="I230" t="str">
        <f t="shared" si="100"/>
        <v>CONTA OPTICA</v>
      </c>
      <c r="J230" t="str">
        <f>"MM JOIAS E RELOGIOS LTDA - ME"</f>
        <v>MM JOIAS E RELOGIOS LTDA - ME</v>
      </c>
      <c r="K230" t="str">
        <f>"MM JOIAS E RELOGIOS (3790)"</f>
        <v>MM JOIAS E RELOGIOS (3790)</v>
      </c>
      <c r="L230" t="str">
        <f>""</f>
        <v/>
      </c>
      <c r="M230" t="str">
        <f>""</f>
        <v/>
      </c>
      <c r="N230" t="str">
        <f>"JOALHERIAMM@HOTMAIL.COM"</f>
        <v>JOALHERIAMM@HOTMAIL.COM</v>
      </c>
      <c r="O230" t="str">
        <f>""</f>
        <v/>
      </c>
      <c r="P230" t="str">
        <f>"RUA FERNANDO MACHADO - D"</f>
        <v>RUA FERNANDO MACHADO - D</v>
      </c>
      <c r="Q230" t="str">
        <f>"2580"</f>
        <v>2580</v>
      </c>
      <c r="R230" t="str">
        <f>"LETRA D SALA 06"</f>
        <v>LETRA D SALA 06</v>
      </c>
      <c r="S230" t="str">
        <f>"1287"</f>
        <v>1287</v>
      </c>
      <c r="T230" t="str">
        <f>"89805042"</f>
        <v>89805042</v>
      </c>
      <c r="U230" t="str">
        <f>"PASSO DOS FORTES"</f>
        <v>PASSO DOS FORTES</v>
      </c>
      <c r="V230" t="str">
        <f>"CHAPECO"</f>
        <v>CHAPECO</v>
      </c>
      <c r="W230" t="str">
        <f t="shared" ref="W230:W245" si="120">"SC"</f>
        <v>SC</v>
      </c>
      <c r="X230" t="str">
        <f>"49"</f>
        <v>49</v>
      </c>
      <c r="Y230" t="str">
        <f>"33233553"</f>
        <v>33233553</v>
      </c>
      <c r="Z230" t="str">
        <f>""</f>
        <v/>
      </c>
      <c r="AA230" t="str">
        <f>""</f>
        <v/>
      </c>
      <c r="AB230" t="str">
        <f>""</f>
        <v/>
      </c>
      <c r="AC230" t="str">
        <f>""</f>
        <v/>
      </c>
      <c r="AD230" t="str">
        <f>""</f>
        <v/>
      </c>
      <c r="AE230" t="str">
        <f>""</f>
        <v/>
      </c>
      <c r="AF230" t="str">
        <f>""</f>
        <v/>
      </c>
      <c r="AG230" t="str">
        <f>""</f>
        <v/>
      </c>
      <c r="AH230" t="str">
        <f>""</f>
        <v/>
      </c>
      <c r="AI230" t="str">
        <f>""</f>
        <v/>
      </c>
      <c r="AJ230" t="str">
        <f>""</f>
        <v/>
      </c>
      <c r="AK230" t="str">
        <f>""</f>
        <v/>
      </c>
      <c r="AL230" t="str">
        <f>""</f>
        <v/>
      </c>
      <c r="AM230" t="str">
        <f>""</f>
        <v/>
      </c>
      <c r="AN230" t="str">
        <f>""</f>
        <v/>
      </c>
      <c r="AO230" t="str">
        <f>""</f>
        <v/>
      </c>
      <c r="AP230" t="str">
        <f>""</f>
        <v/>
      </c>
      <c r="AQ230" t="str">
        <f>""</f>
        <v/>
      </c>
      <c r="AR230" t="str">
        <f>""</f>
        <v/>
      </c>
      <c r="AS230" t="str">
        <f>""</f>
        <v/>
      </c>
      <c r="AT230" t="str">
        <f>""</f>
        <v/>
      </c>
      <c r="AU230" t="str">
        <f>""</f>
        <v/>
      </c>
      <c r="AV230" t="str">
        <f>""</f>
        <v/>
      </c>
      <c r="AW230" t="str">
        <f>""</f>
        <v/>
      </c>
      <c r="AX230" t="str">
        <f>""</f>
        <v/>
      </c>
      <c r="AY230" t="str">
        <f>""</f>
        <v/>
      </c>
      <c r="AZ230" t="str">
        <f>""</f>
        <v/>
      </c>
      <c r="BA230" t="str">
        <f>""</f>
        <v/>
      </c>
      <c r="BB230" t="str">
        <f>"11/07/2023 02:14:29"</f>
        <v>11/07/2023 02:14:29</v>
      </c>
      <c r="BC230" t="str">
        <f>""</f>
        <v/>
      </c>
      <c r="BD230" t="str">
        <f>""</f>
        <v/>
      </c>
      <c r="BE230" t="str">
        <f>""</f>
        <v/>
      </c>
      <c r="BF230" t="str">
        <f t="shared" si="101"/>
        <v>A</v>
      </c>
      <c r="BG230" t="str">
        <f>""</f>
        <v/>
      </c>
      <c r="BH230" t="str">
        <f>""</f>
        <v/>
      </c>
      <c r="BI230" t="str">
        <f t="shared" si="117"/>
        <v>EVENTUAL</v>
      </c>
      <c r="BJ230" t="str">
        <f t="shared" si="102"/>
        <v>1</v>
      </c>
      <c r="BK230" t="str">
        <f t="shared" si="103"/>
        <v>Farmacia</v>
      </c>
      <c r="BL230" t="str">
        <f>""</f>
        <v/>
      </c>
      <c r="BM230" t="str">
        <f>""</f>
        <v/>
      </c>
      <c r="BN230" t="str">
        <f>""</f>
        <v/>
      </c>
      <c r="BO230" t="str">
        <f>""</f>
        <v/>
      </c>
      <c r="BP230" t="str">
        <f>""</f>
        <v/>
      </c>
      <c r="BQ230" t="str">
        <f>""</f>
        <v/>
      </c>
      <c r="BR230" t="str">
        <f>"11/07/2023"</f>
        <v>11/07/2023</v>
      </c>
      <c r="BS230" t="str">
        <f>""</f>
        <v/>
      </c>
      <c r="BT230" t="str">
        <f>""</f>
        <v/>
      </c>
      <c r="BU230" t="str">
        <f>""</f>
        <v/>
      </c>
      <c r="BV230" t="str">
        <f>""</f>
        <v/>
      </c>
      <c r="BW230" t="str">
        <f>"Não visitado"</f>
        <v>Não visitado</v>
      </c>
    </row>
    <row r="231" spans="1:75" x14ac:dyDescent="0.35">
      <c r="A231">
        <v>144512</v>
      </c>
      <c r="B231" t="str">
        <f t="shared" si="95"/>
        <v>A</v>
      </c>
      <c r="C231" t="str">
        <f t="shared" si="96"/>
        <v>80</v>
      </c>
      <c r="D231" t="str">
        <f t="shared" si="97"/>
        <v>11121001</v>
      </c>
      <c r="E231" t="str">
        <f t="shared" si="98"/>
        <v>121001</v>
      </c>
      <c r="F231" t="str">
        <f t="shared" si="99"/>
        <v>JENIFER SANTOS</v>
      </c>
      <c r="G231" t="str">
        <f>"20803442000264"</f>
        <v>20803442000264</v>
      </c>
      <c r="H231" t="str">
        <f>""</f>
        <v/>
      </c>
      <c r="I231" t="str">
        <f t="shared" si="100"/>
        <v>CONTA OPTICA</v>
      </c>
      <c r="J231" t="str">
        <f>"MMDG COMERCIO DE OTICA EIRELI"</f>
        <v>MMDG COMERCIO DE OTICA EIRELI</v>
      </c>
      <c r="K231" t="str">
        <f>"BENDITA OTICA (4030)"</f>
        <v>BENDITA OTICA (4030)</v>
      </c>
      <c r="L231" t="str">
        <f>""</f>
        <v/>
      </c>
      <c r="M231" t="str">
        <f>""</f>
        <v/>
      </c>
      <c r="N231" t="str">
        <f>"grasiane.devigili@gmail.com"</f>
        <v>grasiane.devigili@gmail.com</v>
      </c>
      <c r="O231" t="str">
        <f>""</f>
        <v/>
      </c>
      <c r="P231" t="str">
        <f>"RUA MINISTRO CALOGERAS"</f>
        <v>RUA MINISTRO CALOGERAS</v>
      </c>
      <c r="Q231" t="str">
        <f>"1639"</f>
        <v>1639</v>
      </c>
      <c r="R231" t="str">
        <f>"LOJA 04"</f>
        <v>LOJA 04</v>
      </c>
      <c r="S231" t="str">
        <f>""</f>
        <v/>
      </c>
      <c r="T231" t="str">
        <f>"89202005"</f>
        <v>89202005</v>
      </c>
      <c r="U231" t="str">
        <f>"ANITA GARIBALDI"</f>
        <v>ANITA GARIBALDI</v>
      </c>
      <c r="V231" t="str">
        <f t="shared" ref="V231:V238" si="121">"JOINVILLE"</f>
        <v>JOINVILLE</v>
      </c>
      <c r="W231" t="str">
        <f t="shared" si="120"/>
        <v>SC</v>
      </c>
      <c r="X231" t="str">
        <f t="shared" ref="X231:X238" si="122">"47"</f>
        <v>47</v>
      </c>
      <c r="Y231" t="str">
        <f>"991931881"</f>
        <v>991931881</v>
      </c>
      <c r="Z231" t="str">
        <f>""</f>
        <v/>
      </c>
      <c r="AA231" t="str">
        <f>""</f>
        <v/>
      </c>
      <c r="AB231" t="str">
        <f>""</f>
        <v/>
      </c>
      <c r="AC231" t="str">
        <f>""</f>
        <v/>
      </c>
      <c r="AD231" t="str">
        <f>""</f>
        <v/>
      </c>
      <c r="AE231" t="str">
        <f>""</f>
        <v/>
      </c>
      <c r="AF231" t="str">
        <f>""</f>
        <v/>
      </c>
      <c r="AG231" t="str">
        <f>""</f>
        <v/>
      </c>
      <c r="AH231" t="str">
        <f>""</f>
        <v/>
      </c>
      <c r="AI231" t="str">
        <f>""</f>
        <v/>
      </c>
      <c r="AJ231" t="str">
        <f t="shared" ref="AJ231:AL233" si="123">"0"</f>
        <v>0</v>
      </c>
      <c r="AK231" t="str">
        <f t="shared" si="123"/>
        <v>0</v>
      </c>
      <c r="AL231" t="str">
        <f t="shared" si="123"/>
        <v>0</v>
      </c>
      <c r="AM231" t="str">
        <f>""</f>
        <v/>
      </c>
      <c r="AN231" t="str">
        <f>""</f>
        <v/>
      </c>
      <c r="AO231" t="str">
        <f>""</f>
        <v/>
      </c>
      <c r="AP231" t="str">
        <f>""</f>
        <v/>
      </c>
      <c r="AQ231" t="str">
        <f>""</f>
        <v/>
      </c>
      <c r="AR231" t="str">
        <f>""</f>
        <v/>
      </c>
      <c r="AS231" t="str">
        <f>""</f>
        <v/>
      </c>
      <c r="AT231" t="str">
        <f>""</f>
        <v/>
      </c>
      <c r="AU231" t="str">
        <f>""</f>
        <v/>
      </c>
      <c r="AV231" t="str">
        <f>""</f>
        <v/>
      </c>
      <c r="AW231" t="str">
        <f>""</f>
        <v/>
      </c>
      <c r="AX231" t="str">
        <f>""</f>
        <v/>
      </c>
      <c r="AY231" t="str">
        <f>""</f>
        <v/>
      </c>
      <c r="AZ231" t="str">
        <f>""</f>
        <v/>
      </c>
      <c r="BA231" t="str">
        <f>""</f>
        <v/>
      </c>
      <c r="BB231" t="str">
        <f>""</f>
        <v/>
      </c>
      <c r="BC231" t="str">
        <f>""</f>
        <v/>
      </c>
      <c r="BD231" t="str">
        <f>""</f>
        <v/>
      </c>
      <c r="BE231" t="str">
        <f>""</f>
        <v/>
      </c>
      <c r="BF231" t="str">
        <f t="shared" si="101"/>
        <v>A</v>
      </c>
      <c r="BG231" t="str">
        <f t="shared" ref="BG231:BH233" si="124">"0,00"</f>
        <v>0,00</v>
      </c>
      <c r="BH231" t="str">
        <f t="shared" si="124"/>
        <v>0,00</v>
      </c>
      <c r="BI231" t="str">
        <f t="shared" si="117"/>
        <v>EVENTUAL</v>
      </c>
      <c r="BJ231" t="str">
        <f t="shared" si="102"/>
        <v>1</v>
      </c>
      <c r="BK231" t="str">
        <f t="shared" si="103"/>
        <v>Farmacia</v>
      </c>
      <c r="BL231" t="str">
        <f>""</f>
        <v/>
      </c>
      <c r="BM231" t="str">
        <f>"NÃO É VARILUX ESPECIALISTA"</f>
        <v>NÃO É VARILUX ESPECIALISTA</v>
      </c>
      <c r="BN231" t="str">
        <f>"NA"</f>
        <v>NA</v>
      </c>
      <c r="BO231" t="str">
        <f>"FOCO KODAK 2"</f>
        <v>FOCO KODAK 2</v>
      </c>
      <c r="BP231" t="str">
        <f>""</f>
        <v/>
      </c>
      <c r="BQ231" t="str">
        <f>""</f>
        <v/>
      </c>
      <c r="BR231" t="str">
        <f>""</f>
        <v/>
      </c>
      <c r="BS231" t="str">
        <f>""</f>
        <v/>
      </c>
      <c r="BT231" t="str">
        <f>""</f>
        <v/>
      </c>
      <c r="BU231" t="str">
        <f>""</f>
        <v/>
      </c>
      <c r="BV231" t="str">
        <f>"9"</f>
        <v>9</v>
      </c>
      <c r="BW231" t="str">
        <f>"36"</f>
        <v>36</v>
      </c>
    </row>
    <row r="232" spans="1:75" x14ac:dyDescent="0.35">
      <c r="A232">
        <v>144448</v>
      </c>
      <c r="B232" t="str">
        <f t="shared" si="95"/>
        <v>A</v>
      </c>
      <c r="C232" t="str">
        <f t="shared" si="96"/>
        <v>80</v>
      </c>
      <c r="D232" t="str">
        <f t="shared" si="97"/>
        <v>11121001</v>
      </c>
      <c r="E232" t="str">
        <f t="shared" si="98"/>
        <v>121001</v>
      </c>
      <c r="F232" t="str">
        <f t="shared" si="99"/>
        <v>JENIFER SANTOS</v>
      </c>
      <c r="G232" t="str">
        <f>"20803442000183"</f>
        <v>20803442000183</v>
      </c>
      <c r="H232" t="str">
        <f>""</f>
        <v/>
      </c>
      <c r="I232" t="str">
        <f t="shared" si="100"/>
        <v>CONTA OPTICA</v>
      </c>
      <c r="J232" t="str">
        <f>"MMDG COMERCIO DE OTICA EIRELI ME"</f>
        <v>MMDG COMERCIO DE OTICA EIRELI ME</v>
      </c>
      <c r="K232" t="str">
        <f>"BENDITA OTICA (2158)"</f>
        <v>BENDITA OTICA (2158)</v>
      </c>
      <c r="L232" t="str">
        <f>""</f>
        <v/>
      </c>
      <c r="M232" t="str">
        <f>""</f>
        <v/>
      </c>
      <c r="N232" t="str">
        <f>"grasiane.devigili@gmail.com"</f>
        <v>grasiane.devigili@gmail.com</v>
      </c>
      <c r="O232" t="str">
        <f>""</f>
        <v/>
      </c>
      <c r="P232" t="str">
        <f>"RUA QUINZE DE NOVEMBRO"</f>
        <v>RUA QUINZE DE NOVEMBRO</v>
      </c>
      <c r="Q232" t="str">
        <f>"8507"</f>
        <v>8507</v>
      </c>
      <c r="R232" t="str">
        <f>"SALA 01"</f>
        <v>SALA 01</v>
      </c>
      <c r="S232" t="str">
        <f>""</f>
        <v/>
      </c>
      <c r="T232" t="str">
        <f>"88237001"</f>
        <v>88237001</v>
      </c>
      <c r="U232" t="str">
        <f>"VILA NOVA"</f>
        <v>VILA NOVA</v>
      </c>
      <c r="V232" t="str">
        <f t="shared" si="121"/>
        <v>JOINVILLE</v>
      </c>
      <c r="W232" t="str">
        <f t="shared" si="120"/>
        <v>SC</v>
      </c>
      <c r="X232" t="str">
        <f t="shared" si="122"/>
        <v>47</v>
      </c>
      <c r="Y232" t="str">
        <f>"991931881"</f>
        <v>991931881</v>
      </c>
      <c r="Z232" t="str">
        <f>""</f>
        <v/>
      </c>
      <c r="AA232" t="str">
        <f>""</f>
        <v/>
      </c>
      <c r="AB232" t="str">
        <f>""</f>
        <v/>
      </c>
      <c r="AC232" t="str">
        <f>""</f>
        <v/>
      </c>
      <c r="AD232" t="str">
        <f>""</f>
        <v/>
      </c>
      <c r="AE232" t="str">
        <f>""</f>
        <v/>
      </c>
      <c r="AF232" t="str">
        <f>""</f>
        <v/>
      </c>
      <c r="AG232" t="str">
        <f>""</f>
        <v/>
      </c>
      <c r="AH232" t="str">
        <f>""</f>
        <v/>
      </c>
      <c r="AI232" t="str">
        <f>""</f>
        <v/>
      </c>
      <c r="AJ232" t="str">
        <f t="shared" si="123"/>
        <v>0</v>
      </c>
      <c r="AK232" t="str">
        <f t="shared" si="123"/>
        <v>0</v>
      </c>
      <c r="AL232" t="str">
        <f t="shared" si="123"/>
        <v>0</v>
      </c>
      <c r="AM232" t="str">
        <f>""</f>
        <v/>
      </c>
      <c r="AN232" t="str">
        <f>""</f>
        <v/>
      </c>
      <c r="AO232" t="str">
        <f>""</f>
        <v/>
      </c>
      <c r="AP232" t="str">
        <f>""</f>
        <v/>
      </c>
      <c r="AQ232" t="str">
        <f>""</f>
        <v/>
      </c>
      <c r="AR232" t="str">
        <f>""</f>
        <v/>
      </c>
      <c r="AS232" t="str">
        <f>""</f>
        <v/>
      </c>
      <c r="AT232" t="str">
        <f>""</f>
        <v/>
      </c>
      <c r="AU232" t="str">
        <f>""</f>
        <v/>
      </c>
      <c r="AV232" t="str">
        <f>""</f>
        <v/>
      </c>
      <c r="AW232" t="str">
        <f>""</f>
        <v/>
      </c>
      <c r="AX232" t="str">
        <f>""</f>
        <v/>
      </c>
      <c r="AY232" t="str">
        <f>""</f>
        <v/>
      </c>
      <c r="AZ232" t="str">
        <f>""</f>
        <v/>
      </c>
      <c r="BA232" t="str">
        <f>""</f>
        <v/>
      </c>
      <c r="BB232" t="str">
        <f>""</f>
        <v/>
      </c>
      <c r="BC232" t="str">
        <f>""</f>
        <v/>
      </c>
      <c r="BD232" t="str">
        <f>""</f>
        <v/>
      </c>
      <c r="BE232" t="str">
        <f>""</f>
        <v/>
      </c>
      <c r="BF232" t="str">
        <f t="shared" si="101"/>
        <v>A</v>
      </c>
      <c r="BG232" t="str">
        <f t="shared" si="124"/>
        <v>0,00</v>
      </c>
      <c r="BH232" t="str">
        <f t="shared" si="124"/>
        <v>0,00</v>
      </c>
      <c r="BI232" t="str">
        <f t="shared" si="117"/>
        <v>EVENTUAL</v>
      </c>
      <c r="BJ232" t="str">
        <f t="shared" si="102"/>
        <v>1</v>
      </c>
      <c r="BK232" t="str">
        <f t="shared" si="103"/>
        <v>Farmacia</v>
      </c>
      <c r="BL232" t="str">
        <f>""</f>
        <v/>
      </c>
      <c r="BM232" t="str">
        <f>"NÃO É VARILUX ESPECIALISTA"</f>
        <v>NÃO É VARILUX ESPECIALISTA</v>
      </c>
      <c r="BN232" t="str">
        <f>"NA"</f>
        <v>NA</v>
      </c>
      <c r="BO232" t="str">
        <f>"FOCO KODAK 2"</f>
        <v>FOCO KODAK 2</v>
      </c>
      <c r="BP232" t="str">
        <f>""</f>
        <v/>
      </c>
      <c r="BQ232" t="str">
        <f>""</f>
        <v/>
      </c>
      <c r="BR232" t="str">
        <f>""</f>
        <v/>
      </c>
      <c r="BS232" t="str">
        <f>""</f>
        <v/>
      </c>
      <c r="BT232" t="str">
        <f>""</f>
        <v/>
      </c>
      <c r="BU232" t="str">
        <f>""</f>
        <v/>
      </c>
      <c r="BV232" t="str">
        <f>"9"</f>
        <v>9</v>
      </c>
      <c r="BW232" t="str">
        <f>"36"</f>
        <v>36</v>
      </c>
    </row>
    <row r="233" spans="1:75" x14ac:dyDescent="0.35">
      <c r="A233">
        <v>127550</v>
      </c>
      <c r="B233" t="str">
        <f t="shared" si="95"/>
        <v>A</v>
      </c>
      <c r="C233" t="str">
        <f t="shared" si="96"/>
        <v>80</v>
      </c>
      <c r="D233" t="str">
        <f t="shared" si="97"/>
        <v>11121001</v>
      </c>
      <c r="E233" t="str">
        <f t="shared" si="98"/>
        <v>121001</v>
      </c>
      <c r="F233" t="str">
        <f t="shared" si="99"/>
        <v>JENIFER SANTOS</v>
      </c>
      <c r="G233" t="str">
        <f>"01188417000273"</f>
        <v>01188417000273</v>
      </c>
      <c r="H233" t="str">
        <f>"0"</f>
        <v>0</v>
      </c>
      <c r="I233" t="str">
        <f t="shared" si="100"/>
        <v>CONTA OPTICA</v>
      </c>
      <c r="J233" t="str">
        <f>"MOACIR E J DE MEDEIROS CIA LTDA"</f>
        <v>MOACIR E J DE MEDEIROS CIA LTDA</v>
      </c>
      <c r="K233" t="str">
        <f>"OTICA AURORA (3377)"</f>
        <v>OTICA AURORA (3377)</v>
      </c>
      <c r="L233" t="str">
        <f>""</f>
        <v/>
      </c>
      <c r="M233" t="str">
        <f>""</f>
        <v/>
      </c>
      <c r="N233" t="str">
        <f>"oticaurora.bv@hotmail.com"</f>
        <v>oticaurora.bv@hotmail.com</v>
      </c>
      <c r="O233" t="str">
        <f>""</f>
        <v/>
      </c>
      <c r="P233" t="str">
        <f>"RUA ALBANO SCHMIDT"</f>
        <v>RUA ALBANO SCHMIDT</v>
      </c>
      <c r="Q233" t="str">
        <f>"4120"</f>
        <v>4120</v>
      </c>
      <c r="R233" t="str">
        <f>""</f>
        <v/>
      </c>
      <c r="S233" t="str">
        <f>"1279"</f>
        <v>1279</v>
      </c>
      <c r="T233" t="str">
        <f>"89228310"</f>
        <v>89228310</v>
      </c>
      <c r="U233" t="str">
        <f>"COMASA"</f>
        <v>COMASA</v>
      </c>
      <c r="V233" t="str">
        <f t="shared" si="121"/>
        <v>JOINVILLE</v>
      </c>
      <c r="W233" t="str">
        <f t="shared" si="120"/>
        <v>SC</v>
      </c>
      <c r="X233" t="str">
        <f t="shared" si="122"/>
        <v>47</v>
      </c>
      <c r="Y233" t="str">
        <f>"34343750"</f>
        <v>34343750</v>
      </c>
      <c r="Z233" t="str">
        <f>""</f>
        <v/>
      </c>
      <c r="AA233" t="str">
        <f>""</f>
        <v/>
      </c>
      <c r="AB233" t="str">
        <f>""</f>
        <v/>
      </c>
      <c r="AC233" t="str">
        <f>""</f>
        <v/>
      </c>
      <c r="AD233" t="str">
        <f>""</f>
        <v/>
      </c>
      <c r="AE233" t="str">
        <f>""</f>
        <v/>
      </c>
      <c r="AF233" t="str">
        <f>""</f>
        <v/>
      </c>
      <c r="AG233" t="str">
        <f>""</f>
        <v/>
      </c>
      <c r="AH233" t="str">
        <f>""</f>
        <v/>
      </c>
      <c r="AI233" t="str">
        <f>""</f>
        <v/>
      </c>
      <c r="AJ233" t="str">
        <f t="shared" si="123"/>
        <v>0</v>
      </c>
      <c r="AK233" t="str">
        <f t="shared" si="123"/>
        <v>0</v>
      </c>
      <c r="AL233" t="str">
        <f t="shared" si="123"/>
        <v>0</v>
      </c>
      <c r="AM233" t="str">
        <f>""</f>
        <v/>
      </c>
      <c r="AN233" t="str">
        <f>""</f>
        <v/>
      </c>
      <c r="AO233" t="str">
        <f>""</f>
        <v/>
      </c>
      <c r="AP233" t="str">
        <f>""</f>
        <v/>
      </c>
      <c r="AQ233" t="str">
        <f>""</f>
        <v/>
      </c>
      <c r="AR233" t="str">
        <f>""</f>
        <v/>
      </c>
      <c r="AS233" t="str">
        <f>""</f>
        <v/>
      </c>
      <c r="AT233" t="str">
        <f>""</f>
        <v/>
      </c>
      <c r="AU233" t="str">
        <f>""</f>
        <v/>
      </c>
      <c r="AV233" t="str">
        <f>""</f>
        <v/>
      </c>
      <c r="AW233" t="str">
        <f>""</f>
        <v/>
      </c>
      <c r="AX233" t="str">
        <f>""</f>
        <v/>
      </c>
      <c r="AY233" t="str">
        <f>""</f>
        <v/>
      </c>
      <c r="AZ233" t="str">
        <f>""</f>
        <v/>
      </c>
      <c r="BA233" t="str">
        <f>""</f>
        <v/>
      </c>
      <c r="BB233" t="str">
        <f>"07/10/2020 09:08:38"</f>
        <v>07/10/2020 09:08:38</v>
      </c>
      <c r="BC233" t="str">
        <f>""</f>
        <v/>
      </c>
      <c r="BD233" t="str">
        <f>""</f>
        <v/>
      </c>
      <c r="BE233" t="str">
        <f>""</f>
        <v/>
      </c>
      <c r="BF233" t="str">
        <f t="shared" si="101"/>
        <v>A</v>
      </c>
      <c r="BG233" t="str">
        <f t="shared" si="124"/>
        <v>0,00</v>
      </c>
      <c r="BH233" t="str">
        <f t="shared" si="124"/>
        <v>0,00</v>
      </c>
      <c r="BI233" t="str">
        <f t="shared" si="117"/>
        <v>EVENTUAL</v>
      </c>
      <c r="BJ233" t="str">
        <f t="shared" si="102"/>
        <v>1</v>
      </c>
      <c r="BK233" t="str">
        <f t="shared" si="103"/>
        <v>Farmacia</v>
      </c>
      <c r="BL233" t="str">
        <f>""</f>
        <v/>
      </c>
      <c r="BM233" t="str">
        <f>"NÃO É VARILUX ESPECIALISTA"</f>
        <v>NÃO É VARILUX ESPECIALISTA</v>
      </c>
      <c r="BN233" t="str">
        <f>"NA"</f>
        <v>NA</v>
      </c>
      <c r="BO233" t="str">
        <f>"FOCO VARILUX DIGITAL"</f>
        <v>FOCO VARILUX DIGITAL</v>
      </c>
      <c r="BP233" t="str">
        <f>""</f>
        <v/>
      </c>
      <c r="BQ233" t="str">
        <f>""</f>
        <v/>
      </c>
      <c r="BR233" t="str">
        <f>"07/10/2020"</f>
        <v>07/10/2020</v>
      </c>
      <c r="BS233" t="str">
        <f>""</f>
        <v/>
      </c>
      <c r="BT233" t="str">
        <f>""</f>
        <v/>
      </c>
      <c r="BU233" t="str">
        <f>""</f>
        <v/>
      </c>
      <c r="BV233" t="str">
        <f>"1"</f>
        <v>1</v>
      </c>
      <c r="BW233" t="str">
        <f>"102"</f>
        <v>102</v>
      </c>
    </row>
    <row r="234" spans="1:75" x14ac:dyDescent="0.35">
      <c r="A234">
        <v>157583</v>
      </c>
      <c r="B234" t="str">
        <f t="shared" si="95"/>
        <v>A</v>
      </c>
      <c r="C234" t="str">
        <f t="shared" si="96"/>
        <v>80</v>
      </c>
      <c r="D234" t="str">
        <f t="shared" si="97"/>
        <v>11121001</v>
      </c>
      <c r="E234" t="str">
        <f t="shared" si="98"/>
        <v>121001</v>
      </c>
      <c r="F234" t="str">
        <f t="shared" si="99"/>
        <v>JENIFER SANTOS</v>
      </c>
      <c r="G234" t="str">
        <f>"01188417000192"</f>
        <v>01188417000192</v>
      </c>
      <c r="H234" t="str">
        <f>"0"</f>
        <v>0</v>
      </c>
      <c r="I234" t="str">
        <f t="shared" si="100"/>
        <v>CONTA OPTICA</v>
      </c>
      <c r="J234" t="str">
        <f>"MOACIR E J DE MEDEIROS E CIA LTDA"</f>
        <v>MOACIR E J DE MEDEIROS E CIA LTDA</v>
      </c>
      <c r="K234" t="str">
        <f>"OTICA AURORA (965)"</f>
        <v>OTICA AURORA (965)</v>
      </c>
      <c r="L234" t="str">
        <f>""</f>
        <v/>
      </c>
      <c r="M234" t="str">
        <f>""</f>
        <v/>
      </c>
      <c r="N234" t="str">
        <f>"LABORATORIOAURORA@OUTLOOK.COM"</f>
        <v>LABORATORIOAURORA@OUTLOOK.COM</v>
      </c>
      <c r="O234" t="str">
        <f>""</f>
        <v/>
      </c>
      <c r="P234" t="str">
        <f>"RUA GUANABARA"</f>
        <v>RUA GUANABARA</v>
      </c>
      <c r="Q234" t="str">
        <f>"1223"</f>
        <v>1223</v>
      </c>
      <c r="R234" t="str">
        <f>""</f>
        <v/>
      </c>
      <c r="S234" t="str">
        <f>"1279"</f>
        <v>1279</v>
      </c>
      <c r="T234" t="str">
        <f>"89207301"</f>
        <v>89207301</v>
      </c>
      <c r="U234" t="str">
        <f>"GUANABARA"</f>
        <v>GUANABARA</v>
      </c>
      <c r="V234" t="str">
        <f t="shared" si="121"/>
        <v>JOINVILLE</v>
      </c>
      <c r="W234" t="str">
        <f t="shared" si="120"/>
        <v>SC</v>
      </c>
      <c r="X234" t="str">
        <f t="shared" si="122"/>
        <v>47</v>
      </c>
      <c r="Y234" t="str">
        <f>"34366978"</f>
        <v>34366978</v>
      </c>
      <c r="Z234" t="str">
        <f>""</f>
        <v/>
      </c>
      <c r="AA234" t="str">
        <f>""</f>
        <v/>
      </c>
      <c r="AB234" t="str">
        <f>""</f>
        <v/>
      </c>
      <c r="AC234" t="str">
        <f>""</f>
        <v/>
      </c>
      <c r="AD234" t="str">
        <f>""</f>
        <v/>
      </c>
      <c r="AE234" t="str">
        <f>""</f>
        <v/>
      </c>
      <c r="AF234" t="str">
        <f>""</f>
        <v/>
      </c>
      <c r="AG234" t="str">
        <f>""</f>
        <v/>
      </c>
      <c r="AH234" t="str">
        <f>""</f>
        <v/>
      </c>
      <c r="AI234" t="str">
        <f>""</f>
        <v/>
      </c>
      <c r="AJ234" t="str">
        <f>""</f>
        <v/>
      </c>
      <c r="AK234" t="str">
        <f>""</f>
        <v/>
      </c>
      <c r="AL234" t="str">
        <f>""</f>
        <v/>
      </c>
      <c r="AM234" t="str">
        <f>""</f>
        <v/>
      </c>
      <c r="AN234" t="str">
        <f>""</f>
        <v/>
      </c>
      <c r="AO234" t="str">
        <f>""</f>
        <v/>
      </c>
      <c r="AP234" t="str">
        <f>""</f>
        <v/>
      </c>
      <c r="AQ234" t="str">
        <f>""</f>
        <v/>
      </c>
      <c r="AR234" t="str">
        <f>""</f>
        <v/>
      </c>
      <c r="AS234" t="str">
        <f>""</f>
        <v/>
      </c>
      <c r="AT234" t="str">
        <f>""</f>
        <v/>
      </c>
      <c r="AU234" t="str">
        <f>""</f>
        <v/>
      </c>
      <c r="AV234" t="str">
        <f>""</f>
        <v/>
      </c>
      <c r="AW234" t="str">
        <f>""</f>
        <v/>
      </c>
      <c r="AX234" t="str">
        <f>""</f>
        <v/>
      </c>
      <c r="AY234" t="str">
        <f>""</f>
        <v/>
      </c>
      <c r="AZ234" t="str">
        <f>""</f>
        <v/>
      </c>
      <c r="BA234" t="str">
        <f>""</f>
        <v/>
      </c>
      <c r="BB234" t="str">
        <f>"11/07/2023 02:14:29"</f>
        <v>11/07/2023 02:14:29</v>
      </c>
      <c r="BC234" t="str">
        <f>""</f>
        <v/>
      </c>
      <c r="BD234" t="str">
        <f>""</f>
        <v/>
      </c>
      <c r="BE234" t="str">
        <f>""</f>
        <v/>
      </c>
      <c r="BF234" t="str">
        <f t="shared" si="101"/>
        <v>A</v>
      </c>
      <c r="BG234" t="str">
        <f>""</f>
        <v/>
      </c>
      <c r="BH234" t="str">
        <f>""</f>
        <v/>
      </c>
      <c r="BI234" t="str">
        <f t="shared" si="117"/>
        <v>EVENTUAL</v>
      </c>
      <c r="BJ234" t="str">
        <f t="shared" si="102"/>
        <v>1</v>
      </c>
      <c r="BK234" t="str">
        <f t="shared" si="103"/>
        <v>Farmacia</v>
      </c>
      <c r="BL234" t="str">
        <f>""</f>
        <v/>
      </c>
      <c r="BM234" t="str">
        <f>""</f>
        <v/>
      </c>
      <c r="BN234" t="str">
        <f>""</f>
        <v/>
      </c>
      <c r="BO234" t="str">
        <f>""</f>
        <v/>
      </c>
      <c r="BP234" t="str">
        <f>""</f>
        <v/>
      </c>
      <c r="BQ234" t="str">
        <f>""</f>
        <v/>
      </c>
      <c r="BR234" t="str">
        <f>"11/07/2023"</f>
        <v>11/07/2023</v>
      </c>
      <c r="BS234" t="str">
        <f>""</f>
        <v/>
      </c>
      <c r="BT234" t="str">
        <f>""</f>
        <v/>
      </c>
      <c r="BU234" t="str">
        <f>""</f>
        <v/>
      </c>
      <c r="BV234" t="str">
        <f>""</f>
        <v/>
      </c>
      <c r="BW234" t="str">
        <f>"Não visitado"</f>
        <v>Não visitado</v>
      </c>
    </row>
    <row r="235" spans="1:75" x14ac:dyDescent="0.35">
      <c r="A235">
        <v>144730</v>
      </c>
      <c r="B235" t="str">
        <f t="shared" si="95"/>
        <v>A</v>
      </c>
      <c r="C235" t="str">
        <f t="shared" si="96"/>
        <v>80</v>
      </c>
      <c r="D235" t="str">
        <f t="shared" si="97"/>
        <v>11121001</v>
      </c>
      <c r="E235" t="str">
        <f t="shared" si="98"/>
        <v>121001</v>
      </c>
      <c r="F235" t="str">
        <f t="shared" si="99"/>
        <v>JENIFER SANTOS</v>
      </c>
      <c r="G235" t="str">
        <f>"14339010000160"</f>
        <v>14339010000160</v>
      </c>
      <c r="H235" t="str">
        <f>""</f>
        <v/>
      </c>
      <c r="I235" t="str">
        <f t="shared" si="100"/>
        <v>CONTA OPTICA</v>
      </c>
      <c r="J235" t="str">
        <f>"MOACIR FRANCELINO DE MEDEIROS ME"</f>
        <v>MOACIR FRANCELINO DE MEDEIROS ME</v>
      </c>
      <c r="K235" t="str">
        <f>"OTICA AURORA (2036)"</f>
        <v>OTICA AURORA (2036)</v>
      </c>
      <c r="L235" t="str">
        <f>""</f>
        <v/>
      </c>
      <c r="M235" t="str">
        <f>""</f>
        <v/>
      </c>
      <c r="N235" t="str">
        <f>"oticaaurora.cs@hotmail.com"</f>
        <v>oticaaurora.cs@hotmail.com</v>
      </c>
      <c r="O235" t="str">
        <f>""</f>
        <v/>
      </c>
      <c r="P235" t="str">
        <f>"RUA OTTO PFUETZENREUTER"</f>
        <v>RUA OTTO PFUETZENREUTER</v>
      </c>
      <c r="Q235" t="str">
        <f>"807"</f>
        <v>807</v>
      </c>
      <c r="R235" t="str">
        <f>"SALA 4"</f>
        <v>SALA 4</v>
      </c>
      <c r="S235" t="str">
        <f>"1279"</f>
        <v>1279</v>
      </c>
      <c r="T235" t="str">
        <f>"89219200"</f>
        <v>89219200</v>
      </c>
      <c r="U235" t="str">
        <f>"COSTA E SILVA"</f>
        <v>COSTA E SILVA</v>
      </c>
      <c r="V235" t="str">
        <f t="shared" si="121"/>
        <v>JOINVILLE</v>
      </c>
      <c r="W235" t="str">
        <f t="shared" si="120"/>
        <v>SC</v>
      </c>
      <c r="X235" t="str">
        <f t="shared" si="122"/>
        <v>47</v>
      </c>
      <c r="Y235" t="str">
        <f>"30266978"</f>
        <v>30266978</v>
      </c>
      <c r="Z235" t="str">
        <f>""</f>
        <v/>
      </c>
      <c r="AA235" t="str">
        <f>""</f>
        <v/>
      </c>
      <c r="AB235" t="str">
        <f>""</f>
        <v/>
      </c>
      <c r="AC235" t="str">
        <f>""</f>
        <v/>
      </c>
      <c r="AD235" t="str">
        <f>""</f>
        <v/>
      </c>
      <c r="AE235" t="str">
        <f>""</f>
        <v/>
      </c>
      <c r="AF235" t="str">
        <f>""</f>
        <v/>
      </c>
      <c r="AG235" t="str">
        <f>""</f>
        <v/>
      </c>
      <c r="AH235" t="str">
        <f>""</f>
        <v/>
      </c>
      <c r="AI235" t="str">
        <f>""</f>
        <v/>
      </c>
      <c r="AJ235" t="str">
        <f>"0"</f>
        <v>0</v>
      </c>
      <c r="AK235" t="str">
        <f>"0"</f>
        <v>0</v>
      </c>
      <c r="AL235" t="str">
        <f>"0"</f>
        <v>0</v>
      </c>
      <c r="AM235" t="str">
        <f>""</f>
        <v/>
      </c>
      <c r="AN235" t="str">
        <f>""</f>
        <v/>
      </c>
      <c r="AO235" t="str">
        <f>""</f>
        <v/>
      </c>
      <c r="AP235" t="str">
        <f>""</f>
        <v/>
      </c>
      <c r="AQ235" t="str">
        <f>""</f>
        <v/>
      </c>
      <c r="AR235" t="str">
        <f>""</f>
        <v/>
      </c>
      <c r="AS235" t="str">
        <f>""</f>
        <v/>
      </c>
      <c r="AT235" t="str">
        <f>""</f>
        <v/>
      </c>
      <c r="AU235" t="str">
        <f>""</f>
        <v/>
      </c>
      <c r="AV235" t="str">
        <f>""</f>
        <v/>
      </c>
      <c r="AW235" t="str">
        <f>""</f>
        <v/>
      </c>
      <c r="AX235" t="str">
        <f>""</f>
        <v/>
      </c>
      <c r="AY235" t="str">
        <f>""</f>
        <v/>
      </c>
      <c r="AZ235" t="str">
        <f>""</f>
        <v/>
      </c>
      <c r="BA235" t="str">
        <f>""</f>
        <v/>
      </c>
      <c r="BB235" t="str">
        <f>""</f>
        <v/>
      </c>
      <c r="BC235" t="str">
        <f>""</f>
        <v/>
      </c>
      <c r="BD235" t="str">
        <f>""</f>
        <v/>
      </c>
      <c r="BE235" t="str">
        <f>""</f>
        <v/>
      </c>
      <c r="BF235" t="str">
        <f t="shared" si="101"/>
        <v>A</v>
      </c>
      <c r="BG235" t="str">
        <f>"0,00"</f>
        <v>0,00</v>
      </c>
      <c r="BH235" t="str">
        <f>"0,00"</f>
        <v>0,00</v>
      </c>
      <c r="BI235" t="str">
        <f t="shared" si="117"/>
        <v>EVENTUAL</v>
      </c>
      <c r="BJ235" t="str">
        <f t="shared" si="102"/>
        <v>1</v>
      </c>
      <c r="BK235" t="str">
        <f t="shared" si="103"/>
        <v>Farmacia</v>
      </c>
      <c r="BL235" t="str">
        <f>""</f>
        <v/>
      </c>
      <c r="BM235" t="str">
        <f>"VARILUX ESPECIALISTA PLATINE"</f>
        <v>VARILUX ESPECIALISTA PLATINE</v>
      </c>
      <c r="BN235" t="str">
        <f>"NA"</f>
        <v>NA</v>
      </c>
      <c r="BO235" t="str">
        <f>"FOCO VARILUX DIGITAL"</f>
        <v>FOCO VARILUX DIGITAL</v>
      </c>
      <c r="BP235" t="str">
        <f>""</f>
        <v/>
      </c>
      <c r="BQ235" t="str">
        <f>""</f>
        <v/>
      </c>
      <c r="BR235" t="str">
        <f>""</f>
        <v/>
      </c>
      <c r="BS235" t="str">
        <f>""</f>
        <v/>
      </c>
      <c r="BT235" t="str">
        <f>""</f>
        <v/>
      </c>
      <c r="BU235" t="str">
        <f>""</f>
        <v/>
      </c>
      <c r="BV235" t="str">
        <f>"1"</f>
        <v>1</v>
      </c>
      <c r="BW235" t="str">
        <f>"31"</f>
        <v>31</v>
      </c>
    </row>
    <row r="236" spans="1:75" x14ac:dyDescent="0.35">
      <c r="A236">
        <v>127756</v>
      </c>
      <c r="B236" t="str">
        <f t="shared" si="95"/>
        <v>A</v>
      </c>
      <c r="C236" t="str">
        <f t="shared" si="96"/>
        <v>80</v>
      </c>
      <c r="D236" t="str">
        <f t="shared" si="97"/>
        <v>11121001</v>
      </c>
      <c r="E236" t="str">
        <f t="shared" si="98"/>
        <v>121001</v>
      </c>
      <c r="F236" t="str">
        <f t="shared" si="99"/>
        <v>JENIFER SANTOS</v>
      </c>
      <c r="G236" t="str">
        <f>"03902874000122"</f>
        <v>03902874000122</v>
      </c>
      <c r="H236" t="str">
        <f>"0"</f>
        <v>0</v>
      </c>
      <c r="I236" t="str">
        <f t="shared" si="100"/>
        <v>CONTA OPTICA</v>
      </c>
      <c r="J236" t="str">
        <f>"MS GERALDI PRODUTOS OPTICOS LTDA ME"</f>
        <v>MS GERALDI PRODUTOS OPTICOS LTDA ME</v>
      </c>
      <c r="K236" t="str">
        <f>"MS GERALDI PRODUTOS OPTICOS LTDA ME (73)"</f>
        <v>MS GERALDI PRODUTOS OPTICOS LTDA ME (73)</v>
      </c>
      <c r="L236" t="str">
        <f>""</f>
        <v/>
      </c>
      <c r="M236" t="str">
        <f>""</f>
        <v/>
      </c>
      <c r="N236" t="str">
        <f>"onimarli@cdljoinville.com.br"</f>
        <v>onimarli@cdljoinville.com.br</v>
      </c>
      <c r="O236" t="str">
        <f>""</f>
        <v/>
      </c>
      <c r="P236" t="str">
        <f>"RUA QUINZE DE NOVEMBRO"</f>
        <v>RUA QUINZE DE NOVEMBRO</v>
      </c>
      <c r="Q236" t="str">
        <f>"811"</f>
        <v>811</v>
      </c>
      <c r="R236" t="str">
        <f>""</f>
        <v/>
      </c>
      <c r="S236" t="str">
        <f>"1277"</f>
        <v>1277</v>
      </c>
      <c r="T236" t="str">
        <f>"89201601"</f>
        <v>89201601</v>
      </c>
      <c r="U236" t="str">
        <f>"CENTRO"</f>
        <v>CENTRO</v>
      </c>
      <c r="V236" t="str">
        <f t="shared" si="121"/>
        <v>JOINVILLE</v>
      </c>
      <c r="W236" t="str">
        <f t="shared" si="120"/>
        <v>SC</v>
      </c>
      <c r="X236" t="str">
        <f t="shared" si="122"/>
        <v>47</v>
      </c>
      <c r="Y236" t="str">
        <f>"34225100"</f>
        <v>34225100</v>
      </c>
      <c r="Z236" t="str">
        <f>""</f>
        <v/>
      </c>
      <c r="AA236" t="str">
        <f>""</f>
        <v/>
      </c>
      <c r="AB236" t="str">
        <f>""</f>
        <v/>
      </c>
      <c r="AC236" t="str">
        <f>""</f>
        <v/>
      </c>
      <c r="AD236" t="str">
        <f>""</f>
        <v/>
      </c>
      <c r="AE236" t="str">
        <f>""</f>
        <v/>
      </c>
      <c r="AF236" t="str">
        <f>""</f>
        <v/>
      </c>
      <c r="AG236" t="str">
        <f>""</f>
        <v/>
      </c>
      <c r="AH236" t="str">
        <f>""</f>
        <v/>
      </c>
      <c r="AI236" t="str">
        <f>""</f>
        <v/>
      </c>
      <c r="AJ236" t="str">
        <f>""</f>
        <v/>
      </c>
      <c r="AK236" t="str">
        <f>""</f>
        <v/>
      </c>
      <c r="AL236" t="str">
        <f>""</f>
        <v/>
      </c>
      <c r="AM236" t="str">
        <f>""</f>
        <v/>
      </c>
      <c r="AN236" t="str">
        <f>""</f>
        <v/>
      </c>
      <c r="AO236" t="str">
        <f>""</f>
        <v/>
      </c>
      <c r="AP236" t="str">
        <f>""</f>
        <v/>
      </c>
      <c r="AQ236" t="str">
        <f>""</f>
        <v/>
      </c>
      <c r="AR236" t="str">
        <f>""</f>
        <v/>
      </c>
      <c r="AS236" t="str">
        <f>""</f>
        <v/>
      </c>
      <c r="AT236" t="str">
        <f>""</f>
        <v/>
      </c>
      <c r="AU236" t="str">
        <f>""</f>
        <v/>
      </c>
      <c r="AV236" t="str">
        <f>""</f>
        <v/>
      </c>
      <c r="AW236" t="str">
        <f>""</f>
        <v/>
      </c>
      <c r="AX236" t="str">
        <f>""</f>
        <v/>
      </c>
      <c r="AY236" t="str">
        <f>""</f>
        <v/>
      </c>
      <c r="AZ236" t="str">
        <f>""</f>
        <v/>
      </c>
      <c r="BA236" t="str">
        <f>""</f>
        <v/>
      </c>
      <c r="BB236" t="str">
        <f>"07/10/2020 09:08:38"</f>
        <v>07/10/2020 09:08:38</v>
      </c>
      <c r="BC236" t="str">
        <f>""</f>
        <v/>
      </c>
      <c r="BD236" t="str">
        <f>""</f>
        <v/>
      </c>
      <c r="BE236" t="str">
        <f>""</f>
        <v/>
      </c>
      <c r="BF236" t="str">
        <f t="shared" si="101"/>
        <v>A</v>
      </c>
      <c r="BG236" t="str">
        <f>""</f>
        <v/>
      </c>
      <c r="BH236" t="str">
        <f>""</f>
        <v/>
      </c>
      <c r="BI236" t="str">
        <f t="shared" si="117"/>
        <v>EVENTUAL</v>
      </c>
      <c r="BJ236" t="str">
        <f t="shared" si="102"/>
        <v>1</v>
      </c>
      <c r="BK236" t="str">
        <f t="shared" si="103"/>
        <v>Farmacia</v>
      </c>
      <c r="BL236" t="str">
        <f>""</f>
        <v/>
      </c>
      <c r="BM236" t="str">
        <f>"NÃO É VARILUX ESPECIALISTA"</f>
        <v>NÃO É VARILUX ESPECIALISTA</v>
      </c>
      <c r="BN236" t="str">
        <f>"NA"</f>
        <v>NA</v>
      </c>
      <c r="BO236" t="str">
        <f>"OUTROS"</f>
        <v>OUTROS</v>
      </c>
      <c r="BP236" t="str">
        <f>""</f>
        <v/>
      </c>
      <c r="BQ236" t="str">
        <f>""</f>
        <v/>
      </c>
      <c r="BR236" t="str">
        <f>"07/10/2020"</f>
        <v>07/10/2020</v>
      </c>
      <c r="BS236" t="str">
        <f>""</f>
        <v/>
      </c>
      <c r="BT236" t="str">
        <f>""</f>
        <v/>
      </c>
      <c r="BU236" t="str">
        <f>""</f>
        <v/>
      </c>
      <c r="BV236" t="str">
        <f>"9"</f>
        <v>9</v>
      </c>
      <c r="BW236" t="str">
        <f>"Não visitado"</f>
        <v>Não visitado</v>
      </c>
    </row>
    <row r="237" spans="1:75" x14ac:dyDescent="0.35">
      <c r="A237">
        <v>765</v>
      </c>
      <c r="B237" t="str">
        <f t="shared" si="95"/>
        <v>A</v>
      </c>
      <c r="C237" t="str">
        <f t="shared" si="96"/>
        <v>80</v>
      </c>
      <c r="D237" t="str">
        <f t="shared" si="97"/>
        <v>11121001</v>
      </c>
      <c r="E237" t="str">
        <f t="shared" si="98"/>
        <v>121001</v>
      </c>
      <c r="F237" t="str">
        <f t="shared" si="99"/>
        <v>JENIFER SANTOS</v>
      </c>
      <c r="G237" t="str">
        <f>"00272199000107"</f>
        <v>00272199000107</v>
      </c>
      <c r="H237" t="str">
        <f>""</f>
        <v/>
      </c>
      <c r="I237" t="str">
        <f t="shared" si="100"/>
        <v>CONTA OPTICA</v>
      </c>
      <c r="J237" t="str">
        <f>"MSG CARNEIRO ME"</f>
        <v>MSG CARNEIRO ME</v>
      </c>
      <c r="K237" t="str">
        <f>"MAGNUS JOALHEIRO (25)"</f>
        <v>MAGNUS JOALHEIRO (25)</v>
      </c>
      <c r="L237" t="str">
        <f>""</f>
        <v/>
      </c>
      <c r="M237" t="str">
        <f>""</f>
        <v/>
      </c>
      <c r="N237" t="str">
        <f>"magnosjoalheiro@bol.com.br"</f>
        <v>magnosjoalheiro@bol.com.br</v>
      </c>
      <c r="O237" t="str">
        <f>""</f>
        <v/>
      </c>
      <c r="P237" t="str">
        <f>"AVENIDA GETULIO VARGAS"</f>
        <v>AVENIDA GETULIO VARGAS</v>
      </c>
      <c r="Q237" t="str">
        <f>"1446"</f>
        <v>1446</v>
      </c>
      <c r="R237" t="str">
        <f>"L. 07 /BUCAREIM"</f>
        <v>L. 07 /BUCAREIM</v>
      </c>
      <c r="S237" t="str">
        <f>"1277"</f>
        <v>1277</v>
      </c>
      <c r="T237" t="str">
        <f>"89202002"</f>
        <v>89202002</v>
      </c>
      <c r="U237" t="str">
        <f>"ANITA GARIBALDI"</f>
        <v>ANITA GARIBALDI</v>
      </c>
      <c r="V237" t="str">
        <f t="shared" si="121"/>
        <v>JOINVILLE</v>
      </c>
      <c r="W237" t="str">
        <f t="shared" si="120"/>
        <v>SC</v>
      </c>
      <c r="X237" t="str">
        <f t="shared" si="122"/>
        <v>47</v>
      </c>
      <c r="Y237" t="str">
        <f>"34551835"</f>
        <v>34551835</v>
      </c>
      <c r="Z237" t="str">
        <f>""</f>
        <v/>
      </c>
      <c r="AA237" t="str">
        <f>""</f>
        <v/>
      </c>
      <c r="AB237" t="str">
        <f>""</f>
        <v/>
      </c>
      <c r="AC237" t="str">
        <f>""</f>
        <v/>
      </c>
      <c r="AD237" t="str">
        <f>""</f>
        <v/>
      </c>
      <c r="AE237" t="str">
        <f>""</f>
        <v/>
      </c>
      <c r="AF237" t="str">
        <f>""</f>
        <v/>
      </c>
      <c r="AG237" t="str">
        <f>""</f>
        <v/>
      </c>
      <c r="AH237" t="str">
        <f>""</f>
        <v/>
      </c>
      <c r="AI237" t="str">
        <f>""</f>
        <v/>
      </c>
      <c r="AJ237" t="str">
        <f>"0"</f>
        <v>0</v>
      </c>
      <c r="AK237" t="str">
        <f>"0"</f>
        <v>0</v>
      </c>
      <c r="AL237" t="str">
        <f>"0"</f>
        <v>0</v>
      </c>
      <c r="AM237" t="str">
        <f>""</f>
        <v/>
      </c>
      <c r="AN237" t="str">
        <f>""</f>
        <v/>
      </c>
      <c r="AO237" t="str">
        <f>""</f>
        <v/>
      </c>
      <c r="AP237" t="str">
        <f>""</f>
        <v/>
      </c>
      <c r="AQ237" t="str">
        <f>""</f>
        <v/>
      </c>
      <c r="AR237" t="str">
        <f>""</f>
        <v/>
      </c>
      <c r="AS237" t="str">
        <f>""</f>
        <v/>
      </c>
      <c r="AT237" t="str">
        <f>""</f>
        <v/>
      </c>
      <c r="AU237" t="str">
        <f>""</f>
        <v/>
      </c>
      <c r="AV237" t="str">
        <f>""</f>
        <v/>
      </c>
      <c r="AW237" t="str">
        <f>""</f>
        <v/>
      </c>
      <c r="AX237" t="str">
        <f>""</f>
        <v/>
      </c>
      <c r="AY237" t="str">
        <f>""</f>
        <v/>
      </c>
      <c r="AZ237" t="str">
        <f>""</f>
        <v/>
      </c>
      <c r="BA237" t="str">
        <f>""</f>
        <v/>
      </c>
      <c r="BB237" t="str">
        <f>"27/07/2018 09:25:50"</f>
        <v>27/07/2018 09:25:50</v>
      </c>
      <c r="BC237" t="str">
        <f>""</f>
        <v/>
      </c>
      <c r="BD237" t="str">
        <f>""</f>
        <v/>
      </c>
      <c r="BE237" t="str">
        <f>"765"</f>
        <v>765</v>
      </c>
      <c r="BF237" t="str">
        <f t="shared" si="101"/>
        <v>A</v>
      </c>
      <c r="BG237" t="str">
        <f>"0,00"</f>
        <v>0,00</v>
      </c>
      <c r="BH237" t="str">
        <f>"0,00"</f>
        <v>0,00</v>
      </c>
      <c r="BI237" t="str">
        <f t="shared" si="117"/>
        <v>EVENTUAL</v>
      </c>
      <c r="BJ237" t="str">
        <f t="shared" si="102"/>
        <v>1</v>
      </c>
      <c r="BK237" t="str">
        <f t="shared" si="103"/>
        <v>Farmacia</v>
      </c>
      <c r="BL237" t="str">
        <f>""</f>
        <v/>
      </c>
      <c r="BM237" t="str">
        <f>"NÃO É VARILUX ESPECIALISTA"</f>
        <v>NÃO É VARILUX ESPECIALISTA</v>
      </c>
      <c r="BN237" t="str">
        <f>"NA"</f>
        <v>NA</v>
      </c>
      <c r="BO237" t="str">
        <f>"FOCO VARILUX"</f>
        <v>FOCO VARILUX</v>
      </c>
      <c r="BP237" t="str">
        <f>""</f>
        <v/>
      </c>
      <c r="BQ237" t="str">
        <f>""</f>
        <v/>
      </c>
      <c r="BR237" t="str">
        <f>"27/07/2018"</f>
        <v>27/07/2018</v>
      </c>
      <c r="BS237" t="str">
        <f>""</f>
        <v/>
      </c>
      <c r="BT237" t="str">
        <f>""</f>
        <v/>
      </c>
      <c r="BU237" t="str">
        <f>""</f>
        <v/>
      </c>
      <c r="BV237" t="str">
        <f>"1"</f>
        <v>1</v>
      </c>
      <c r="BW237" t="str">
        <f>"16"</f>
        <v>16</v>
      </c>
    </row>
    <row r="238" spans="1:75" x14ac:dyDescent="0.35">
      <c r="A238">
        <v>158730</v>
      </c>
      <c r="B238" t="str">
        <f t="shared" si="95"/>
        <v>A</v>
      </c>
      <c r="C238" t="str">
        <f t="shared" si="96"/>
        <v>80</v>
      </c>
      <c r="D238" t="str">
        <f t="shared" si="97"/>
        <v>11121001</v>
      </c>
      <c r="E238" t="str">
        <f t="shared" si="98"/>
        <v>121001</v>
      </c>
      <c r="F238" t="str">
        <f t="shared" si="99"/>
        <v>JENIFER SANTOS</v>
      </c>
      <c r="G238" t="str">
        <f>"50910083000124"</f>
        <v>50910083000124</v>
      </c>
      <c r="H238" t="str">
        <f>""</f>
        <v/>
      </c>
      <c r="I238" t="str">
        <f t="shared" si="100"/>
        <v>CONTA OPTICA</v>
      </c>
      <c r="J238" t="str">
        <f>"MULLER E STEIL COMERCIO LTDA"</f>
        <v>MULLER E STEIL COMERCIO LTDA</v>
      </c>
      <c r="K238" t="str">
        <f>"OTICA MULLER (4725)"</f>
        <v>OTICA MULLER (4725)</v>
      </c>
      <c r="L238" t="str">
        <f>""</f>
        <v/>
      </c>
      <c r="M238" t="str">
        <f>""</f>
        <v/>
      </c>
      <c r="N238" t="str">
        <f>"OTICAMULLER01@GMAIL.COM"</f>
        <v>OTICAMULLER01@GMAIL.COM</v>
      </c>
      <c r="O238" t="str">
        <f>""</f>
        <v/>
      </c>
      <c r="P238" t="str">
        <f>"RUA DOUTOR JOAO COLIN"</f>
        <v>RUA DOUTOR JOAO COLIN</v>
      </c>
      <c r="Q238" t="str">
        <f>"501"</f>
        <v>501</v>
      </c>
      <c r="R238" t="str">
        <f>""</f>
        <v/>
      </c>
      <c r="S238" t="str">
        <f>""</f>
        <v/>
      </c>
      <c r="T238" t="str">
        <f>"89201299"</f>
        <v>89201299</v>
      </c>
      <c r="U238" t="str">
        <f>"CENTRO"</f>
        <v>CENTRO</v>
      </c>
      <c r="V238" t="str">
        <f t="shared" si="121"/>
        <v>JOINVILLE</v>
      </c>
      <c r="W238" t="str">
        <f t="shared" si="120"/>
        <v>SC</v>
      </c>
      <c r="X238" t="str">
        <f t="shared" si="122"/>
        <v>47</v>
      </c>
      <c r="Y238" t="str">
        <f>"34232666"</f>
        <v>34232666</v>
      </c>
      <c r="Z238" t="str">
        <f>""</f>
        <v/>
      </c>
      <c r="AA238" t="str">
        <f>""</f>
        <v/>
      </c>
      <c r="AB238" t="str">
        <f>""</f>
        <v/>
      </c>
      <c r="AC238" t="str">
        <f>""</f>
        <v/>
      </c>
      <c r="AD238" t="str">
        <f>""</f>
        <v/>
      </c>
      <c r="AE238" t="str">
        <f>""</f>
        <v/>
      </c>
      <c r="AF238" t="str">
        <f>""</f>
        <v/>
      </c>
      <c r="AG238" t="str">
        <f>""</f>
        <v/>
      </c>
      <c r="AH238" t="str">
        <f>""</f>
        <v/>
      </c>
      <c r="AI238" t="str">
        <f>""</f>
        <v/>
      </c>
      <c r="AJ238" t="str">
        <f>""</f>
        <v/>
      </c>
      <c r="AK238" t="str">
        <f>""</f>
        <v/>
      </c>
      <c r="AL238" t="str">
        <f>""</f>
        <v/>
      </c>
      <c r="AM238" t="str">
        <f>""</f>
        <v/>
      </c>
      <c r="AN238" t="str">
        <f>""</f>
        <v/>
      </c>
      <c r="AO238" t="str">
        <f>""</f>
        <v/>
      </c>
      <c r="AP238" t="str">
        <f>""</f>
        <v/>
      </c>
      <c r="AQ238" t="str">
        <f>""</f>
        <v/>
      </c>
      <c r="AR238" t="str">
        <f>""</f>
        <v/>
      </c>
      <c r="AS238" t="str">
        <f>""</f>
        <v/>
      </c>
      <c r="AT238" t="str">
        <f>""</f>
        <v/>
      </c>
      <c r="AU238" t="str">
        <f>""</f>
        <v/>
      </c>
      <c r="AV238" t="str">
        <f>""</f>
        <v/>
      </c>
      <c r="AW238" t="str">
        <f>""</f>
        <v/>
      </c>
      <c r="AX238" t="str">
        <f>""</f>
        <v/>
      </c>
      <c r="AY238" t="str">
        <f>""</f>
        <v/>
      </c>
      <c r="AZ238" t="str">
        <f>""</f>
        <v/>
      </c>
      <c r="BA238" t="str">
        <f>""</f>
        <v/>
      </c>
      <c r="BB238" t="str">
        <f>"17/08/2023 16:48:06"</f>
        <v>17/08/2023 16:48:06</v>
      </c>
      <c r="BC238" t="str">
        <f>""</f>
        <v/>
      </c>
      <c r="BD238" t="str">
        <f>""</f>
        <v/>
      </c>
      <c r="BE238" t="str">
        <f>""</f>
        <v/>
      </c>
      <c r="BF238" t="str">
        <f t="shared" si="101"/>
        <v>A</v>
      </c>
      <c r="BG238" t="str">
        <f>""</f>
        <v/>
      </c>
      <c r="BH238" t="str">
        <f>""</f>
        <v/>
      </c>
      <c r="BI238" t="str">
        <f t="shared" si="117"/>
        <v>EVENTUAL</v>
      </c>
      <c r="BJ238" t="str">
        <f t="shared" si="102"/>
        <v>1</v>
      </c>
      <c r="BK238" t="str">
        <f t="shared" si="103"/>
        <v>Farmacia</v>
      </c>
      <c r="BL238" t="str">
        <f>""</f>
        <v/>
      </c>
      <c r="BM238" t="str">
        <f>""</f>
        <v/>
      </c>
      <c r="BN238" t="str">
        <f>""</f>
        <v/>
      </c>
      <c r="BO238" t="str">
        <f>""</f>
        <v/>
      </c>
      <c r="BP238" t="str">
        <f>""</f>
        <v/>
      </c>
      <c r="BQ238" t="str">
        <f>""</f>
        <v/>
      </c>
      <c r="BR238" t="str">
        <f>"17/08/2023"</f>
        <v>17/08/2023</v>
      </c>
      <c r="BS238" t="str">
        <f>""</f>
        <v/>
      </c>
      <c r="BT238" t="str">
        <f>""</f>
        <v/>
      </c>
      <c r="BU238" t="str">
        <f>""</f>
        <v/>
      </c>
      <c r="BV238" t="str">
        <f>""</f>
        <v/>
      </c>
      <c r="BW238" t="str">
        <f>"Não visitado"</f>
        <v>Não visitado</v>
      </c>
    </row>
    <row r="239" spans="1:75" x14ac:dyDescent="0.35">
      <c r="A239">
        <v>138130</v>
      </c>
      <c r="B239" t="str">
        <f t="shared" si="95"/>
        <v>A</v>
      </c>
      <c r="C239" t="str">
        <f t="shared" si="96"/>
        <v>80</v>
      </c>
      <c r="D239" t="str">
        <f t="shared" si="97"/>
        <v>11121001</v>
      </c>
      <c r="E239" t="str">
        <f t="shared" si="98"/>
        <v>121001</v>
      </c>
      <c r="F239" t="str">
        <f t="shared" si="99"/>
        <v>JENIFER SANTOS</v>
      </c>
      <c r="G239" t="str">
        <f>"81294241000192"</f>
        <v>81294241000192</v>
      </c>
      <c r="H239" t="str">
        <f>"0"</f>
        <v>0</v>
      </c>
      <c r="I239" t="str">
        <f t="shared" si="100"/>
        <v>CONTA OPTICA</v>
      </c>
      <c r="J239" t="str">
        <f>"MULTI VISAO COMERCIO DE OCULOS E JOIAS LTDA"</f>
        <v>MULTI VISAO COMERCIO DE OCULOS E JOIAS LTDA</v>
      </c>
      <c r="K239" t="str">
        <f>"OTICA MULTIVISAO (239)"</f>
        <v>OTICA MULTIVISAO (239)</v>
      </c>
      <c r="L239" t="str">
        <f>""</f>
        <v/>
      </c>
      <c r="M239" t="str">
        <f>""</f>
        <v/>
      </c>
      <c r="N239" t="str">
        <f>"oticasmultivisao@gmail.com"</f>
        <v>oticasmultivisao@gmail.com</v>
      </c>
      <c r="O239" t="str">
        <f>""</f>
        <v/>
      </c>
      <c r="P239" t="str">
        <f>"RUA BARAO DO RIO BRANCO - E"</f>
        <v>RUA BARAO DO RIO BRANCO - E</v>
      </c>
      <c r="Q239" t="str">
        <f>"86"</f>
        <v>86</v>
      </c>
      <c r="R239" t="str">
        <f>"E"</f>
        <v>E</v>
      </c>
      <c r="S239" t="str">
        <f>"1287"</f>
        <v>1287</v>
      </c>
      <c r="T239" t="str">
        <f>"89802101"</f>
        <v>89802101</v>
      </c>
      <c r="U239" t="str">
        <f>"JARDIM ITALIA"</f>
        <v>JARDIM ITALIA</v>
      </c>
      <c r="V239" t="str">
        <f>"CHAPECÓ"</f>
        <v>CHAPECÓ</v>
      </c>
      <c r="W239" t="str">
        <f t="shared" si="120"/>
        <v>SC</v>
      </c>
      <c r="X239" t="str">
        <f>"49"</f>
        <v>49</v>
      </c>
      <c r="Y239" t="str">
        <f>"33225819"</f>
        <v>33225819</v>
      </c>
      <c r="Z239" t="str">
        <f>""</f>
        <v/>
      </c>
      <c r="AA239" t="str">
        <f>""</f>
        <v/>
      </c>
      <c r="AB239" t="str">
        <f>""</f>
        <v/>
      </c>
      <c r="AC239" t="str">
        <f>""</f>
        <v/>
      </c>
      <c r="AD239" t="str">
        <f>""</f>
        <v/>
      </c>
      <c r="AE239" t="str">
        <f>""</f>
        <v/>
      </c>
      <c r="AF239" t="str">
        <f>""</f>
        <v/>
      </c>
      <c r="AG239" t="str">
        <f>"S"</f>
        <v>S</v>
      </c>
      <c r="AH239" t="str">
        <f>""</f>
        <v/>
      </c>
      <c r="AI239" t="str">
        <f>""</f>
        <v/>
      </c>
      <c r="AJ239" t="str">
        <f>""</f>
        <v/>
      </c>
      <c r="AK239" t="str">
        <f>""</f>
        <v/>
      </c>
      <c r="AL239" t="str">
        <f>""</f>
        <v/>
      </c>
      <c r="AM239" t="str">
        <f>""</f>
        <v/>
      </c>
      <c r="AN239" t="str">
        <f>""</f>
        <v/>
      </c>
      <c r="AO239" t="str">
        <f>""</f>
        <v/>
      </c>
      <c r="AP239" t="str">
        <f>""</f>
        <v/>
      </c>
      <c r="AQ239" t="str">
        <f t="shared" ref="AQ239:AU240" si="125">"N"</f>
        <v>N</v>
      </c>
      <c r="AR239" t="str">
        <f t="shared" si="125"/>
        <v>N</v>
      </c>
      <c r="AS239" t="str">
        <f t="shared" si="125"/>
        <v>N</v>
      </c>
      <c r="AT239" t="str">
        <f t="shared" si="125"/>
        <v>N</v>
      </c>
      <c r="AU239" t="str">
        <f t="shared" si="125"/>
        <v>N</v>
      </c>
      <c r="AV239" t="str">
        <f>""</f>
        <v/>
      </c>
      <c r="AW239" t="str">
        <f>""</f>
        <v/>
      </c>
      <c r="AX239" t="str">
        <f>""</f>
        <v/>
      </c>
      <c r="AY239" t="str">
        <f>""</f>
        <v/>
      </c>
      <c r="AZ239" t="str">
        <f>""</f>
        <v/>
      </c>
      <c r="BA239" t="str">
        <f>""</f>
        <v/>
      </c>
      <c r="BB239" t="str">
        <f>"01/07/2021 13:53:04"</f>
        <v>01/07/2021 13:53:04</v>
      </c>
      <c r="BC239" t="str">
        <f>"27/12/2021 09:02:39"</f>
        <v>27/12/2021 09:02:39</v>
      </c>
      <c r="BD239" t="str">
        <f>""</f>
        <v/>
      </c>
      <c r="BE239" t="str">
        <f>""</f>
        <v/>
      </c>
      <c r="BF239" t="str">
        <f t="shared" si="101"/>
        <v>A</v>
      </c>
      <c r="BG239" t="str">
        <f>""</f>
        <v/>
      </c>
      <c r="BH239" t="str">
        <f t="shared" ref="BH239:BH244" si="126">"0,00"</f>
        <v>0,00</v>
      </c>
      <c r="BI239" t="str">
        <f t="shared" si="117"/>
        <v>EVENTUAL</v>
      </c>
      <c r="BJ239" t="str">
        <f t="shared" si="102"/>
        <v>1</v>
      </c>
      <c r="BK239" t="str">
        <f t="shared" si="103"/>
        <v>Farmacia</v>
      </c>
      <c r="BL239" t="str">
        <f>""</f>
        <v/>
      </c>
      <c r="BM239" t="str">
        <f>"VARILUX ESPECIALISTA SELECT"</f>
        <v>VARILUX ESPECIALISTA SELECT</v>
      </c>
      <c r="BN239" t="str">
        <f>"NA"</f>
        <v>NA</v>
      </c>
      <c r="BO239" t="str">
        <f>"FOCO VARILUX DIGITAL"</f>
        <v>FOCO VARILUX DIGITAL</v>
      </c>
      <c r="BP239" t="str">
        <f>""</f>
        <v/>
      </c>
      <c r="BQ239" t="str">
        <f>""</f>
        <v/>
      </c>
      <c r="BR239" t="str">
        <f>"01/07/2021"</f>
        <v>01/07/2021</v>
      </c>
      <c r="BS239" t="str">
        <f>"27/12/2021"</f>
        <v>27/12/2021</v>
      </c>
      <c r="BT239" t="str">
        <f>""</f>
        <v/>
      </c>
      <c r="BU239" t="str">
        <f>""</f>
        <v/>
      </c>
      <c r="BV239" t="str">
        <f>""</f>
        <v/>
      </c>
      <c r="BW239" t="str">
        <f>"263"</f>
        <v>263</v>
      </c>
    </row>
    <row r="240" spans="1:75" x14ac:dyDescent="0.35">
      <c r="A240">
        <v>138131</v>
      </c>
      <c r="B240" t="str">
        <f t="shared" si="95"/>
        <v>A</v>
      </c>
      <c r="C240" t="str">
        <f t="shared" si="96"/>
        <v>80</v>
      </c>
      <c r="D240" t="str">
        <f t="shared" si="97"/>
        <v>11121001</v>
      </c>
      <c r="E240" t="str">
        <f t="shared" si="98"/>
        <v>121001</v>
      </c>
      <c r="F240" t="str">
        <f t="shared" si="99"/>
        <v>JENIFER SANTOS</v>
      </c>
      <c r="G240" t="str">
        <f>"84585330000267"</f>
        <v>84585330000267</v>
      </c>
      <c r="H240" t="str">
        <f>"0"</f>
        <v>0</v>
      </c>
      <c r="I240" t="str">
        <f t="shared" si="100"/>
        <v>CONTA OPTICA</v>
      </c>
      <c r="J240" t="str">
        <f>"N. CALLIARI JOALHERIA E OPTICA LTDA"</f>
        <v>N. CALLIARI JOALHERIA E OPTICA LTDA</v>
      </c>
      <c r="K240" t="str">
        <f>"OTICA PRECISAO (241)"</f>
        <v>OTICA PRECISAO (241)</v>
      </c>
      <c r="L240" t="str">
        <f>""</f>
        <v/>
      </c>
      <c r="M240" t="str">
        <f>""</f>
        <v/>
      </c>
      <c r="N240" t="str">
        <f>"r.calliari@globo.com"</f>
        <v>r.calliari@globo.com</v>
      </c>
      <c r="O240" t="str">
        <f>""</f>
        <v/>
      </c>
      <c r="P240" t="str">
        <f>"RUA GETULIO VARGAS"</f>
        <v>RUA GETULIO VARGAS</v>
      </c>
      <c r="Q240" t="str">
        <f>"318"</f>
        <v>318</v>
      </c>
      <c r="R240" t="str">
        <f>""</f>
        <v/>
      </c>
      <c r="S240" t="str">
        <f>"1285"</f>
        <v>1285</v>
      </c>
      <c r="T240" t="str">
        <f>"89600000"</f>
        <v>89600000</v>
      </c>
      <c r="U240" t="str">
        <f>"CENTRO"</f>
        <v>CENTRO</v>
      </c>
      <c r="V240" t="str">
        <f>"JOAÇABA"</f>
        <v>JOAÇABA</v>
      </c>
      <c r="W240" t="str">
        <f t="shared" si="120"/>
        <v>SC</v>
      </c>
      <c r="X240" t="str">
        <f>"49"</f>
        <v>49</v>
      </c>
      <c r="Y240" t="str">
        <f>"35221643"</f>
        <v>35221643</v>
      </c>
      <c r="Z240" t="str">
        <f>""</f>
        <v/>
      </c>
      <c r="AA240" t="str">
        <f>""</f>
        <v/>
      </c>
      <c r="AB240" t="str">
        <f>""</f>
        <v/>
      </c>
      <c r="AC240" t="str">
        <f>""</f>
        <v/>
      </c>
      <c r="AD240" t="str">
        <f>""</f>
        <v/>
      </c>
      <c r="AE240" t="str">
        <f>""</f>
        <v/>
      </c>
      <c r="AF240" t="str">
        <f>""</f>
        <v/>
      </c>
      <c r="AG240" t="str">
        <f>"S"</f>
        <v>S</v>
      </c>
      <c r="AH240" t="str">
        <f>""</f>
        <v/>
      </c>
      <c r="AI240" t="str">
        <f>""</f>
        <v/>
      </c>
      <c r="AJ240" t="str">
        <f>""</f>
        <v/>
      </c>
      <c r="AK240" t="str">
        <f>""</f>
        <v/>
      </c>
      <c r="AL240" t="str">
        <f>""</f>
        <v/>
      </c>
      <c r="AM240" t="str">
        <f>""</f>
        <v/>
      </c>
      <c r="AN240" t="str">
        <f>""</f>
        <v/>
      </c>
      <c r="AO240" t="str">
        <f>""</f>
        <v/>
      </c>
      <c r="AP240" t="str">
        <f>""</f>
        <v/>
      </c>
      <c r="AQ240" t="str">
        <f t="shared" si="125"/>
        <v>N</v>
      </c>
      <c r="AR240" t="str">
        <f t="shared" si="125"/>
        <v>N</v>
      </c>
      <c r="AS240" t="str">
        <f t="shared" si="125"/>
        <v>N</v>
      </c>
      <c r="AT240" t="str">
        <f t="shared" si="125"/>
        <v>N</v>
      </c>
      <c r="AU240" t="str">
        <f t="shared" si="125"/>
        <v>N</v>
      </c>
      <c r="AV240" t="str">
        <f>""</f>
        <v/>
      </c>
      <c r="AW240" t="str">
        <f>""</f>
        <v/>
      </c>
      <c r="AX240" t="str">
        <f>""</f>
        <v/>
      </c>
      <c r="AY240" t="str">
        <f>""</f>
        <v/>
      </c>
      <c r="AZ240" t="str">
        <f>""</f>
        <v/>
      </c>
      <c r="BA240" t="str">
        <f>""</f>
        <v/>
      </c>
      <c r="BB240" t="str">
        <f>"01/07/2021 13:53:04"</f>
        <v>01/07/2021 13:53:04</v>
      </c>
      <c r="BC240" t="str">
        <f>"20/06/2022 15:46:59"</f>
        <v>20/06/2022 15:46:59</v>
      </c>
      <c r="BD240" t="str">
        <f>""</f>
        <v/>
      </c>
      <c r="BE240" t="str">
        <f>""</f>
        <v/>
      </c>
      <c r="BF240" t="str">
        <f t="shared" si="101"/>
        <v>A</v>
      </c>
      <c r="BG240" t="str">
        <f>""</f>
        <v/>
      </c>
      <c r="BH240" t="str">
        <f t="shared" si="126"/>
        <v>0,00</v>
      </c>
      <c r="BI240" t="str">
        <f t="shared" si="117"/>
        <v>EVENTUAL</v>
      </c>
      <c r="BJ240" t="str">
        <f t="shared" si="102"/>
        <v>1</v>
      </c>
      <c r="BK240" t="str">
        <f t="shared" si="103"/>
        <v>Farmacia</v>
      </c>
      <c r="BL240" t="str">
        <f>""</f>
        <v/>
      </c>
      <c r="BM240" t="str">
        <f>"VARILUX ESPECIALISTA PLATINE"</f>
        <v>VARILUX ESPECIALISTA PLATINE</v>
      </c>
      <c r="BN240" t="str">
        <f>"NA"</f>
        <v>NA</v>
      </c>
      <c r="BO240" t="str">
        <f>"FOCO VARILUX DIGITAL"</f>
        <v>FOCO VARILUX DIGITAL</v>
      </c>
      <c r="BP240" t="str">
        <f>""</f>
        <v/>
      </c>
      <c r="BQ240" t="str">
        <f>""</f>
        <v/>
      </c>
      <c r="BR240" t="str">
        <f>"01/07/2021"</f>
        <v>01/07/2021</v>
      </c>
      <c r="BS240" t="str">
        <f>"20/06/2022"</f>
        <v>20/06/2022</v>
      </c>
      <c r="BT240" t="str">
        <f>""</f>
        <v/>
      </c>
      <c r="BU240" t="str">
        <f>""</f>
        <v/>
      </c>
      <c r="BV240" t="str">
        <f>""</f>
        <v/>
      </c>
      <c r="BW240" t="str">
        <f>"36"</f>
        <v>36</v>
      </c>
    </row>
    <row r="241" spans="1:75" x14ac:dyDescent="0.35">
      <c r="A241">
        <v>144485</v>
      </c>
      <c r="B241" t="str">
        <f t="shared" si="95"/>
        <v>A</v>
      </c>
      <c r="C241" t="str">
        <f t="shared" si="96"/>
        <v>80</v>
      </c>
      <c r="D241" t="str">
        <f t="shared" si="97"/>
        <v>11121001</v>
      </c>
      <c r="E241" t="str">
        <f t="shared" si="98"/>
        <v>121001</v>
      </c>
      <c r="F241" t="str">
        <f t="shared" si="99"/>
        <v>JENIFER SANTOS</v>
      </c>
      <c r="G241" t="str">
        <f>"20082791000153"</f>
        <v>20082791000153</v>
      </c>
      <c r="H241" t="str">
        <f>""</f>
        <v/>
      </c>
      <c r="I241" t="str">
        <f t="shared" si="100"/>
        <v>CONTA OPTICA</v>
      </c>
      <c r="J241" t="str">
        <f>"NAMASTE OTICA EIRELI ME"</f>
        <v>NAMASTE OTICA EIRELI ME</v>
      </c>
      <c r="K241" t="str">
        <f>"NAMASTE OTICA EIRELI ME (2094)"</f>
        <v>NAMASTE OTICA EIRELI ME (2094)</v>
      </c>
      <c r="L241" t="str">
        <f>""</f>
        <v/>
      </c>
      <c r="M241" t="str">
        <f>""</f>
        <v/>
      </c>
      <c r="N241" t="str">
        <f>"namaste@namasteotica.com.br"</f>
        <v>namaste@namasteotica.com.br</v>
      </c>
      <c r="O241" t="str">
        <f>""</f>
        <v/>
      </c>
      <c r="P241" t="str">
        <f>"RUA REINOLDO RAU"</f>
        <v>RUA REINOLDO RAU</v>
      </c>
      <c r="Q241" t="str">
        <f>"545"</f>
        <v>545</v>
      </c>
      <c r="R241" t="str">
        <f>"SALA 03"</f>
        <v>SALA 03</v>
      </c>
      <c r="S241" t="str">
        <f>"1280"</f>
        <v>1280</v>
      </c>
      <c r="T241" t="str">
        <f>"89251600"</f>
        <v>89251600</v>
      </c>
      <c r="U241" t="str">
        <f>"CENTRO"</f>
        <v>CENTRO</v>
      </c>
      <c r="V241" t="str">
        <f>"JARAGUÁ DO SUL"</f>
        <v>JARAGUÁ DO SUL</v>
      </c>
      <c r="W241" t="str">
        <f t="shared" si="120"/>
        <v>SC</v>
      </c>
      <c r="X241" t="str">
        <f>"47"</f>
        <v>47</v>
      </c>
      <c r="Y241" t="str">
        <f>"30553661"</f>
        <v>30553661</v>
      </c>
      <c r="Z241" t="str">
        <f>""</f>
        <v/>
      </c>
      <c r="AA241" t="str">
        <f>""</f>
        <v/>
      </c>
      <c r="AB241" t="str">
        <f>""</f>
        <v/>
      </c>
      <c r="AC241" t="str">
        <f>""</f>
        <v/>
      </c>
      <c r="AD241" t="str">
        <f>""</f>
        <v/>
      </c>
      <c r="AE241" t="str">
        <f>""</f>
        <v/>
      </c>
      <c r="AF241" t="str">
        <f>""</f>
        <v/>
      </c>
      <c r="AG241" t="str">
        <f>""</f>
        <v/>
      </c>
      <c r="AH241" t="str">
        <f>""</f>
        <v/>
      </c>
      <c r="AI241" t="str">
        <f>""</f>
        <v/>
      </c>
      <c r="AJ241" t="str">
        <f t="shared" ref="AJ241:AL244" si="127">"0"</f>
        <v>0</v>
      </c>
      <c r="AK241" t="str">
        <f t="shared" si="127"/>
        <v>0</v>
      </c>
      <c r="AL241" t="str">
        <f t="shared" si="127"/>
        <v>0</v>
      </c>
      <c r="AM241" t="str">
        <f>""</f>
        <v/>
      </c>
      <c r="AN241" t="str">
        <f>""</f>
        <v/>
      </c>
      <c r="AO241" t="str">
        <f>""</f>
        <v/>
      </c>
      <c r="AP241" t="str">
        <f>""</f>
        <v/>
      </c>
      <c r="AQ241" t="str">
        <f>""</f>
        <v/>
      </c>
      <c r="AR241" t="str">
        <f>""</f>
        <v/>
      </c>
      <c r="AS241" t="str">
        <f>""</f>
        <v/>
      </c>
      <c r="AT241" t="str">
        <f>""</f>
        <v/>
      </c>
      <c r="AU241" t="str">
        <f>""</f>
        <v/>
      </c>
      <c r="AV241" t="str">
        <f>""</f>
        <v/>
      </c>
      <c r="AW241" t="str">
        <f>""</f>
        <v/>
      </c>
      <c r="AX241" t="str">
        <f>""</f>
        <v/>
      </c>
      <c r="AY241" t="str">
        <f>""</f>
        <v/>
      </c>
      <c r="AZ241" t="str">
        <f>""</f>
        <v/>
      </c>
      <c r="BA241" t="str">
        <f>""</f>
        <v/>
      </c>
      <c r="BB241" t="str">
        <f>""</f>
        <v/>
      </c>
      <c r="BC241" t="str">
        <f>""</f>
        <v/>
      </c>
      <c r="BD241" t="str">
        <f>""</f>
        <v/>
      </c>
      <c r="BE241" t="str">
        <f>""</f>
        <v/>
      </c>
      <c r="BF241" t="str">
        <f t="shared" si="101"/>
        <v>A</v>
      </c>
      <c r="BG241" t="str">
        <f>"0,00"</f>
        <v>0,00</v>
      </c>
      <c r="BH241" t="str">
        <f t="shared" si="126"/>
        <v>0,00</v>
      </c>
      <c r="BI241" t="str">
        <f t="shared" si="117"/>
        <v>EVENTUAL</v>
      </c>
      <c r="BJ241" t="str">
        <f t="shared" si="102"/>
        <v>1</v>
      </c>
      <c r="BK241" t="str">
        <f t="shared" si="103"/>
        <v>Farmacia</v>
      </c>
      <c r="BL241" t="str">
        <f>""</f>
        <v/>
      </c>
      <c r="BM241" t="str">
        <f>"VARILUX ESPECIALISTA SELECT"</f>
        <v>VARILUX ESPECIALISTA SELECT</v>
      </c>
      <c r="BN241" t="str">
        <f>"NA"</f>
        <v>NA</v>
      </c>
      <c r="BO241" t="str">
        <f>"FOCO VARILUX DIGITAL"</f>
        <v>FOCO VARILUX DIGITAL</v>
      </c>
      <c r="BP241" t="str">
        <f>""</f>
        <v/>
      </c>
      <c r="BQ241" t="str">
        <f>""</f>
        <v/>
      </c>
      <c r="BR241" t="str">
        <f>""</f>
        <v/>
      </c>
      <c r="BS241" t="str">
        <f>""</f>
        <v/>
      </c>
      <c r="BT241" t="str">
        <f>""</f>
        <v/>
      </c>
      <c r="BU241" t="str">
        <f>""</f>
        <v/>
      </c>
      <c r="BV241" t="str">
        <f>"5"</f>
        <v>5</v>
      </c>
      <c r="BW241" t="str">
        <f>"127"</f>
        <v>127</v>
      </c>
    </row>
    <row r="242" spans="1:75" x14ac:dyDescent="0.35">
      <c r="A242">
        <v>144517</v>
      </c>
      <c r="B242" t="str">
        <f t="shared" si="95"/>
        <v>A</v>
      </c>
      <c r="C242" t="str">
        <f t="shared" si="96"/>
        <v>80</v>
      </c>
      <c r="D242" t="str">
        <f t="shared" si="97"/>
        <v>11121001</v>
      </c>
      <c r="E242" t="str">
        <f t="shared" si="98"/>
        <v>121001</v>
      </c>
      <c r="F242" t="str">
        <f t="shared" si="99"/>
        <v>JENIFER SANTOS</v>
      </c>
      <c r="G242" t="str">
        <f>"20082791000234"</f>
        <v>20082791000234</v>
      </c>
      <c r="H242" t="str">
        <f>""</f>
        <v/>
      </c>
      <c r="I242" t="str">
        <f t="shared" si="100"/>
        <v>CONTA OPTICA</v>
      </c>
      <c r="J242" t="str">
        <f>"NAMASTE OTICA EIRELI ME"</f>
        <v>NAMASTE OTICA EIRELI ME</v>
      </c>
      <c r="K242" t="str">
        <f>"NAMASTE OTICA (4000)"</f>
        <v>NAMASTE OTICA (4000)</v>
      </c>
      <c r="L242" t="str">
        <f>""</f>
        <v/>
      </c>
      <c r="M242" t="str">
        <f>""</f>
        <v/>
      </c>
      <c r="N242" t="str">
        <f>"heraldogesser@gmail.com"</f>
        <v>heraldogesser@gmail.com</v>
      </c>
      <c r="O242" t="str">
        <f>""</f>
        <v/>
      </c>
      <c r="P242" t="str">
        <f>"AVENIDA MARECHAL DEODORO DE FONSECA"</f>
        <v>AVENIDA MARECHAL DEODORO DE FONSECA</v>
      </c>
      <c r="Q242" t="str">
        <f>"776"</f>
        <v>776</v>
      </c>
      <c r="R242" t="str">
        <f>"SALA 13"</f>
        <v>SALA 13</v>
      </c>
      <c r="S242" t="str">
        <f>"1280"</f>
        <v>1280</v>
      </c>
      <c r="T242" t="str">
        <f>"89251700"</f>
        <v>89251700</v>
      </c>
      <c r="U242" t="str">
        <f>"CENTRO"</f>
        <v>CENTRO</v>
      </c>
      <c r="V242" t="str">
        <f>"JARAGUÁ DO SUL"</f>
        <v>JARAGUÁ DO SUL</v>
      </c>
      <c r="W242" t="str">
        <f t="shared" si="120"/>
        <v>SC</v>
      </c>
      <c r="X242" t="str">
        <f>"47"</f>
        <v>47</v>
      </c>
      <c r="Y242" t="str">
        <f>"35110058"</f>
        <v>35110058</v>
      </c>
      <c r="Z242" t="str">
        <f>""</f>
        <v/>
      </c>
      <c r="AA242" t="str">
        <f>""</f>
        <v/>
      </c>
      <c r="AB242" t="str">
        <f>""</f>
        <v/>
      </c>
      <c r="AC242" t="str">
        <f>""</f>
        <v/>
      </c>
      <c r="AD242" t="str">
        <f>""</f>
        <v/>
      </c>
      <c r="AE242" t="str">
        <f>""</f>
        <v/>
      </c>
      <c r="AF242" t="str">
        <f>""</f>
        <v/>
      </c>
      <c r="AG242" t="str">
        <f>""</f>
        <v/>
      </c>
      <c r="AH242" t="str">
        <f>""</f>
        <v/>
      </c>
      <c r="AI242" t="str">
        <f>""</f>
        <v/>
      </c>
      <c r="AJ242" t="str">
        <f t="shared" si="127"/>
        <v>0</v>
      </c>
      <c r="AK242" t="str">
        <f t="shared" si="127"/>
        <v>0</v>
      </c>
      <c r="AL242" t="str">
        <f t="shared" si="127"/>
        <v>0</v>
      </c>
      <c r="AM242" t="str">
        <f>""</f>
        <v/>
      </c>
      <c r="AN242" t="str">
        <f>""</f>
        <v/>
      </c>
      <c r="AO242" t="str">
        <f>""</f>
        <v/>
      </c>
      <c r="AP242" t="str">
        <f>""</f>
        <v/>
      </c>
      <c r="AQ242" t="str">
        <f>""</f>
        <v/>
      </c>
      <c r="AR242" t="str">
        <f>""</f>
        <v/>
      </c>
      <c r="AS242" t="str">
        <f>""</f>
        <v/>
      </c>
      <c r="AT242" t="str">
        <f>""</f>
        <v/>
      </c>
      <c r="AU242" t="str">
        <f>""</f>
        <v/>
      </c>
      <c r="AV242" t="str">
        <f>""</f>
        <v/>
      </c>
      <c r="AW242" t="str">
        <f>""</f>
        <v/>
      </c>
      <c r="AX242" t="str">
        <f>""</f>
        <v/>
      </c>
      <c r="AY242" t="str">
        <f>""</f>
        <v/>
      </c>
      <c r="AZ242" t="str">
        <f>""</f>
        <v/>
      </c>
      <c r="BA242" t="str">
        <f>""</f>
        <v/>
      </c>
      <c r="BB242" t="str">
        <f>""</f>
        <v/>
      </c>
      <c r="BC242" t="str">
        <f>""</f>
        <v/>
      </c>
      <c r="BD242" t="str">
        <f>""</f>
        <v/>
      </c>
      <c r="BE242" t="str">
        <f>""</f>
        <v/>
      </c>
      <c r="BF242" t="str">
        <f t="shared" si="101"/>
        <v>A</v>
      </c>
      <c r="BG242" t="str">
        <f>"0,00"</f>
        <v>0,00</v>
      </c>
      <c r="BH242" t="str">
        <f t="shared" si="126"/>
        <v>0,00</v>
      </c>
      <c r="BI242" t="str">
        <f t="shared" si="117"/>
        <v>EVENTUAL</v>
      </c>
      <c r="BJ242" t="str">
        <f t="shared" si="102"/>
        <v>1</v>
      </c>
      <c r="BK242" t="str">
        <f t="shared" si="103"/>
        <v>Farmacia</v>
      </c>
      <c r="BL242" t="str">
        <f>""</f>
        <v/>
      </c>
      <c r="BM242" t="str">
        <f>"NÃO É VARILUX ESPECIALISTA"</f>
        <v>NÃO É VARILUX ESPECIALISTA</v>
      </c>
      <c r="BN242" t="str">
        <f>"EL360"</f>
        <v>EL360</v>
      </c>
      <c r="BO242" t="str">
        <f>"FOCO VARILUX DIGITAL"</f>
        <v>FOCO VARILUX DIGITAL</v>
      </c>
      <c r="BP242" t="str">
        <f>""</f>
        <v/>
      </c>
      <c r="BQ242" t="str">
        <f>""</f>
        <v/>
      </c>
      <c r="BR242" t="str">
        <f>""</f>
        <v/>
      </c>
      <c r="BS242" t="str">
        <f>""</f>
        <v/>
      </c>
      <c r="BT242" t="str">
        <f>""</f>
        <v/>
      </c>
      <c r="BU242" t="str">
        <f>""</f>
        <v/>
      </c>
      <c r="BV242" t="str">
        <f>"5"</f>
        <v>5</v>
      </c>
      <c r="BW242" t="str">
        <f>"7"</f>
        <v>7</v>
      </c>
    </row>
    <row r="243" spans="1:75" x14ac:dyDescent="0.35">
      <c r="A243">
        <v>144473</v>
      </c>
      <c r="B243" t="str">
        <f t="shared" si="95"/>
        <v>A</v>
      </c>
      <c r="C243" t="str">
        <f t="shared" si="96"/>
        <v>80</v>
      </c>
      <c r="D243" t="str">
        <f t="shared" si="97"/>
        <v>11121001</v>
      </c>
      <c r="E243" t="str">
        <f t="shared" si="98"/>
        <v>121001</v>
      </c>
      <c r="F243" t="str">
        <f t="shared" si="99"/>
        <v>JENIFER SANTOS</v>
      </c>
      <c r="G243" t="str">
        <f>"85602498000115"</f>
        <v>85602498000115</v>
      </c>
      <c r="H243" t="str">
        <f>""</f>
        <v/>
      </c>
      <c r="I243" t="str">
        <f t="shared" si="100"/>
        <v>CONTA OPTICA</v>
      </c>
      <c r="J243" t="str">
        <f>"NEUMANN NISGOSKI LTDA"</f>
        <v>NEUMANN NISGOSKI LTDA</v>
      </c>
      <c r="K243" t="str">
        <f>"NEUMANN &amp; NISGOSKI (115)"</f>
        <v>NEUMANN &amp; NISGOSKI (115)</v>
      </c>
      <c r="L243" t="str">
        <f>""</f>
        <v/>
      </c>
      <c r="M243" t="str">
        <f>""</f>
        <v/>
      </c>
      <c r="N243" t="str">
        <f>"oticarealpu@yahoo.com.br"</f>
        <v>oticarealpu@yahoo.com.br</v>
      </c>
      <c r="O243" t="str">
        <f>""</f>
        <v/>
      </c>
      <c r="P243" t="str">
        <f>"RUA SIQUEIRA CAMPOS"</f>
        <v>RUA SIQUEIRA CAMPOS</v>
      </c>
      <c r="Q243" t="str">
        <f>"75"</f>
        <v>75</v>
      </c>
      <c r="R243" t="str">
        <f>""</f>
        <v/>
      </c>
      <c r="S243" t="str">
        <f>"1282"</f>
        <v>1282</v>
      </c>
      <c r="T243" t="str">
        <f>"89400000"</f>
        <v>89400000</v>
      </c>
      <c r="U243" t="str">
        <f>"CENTRO"</f>
        <v>CENTRO</v>
      </c>
      <c r="V243" t="str">
        <f>"PORTO UNIÃO"</f>
        <v>PORTO UNIÃO</v>
      </c>
      <c r="W243" t="str">
        <f t="shared" si="120"/>
        <v>SC</v>
      </c>
      <c r="X243" t="str">
        <f>"42"</f>
        <v>42</v>
      </c>
      <c r="Y243" t="str">
        <f>"35221782"</f>
        <v>35221782</v>
      </c>
      <c r="Z243" t="str">
        <f>""</f>
        <v/>
      </c>
      <c r="AA243" t="str">
        <f>""</f>
        <v/>
      </c>
      <c r="AB243" t="str">
        <f>""</f>
        <v/>
      </c>
      <c r="AC243" t="str">
        <f>""</f>
        <v/>
      </c>
      <c r="AD243" t="str">
        <f>""</f>
        <v/>
      </c>
      <c r="AE243" t="str">
        <f>""</f>
        <v/>
      </c>
      <c r="AF243" t="str">
        <f>""</f>
        <v/>
      </c>
      <c r="AG243" t="str">
        <f>""</f>
        <v/>
      </c>
      <c r="AH243" t="str">
        <f>""</f>
        <v/>
      </c>
      <c r="AI243" t="str">
        <f>""</f>
        <v/>
      </c>
      <c r="AJ243" t="str">
        <f t="shared" si="127"/>
        <v>0</v>
      </c>
      <c r="AK243" t="str">
        <f t="shared" si="127"/>
        <v>0</v>
      </c>
      <c r="AL243" t="str">
        <f t="shared" si="127"/>
        <v>0</v>
      </c>
      <c r="AM243" t="str">
        <f>""</f>
        <v/>
      </c>
      <c r="AN243" t="str">
        <f>""</f>
        <v/>
      </c>
      <c r="AO243" t="str">
        <f>""</f>
        <v/>
      </c>
      <c r="AP243" t="str">
        <f>""</f>
        <v/>
      </c>
      <c r="AQ243" t="str">
        <f>""</f>
        <v/>
      </c>
      <c r="AR243" t="str">
        <f>""</f>
        <v/>
      </c>
      <c r="AS243" t="str">
        <f>""</f>
        <v/>
      </c>
      <c r="AT243" t="str">
        <f>""</f>
        <v/>
      </c>
      <c r="AU243" t="str">
        <f>""</f>
        <v/>
      </c>
      <c r="AV243" t="str">
        <f>""</f>
        <v/>
      </c>
      <c r="AW243" t="str">
        <f>""</f>
        <v/>
      </c>
      <c r="AX243" t="str">
        <f>""</f>
        <v/>
      </c>
      <c r="AY243" t="str">
        <f>""</f>
        <v/>
      </c>
      <c r="AZ243" t="str">
        <f>""</f>
        <v/>
      </c>
      <c r="BA243" t="str">
        <f>""</f>
        <v/>
      </c>
      <c r="BB243" t="str">
        <f>""</f>
        <v/>
      </c>
      <c r="BC243" t="str">
        <f>""</f>
        <v/>
      </c>
      <c r="BD243" t="str">
        <f>""</f>
        <v/>
      </c>
      <c r="BE243" t="str">
        <f>""</f>
        <v/>
      </c>
      <c r="BF243" t="str">
        <f t="shared" si="101"/>
        <v>A</v>
      </c>
      <c r="BG243" t="str">
        <f>"0,00"</f>
        <v>0,00</v>
      </c>
      <c r="BH243" t="str">
        <f t="shared" si="126"/>
        <v>0,00</v>
      </c>
      <c r="BI243" t="str">
        <f t="shared" si="117"/>
        <v>EVENTUAL</v>
      </c>
      <c r="BJ243" t="str">
        <f t="shared" si="102"/>
        <v>1</v>
      </c>
      <c r="BK243" t="str">
        <f t="shared" si="103"/>
        <v>Farmacia</v>
      </c>
      <c r="BL243" t="str">
        <f>""</f>
        <v/>
      </c>
      <c r="BM243" t="str">
        <f>"VARILUX ESPECIALISTA SELECT"</f>
        <v>VARILUX ESPECIALISTA SELECT</v>
      </c>
      <c r="BN243" t="str">
        <f>"NA"</f>
        <v>NA</v>
      </c>
      <c r="BO243" t="str">
        <f>"FOCO VARILUX DIGITAL"</f>
        <v>FOCO VARILUX DIGITAL</v>
      </c>
      <c r="BP243" t="str">
        <f>""</f>
        <v/>
      </c>
      <c r="BQ243" t="str">
        <f>""</f>
        <v/>
      </c>
      <c r="BR243" t="str">
        <f>""</f>
        <v/>
      </c>
      <c r="BS243" t="str">
        <f>""</f>
        <v/>
      </c>
      <c r="BT243" t="str">
        <f>""</f>
        <v/>
      </c>
      <c r="BU243" t="str">
        <f>""</f>
        <v/>
      </c>
      <c r="BV243" t="str">
        <f>"5"</f>
        <v>5</v>
      </c>
      <c r="BW243" t="str">
        <f>"16"</f>
        <v>16</v>
      </c>
    </row>
    <row r="244" spans="1:75" x14ac:dyDescent="0.35">
      <c r="A244">
        <v>144531</v>
      </c>
      <c r="B244" t="str">
        <f t="shared" si="95"/>
        <v>A</v>
      </c>
      <c r="C244" t="str">
        <f t="shared" si="96"/>
        <v>80</v>
      </c>
      <c r="D244" t="str">
        <f t="shared" si="97"/>
        <v>11121001</v>
      </c>
      <c r="E244" t="str">
        <f t="shared" si="98"/>
        <v>121001</v>
      </c>
      <c r="F244" t="str">
        <f t="shared" si="99"/>
        <v>JENIFER SANTOS</v>
      </c>
      <c r="G244" t="str">
        <f>"37676329000187"</f>
        <v>37676329000187</v>
      </c>
      <c r="H244" t="str">
        <f>""</f>
        <v/>
      </c>
      <c r="I244" t="str">
        <f t="shared" si="100"/>
        <v>CONTA OPTICA</v>
      </c>
      <c r="J244" t="str">
        <f>"NICKE COMERCIO DE PRODUTOS OPTICOS LTDA"</f>
        <v>NICKE COMERCIO DE PRODUTOS OPTICOS LTDA</v>
      </c>
      <c r="K244" t="str">
        <f>"OTTICA NICKE (4164)"</f>
        <v>OTTICA NICKE (4164)</v>
      </c>
      <c r="L244" t="str">
        <f>""</f>
        <v/>
      </c>
      <c r="M244" t="str">
        <f>""</f>
        <v/>
      </c>
      <c r="N244" t="str">
        <f>"fabeme15@gmail.com"</f>
        <v>fabeme15@gmail.com</v>
      </c>
      <c r="O244" t="str">
        <f>""</f>
        <v/>
      </c>
      <c r="P244" t="str">
        <f>"RUA BLUMENAU"</f>
        <v>RUA BLUMENAU</v>
      </c>
      <c r="Q244" t="str">
        <f>"64"</f>
        <v>64</v>
      </c>
      <c r="R244" t="str">
        <f>"LOJA 13"</f>
        <v>LOJA 13</v>
      </c>
      <c r="S244" t="str">
        <f>""</f>
        <v/>
      </c>
      <c r="T244" t="str">
        <f>"89204251"</f>
        <v>89204251</v>
      </c>
      <c r="U244" t="str">
        <f>"CENTRO"</f>
        <v>CENTRO</v>
      </c>
      <c r="V244" t="str">
        <f>"JOINVILLE"</f>
        <v>JOINVILLE</v>
      </c>
      <c r="W244" t="str">
        <f t="shared" si="120"/>
        <v>SC</v>
      </c>
      <c r="X244" t="str">
        <f>"47"</f>
        <v>47</v>
      </c>
      <c r="Y244" t="str">
        <f>"996435559"</f>
        <v>996435559</v>
      </c>
      <c r="Z244" t="str">
        <f>""</f>
        <v/>
      </c>
      <c r="AA244" t="str">
        <f>""</f>
        <v/>
      </c>
      <c r="AB244" t="str">
        <f>""</f>
        <v/>
      </c>
      <c r="AC244" t="str">
        <f>""</f>
        <v/>
      </c>
      <c r="AD244" t="str">
        <f>""</f>
        <v/>
      </c>
      <c r="AE244" t="str">
        <f>""</f>
        <v/>
      </c>
      <c r="AF244" t="str">
        <f>""</f>
        <v/>
      </c>
      <c r="AG244" t="str">
        <f>"S"</f>
        <v>S</v>
      </c>
      <c r="AH244" t="str">
        <f>""</f>
        <v/>
      </c>
      <c r="AI244" t="str">
        <f>""</f>
        <v/>
      </c>
      <c r="AJ244" t="str">
        <f t="shared" si="127"/>
        <v>0</v>
      </c>
      <c r="AK244" t="str">
        <f t="shared" si="127"/>
        <v>0</v>
      </c>
      <c r="AL244" t="str">
        <f t="shared" si="127"/>
        <v>0</v>
      </c>
      <c r="AM244" t="str">
        <f>""</f>
        <v/>
      </c>
      <c r="AN244" t="str">
        <f>""</f>
        <v/>
      </c>
      <c r="AO244" t="str">
        <f>""</f>
        <v/>
      </c>
      <c r="AP244" t="str">
        <f>""</f>
        <v/>
      </c>
      <c r="AQ244" t="str">
        <f>"N"</f>
        <v>N</v>
      </c>
      <c r="AR244" t="str">
        <f>"N"</f>
        <v>N</v>
      </c>
      <c r="AS244" t="str">
        <f>"N"</f>
        <v>N</v>
      </c>
      <c r="AT244" t="str">
        <f>"N"</f>
        <v>N</v>
      </c>
      <c r="AU244" t="str">
        <f>"N"</f>
        <v>N</v>
      </c>
      <c r="AV244" t="str">
        <f>""</f>
        <v/>
      </c>
      <c r="AW244" t="str">
        <f>""</f>
        <v/>
      </c>
      <c r="AX244" t="str">
        <f>""</f>
        <v/>
      </c>
      <c r="AY244" t="str">
        <f>""</f>
        <v/>
      </c>
      <c r="AZ244" t="str">
        <f>""</f>
        <v/>
      </c>
      <c r="BA244" t="str">
        <f>""</f>
        <v/>
      </c>
      <c r="BB244" t="str">
        <f>""</f>
        <v/>
      </c>
      <c r="BC244" t="str">
        <f>"12/01/2022 17:58:59"</f>
        <v>12/01/2022 17:58:59</v>
      </c>
      <c r="BD244" t="str">
        <f>""</f>
        <v/>
      </c>
      <c r="BE244" t="str">
        <f>""</f>
        <v/>
      </c>
      <c r="BF244" t="str">
        <f t="shared" si="101"/>
        <v>A</v>
      </c>
      <c r="BG244" t="str">
        <f>"0,00"</f>
        <v>0,00</v>
      </c>
      <c r="BH244" t="str">
        <f t="shared" si="126"/>
        <v>0,00</v>
      </c>
      <c r="BI244" t="str">
        <f t="shared" si="117"/>
        <v>EVENTUAL</v>
      </c>
      <c r="BJ244" t="str">
        <f t="shared" si="102"/>
        <v>1</v>
      </c>
      <c r="BK244" t="str">
        <f t="shared" si="103"/>
        <v>Farmacia</v>
      </c>
      <c r="BL244" t="str">
        <f>""</f>
        <v/>
      </c>
      <c r="BM244" t="str">
        <f>"NÃO É VARILUX ESPECIALISTA"</f>
        <v>NÃO É VARILUX ESPECIALISTA</v>
      </c>
      <c r="BN244" t="str">
        <f>"NA"</f>
        <v>NA</v>
      </c>
      <c r="BO244" t="str">
        <f>""</f>
        <v/>
      </c>
      <c r="BP244" t="str">
        <f>""</f>
        <v/>
      </c>
      <c r="BQ244" t="str">
        <f>""</f>
        <v/>
      </c>
      <c r="BR244" t="str">
        <f>""</f>
        <v/>
      </c>
      <c r="BS244" t="str">
        <f>"12/01/2022"</f>
        <v>12/01/2022</v>
      </c>
      <c r="BT244" t="str">
        <f>""</f>
        <v/>
      </c>
      <c r="BU244" t="str">
        <f>""</f>
        <v/>
      </c>
      <c r="BV244" t="str">
        <f>"9"</f>
        <v>9</v>
      </c>
      <c r="BW244" t="str">
        <f>"182"</f>
        <v>182</v>
      </c>
    </row>
    <row r="245" spans="1:75" x14ac:dyDescent="0.35">
      <c r="A245">
        <v>156739</v>
      </c>
      <c r="B245" t="str">
        <f t="shared" si="95"/>
        <v>A</v>
      </c>
      <c r="C245" t="str">
        <f t="shared" si="96"/>
        <v>80</v>
      </c>
      <c r="D245" t="str">
        <f t="shared" si="97"/>
        <v>11121001</v>
      </c>
      <c r="E245" t="str">
        <f t="shared" si="98"/>
        <v>121001</v>
      </c>
      <c r="F245" t="str">
        <f t="shared" si="99"/>
        <v>JENIFER SANTOS</v>
      </c>
      <c r="G245" t="str">
        <f>"24694313000155"</f>
        <v>24694313000155</v>
      </c>
      <c r="H245" t="str">
        <f>"0"</f>
        <v>0</v>
      </c>
      <c r="I245" t="str">
        <f t="shared" si="100"/>
        <v>CONTA OPTICA</v>
      </c>
      <c r="J245" t="str">
        <f>"NICOLAS FERREIRA JARDIM LTDA"</f>
        <v>NICOLAS FERREIRA JARDIM LTDA</v>
      </c>
      <c r="K245" t="str">
        <f>"OTICAS ANGELA JARDIM (4693)"</f>
        <v>OTICAS ANGELA JARDIM (4693)</v>
      </c>
      <c r="L245" t="str">
        <f>""</f>
        <v/>
      </c>
      <c r="M245" t="str">
        <f>""</f>
        <v/>
      </c>
      <c r="N245" t="str">
        <f>"ANGELAJARDIM.IRIRIU@GMAIL.COM"</f>
        <v>ANGELAJARDIM.IRIRIU@GMAIL.COM</v>
      </c>
      <c r="O245" t="str">
        <f>""</f>
        <v/>
      </c>
      <c r="P245" t="str">
        <f>"RUA DAS CEGONHAS"</f>
        <v>RUA DAS CEGONHAS</v>
      </c>
      <c r="Q245" t="str">
        <f>"608"</f>
        <v>608</v>
      </c>
      <c r="R245" t="str">
        <f>"SALA 01"</f>
        <v>SALA 01</v>
      </c>
      <c r="S245" t="str">
        <f>""</f>
        <v/>
      </c>
      <c r="T245" t="str">
        <f>"89224150"</f>
        <v>89224150</v>
      </c>
      <c r="U245" t="str">
        <f>"JARDIM IRIRIU"</f>
        <v>JARDIM IRIRIU</v>
      </c>
      <c r="V245" t="str">
        <f>"JOINVILLE"</f>
        <v>JOINVILLE</v>
      </c>
      <c r="W245" t="str">
        <f t="shared" si="120"/>
        <v>SC</v>
      </c>
      <c r="X245" t="str">
        <f>"47"</f>
        <v>47</v>
      </c>
      <c r="Y245" t="str">
        <f>"34220304"</f>
        <v>34220304</v>
      </c>
      <c r="Z245" t="str">
        <f>""</f>
        <v/>
      </c>
      <c r="AA245" t="str">
        <f>""</f>
        <v/>
      </c>
      <c r="AB245" t="str">
        <f>""</f>
        <v/>
      </c>
      <c r="AC245" t="str">
        <f>""</f>
        <v/>
      </c>
      <c r="AD245" t="str">
        <f>""</f>
        <v/>
      </c>
      <c r="AE245" t="str">
        <f>""</f>
        <v/>
      </c>
      <c r="AF245" t="str">
        <f>""</f>
        <v/>
      </c>
      <c r="AG245" t="str">
        <f>""</f>
        <v/>
      </c>
      <c r="AH245" t="str">
        <f>""</f>
        <v/>
      </c>
      <c r="AI245" t="str">
        <f>""</f>
        <v/>
      </c>
      <c r="AJ245" t="str">
        <f>""</f>
        <v/>
      </c>
      <c r="AK245" t="str">
        <f>""</f>
        <v/>
      </c>
      <c r="AL245" t="str">
        <f>""</f>
        <v/>
      </c>
      <c r="AM245" t="str">
        <f>""</f>
        <v/>
      </c>
      <c r="AN245" t="str">
        <f>""</f>
        <v/>
      </c>
      <c r="AO245" t="str">
        <f>""</f>
        <v/>
      </c>
      <c r="AP245" t="str">
        <f>""</f>
        <v/>
      </c>
      <c r="AQ245" t="str">
        <f>""</f>
        <v/>
      </c>
      <c r="AR245" t="str">
        <f>""</f>
        <v/>
      </c>
      <c r="AS245" t="str">
        <f>""</f>
        <v/>
      </c>
      <c r="AT245" t="str">
        <f>""</f>
        <v/>
      </c>
      <c r="AU245" t="str">
        <f>""</f>
        <v/>
      </c>
      <c r="AV245" t="str">
        <f>""</f>
        <v/>
      </c>
      <c r="AW245" t="str">
        <f>""</f>
        <v/>
      </c>
      <c r="AX245" t="str">
        <f>""</f>
        <v/>
      </c>
      <c r="AY245" t="str">
        <f>""</f>
        <v/>
      </c>
      <c r="AZ245" t="str">
        <f>""</f>
        <v/>
      </c>
      <c r="BA245" t="str">
        <f>""</f>
        <v/>
      </c>
      <c r="BB245" t="str">
        <f>"06/07/2023 12:07:48"</f>
        <v>06/07/2023 12:07:48</v>
      </c>
      <c r="BC245" t="str">
        <f>""</f>
        <v/>
      </c>
      <c r="BD245" t="str">
        <f>""</f>
        <v/>
      </c>
      <c r="BE245" t="str">
        <f>""</f>
        <v/>
      </c>
      <c r="BF245" t="str">
        <f t="shared" si="101"/>
        <v>A</v>
      </c>
      <c r="BG245" t="str">
        <f>""</f>
        <v/>
      </c>
      <c r="BH245" t="str">
        <f>""</f>
        <v/>
      </c>
      <c r="BI245" t="str">
        <f t="shared" si="117"/>
        <v>EVENTUAL</v>
      </c>
      <c r="BJ245" t="str">
        <f t="shared" si="102"/>
        <v>1</v>
      </c>
      <c r="BK245" t="str">
        <f t="shared" si="103"/>
        <v>Farmacia</v>
      </c>
      <c r="BL245" t="str">
        <f>""</f>
        <v/>
      </c>
      <c r="BM245" t="str">
        <f>""</f>
        <v/>
      </c>
      <c r="BN245" t="str">
        <f>""</f>
        <v/>
      </c>
      <c r="BO245" t="str">
        <f>""</f>
        <v/>
      </c>
      <c r="BP245" t="str">
        <f>""</f>
        <v/>
      </c>
      <c r="BQ245" t="str">
        <f>""</f>
        <v/>
      </c>
      <c r="BR245" t="str">
        <f>"06/07/2023"</f>
        <v>06/07/2023</v>
      </c>
      <c r="BS245" t="str">
        <f>""</f>
        <v/>
      </c>
      <c r="BT245" t="str">
        <f>""</f>
        <v/>
      </c>
      <c r="BU245" t="str">
        <f>""</f>
        <v/>
      </c>
      <c r="BV245" t="str">
        <f>""</f>
        <v/>
      </c>
      <c r="BW245" t="str">
        <f>"80"</f>
        <v>80</v>
      </c>
    </row>
    <row r="246" spans="1:75" x14ac:dyDescent="0.35">
      <c r="A246">
        <v>156800</v>
      </c>
      <c r="B246" t="str">
        <f t="shared" si="95"/>
        <v>A</v>
      </c>
      <c r="C246" t="str">
        <f t="shared" si="96"/>
        <v>80</v>
      </c>
      <c r="D246" t="str">
        <f t="shared" si="97"/>
        <v>11121001</v>
      </c>
      <c r="E246" t="str">
        <f t="shared" si="98"/>
        <v>121001</v>
      </c>
      <c r="F246" t="str">
        <f t="shared" si="99"/>
        <v>JENIFER SANTOS</v>
      </c>
      <c r="G246" t="str">
        <f>"75989111000171"</f>
        <v>75989111000171</v>
      </c>
      <c r="H246" t="str">
        <f>"0"</f>
        <v>0</v>
      </c>
      <c r="I246" t="str">
        <f t="shared" si="100"/>
        <v>CONTA OPTICA</v>
      </c>
      <c r="J246" t="str">
        <f>"NILO TREBIEN E CIA LTDA"</f>
        <v>NILO TREBIEN E CIA LTDA</v>
      </c>
      <c r="K246" t="str">
        <f>"JOIAS TREBIEN (853)"</f>
        <v>JOIAS TREBIEN (853)</v>
      </c>
      <c r="L246" t="str">
        <f>""</f>
        <v/>
      </c>
      <c r="M246" t="str">
        <f>""</f>
        <v/>
      </c>
      <c r="N246" t="str">
        <f>"JOIASTREBIEN@HOTMAIL.COM"</f>
        <v>JOIASTREBIEN@HOTMAIL.COM</v>
      </c>
      <c r="O246" t="str">
        <f>""</f>
        <v/>
      </c>
      <c r="P246" t="str">
        <f>"MANOEL RIBAS"</f>
        <v>MANOEL RIBAS</v>
      </c>
      <c r="Q246" t="str">
        <f>"210"</f>
        <v>210</v>
      </c>
      <c r="R246" t="str">
        <f>""</f>
        <v/>
      </c>
      <c r="S246" t="str">
        <f>"1198"</f>
        <v>1198</v>
      </c>
      <c r="T246" t="str">
        <f>"84600000"</f>
        <v>84600000</v>
      </c>
      <c r="U246" t="str">
        <f>"CENTRO"</f>
        <v>CENTRO</v>
      </c>
      <c r="V246" t="str">
        <f>"UNIAO DA VITORIA"</f>
        <v>UNIAO DA VITORIA</v>
      </c>
      <c r="W246" t="str">
        <f>"PR"</f>
        <v>PR</v>
      </c>
      <c r="X246" t="str">
        <f>"42"</f>
        <v>42</v>
      </c>
      <c r="Y246" t="str">
        <f>"35223239"</f>
        <v>35223239</v>
      </c>
      <c r="Z246" t="str">
        <f>""</f>
        <v/>
      </c>
      <c r="AA246" t="str">
        <f>""</f>
        <v/>
      </c>
      <c r="AB246" t="str">
        <f>""</f>
        <v/>
      </c>
      <c r="AC246" t="str">
        <f>""</f>
        <v/>
      </c>
      <c r="AD246" t="str">
        <f>""</f>
        <v/>
      </c>
      <c r="AE246" t="str">
        <f>""</f>
        <v/>
      </c>
      <c r="AF246" t="str">
        <f>""</f>
        <v/>
      </c>
      <c r="AG246" t="str">
        <f>""</f>
        <v/>
      </c>
      <c r="AH246" t="str">
        <f>""</f>
        <v/>
      </c>
      <c r="AI246" t="str">
        <f>""</f>
        <v/>
      </c>
      <c r="AJ246" t="str">
        <f>""</f>
        <v/>
      </c>
      <c r="AK246" t="str">
        <f>""</f>
        <v/>
      </c>
      <c r="AL246" t="str">
        <f>""</f>
        <v/>
      </c>
      <c r="AM246" t="str">
        <f>""</f>
        <v/>
      </c>
      <c r="AN246" t="str">
        <f>""</f>
        <v/>
      </c>
      <c r="AO246" t="str">
        <f>""</f>
        <v/>
      </c>
      <c r="AP246" t="str">
        <f>""</f>
        <v/>
      </c>
      <c r="AQ246" t="str">
        <f>""</f>
        <v/>
      </c>
      <c r="AR246" t="str">
        <f>""</f>
        <v/>
      </c>
      <c r="AS246" t="str">
        <f>""</f>
        <v/>
      </c>
      <c r="AT246" t="str">
        <f>""</f>
        <v/>
      </c>
      <c r="AU246" t="str">
        <f>""</f>
        <v/>
      </c>
      <c r="AV246" t="str">
        <f>""</f>
        <v/>
      </c>
      <c r="AW246" t="str">
        <f>""</f>
        <v/>
      </c>
      <c r="AX246" t="str">
        <f>""</f>
        <v/>
      </c>
      <c r="AY246" t="str">
        <f>""</f>
        <v/>
      </c>
      <c r="AZ246" t="str">
        <f>""</f>
        <v/>
      </c>
      <c r="BA246" t="str">
        <f>""</f>
        <v/>
      </c>
      <c r="BB246" t="str">
        <f>"06/07/2023 12:07:48"</f>
        <v>06/07/2023 12:07:48</v>
      </c>
      <c r="BC246" t="str">
        <f>""</f>
        <v/>
      </c>
      <c r="BD246" t="str">
        <f>""</f>
        <v/>
      </c>
      <c r="BE246" t="str">
        <f>""</f>
        <v/>
      </c>
      <c r="BF246" t="str">
        <f t="shared" si="101"/>
        <v>A</v>
      </c>
      <c r="BG246" t="str">
        <f>""</f>
        <v/>
      </c>
      <c r="BH246" t="str">
        <f>""</f>
        <v/>
      </c>
      <c r="BI246" t="str">
        <f t="shared" si="117"/>
        <v>EVENTUAL</v>
      </c>
      <c r="BJ246" t="str">
        <f t="shared" si="102"/>
        <v>1</v>
      </c>
      <c r="BK246" t="str">
        <f t="shared" si="103"/>
        <v>Farmacia</v>
      </c>
      <c r="BL246" t="str">
        <f>""</f>
        <v/>
      </c>
      <c r="BM246" t="str">
        <f>""</f>
        <v/>
      </c>
      <c r="BN246" t="str">
        <f>""</f>
        <v/>
      </c>
      <c r="BO246" t="str">
        <f>""</f>
        <v/>
      </c>
      <c r="BP246" t="str">
        <f>""</f>
        <v/>
      </c>
      <c r="BQ246" t="str">
        <f>""</f>
        <v/>
      </c>
      <c r="BR246" t="str">
        <f>"06/07/2023"</f>
        <v>06/07/2023</v>
      </c>
      <c r="BS246" t="str">
        <f>""</f>
        <v/>
      </c>
      <c r="BT246" t="str">
        <f>""</f>
        <v/>
      </c>
      <c r="BU246" t="str">
        <f>""</f>
        <v/>
      </c>
      <c r="BV246" t="str">
        <f>""</f>
        <v/>
      </c>
      <c r="BW246" t="str">
        <f>"4"</f>
        <v>4</v>
      </c>
    </row>
    <row r="247" spans="1:75" x14ac:dyDescent="0.35">
      <c r="A247">
        <v>876</v>
      </c>
      <c r="B247" t="str">
        <f t="shared" si="95"/>
        <v>A</v>
      </c>
      <c r="C247" t="str">
        <f t="shared" si="96"/>
        <v>80</v>
      </c>
      <c r="D247" t="str">
        <f t="shared" si="97"/>
        <v>11121001</v>
      </c>
      <c r="E247" t="str">
        <f t="shared" si="98"/>
        <v>121001</v>
      </c>
      <c r="F247" t="str">
        <f t="shared" si="99"/>
        <v>JENIFER SANTOS</v>
      </c>
      <c r="G247" t="str">
        <f>"05704431000152"</f>
        <v>05704431000152</v>
      </c>
      <c r="H247" t="str">
        <f>""</f>
        <v/>
      </c>
      <c r="I247" t="str">
        <f t="shared" si="100"/>
        <v>CONTA OPTICA</v>
      </c>
      <c r="J247" t="str">
        <f>"NILTON GANZENMULLER ME"</f>
        <v>NILTON GANZENMULLER ME</v>
      </c>
      <c r="K247" t="str">
        <f>"OTICA MUNDUS (381)"</f>
        <v>OTICA MUNDUS (381)</v>
      </c>
      <c r="L247" t="str">
        <f>""</f>
        <v/>
      </c>
      <c r="M247" t="str">
        <f>""</f>
        <v/>
      </c>
      <c r="N247" t="str">
        <f>"oticamundus@hotmail.com"</f>
        <v>oticamundus@hotmail.com</v>
      </c>
      <c r="O247" t="str">
        <f>""</f>
        <v/>
      </c>
      <c r="P247" t="str">
        <f>"RUA DO PRINCIPE"</f>
        <v>RUA DO PRINCIPE</v>
      </c>
      <c r="Q247" t="str">
        <f>"143"</f>
        <v>143</v>
      </c>
      <c r="R247" t="str">
        <f>""</f>
        <v/>
      </c>
      <c r="S247" t="str">
        <f>"1277"</f>
        <v>1277</v>
      </c>
      <c r="T247" t="str">
        <f>"89201000"</f>
        <v>89201000</v>
      </c>
      <c r="U247" t="str">
        <f>"CENTRO"</f>
        <v>CENTRO</v>
      </c>
      <c r="V247" t="str">
        <f>"JOINVILLE"</f>
        <v>JOINVILLE</v>
      </c>
      <c r="W247" t="str">
        <f>"SC"</f>
        <v>SC</v>
      </c>
      <c r="X247" t="str">
        <f>"47"</f>
        <v>47</v>
      </c>
      <c r="Y247" t="str">
        <f>"34222244"</f>
        <v>34222244</v>
      </c>
      <c r="Z247" t="str">
        <f>""</f>
        <v/>
      </c>
      <c r="AA247" t="str">
        <f>""</f>
        <v/>
      </c>
      <c r="AB247" t="str">
        <f>""</f>
        <v/>
      </c>
      <c r="AC247" t="str">
        <f>""</f>
        <v/>
      </c>
      <c r="AD247" t="str">
        <f>""</f>
        <v/>
      </c>
      <c r="AE247" t="str">
        <f>""</f>
        <v/>
      </c>
      <c r="AF247" t="str">
        <f>""</f>
        <v/>
      </c>
      <c r="AG247" t="str">
        <f>""</f>
        <v/>
      </c>
      <c r="AH247" t="str">
        <f>""</f>
        <v/>
      </c>
      <c r="AI247" t="str">
        <f>""</f>
        <v/>
      </c>
      <c r="AJ247" t="str">
        <f t="shared" ref="AJ247:AL248" si="128">"0"</f>
        <v>0</v>
      </c>
      <c r="AK247" t="str">
        <f t="shared" si="128"/>
        <v>0</v>
      </c>
      <c r="AL247" t="str">
        <f t="shared" si="128"/>
        <v>0</v>
      </c>
      <c r="AM247" t="str">
        <f>""</f>
        <v/>
      </c>
      <c r="AN247" t="str">
        <f>""</f>
        <v/>
      </c>
      <c r="AO247" t="str">
        <f>""</f>
        <v/>
      </c>
      <c r="AP247" t="str">
        <f>""</f>
        <v/>
      </c>
      <c r="AQ247" t="str">
        <f>""</f>
        <v/>
      </c>
      <c r="AR247" t="str">
        <f>""</f>
        <v/>
      </c>
      <c r="AS247" t="str">
        <f>""</f>
        <v/>
      </c>
      <c r="AT247" t="str">
        <f>""</f>
        <v/>
      </c>
      <c r="AU247" t="str">
        <f>""</f>
        <v/>
      </c>
      <c r="AV247" t="str">
        <f>""</f>
        <v/>
      </c>
      <c r="AW247" t="str">
        <f>""</f>
        <v/>
      </c>
      <c r="AX247" t="str">
        <f>""</f>
        <v/>
      </c>
      <c r="AY247" t="str">
        <f>""</f>
        <v/>
      </c>
      <c r="AZ247" t="str">
        <f>""</f>
        <v/>
      </c>
      <c r="BA247" t="str">
        <f>""</f>
        <v/>
      </c>
      <c r="BB247" t="str">
        <f>"27/07/2018 09:25:53"</f>
        <v>27/07/2018 09:25:53</v>
      </c>
      <c r="BC247" t="str">
        <f>""</f>
        <v/>
      </c>
      <c r="BD247" t="str">
        <f>""</f>
        <v/>
      </c>
      <c r="BE247" t="str">
        <f>"876"</f>
        <v>876</v>
      </c>
      <c r="BF247" t="str">
        <f t="shared" si="101"/>
        <v>A</v>
      </c>
      <c r="BG247" t="str">
        <f>"0,00"</f>
        <v>0,00</v>
      </c>
      <c r="BH247" t="str">
        <f>"0,00"</f>
        <v>0,00</v>
      </c>
      <c r="BI247" t="str">
        <f t="shared" si="117"/>
        <v>EVENTUAL</v>
      </c>
      <c r="BJ247" t="str">
        <f t="shared" si="102"/>
        <v>1</v>
      </c>
      <c r="BK247" t="str">
        <f t="shared" si="103"/>
        <v>Farmacia</v>
      </c>
      <c r="BL247" t="str">
        <f>""</f>
        <v/>
      </c>
      <c r="BM247" t="str">
        <f>"VARILUX ESPECIALISTA SELECT"</f>
        <v>VARILUX ESPECIALISTA SELECT</v>
      </c>
      <c r="BN247" t="str">
        <f>"NA"</f>
        <v>NA</v>
      </c>
      <c r="BO247" t="str">
        <f>"FOCO VARILUX DIGITAL"</f>
        <v>FOCO VARILUX DIGITAL</v>
      </c>
      <c r="BP247" t="str">
        <f>""</f>
        <v/>
      </c>
      <c r="BQ247" t="str">
        <f>""</f>
        <v/>
      </c>
      <c r="BR247" t="str">
        <f>"27/07/2018"</f>
        <v>27/07/2018</v>
      </c>
      <c r="BS247" t="str">
        <f>""</f>
        <v/>
      </c>
      <c r="BT247" t="str">
        <f>""</f>
        <v/>
      </c>
      <c r="BU247" t="str">
        <f>""</f>
        <v/>
      </c>
      <c r="BV247" t="str">
        <f>"5"</f>
        <v>5</v>
      </c>
      <c r="BW247" t="str">
        <f>"Não visitado"</f>
        <v>Não visitado</v>
      </c>
    </row>
    <row r="248" spans="1:75" x14ac:dyDescent="0.35">
      <c r="A248">
        <v>144731</v>
      </c>
      <c r="B248" t="str">
        <f t="shared" si="95"/>
        <v>A</v>
      </c>
      <c r="C248" t="str">
        <f t="shared" si="96"/>
        <v>80</v>
      </c>
      <c r="D248" t="str">
        <f t="shared" si="97"/>
        <v>11121001</v>
      </c>
      <c r="E248" t="str">
        <f t="shared" si="98"/>
        <v>121001</v>
      </c>
      <c r="F248" t="str">
        <f t="shared" si="99"/>
        <v>JENIFER SANTOS</v>
      </c>
      <c r="G248" t="str">
        <f>"19924886000198"</f>
        <v>19924886000198</v>
      </c>
      <c r="H248" t="str">
        <f>""</f>
        <v/>
      </c>
      <c r="I248" t="str">
        <f t="shared" si="100"/>
        <v>CONTA OPTICA</v>
      </c>
      <c r="J248" t="str">
        <f>"NIVIA MARILI TAVARES DA SILVA 68424680944"</f>
        <v>NIVIA MARILI TAVARES DA SILVA 68424680944</v>
      </c>
      <c r="K248" t="str">
        <f>"OTICAS NETTO (3848)"</f>
        <v>OTICAS NETTO (3848)</v>
      </c>
      <c r="L248" t="str">
        <f>""</f>
        <v/>
      </c>
      <c r="M248" t="str">
        <f>""</f>
        <v/>
      </c>
      <c r="N248" t="str">
        <f>"fernandes.netto@yahoo.com"</f>
        <v>fernandes.netto@yahoo.com</v>
      </c>
      <c r="O248" t="str">
        <f>""</f>
        <v/>
      </c>
      <c r="P248" t="str">
        <f>"RUA RODOVIA: SC 301"</f>
        <v>RUA RODOVIA: SC 301</v>
      </c>
      <c r="Q248" t="str">
        <f>"7355"</f>
        <v>7355</v>
      </c>
      <c r="R248" t="str">
        <f>""</f>
        <v/>
      </c>
      <c r="S248" t="str">
        <f>"1280"</f>
        <v>1280</v>
      </c>
      <c r="T248" t="str">
        <f>"89245000"</f>
        <v>89245000</v>
      </c>
      <c r="U248" t="str">
        <f>"ITINGA"</f>
        <v>ITINGA</v>
      </c>
      <c r="V248" t="str">
        <f>"ARAQUARI"</f>
        <v>ARAQUARI</v>
      </c>
      <c r="W248" t="str">
        <f>"SC"</f>
        <v>SC</v>
      </c>
      <c r="X248" t="str">
        <f>"47"</f>
        <v>47</v>
      </c>
      <c r="Y248" t="str">
        <f>"34366266"</f>
        <v>34366266</v>
      </c>
      <c r="Z248" t="str">
        <f>""</f>
        <v/>
      </c>
      <c r="AA248" t="str">
        <f>""</f>
        <v/>
      </c>
      <c r="AB248" t="str">
        <f>""</f>
        <v/>
      </c>
      <c r="AC248" t="str">
        <f>""</f>
        <v/>
      </c>
      <c r="AD248" t="str">
        <f>""</f>
        <v/>
      </c>
      <c r="AE248" t="str">
        <f>""</f>
        <v/>
      </c>
      <c r="AF248" t="str">
        <f>""</f>
        <v/>
      </c>
      <c r="AG248" t="str">
        <f>""</f>
        <v/>
      </c>
      <c r="AH248" t="str">
        <f>""</f>
        <v/>
      </c>
      <c r="AI248" t="str">
        <f>""</f>
        <v/>
      </c>
      <c r="AJ248" t="str">
        <f t="shared" si="128"/>
        <v>0</v>
      </c>
      <c r="AK248" t="str">
        <f t="shared" si="128"/>
        <v>0</v>
      </c>
      <c r="AL248" t="str">
        <f t="shared" si="128"/>
        <v>0</v>
      </c>
      <c r="AM248" t="str">
        <f>""</f>
        <v/>
      </c>
      <c r="AN248" t="str">
        <f>""</f>
        <v/>
      </c>
      <c r="AO248" t="str">
        <f>""</f>
        <v/>
      </c>
      <c r="AP248" t="str">
        <f>""</f>
        <v/>
      </c>
      <c r="AQ248" t="str">
        <f>""</f>
        <v/>
      </c>
      <c r="AR248" t="str">
        <f>""</f>
        <v/>
      </c>
      <c r="AS248" t="str">
        <f>""</f>
        <v/>
      </c>
      <c r="AT248" t="str">
        <f>""</f>
        <v/>
      </c>
      <c r="AU248" t="str">
        <f>""</f>
        <v/>
      </c>
      <c r="AV248" t="str">
        <f>""</f>
        <v/>
      </c>
      <c r="AW248" t="str">
        <f>""</f>
        <v/>
      </c>
      <c r="AX248" t="str">
        <f>""</f>
        <v/>
      </c>
      <c r="AY248" t="str">
        <f>""</f>
        <v/>
      </c>
      <c r="AZ248" t="str">
        <f>""</f>
        <v/>
      </c>
      <c r="BA248" t="str">
        <f>""</f>
        <v/>
      </c>
      <c r="BB248" t="str">
        <f>""</f>
        <v/>
      </c>
      <c r="BC248" t="str">
        <f>""</f>
        <v/>
      </c>
      <c r="BD248" t="str">
        <f>""</f>
        <v/>
      </c>
      <c r="BE248" t="str">
        <f>""</f>
        <v/>
      </c>
      <c r="BF248" t="str">
        <f t="shared" si="101"/>
        <v>A</v>
      </c>
      <c r="BG248" t="str">
        <f>"0,00"</f>
        <v>0,00</v>
      </c>
      <c r="BH248" t="str">
        <f>"0,00"</f>
        <v>0,00</v>
      </c>
      <c r="BI248" t="str">
        <f t="shared" si="117"/>
        <v>EVENTUAL</v>
      </c>
      <c r="BJ248" t="str">
        <f t="shared" si="102"/>
        <v>1</v>
      </c>
      <c r="BK248" t="str">
        <f t="shared" si="103"/>
        <v>Farmacia</v>
      </c>
      <c r="BL248" t="str">
        <f>""</f>
        <v/>
      </c>
      <c r="BM248" t="str">
        <f>"NÃO É VARILUX ESPECIALISTA"</f>
        <v>NÃO É VARILUX ESPECIALISTA</v>
      </c>
      <c r="BN248" t="str">
        <f>"NA"</f>
        <v>NA</v>
      </c>
      <c r="BO248" t="str">
        <f>"FOCO VARILUX"</f>
        <v>FOCO VARILUX</v>
      </c>
      <c r="BP248" t="str">
        <f>""</f>
        <v/>
      </c>
      <c r="BQ248" t="str">
        <f>""</f>
        <v/>
      </c>
      <c r="BR248" t="str">
        <f>""</f>
        <v/>
      </c>
      <c r="BS248" t="str">
        <f>""</f>
        <v/>
      </c>
      <c r="BT248" t="str">
        <f>""</f>
        <v/>
      </c>
      <c r="BU248" t="str">
        <f>""</f>
        <v/>
      </c>
      <c r="BV248" t="str">
        <f>"9"</f>
        <v>9</v>
      </c>
      <c r="BW248" t="str">
        <f>"10"</f>
        <v>10</v>
      </c>
    </row>
    <row r="249" spans="1:75" x14ac:dyDescent="0.35">
      <c r="A249">
        <v>156766</v>
      </c>
      <c r="B249" t="str">
        <f t="shared" si="95"/>
        <v>A</v>
      </c>
      <c r="C249" t="str">
        <f t="shared" si="96"/>
        <v>80</v>
      </c>
      <c r="D249" t="str">
        <f t="shared" si="97"/>
        <v>11121001</v>
      </c>
      <c r="E249" t="str">
        <f t="shared" si="98"/>
        <v>121001</v>
      </c>
      <c r="F249" t="str">
        <f t="shared" si="99"/>
        <v>JENIFER SANTOS</v>
      </c>
      <c r="G249" t="str">
        <f>"42225972000124"</f>
        <v>42225972000124</v>
      </c>
      <c r="H249" t="str">
        <f>"0"</f>
        <v>0</v>
      </c>
      <c r="I249" t="str">
        <f t="shared" si="100"/>
        <v>CONTA OPTICA</v>
      </c>
      <c r="J249" t="str">
        <f>"NK COMERCIO DE PRODUTOS OPTICOS LTDA"</f>
        <v>NK COMERCIO DE PRODUTOS OPTICOS LTDA</v>
      </c>
      <c r="K249" t="str">
        <f>"OTTICA NICKE (4366)"</f>
        <v>OTTICA NICKE (4366)</v>
      </c>
      <c r="L249" t="str">
        <f>""</f>
        <v/>
      </c>
      <c r="M249" t="str">
        <f>""</f>
        <v/>
      </c>
      <c r="N249" t="str">
        <f>"LOJA6.OTTICANICKE@GMAIL.COM"</f>
        <v>LOJA6.OTTICANICKE@GMAIL.COM</v>
      </c>
      <c r="O249" t="str">
        <f>""</f>
        <v/>
      </c>
      <c r="P249" t="str">
        <f>"RUA LAGES"</f>
        <v>RUA LAGES</v>
      </c>
      <c r="Q249" t="str">
        <f>"626"</f>
        <v>626</v>
      </c>
      <c r="R249" t="str">
        <f>"SALA 05"</f>
        <v>SALA 05</v>
      </c>
      <c r="S249" t="str">
        <f>"1278"</f>
        <v>1278</v>
      </c>
      <c r="T249" t="str">
        <f>"89204010"</f>
        <v>89204010</v>
      </c>
      <c r="U249" t="str">
        <f>"CENTRO"</f>
        <v>CENTRO</v>
      </c>
      <c r="V249" t="str">
        <f>"JOINVILLE"</f>
        <v>JOINVILLE</v>
      </c>
      <c r="W249" t="str">
        <f>"SC"</f>
        <v>SC</v>
      </c>
      <c r="X249" t="str">
        <f>"47"</f>
        <v>47</v>
      </c>
      <c r="Y249" t="str">
        <f>"30319696"</f>
        <v>30319696</v>
      </c>
      <c r="Z249" t="str">
        <f>""</f>
        <v/>
      </c>
      <c r="AA249" t="str">
        <f>""</f>
        <v/>
      </c>
      <c r="AB249" t="str">
        <f>""</f>
        <v/>
      </c>
      <c r="AC249" t="str">
        <f>""</f>
        <v/>
      </c>
      <c r="AD249" t="str">
        <f>""</f>
        <v/>
      </c>
      <c r="AE249" t="str">
        <f>""</f>
        <v/>
      </c>
      <c r="AF249" t="str">
        <f>""</f>
        <v/>
      </c>
      <c r="AG249" t="str">
        <f>""</f>
        <v/>
      </c>
      <c r="AH249" t="str">
        <f>""</f>
        <v/>
      </c>
      <c r="AI249" t="str">
        <f>""</f>
        <v/>
      </c>
      <c r="AJ249" t="str">
        <f>""</f>
        <v/>
      </c>
      <c r="AK249" t="str">
        <f>""</f>
        <v/>
      </c>
      <c r="AL249" t="str">
        <f>""</f>
        <v/>
      </c>
      <c r="AM249" t="str">
        <f>""</f>
        <v/>
      </c>
      <c r="AN249" t="str">
        <f>""</f>
        <v/>
      </c>
      <c r="AO249" t="str">
        <f>""</f>
        <v/>
      </c>
      <c r="AP249" t="str">
        <f>""</f>
        <v/>
      </c>
      <c r="AQ249" t="str">
        <f>""</f>
        <v/>
      </c>
      <c r="AR249" t="str">
        <f>""</f>
        <v/>
      </c>
      <c r="AS249" t="str">
        <f>""</f>
        <v/>
      </c>
      <c r="AT249" t="str">
        <f>""</f>
        <v/>
      </c>
      <c r="AU249" t="str">
        <f>""</f>
        <v/>
      </c>
      <c r="AV249" t="str">
        <f>""</f>
        <v/>
      </c>
      <c r="AW249" t="str">
        <f>""</f>
        <v/>
      </c>
      <c r="AX249" t="str">
        <f>""</f>
        <v/>
      </c>
      <c r="AY249" t="str">
        <f>""</f>
        <v/>
      </c>
      <c r="AZ249" t="str">
        <f>""</f>
        <v/>
      </c>
      <c r="BA249" t="str">
        <f>""</f>
        <v/>
      </c>
      <c r="BB249" t="str">
        <f>"06/07/2023 12:07:48"</f>
        <v>06/07/2023 12:07:48</v>
      </c>
      <c r="BC249" t="str">
        <f>""</f>
        <v/>
      </c>
      <c r="BD249" t="str">
        <f>""</f>
        <v/>
      </c>
      <c r="BE249" t="str">
        <f>""</f>
        <v/>
      </c>
      <c r="BF249" t="str">
        <f t="shared" si="101"/>
        <v>A</v>
      </c>
      <c r="BG249" t="str">
        <f>""</f>
        <v/>
      </c>
      <c r="BH249" t="str">
        <f>""</f>
        <v/>
      </c>
      <c r="BI249" t="str">
        <f t="shared" si="117"/>
        <v>EVENTUAL</v>
      </c>
      <c r="BJ249" t="str">
        <f t="shared" si="102"/>
        <v>1</v>
      </c>
      <c r="BK249" t="str">
        <f t="shared" si="103"/>
        <v>Farmacia</v>
      </c>
      <c r="BL249" t="str">
        <f>""</f>
        <v/>
      </c>
      <c r="BM249" t="str">
        <f>""</f>
        <v/>
      </c>
      <c r="BN249" t="str">
        <f>""</f>
        <v/>
      </c>
      <c r="BO249" t="str">
        <f>""</f>
        <v/>
      </c>
      <c r="BP249" t="str">
        <f>""</f>
        <v/>
      </c>
      <c r="BQ249" t="str">
        <f>""</f>
        <v/>
      </c>
      <c r="BR249" t="str">
        <f>"06/07/2023"</f>
        <v>06/07/2023</v>
      </c>
      <c r="BS249" t="str">
        <f>""</f>
        <v/>
      </c>
      <c r="BT249" t="str">
        <f>""</f>
        <v/>
      </c>
      <c r="BU249" t="str">
        <f>""</f>
        <v/>
      </c>
      <c r="BV249" t="str">
        <f>""</f>
        <v/>
      </c>
      <c r="BW249" t="str">
        <f>"Não visitado"</f>
        <v>Não visitado</v>
      </c>
    </row>
    <row r="250" spans="1:75" x14ac:dyDescent="0.35">
      <c r="A250">
        <v>120455</v>
      </c>
      <c r="B250" t="str">
        <f t="shared" si="95"/>
        <v>A</v>
      </c>
      <c r="C250" t="str">
        <f t="shared" si="96"/>
        <v>80</v>
      </c>
      <c r="D250" t="str">
        <f t="shared" si="97"/>
        <v>11121001</v>
      </c>
      <c r="E250" t="str">
        <f t="shared" si="98"/>
        <v>121001</v>
      </c>
      <c r="F250" t="str">
        <f t="shared" si="99"/>
        <v>JENIFER SANTOS</v>
      </c>
      <c r="G250" t="str">
        <f>"04946740000176"</f>
        <v>04946740000176</v>
      </c>
      <c r="H250" t="str">
        <f>"0"</f>
        <v>0</v>
      </c>
      <c r="I250" t="str">
        <f t="shared" si="100"/>
        <v>CONTA OPTICA</v>
      </c>
      <c r="J250" t="str">
        <f>"NORBERTO EDGAR OLLMANN E CIA LTDA"</f>
        <v>NORBERTO EDGAR OLLMANN E CIA LTDA</v>
      </c>
      <c r="K250" t="str">
        <f>"OTICA OLLMANN (456)"</f>
        <v>OTICA OLLMANN (456)</v>
      </c>
      <c r="L250" t="str">
        <f>""</f>
        <v/>
      </c>
      <c r="M250" t="str">
        <f>""</f>
        <v/>
      </c>
      <c r="N250" t="str">
        <f>"oticaollmann@gmail.com"</f>
        <v>oticaollmann@gmail.com</v>
      </c>
      <c r="O250" t="str">
        <f>""</f>
        <v/>
      </c>
      <c r="P250" t="str">
        <f>"AVENIDA JOSE OSCAR SALAZAR"</f>
        <v>AVENIDA JOSE OSCAR SALAZAR</v>
      </c>
      <c r="Q250" t="str">
        <f>"698"</f>
        <v>698</v>
      </c>
      <c r="R250" t="str">
        <f>""</f>
        <v/>
      </c>
      <c r="S250" t="str">
        <f>"1389"</f>
        <v>1389</v>
      </c>
      <c r="T250" t="str">
        <f>"99700000"</f>
        <v>99700000</v>
      </c>
      <c r="U250" t="str">
        <f>"TRES VENDAS"</f>
        <v>TRES VENDAS</v>
      </c>
      <c r="V250" t="str">
        <f>"ERECHIM"</f>
        <v>ERECHIM</v>
      </c>
      <c r="W250" t="str">
        <f>"RS"</f>
        <v>RS</v>
      </c>
      <c r="X250" t="str">
        <f>"54"</f>
        <v>54</v>
      </c>
      <c r="Y250" t="str">
        <f>"35223860"</f>
        <v>35223860</v>
      </c>
      <c r="Z250" t="str">
        <f>""</f>
        <v/>
      </c>
      <c r="AA250" t="str">
        <f>""</f>
        <v/>
      </c>
      <c r="AB250" t="str">
        <f>""</f>
        <v/>
      </c>
      <c r="AC250" t="str">
        <f>""</f>
        <v/>
      </c>
      <c r="AD250" t="str">
        <f>""</f>
        <v/>
      </c>
      <c r="AE250" t="str">
        <f>""</f>
        <v/>
      </c>
      <c r="AF250" t="str">
        <f>""</f>
        <v/>
      </c>
      <c r="AG250" t="str">
        <f>""</f>
        <v/>
      </c>
      <c r="AH250" t="str">
        <f>""</f>
        <v/>
      </c>
      <c r="AI250" t="str">
        <f>""</f>
        <v/>
      </c>
      <c r="AJ250" t="str">
        <f>"0"</f>
        <v>0</v>
      </c>
      <c r="AK250" t="str">
        <f>"0"</f>
        <v>0</v>
      </c>
      <c r="AL250" t="str">
        <f>"0"</f>
        <v>0</v>
      </c>
      <c r="AM250" t="str">
        <f>""</f>
        <v/>
      </c>
      <c r="AN250" t="str">
        <f>""</f>
        <v/>
      </c>
      <c r="AO250" t="str">
        <f>""</f>
        <v/>
      </c>
      <c r="AP250" t="str">
        <f>""</f>
        <v/>
      </c>
      <c r="AQ250" t="str">
        <f>""</f>
        <v/>
      </c>
      <c r="AR250" t="str">
        <f>""</f>
        <v/>
      </c>
      <c r="AS250" t="str">
        <f>""</f>
        <v/>
      </c>
      <c r="AT250" t="str">
        <f>""</f>
        <v/>
      </c>
      <c r="AU250" t="str">
        <f>""</f>
        <v/>
      </c>
      <c r="AV250" t="str">
        <f>""</f>
        <v/>
      </c>
      <c r="AW250" t="str">
        <f>""</f>
        <v/>
      </c>
      <c r="AX250" t="str">
        <f>""</f>
        <v/>
      </c>
      <c r="AY250" t="str">
        <f>""</f>
        <v/>
      </c>
      <c r="AZ250" t="str">
        <f>""</f>
        <v/>
      </c>
      <c r="BA250" t="str">
        <f>""</f>
        <v/>
      </c>
      <c r="BB250" t="str">
        <f>"18/09/2020 22:12:34"</f>
        <v>18/09/2020 22:12:34</v>
      </c>
      <c r="BC250" t="str">
        <f>""</f>
        <v/>
      </c>
      <c r="BD250" t="str">
        <f>""</f>
        <v/>
      </c>
      <c r="BE250" t="str">
        <f>""</f>
        <v/>
      </c>
      <c r="BF250" t="str">
        <f t="shared" si="101"/>
        <v>A</v>
      </c>
      <c r="BG250" t="str">
        <f>"0,00"</f>
        <v>0,00</v>
      </c>
      <c r="BH250" t="str">
        <f>"0,00"</f>
        <v>0,00</v>
      </c>
      <c r="BI250" t="str">
        <f t="shared" si="117"/>
        <v>EVENTUAL</v>
      </c>
      <c r="BJ250" t="str">
        <f t="shared" si="102"/>
        <v>1</v>
      </c>
      <c r="BK250" t="str">
        <f t="shared" si="103"/>
        <v>Farmacia</v>
      </c>
      <c r="BL250" t="str">
        <f>""</f>
        <v/>
      </c>
      <c r="BM250" t="str">
        <f>"CREDENCIADO VARILUX"</f>
        <v>CREDENCIADO VARILUX</v>
      </c>
      <c r="BN250" t="str">
        <f>"NA"</f>
        <v>NA</v>
      </c>
      <c r="BO250" t="str">
        <f>"FOCO KODAK 2"</f>
        <v>FOCO KODAK 2</v>
      </c>
      <c r="BP250" t="str">
        <f>""</f>
        <v/>
      </c>
      <c r="BQ250" t="str">
        <f>""</f>
        <v/>
      </c>
      <c r="BR250" t="str">
        <f>"18/09/2020"</f>
        <v>18/09/2020</v>
      </c>
      <c r="BS250" t="str">
        <f>""</f>
        <v/>
      </c>
      <c r="BT250" t="str">
        <f>""</f>
        <v/>
      </c>
      <c r="BU250" t="str">
        <f>""</f>
        <v/>
      </c>
      <c r="BV250" t="str">
        <f>"2"</f>
        <v>2</v>
      </c>
      <c r="BW250" t="str">
        <f>"Não visitado"</f>
        <v>Não visitado</v>
      </c>
    </row>
    <row r="251" spans="1:75" x14ac:dyDescent="0.35">
      <c r="A251">
        <v>138137</v>
      </c>
      <c r="B251" t="str">
        <f t="shared" si="95"/>
        <v>A</v>
      </c>
      <c r="C251" t="str">
        <f t="shared" si="96"/>
        <v>80</v>
      </c>
      <c r="D251" t="str">
        <f t="shared" si="97"/>
        <v>11121001</v>
      </c>
      <c r="E251" t="str">
        <f t="shared" si="98"/>
        <v>121001</v>
      </c>
      <c r="F251" t="str">
        <f t="shared" si="99"/>
        <v>JENIFER SANTOS</v>
      </c>
      <c r="G251" t="str">
        <f>"17881959000186"</f>
        <v>17881959000186</v>
      </c>
      <c r="H251" t="str">
        <f>"0"</f>
        <v>0</v>
      </c>
      <c r="I251" t="str">
        <f t="shared" si="100"/>
        <v>CONTA OPTICA</v>
      </c>
      <c r="J251" t="str">
        <f>"NOVA ACESSORIOS DE MODA LTDA EPP"</f>
        <v>NOVA ACESSORIOS DE MODA LTDA EPP</v>
      </c>
      <c r="K251" t="str">
        <f>"CHILLI BEANS VALE (3785)"</f>
        <v>CHILLI BEANS VALE (3785)</v>
      </c>
      <c r="L251" t="str">
        <f>""</f>
        <v/>
      </c>
      <c r="M251" t="str">
        <f>""</f>
        <v/>
      </c>
      <c r="N251" t="str">
        <f>"simone.testoni@chillisc.com.br"</f>
        <v>simone.testoni@chillisc.com.br</v>
      </c>
      <c r="O251" t="str">
        <f>""</f>
        <v/>
      </c>
      <c r="P251" t="str">
        <f>"RUA FERNANDO MACHADO - D"</f>
        <v>RUA FERNANDO MACHADO - D</v>
      </c>
      <c r="Q251" t="str">
        <f>"4000"</f>
        <v>4000</v>
      </c>
      <c r="R251" t="str">
        <f>"LJ 72"</f>
        <v>LJ 72</v>
      </c>
      <c r="S251" t="str">
        <f>"1287"</f>
        <v>1287</v>
      </c>
      <c r="T251" t="str">
        <f>"89805203"</f>
        <v>89805203</v>
      </c>
      <c r="U251" t="str">
        <f>"LIDER"</f>
        <v>LIDER</v>
      </c>
      <c r="V251" t="str">
        <f>"CHAPECÓ"</f>
        <v>CHAPECÓ</v>
      </c>
      <c r="W251" t="str">
        <f t="shared" ref="W251:W257" si="129">"SC"</f>
        <v>SC</v>
      </c>
      <c r="X251" t="str">
        <f>"49"</f>
        <v>49</v>
      </c>
      <c r="Y251" t="str">
        <f>"33123630"</f>
        <v>33123630</v>
      </c>
      <c r="Z251" t="str">
        <f>""</f>
        <v/>
      </c>
      <c r="AA251" t="str">
        <f>""</f>
        <v/>
      </c>
      <c r="AB251" t="str">
        <f>""</f>
        <v/>
      </c>
      <c r="AC251" t="str">
        <f>""</f>
        <v/>
      </c>
      <c r="AD251" t="str">
        <f>""</f>
        <v/>
      </c>
      <c r="AE251" t="str">
        <f>""</f>
        <v/>
      </c>
      <c r="AF251" t="str">
        <f>""</f>
        <v/>
      </c>
      <c r="AG251" t="str">
        <f>"S"</f>
        <v>S</v>
      </c>
      <c r="AH251" t="str">
        <f>""</f>
        <v/>
      </c>
      <c r="AI251" t="str">
        <f>""</f>
        <v/>
      </c>
      <c r="AJ251" t="str">
        <f>""</f>
        <v/>
      </c>
      <c r="AK251" t="str">
        <f>""</f>
        <v/>
      </c>
      <c r="AL251" t="str">
        <f>""</f>
        <v/>
      </c>
      <c r="AM251" t="str">
        <f>""</f>
        <v/>
      </c>
      <c r="AN251" t="str">
        <f>""</f>
        <v/>
      </c>
      <c r="AO251" t="str">
        <f>""</f>
        <v/>
      </c>
      <c r="AP251" t="str">
        <f>""</f>
        <v/>
      </c>
      <c r="AQ251" t="str">
        <f>"N"</f>
        <v>N</v>
      </c>
      <c r="AR251" t="str">
        <f>"N"</f>
        <v>N</v>
      </c>
      <c r="AS251" t="str">
        <f>"N"</f>
        <v>N</v>
      </c>
      <c r="AT251" t="str">
        <f>"N"</f>
        <v>N</v>
      </c>
      <c r="AU251" t="str">
        <f>"N"</f>
        <v>N</v>
      </c>
      <c r="AV251" t="str">
        <f>""</f>
        <v/>
      </c>
      <c r="AW251" t="str">
        <f>""</f>
        <v/>
      </c>
      <c r="AX251" t="str">
        <f>""</f>
        <v/>
      </c>
      <c r="AY251" t="str">
        <f>""</f>
        <v/>
      </c>
      <c r="AZ251" t="str">
        <f>""</f>
        <v/>
      </c>
      <c r="BA251" t="str">
        <f>""</f>
        <v/>
      </c>
      <c r="BB251" t="str">
        <f>"01/07/2021 13:53:04"</f>
        <v>01/07/2021 13:53:04</v>
      </c>
      <c r="BC251" t="str">
        <f>"29/12/2021 09:05:43"</f>
        <v>29/12/2021 09:05:43</v>
      </c>
      <c r="BD251" t="str">
        <f>""</f>
        <v/>
      </c>
      <c r="BE251" t="str">
        <f>""</f>
        <v/>
      </c>
      <c r="BF251" t="str">
        <f t="shared" si="101"/>
        <v>A</v>
      </c>
      <c r="BG251" t="str">
        <f>""</f>
        <v/>
      </c>
      <c r="BH251" t="str">
        <f>"0,00"</f>
        <v>0,00</v>
      </c>
      <c r="BI251" t="str">
        <f t="shared" si="117"/>
        <v>EVENTUAL</v>
      </c>
      <c r="BJ251" t="str">
        <f t="shared" si="102"/>
        <v>1</v>
      </c>
      <c r="BK251" t="str">
        <f t="shared" si="103"/>
        <v>Farmacia</v>
      </c>
      <c r="BL251" t="str">
        <f>""</f>
        <v/>
      </c>
      <c r="BM251" t="str">
        <f>"NÃO É VARILUX ESPECIALISTA"</f>
        <v>NÃO É VARILUX ESPECIALISTA</v>
      </c>
      <c r="BN251" t="str">
        <f>"NA"</f>
        <v>NA</v>
      </c>
      <c r="BO251" t="str">
        <f>"FOCO VARILUX"</f>
        <v>FOCO VARILUX</v>
      </c>
      <c r="BP251" t="str">
        <f>""</f>
        <v/>
      </c>
      <c r="BQ251" t="str">
        <f>""</f>
        <v/>
      </c>
      <c r="BR251" t="str">
        <f>"01/07/2021"</f>
        <v>01/07/2021</v>
      </c>
      <c r="BS251" t="str">
        <f>"29/12/2021"</f>
        <v>29/12/2021</v>
      </c>
      <c r="BT251" t="str">
        <f>""</f>
        <v/>
      </c>
      <c r="BU251" t="str">
        <f>""</f>
        <v/>
      </c>
      <c r="BV251" t="str">
        <f>""</f>
        <v/>
      </c>
      <c r="BW251" t="str">
        <f>"77"</f>
        <v>77</v>
      </c>
    </row>
    <row r="252" spans="1:75" x14ac:dyDescent="0.35">
      <c r="A252">
        <v>144840</v>
      </c>
      <c r="B252" t="str">
        <f t="shared" si="95"/>
        <v>A</v>
      </c>
      <c r="C252" t="str">
        <f t="shared" si="96"/>
        <v>80</v>
      </c>
      <c r="D252" t="str">
        <f t="shared" si="97"/>
        <v>11121001</v>
      </c>
      <c r="E252" t="str">
        <f t="shared" si="98"/>
        <v>121001</v>
      </c>
      <c r="F252" t="str">
        <f t="shared" si="99"/>
        <v>JENIFER SANTOS</v>
      </c>
      <c r="G252" t="str">
        <f>"10981759000156"</f>
        <v>10981759000156</v>
      </c>
      <c r="H252" t="str">
        <f>""</f>
        <v/>
      </c>
      <c r="I252" t="str">
        <f t="shared" si="100"/>
        <v>CONTA OPTICA</v>
      </c>
      <c r="J252" t="str">
        <f>"NOVA OTICA EVERSSON ARAQUARI LTDA"</f>
        <v>NOVA OTICA EVERSSON ARAQUARI LTDA</v>
      </c>
      <c r="K252" t="str">
        <f>"OTICA EVERSSON (4401)"</f>
        <v>OTICA EVERSSON (4401)</v>
      </c>
      <c r="L252" t="str">
        <f>""</f>
        <v/>
      </c>
      <c r="M252" t="str">
        <f>""</f>
        <v/>
      </c>
      <c r="N252" t="str">
        <f>"eversonalbano@yahoo.com.br"</f>
        <v>eversonalbano@yahoo.com.br</v>
      </c>
      <c r="O252" t="str">
        <f>""</f>
        <v/>
      </c>
      <c r="P252" t="str">
        <f>"RODOVIA BR 280"</f>
        <v>RODOVIA BR 280</v>
      </c>
      <c r="Q252" t="str">
        <f>"7399"</f>
        <v>7399</v>
      </c>
      <c r="R252" t="str">
        <f>"LOJA HIPERMAIS"</f>
        <v>LOJA HIPERMAIS</v>
      </c>
      <c r="S252" t="str">
        <f>"1280"</f>
        <v>1280</v>
      </c>
      <c r="T252" t="str">
        <f>"89245000"</f>
        <v>89245000</v>
      </c>
      <c r="U252" t="str">
        <f>"ITINGA"</f>
        <v>ITINGA</v>
      </c>
      <c r="V252" t="str">
        <f>"ARAQUARI"</f>
        <v>ARAQUARI</v>
      </c>
      <c r="W252" t="str">
        <f t="shared" si="129"/>
        <v>SC</v>
      </c>
      <c r="X252" t="str">
        <f>"47"</f>
        <v>47</v>
      </c>
      <c r="Y252" t="str">
        <f>"30256592"</f>
        <v>30256592</v>
      </c>
      <c r="Z252" t="str">
        <f>""</f>
        <v/>
      </c>
      <c r="AA252" t="str">
        <f>""</f>
        <v/>
      </c>
      <c r="AB252" t="str">
        <f>""</f>
        <v/>
      </c>
      <c r="AC252" t="str">
        <f>""</f>
        <v/>
      </c>
      <c r="AD252" t="str">
        <f>""</f>
        <v/>
      </c>
      <c r="AE252" t="str">
        <f>""</f>
        <v/>
      </c>
      <c r="AF252" t="str">
        <f>""</f>
        <v/>
      </c>
      <c r="AG252" t="str">
        <f>""</f>
        <v/>
      </c>
      <c r="AH252" t="str">
        <f>""</f>
        <v/>
      </c>
      <c r="AI252" t="str">
        <f>""</f>
        <v/>
      </c>
      <c r="AJ252" t="str">
        <f>"0"</f>
        <v>0</v>
      </c>
      <c r="AK252" t="str">
        <f>"0"</f>
        <v>0</v>
      </c>
      <c r="AL252" t="str">
        <f>"0"</f>
        <v>0</v>
      </c>
      <c r="AM252" t="str">
        <f>""</f>
        <v/>
      </c>
      <c r="AN252" t="str">
        <f>""</f>
        <v/>
      </c>
      <c r="AO252" t="str">
        <f>""</f>
        <v/>
      </c>
      <c r="AP252" t="str">
        <f>""</f>
        <v/>
      </c>
      <c r="AQ252" t="str">
        <f>""</f>
        <v/>
      </c>
      <c r="AR252" t="str">
        <f>""</f>
        <v/>
      </c>
      <c r="AS252" t="str">
        <f>""</f>
        <v/>
      </c>
      <c r="AT252" t="str">
        <f>""</f>
        <v/>
      </c>
      <c r="AU252" t="str">
        <f>""</f>
        <v/>
      </c>
      <c r="AV252" t="str">
        <f>""</f>
        <v/>
      </c>
      <c r="AW252" t="str">
        <f>""</f>
        <v/>
      </c>
      <c r="AX252" t="str">
        <f>""</f>
        <v/>
      </c>
      <c r="AY252" t="str">
        <f>""</f>
        <v/>
      </c>
      <c r="AZ252" t="str">
        <f>""</f>
        <v/>
      </c>
      <c r="BA252" t="str">
        <f>""</f>
        <v/>
      </c>
      <c r="BB252" t="str">
        <f>""</f>
        <v/>
      </c>
      <c r="BC252" t="str">
        <f>""</f>
        <v/>
      </c>
      <c r="BD252" t="str">
        <f>""</f>
        <v/>
      </c>
      <c r="BE252" t="str">
        <f>""</f>
        <v/>
      </c>
      <c r="BF252" t="str">
        <f t="shared" si="101"/>
        <v>A</v>
      </c>
      <c r="BG252" t="str">
        <f>"0,00"</f>
        <v>0,00</v>
      </c>
      <c r="BH252" t="str">
        <f>"0,00"</f>
        <v>0,00</v>
      </c>
      <c r="BI252" t="str">
        <f t="shared" si="117"/>
        <v>EVENTUAL</v>
      </c>
      <c r="BJ252" t="str">
        <f t="shared" si="102"/>
        <v>1</v>
      </c>
      <c r="BK252" t="str">
        <f t="shared" si="103"/>
        <v>Farmacia</v>
      </c>
      <c r="BL252" t="str">
        <f>""</f>
        <v/>
      </c>
      <c r="BM252" t="str">
        <f>""</f>
        <v/>
      </c>
      <c r="BN252" t="str">
        <f>""</f>
        <v/>
      </c>
      <c r="BO252" t="str">
        <f>"OUTROS"</f>
        <v>OUTROS</v>
      </c>
      <c r="BP252" t="str">
        <f>""</f>
        <v/>
      </c>
      <c r="BQ252" t="str">
        <f>""</f>
        <v/>
      </c>
      <c r="BR252" t="str">
        <f>""</f>
        <v/>
      </c>
      <c r="BS252" t="str">
        <f>""</f>
        <v/>
      </c>
      <c r="BT252" t="str">
        <f>""</f>
        <v/>
      </c>
      <c r="BU252" t="str">
        <f>""</f>
        <v/>
      </c>
      <c r="BV252" t="str">
        <f>""</f>
        <v/>
      </c>
      <c r="BW252" t="str">
        <f>"100"</f>
        <v>100</v>
      </c>
    </row>
    <row r="253" spans="1:75" x14ac:dyDescent="0.35">
      <c r="A253">
        <v>156788</v>
      </c>
      <c r="B253" t="str">
        <f t="shared" si="95"/>
        <v>A</v>
      </c>
      <c r="C253" t="str">
        <f t="shared" si="96"/>
        <v>80</v>
      </c>
      <c r="D253" t="str">
        <f t="shared" si="97"/>
        <v>11121001</v>
      </c>
      <c r="E253" t="str">
        <f t="shared" si="98"/>
        <v>121001</v>
      </c>
      <c r="F253" t="str">
        <f t="shared" si="99"/>
        <v>JENIFER SANTOS</v>
      </c>
      <c r="G253" t="str">
        <f>"10940327000105"</f>
        <v>10940327000105</v>
      </c>
      <c r="H253" t="str">
        <f>"0"</f>
        <v>0</v>
      </c>
      <c r="I253" t="str">
        <f t="shared" si="100"/>
        <v>CONTA OPTICA</v>
      </c>
      <c r="J253" t="str">
        <f>"NOVA OTICA EVERSSON DO VILA NOVA LTDA"</f>
        <v>NOVA OTICA EVERSSON DO VILA NOVA LTDA</v>
      </c>
      <c r="K253" t="str">
        <f>"OTICA EVERSON (1710)"</f>
        <v>OTICA EVERSON (1710)</v>
      </c>
      <c r="L253" t="str">
        <f>""</f>
        <v/>
      </c>
      <c r="M253" t="str">
        <f>""</f>
        <v/>
      </c>
      <c r="N253" t="str">
        <f>"oticaeverson@gmail.com"</f>
        <v>oticaeverson@gmail.com</v>
      </c>
      <c r="O253" t="str">
        <f>""</f>
        <v/>
      </c>
      <c r="P253" t="str">
        <f>"RUA QUINZE DE NOVEMBRO"</f>
        <v>RUA QUINZE DE NOVEMBRO</v>
      </c>
      <c r="Q253" t="str">
        <f>"7350"</f>
        <v>7350</v>
      </c>
      <c r="R253" t="str">
        <f>""</f>
        <v/>
      </c>
      <c r="S253" t="str">
        <f>""</f>
        <v/>
      </c>
      <c r="T253" t="str">
        <f>"89237448"</f>
        <v>89237448</v>
      </c>
      <c r="U253" t="str">
        <f>"VILA NOVA"</f>
        <v>VILA NOVA</v>
      </c>
      <c r="V253" t="str">
        <f>"JOINVILLE"</f>
        <v>JOINVILLE</v>
      </c>
      <c r="W253" t="str">
        <f t="shared" si="129"/>
        <v>SC</v>
      </c>
      <c r="X253" t="str">
        <f>"47"</f>
        <v>47</v>
      </c>
      <c r="Y253" t="str">
        <f>"30287401"</f>
        <v>30287401</v>
      </c>
      <c r="Z253" t="str">
        <f>""</f>
        <v/>
      </c>
      <c r="AA253" t="str">
        <f>""</f>
        <v/>
      </c>
      <c r="AB253" t="str">
        <f>""</f>
        <v/>
      </c>
      <c r="AC253" t="str">
        <f>""</f>
        <v/>
      </c>
      <c r="AD253" t="str">
        <f>""</f>
        <v/>
      </c>
      <c r="AE253" t="str">
        <f>""</f>
        <v/>
      </c>
      <c r="AF253" t="str">
        <f>""</f>
        <v/>
      </c>
      <c r="AG253" t="str">
        <f>""</f>
        <v/>
      </c>
      <c r="AH253" t="str">
        <f>""</f>
        <v/>
      </c>
      <c r="AI253" t="str">
        <f>""</f>
        <v/>
      </c>
      <c r="AJ253" t="str">
        <f>""</f>
        <v/>
      </c>
      <c r="AK253" t="str">
        <f>""</f>
        <v/>
      </c>
      <c r="AL253" t="str">
        <f>""</f>
        <v/>
      </c>
      <c r="AM253" t="str">
        <f>""</f>
        <v/>
      </c>
      <c r="AN253" t="str">
        <f>""</f>
        <v/>
      </c>
      <c r="AO253" t="str">
        <f>""</f>
        <v/>
      </c>
      <c r="AP253" t="str">
        <f>""</f>
        <v/>
      </c>
      <c r="AQ253" t="str">
        <f>""</f>
        <v/>
      </c>
      <c r="AR253" t="str">
        <f>""</f>
        <v/>
      </c>
      <c r="AS253" t="str">
        <f>""</f>
        <v/>
      </c>
      <c r="AT253" t="str">
        <f>""</f>
        <v/>
      </c>
      <c r="AU253" t="str">
        <f>""</f>
        <v/>
      </c>
      <c r="AV253" t="str">
        <f>""</f>
        <v/>
      </c>
      <c r="AW253" t="str">
        <f>""</f>
        <v/>
      </c>
      <c r="AX253" t="str">
        <f>""</f>
        <v/>
      </c>
      <c r="AY253" t="str">
        <f>""</f>
        <v/>
      </c>
      <c r="AZ253" t="str">
        <f>""</f>
        <v/>
      </c>
      <c r="BA253" t="str">
        <f>""</f>
        <v/>
      </c>
      <c r="BB253" t="str">
        <f>"06/07/2023 12:07:48"</f>
        <v>06/07/2023 12:07:48</v>
      </c>
      <c r="BC253" t="str">
        <f>""</f>
        <v/>
      </c>
      <c r="BD253" t="str">
        <f>""</f>
        <v/>
      </c>
      <c r="BE253" t="str">
        <f>""</f>
        <v/>
      </c>
      <c r="BF253" t="str">
        <f t="shared" si="101"/>
        <v>A</v>
      </c>
      <c r="BG253" t="str">
        <f>""</f>
        <v/>
      </c>
      <c r="BH253" t="str">
        <f>""</f>
        <v/>
      </c>
      <c r="BI253" t="str">
        <f t="shared" si="117"/>
        <v>EVENTUAL</v>
      </c>
      <c r="BJ253" t="str">
        <f t="shared" si="102"/>
        <v>1</v>
      </c>
      <c r="BK253" t="str">
        <f t="shared" si="103"/>
        <v>Farmacia</v>
      </c>
      <c r="BL253" t="str">
        <f>""</f>
        <v/>
      </c>
      <c r="BM253" t="str">
        <f>""</f>
        <v/>
      </c>
      <c r="BN253" t="str">
        <f>""</f>
        <v/>
      </c>
      <c r="BO253" t="str">
        <f>""</f>
        <v/>
      </c>
      <c r="BP253" t="str">
        <f>""</f>
        <v/>
      </c>
      <c r="BQ253" t="str">
        <f>""</f>
        <v/>
      </c>
      <c r="BR253" t="str">
        <f>"06/07/2023"</f>
        <v>06/07/2023</v>
      </c>
      <c r="BS253" t="str">
        <f>""</f>
        <v/>
      </c>
      <c r="BT253" t="str">
        <f>""</f>
        <v/>
      </c>
      <c r="BU253" t="str">
        <f>""</f>
        <v/>
      </c>
      <c r="BV253" t="str">
        <f>""</f>
        <v/>
      </c>
      <c r="BW253" t="str">
        <f>"100"</f>
        <v>100</v>
      </c>
    </row>
    <row r="254" spans="1:75" x14ac:dyDescent="0.35">
      <c r="A254">
        <v>800</v>
      </c>
      <c r="B254" t="str">
        <f t="shared" si="95"/>
        <v>A</v>
      </c>
      <c r="C254" t="str">
        <f t="shared" si="96"/>
        <v>80</v>
      </c>
      <c r="D254" t="str">
        <f t="shared" si="97"/>
        <v>11121001</v>
      </c>
      <c r="E254" t="str">
        <f t="shared" si="98"/>
        <v>121001</v>
      </c>
      <c r="F254" t="str">
        <f t="shared" si="99"/>
        <v>JENIFER SANTOS</v>
      </c>
      <c r="G254" t="str">
        <f>"02553052000110"</f>
        <v>02553052000110</v>
      </c>
      <c r="H254" t="str">
        <f>""</f>
        <v/>
      </c>
      <c r="I254" t="str">
        <f t="shared" si="100"/>
        <v>CONTA OPTICA</v>
      </c>
      <c r="J254" t="str">
        <f>"NOVA OTTICA  LTDA ME"</f>
        <v>NOVA OTTICA  LTDA ME</v>
      </c>
      <c r="K254" t="str">
        <f>"OTTICA NICKE (2249)"</f>
        <v>OTTICA NICKE (2249)</v>
      </c>
      <c r="L254" t="str">
        <f>""</f>
        <v/>
      </c>
      <c r="M254" t="str">
        <f>""</f>
        <v/>
      </c>
      <c r="N254" t="str">
        <f>"ottica.nicke@gmail.com"</f>
        <v>ottica.nicke@gmail.com</v>
      </c>
      <c r="O254" t="str">
        <f>""</f>
        <v/>
      </c>
      <c r="P254" t="str">
        <f>"RUA ABDON BATISTA"</f>
        <v>RUA ABDON BATISTA</v>
      </c>
      <c r="Q254" t="str">
        <f>"134"</f>
        <v>134</v>
      </c>
      <c r="R254" t="str">
        <f>"SALA 2"</f>
        <v>SALA 2</v>
      </c>
      <c r="S254" t="str">
        <f>"1277"</f>
        <v>1277</v>
      </c>
      <c r="T254" t="str">
        <f>"89201010"</f>
        <v>89201010</v>
      </c>
      <c r="U254" t="str">
        <f>"CENTRO"</f>
        <v>CENTRO</v>
      </c>
      <c r="V254" t="str">
        <f>"JOINVILLE"</f>
        <v>JOINVILLE</v>
      </c>
      <c r="W254" t="str">
        <f t="shared" si="129"/>
        <v>SC</v>
      </c>
      <c r="X254" t="str">
        <f>"47"</f>
        <v>47</v>
      </c>
      <c r="Y254" t="str">
        <f>"34553455"</f>
        <v>34553455</v>
      </c>
      <c r="Z254" t="str">
        <f>""</f>
        <v/>
      </c>
      <c r="AA254" t="str">
        <f>""</f>
        <v/>
      </c>
      <c r="AB254" t="str">
        <f>""</f>
        <v/>
      </c>
      <c r="AC254" t="str">
        <f>""</f>
        <v/>
      </c>
      <c r="AD254" t="str">
        <f>""</f>
        <v/>
      </c>
      <c r="AE254" t="str">
        <f>""</f>
        <v/>
      </c>
      <c r="AF254" t="str">
        <f>""</f>
        <v/>
      </c>
      <c r="AG254" t="str">
        <f>""</f>
        <v/>
      </c>
      <c r="AH254" t="str">
        <f>""</f>
        <v/>
      </c>
      <c r="AI254" t="str">
        <f>""</f>
        <v/>
      </c>
      <c r="AJ254" t="str">
        <f>"0"</f>
        <v>0</v>
      </c>
      <c r="AK254" t="str">
        <f>"0"</f>
        <v>0</v>
      </c>
      <c r="AL254" t="str">
        <f>"0"</f>
        <v>0</v>
      </c>
      <c r="AM254" t="str">
        <f>""</f>
        <v/>
      </c>
      <c r="AN254" t="str">
        <f>""</f>
        <v/>
      </c>
      <c r="AO254" t="str">
        <f>""</f>
        <v/>
      </c>
      <c r="AP254" t="str">
        <f>""</f>
        <v/>
      </c>
      <c r="AQ254" t="str">
        <f>""</f>
        <v/>
      </c>
      <c r="AR254" t="str">
        <f>""</f>
        <v/>
      </c>
      <c r="AS254" t="str">
        <f>""</f>
        <v/>
      </c>
      <c r="AT254" t="str">
        <f>""</f>
        <v/>
      </c>
      <c r="AU254" t="str">
        <f>""</f>
        <v/>
      </c>
      <c r="AV254" t="str">
        <f>""</f>
        <v/>
      </c>
      <c r="AW254" t="str">
        <f>""</f>
        <v/>
      </c>
      <c r="AX254" t="str">
        <f>""</f>
        <v/>
      </c>
      <c r="AY254" t="str">
        <f>""</f>
        <v/>
      </c>
      <c r="AZ254" t="str">
        <f>""</f>
        <v/>
      </c>
      <c r="BA254" t="str">
        <f>""</f>
        <v/>
      </c>
      <c r="BB254" t="str">
        <f>"27/07/2018 09:25:51"</f>
        <v>27/07/2018 09:25:51</v>
      </c>
      <c r="BC254" t="str">
        <f>""</f>
        <v/>
      </c>
      <c r="BD254" t="str">
        <f>""</f>
        <v/>
      </c>
      <c r="BE254" t="str">
        <f>"800"</f>
        <v>800</v>
      </c>
      <c r="BF254" t="str">
        <f t="shared" si="101"/>
        <v>A</v>
      </c>
      <c r="BG254" t="str">
        <f>"0,00"</f>
        <v>0,00</v>
      </c>
      <c r="BH254" t="str">
        <f>"0,00"</f>
        <v>0,00</v>
      </c>
      <c r="BI254" t="str">
        <f t="shared" si="117"/>
        <v>EVENTUAL</v>
      </c>
      <c r="BJ254" t="str">
        <f t="shared" si="102"/>
        <v>1</v>
      </c>
      <c r="BK254" t="str">
        <f t="shared" si="103"/>
        <v>Farmacia</v>
      </c>
      <c r="BL254" t="str">
        <f>""</f>
        <v/>
      </c>
      <c r="BM254" t="str">
        <f>"NÃO É VARILUX ESPECIALISTA"</f>
        <v>NÃO É VARILUX ESPECIALISTA</v>
      </c>
      <c r="BN254" t="str">
        <f>"NA"</f>
        <v>NA</v>
      </c>
      <c r="BO254" t="str">
        <f>"FOCO VARILUX DIGITAL"</f>
        <v>FOCO VARILUX DIGITAL</v>
      </c>
      <c r="BP254" t="str">
        <f>""</f>
        <v/>
      </c>
      <c r="BQ254" t="str">
        <f>""</f>
        <v/>
      </c>
      <c r="BR254" t="str">
        <f>"27/07/2018"</f>
        <v>27/07/2018</v>
      </c>
      <c r="BS254" t="str">
        <f>""</f>
        <v/>
      </c>
      <c r="BT254" t="str">
        <f>""</f>
        <v/>
      </c>
      <c r="BU254" t="str">
        <f>""</f>
        <v/>
      </c>
      <c r="BV254" t="str">
        <f>"5"</f>
        <v>5</v>
      </c>
      <c r="BW254" t="str">
        <f>"Não visitado"</f>
        <v>Não visitado</v>
      </c>
    </row>
    <row r="255" spans="1:75" x14ac:dyDescent="0.35">
      <c r="A255">
        <v>157569</v>
      </c>
      <c r="B255" t="str">
        <f t="shared" si="95"/>
        <v>A</v>
      </c>
      <c r="C255" t="str">
        <f t="shared" si="96"/>
        <v>80</v>
      </c>
      <c r="D255" t="str">
        <f t="shared" si="97"/>
        <v>11121001</v>
      </c>
      <c r="E255" t="str">
        <f t="shared" si="98"/>
        <v>121001</v>
      </c>
      <c r="F255" t="str">
        <f t="shared" si="99"/>
        <v>JENIFER SANTOS</v>
      </c>
      <c r="G255" t="str">
        <f>"05322356000165"</f>
        <v>05322356000165</v>
      </c>
      <c r="H255" t="str">
        <f>"0"</f>
        <v>0</v>
      </c>
      <c r="I255" t="str">
        <f t="shared" si="100"/>
        <v>CONTA OPTICA</v>
      </c>
      <c r="J255" t="str">
        <f>"NOVOCALL EDITORA E EVENTOS LTDA"</f>
        <v>NOVOCALL EDITORA E EVENTOS LTDA</v>
      </c>
      <c r="K255" t="str">
        <f>"GOLF &amp; LAZER (4169)"</f>
        <v>GOLF &amp; LAZER (4169)</v>
      </c>
      <c r="L255" t="str">
        <f>""</f>
        <v/>
      </c>
      <c r="M255" t="str">
        <f>""</f>
        <v/>
      </c>
      <c r="N255" t="str">
        <f>"FABIO@GOLFELAZER.COM.BR"</f>
        <v>FABIO@GOLFELAZER.COM.BR</v>
      </c>
      <c r="O255" t="str">
        <f>""</f>
        <v/>
      </c>
      <c r="P255" t="str">
        <f>"RUA DOUTOR JOAO COLIN"</f>
        <v>RUA DOUTOR JOAO COLIN</v>
      </c>
      <c r="Q255" t="str">
        <f>"1285"</f>
        <v>1285</v>
      </c>
      <c r="R255" t="str">
        <f>"SALA SUECIA"</f>
        <v>SALA SUECIA</v>
      </c>
      <c r="S255" t="str">
        <f>""</f>
        <v/>
      </c>
      <c r="T255" t="str">
        <f>"89204001"</f>
        <v>89204001</v>
      </c>
      <c r="U255" t="str">
        <f>"AMAERICA"</f>
        <v>AMAERICA</v>
      </c>
      <c r="V255" t="str">
        <f>"JOINVILLE"</f>
        <v>JOINVILLE</v>
      </c>
      <c r="W255" t="str">
        <f t="shared" si="129"/>
        <v>SC</v>
      </c>
      <c r="X255" t="str">
        <f>"47"</f>
        <v>47</v>
      </c>
      <c r="Y255" t="str">
        <f>"992597484"</f>
        <v>992597484</v>
      </c>
      <c r="Z255" t="str">
        <f>""</f>
        <v/>
      </c>
      <c r="AA255" t="str">
        <f>""</f>
        <v/>
      </c>
      <c r="AB255" t="str">
        <f>""</f>
        <v/>
      </c>
      <c r="AC255" t="str">
        <f>""</f>
        <v/>
      </c>
      <c r="AD255" t="str">
        <f>""</f>
        <v/>
      </c>
      <c r="AE255" t="str">
        <f>""</f>
        <v/>
      </c>
      <c r="AF255" t="str">
        <f>""</f>
        <v/>
      </c>
      <c r="AG255" t="str">
        <f>""</f>
        <v/>
      </c>
      <c r="AH255" t="str">
        <f>""</f>
        <v/>
      </c>
      <c r="AI255" t="str">
        <f>""</f>
        <v/>
      </c>
      <c r="AJ255" t="str">
        <f>""</f>
        <v/>
      </c>
      <c r="AK255" t="str">
        <f>""</f>
        <v/>
      </c>
      <c r="AL255" t="str">
        <f>""</f>
        <v/>
      </c>
      <c r="AM255" t="str">
        <f>""</f>
        <v/>
      </c>
      <c r="AN255" t="str">
        <f>""</f>
        <v/>
      </c>
      <c r="AO255" t="str">
        <f>""</f>
        <v/>
      </c>
      <c r="AP255" t="str">
        <f>""</f>
        <v/>
      </c>
      <c r="AQ255" t="str">
        <f>""</f>
        <v/>
      </c>
      <c r="AR255" t="str">
        <f>""</f>
        <v/>
      </c>
      <c r="AS255" t="str">
        <f>""</f>
        <v/>
      </c>
      <c r="AT255" t="str">
        <f>""</f>
        <v/>
      </c>
      <c r="AU255" t="str">
        <f>""</f>
        <v/>
      </c>
      <c r="AV255" t="str">
        <f>""</f>
        <v/>
      </c>
      <c r="AW255" t="str">
        <f>""</f>
        <v/>
      </c>
      <c r="AX255" t="str">
        <f>""</f>
        <v/>
      </c>
      <c r="AY255" t="str">
        <f>""</f>
        <v/>
      </c>
      <c r="AZ255" t="str">
        <f>""</f>
        <v/>
      </c>
      <c r="BA255" t="str">
        <f>""</f>
        <v/>
      </c>
      <c r="BB255" t="str">
        <f>"11/07/2023 02:14:29"</f>
        <v>11/07/2023 02:14:29</v>
      </c>
      <c r="BC255" t="str">
        <f>""</f>
        <v/>
      </c>
      <c r="BD255" t="str">
        <f>""</f>
        <v/>
      </c>
      <c r="BE255" t="str">
        <f>""</f>
        <v/>
      </c>
      <c r="BF255" t="str">
        <f t="shared" si="101"/>
        <v>A</v>
      </c>
      <c r="BG255" t="str">
        <f>""</f>
        <v/>
      </c>
      <c r="BH255" t="str">
        <f>""</f>
        <v/>
      </c>
      <c r="BI255" t="str">
        <f t="shared" si="117"/>
        <v>EVENTUAL</v>
      </c>
      <c r="BJ255" t="str">
        <f t="shared" si="102"/>
        <v>1</v>
      </c>
      <c r="BK255" t="str">
        <f t="shared" si="103"/>
        <v>Farmacia</v>
      </c>
      <c r="BL255" t="str">
        <f>""</f>
        <v/>
      </c>
      <c r="BM255" t="str">
        <f>""</f>
        <v/>
      </c>
      <c r="BN255" t="str">
        <f>""</f>
        <v/>
      </c>
      <c r="BO255" t="str">
        <f>""</f>
        <v/>
      </c>
      <c r="BP255" t="str">
        <f>""</f>
        <v/>
      </c>
      <c r="BQ255" t="str">
        <f>""</f>
        <v/>
      </c>
      <c r="BR255" t="str">
        <f>"11/07/2023"</f>
        <v>11/07/2023</v>
      </c>
      <c r="BS255" t="str">
        <f>""</f>
        <v/>
      </c>
      <c r="BT255" t="str">
        <f>""</f>
        <v/>
      </c>
      <c r="BU255" t="str">
        <f>""</f>
        <v/>
      </c>
      <c r="BV255" t="str">
        <f>""</f>
        <v/>
      </c>
      <c r="BW255" t="str">
        <f>"Não visitado"</f>
        <v>Não visitado</v>
      </c>
    </row>
    <row r="256" spans="1:75" x14ac:dyDescent="0.35">
      <c r="A256">
        <v>144463</v>
      </c>
      <c r="B256" t="str">
        <f t="shared" si="95"/>
        <v>A</v>
      </c>
      <c r="C256" t="str">
        <f t="shared" si="96"/>
        <v>80</v>
      </c>
      <c r="D256" t="str">
        <f t="shared" si="97"/>
        <v>11121001</v>
      </c>
      <c r="E256" t="str">
        <f t="shared" si="98"/>
        <v>121001</v>
      </c>
      <c r="F256" t="str">
        <f t="shared" si="99"/>
        <v>JENIFER SANTOS</v>
      </c>
      <c r="G256" t="str">
        <f>"80740962000116"</f>
        <v>80740962000116</v>
      </c>
      <c r="H256" t="str">
        <f>""</f>
        <v/>
      </c>
      <c r="I256" t="str">
        <f t="shared" si="100"/>
        <v>CONTA OPTICA</v>
      </c>
      <c r="J256" t="str">
        <f>"O.R.O. ORG. RODRIGUES DE OTICAS LTDA"</f>
        <v>O.R.O. ORG. RODRIGUES DE OTICAS LTDA</v>
      </c>
      <c r="K256" t="str">
        <f>"OTICA GLOBO (248)"</f>
        <v>OTICA GLOBO (248)</v>
      </c>
      <c r="L256" t="str">
        <f>""</f>
        <v/>
      </c>
      <c r="M256" t="str">
        <f>""</f>
        <v/>
      </c>
      <c r="N256" t="str">
        <f>"otica_globo@hotmail.com"</f>
        <v>otica_globo@hotmail.com</v>
      </c>
      <c r="O256" t="str">
        <f>""</f>
        <v/>
      </c>
      <c r="P256" t="str">
        <f>"RUA DO PRINCIPE"</f>
        <v>RUA DO PRINCIPE</v>
      </c>
      <c r="Q256" t="str">
        <f>"345"</f>
        <v>345</v>
      </c>
      <c r="R256" t="str">
        <f>""</f>
        <v/>
      </c>
      <c r="S256" t="str">
        <f>"1277"</f>
        <v>1277</v>
      </c>
      <c r="T256" t="str">
        <f>"89201000"</f>
        <v>89201000</v>
      </c>
      <c r="U256" t="str">
        <f>"CENTRO"</f>
        <v>CENTRO</v>
      </c>
      <c r="V256" t="str">
        <f>"JOINVILLE"</f>
        <v>JOINVILLE</v>
      </c>
      <c r="W256" t="str">
        <f t="shared" si="129"/>
        <v>SC</v>
      </c>
      <c r="X256" t="str">
        <f>"47"</f>
        <v>47</v>
      </c>
      <c r="Y256" t="str">
        <f>"30286568"</f>
        <v>30286568</v>
      </c>
      <c r="Z256" t="str">
        <f>""</f>
        <v/>
      </c>
      <c r="AA256" t="str">
        <f>""</f>
        <v/>
      </c>
      <c r="AB256" t="str">
        <f>""</f>
        <v/>
      </c>
      <c r="AC256" t="str">
        <f>""</f>
        <v/>
      </c>
      <c r="AD256" t="str">
        <f>""</f>
        <v/>
      </c>
      <c r="AE256" t="str">
        <f>""</f>
        <v/>
      </c>
      <c r="AF256" t="str">
        <f>""</f>
        <v/>
      </c>
      <c r="AG256" t="str">
        <f>""</f>
        <v/>
      </c>
      <c r="AH256" t="str">
        <f>""</f>
        <v/>
      </c>
      <c r="AI256" t="str">
        <f>""</f>
        <v/>
      </c>
      <c r="AJ256" t="str">
        <f>"0"</f>
        <v>0</v>
      </c>
      <c r="AK256" t="str">
        <f>"0"</f>
        <v>0</v>
      </c>
      <c r="AL256" t="str">
        <f>"0"</f>
        <v>0</v>
      </c>
      <c r="AM256" t="str">
        <f>""</f>
        <v/>
      </c>
      <c r="AN256" t="str">
        <f>""</f>
        <v/>
      </c>
      <c r="AO256" t="str">
        <f>""</f>
        <v/>
      </c>
      <c r="AP256" t="str">
        <f>""</f>
        <v/>
      </c>
      <c r="AQ256" t="str">
        <f>""</f>
        <v/>
      </c>
      <c r="AR256" t="str">
        <f>""</f>
        <v/>
      </c>
      <c r="AS256" t="str">
        <f>""</f>
        <v/>
      </c>
      <c r="AT256" t="str">
        <f>""</f>
        <v/>
      </c>
      <c r="AU256" t="str">
        <f>""</f>
        <v/>
      </c>
      <c r="AV256" t="str">
        <f>""</f>
        <v/>
      </c>
      <c r="AW256" t="str">
        <f>""</f>
        <v/>
      </c>
      <c r="AX256" t="str">
        <f>""</f>
        <v/>
      </c>
      <c r="AY256" t="str">
        <f>""</f>
        <v/>
      </c>
      <c r="AZ256" t="str">
        <f>""</f>
        <v/>
      </c>
      <c r="BA256" t="str">
        <f>""</f>
        <v/>
      </c>
      <c r="BB256" t="str">
        <f>""</f>
        <v/>
      </c>
      <c r="BC256" t="str">
        <f>""</f>
        <v/>
      </c>
      <c r="BD256" t="str">
        <f>""</f>
        <v/>
      </c>
      <c r="BE256" t="str">
        <f>""</f>
        <v/>
      </c>
      <c r="BF256" t="str">
        <f t="shared" si="101"/>
        <v>A</v>
      </c>
      <c r="BG256" t="str">
        <f>"0,00"</f>
        <v>0,00</v>
      </c>
      <c r="BH256" t="str">
        <f>"0,00"</f>
        <v>0,00</v>
      </c>
      <c r="BI256" t="str">
        <f t="shared" si="117"/>
        <v>EVENTUAL</v>
      </c>
      <c r="BJ256" t="str">
        <f t="shared" si="102"/>
        <v>1</v>
      </c>
      <c r="BK256" t="str">
        <f t="shared" si="103"/>
        <v>Farmacia</v>
      </c>
      <c r="BL256" t="str">
        <f>""</f>
        <v/>
      </c>
      <c r="BM256" t="str">
        <f>"CREDENCIADO VARILUX"</f>
        <v>CREDENCIADO VARILUX</v>
      </c>
      <c r="BN256" t="str">
        <f>"NA"</f>
        <v>NA</v>
      </c>
      <c r="BO256" t="str">
        <f>"FOCO VARILUX DIGITAL"</f>
        <v>FOCO VARILUX DIGITAL</v>
      </c>
      <c r="BP256" t="str">
        <f>""</f>
        <v/>
      </c>
      <c r="BQ256" t="str">
        <f>""</f>
        <v/>
      </c>
      <c r="BR256" t="str">
        <f>""</f>
        <v/>
      </c>
      <c r="BS256" t="str">
        <f>""</f>
        <v/>
      </c>
      <c r="BT256" t="str">
        <f>""</f>
        <v/>
      </c>
      <c r="BU256" t="str">
        <f>""</f>
        <v/>
      </c>
      <c r="BV256" t="str">
        <f>"1"</f>
        <v>1</v>
      </c>
      <c r="BW256" t="str">
        <f>"Não visitado"</f>
        <v>Não visitado</v>
      </c>
    </row>
    <row r="257" spans="1:75" x14ac:dyDescent="0.35">
      <c r="A257">
        <v>143865</v>
      </c>
      <c r="B257" t="str">
        <f t="shared" si="95"/>
        <v>A</v>
      </c>
      <c r="C257" t="str">
        <f t="shared" si="96"/>
        <v>80</v>
      </c>
      <c r="D257" t="str">
        <f t="shared" si="97"/>
        <v>11121001</v>
      </c>
      <c r="E257" t="str">
        <f t="shared" si="98"/>
        <v>121001</v>
      </c>
      <c r="F257" t="str">
        <f t="shared" si="99"/>
        <v>JENIFER SANTOS</v>
      </c>
      <c r="G257" t="str">
        <f>"43792667000187"</f>
        <v>43792667000187</v>
      </c>
      <c r="H257" t="str">
        <f t="shared" ref="H257:H266" si="130">"0"</f>
        <v>0</v>
      </c>
      <c r="I257" t="str">
        <f t="shared" si="100"/>
        <v>CONTA OPTICA</v>
      </c>
      <c r="J257" t="str">
        <f>"OPTICA ALBERTI LTDA"</f>
        <v>OPTICA ALBERTI LTDA</v>
      </c>
      <c r="K257" t="str">
        <f>"MERCADAO DOS OCULOS (4414)"</f>
        <v>MERCADAO DOS OCULOS (4414)</v>
      </c>
      <c r="L257" t="str">
        <f>""</f>
        <v/>
      </c>
      <c r="M257" t="str">
        <f>""</f>
        <v/>
      </c>
      <c r="N257" t="str">
        <f>"sc-seara@mercadaodosoculos.com.br"</f>
        <v>sc-seara@mercadaodosoculos.com.br</v>
      </c>
      <c r="O257" t="str">
        <f>""</f>
        <v/>
      </c>
      <c r="P257" t="str">
        <f>"RUA SETIMO CASAROTTO"</f>
        <v>RUA SETIMO CASAROTTO</v>
      </c>
      <c r="Q257" t="str">
        <f>"239"</f>
        <v>239</v>
      </c>
      <c r="R257" t="str">
        <f>"SALA 02"</f>
        <v>SALA 02</v>
      </c>
      <c r="S257" t="str">
        <f>"1286"</f>
        <v>1286</v>
      </c>
      <c r="T257" t="str">
        <f>"89770000"</f>
        <v>89770000</v>
      </c>
      <c r="U257" t="str">
        <f>"CENTRO"</f>
        <v>CENTRO</v>
      </c>
      <c r="V257" t="str">
        <f>"SEARA"</f>
        <v>SEARA</v>
      </c>
      <c r="W257" t="str">
        <f t="shared" si="129"/>
        <v>SC</v>
      </c>
      <c r="X257" t="str">
        <f>"49"</f>
        <v>49</v>
      </c>
      <c r="Y257" t="str">
        <f>"35205035"</f>
        <v>35205035</v>
      </c>
      <c r="Z257" t="str">
        <f>""</f>
        <v/>
      </c>
      <c r="AA257" t="str">
        <f>""</f>
        <v/>
      </c>
      <c r="AB257" t="str">
        <f>""</f>
        <v/>
      </c>
      <c r="AC257" t="str">
        <f>""</f>
        <v/>
      </c>
      <c r="AD257" t="str">
        <f>""</f>
        <v/>
      </c>
      <c r="AE257" t="str">
        <f>""</f>
        <v/>
      </c>
      <c r="AF257" t="str">
        <f>""</f>
        <v/>
      </c>
      <c r="AG257" t="str">
        <f>"S"</f>
        <v>S</v>
      </c>
      <c r="AH257" t="str">
        <f>""</f>
        <v/>
      </c>
      <c r="AI257" t="str">
        <f>""</f>
        <v/>
      </c>
      <c r="AJ257" t="str">
        <f>""</f>
        <v/>
      </c>
      <c r="AK257" t="str">
        <f>""</f>
        <v/>
      </c>
      <c r="AL257" t="str">
        <f>""</f>
        <v/>
      </c>
      <c r="AM257" t="str">
        <f>""</f>
        <v/>
      </c>
      <c r="AN257" t="str">
        <f>""</f>
        <v/>
      </c>
      <c r="AO257" t="str">
        <f>""</f>
        <v/>
      </c>
      <c r="AP257" t="str">
        <f>""</f>
        <v/>
      </c>
      <c r="AQ257" t="str">
        <f>"N"</f>
        <v>N</v>
      </c>
      <c r="AR257" t="str">
        <f>"N"</f>
        <v>N</v>
      </c>
      <c r="AS257" t="str">
        <f>"N"</f>
        <v>N</v>
      </c>
      <c r="AT257" t="str">
        <f>"N"</f>
        <v>N</v>
      </c>
      <c r="AU257" t="str">
        <f>"N"</f>
        <v>N</v>
      </c>
      <c r="AV257" t="str">
        <f>""</f>
        <v/>
      </c>
      <c r="AW257" t="str">
        <f>""</f>
        <v/>
      </c>
      <c r="AX257" t="str">
        <f>""</f>
        <v/>
      </c>
      <c r="AY257" t="str">
        <f>""</f>
        <v/>
      </c>
      <c r="AZ257" t="str">
        <f>""</f>
        <v/>
      </c>
      <c r="BA257" t="str">
        <f>""</f>
        <v/>
      </c>
      <c r="BB257" t="str">
        <f>"12/11/2021 13:54:22"</f>
        <v>12/11/2021 13:54:22</v>
      </c>
      <c r="BC257" t="str">
        <f>"06/04/2022 11:09:45"</f>
        <v>06/04/2022 11:09:45</v>
      </c>
      <c r="BD257" t="str">
        <f>""</f>
        <v/>
      </c>
      <c r="BE257" t="str">
        <f>""</f>
        <v/>
      </c>
      <c r="BF257" t="str">
        <f t="shared" si="101"/>
        <v>A</v>
      </c>
      <c r="BG257" t="str">
        <f>""</f>
        <v/>
      </c>
      <c r="BH257" t="str">
        <f>"0,00"</f>
        <v>0,00</v>
      </c>
      <c r="BI257" t="str">
        <f t="shared" si="117"/>
        <v>EVENTUAL</v>
      </c>
      <c r="BJ257" t="str">
        <f t="shared" si="102"/>
        <v>1</v>
      </c>
      <c r="BK257" t="str">
        <f t="shared" si="103"/>
        <v>Farmacia</v>
      </c>
      <c r="BL257" t="str">
        <f>""</f>
        <v/>
      </c>
      <c r="BM257" t="str">
        <f>""</f>
        <v/>
      </c>
      <c r="BN257" t="str">
        <f>""</f>
        <v/>
      </c>
      <c r="BO257" t="str">
        <f>"OUTROS"</f>
        <v>OUTROS</v>
      </c>
      <c r="BP257" t="str">
        <f>""</f>
        <v/>
      </c>
      <c r="BQ257" t="str">
        <f>""</f>
        <v/>
      </c>
      <c r="BR257" t="str">
        <f>"12/11/2021"</f>
        <v>12/11/2021</v>
      </c>
      <c r="BS257" t="str">
        <f>"06/04/2022"</f>
        <v>06/04/2022</v>
      </c>
      <c r="BT257" t="str">
        <f>""</f>
        <v/>
      </c>
      <c r="BU257" t="str">
        <f>""</f>
        <v/>
      </c>
      <c r="BV257" t="str">
        <f>""</f>
        <v/>
      </c>
      <c r="BW257" t="str">
        <f>"59"</f>
        <v>59</v>
      </c>
    </row>
    <row r="258" spans="1:75" x14ac:dyDescent="0.35">
      <c r="A258">
        <v>157560</v>
      </c>
      <c r="B258" t="str">
        <f t="shared" ref="B258:B321" si="131">"A"</f>
        <v>A</v>
      </c>
      <c r="C258" t="str">
        <f t="shared" ref="C258:C321" si="132">"80"</f>
        <v>80</v>
      </c>
      <c r="D258" t="str">
        <f t="shared" ref="D258:D321" si="133">"11121001"</f>
        <v>11121001</v>
      </c>
      <c r="E258" t="str">
        <f t="shared" ref="E258:E321" si="134">"121001"</f>
        <v>121001</v>
      </c>
      <c r="F258" t="str">
        <f t="shared" ref="F258:F321" si="135">"JENIFER SANTOS"</f>
        <v>JENIFER SANTOS</v>
      </c>
      <c r="G258" t="str">
        <f>"92024603000141"</f>
        <v>92024603000141</v>
      </c>
      <c r="H258" t="str">
        <f t="shared" si="130"/>
        <v>0</v>
      </c>
      <c r="I258" t="str">
        <f t="shared" ref="I258:I321" si="136">"CONTA OPTICA"</f>
        <v>CONTA OPTICA</v>
      </c>
      <c r="J258" t="str">
        <f>"OPTICA BRASIL LTDA"</f>
        <v>OPTICA BRASIL LTDA</v>
      </c>
      <c r="K258" t="str">
        <f>"OPTICA BRASIL LTDA (255)"</f>
        <v>OPTICA BRASIL LTDA (255)</v>
      </c>
      <c r="L258" t="str">
        <f>""</f>
        <v/>
      </c>
      <c r="M258" t="str">
        <f>""</f>
        <v/>
      </c>
      <c r="N258" t="str">
        <f>"GUSTAVO@BRASOPTICA.COM.BR"</f>
        <v>GUSTAVO@BRASOPTICA.COM.BR</v>
      </c>
      <c r="O258" t="str">
        <f>""</f>
        <v/>
      </c>
      <c r="P258" t="str">
        <f>"GENERAL NETTO"</f>
        <v>GENERAL NETTO</v>
      </c>
      <c r="Q258" t="str">
        <f>"442"</f>
        <v>442</v>
      </c>
      <c r="R258" t="str">
        <f>""</f>
        <v/>
      </c>
      <c r="S258" t="str">
        <f>"1383"</f>
        <v>1383</v>
      </c>
      <c r="T258" t="str">
        <f>"99010023"</f>
        <v>99010023</v>
      </c>
      <c r="U258" t="str">
        <f>"CENTRO"</f>
        <v>CENTRO</v>
      </c>
      <c r="V258" t="str">
        <f>"PASSO FUNDO"</f>
        <v>PASSO FUNDO</v>
      </c>
      <c r="W258" t="str">
        <f>"RS"</f>
        <v>RS</v>
      </c>
      <c r="X258" t="str">
        <f>"54"</f>
        <v>54</v>
      </c>
      <c r="Y258" t="str">
        <f>"30455259"</f>
        <v>30455259</v>
      </c>
      <c r="Z258" t="str">
        <f>""</f>
        <v/>
      </c>
      <c r="AA258" t="str">
        <f>""</f>
        <v/>
      </c>
      <c r="AB258" t="str">
        <f>""</f>
        <v/>
      </c>
      <c r="AC258" t="str">
        <f>""</f>
        <v/>
      </c>
      <c r="AD258" t="str">
        <f>""</f>
        <v/>
      </c>
      <c r="AE258" t="str">
        <f>""</f>
        <v/>
      </c>
      <c r="AF258" t="str">
        <f>""</f>
        <v/>
      </c>
      <c r="AG258" t="str">
        <f>""</f>
        <v/>
      </c>
      <c r="AH258" t="str">
        <f>""</f>
        <v/>
      </c>
      <c r="AI258" t="str">
        <f>""</f>
        <v/>
      </c>
      <c r="AJ258" t="str">
        <f>""</f>
        <v/>
      </c>
      <c r="AK258" t="str">
        <f>""</f>
        <v/>
      </c>
      <c r="AL258" t="str">
        <f>""</f>
        <v/>
      </c>
      <c r="AM258" t="str">
        <f>""</f>
        <v/>
      </c>
      <c r="AN258" t="str">
        <f>""</f>
        <v/>
      </c>
      <c r="AO258" t="str">
        <f>""</f>
        <v/>
      </c>
      <c r="AP258" t="str">
        <f>""</f>
        <v/>
      </c>
      <c r="AQ258" t="str">
        <f>""</f>
        <v/>
      </c>
      <c r="AR258" t="str">
        <f>""</f>
        <v/>
      </c>
      <c r="AS258" t="str">
        <f>""</f>
        <v/>
      </c>
      <c r="AT258" t="str">
        <f>""</f>
        <v/>
      </c>
      <c r="AU258" t="str">
        <f>""</f>
        <v/>
      </c>
      <c r="AV258" t="str">
        <f>""</f>
        <v/>
      </c>
      <c r="AW258" t="str">
        <f>""</f>
        <v/>
      </c>
      <c r="AX258" t="str">
        <f>""</f>
        <v/>
      </c>
      <c r="AY258" t="str">
        <f>""</f>
        <v/>
      </c>
      <c r="AZ258" t="str">
        <f>""</f>
        <v/>
      </c>
      <c r="BA258" t="str">
        <f>""</f>
        <v/>
      </c>
      <c r="BB258" t="str">
        <f>"11/07/2023 02:14:29"</f>
        <v>11/07/2023 02:14:29</v>
      </c>
      <c r="BC258" t="str">
        <f>""</f>
        <v/>
      </c>
      <c r="BD258" t="str">
        <f>""</f>
        <v/>
      </c>
      <c r="BE258" t="str">
        <f>""</f>
        <v/>
      </c>
      <c r="BF258" t="str">
        <f t="shared" ref="BF258:BF321" si="137">"A"</f>
        <v>A</v>
      </c>
      <c r="BG258" t="str">
        <f>""</f>
        <v/>
      </c>
      <c r="BH258" t="str">
        <f>""</f>
        <v/>
      </c>
      <c r="BI258" t="str">
        <f t="shared" si="117"/>
        <v>EVENTUAL</v>
      </c>
      <c r="BJ258" t="str">
        <f t="shared" ref="BJ258:BJ321" si="138">"1"</f>
        <v>1</v>
      </c>
      <c r="BK258" t="str">
        <f t="shared" ref="BK258:BK321" si="139">"Farmacia"</f>
        <v>Farmacia</v>
      </c>
      <c r="BL258" t="str">
        <f>""</f>
        <v/>
      </c>
      <c r="BM258" t="str">
        <f>""</f>
        <v/>
      </c>
      <c r="BN258" t="str">
        <f>""</f>
        <v/>
      </c>
      <c r="BO258" t="str">
        <f>""</f>
        <v/>
      </c>
      <c r="BP258" t="str">
        <f>""</f>
        <v/>
      </c>
      <c r="BQ258" t="str">
        <f>""</f>
        <v/>
      </c>
      <c r="BR258" t="str">
        <f>"11/07/2023"</f>
        <v>11/07/2023</v>
      </c>
      <c r="BS258" t="str">
        <f>""</f>
        <v/>
      </c>
      <c r="BT258" t="str">
        <f>""</f>
        <v/>
      </c>
      <c r="BU258" t="str">
        <f>""</f>
        <v/>
      </c>
      <c r="BV258" t="str">
        <f>""</f>
        <v/>
      </c>
      <c r="BW258" t="str">
        <f t="shared" ref="BW258:BW263" si="140">"Não visitado"</f>
        <v>Não visitado</v>
      </c>
    </row>
    <row r="259" spans="1:75" x14ac:dyDescent="0.35">
      <c r="A259">
        <v>157521</v>
      </c>
      <c r="B259" t="str">
        <f t="shared" si="131"/>
        <v>A</v>
      </c>
      <c r="C259" t="str">
        <f t="shared" si="132"/>
        <v>80</v>
      </c>
      <c r="D259" t="str">
        <f t="shared" si="133"/>
        <v>11121001</v>
      </c>
      <c r="E259" t="str">
        <f t="shared" si="134"/>
        <v>121001</v>
      </c>
      <c r="F259" t="str">
        <f t="shared" si="135"/>
        <v>JENIFER SANTOS</v>
      </c>
      <c r="G259" t="str">
        <f>"92024603001466"</f>
        <v>92024603001466</v>
      </c>
      <c r="H259" t="str">
        <f t="shared" si="130"/>
        <v>0</v>
      </c>
      <c r="I259" t="str">
        <f t="shared" si="136"/>
        <v>CONTA OPTICA</v>
      </c>
      <c r="J259" t="str">
        <f>"OPTICA BRASIL LTDA"</f>
        <v>OPTICA BRASIL LTDA</v>
      </c>
      <c r="K259" t="str">
        <f>"BRASOPTICA LOJA 18 (4234)"</f>
        <v>BRASOPTICA LOJA 18 (4234)</v>
      </c>
      <c r="L259" t="str">
        <f>""</f>
        <v/>
      </c>
      <c r="M259" t="str">
        <f>""</f>
        <v/>
      </c>
      <c r="N259" t="str">
        <f>"LABORATORIO@BRASOPTICA.COM.BR"</f>
        <v>LABORATORIO@BRASOPTICA.COM.BR</v>
      </c>
      <c r="O259" t="str">
        <f>""</f>
        <v/>
      </c>
      <c r="P259" t="str">
        <f>"BRASIL"</f>
        <v>BRASIL</v>
      </c>
      <c r="Q259" t="str">
        <f>"100"</f>
        <v>100</v>
      </c>
      <c r="R259" t="str">
        <f>"SALA TERREA 15"</f>
        <v>SALA TERREA 15</v>
      </c>
      <c r="S259" t="str">
        <f>""</f>
        <v/>
      </c>
      <c r="T259" t="str">
        <f>"99010001"</f>
        <v>99010001</v>
      </c>
      <c r="U259" t="str">
        <f>"CENTRO"</f>
        <v>CENTRO</v>
      </c>
      <c r="V259" t="str">
        <f>"PASSO FUNDO"</f>
        <v>PASSO FUNDO</v>
      </c>
      <c r="W259" t="str">
        <f>"RS"</f>
        <v>RS</v>
      </c>
      <c r="X259" t="str">
        <f>"54"</f>
        <v>54</v>
      </c>
      <c r="Y259" t="str">
        <f>"30455259"</f>
        <v>30455259</v>
      </c>
      <c r="Z259" t="str">
        <f>""</f>
        <v/>
      </c>
      <c r="AA259" t="str">
        <f>""</f>
        <v/>
      </c>
      <c r="AB259" t="str">
        <f>""</f>
        <v/>
      </c>
      <c r="AC259" t="str">
        <f>""</f>
        <v/>
      </c>
      <c r="AD259" t="str">
        <f>""</f>
        <v/>
      </c>
      <c r="AE259" t="str">
        <f>""</f>
        <v/>
      </c>
      <c r="AF259" t="str">
        <f>""</f>
        <v/>
      </c>
      <c r="AG259" t="str">
        <f>""</f>
        <v/>
      </c>
      <c r="AH259" t="str">
        <f>""</f>
        <v/>
      </c>
      <c r="AI259" t="str">
        <f>""</f>
        <v/>
      </c>
      <c r="AJ259" t="str">
        <f>""</f>
        <v/>
      </c>
      <c r="AK259" t="str">
        <f>""</f>
        <v/>
      </c>
      <c r="AL259" t="str">
        <f>""</f>
        <v/>
      </c>
      <c r="AM259" t="str">
        <f>""</f>
        <v/>
      </c>
      <c r="AN259" t="str">
        <f>""</f>
        <v/>
      </c>
      <c r="AO259" t="str">
        <f>""</f>
        <v/>
      </c>
      <c r="AP259" t="str">
        <f>""</f>
        <v/>
      </c>
      <c r="AQ259" t="str">
        <f>""</f>
        <v/>
      </c>
      <c r="AR259" t="str">
        <f>""</f>
        <v/>
      </c>
      <c r="AS259" t="str">
        <f>""</f>
        <v/>
      </c>
      <c r="AT259" t="str">
        <f>""</f>
        <v/>
      </c>
      <c r="AU259" t="str">
        <f>""</f>
        <v/>
      </c>
      <c r="AV259" t="str">
        <f>""</f>
        <v/>
      </c>
      <c r="AW259" t="str">
        <f>""</f>
        <v/>
      </c>
      <c r="AX259" t="str">
        <f>""</f>
        <v/>
      </c>
      <c r="AY259" t="str">
        <f>""</f>
        <v/>
      </c>
      <c r="AZ259" t="str">
        <f>""</f>
        <v/>
      </c>
      <c r="BA259" t="str">
        <f>""</f>
        <v/>
      </c>
      <c r="BB259" t="str">
        <f>"11/07/2023 02:14:29"</f>
        <v>11/07/2023 02:14:29</v>
      </c>
      <c r="BC259" t="str">
        <f>""</f>
        <v/>
      </c>
      <c r="BD259" t="str">
        <f>""</f>
        <v/>
      </c>
      <c r="BE259" t="str">
        <f>""</f>
        <v/>
      </c>
      <c r="BF259" t="str">
        <f t="shared" si="137"/>
        <v>A</v>
      </c>
      <c r="BG259" t="str">
        <f>""</f>
        <v/>
      </c>
      <c r="BH259" t="str">
        <f>""</f>
        <v/>
      </c>
      <c r="BI259" t="str">
        <f t="shared" si="117"/>
        <v>EVENTUAL</v>
      </c>
      <c r="BJ259" t="str">
        <f t="shared" si="138"/>
        <v>1</v>
      </c>
      <c r="BK259" t="str">
        <f t="shared" si="139"/>
        <v>Farmacia</v>
      </c>
      <c r="BL259" t="str">
        <f>""</f>
        <v/>
      </c>
      <c r="BM259" t="str">
        <f>""</f>
        <v/>
      </c>
      <c r="BN259" t="str">
        <f>""</f>
        <v/>
      </c>
      <c r="BO259" t="str">
        <f>""</f>
        <v/>
      </c>
      <c r="BP259" t="str">
        <f>""</f>
        <v/>
      </c>
      <c r="BQ259" t="str">
        <f>""</f>
        <v/>
      </c>
      <c r="BR259" t="str">
        <f>"11/07/2023"</f>
        <v>11/07/2023</v>
      </c>
      <c r="BS259" t="str">
        <f>""</f>
        <v/>
      </c>
      <c r="BT259" t="str">
        <f>""</f>
        <v/>
      </c>
      <c r="BU259" t="str">
        <f>""</f>
        <v/>
      </c>
      <c r="BV259" t="str">
        <f>""</f>
        <v/>
      </c>
      <c r="BW259" t="str">
        <f t="shared" si="140"/>
        <v>Não visitado</v>
      </c>
    </row>
    <row r="260" spans="1:75" x14ac:dyDescent="0.35">
      <c r="A260">
        <v>157522</v>
      </c>
      <c r="B260" t="str">
        <f t="shared" si="131"/>
        <v>A</v>
      </c>
      <c r="C260" t="str">
        <f t="shared" si="132"/>
        <v>80</v>
      </c>
      <c r="D260" t="str">
        <f t="shared" si="133"/>
        <v>11121001</v>
      </c>
      <c r="E260" t="str">
        <f t="shared" si="134"/>
        <v>121001</v>
      </c>
      <c r="F260" t="str">
        <f t="shared" si="135"/>
        <v>JENIFER SANTOS</v>
      </c>
      <c r="G260" t="str">
        <f>"92024603001385"</f>
        <v>92024603001385</v>
      </c>
      <c r="H260" t="str">
        <f t="shared" si="130"/>
        <v>0</v>
      </c>
      <c r="I260" t="str">
        <f t="shared" si="136"/>
        <v>CONTA OPTICA</v>
      </c>
      <c r="J260" t="str">
        <f>"OPTICA BRASIL LTDA"</f>
        <v>OPTICA BRASIL LTDA</v>
      </c>
      <c r="K260" t="str">
        <f>"BRASOPTICA (4185)"</f>
        <v>BRASOPTICA (4185)</v>
      </c>
      <c r="L260" t="str">
        <f>""</f>
        <v/>
      </c>
      <c r="M260" t="str">
        <f>""</f>
        <v/>
      </c>
      <c r="N260" t="str">
        <f>"CONTROLE@BRASOPTICA.COM.BR"</f>
        <v>CONTROLE@BRASOPTICA.COM.BR</v>
      </c>
      <c r="O260" t="str">
        <f>""</f>
        <v/>
      </c>
      <c r="P260" t="str">
        <f>"RUA PRESIDENTES VARGAS"</f>
        <v>RUA PRESIDENTES VARGAS</v>
      </c>
      <c r="Q260" t="str">
        <f>"1610"</f>
        <v>1610</v>
      </c>
      <c r="R260" t="str">
        <f>"LOJA 2033"</f>
        <v>LOJA 2033</v>
      </c>
      <c r="S260" t="str">
        <f>"1383"</f>
        <v>1383</v>
      </c>
      <c r="T260" t="str">
        <f>"99070000"</f>
        <v>99070000</v>
      </c>
      <c r="U260" t="str">
        <f>"SAO CRISTOVAO"</f>
        <v>SAO CRISTOVAO</v>
      </c>
      <c r="V260" t="str">
        <f>"PASSO FUNDO"</f>
        <v>PASSO FUNDO</v>
      </c>
      <c r="W260" t="str">
        <f>"RS"</f>
        <v>RS</v>
      </c>
      <c r="X260" t="str">
        <f>"54"</f>
        <v>54</v>
      </c>
      <c r="Y260" t="str">
        <f>"30455777"</f>
        <v>30455777</v>
      </c>
      <c r="Z260" t="str">
        <f>""</f>
        <v/>
      </c>
      <c r="AA260" t="str">
        <f>""</f>
        <v/>
      </c>
      <c r="AB260" t="str">
        <f>""</f>
        <v/>
      </c>
      <c r="AC260" t="str">
        <f>""</f>
        <v/>
      </c>
      <c r="AD260" t="str">
        <f>""</f>
        <v/>
      </c>
      <c r="AE260" t="str">
        <f>""</f>
        <v/>
      </c>
      <c r="AF260" t="str">
        <f>""</f>
        <v/>
      </c>
      <c r="AG260" t="str">
        <f>""</f>
        <v/>
      </c>
      <c r="AH260" t="str">
        <f>""</f>
        <v/>
      </c>
      <c r="AI260" t="str">
        <f>""</f>
        <v/>
      </c>
      <c r="AJ260" t="str">
        <f>""</f>
        <v/>
      </c>
      <c r="AK260" t="str">
        <f>""</f>
        <v/>
      </c>
      <c r="AL260" t="str">
        <f>""</f>
        <v/>
      </c>
      <c r="AM260" t="str">
        <f>""</f>
        <v/>
      </c>
      <c r="AN260" t="str">
        <f>""</f>
        <v/>
      </c>
      <c r="AO260" t="str">
        <f>""</f>
        <v/>
      </c>
      <c r="AP260" t="str">
        <f>""</f>
        <v/>
      </c>
      <c r="AQ260" t="str">
        <f>""</f>
        <v/>
      </c>
      <c r="AR260" t="str">
        <f>""</f>
        <v/>
      </c>
      <c r="AS260" t="str">
        <f>""</f>
        <v/>
      </c>
      <c r="AT260" t="str">
        <f>""</f>
        <v/>
      </c>
      <c r="AU260" t="str">
        <f>""</f>
        <v/>
      </c>
      <c r="AV260" t="str">
        <f>""</f>
        <v/>
      </c>
      <c r="AW260" t="str">
        <f>""</f>
        <v/>
      </c>
      <c r="AX260" t="str">
        <f>""</f>
        <v/>
      </c>
      <c r="AY260" t="str">
        <f>""</f>
        <v/>
      </c>
      <c r="AZ260" t="str">
        <f>""</f>
        <v/>
      </c>
      <c r="BA260" t="str">
        <f>""</f>
        <v/>
      </c>
      <c r="BB260" t="str">
        <f>"11/07/2023 02:14:29"</f>
        <v>11/07/2023 02:14:29</v>
      </c>
      <c r="BC260" t="str">
        <f>""</f>
        <v/>
      </c>
      <c r="BD260" t="str">
        <f>""</f>
        <v/>
      </c>
      <c r="BE260" t="str">
        <f>""</f>
        <v/>
      </c>
      <c r="BF260" t="str">
        <f t="shared" si="137"/>
        <v>A</v>
      </c>
      <c r="BG260" t="str">
        <f>""</f>
        <v/>
      </c>
      <c r="BH260" t="str">
        <f>""</f>
        <v/>
      </c>
      <c r="BI260" t="str">
        <f t="shared" si="117"/>
        <v>EVENTUAL</v>
      </c>
      <c r="BJ260" t="str">
        <f t="shared" si="138"/>
        <v>1</v>
      </c>
      <c r="BK260" t="str">
        <f t="shared" si="139"/>
        <v>Farmacia</v>
      </c>
      <c r="BL260" t="str">
        <f>""</f>
        <v/>
      </c>
      <c r="BM260" t="str">
        <f>""</f>
        <v/>
      </c>
      <c r="BN260" t="str">
        <f>""</f>
        <v/>
      </c>
      <c r="BO260" t="str">
        <f>""</f>
        <v/>
      </c>
      <c r="BP260" t="str">
        <f>""</f>
        <v/>
      </c>
      <c r="BQ260" t="str">
        <f>""</f>
        <v/>
      </c>
      <c r="BR260" t="str">
        <f>"11/07/2023"</f>
        <v>11/07/2023</v>
      </c>
      <c r="BS260" t="str">
        <f>""</f>
        <v/>
      </c>
      <c r="BT260" t="str">
        <f>""</f>
        <v/>
      </c>
      <c r="BU260" t="str">
        <f>""</f>
        <v/>
      </c>
      <c r="BV260" t="str">
        <f>""</f>
        <v/>
      </c>
      <c r="BW260" t="str">
        <f t="shared" si="140"/>
        <v>Não visitado</v>
      </c>
    </row>
    <row r="261" spans="1:75" x14ac:dyDescent="0.35">
      <c r="A261">
        <v>157525</v>
      </c>
      <c r="B261" t="str">
        <f t="shared" si="131"/>
        <v>A</v>
      </c>
      <c r="C261" t="str">
        <f t="shared" si="132"/>
        <v>80</v>
      </c>
      <c r="D261" t="str">
        <f t="shared" si="133"/>
        <v>11121001</v>
      </c>
      <c r="E261" t="str">
        <f t="shared" si="134"/>
        <v>121001</v>
      </c>
      <c r="F261" t="str">
        <f t="shared" si="135"/>
        <v>JENIFER SANTOS</v>
      </c>
      <c r="G261" t="str">
        <f>"92024603001202"</f>
        <v>92024603001202</v>
      </c>
      <c r="H261" t="str">
        <f t="shared" si="130"/>
        <v>0</v>
      </c>
      <c r="I261" t="str">
        <f t="shared" si="136"/>
        <v>CONTA OPTICA</v>
      </c>
      <c r="J261" t="str">
        <f>"OPTICA BRASIL LTDA"</f>
        <v>OPTICA BRASIL LTDA</v>
      </c>
      <c r="K261" t="str">
        <f>"OPTICA BRASIL (4037)"</f>
        <v>OPTICA BRASIL (4037)</v>
      </c>
      <c r="L261" t="str">
        <f>""</f>
        <v/>
      </c>
      <c r="M261" t="str">
        <f>""</f>
        <v/>
      </c>
      <c r="N261" t="str">
        <f>"BRASOPTICALAB@HOTMAIL.COM"</f>
        <v>BRASOPTICALAB@HOTMAIL.COM</v>
      </c>
      <c r="O261" t="str">
        <f>""</f>
        <v/>
      </c>
      <c r="P261" t="str">
        <f>"FLORES DA CUNHA"</f>
        <v>FLORES DA CUNHA</v>
      </c>
      <c r="Q261" t="str">
        <f>"1767"</f>
        <v>1767</v>
      </c>
      <c r="R261" t="str">
        <f>""</f>
        <v/>
      </c>
      <c r="S261" t="str">
        <f>"1387"</f>
        <v>1387</v>
      </c>
      <c r="T261" t="str">
        <f>"99500000"</f>
        <v>99500000</v>
      </c>
      <c r="U261" t="str">
        <f>"CENTRO"</f>
        <v>CENTRO</v>
      </c>
      <c r="V261" t="str">
        <f>"CARAZINHO"</f>
        <v>CARAZINHO</v>
      </c>
      <c r="W261" t="str">
        <f>"RS"</f>
        <v>RS</v>
      </c>
      <c r="X261" t="str">
        <f>"54"</f>
        <v>54</v>
      </c>
      <c r="Y261" t="str">
        <f>"30455259"</f>
        <v>30455259</v>
      </c>
      <c r="Z261" t="str">
        <f>""</f>
        <v/>
      </c>
      <c r="AA261" t="str">
        <f>""</f>
        <v/>
      </c>
      <c r="AB261" t="str">
        <f>""</f>
        <v/>
      </c>
      <c r="AC261" t="str">
        <f>""</f>
        <v/>
      </c>
      <c r="AD261" t="str">
        <f>""</f>
        <v/>
      </c>
      <c r="AE261" t="str">
        <f>""</f>
        <v/>
      </c>
      <c r="AF261" t="str">
        <f>""</f>
        <v/>
      </c>
      <c r="AG261" t="str">
        <f>""</f>
        <v/>
      </c>
      <c r="AH261" t="str">
        <f>""</f>
        <v/>
      </c>
      <c r="AI261" t="str">
        <f>""</f>
        <v/>
      </c>
      <c r="AJ261" t="str">
        <f>""</f>
        <v/>
      </c>
      <c r="AK261" t="str">
        <f>""</f>
        <v/>
      </c>
      <c r="AL261" t="str">
        <f>""</f>
        <v/>
      </c>
      <c r="AM261" t="str">
        <f>""</f>
        <v/>
      </c>
      <c r="AN261" t="str">
        <f>""</f>
        <v/>
      </c>
      <c r="AO261" t="str">
        <f>""</f>
        <v/>
      </c>
      <c r="AP261" t="str">
        <f>""</f>
        <v/>
      </c>
      <c r="AQ261" t="str">
        <f>""</f>
        <v/>
      </c>
      <c r="AR261" t="str">
        <f>""</f>
        <v/>
      </c>
      <c r="AS261" t="str">
        <f>""</f>
        <v/>
      </c>
      <c r="AT261" t="str">
        <f>""</f>
        <v/>
      </c>
      <c r="AU261" t="str">
        <f>""</f>
        <v/>
      </c>
      <c r="AV261" t="str">
        <f>""</f>
        <v/>
      </c>
      <c r="AW261" t="str">
        <f>""</f>
        <v/>
      </c>
      <c r="AX261" t="str">
        <f>""</f>
        <v/>
      </c>
      <c r="AY261" t="str">
        <f>""</f>
        <v/>
      </c>
      <c r="AZ261" t="str">
        <f>""</f>
        <v/>
      </c>
      <c r="BA261" t="str">
        <f>""</f>
        <v/>
      </c>
      <c r="BB261" t="str">
        <f>"11/07/2023 02:14:29"</f>
        <v>11/07/2023 02:14:29</v>
      </c>
      <c r="BC261" t="str">
        <f>""</f>
        <v/>
      </c>
      <c r="BD261" t="str">
        <f>""</f>
        <v/>
      </c>
      <c r="BE261" t="str">
        <f>""</f>
        <v/>
      </c>
      <c r="BF261" t="str">
        <f t="shared" si="137"/>
        <v>A</v>
      </c>
      <c r="BG261" t="str">
        <f>""</f>
        <v/>
      </c>
      <c r="BH261" t="str">
        <f>""</f>
        <v/>
      </c>
      <c r="BI261" t="str">
        <f t="shared" si="117"/>
        <v>EVENTUAL</v>
      </c>
      <c r="BJ261" t="str">
        <f t="shared" si="138"/>
        <v>1</v>
      </c>
      <c r="BK261" t="str">
        <f t="shared" si="139"/>
        <v>Farmacia</v>
      </c>
      <c r="BL261" t="str">
        <f>""</f>
        <v/>
      </c>
      <c r="BM261" t="str">
        <f>""</f>
        <v/>
      </c>
      <c r="BN261" t="str">
        <f>""</f>
        <v/>
      </c>
      <c r="BO261" t="str">
        <f>""</f>
        <v/>
      </c>
      <c r="BP261" t="str">
        <f>""</f>
        <v/>
      </c>
      <c r="BQ261" t="str">
        <f>""</f>
        <v/>
      </c>
      <c r="BR261" t="str">
        <f>"11/07/2023"</f>
        <v>11/07/2023</v>
      </c>
      <c r="BS261" t="str">
        <f>""</f>
        <v/>
      </c>
      <c r="BT261" t="str">
        <f>""</f>
        <v/>
      </c>
      <c r="BU261" t="str">
        <f>""</f>
        <v/>
      </c>
      <c r="BV261" t="str">
        <f>""</f>
        <v/>
      </c>
      <c r="BW261" t="str">
        <f t="shared" si="140"/>
        <v>Não visitado</v>
      </c>
    </row>
    <row r="262" spans="1:75" x14ac:dyDescent="0.35">
      <c r="A262">
        <v>156787</v>
      </c>
      <c r="B262" t="str">
        <f t="shared" si="131"/>
        <v>A</v>
      </c>
      <c r="C262" t="str">
        <f t="shared" si="132"/>
        <v>80</v>
      </c>
      <c r="D262" t="str">
        <f t="shared" si="133"/>
        <v>11121001</v>
      </c>
      <c r="E262" t="str">
        <f t="shared" si="134"/>
        <v>121001</v>
      </c>
      <c r="F262" t="str">
        <f t="shared" si="135"/>
        <v>JENIFER SANTOS</v>
      </c>
      <c r="G262" t="str">
        <f>"11691059000190"</f>
        <v>11691059000190</v>
      </c>
      <c r="H262" t="str">
        <f t="shared" si="130"/>
        <v>0</v>
      </c>
      <c r="I262" t="str">
        <f t="shared" si="136"/>
        <v>CONTA OPTICA</v>
      </c>
      <c r="J262" t="str">
        <f>"OPTICA CAMILLA LTDA ME"</f>
        <v>OPTICA CAMILLA LTDA ME</v>
      </c>
      <c r="K262" t="str">
        <f>"OPTICA CAMILLA LTDA ME (1754 (1754)"</f>
        <v>OPTICA CAMILLA LTDA ME (1754 (1754)</v>
      </c>
      <c r="L262" t="str">
        <f>""</f>
        <v/>
      </c>
      <c r="M262" t="str">
        <f>""</f>
        <v/>
      </c>
      <c r="N262" t="str">
        <f>"OTICA.CAMILLA@OUTLOOK.COM"</f>
        <v>OTICA.CAMILLA@OUTLOOK.COM</v>
      </c>
      <c r="O262" t="str">
        <f>""</f>
        <v/>
      </c>
      <c r="P262" t="str">
        <f>"RUA TENENTE ANTONIO JOAO"</f>
        <v>RUA TENENTE ANTONIO JOAO</v>
      </c>
      <c r="Q262" t="str">
        <f>"2355"</f>
        <v>2355</v>
      </c>
      <c r="R262" t="str">
        <f>"SL 02"</f>
        <v>SL 02</v>
      </c>
      <c r="S262" t="str">
        <f>"1279"</f>
        <v>1279</v>
      </c>
      <c r="T262" t="str">
        <f>"89223100"</f>
        <v>89223100</v>
      </c>
      <c r="U262" t="str">
        <f>"BOM RETIRO"</f>
        <v>BOM RETIRO</v>
      </c>
      <c r="V262" t="str">
        <f>"JOINVILLE"</f>
        <v>JOINVILLE</v>
      </c>
      <c r="W262" t="str">
        <f t="shared" ref="W262:W269" si="141">"SC"</f>
        <v>SC</v>
      </c>
      <c r="X262" t="str">
        <f>"47"</f>
        <v>47</v>
      </c>
      <c r="Y262" t="str">
        <f>"34730159"</f>
        <v>34730159</v>
      </c>
      <c r="Z262" t="str">
        <f>""</f>
        <v/>
      </c>
      <c r="AA262" t="str">
        <f>""</f>
        <v/>
      </c>
      <c r="AB262" t="str">
        <f>""</f>
        <v/>
      </c>
      <c r="AC262" t="str">
        <f>""</f>
        <v/>
      </c>
      <c r="AD262" t="str">
        <f>""</f>
        <v/>
      </c>
      <c r="AE262" t="str">
        <f>""</f>
        <v/>
      </c>
      <c r="AF262" t="str">
        <f>""</f>
        <v/>
      </c>
      <c r="AG262" t="str">
        <f>""</f>
        <v/>
      </c>
      <c r="AH262" t="str">
        <f>""</f>
        <v/>
      </c>
      <c r="AI262" t="str">
        <f>""</f>
        <v/>
      </c>
      <c r="AJ262" t="str">
        <f>""</f>
        <v/>
      </c>
      <c r="AK262" t="str">
        <f>""</f>
        <v/>
      </c>
      <c r="AL262" t="str">
        <f>""</f>
        <v/>
      </c>
      <c r="AM262" t="str">
        <f>""</f>
        <v/>
      </c>
      <c r="AN262" t="str">
        <f>""</f>
        <v/>
      </c>
      <c r="AO262" t="str">
        <f>""</f>
        <v/>
      </c>
      <c r="AP262" t="str">
        <f>""</f>
        <v/>
      </c>
      <c r="AQ262" t="str">
        <f>""</f>
        <v/>
      </c>
      <c r="AR262" t="str">
        <f>""</f>
        <v/>
      </c>
      <c r="AS262" t="str">
        <f>""</f>
        <v/>
      </c>
      <c r="AT262" t="str">
        <f>""</f>
        <v/>
      </c>
      <c r="AU262" t="str">
        <f>""</f>
        <v/>
      </c>
      <c r="AV262" t="str">
        <f>""</f>
        <v/>
      </c>
      <c r="AW262" t="str">
        <f>""</f>
        <v/>
      </c>
      <c r="AX262" t="str">
        <f>""</f>
        <v/>
      </c>
      <c r="AY262" t="str">
        <f>""</f>
        <v/>
      </c>
      <c r="AZ262" t="str">
        <f>""</f>
        <v/>
      </c>
      <c r="BA262" t="str">
        <f>""</f>
        <v/>
      </c>
      <c r="BB262" t="str">
        <f>"06/07/2023 12:07:48"</f>
        <v>06/07/2023 12:07:48</v>
      </c>
      <c r="BC262" t="str">
        <f>""</f>
        <v/>
      </c>
      <c r="BD262" t="str">
        <f>""</f>
        <v/>
      </c>
      <c r="BE262" t="str">
        <f>""</f>
        <v/>
      </c>
      <c r="BF262" t="str">
        <f t="shared" si="137"/>
        <v>A</v>
      </c>
      <c r="BG262" t="str">
        <f>""</f>
        <v/>
      </c>
      <c r="BH262" t="str">
        <f>""</f>
        <v/>
      </c>
      <c r="BI262" t="str">
        <f t="shared" si="117"/>
        <v>EVENTUAL</v>
      </c>
      <c r="BJ262" t="str">
        <f t="shared" si="138"/>
        <v>1</v>
      </c>
      <c r="BK262" t="str">
        <f t="shared" si="139"/>
        <v>Farmacia</v>
      </c>
      <c r="BL262" t="str">
        <f>""</f>
        <v/>
      </c>
      <c r="BM262" t="str">
        <f>""</f>
        <v/>
      </c>
      <c r="BN262" t="str">
        <f>""</f>
        <v/>
      </c>
      <c r="BO262" t="str">
        <f>""</f>
        <v/>
      </c>
      <c r="BP262" t="str">
        <f>""</f>
        <v/>
      </c>
      <c r="BQ262" t="str">
        <f>""</f>
        <v/>
      </c>
      <c r="BR262" t="str">
        <f>"06/07/2023"</f>
        <v>06/07/2023</v>
      </c>
      <c r="BS262" t="str">
        <f>""</f>
        <v/>
      </c>
      <c r="BT262" t="str">
        <f>""</f>
        <v/>
      </c>
      <c r="BU262" t="str">
        <f>""</f>
        <v/>
      </c>
      <c r="BV262" t="str">
        <f>""</f>
        <v/>
      </c>
      <c r="BW262" t="str">
        <f t="shared" si="140"/>
        <v>Não visitado</v>
      </c>
    </row>
    <row r="263" spans="1:75" x14ac:dyDescent="0.35">
      <c r="A263">
        <v>157567</v>
      </c>
      <c r="B263" t="str">
        <f t="shared" si="131"/>
        <v>A</v>
      </c>
      <c r="C263" t="str">
        <f t="shared" si="132"/>
        <v>80</v>
      </c>
      <c r="D263" t="str">
        <f t="shared" si="133"/>
        <v>11121001</v>
      </c>
      <c r="E263" t="str">
        <f t="shared" si="134"/>
        <v>121001</v>
      </c>
      <c r="F263" t="str">
        <f t="shared" si="135"/>
        <v>JENIFER SANTOS</v>
      </c>
      <c r="G263" t="str">
        <f>"33064831000186"</f>
        <v>33064831000186</v>
      </c>
      <c r="H263" t="str">
        <f t="shared" si="130"/>
        <v>0</v>
      </c>
      <c r="I263" t="str">
        <f t="shared" si="136"/>
        <v>CONTA OPTICA</v>
      </c>
      <c r="J263" t="str">
        <f>"OPTICA D CRISTAL LTDA"</f>
        <v>OPTICA D CRISTAL LTDA</v>
      </c>
      <c r="K263" t="str">
        <f>"OPTICA D CRISTAL (4342)"</f>
        <v>OPTICA D CRISTAL (4342)</v>
      </c>
      <c r="L263" t="str">
        <f>""</f>
        <v/>
      </c>
      <c r="M263" t="str">
        <f>""</f>
        <v/>
      </c>
      <c r="N263" t="str">
        <f>"CONTATO@OTICASDCRISTAL.COM.BR"</f>
        <v>CONTATO@OTICASDCRISTAL.COM.BR</v>
      </c>
      <c r="O263" t="str">
        <f>""</f>
        <v/>
      </c>
      <c r="P263" t="str">
        <f>"RUA BERNARDO OLSEN"</f>
        <v>RUA BERNARDO OLSEN</v>
      </c>
      <c r="Q263" t="str">
        <f>"131"</f>
        <v>131</v>
      </c>
      <c r="R263" t="str">
        <f>""</f>
        <v/>
      </c>
      <c r="S263" t="str">
        <f>""</f>
        <v/>
      </c>
      <c r="T263" t="str">
        <f>"89460004"</f>
        <v>89460004</v>
      </c>
      <c r="U263" t="str">
        <f>"CENTRO"</f>
        <v>CENTRO</v>
      </c>
      <c r="V263" t="str">
        <f>"CANOINHAS"</f>
        <v>CANOINHAS</v>
      </c>
      <c r="W263" t="str">
        <f t="shared" si="141"/>
        <v>SC</v>
      </c>
      <c r="X263" t="str">
        <f>"47"</f>
        <v>47</v>
      </c>
      <c r="Y263" t="str">
        <f>"36227864"</f>
        <v>36227864</v>
      </c>
      <c r="Z263" t="str">
        <f>""</f>
        <v/>
      </c>
      <c r="AA263" t="str">
        <f>""</f>
        <v/>
      </c>
      <c r="AB263" t="str">
        <f>""</f>
        <v/>
      </c>
      <c r="AC263" t="str">
        <f>""</f>
        <v/>
      </c>
      <c r="AD263" t="str">
        <f>""</f>
        <v/>
      </c>
      <c r="AE263" t="str">
        <f>""</f>
        <v/>
      </c>
      <c r="AF263" t="str">
        <f>""</f>
        <v/>
      </c>
      <c r="AG263" t="str">
        <f>""</f>
        <v/>
      </c>
      <c r="AH263" t="str">
        <f>""</f>
        <v/>
      </c>
      <c r="AI263" t="str">
        <f>""</f>
        <v/>
      </c>
      <c r="AJ263" t="str">
        <f>""</f>
        <v/>
      </c>
      <c r="AK263" t="str">
        <f>""</f>
        <v/>
      </c>
      <c r="AL263" t="str">
        <f>""</f>
        <v/>
      </c>
      <c r="AM263" t="str">
        <f>""</f>
        <v/>
      </c>
      <c r="AN263" t="str">
        <f>""</f>
        <v/>
      </c>
      <c r="AO263" t="str">
        <f>""</f>
        <v/>
      </c>
      <c r="AP263" t="str">
        <f>""</f>
        <v/>
      </c>
      <c r="AQ263" t="str">
        <f>""</f>
        <v/>
      </c>
      <c r="AR263" t="str">
        <f>""</f>
        <v/>
      </c>
      <c r="AS263" t="str">
        <f>""</f>
        <v/>
      </c>
      <c r="AT263" t="str">
        <f>""</f>
        <v/>
      </c>
      <c r="AU263" t="str">
        <f>""</f>
        <v/>
      </c>
      <c r="AV263" t="str">
        <f>""</f>
        <v/>
      </c>
      <c r="AW263" t="str">
        <f>""</f>
        <v/>
      </c>
      <c r="AX263" t="str">
        <f>""</f>
        <v/>
      </c>
      <c r="AY263" t="str">
        <f>""</f>
        <v/>
      </c>
      <c r="AZ263" t="str">
        <f>""</f>
        <v/>
      </c>
      <c r="BA263" t="str">
        <f>""</f>
        <v/>
      </c>
      <c r="BB263" t="str">
        <f>"11/07/2023 02:14:29"</f>
        <v>11/07/2023 02:14:29</v>
      </c>
      <c r="BC263" t="str">
        <f>""</f>
        <v/>
      </c>
      <c r="BD263" t="str">
        <f>""</f>
        <v/>
      </c>
      <c r="BE263" t="str">
        <f>""</f>
        <v/>
      </c>
      <c r="BF263" t="str">
        <f t="shared" si="137"/>
        <v>A</v>
      </c>
      <c r="BG263" t="str">
        <f>""</f>
        <v/>
      </c>
      <c r="BH263" t="str">
        <f>""</f>
        <v/>
      </c>
      <c r="BI263" t="str">
        <f t="shared" si="117"/>
        <v>EVENTUAL</v>
      </c>
      <c r="BJ263" t="str">
        <f t="shared" si="138"/>
        <v>1</v>
      </c>
      <c r="BK263" t="str">
        <f t="shared" si="139"/>
        <v>Farmacia</v>
      </c>
      <c r="BL263" t="str">
        <f>""</f>
        <v/>
      </c>
      <c r="BM263" t="str">
        <f>""</f>
        <v/>
      </c>
      <c r="BN263" t="str">
        <f>""</f>
        <v/>
      </c>
      <c r="BO263" t="str">
        <f>""</f>
        <v/>
      </c>
      <c r="BP263" t="str">
        <f>""</f>
        <v/>
      </c>
      <c r="BQ263" t="str">
        <f>""</f>
        <v/>
      </c>
      <c r="BR263" t="str">
        <f>"11/07/2023"</f>
        <v>11/07/2023</v>
      </c>
      <c r="BS263" t="str">
        <f>""</f>
        <v/>
      </c>
      <c r="BT263" t="str">
        <f>""</f>
        <v/>
      </c>
      <c r="BU263" t="str">
        <f>""</f>
        <v/>
      </c>
      <c r="BV263" t="str">
        <f>""</f>
        <v/>
      </c>
      <c r="BW263" t="str">
        <f t="shared" si="140"/>
        <v>Não visitado</v>
      </c>
    </row>
    <row r="264" spans="1:75" x14ac:dyDescent="0.35">
      <c r="A264">
        <v>138142</v>
      </c>
      <c r="B264" t="str">
        <f t="shared" si="131"/>
        <v>A</v>
      </c>
      <c r="C264" t="str">
        <f t="shared" si="132"/>
        <v>80</v>
      </c>
      <c r="D264" t="str">
        <f t="shared" si="133"/>
        <v>11121001</v>
      </c>
      <c r="E264" t="str">
        <f t="shared" si="134"/>
        <v>121001</v>
      </c>
      <c r="F264" t="str">
        <f t="shared" si="135"/>
        <v>JENIFER SANTOS</v>
      </c>
      <c r="G264" t="str">
        <f>"18181423000110"</f>
        <v>18181423000110</v>
      </c>
      <c r="H264" t="str">
        <f t="shared" si="130"/>
        <v>0</v>
      </c>
      <c r="I264" t="str">
        <f t="shared" si="136"/>
        <v>CONTA OPTICA</v>
      </c>
      <c r="J264" t="str">
        <f>"OPTICA E JOALHERIA MERIGO LTDA"</f>
        <v>OPTICA E JOALHERIA MERIGO LTDA</v>
      </c>
      <c r="K264" t="str">
        <f>"OTICA E JOALHERIA MERIGO (2039)"</f>
        <v>OTICA E JOALHERIA MERIGO (2039)</v>
      </c>
      <c r="L264" t="str">
        <f>""</f>
        <v/>
      </c>
      <c r="M264" t="str">
        <f>""</f>
        <v/>
      </c>
      <c r="N264" t="str">
        <f>"kikorelojoaria@hotmail.com"</f>
        <v>kikorelojoaria@hotmail.com</v>
      </c>
      <c r="O264" t="str">
        <f>""</f>
        <v/>
      </c>
      <c r="P264" t="str">
        <f>"AVENIDA BRASILIA"</f>
        <v>AVENIDA BRASILIA</v>
      </c>
      <c r="Q264" t="str">
        <f>"2030"</f>
        <v>2030</v>
      </c>
      <c r="R264" t="str">
        <f>"SALA 102"</f>
        <v>SALA 102</v>
      </c>
      <c r="S264" t="str">
        <f>"1288"</f>
        <v>1288</v>
      </c>
      <c r="T264" t="str">
        <f>"89870000"</f>
        <v>89870000</v>
      </c>
      <c r="U264" t="str">
        <f>"CENTRO"</f>
        <v>CENTRO</v>
      </c>
      <c r="V264" t="str">
        <f>"PINHALZINHO"</f>
        <v>PINHALZINHO</v>
      </c>
      <c r="W264" t="str">
        <f t="shared" si="141"/>
        <v>SC</v>
      </c>
      <c r="X264" t="str">
        <f>"49"</f>
        <v>49</v>
      </c>
      <c r="Y264" t="str">
        <f>"33663506"</f>
        <v>33663506</v>
      </c>
      <c r="Z264" t="str">
        <f>""</f>
        <v/>
      </c>
      <c r="AA264" t="str">
        <f>""</f>
        <v/>
      </c>
      <c r="AB264" t="str">
        <f>""</f>
        <v/>
      </c>
      <c r="AC264" t="str">
        <f>""</f>
        <v/>
      </c>
      <c r="AD264" t="str">
        <f>""</f>
        <v/>
      </c>
      <c r="AE264" t="str">
        <f>""</f>
        <v/>
      </c>
      <c r="AF264" t="str">
        <f>""</f>
        <v/>
      </c>
      <c r="AG264" t="str">
        <f>"S"</f>
        <v>S</v>
      </c>
      <c r="AH264" t="str">
        <f>""</f>
        <v/>
      </c>
      <c r="AI264" t="str">
        <f>""</f>
        <v/>
      </c>
      <c r="AJ264" t="str">
        <f>""</f>
        <v/>
      </c>
      <c r="AK264" t="str">
        <f>""</f>
        <v/>
      </c>
      <c r="AL264" t="str">
        <f>""</f>
        <v/>
      </c>
      <c r="AM264" t="str">
        <f>""</f>
        <v/>
      </c>
      <c r="AN264" t="str">
        <f>""</f>
        <v/>
      </c>
      <c r="AO264" t="str">
        <f>""</f>
        <v/>
      </c>
      <c r="AP264" t="str">
        <f>""</f>
        <v/>
      </c>
      <c r="AQ264" t="str">
        <f>"N"</f>
        <v>N</v>
      </c>
      <c r="AR264" t="str">
        <f>"N"</f>
        <v>N</v>
      </c>
      <c r="AS264" t="str">
        <f>"N"</f>
        <v>N</v>
      </c>
      <c r="AT264" t="str">
        <f>"N"</f>
        <v>N</v>
      </c>
      <c r="AU264" t="str">
        <f>"N"</f>
        <v>N</v>
      </c>
      <c r="AV264" t="str">
        <f>""</f>
        <v/>
      </c>
      <c r="AW264" t="str">
        <f>""</f>
        <v/>
      </c>
      <c r="AX264" t="str">
        <f>""</f>
        <v/>
      </c>
      <c r="AY264" t="str">
        <f>""</f>
        <v/>
      </c>
      <c r="AZ264" t="str">
        <f>""</f>
        <v/>
      </c>
      <c r="BA264" t="str">
        <f>""</f>
        <v/>
      </c>
      <c r="BB264" t="str">
        <f>"01/07/2021 13:53:04"</f>
        <v>01/07/2021 13:53:04</v>
      </c>
      <c r="BC264" t="str">
        <f>"06/04/2022 14:45:17"</f>
        <v>06/04/2022 14:45:17</v>
      </c>
      <c r="BD264" t="str">
        <f>""</f>
        <v/>
      </c>
      <c r="BE264" t="str">
        <f>""</f>
        <v/>
      </c>
      <c r="BF264" t="str">
        <f t="shared" si="137"/>
        <v>A</v>
      </c>
      <c r="BG264" t="str">
        <f>""</f>
        <v/>
      </c>
      <c r="BH264" t="str">
        <f>"0,00"</f>
        <v>0,00</v>
      </c>
      <c r="BI264" t="str">
        <f t="shared" si="117"/>
        <v>EVENTUAL</v>
      </c>
      <c r="BJ264" t="str">
        <f t="shared" si="138"/>
        <v>1</v>
      </c>
      <c r="BK264" t="str">
        <f t="shared" si="139"/>
        <v>Farmacia</v>
      </c>
      <c r="BL264" t="str">
        <f>""</f>
        <v/>
      </c>
      <c r="BM264" t="str">
        <f>"VARILUX ESPECIALISTA PLATINE"</f>
        <v>VARILUX ESPECIALISTA PLATINE</v>
      </c>
      <c r="BN264" t="str">
        <f>"NA"</f>
        <v>NA</v>
      </c>
      <c r="BO264" t="str">
        <f>"FOCO VARILUX DIGITAL"</f>
        <v>FOCO VARILUX DIGITAL</v>
      </c>
      <c r="BP264" t="str">
        <f>""</f>
        <v/>
      </c>
      <c r="BQ264" t="str">
        <f>""</f>
        <v/>
      </c>
      <c r="BR264" t="str">
        <f>"01/07/2021"</f>
        <v>01/07/2021</v>
      </c>
      <c r="BS264" t="str">
        <f>"06/04/2022"</f>
        <v>06/04/2022</v>
      </c>
      <c r="BT264" t="str">
        <f>""</f>
        <v/>
      </c>
      <c r="BU264" t="str">
        <f>""</f>
        <v/>
      </c>
      <c r="BV264" t="str">
        <f>""</f>
        <v/>
      </c>
      <c r="BW264" t="str">
        <f>"8"</f>
        <v>8</v>
      </c>
    </row>
    <row r="265" spans="1:75" x14ac:dyDescent="0.35">
      <c r="A265">
        <v>120434</v>
      </c>
      <c r="B265" t="str">
        <f t="shared" si="131"/>
        <v>A</v>
      </c>
      <c r="C265" t="str">
        <f t="shared" si="132"/>
        <v>80</v>
      </c>
      <c r="D265" t="str">
        <f t="shared" si="133"/>
        <v>11121001</v>
      </c>
      <c r="E265" t="str">
        <f t="shared" si="134"/>
        <v>121001</v>
      </c>
      <c r="F265" t="str">
        <f t="shared" si="135"/>
        <v>JENIFER SANTOS</v>
      </c>
      <c r="G265" t="str">
        <f>"01799780000144"</f>
        <v>01799780000144</v>
      </c>
      <c r="H265" t="str">
        <f t="shared" si="130"/>
        <v>0</v>
      </c>
      <c r="I265" t="str">
        <f t="shared" si="136"/>
        <v>CONTA OPTICA</v>
      </c>
      <c r="J265" t="str">
        <f>"OPTICA E RELOJOARIA PAZINI LTDA ME"</f>
        <v>OPTICA E RELOJOARIA PAZINI LTDA ME</v>
      </c>
      <c r="K265" t="str">
        <f>"OPTICA E RELOJOARIA PAZINI LTDA ME (680)"</f>
        <v>OPTICA E RELOJOARIA PAZINI LTDA ME (680)</v>
      </c>
      <c r="L265" t="str">
        <f>""</f>
        <v/>
      </c>
      <c r="M265" t="str">
        <f>""</f>
        <v/>
      </c>
      <c r="N265" t="str">
        <f>"otica_pazini@hotmail.com"</f>
        <v>otica_pazini@hotmail.com</v>
      </c>
      <c r="O265" t="str">
        <f>""</f>
        <v/>
      </c>
      <c r="P265" t="str">
        <f>"RUA CORONEL FIDENCIO DE SOUZA MELLO"</f>
        <v>RUA CORONEL FIDENCIO DE SOUZA MELLO</v>
      </c>
      <c r="Q265" t="str">
        <f>"236"</f>
        <v>236</v>
      </c>
      <c r="R265" t="str">
        <f>""</f>
        <v/>
      </c>
      <c r="S265" t="str">
        <f>"1288"</f>
        <v>1288</v>
      </c>
      <c r="T265" t="str">
        <f>"89820000"</f>
        <v>89820000</v>
      </c>
      <c r="U265" t="str">
        <f>"CENTRO"</f>
        <v>CENTRO</v>
      </c>
      <c r="V265" t="str">
        <f>"XANXERÊ"</f>
        <v>XANXERÊ</v>
      </c>
      <c r="W265" t="str">
        <f t="shared" si="141"/>
        <v>SC</v>
      </c>
      <c r="X265" t="str">
        <f>"49"</f>
        <v>49</v>
      </c>
      <c r="Y265" t="str">
        <f>"34332836"</f>
        <v>34332836</v>
      </c>
      <c r="Z265" t="str">
        <f>""</f>
        <v/>
      </c>
      <c r="AA265" t="str">
        <f>""</f>
        <v/>
      </c>
      <c r="AB265" t="str">
        <f>""</f>
        <v/>
      </c>
      <c r="AC265" t="str">
        <f>""</f>
        <v/>
      </c>
      <c r="AD265" t="str">
        <f>""</f>
        <v/>
      </c>
      <c r="AE265" t="str">
        <f>""</f>
        <v/>
      </c>
      <c r="AF265" t="str">
        <f>""</f>
        <v/>
      </c>
      <c r="AG265" t="str">
        <f>""</f>
        <v/>
      </c>
      <c r="AH265" t="str">
        <f>""</f>
        <v/>
      </c>
      <c r="AI265" t="str">
        <f>""</f>
        <v/>
      </c>
      <c r="AJ265" t="str">
        <f>"0"</f>
        <v>0</v>
      </c>
      <c r="AK265" t="str">
        <f>"0"</f>
        <v>0</v>
      </c>
      <c r="AL265" t="str">
        <f>"0"</f>
        <v>0</v>
      </c>
      <c r="AM265" t="str">
        <f>""</f>
        <v/>
      </c>
      <c r="AN265" t="str">
        <f>""</f>
        <v/>
      </c>
      <c r="AO265" t="str">
        <f>""</f>
        <v/>
      </c>
      <c r="AP265" t="str">
        <f>""</f>
        <v/>
      </c>
      <c r="AQ265" t="str">
        <f>""</f>
        <v/>
      </c>
      <c r="AR265" t="str">
        <f>""</f>
        <v/>
      </c>
      <c r="AS265" t="str">
        <f>""</f>
        <v/>
      </c>
      <c r="AT265" t="str">
        <f>""</f>
        <v/>
      </c>
      <c r="AU265" t="str">
        <f>""</f>
        <v/>
      </c>
      <c r="AV265" t="str">
        <f>""</f>
        <v/>
      </c>
      <c r="AW265" t="str">
        <f>""</f>
        <v/>
      </c>
      <c r="AX265" t="str">
        <f>""</f>
        <v/>
      </c>
      <c r="AY265" t="str">
        <f>""</f>
        <v/>
      </c>
      <c r="AZ265" t="str">
        <f>""</f>
        <v/>
      </c>
      <c r="BA265" t="str">
        <f>""</f>
        <v/>
      </c>
      <c r="BB265" t="str">
        <f>"18/09/2020 22:12:34"</f>
        <v>18/09/2020 22:12:34</v>
      </c>
      <c r="BC265" t="str">
        <f>""</f>
        <v/>
      </c>
      <c r="BD265" t="str">
        <f>""</f>
        <v/>
      </c>
      <c r="BE265" t="str">
        <f>""</f>
        <v/>
      </c>
      <c r="BF265" t="str">
        <f t="shared" si="137"/>
        <v>A</v>
      </c>
      <c r="BG265" t="str">
        <f>"0,00"</f>
        <v>0,00</v>
      </c>
      <c r="BH265" t="str">
        <f>"0,00"</f>
        <v>0,00</v>
      </c>
      <c r="BI265" t="str">
        <f t="shared" si="117"/>
        <v>EVENTUAL</v>
      </c>
      <c r="BJ265" t="str">
        <f t="shared" si="138"/>
        <v>1</v>
      </c>
      <c r="BK265" t="str">
        <f t="shared" si="139"/>
        <v>Farmacia</v>
      </c>
      <c r="BL265" t="str">
        <f>""</f>
        <v/>
      </c>
      <c r="BM265" t="str">
        <f>"NÃO É VARILUX ESPECIALISTA"</f>
        <v>NÃO É VARILUX ESPECIALISTA</v>
      </c>
      <c r="BN265" t="str">
        <f>"NA"</f>
        <v>NA</v>
      </c>
      <c r="BO265" t="str">
        <f>"FOCO VARILUX"</f>
        <v>FOCO VARILUX</v>
      </c>
      <c r="BP265" t="str">
        <f>""</f>
        <v/>
      </c>
      <c r="BQ265" t="str">
        <f>""</f>
        <v/>
      </c>
      <c r="BR265" t="str">
        <f>"18/09/2020"</f>
        <v>18/09/2020</v>
      </c>
      <c r="BS265" t="str">
        <f>""</f>
        <v/>
      </c>
      <c r="BT265" t="str">
        <f>""</f>
        <v/>
      </c>
      <c r="BU265" t="str">
        <f>""</f>
        <v/>
      </c>
      <c r="BV265" t="str">
        <f>"4"</f>
        <v>4</v>
      </c>
      <c r="BW265" t="str">
        <f>"46"</f>
        <v>46</v>
      </c>
    </row>
    <row r="266" spans="1:75" x14ac:dyDescent="0.35">
      <c r="A266">
        <v>157572</v>
      </c>
      <c r="B266" t="str">
        <f t="shared" si="131"/>
        <v>A</v>
      </c>
      <c r="C266" t="str">
        <f t="shared" si="132"/>
        <v>80</v>
      </c>
      <c r="D266" t="str">
        <f t="shared" si="133"/>
        <v>11121001</v>
      </c>
      <c r="E266" t="str">
        <f t="shared" si="134"/>
        <v>121001</v>
      </c>
      <c r="F266" t="str">
        <f t="shared" si="135"/>
        <v>JENIFER SANTOS</v>
      </c>
      <c r="G266" t="str">
        <f>"31255494000189"</f>
        <v>31255494000189</v>
      </c>
      <c r="H266" t="str">
        <f t="shared" si="130"/>
        <v>0</v>
      </c>
      <c r="I266" t="str">
        <f t="shared" si="136"/>
        <v>CONTA OPTICA</v>
      </c>
      <c r="J266" t="str">
        <f>"OPTICA E RELOJOARIA VISAO PAPANDUVA LTDA"</f>
        <v>OPTICA E RELOJOARIA VISAO PAPANDUVA LTDA</v>
      </c>
      <c r="K266" t="str">
        <f>"RELOJOARIA E OPTICA VISAO (3930)"</f>
        <v>RELOJOARIA E OPTICA VISAO (3930)</v>
      </c>
      <c r="L266" t="str">
        <f>""</f>
        <v/>
      </c>
      <c r="M266" t="str">
        <f>""</f>
        <v/>
      </c>
      <c r="N266" t="str">
        <f>"CRISTIANE_JAKUBIAK@HOTMAIL.COM"</f>
        <v>CRISTIANE_JAKUBIAK@HOTMAIL.COM</v>
      </c>
      <c r="O266" t="str">
        <f>""</f>
        <v/>
      </c>
      <c r="P266" t="str">
        <f>"RUA TENENTE ARY RAUEN"</f>
        <v>RUA TENENTE ARY RAUEN</v>
      </c>
      <c r="Q266" t="str">
        <f>"853"</f>
        <v>853</v>
      </c>
      <c r="R266" t="str">
        <f>"SALA 2"</f>
        <v>SALA 2</v>
      </c>
      <c r="S266" t="str">
        <f>"1281"</f>
        <v>1281</v>
      </c>
      <c r="T266" t="str">
        <f>"89370000"</f>
        <v>89370000</v>
      </c>
      <c r="U266" t="str">
        <f>"CENTRO"</f>
        <v>CENTRO</v>
      </c>
      <c r="V266" t="str">
        <f>"PAPANDUVA"</f>
        <v>PAPANDUVA</v>
      </c>
      <c r="W266" t="str">
        <f t="shared" si="141"/>
        <v>SC</v>
      </c>
      <c r="X266" t="str">
        <f>"47"</f>
        <v>47</v>
      </c>
      <c r="Y266" t="str">
        <f>"99069696"</f>
        <v>99069696</v>
      </c>
      <c r="Z266" t="str">
        <f>""</f>
        <v/>
      </c>
      <c r="AA266" t="str">
        <f>""</f>
        <v/>
      </c>
      <c r="AB266" t="str">
        <f>""</f>
        <v/>
      </c>
      <c r="AC266" t="str">
        <f>""</f>
        <v/>
      </c>
      <c r="AD266" t="str">
        <f>""</f>
        <v/>
      </c>
      <c r="AE266" t="str">
        <f>""</f>
        <v/>
      </c>
      <c r="AF266" t="str">
        <f>""</f>
        <v/>
      </c>
      <c r="AG266" t="str">
        <f>""</f>
        <v/>
      </c>
      <c r="AH266" t="str">
        <f>""</f>
        <v/>
      </c>
      <c r="AI266" t="str">
        <f>""</f>
        <v/>
      </c>
      <c r="AJ266" t="str">
        <f>""</f>
        <v/>
      </c>
      <c r="AK266" t="str">
        <f>""</f>
        <v/>
      </c>
      <c r="AL266" t="str">
        <f>""</f>
        <v/>
      </c>
      <c r="AM266" t="str">
        <f>""</f>
        <v/>
      </c>
      <c r="AN266" t="str">
        <f>""</f>
        <v/>
      </c>
      <c r="AO266" t="str">
        <f>""</f>
        <v/>
      </c>
      <c r="AP266" t="str">
        <f>""</f>
        <v/>
      </c>
      <c r="AQ266" t="str">
        <f>""</f>
        <v/>
      </c>
      <c r="AR266" t="str">
        <f>""</f>
        <v/>
      </c>
      <c r="AS266" t="str">
        <f>""</f>
        <v/>
      </c>
      <c r="AT266" t="str">
        <f>""</f>
        <v/>
      </c>
      <c r="AU266" t="str">
        <f>""</f>
        <v/>
      </c>
      <c r="AV266" t="str">
        <f>""</f>
        <v/>
      </c>
      <c r="AW266" t="str">
        <f>""</f>
        <v/>
      </c>
      <c r="AX266" t="str">
        <f>""</f>
        <v/>
      </c>
      <c r="AY266" t="str">
        <f>""</f>
        <v/>
      </c>
      <c r="AZ266" t="str">
        <f>""</f>
        <v/>
      </c>
      <c r="BA266" t="str">
        <f>""</f>
        <v/>
      </c>
      <c r="BB266" t="str">
        <f>"11/07/2023 02:14:29"</f>
        <v>11/07/2023 02:14:29</v>
      </c>
      <c r="BC266" t="str">
        <f>""</f>
        <v/>
      </c>
      <c r="BD266" t="str">
        <f>""</f>
        <v/>
      </c>
      <c r="BE266" t="str">
        <f>""</f>
        <v/>
      </c>
      <c r="BF266" t="str">
        <f t="shared" si="137"/>
        <v>A</v>
      </c>
      <c r="BG266" t="str">
        <f>""</f>
        <v/>
      </c>
      <c r="BH266" t="str">
        <f>""</f>
        <v/>
      </c>
      <c r="BI266" t="str">
        <f t="shared" si="117"/>
        <v>EVENTUAL</v>
      </c>
      <c r="BJ266" t="str">
        <f t="shared" si="138"/>
        <v>1</v>
      </c>
      <c r="BK266" t="str">
        <f t="shared" si="139"/>
        <v>Farmacia</v>
      </c>
      <c r="BL266" t="str">
        <f>""</f>
        <v/>
      </c>
      <c r="BM266" t="str">
        <f>""</f>
        <v/>
      </c>
      <c r="BN266" t="str">
        <f>""</f>
        <v/>
      </c>
      <c r="BO266" t="str">
        <f>""</f>
        <v/>
      </c>
      <c r="BP266" t="str">
        <f>""</f>
        <v/>
      </c>
      <c r="BQ266" t="str">
        <f>""</f>
        <v/>
      </c>
      <c r="BR266" t="str">
        <f>"11/07/2023"</f>
        <v>11/07/2023</v>
      </c>
      <c r="BS266" t="str">
        <f>""</f>
        <v/>
      </c>
      <c r="BT266" t="str">
        <f>""</f>
        <v/>
      </c>
      <c r="BU266" t="str">
        <f>""</f>
        <v/>
      </c>
      <c r="BV266" t="str">
        <f>""</f>
        <v/>
      </c>
      <c r="BW266" t="str">
        <f>"50"</f>
        <v>50</v>
      </c>
    </row>
    <row r="267" spans="1:75" x14ac:dyDescent="0.35">
      <c r="A267">
        <v>144465</v>
      </c>
      <c r="B267" t="str">
        <f t="shared" si="131"/>
        <v>A</v>
      </c>
      <c r="C267" t="str">
        <f t="shared" si="132"/>
        <v>80</v>
      </c>
      <c r="D267" t="str">
        <f t="shared" si="133"/>
        <v>11121001</v>
      </c>
      <c r="E267" t="str">
        <f t="shared" si="134"/>
        <v>121001</v>
      </c>
      <c r="F267" t="str">
        <f t="shared" si="135"/>
        <v>JENIFER SANTOS</v>
      </c>
      <c r="G267" t="str">
        <f>"82087610000139"</f>
        <v>82087610000139</v>
      </c>
      <c r="H267" t="str">
        <f>""</f>
        <v/>
      </c>
      <c r="I267" t="str">
        <f t="shared" si="136"/>
        <v>CONTA OPTICA</v>
      </c>
      <c r="J267" t="str">
        <f>"OPTICA ELIZABETH LTDA"</f>
        <v>OPTICA ELIZABETH LTDA</v>
      </c>
      <c r="K267" t="str">
        <f>"ELIZABETH OPTICA E MOLDURAS (3305)"</f>
        <v>ELIZABETH OPTICA E MOLDURAS (3305)</v>
      </c>
      <c r="L267" t="str">
        <f>""</f>
        <v/>
      </c>
      <c r="M267" t="str">
        <f>""</f>
        <v/>
      </c>
      <c r="N267" t="str">
        <f>"elizabeth.optica@gmail.com"</f>
        <v>elizabeth.optica@gmail.com</v>
      </c>
      <c r="O267" t="str">
        <f>""</f>
        <v/>
      </c>
      <c r="P267" t="str">
        <f>"RUA VEREADOR GUILHERME ZUEGE"</f>
        <v>RUA VEREADOR GUILHERME ZUEGE</v>
      </c>
      <c r="Q267" t="str">
        <f>"287"</f>
        <v>287</v>
      </c>
      <c r="R267" t="str">
        <f>""</f>
        <v/>
      </c>
      <c r="S267" t="str">
        <f>"1279"</f>
        <v>1279</v>
      </c>
      <c r="T267" t="str">
        <f>"89239300"</f>
        <v>89239300</v>
      </c>
      <c r="U267" t="str">
        <f>"PIRABEIRABA (PIRABEIRABA)"</f>
        <v>PIRABEIRABA (PIRABEIRABA)</v>
      </c>
      <c r="V267" t="str">
        <f>"JOINVILLE"</f>
        <v>JOINVILLE</v>
      </c>
      <c r="W267" t="str">
        <f t="shared" si="141"/>
        <v>SC</v>
      </c>
      <c r="X267" t="str">
        <f>"47"</f>
        <v>47</v>
      </c>
      <c r="Y267" t="str">
        <f>"34240084"</f>
        <v>34240084</v>
      </c>
      <c r="Z267" t="str">
        <f>""</f>
        <v/>
      </c>
      <c r="AA267" t="str">
        <f>""</f>
        <v/>
      </c>
      <c r="AB267" t="str">
        <f>""</f>
        <v/>
      </c>
      <c r="AC267" t="str">
        <f>""</f>
        <v/>
      </c>
      <c r="AD267" t="str">
        <f>""</f>
        <v/>
      </c>
      <c r="AE267" t="str">
        <f>""</f>
        <v/>
      </c>
      <c r="AF267" t="str">
        <f>""</f>
        <v/>
      </c>
      <c r="AG267" t="str">
        <f>""</f>
        <v/>
      </c>
      <c r="AH267" t="str">
        <f>""</f>
        <v/>
      </c>
      <c r="AI267" t="str">
        <f>""</f>
        <v/>
      </c>
      <c r="AJ267" t="str">
        <f>"0"</f>
        <v>0</v>
      </c>
      <c r="AK267" t="str">
        <f>"0"</f>
        <v>0</v>
      </c>
      <c r="AL267" t="str">
        <f>"0"</f>
        <v>0</v>
      </c>
      <c r="AM267" t="str">
        <f>""</f>
        <v/>
      </c>
      <c r="AN267" t="str">
        <f>""</f>
        <v/>
      </c>
      <c r="AO267" t="str">
        <f>""</f>
        <v/>
      </c>
      <c r="AP267" t="str">
        <f>""</f>
        <v/>
      </c>
      <c r="AQ267" t="str">
        <f>""</f>
        <v/>
      </c>
      <c r="AR267" t="str">
        <f>""</f>
        <v/>
      </c>
      <c r="AS267" t="str">
        <f>""</f>
        <v/>
      </c>
      <c r="AT267" t="str">
        <f>""</f>
        <v/>
      </c>
      <c r="AU267" t="str">
        <f>""</f>
        <v/>
      </c>
      <c r="AV267" t="str">
        <f>""</f>
        <v/>
      </c>
      <c r="AW267" t="str">
        <f>""</f>
        <v/>
      </c>
      <c r="AX267" t="str">
        <f>""</f>
        <v/>
      </c>
      <c r="AY267" t="str">
        <f>""</f>
        <v/>
      </c>
      <c r="AZ267" t="str">
        <f>""</f>
        <v/>
      </c>
      <c r="BA267" t="str">
        <f>""</f>
        <v/>
      </c>
      <c r="BB267" t="str">
        <f>""</f>
        <v/>
      </c>
      <c r="BC267" t="str">
        <f>""</f>
        <v/>
      </c>
      <c r="BD267" t="str">
        <f>""</f>
        <v/>
      </c>
      <c r="BE267" t="str">
        <f>""</f>
        <v/>
      </c>
      <c r="BF267" t="str">
        <f t="shared" si="137"/>
        <v>A</v>
      </c>
      <c r="BG267" t="str">
        <f>"0,00"</f>
        <v>0,00</v>
      </c>
      <c r="BH267" t="str">
        <f>"0,00"</f>
        <v>0,00</v>
      </c>
      <c r="BI267" t="str">
        <f t="shared" si="117"/>
        <v>EVENTUAL</v>
      </c>
      <c r="BJ267" t="str">
        <f t="shared" si="138"/>
        <v>1</v>
      </c>
      <c r="BK267" t="str">
        <f t="shared" si="139"/>
        <v>Farmacia</v>
      </c>
      <c r="BL267" t="str">
        <f>""</f>
        <v/>
      </c>
      <c r="BM267" t="str">
        <f>"VARILUX ESPECIALISTA SELECT"</f>
        <v>VARILUX ESPECIALISTA SELECT</v>
      </c>
      <c r="BN267" t="str">
        <f>"NA"</f>
        <v>NA</v>
      </c>
      <c r="BO267" t="str">
        <f>"FOCO VARILUX DIGITAL"</f>
        <v>FOCO VARILUX DIGITAL</v>
      </c>
      <c r="BP267" t="str">
        <f>""</f>
        <v/>
      </c>
      <c r="BQ267" t="str">
        <f>""</f>
        <v/>
      </c>
      <c r="BR267" t="str">
        <f>""</f>
        <v/>
      </c>
      <c r="BS267" t="str">
        <f>""</f>
        <v/>
      </c>
      <c r="BT267" t="str">
        <f>""</f>
        <v/>
      </c>
      <c r="BU267" t="str">
        <f>""</f>
        <v/>
      </c>
      <c r="BV267" t="str">
        <f>"5"</f>
        <v>5</v>
      </c>
      <c r="BW267" t="str">
        <f>"63"</f>
        <v>63</v>
      </c>
    </row>
    <row r="268" spans="1:75" x14ac:dyDescent="0.35">
      <c r="A268">
        <v>156785</v>
      </c>
      <c r="B268" t="str">
        <f t="shared" si="131"/>
        <v>A</v>
      </c>
      <c r="C268" t="str">
        <f t="shared" si="132"/>
        <v>80</v>
      </c>
      <c r="D268" t="str">
        <f t="shared" si="133"/>
        <v>11121001</v>
      </c>
      <c r="E268" t="str">
        <f t="shared" si="134"/>
        <v>121001</v>
      </c>
      <c r="F268" t="str">
        <f t="shared" si="135"/>
        <v>JENIFER SANTOS</v>
      </c>
      <c r="G268" t="str">
        <f>"13326604000174"</f>
        <v>13326604000174</v>
      </c>
      <c r="H268" t="str">
        <f>"0"</f>
        <v>0</v>
      </c>
      <c r="I268" t="str">
        <f t="shared" si="136"/>
        <v>CONTA OPTICA</v>
      </c>
      <c r="J268" t="str">
        <f>"OPTICA EMPORIO DA VISAO LTDA ME"</f>
        <v>OPTICA EMPORIO DA VISAO LTDA ME</v>
      </c>
      <c r="K268" t="str">
        <f>"ÓTICA DIMENSÃO (1833)"</f>
        <v>ÓTICA DIMENSÃO (1833)</v>
      </c>
      <c r="L268" t="str">
        <f>""</f>
        <v/>
      </c>
      <c r="M268" t="str">
        <f>""</f>
        <v/>
      </c>
      <c r="N268" t="str">
        <f>"OPTICAEMPORIOV@HOTMAIL.COM"</f>
        <v>OPTICAEMPORIOV@HOTMAIL.COM</v>
      </c>
      <c r="O268" t="str">
        <f>""</f>
        <v/>
      </c>
      <c r="P268" t="str">
        <f>"RUA OTTO PFUETZENREUTER"</f>
        <v>RUA OTTO PFUETZENREUTER</v>
      </c>
      <c r="Q268" t="str">
        <f>"114"</f>
        <v>114</v>
      </c>
      <c r="R268" t="str">
        <f>"SALA 01"</f>
        <v>SALA 01</v>
      </c>
      <c r="S268" t="str">
        <f>"1279"</f>
        <v>1279</v>
      </c>
      <c r="T268" t="str">
        <f>"89219200"</f>
        <v>89219200</v>
      </c>
      <c r="U268" t="str">
        <f>"COSTA E SILVA"</f>
        <v>COSTA E SILVA</v>
      </c>
      <c r="V268" t="str">
        <f>"JOINVILLE"</f>
        <v>JOINVILLE</v>
      </c>
      <c r="W268" t="str">
        <f t="shared" si="141"/>
        <v>SC</v>
      </c>
      <c r="X268" t="str">
        <f>"47"</f>
        <v>47</v>
      </c>
      <c r="Y268" t="str">
        <f>"30285020"</f>
        <v>30285020</v>
      </c>
      <c r="Z268" t="str">
        <f>""</f>
        <v/>
      </c>
      <c r="AA268" t="str">
        <f>""</f>
        <v/>
      </c>
      <c r="AB268" t="str">
        <f>""</f>
        <v/>
      </c>
      <c r="AC268" t="str">
        <f>""</f>
        <v/>
      </c>
      <c r="AD268" t="str">
        <f>""</f>
        <v/>
      </c>
      <c r="AE268" t="str">
        <f>""</f>
        <v/>
      </c>
      <c r="AF268" t="str">
        <f>""</f>
        <v/>
      </c>
      <c r="AG268" t="str">
        <f>""</f>
        <v/>
      </c>
      <c r="AH268" t="str">
        <f>""</f>
        <v/>
      </c>
      <c r="AI268" t="str">
        <f>""</f>
        <v/>
      </c>
      <c r="AJ268" t="str">
        <f>""</f>
        <v/>
      </c>
      <c r="AK268" t="str">
        <f>""</f>
        <v/>
      </c>
      <c r="AL268" t="str">
        <f>""</f>
        <v/>
      </c>
      <c r="AM268" t="str">
        <f>""</f>
        <v/>
      </c>
      <c r="AN268" t="str">
        <f>""</f>
        <v/>
      </c>
      <c r="AO268" t="str">
        <f>""</f>
        <v/>
      </c>
      <c r="AP268" t="str">
        <f>""</f>
        <v/>
      </c>
      <c r="AQ268" t="str">
        <f>""</f>
        <v/>
      </c>
      <c r="AR268" t="str">
        <f>""</f>
        <v/>
      </c>
      <c r="AS268" t="str">
        <f>""</f>
        <v/>
      </c>
      <c r="AT268" t="str">
        <f>""</f>
        <v/>
      </c>
      <c r="AU268" t="str">
        <f>""</f>
        <v/>
      </c>
      <c r="AV268" t="str">
        <f>""</f>
        <v/>
      </c>
      <c r="AW268" t="str">
        <f>""</f>
        <v/>
      </c>
      <c r="AX268" t="str">
        <f>""</f>
        <v/>
      </c>
      <c r="AY268" t="str">
        <f>""</f>
        <v/>
      </c>
      <c r="AZ268" t="str">
        <f>""</f>
        <v/>
      </c>
      <c r="BA268" t="str">
        <f>""</f>
        <v/>
      </c>
      <c r="BB268" t="str">
        <f>"06/07/2023 12:07:48"</f>
        <v>06/07/2023 12:07:48</v>
      </c>
      <c r="BC268" t="str">
        <f>""</f>
        <v/>
      </c>
      <c r="BD268" t="str">
        <f>""</f>
        <v/>
      </c>
      <c r="BE268" t="str">
        <f>""</f>
        <v/>
      </c>
      <c r="BF268" t="str">
        <f t="shared" si="137"/>
        <v>A</v>
      </c>
      <c r="BG268" t="str">
        <f>""</f>
        <v/>
      </c>
      <c r="BH268" t="str">
        <f>""</f>
        <v/>
      </c>
      <c r="BI268" t="str">
        <f t="shared" si="117"/>
        <v>EVENTUAL</v>
      </c>
      <c r="BJ268" t="str">
        <f t="shared" si="138"/>
        <v>1</v>
      </c>
      <c r="BK268" t="str">
        <f t="shared" si="139"/>
        <v>Farmacia</v>
      </c>
      <c r="BL268" t="str">
        <f>""</f>
        <v/>
      </c>
      <c r="BM268" t="str">
        <f>""</f>
        <v/>
      </c>
      <c r="BN268" t="str">
        <f>""</f>
        <v/>
      </c>
      <c r="BO268" t="str">
        <f>""</f>
        <v/>
      </c>
      <c r="BP268" t="str">
        <f>""</f>
        <v/>
      </c>
      <c r="BQ268" t="str">
        <f>""</f>
        <v/>
      </c>
      <c r="BR268" t="str">
        <f>"06/07/2023"</f>
        <v>06/07/2023</v>
      </c>
      <c r="BS268" t="str">
        <f>""</f>
        <v/>
      </c>
      <c r="BT268" t="str">
        <f>""</f>
        <v/>
      </c>
      <c r="BU268" t="str">
        <f>""</f>
        <v/>
      </c>
      <c r="BV268" t="str">
        <f>""</f>
        <v/>
      </c>
      <c r="BW268" t="str">
        <f>"Não visitado"</f>
        <v>Não visitado</v>
      </c>
    </row>
    <row r="269" spans="1:75" x14ac:dyDescent="0.35">
      <c r="A269">
        <v>1273</v>
      </c>
      <c r="B269" t="str">
        <f t="shared" si="131"/>
        <v>A</v>
      </c>
      <c r="C269" t="str">
        <f t="shared" si="132"/>
        <v>80</v>
      </c>
      <c r="D269" t="str">
        <f t="shared" si="133"/>
        <v>11121001</v>
      </c>
      <c r="E269" t="str">
        <f t="shared" si="134"/>
        <v>121001</v>
      </c>
      <c r="F269" t="str">
        <f t="shared" si="135"/>
        <v>JENIFER SANTOS</v>
      </c>
      <c r="G269" t="str">
        <f>"05200116000198"</f>
        <v>05200116000198</v>
      </c>
      <c r="H269" t="str">
        <f>""</f>
        <v/>
      </c>
      <c r="I269" t="str">
        <f t="shared" si="136"/>
        <v>CONTA OPTICA</v>
      </c>
      <c r="J269" t="str">
        <f>"OPTICA FABRIS LTDA"</f>
        <v>OPTICA FABRIS LTDA</v>
      </c>
      <c r="K269" t="str">
        <f>"OPTICA FABRIS LTDA (223)"</f>
        <v>OPTICA FABRIS LTDA (223)</v>
      </c>
      <c r="L269" t="str">
        <f>""</f>
        <v/>
      </c>
      <c r="M269" t="str">
        <f>""</f>
        <v/>
      </c>
      <c r="N269" t="str">
        <f>"opticasafira1@hotmail.com"</f>
        <v>opticasafira1@hotmail.com</v>
      </c>
      <c r="O269" t="str">
        <f>""</f>
        <v/>
      </c>
      <c r="P269" t="str">
        <f>"RUA ANGELO SCHIOCHET"</f>
        <v>RUA ANGELO SCHIOCHET</v>
      </c>
      <c r="Q269" t="str">
        <f>"80"</f>
        <v>80</v>
      </c>
      <c r="R269" t="str">
        <f>"SALA 1"</f>
        <v>SALA 1</v>
      </c>
      <c r="S269" t="str">
        <f>""</f>
        <v/>
      </c>
      <c r="T269" t="str">
        <f>"89251520"</f>
        <v>89251520</v>
      </c>
      <c r="U269" t="str">
        <f>"CENTRO"</f>
        <v>CENTRO</v>
      </c>
      <c r="V269" t="str">
        <f>"JARAGUÁ DO SUL"</f>
        <v>JARAGUÁ DO SUL</v>
      </c>
      <c r="W269" t="str">
        <f t="shared" si="141"/>
        <v>SC</v>
      </c>
      <c r="X269" t="str">
        <f>"47"</f>
        <v>47</v>
      </c>
      <c r="Y269" t="str">
        <f>"33706845"</f>
        <v>33706845</v>
      </c>
      <c r="Z269" t="str">
        <f>""</f>
        <v/>
      </c>
      <c r="AA269" t="str">
        <f>""</f>
        <v/>
      </c>
      <c r="AB269" t="str">
        <f>""</f>
        <v/>
      </c>
      <c r="AC269" t="str">
        <f>""</f>
        <v/>
      </c>
      <c r="AD269" t="str">
        <f>""</f>
        <v/>
      </c>
      <c r="AE269" t="str">
        <f>""</f>
        <v/>
      </c>
      <c r="AF269" t="str">
        <f>""</f>
        <v/>
      </c>
      <c r="AG269" t="str">
        <f>""</f>
        <v/>
      </c>
      <c r="AH269" t="str">
        <f>""</f>
        <v/>
      </c>
      <c r="AI269" t="str">
        <f>""</f>
        <v/>
      </c>
      <c r="AJ269" t="str">
        <f t="shared" ref="AJ269:AL270" si="142">"0"</f>
        <v>0</v>
      </c>
      <c r="AK269" t="str">
        <f t="shared" si="142"/>
        <v>0</v>
      </c>
      <c r="AL269" t="str">
        <f t="shared" si="142"/>
        <v>0</v>
      </c>
      <c r="AM269" t="str">
        <f>""</f>
        <v/>
      </c>
      <c r="AN269" t="str">
        <f>""</f>
        <v/>
      </c>
      <c r="AO269" t="str">
        <f>""</f>
        <v/>
      </c>
      <c r="AP269" t="str">
        <f>""</f>
        <v/>
      </c>
      <c r="AQ269" t="str">
        <f>""</f>
        <v/>
      </c>
      <c r="AR269" t="str">
        <f>""</f>
        <v/>
      </c>
      <c r="AS269" t="str">
        <f>""</f>
        <v/>
      </c>
      <c r="AT269" t="str">
        <f>""</f>
        <v/>
      </c>
      <c r="AU269" t="str">
        <f>""</f>
        <v/>
      </c>
      <c r="AV269" t="str">
        <f>""</f>
        <v/>
      </c>
      <c r="AW269" t="str">
        <f>""</f>
        <v/>
      </c>
      <c r="AX269" t="str">
        <f>""</f>
        <v/>
      </c>
      <c r="AY269" t="str">
        <f>""</f>
        <v/>
      </c>
      <c r="AZ269" t="str">
        <f>""</f>
        <v/>
      </c>
      <c r="BA269" t="str">
        <f>""</f>
        <v/>
      </c>
      <c r="BB269" t="str">
        <f>"27/07/2018 09:26:12"</f>
        <v>27/07/2018 09:26:12</v>
      </c>
      <c r="BC269" t="str">
        <f>""</f>
        <v/>
      </c>
      <c r="BD269" t="str">
        <f>""</f>
        <v/>
      </c>
      <c r="BE269" t="str">
        <f>"1273"</f>
        <v>1273</v>
      </c>
      <c r="BF269" t="str">
        <f t="shared" si="137"/>
        <v>A</v>
      </c>
      <c r="BG269" t="str">
        <f>"0,00"</f>
        <v>0,00</v>
      </c>
      <c r="BH269" t="str">
        <f>"0,00"</f>
        <v>0,00</v>
      </c>
      <c r="BI269" t="str">
        <f t="shared" si="117"/>
        <v>EVENTUAL</v>
      </c>
      <c r="BJ269" t="str">
        <f t="shared" si="138"/>
        <v>1</v>
      </c>
      <c r="BK269" t="str">
        <f t="shared" si="139"/>
        <v>Farmacia</v>
      </c>
      <c r="BL269" t="str">
        <f>""</f>
        <v/>
      </c>
      <c r="BM269" t="str">
        <f>"NÃO É VARILUX ESPECIALISTA"</f>
        <v>NÃO É VARILUX ESPECIALISTA</v>
      </c>
      <c r="BN269" t="str">
        <f>"NA"</f>
        <v>NA</v>
      </c>
      <c r="BO269" t="str">
        <f>"FOCO VARILUX DIGITAL"</f>
        <v>FOCO VARILUX DIGITAL</v>
      </c>
      <c r="BP269" t="str">
        <f>""</f>
        <v/>
      </c>
      <c r="BQ269" t="str">
        <f>""</f>
        <v/>
      </c>
      <c r="BR269" t="str">
        <f>"27/07/2018"</f>
        <v>27/07/2018</v>
      </c>
      <c r="BS269" t="str">
        <f>""</f>
        <v/>
      </c>
      <c r="BT269" t="str">
        <f>""</f>
        <v/>
      </c>
      <c r="BU269" t="str">
        <f>""</f>
        <v/>
      </c>
      <c r="BV269" t="str">
        <f>"3"</f>
        <v>3</v>
      </c>
      <c r="BW269" t="str">
        <f>"Não visitado"</f>
        <v>Não visitado</v>
      </c>
    </row>
    <row r="270" spans="1:75" x14ac:dyDescent="0.35">
      <c r="A270">
        <v>120366</v>
      </c>
      <c r="B270" t="str">
        <f t="shared" si="131"/>
        <v>A</v>
      </c>
      <c r="C270" t="str">
        <f t="shared" si="132"/>
        <v>80</v>
      </c>
      <c r="D270" t="str">
        <f t="shared" si="133"/>
        <v>11121001</v>
      </c>
      <c r="E270" t="str">
        <f t="shared" si="134"/>
        <v>121001</v>
      </c>
      <c r="F270" t="str">
        <f t="shared" si="135"/>
        <v>JENIFER SANTOS</v>
      </c>
      <c r="G270" t="str">
        <f>"04637701000197"</f>
        <v>04637701000197</v>
      </c>
      <c r="H270" t="str">
        <f>"0"</f>
        <v>0</v>
      </c>
      <c r="I270" t="str">
        <f t="shared" si="136"/>
        <v>CONTA OPTICA</v>
      </c>
      <c r="J270" t="str">
        <f>"OPTICA FISCH LTDA"</f>
        <v>OPTICA FISCH LTDA</v>
      </c>
      <c r="K270" t="str">
        <f>"OPTICA FISCH (719)"</f>
        <v>OPTICA FISCH (719)</v>
      </c>
      <c r="L270" t="str">
        <f>""</f>
        <v/>
      </c>
      <c r="M270" t="str">
        <f>""</f>
        <v/>
      </c>
      <c r="N270" t="str">
        <f>"evandrofisch@best.com.br"</f>
        <v>evandrofisch@best.com.br</v>
      </c>
      <c r="O270" t="str">
        <f>""</f>
        <v/>
      </c>
      <c r="P270" t="str">
        <f>"RUA FAGUNDES DOS REIS"</f>
        <v>RUA FAGUNDES DOS REIS</v>
      </c>
      <c r="Q270" t="str">
        <f>"466"</f>
        <v>466</v>
      </c>
      <c r="R270" t="str">
        <f>"SL - 12"</f>
        <v>SL - 12</v>
      </c>
      <c r="S270" t="str">
        <f>"1383"</f>
        <v>1383</v>
      </c>
      <c r="T270" t="str">
        <f>"99020080"</f>
        <v>99020080</v>
      </c>
      <c r="U270" t="str">
        <f>"VILA NICOLAU VERGUEIRO"</f>
        <v>VILA NICOLAU VERGUEIRO</v>
      </c>
      <c r="V270" t="str">
        <f>"PASSO FUNDO"</f>
        <v>PASSO FUNDO</v>
      </c>
      <c r="W270" t="str">
        <f>"RS"</f>
        <v>RS</v>
      </c>
      <c r="X270" t="str">
        <f>"54"</f>
        <v>54</v>
      </c>
      <c r="Y270" t="str">
        <f>"33119761"</f>
        <v>33119761</v>
      </c>
      <c r="Z270" t="str">
        <f>""</f>
        <v/>
      </c>
      <c r="AA270" t="str">
        <f>""</f>
        <v/>
      </c>
      <c r="AB270" t="str">
        <f>""</f>
        <v/>
      </c>
      <c r="AC270" t="str">
        <f>""</f>
        <v/>
      </c>
      <c r="AD270" t="str">
        <f>""</f>
        <v/>
      </c>
      <c r="AE270" t="str">
        <f>""</f>
        <v/>
      </c>
      <c r="AF270" t="str">
        <f>""</f>
        <v/>
      </c>
      <c r="AG270" t="str">
        <f>""</f>
        <v/>
      </c>
      <c r="AH270" t="str">
        <f>""</f>
        <v/>
      </c>
      <c r="AI270" t="str">
        <f>""</f>
        <v/>
      </c>
      <c r="AJ270" t="str">
        <f t="shared" si="142"/>
        <v>0</v>
      </c>
      <c r="AK270" t="str">
        <f t="shared" si="142"/>
        <v>0</v>
      </c>
      <c r="AL270" t="str">
        <f t="shared" si="142"/>
        <v>0</v>
      </c>
      <c r="AM270" t="str">
        <f>""</f>
        <v/>
      </c>
      <c r="AN270" t="str">
        <f>""</f>
        <v/>
      </c>
      <c r="AO270" t="str">
        <f>""</f>
        <v/>
      </c>
      <c r="AP270" t="str">
        <f>""</f>
        <v/>
      </c>
      <c r="AQ270" t="str">
        <f>""</f>
        <v/>
      </c>
      <c r="AR270" t="str">
        <f>""</f>
        <v/>
      </c>
      <c r="AS270" t="str">
        <f>""</f>
        <v/>
      </c>
      <c r="AT270" t="str">
        <f>""</f>
        <v/>
      </c>
      <c r="AU270" t="str">
        <f>""</f>
        <v/>
      </c>
      <c r="AV270" t="str">
        <f>""</f>
        <v/>
      </c>
      <c r="AW270" t="str">
        <f>""</f>
        <v/>
      </c>
      <c r="AX270" t="str">
        <f>""</f>
        <v/>
      </c>
      <c r="AY270" t="str">
        <f>""</f>
        <v/>
      </c>
      <c r="AZ270" t="str">
        <f>""</f>
        <v/>
      </c>
      <c r="BA270" t="str">
        <f>""</f>
        <v/>
      </c>
      <c r="BB270" t="str">
        <f>"18/09/2020 22:12:34"</f>
        <v>18/09/2020 22:12:34</v>
      </c>
      <c r="BC270" t="str">
        <f>""</f>
        <v/>
      </c>
      <c r="BD270" t="str">
        <f>""</f>
        <v/>
      </c>
      <c r="BE270" t="str">
        <f>""</f>
        <v/>
      </c>
      <c r="BF270" t="str">
        <f t="shared" si="137"/>
        <v>A</v>
      </c>
      <c r="BG270" t="str">
        <f>"0,00"</f>
        <v>0,00</v>
      </c>
      <c r="BH270" t="str">
        <f>"0,00"</f>
        <v>0,00</v>
      </c>
      <c r="BI270" t="str">
        <f t="shared" si="117"/>
        <v>EVENTUAL</v>
      </c>
      <c r="BJ270" t="str">
        <f t="shared" si="138"/>
        <v>1</v>
      </c>
      <c r="BK270" t="str">
        <f t="shared" si="139"/>
        <v>Farmacia</v>
      </c>
      <c r="BL270" t="str">
        <f>""</f>
        <v/>
      </c>
      <c r="BM270" t="str">
        <f>"VARILUX ESPECIALISTA PLATINE"</f>
        <v>VARILUX ESPECIALISTA PLATINE</v>
      </c>
      <c r="BN270" t="str">
        <f>"NA"</f>
        <v>NA</v>
      </c>
      <c r="BO270" t="str">
        <f>"FOCO VARILUX DIGITAL"</f>
        <v>FOCO VARILUX DIGITAL</v>
      </c>
      <c r="BP270" t="str">
        <f>""</f>
        <v/>
      </c>
      <c r="BQ270" t="str">
        <f>""</f>
        <v/>
      </c>
      <c r="BR270" t="str">
        <f>"18/09/2020"</f>
        <v>18/09/2020</v>
      </c>
      <c r="BS270" t="str">
        <f>""</f>
        <v/>
      </c>
      <c r="BT270" t="str">
        <f>""</f>
        <v/>
      </c>
      <c r="BU270" t="str">
        <f>""</f>
        <v/>
      </c>
      <c r="BV270" t="str">
        <f>"1"</f>
        <v>1</v>
      </c>
      <c r="BW270" t="str">
        <f>"7"</f>
        <v>7</v>
      </c>
    </row>
    <row r="271" spans="1:75" x14ac:dyDescent="0.35">
      <c r="A271">
        <v>138145</v>
      </c>
      <c r="B271" t="str">
        <f t="shared" si="131"/>
        <v>A</v>
      </c>
      <c r="C271" t="str">
        <f t="shared" si="132"/>
        <v>80</v>
      </c>
      <c r="D271" t="str">
        <f t="shared" si="133"/>
        <v>11121001</v>
      </c>
      <c r="E271" t="str">
        <f t="shared" si="134"/>
        <v>121001</v>
      </c>
      <c r="F271" t="str">
        <f t="shared" si="135"/>
        <v>JENIFER SANTOS</v>
      </c>
      <c r="G271" t="str">
        <f>"35510317000152"</f>
        <v>35510317000152</v>
      </c>
      <c r="H271" t="str">
        <f>"0"</f>
        <v>0</v>
      </c>
      <c r="I271" t="str">
        <f t="shared" si="136"/>
        <v>CONTA OPTICA</v>
      </c>
      <c r="J271" t="str">
        <f>"OPTICA G.L.A. EIRELI"</f>
        <v>OPTICA G.L.A. EIRELI</v>
      </c>
      <c r="K271" t="str">
        <f>"MERCADAO DOS OCULOS (4081)"</f>
        <v>MERCADAO DOS OCULOS (4081)</v>
      </c>
      <c r="L271" t="str">
        <f>""</f>
        <v/>
      </c>
      <c r="M271" t="str">
        <f>""</f>
        <v/>
      </c>
      <c r="N271" t="str">
        <f>"sc-concordia@mercadaodosoculos.com.br"</f>
        <v>sc-concordia@mercadaodosoculos.com.br</v>
      </c>
      <c r="O271" t="str">
        <f>""</f>
        <v/>
      </c>
      <c r="P271" t="str">
        <f>"RUA MARECHAL DEODORO"</f>
        <v>RUA MARECHAL DEODORO</v>
      </c>
      <c r="Q271" t="str">
        <f>"816"</f>
        <v>816</v>
      </c>
      <c r="R271" t="str">
        <f>"SALA 01"</f>
        <v>SALA 01</v>
      </c>
      <c r="S271" t="str">
        <f>""</f>
        <v/>
      </c>
      <c r="T271" t="str">
        <f>"89700003"</f>
        <v>89700003</v>
      </c>
      <c r="U271" t="str">
        <f>"CENTRO"</f>
        <v>CENTRO</v>
      </c>
      <c r="V271" t="str">
        <f>"CONCÓRDIA"</f>
        <v>CONCÓRDIA</v>
      </c>
      <c r="W271" t="str">
        <f t="shared" ref="W271:W277" si="143">"SC"</f>
        <v>SC</v>
      </c>
      <c r="X271" t="str">
        <f>"49"</f>
        <v>49</v>
      </c>
      <c r="Y271" t="str">
        <f>"30111365"</f>
        <v>30111365</v>
      </c>
      <c r="Z271" t="str">
        <f>""</f>
        <v/>
      </c>
      <c r="AA271" t="str">
        <f>""</f>
        <v/>
      </c>
      <c r="AB271" t="str">
        <f>""</f>
        <v/>
      </c>
      <c r="AC271" t="str">
        <f>""</f>
        <v/>
      </c>
      <c r="AD271" t="str">
        <f>""</f>
        <v/>
      </c>
      <c r="AE271" t="str">
        <f>""</f>
        <v/>
      </c>
      <c r="AF271" t="str">
        <f>""</f>
        <v/>
      </c>
      <c r="AG271" t="str">
        <f>"S"</f>
        <v>S</v>
      </c>
      <c r="AH271" t="str">
        <f>""</f>
        <v/>
      </c>
      <c r="AI271" t="str">
        <f>""</f>
        <v/>
      </c>
      <c r="AJ271" t="str">
        <f>""</f>
        <v/>
      </c>
      <c r="AK271" t="str">
        <f>""</f>
        <v/>
      </c>
      <c r="AL271" t="str">
        <f>""</f>
        <v/>
      </c>
      <c r="AM271" t="str">
        <f>""</f>
        <v/>
      </c>
      <c r="AN271" t="str">
        <f>""</f>
        <v/>
      </c>
      <c r="AO271" t="str">
        <f>""</f>
        <v/>
      </c>
      <c r="AP271" t="str">
        <f>""</f>
        <v/>
      </c>
      <c r="AQ271" t="str">
        <f>"N"</f>
        <v>N</v>
      </c>
      <c r="AR271" t="str">
        <f>"N"</f>
        <v>N</v>
      </c>
      <c r="AS271" t="str">
        <f>"N"</f>
        <v>N</v>
      </c>
      <c r="AT271" t="str">
        <f>"N"</f>
        <v>N</v>
      </c>
      <c r="AU271" t="str">
        <f>"N"</f>
        <v>N</v>
      </c>
      <c r="AV271" t="str">
        <f>""</f>
        <v/>
      </c>
      <c r="AW271" t="str">
        <f>""</f>
        <v/>
      </c>
      <c r="AX271" t="str">
        <f>""</f>
        <v/>
      </c>
      <c r="AY271" t="str">
        <f>""</f>
        <v/>
      </c>
      <c r="AZ271" t="str">
        <f>""</f>
        <v/>
      </c>
      <c r="BA271" t="str">
        <f>""</f>
        <v/>
      </c>
      <c r="BB271" t="str">
        <f>"01/07/2021 13:53:04"</f>
        <v>01/07/2021 13:53:04</v>
      </c>
      <c r="BC271" t="str">
        <f>"07/07/2022 16:05:24"</f>
        <v>07/07/2022 16:05:24</v>
      </c>
      <c r="BD271" t="str">
        <f>""</f>
        <v/>
      </c>
      <c r="BE271" t="str">
        <f>""</f>
        <v/>
      </c>
      <c r="BF271" t="str">
        <f t="shared" si="137"/>
        <v>A</v>
      </c>
      <c r="BG271" t="str">
        <f>""</f>
        <v/>
      </c>
      <c r="BH271" t="str">
        <f>"0,00"</f>
        <v>0,00</v>
      </c>
      <c r="BI271" t="str">
        <f t="shared" si="117"/>
        <v>EVENTUAL</v>
      </c>
      <c r="BJ271" t="str">
        <f t="shared" si="138"/>
        <v>1</v>
      </c>
      <c r="BK271" t="str">
        <f t="shared" si="139"/>
        <v>Farmacia</v>
      </c>
      <c r="BL271" t="str">
        <f>""</f>
        <v/>
      </c>
      <c r="BM271" t="str">
        <f>"VARILUX ESPECIALISTA SELECT"</f>
        <v>VARILUX ESPECIALISTA SELECT</v>
      </c>
      <c r="BN271" t="str">
        <f>"NA"</f>
        <v>NA</v>
      </c>
      <c r="BO271" t="str">
        <f>"FOCO VARILUX DIGITAL"</f>
        <v>FOCO VARILUX DIGITAL</v>
      </c>
      <c r="BP271" t="str">
        <f>""</f>
        <v/>
      </c>
      <c r="BQ271" t="str">
        <f>""</f>
        <v/>
      </c>
      <c r="BR271" t="str">
        <f>"01/07/2021"</f>
        <v>01/07/2021</v>
      </c>
      <c r="BS271" t="str">
        <f>"07/07/2022"</f>
        <v>07/07/2022</v>
      </c>
      <c r="BT271" t="str">
        <f>""</f>
        <v/>
      </c>
      <c r="BU271" t="str">
        <f>""</f>
        <v/>
      </c>
      <c r="BV271" t="str">
        <f>""</f>
        <v/>
      </c>
      <c r="BW271" t="str">
        <f>"32"</f>
        <v>32</v>
      </c>
    </row>
    <row r="272" spans="1:75" x14ac:dyDescent="0.35">
      <c r="A272">
        <v>152724</v>
      </c>
      <c r="B272" t="str">
        <f t="shared" si="131"/>
        <v>A</v>
      </c>
      <c r="C272" t="str">
        <f t="shared" si="132"/>
        <v>80</v>
      </c>
      <c r="D272" t="str">
        <f t="shared" si="133"/>
        <v>11121001</v>
      </c>
      <c r="E272" t="str">
        <f t="shared" si="134"/>
        <v>121001</v>
      </c>
      <c r="F272" t="str">
        <f t="shared" si="135"/>
        <v>JENIFER SANTOS</v>
      </c>
      <c r="G272" t="str">
        <f>"35510317000233"</f>
        <v>35510317000233</v>
      </c>
      <c r="H272" t="str">
        <f>"0"</f>
        <v>0</v>
      </c>
      <c r="I272" t="str">
        <f t="shared" si="136"/>
        <v>CONTA OPTICA</v>
      </c>
      <c r="J272" t="str">
        <f>"OPTICA G.L.A. LTDA."</f>
        <v>OPTICA G.L.A. LTDA.</v>
      </c>
      <c r="K272" t="str">
        <f>"MERCADAO DOS OCULOS"</f>
        <v>MERCADAO DOS OCULOS</v>
      </c>
      <c r="L272" t="str">
        <f>""</f>
        <v/>
      </c>
      <c r="M272" t="str">
        <f>""</f>
        <v/>
      </c>
      <c r="N272" t="str">
        <f>"sc-concordia02@mercadaodosculos.com.br"</f>
        <v>sc-concordia02@mercadaodosculos.com.br</v>
      </c>
      <c r="O272" t="str">
        <f>""</f>
        <v/>
      </c>
      <c r="P272" t="str">
        <f>"RUA DO COMERCIO"</f>
        <v>RUA DO COMERCIO</v>
      </c>
      <c r="Q272" t="str">
        <f>"328"</f>
        <v>328</v>
      </c>
      <c r="R272" t="str">
        <f>"SALA 05 TERREO"</f>
        <v>SALA 05 TERREO</v>
      </c>
      <c r="S272" t="str">
        <f>""</f>
        <v/>
      </c>
      <c r="T272" t="str">
        <f>"89700083"</f>
        <v>89700083</v>
      </c>
      <c r="U272" t="str">
        <f>"CENTRO"</f>
        <v>CENTRO</v>
      </c>
      <c r="V272" t="str">
        <f>"CONCORDIA"</f>
        <v>CONCORDIA</v>
      </c>
      <c r="W272" t="str">
        <f t="shared" si="143"/>
        <v>SC</v>
      </c>
      <c r="X272" t="str">
        <f>"49"</f>
        <v>49</v>
      </c>
      <c r="Y272" t="str">
        <f>"991121365"</f>
        <v>991121365</v>
      </c>
      <c r="Z272" t="str">
        <f>""</f>
        <v/>
      </c>
      <c r="AA272" t="str">
        <f>""</f>
        <v/>
      </c>
      <c r="AB272" t="str">
        <f>""</f>
        <v/>
      </c>
      <c r="AC272" t="str">
        <f>""</f>
        <v/>
      </c>
      <c r="AD272" t="str">
        <f>""</f>
        <v/>
      </c>
      <c r="AE272" t="str">
        <f>""</f>
        <v/>
      </c>
      <c r="AF272" t="str">
        <f>""</f>
        <v/>
      </c>
      <c r="AG272" t="str">
        <f>""</f>
        <v/>
      </c>
      <c r="AH272" t="str">
        <f>""</f>
        <v/>
      </c>
      <c r="AI272" t="str">
        <f>""</f>
        <v/>
      </c>
      <c r="AJ272" t="str">
        <f>""</f>
        <v/>
      </c>
      <c r="AK272" t="str">
        <f>""</f>
        <v/>
      </c>
      <c r="AL272" t="str">
        <f>""</f>
        <v/>
      </c>
      <c r="AM272" t="str">
        <f>""</f>
        <v/>
      </c>
      <c r="AN272" t="str">
        <f>""</f>
        <v/>
      </c>
      <c r="AO272" t="str">
        <f>""</f>
        <v/>
      </c>
      <c r="AP272" t="str">
        <f>""</f>
        <v/>
      </c>
      <c r="AQ272" t="str">
        <f>""</f>
        <v/>
      </c>
      <c r="AR272" t="str">
        <f>""</f>
        <v/>
      </c>
      <c r="AS272" t="str">
        <f>""</f>
        <v/>
      </c>
      <c r="AT272" t="str">
        <f>""</f>
        <v/>
      </c>
      <c r="AU272" t="str">
        <f>""</f>
        <v/>
      </c>
      <c r="AV272" t="str">
        <f>""</f>
        <v/>
      </c>
      <c r="AW272" t="str">
        <f>""</f>
        <v/>
      </c>
      <c r="AX272" t="str">
        <f>""</f>
        <v/>
      </c>
      <c r="AY272" t="str">
        <f>""</f>
        <v/>
      </c>
      <c r="AZ272" t="str">
        <f>""</f>
        <v/>
      </c>
      <c r="BA272" t="str">
        <f>""</f>
        <v/>
      </c>
      <c r="BB272" t="str">
        <f>"03/04/2023 13:34:29"</f>
        <v>03/04/2023 13:34:29</v>
      </c>
      <c r="BC272" t="str">
        <f>""</f>
        <v/>
      </c>
      <c r="BD272" t="str">
        <f>""</f>
        <v/>
      </c>
      <c r="BE272" t="str">
        <f>""</f>
        <v/>
      </c>
      <c r="BF272" t="str">
        <f t="shared" si="137"/>
        <v>A</v>
      </c>
      <c r="BG272" t="str">
        <f>""</f>
        <v/>
      </c>
      <c r="BH272" t="str">
        <f>""</f>
        <v/>
      </c>
      <c r="BI272" t="str">
        <f t="shared" si="117"/>
        <v>EVENTUAL</v>
      </c>
      <c r="BJ272" t="str">
        <f t="shared" si="138"/>
        <v>1</v>
      </c>
      <c r="BK272" t="str">
        <f t="shared" si="139"/>
        <v>Farmacia</v>
      </c>
      <c r="BL272" t="str">
        <f>""</f>
        <v/>
      </c>
      <c r="BM272" t="str">
        <f>""</f>
        <v/>
      </c>
      <c r="BN272" t="str">
        <f>""</f>
        <v/>
      </c>
      <c r="BO272" t="str">
        <f>""</f>
        <v/>
      </c>
      <c r="BP272" t="str">
        <f>""</f>
        <v/>
      </c>
      <c r="BQ272" t="str">
        <f>""</f>
        <v/>
      </c>
      <c r="BR272" t="str">
        <f>"03/04/2023"</f>
        <v>03/04/2023</v>
      </c>
      <c r="BS272" t="str">
        <f>""</f>
        <v/>
      </c>
      <c r="BT272" t="str">
        <f>""</f>
        <v/>
      </c>
      <c r="BU272" t="str">
        <f>""</f>
        <v/>
      </c>
      <c r="BV272" t="str">
        <f>""</f>
        <v/>
      </c>
      <c r="BW272" t="str">
        <f>"Não visitado"</f>
        <v>Não visitado</v>
      </c>
    </row>
    <row r="273" spans="1:75" x14ac:dyDescent="0.35">
      <c r="A273">
        <v>157561</v>
      </c>
      <c r="B273" t="str">
        <f t="shared" si="131"/>
        <v>A</v>
      </c>
      <c r="C273" t="str">
        <f t="shared" si="132"/>
        <v>80</v>
      </c>
      <c r="D273" t="str">
        <f t="shared" si="133"/>
        <v>11121001</v>
      </c>
      <c r="E273" t="str">
        <f t="shared" si="134"/>
        <v>121001</v>
      </c>
      <c r="F273" t="str">
        <f t="shared" si="135"/>
        <v>JENIFER SANTOS</v>
      </c>
      <c r="G273" t="str">
        <f>"04913329000102"</f>
        <v>04913329000102</v>
      </c>
      <c r="H273" t="str">
        <f>"0"</f>
        <v>0</v>
      </c>
      <c r="I273" t="str">
        <f t="shared" si="136"/>
        <v>CONTA OPTICA</v>
      </c>
      <c r="J273" t="str">
        <f>"OPTICA GRANVILLE LTDA"</f>
        <v>OPTICA GRANVILLE LTDA</v>
      </c>
      <c r="K273" t="str">
        <f>"OPTICA GRANVILLE (179)"</f>
        <v>OPTICA GRANVILLE (179)</v>
      </c>
      <c r="L273" t="str">
        <f>""</f>
        <v/>
      </c>
      <c r="M273" t="str">
        <f>""</f>
        <v/>
      </c>
      <c r="N273" t="str">
        <f>"OTICA.AVENIDA@YAHOO.COM.BR"</f>
        <v>OTICA.AVENIDA@YAHOO.COM.BR</v>
      </c>
      <c r="O273" t="str">
        <f>""</f>
        <v/>
      </c>
      <c r="P273" t="str">
        <f>"GETULIO VARGAS"</f>
        <v>GETULIO VARGAS</v>
      </c>
      <c r="Q273" t="str">
        <f>"161"</f>
        <v>161</v>
      </c>
      <c r="R273" t="str">
        <f>"N"</f>
        <v>N</v>
      </c>
      <c r="S273" t="str">
        <f>"1287"</f>
        <v>1287</v>
      </c>
      <c r="T273" t="str">
        <f>"89802000"</f>
        <v>89802000</v>
      </c>
      <c r="U273" t="str">
        <f>"CENTRO"</f>
        <v>CENTRO</v>
      </c>
      <c r="V273" t="str">
        <f>"CHAPECO"</f>
        <v>CHAPECO</v>
      </c>
      <c r="W273" t="str">
        <f t="shared" si="143"/>
        <v>SC</v>
      </c>
      <c r="X273" t="str">
        <f>"49"</f>
        <v>49</v>
      </c>
      <c r="Y273" t="str">
        <f>"33237055"</f>
        <v>33237055</v>
      </c>
      <c r="Z273" t="str">
        <f>""</f>
        <v/>
      </c>
      <c r="AA273" t="str">
        <f>""</f>
        <v/>
      </c>
      <c r="AB273" t="str">
        <f>""</f>
        <v/>
      </c>
      <c r="AC273" t="str">
        <f>""</f>
        <v/>
      </c>
      <c r="AD273" t="str">
        <f>""</f>
        <v/>
      </c>
      <c r="AE273" t="str">
        <f>""</f>
        <v/>
      </c>
      <c r="AF273" t="str">
        <f>""</f>
        <v/>
      </c>
      <c r="AG273" t="str">
        <f>""</f>
        <v/>
      </c>
      <c r="AH273" t="str">
        <f>""</f>
        <v/>
      </c>
      <c r="AI273" t="str">
        <f>""</f>
        <v/>
      </c>
      <c r="AJ273" t="str">
        <f>""</f>
        <v/>
      </c>
      <c r="AK273" t="str">
        <f>""</f>
        <v/>
      </c>
      <c r="AL273" t="str">
        <f>""</f>
        <v/>
      </c>
      <c r="AM273" t="str">
        <f>""</f>
        <v/>
      </c>
      <c r="AN273" t="str">
        <f>""</f>
        <v/>
      </c>
      <c r="AO273" t="str">
        <f>""</f>
        <v/>
      </c>
      <c r="AP273" t="str">
        <f>""</f>
        <v/>
      </c>
      <c r="AQ273" t="str">
        <f>""</f>
        <v/>
      </c>
      <c r="AR273" t="str">
        <f>""</f>
        <v/>
      </c>
      <c r="AS273" t="str">
        <f>""</f>
        <v/>
      </c>
      <c r="AT273" t="str">
        <f>""</f>
        <v/>
      </c>
      <c r="AU273" t="str">
        <f>""</f>
        <v/>
      </c>
      <c r="AV273" t="str">
        <f>""</f>
        <v/>
      </c>
      <c r="AW273" t="str">
        <f>""</f>
        <v/>
      </c>
      <c r="AX273" t="str">
        <f>""</f>
        <v/>
      </c>
      <c r="AY273" t="str">
        <f>""</f>
        <v/>
      </c>
      <c r="AZ273" t="str">
        <f>""</f>
        <v/>
      </c>
      <c r="BA273" t="str">
        <f>""</f>
        <v/>
      </c>
      <c r="BB273" t="str">
        <f>"11/07/2023 02:14:29"</f>
        <v>11/07/2023 02:14:29</v>
      </c>
      <c r="BC273" t="str">
        <f>""</f>
        <v/>
      </c>
      <c r="BD273" t="str">
        <f>""</f>
        <v/>
      </c>
      <c r="BE273" t="str">
        <f>""</f>
        <v/>
      </c>
      <c r="BF273" t="str">
        <f t="shared" si="137"/>
        <v>A</v>
      </c>
      <c r="BG273" t="str">
        <f>""</f>
        <v/>
      </c>
      <c r="BH273" t="str">
        <f>""</f>
        <v/>
      </c>
      <c r="BI273" t="str">
        <f t="shared" si="117"/>
        <v>EVENTUAL</v>
      </c>
      <c r="BJ273" t="str">
        <f t="shared" si="138"/>
        <v>1</v>
      </c>
      <c r="BK273" t="str">
        <f t="shared" si="139"/>
        <v>Farmacia</v>
      </c>
      <c r="BL273" t="str">
        <f>""</f>
        <v/>
      </c>
      <c r="BM273" t="str">
        <f>""</f>
        <v/>
      </c>
      <c r="BN273" t="str">
        <f>""</f>
        <v/>
      </c>
      <c r="BO273" t="str">
        <f>""</f>
        <v/>
      </c>
      <c r="BP273" t="str">
        <f>""</f>
        <v/>
      </c>
      <c r="BQ273" t="str">
        <f>""</f>
        <v/>
      </c>
      <c r="BR273" t="str">
        <f>"11/07/2023"</f>
        <v>11/07/2023</v>
      </c>
      <c r="BS273" t="str">
        <f>""</f>
        <v/>
      </c>
      <c r="BT273" t="str">
        <f>""</f>
        <v/>
      </c>
      <c r="BU273" t="str">
        <f>""</f>
        <v/>
      </c>
      <c r="BV273" t="str">
        <f>""</f>
        <v/>
      </c>
      <c r="BW273" t="str">
        <f>"Não visitado"</f>
        <v>Não visitado</v>
      </c>
    </row>
    <row r="274" spans="1:75" x14ac:dyDescent="0.35">
      <c r="A274">
        <v>847</v>
      </c>
      <c r="B274" t="str">
        <f t="shared" si="131"/>
        <v>A</v>
      </c>
      <c r="C274" t="str">
        <f t="shared" si="132"/>
        <v>80</v>
      </c>
      <c r="D274" t="str">
        <f t="shared" si="133"/>
        <v>11121001</v>
      </c>
      <c r="E274" t="str">
        <f t="shared" si="134"/>
        <v>121001</v>
      </c>
      <c r="F274" t="str">
        <f t="shared" si="135"/>
        <v>JENIFER SANTOS</v>
      </c>
      <c r="G274" t="str">
        <f>"04366666000119"</f>
        <v>04366666000119</v>
      </c>
      <c r="H274" t="str">
        <f>""</f>
        <v/>
      </c>
      <c r="I274" t="str">
        <f t="shared" si="136"/>
        <v>CONTA OPTICA</v>
      </c>
      <c r="J274" t="str">
        <f>"OPTICA ITAIOPOLIS LTDA ME"</f>
        <v>OPTICA ITAIOPOLIS LTDA ME</v>
      </c>
      <c r="K274" t="str">
        <f>"OPTICA ITAIOPOLIS LTDA ME (481)"</f>
        <v>OPTICA ITAIOPOLIS LTDA ME (481)</v>
      </c>
      <c r="L274" t="str">
        <f>""</f>
        <v/>
      </c>
      <c r="M274" t="str">
        <f>""</f>
        <v/>
      </c>
      <c r="N274" t="str">
        <f>"opticaitaiopolis@hotmail.com"</f>
        <v>opticaitaiopolis@hotmail.com</v>
      </c>
      <c r="O274" t="str">
        <f>""</f>
        <v/>
      </c>
      <c r="P274" t="str">
        <f>"RUA 28 DE OUTUBRO"</f>
        <v>RUA 28 DE OUTUBRO</v>
      </c>
      <c r="Q274" t="str">
        <f>"60"</f>
        <v>60</v>
      </c>
      <c r="R274" t="str">
        <f>""</f>
        <v/>
      </c>
      <c r="S274" t="str">
        <f>"1281"</f>
        <v>1281</v>
      </c>
      <c r="T274" t="str">
        <f>"89340000"</f>
        <v>89340000</v>
      </c>
      <c r="U274" t="str">
        <f>"CENTRO"</f>
        <v>CENTRO</v>
      </c>
      <c r="V274" t="str">
        <f>"ITAIOPOLIS"</f>
        <v>ITAIOPOLIS</v>
      </c>
      <c r="W274" t="str">
        <f t="shared" si="143"/>
        <v>SC</v>
      </c>
      <c r="X274" t="str">
        <f>"47"</f>
        <v>47</v>
      </c>
      <c r="Y274" t="str">
        <f>"36521464"</f>
        <v>36521464</v>
      </c>
      <c r="Z274" t="str">
        <f>""</f>
        <v/>
      </c>
      <c r="AA274" t="str">
        <f>""</f>
        <v/>
      </c>
      <c r="AB274" t="str">
        <f>""</f>
        <v/>
      </c>
      <c r="AC274" t="str">
        <f>""</f>
        <v/>
      </c>
      <c r="AD274" t="str">
        <f>""</f>
        <v/>
      </c>
      <c r="AE274" t="str">
        <f>""</f>
        <v/>
      </c>
      <c r="AF274" t="str">
        <f>""</f>
        <v/>
      </c>
      <c r="AG274" t="str">
        <f>""</f>
        <v/>
      </c>
      <c r="AH274" t="str">
        <f>""</f>
        <v/>
      </c>
      <c r="AI274" t="str">
        <f>""</f>
        <v/>
      </c>
      <c r="AJ274" t="str">
        <f>"0"</f>
        <v>0</v>
      </c>
      <c r="AK274" t="str">
        <f>"0"</f>
        <v>0</v>
      </c>
      <c r="AL274" t="str">
        <f>"0"</f>
        <v>0</v>
      </c>
      <c r="AM274" t="str">
        <f>""</f>
        <v/>
      </c>
      <c r="AN274" t="str">
        <f>""</f>
        <v/>
      </c>
      <c r="AO274" t="str">
        <f>""</f>
        <v/>
      </c>
      <c r="AP274" t="str">
        <f>""</f>
        <v/>
      </c>
      <c r="AQ274" t="str">
        <f>""</f>
        <v/>
      </c>
      <c r="AR274" t="str">
        <f>""</f>
        <v/>
      </c>
      <c r="AS274" t="str">
        <f>""</f>
        <v/>
      </c>
      <c r="AT274" t="str">
        <f>""</f>
        <v/>
      </c>
      <c r="AU274" t="str">
        <f>""</f>
        <v/>
      </c>
      <c r="AV274" t="str">
        <f>""</f>
        <v/>
      </c>
      <c r="AW274" t="str">
        <f>""</f>
        <v/>
      </c>
      <c r="AX274" t="str">
        <f>""</f>
        <v/>
      </c>
      <c r="AY274" t="str">
        <f>""</f>
        <v/>
      </c>
      <c r="AZ274" t="str">
        <f>""</f>
        <v/>
      </c>
      <c r="BA274" t="str">
        <f>""</f>
        <v/>
      </c>
      <c r="BB274" t="str">
        <f>"27/07/2018 09:25:52"</f>
        <v>27/07/2018 09:25:52</v>
      </c>
      <c r="BC274" t="str">
        <f>""</f>
        <v/>
      </c>
      <c r="BD274" t="str">
        <f>""</f>
        <v/>
      </c>
      <c r="BE274" t="str">
        <f>"847"</f>
        <v>847</v>
      </c>
      <c r="BF274" t="str">
        <f t="shared" si="137"/>
        <v>A</v>
      </c>
      <c r="BG274" t="str">
        <f>"0,00"</f>
        <v>0,00</v>
      </c>
      <c r="BH274" t="str">
        <f>"0,00"</f>
        <v>0,00</v>
      </c>
      <c r="BI274" t="str">
        <f t="shared" si="117"/>
        <v>EVENTUAL</v>
      </c>
      <c r="BJ274" t="str">
        <f t="shared" si="138"/>
        <v>1</v>
      </c>
      <c r="BK274" t="str">
        <f t="shared" si="139"/>
        <v>Farmacia</v>
      </c>
      <c r="BL274" t="str">
        <f>""</f>
        <v/>
      </c>
      <c r="BM274" t="str">
        <f>"NÃO É VARILUX ESPECIALISTA"</f>
        <v>NÃO É VARILUX ESPECIALISTA</v>
      </c>
      <c r="BN274" t="str">
        <f>"NA"</f>
        <v>NA</v>
      </c>
      <c r="BO274" t="str">
        <f>"FOCO KODAK 2"</f>
        <v>FOCO KODAK 2</v>
      </c>
      <c r="BP274" t="str">
        <f>""</f>
        <v/>
      </c>
      <c r="BQ274" t="str">
        <f>""</f>
        <v/>
      </c>
      <c r="BR274" t="str">
        <f>"27/07/2018"</f>
        <v>27/07/2018</v>
      </c>
      <c r="BS274" t="str">
        <f>""</f>
        <v/>
      </c>
      <c r="BT274" t="str">
        <f>""</f>
        <v/>
      </c>
      <c r="BU274" t="str">
        <f>""</f>
        <v/>
      </c>
      <c r="BV274" t="str">
        <f>"9"</f>
        <v>9</v>
      </c>
      <c r="BW274" t="str">
        <f>"18"</f>
        <v>18</v>
      </c>
    </row>
    <row r="275" spans="1:75" x14ac:dyDescent="0.35">
      <c r="A275">
        <v>138148</v>
      </c>
      <c r="B275" t="str">
        <f t="shared" si="131"/>
        <v>A</v>
      </c>
      <c r="C275" t="str">
        <f t="shared" si="132"/>
        <v>80</v>
      </c>
      <c r="D275" t="str">
        <f t="shared" si="133"/>
        <v>11121001</v>
      </c>
      <c r="E275" t="str">
        <f t="shared" si="134"/>
        <v>121001</v>
      </c>
      <c r="F275" t="str">
        <f t="shared" si="135"/>
        <v>JENIFER SANTOS</v>
      </c>
      <c r="G275" t="str">
        <f>"14958795000150"</f>
        <v>14958795000150</v>
      </c>
      <c r="H275" t="str">
        <f>"0"</f>
        <v>0</v>
      </c>
      <c r="I275" t="str">
        <f t="shared" si="136"/>
        <v>CONTA OPTICA</v>
      </c>
      <c r="J275" t="str">
        <f>"OPTICA LEAL E BARBOSA LTDA - ME"</f>
        <v>OPTICA LEAL E BARBOSA LTDA - ME</v>
      </c>
      <c r="K275" t="str">
        <f>"MULTIOPTICA (1877)"</f>
        <v>MULTIOPTICA (1877)</v>
      </c>
      <c r="L275" t="str">
        <f>""</f>
        <v/>
      </c>
      <c r="M275" t="str">
        <f>""</f>
        <v/>
      </c>
      <c r="N275" t="str">
        <f>"multioptica@hotmail.com"</f>
        <v>multioptica@hotmail.com</v>
      </c>
      <c r="O275" t="str">
        <f>""</f>
        <v/>
      </c>
      <c r="P275" t="str">
        <f>"RUA EMILIA GIOPPO BRASIL"</f>
        <v>RUA EMILIA GIOPPO BRASIL</v>
      </c>
      <c r="Q275" t="str">
        <f>"367"</f>
        <v>367</v>
      </c>
      <c r="R275" t="str">
        <f>"SALA 01"</f>
        <v>SALA 01</v>
      </c>
      <c r="S275" t="str">
        <f>""</f>
        <v/>
      </c>
      <c r="T275" t="str">
        <f>"89500145"</f>
        <v>89500145</v>
      </c>
      <c r="U275" t="str">
        <f>"GIOPPO"</f>
        <v>GIOPPO</v>
      </c>
      <c r="V275" t="str">
        <f>"CAÇADOR"</f>
        <v>CAÇADOR</v>
      </c>
      <c r="W275" t="str">
        <f t="shared" si="143"/>
        <v>SC</v>
      </c>
      <c r="X275" t="str">
        <f>"49"</f>
        <v>49</v>
      </c>
      <c r="Y275" t="str">
        <f>"35633004"</f>
        <v>35633004</v>
      </c>
      <c r="Z275" t="str">
        <f>""</f>
        <v/>
      </c>
      <c r="AA275" t="str">
        <f>""</f>
        <v/>
      </c>
      <c r="AB275" t="str">
        <f>""</f>
        <v/>
      </c>
      <c r="AC275" t="str">
        <f>""</f>
        <v/>
      </c>
      <c r="AD275" t="str">
        <f>""</f>
        <v/>
      </c>
      <c r="AE275" t="str">
        <f>""</f>
        <v/>
      </c>
      <c r="AF275" t="str">
        <f>""</f>
        <v/>
      </c>
      <c r="AG275" t="str">
        <f>"S"</f>
        <v>S</v>
      </c>
      <c r="AH275" t="str">
        <f>""</f>
        <v/>
      </c>
      <c r="AI275" t="str">
        <f>""</f>
        <v/>
      </c>
      <c r="AJ275" t="str">
        <f>""</f>
        <v/>
      </c>
      <c r="AK275" t="str">
        <f>""</f>
        <v/>
      </c>
      <c r="AL275" t="str">
        <f>""</f>
        <v/>
      </c>
      <c r="AM275" t="str">
        <f>""</f>
        <v/>
      </c>
      <c r="AN275" t="str">
        <f>""</f>
        <v/>
      </c>
      <c r="AO275" t="str">
        <f>""</f>
        <v/>
      </c>
      <c r="AP275" t="str">
        <f>""</f>
        <v/>
      </c>
      <c r="AQ275" t="str">
        <f>"N"</f>
        <v>N</v>
      </c>
      <c r="AR275" t="str">
        <f>"N"</f>
        <v>N</v>
      </c>
      <c r="AS275" t="str">
        <f>"N"</f>
        <v>N</v>
      </c>
      <c r="AT275" t="str">
        <f>"N"</f>
        <v>N</v>
      </c>
      <c r="AU275" t="str">
        <f>"N"</f>
        <v>N</v>
      </c>
      <c r="AV275" t="str">
        <f>""</f>
        <v/>
      </c>
      <c r="AW275" t="str">
        <f>""</f>
        <v/>
      </c>
      <c r="AX275" t="str">
        <f>""</f>
        <v/>
      </c>
      <c r="AY275" t="str">
        <f>""</f>
        <v/>
      </c>
      <c r="AZ275" t="str">
        <f>""</f>
        <v/>
      </c>
      <c r="BA275" t="str">
        <f>""</f>
        <v/>
      </c>
      <c r="BB275" t="str">
        <f>"01/07/2021 13:53:04"</f>
        <v>01/07/2021 13:53:04</v>
      </c>
      <c r="BC275" t="str">
        <f>"13/06/2022 17:08:30"</f>
        <v>13/06/2022 17:08:30</v>
      </c>
      <c r="BD275" t="str">
        <f>""</f>
        <v/>
      </c>
      <c r="BE275" t="str">
        <f>""</f>
        <v/>
      </c>
      <c r="BF275" t="str">
        <f t="shared" si="137"/>
        <v>A</v>
      </c>
      <c r="BG275" t="str">
        <f>""</f>
        <v/>
      </c>
      <c r="BH275" t="str">
        <f>"0,00"</f>
        <v>0,00</v>
      </c>
      <c r="BI275" t="str">
        <f t="shared" si="117"/>
        <v>EVENTUAL</v>
      </c>
      <c r="BJ275" t="str">
        <f t="shared" si="138"/>
        <v>1</v>
      </c>
      <c r="BK275" t="str">
        <f t="shared" si="139"/>
        <v>Farmacia</v>
      </c>
      <c r="BL275" t="str">
        <f>""</f>
        <v/>
      </c>
      <c r="BM275" t="str">
        <f>"VARILUX ESPECIALISTA PREMIER"</f>
        <v>VARILUX ESPECIALISTA PREMIER</v>
      </c>
      <c r="BN275" t="str">
        <f>"NA"</f>
        <v>NA</v>
      </c>
      <c r="BO275" t="str">
        <f>"FOCO VARILUX DIGITAL"</f>
        <v>FOCO VARILUX DIGITAL</v>
      </c>
      <c r="BP275" t="str">
        <f>""</f>
        <v/>
      </c>
      <c r="BQ275" t="str">
        <f>""</f>
        <v/>
      </c>
      <c r="BR275" t="str">
        <f>"01/07/2021"</f>
        <v>01/07/2021</v>
      </c>
      <c r="BS275" t="str">
        <f>"13/06/2022"</f>
        <v>13/06/2022</v>
      </c>
      <c r="BT275" t="str">
        <f>""</f>
        <v/>
      </c>
      <c r="BU275" t="str">
        <f>""</f>
        <v/>
      </c>
      <c r="BV275" t="str">
        <f>""</f>
        <v/>
      </c>
      <c r="BW275" t="str">
        <f>"24"</f>
        <v>24</v>
      </c>
    </row>
    <row r="276" spans="1:75" x14ac:dyDescent="0.35">
      <c r="A276">
        <v>157506</v>
      </c>
      <c r="B276" t="str">
        <f t="shared" si="131"/>
        <v>A</v>
      </c>
      <c r="C276" t="str">
        <f t="shared" si="132"/>
        <v>80</v>
      </c>
      <c r="D276" t="str">
        <f t="shared" si="133"/>
        <v>11121001</v>
      </c>
      <c r="E276" t="str">
        <f t="shared" si="134"/>
        <v>121001</v>
      </c>
      <c r="F276" t="str">
        <f t="shared" si="135"/>
        <v>JENIFER SANTOS</v>
      </c>
      <c r="G276" t="str">
        <f>"09533748000124"</f>
        <v>09533748000124</v>
      </c>
      <c r="H276" t="str">
        <f>"0"</f>
        <v>0</v>
      </c>
      <c r="I276" t="str">
        <f t="shared" si="136"/>
        <v>CONTA OPTICA</v>
      </c>
      <c r="J276" t="str">
        <f>"OPTICA PAPANDUVA LTDA"</f>
        <v>OPTICA PAPANDUVA LTDA</v>
      </c>
      <c r="K276" t="str">
        <f>"OPTICA LUZ (1411)"</f>
        <v>OPTICA LUZ (1411)</v>
      </c>
      <c r="L276" t="str">
        <f>""</f>
        <v/>
      </c>
      <c r="M276" t="str">
        <f>""</f>
        <v/>
      </c>
      <c r="N276" t="str">
        <f>""</f>
        <v/>
      </c>
      <c r="O276" t="str">
        <f>""</f>
        <v/>
      </c>
      <c r="P276" t="str">
        <f>"RUA TENENTE ARY RAUEN"</f>
        <v>RUA TENENTE ARY RAUEN</v>
      </c>
      <c r="Q276" t="str">
        <f>"813"</f>
        <v>813</v>
      </c>
      <c r="R276" t="str">
        <f>""</f>
        <v/>
      </c>
      <c r="S276" t="str">
        <f>"1281"</f>
        <v>1281</v>
      </c>
      <c r="T276" t="str">
        <f>"89370000"</f>
        <v>89370000</v>
      </c>
      <c r="U276" t="str">
        <f>"CENTRO"</f>
        <v>CENTRO</v>
      </c>
      <c r="V276" t="str">
        <f>"PAPANDUVA"</f>
        <v>PAPANDUVA</v>
      </c>
      <c r="W276" t="str">
        <f t="shared" si="143"/>
        <v>SC</v>
      </c>
      <c r="X276" t="str">
        <f>"47"</f>
        <v>47</v>
      </c>
      <c r="Y276" t="str">
        <f>"36532270"</f>
        <v>36532270</v>
      </c>
      <c r="Z276" t="str">
        <f>""</f>
        <v/>
      </c>
      <c r="AA276" t="str">
        <f>""</f>
        <v/>
      </c>
      <c r="AB276" t="str">
        <f>""</f>
        <v/>
      </c>
      <c r="AC276" t="str">
        <f>""</f>
        <v/>
      </c>
      <c r="AD276" t="str">
        <f>""</f>
        <v/>
      </c>
      <c r="AE276" t="str">
        <f>""</f>
        <v/>
      </c>
      <c r="AF276" t="str">
        <f>""</f>
        <v/>
      </c>
      <c r="AG276" t="str">
        <f>""</f>
        <v/>
      </c>
      <c r="AH276" t="str">
        <f>""</f>
        <v/>
      </c>
      <c r="AI276" t="str">
        <f>""</f>
        <v/>
      </c>
      <c r="AJ276" t="str">
        <f>""</f>
        <v/>
      </c>
      <c r="AK276" t="str">
        <f>""</f>
        <v/>
      </c>
      <c r="AL276" t="str">
        <f>""</f>
        <v/>
      </c>
      <c r="AM276" t="str">
        <f>""</f>
        <v/>
      </c>
      <c r="AN276" t="str">
        <f>""</f>
        <v/>
      </c>
      <c r="AO276" t="str">
        <f>""</f>
        <v/>
      </c>
      <c r="AP276" t="str">
        <f>""</f>
        <v/>
      </c>
      <c r="AQ276" t="str">
        <f>""</f>
        <v/>
      </c>
      <c r="AR276" t="str">
        <f>""</f>
        <v/>
      </c>
      <c r="AS276" t="str">
        <f>""</f>
        <v/>
      </c>
      <c r="AT276" t="str">
        <f>""</f>
        <v/>
      </c>
      <c r="AU276" t="str">
        <f>""</f>
        <v/>
      </c>
      <c r="AV276" t="str">
        <f>""</f>
        <v/>
      </c>
      <c r="AW276" t="str">
        <f>""</f>
        <v/>
      </c>
      <c r="AX276" t="str">
        <f>""</f>
        <v/>
      </c>
      <c r="AY276" t="str">
        <f>""</f>
        <v/>
      </c>
      <c r="AZ276" t="str">
        <f>""</f>
        <v/>
      </c>
      <c r="BA276" t="str">
        <f>""</f>
        <v/>
      </c>
      <c r="BB276" t="str">
        <f>"11/07/2023 02:14:29"</f>
        <v>11/07/2023 02:14:29</v>
      </c>
      <c r="BC276" t="str">
        <f>""</f>
        <v/>
      </c>
      <c r="BD276" t="str">
        <f>""</f>
        <v/>
      </c>
      <c r="BE276" t="str">
        <f>""</f>
        <v/>
      </c>
      <c r="BF276" t="str">
        <f t="shared" si="137"/>
        <v>A</v>
      </c>
      <c r="BG276" t="str">
        <f>""</f>
        <v/>
      </c>
      <c r="BH276" t="str">
        <f>""</f>
        <v/>
      </c>
      <c r="BI276" t="str">
        <f t="shared" si="117"/>
        <v>EVENTUAL</v>
      </c>
      <c r="BJ276" t="str">
        <f t="shared" si="138"/>
        <v>1</v>
      </c>
      <c r="BK276" t="str">
        <f t="shared" si="139"/>
        <v>Farmacia</v>
      </c>
      <c r="BL276" t="str">
        <f>""</f>
        <v/>
      </c>
      <c r="BM276" t="str">
        <f>""</f>
        <v/>
      </c>
      <c r="BN276" t="str">
        <f>""</f>
        <v/>
      </c>
      <c r="BO276" t="str">
        <f>""</f>
        <v/>
      </c>
      <c r="BP276" t="str">
        <f>""</f>
        <v/>
      </c>
      <c r="BQ276" t="str">
        <f>""</f>
        <v/>
      </c>
      <c r="BR276" t="str">
        <f>"11/07/2023"</f>
        <v>11/07/2023</v>
      </c>
      <c r="BS276" t="str">
        <f>""</f>
        <v/>
      </c>
      <c r="BT276" t="str">
        <f>""</f>
        <v/>
      </c>
      <c r="BU276" t="str">
        <f>""</f>
        <v/>
      </c>
      <c r="BV276" t="str">
        <f>""</f>
        <v/>
      </c>
      <c r="BW276" t="str">
        <f>"50"</f>
        <v>50</v>
      </c>
    </row>
    <row r="277" spans="1:75" x14ac:dyDescent="0.35">
      <c r="A277">
        <v>144446</v>
      </c>
      <c r="B277" t="str">
        <f t="shared" si="131"/>
        <v>A</v>
      </c>
      <c r="C277" t="str">
        <f t="shared" si="132"/>
        <v>80</v>
      </c>
      <c r="D277" t="str">
        <f t="shared" si="133"/>
        <v>11121001</v>
      </c>
      <c r="E277" t="str">
        <f t="shared" si="134"/>
        <v>121001</v>
      </c>
      <c r="F277" t="str">
        <f t="shared" si="135"/>
        <v>JENIFER SANTOS</v>
      </c>
      <c r="G277" t="str">
        <f>"18377096000177"</f>
        <v>18377096000177</v>
      </c>
      <c r="H277" t="str">
        <f>""</f>
        <v/>
      </c>
      <c r="I277" t="str">
        <f t="shared" si="136"/>
        <v>CONTA OPTICA</v>
      </c>
      <c r="J277" t="str">
        <f>"OPTICA PARA TODOS LTDA ME"</f>
        <v>OPTICA PARA TODOS LTDA ME</v>
      </c>
      <c r="K277" t="str">
        <f>"OPTICA CANOINHAS (2023)"</f>
        <v>OPTICA CANOINHAS (2023)</v>
      </c>
      <c r="L277" t="str">
        <f>""</f>
        <v/>
      </c>
      <c r="M277" t="str">
        <f>""</f>
        <v/>
      </c>
      <c r="N277" t="str">
        <f>"opticaptodos@hotmail.com"</f>
        <v>opticaptodos@hotmail.com</v>
      </c>
      <c r="O277" t="str">
        <f>""</f>
        <v/>
      </c>
      <c r="P277" t="str">
        <f>"RUA  SENADOR FELIPE SCHMIDT"</f>
        <v>RUA  SENADOR FELIPE SCHMIDT</v>
      </c>
      <c r="Q277" t="str">
        <f>"382"</f>
        <v>382</v>
      </c>
      <c r="R277" t="str">
        <f>"SALA 01"</f>
        <v>SALA 01</v>
      </c>
      <c r="S277" t="str">
        <f>"1283"</f>
        <v>1283</v>
      </c>
      <c r="T277" t="str">
        <f>"89460000"</f>
        <v>89460000</v>
      </c>
      <c r="U277" t="str">
        <f>"CENTRO"</f>
        <v>CENTRO</v>
      </c>
      <c r="V277" t="str">
        <f>"ITAIOPOLIS"</f>
        <v>ITAIOPOLIS</v>
      </c>
      <c r="W277" t="str">
        <f t="shared" si="143"/>
        <v>SC</v>
      </c>
      <c r="X277" t="str">
        <f>"47"</f>
        <v>47</v>
      </c>
      <c r="Y277" t="str">
        <f>"36223791"</f>
        <v>36223791</v>
      </c>
      <c r="Z277" t="str">
        <f>""</f>
        <v/>
      </c>
      <c r="AA277" t="str">
        <f>""</f>
        <v/>
      </c>
      <c r="AB277" t="str">
        <f>""</f>
        <v/>
      </c>
      <c r="AC277" t="str">
        <f>""</f>
        <v/>
      </c>
      <c r="AD277" t="str">
        <f>""</f>
        <v/>
      </c>
      <c r="AE277" t="str">
        <f>""</f>
        <v/>
      </c>
      <c r="AF277" t="str">
        <f>""</f>
        <v/>
      </c>
      <c r="AG277" t="str">
        <f>""</f>
        <v/>
      </c>
      <c r="AH277" t="str">
        <f>""</f>
        <v/>
      </c>
      <c r="AI277" t="str">
        <f>""</f>
        <v/>
      </c>
      <c r="AJ277" t="str">
        <f>"0"</f>
        <v>0</v>
      </c>
      <c r="AK277" t="str">
        <f>"0"</f>
        <v>0</v>
      </c>
      <c r="AL277" t="str">
        <f>"0"</f>
        <v>0</v>
      </c>
      <c r="AM277" t="str">
        <f>""</f>
        <v/>
      </c>
      <c r="AN277" t="str">
        <f>""</f>
        <v/>
      </c>
      <c r="AO277" t="str">
        <f>""</f>
        <v/>
      </c>
      <c r="AP277" t="str">
        <f>""</f>
        <v/>
      </c>
      <c r="AQ277" t="str">
        <f>""</f>
        <v/>
      </c>
      <c r="AR277" t="str">
        <f>""</f>
        <v/>
      </c>
      <c r="AS277" t="str">
        <f>""</f>
        <v/>
      </c>
      <c r="AT277" t="str">
        <f>""</f>
        <v/>
      </c>
      <c r="AU277" t="str">
        <f>""</f>
        <v/>
      </c>
      <c r="AV277" t="str">
        <f>""</f>
        <v/>
      </c>
      <c r="AW277" t="str">
        <f>""</f>
        <v/>
      </c>
      <c r="AX277" t="str">
        <f>""</f>
        <v/>
      </c>
      <c r="AY277" t="str">
        <f>""</f>
        <v/>
      </c>
      <c r="AZ277" t="str">
        <f>""</f>
        <v/>
      </c>
      <c r="BA277" t="str">
        <f>""</f>
        <v/>
      </c>
      <c r="BB277" t="str">
        <f>""</f>
        <v/>
      </c>
      <c r="BC277" t="str">
        <f>""</f>
        <v/>
      </c>
      <c r="BD277" t="str">
        <f>""</f>
        <v/>
      </c>
      <c r="BE277" t="str">
        <f>""</f>
        <v/>
      </c>
      <c r="BF277" t="str">
        <f t="shared" si="137"/>
        <v>A</v>
      </c>
      <c r="BG277" t="str">
        <f>"0,00"</f>
        <v>0,00</v>
      </c>
      <c r="BH277" t="str">
        <f>"0,00"</f>
        <v>0,00</v>
      </c>
      <c r="BI277" t="str">
        <f t="shared" si="117"/>
        <v>EVENTUAL</v>
      </c>
      <c r="BJ277" t="str">
        <f t="shared" si="138"/>
        <v>1</v>
      </c>
      <c r="BK277" t="str">
        <f t="shared" si="139"/>
        <v>Farmacia</v>
      </c>
      <c r="BL277" t="str">
        <f>""</f>
        <v/>
      </c>
      <c r="BM277" t="str">
        <f>"NÃO É VARILUX ESPECIALISTA"</f>
        <v>NÃO É VARILUX ESPECIALISTA</v>
      </c>
      <c r="BN277" t="str">
        <f>"NA"</f>
        <v>NA</v>
      </c>
      <c r="BO277" t="str">
        <f>"FOCO KODAK 2"</f>
        <v>FOCO KODAK 2</v>
      </c>
      <c r="BP277" t="str">
        <f>""</f>
        <v/>
      </c>
      <c r="BQ277" t="str">
        <f>""</f>
        <v/>
      </c>
      <c r="BR277" t="str">
        <f>""</f>
        <v/>
      </c>
      <c r="BS277" t="str">
        <f>""</f>
        <v/>
      </c>
      <c r="BT277" t="str">
        <f>""</f>
        <v/>
      </c>
      <c r="BU277" t="str">
        <f>""</f>
        <v/>
      </c>
      <c r="BV277" t="str">
        <f>"9"</f>
        <v>9</v>
      </c>
      <c r="BW277" t="str">
        <f>"91"</f>
        <v>91</v>
      </c>
    </row>
    <row r="278" spans="1:75" x14ac:dyDescent="0.35">
      <c r="A278">
        <v>156727</v>
      </c>
      <c r="B278" t="str">
        <f t="shared" si="131"/>
        <v>A</v>
      </c>
      <c r="C278" t="str">
        <f t="shared" si="132"/>
        <v>80</v>
      </c>
      <c r="D278" t="str">
        <f t="shared" si="133"/>
        <v>11121001</v>
      </c>
      <c r="E278" t="str">
        <f t="shared" si="134"/>
        <v>121001</v>
      </c>
      <c r="F278" t="str">
        <f t="shared" si="135"/>
        <v>JENIFER SANTOS</v>
      </c>
      <c r="G278" t="str">
        <f>"30023625000130"</f>
        <v>30023625000130</v>
      </c>
      <c r="H278" t="str">
        <f>"0"</f>
        <v>0</v>
      </c>
      <c r="I278" t="str">
        <f t="shared" si="136"/>
        <v>CONTA OPTICA</v>
      </c>
      <c r="J278" t="str">
        <f>"OPTICA PONTUAL PRIME LTDA"</f>
        <v>OPTICA PONTUAL PRIME LTDA</v>
      </c>
      <c r="K278" t="str">
        <f>"PONTUAL PRIME (4315)"</f>
        <v>PONTUAL PRIME (4315)</v>
      </c>
      <c r="L278" t="str">
        <f>""</f>
        <v/>
      </c>
      <c r="M278" t="str">
        <f>""</f>
        <v/>
      </c>
      <c r="N278" t="str">
        <f>"LAB2@PONTUALPRIME.COM.BR"</f>
        <v>LAB2@PONTUALPRIME.COM.BR</v>
      </c>
      <c r="O278" t="str">
        <f>""</f>
        <v/>
      </c>
      <c r="P278" t="str">
        <f>"RUA MOROM"</f>
        <v>RUA MOROM</v>
      </c>
      <c r="Q278" t="str">
        <f>"1493"</f>
        <v>1493</v>
      </c>
      <c r="R278" t="str">
        <f>"SALA 01"</f>
        <v>SALA 01</v>
      </c>
      <c r="S278" t="str">
        <f>""</f>
        <v/>
      </c>
      <c r="T278" t="str">
        <f>"99010032"</f>
        <v>99010032</v>
      </c>
      <c r="U278" t="str">
        <f>"CENTRO"</f>
        <v>CENTRO</v>
      </c>
      <c r="V278" t="str">
        <f>"PASSO FUNDO"</f>
        <v>PASSO FUNDO</v>
      </c>
      <c r="W278" t="str">
        <f>"RS"</f>
        <v>RS</v>
      </c>
      <c r="X278" t="str">
        <f>"54"</f>
        <v>54</v>
      </c>
      <c r="Y278" t="str">
        <f>"30461222"</f>
        <v>30461222</v>
      </c>
      <c r="Z278" t="str">
        <f>""</f>
        <v/>
      </c>
      <c r="AA278" t="str">
        <f>""</f>
        <v/>
      </c>
      <c r="AB278" t="str">
        <f>""</f>
        <v/>
      </c>
      <c r="AC278" t="str">
        <f>""</f>
        <v/>
      </c>
      <c r="AD278" t="str">
        <f>""</f>
        <v/>
      </c>
      <c r="AE278" t="str">
        <f>""</f>
        <v/>
      </c>
      <c r="AF278" t="str">
        <f>""</f>
        <v/>
      </c>
      <c r="AG278" t="str">
        <f>""</f>
        <v/>
      </c>
      <c r="AH278" t="str">
        <f>""</f>
        <v/>
      </c>
      <c r="AI278" t="str">
        <f>""</f>
        <v/>
      </c>
      <c r="AJ278" t="str">
        <f>""</f>
        <v/>
      </c>
      <c r="AK278" t="str">
        <f>""</f>
        <v/>
      </c>
      <c r="AL278" t="str">
        <f>""</f>
        <v/>
      </c>
      <c r="AM278" t="str">
        <f>""</f>
        <v/>
      </c>
      <c r="AN278" t="str">
        <f>""</f>
        <v/>
      </c>
      <c r="AO278" t="str">
        <f>""</f>
        <v/>
      </c>
      <c r="AP278" t="str">
        <f>""</f>
        <v/>
      </c>
      <c r="AQ278" t="str">
        <f>""</f>
        <v/>
      </c>
      <c r="AR278" t="str">
        <f>""</f>
        <v/>
      </c>
      <c r="AS278" t="str">
        <f>""</f>
        <v/>
      </c>
      <c r="AT278" t="str">
        <f>""</f>
        <v/>
      </c>
      <c r="AU278" t="str">
        <f>""</f>
        <v/>
      </c>
      <c r="AV278" t="str">
        <f>""</f>
        <v/>
      </c>
      <c r="AW278" t="str">
        <f>""</f>
        <v/>
      </c>
      <c r="AX278" t="str">
        <f>""</f>
        <v/>
      </c>
      <c r="AY278" t="str">
        <f>""</f>
        <v/>
      </c>
      <c r="AZ278" t="str">
        <f>""</f>
        <v/>
      </c>
      <c r="BA278" t="str">
        <f>""</f>
        <v/>
      </c>
      <c r="BB278" t="str">
        <f>"06/07/2023 12:07:48"</f>
        <v>06/07/2023 12:07:48</v>
      </c>
      <c r="BC278" t="str">
        <f>""</f>
        <v/>
      </c>
      <c r="BD278" t="str">
        <f>""</f>
        <v/>
      </c>
      <c r="BE278" t="str">
        <f>""</f>
        <v/>
      </c>
      <c r="BF278" t="str">
        <f t="shared" si="137"/>
        <v>A</v>
      </c>
      <c r="BG278" t="str">
        <f>""</f>
        <v/>
      </c>
      <c r="BH278" t="str">
        <f>""</f>
        <v/>
      </c>
      <c r="BI278" t="str">
        <f t="shared" si="117"/>
        <v>EVENTUAL</v>
      </c>
      <c r="BJ278" t="str">
        <f t="shared" si="138"/>
        <v>1</v>
      </c>
      <c r="BK278" t="str">
        <f t="shared" si="139"/>
        <v>Farmacia</v>
      </c>
      <c r="BL278" t="str">
        <f>""</f>
        <v/>
      </c>
      <c r="BM278" t="str">
        <f>""</f>
        <v/>
      </c>
      <c r="BN278" t="str">
        <f>""</f>
        <v/>
      </c>
      <c r="BO278" t="str">
        <f>""</f>
        <v/>
      </c>
      <c r="BP278" t="str">
        <f>""</f>
        <v/>
      </c>
      <c r="BQ278" t="str">
        <f>""</f>
        <v/>
      </c>
      <c r="BR278" t="str">
        <f>"06/07/2023"</f>
        <v>06/07/2023</v>
      </c>
      <c r="BS278" t="str">
        <f>""</f>
        <v/>
      </c>
      <c r="BT278" t="str">
        <f>""</f>
        <v/>
      </c>
      <c r="BU278" t="str">
        <f>""</f>
        <v/>
      </c>
      <c r="BV278" t="str">
        <f>""</f>
        <v/>
      </c>
      <c r="BW278" t="str">
        <f>"Não visitado"</f>
        <v>Não visitado</v>
      </c>
    </row>
    <row r="279" spans="1:75" x14ac:dyDescent="0.35">
      <c r="A279">
        <v>152731</v>
      </c>
      <c r="B279" t="str">
        <f t="shared" si="131"/>
        <v>A</v>
      </c>
      <c r="C279" t="str">
        <f t="shared" si="132"/>
        <v>80</v>
      </c>
      <c r="D279" t="str">
        <f t="shared" si="133"/>
        <v>11121001</v>
      </c>
      <c r="E279" t="str">
        <f t="shared" si="134"/>
        <v>121001</v>
      </c>
      <c r="F279" t="str">
        <f t="shared" si="135"/>
        <v>JENIFER SANTOS</v>
      </c>
      <c r="G279" t="str">
        <f>"46207637000316"</f>
        <v>46207637000316</v>
      </c>
      <c r="H279" t="str">
        <f>"0"</f>
        <v>0</v>
      </c>
      <c r="I279" t="str">
        <f t="shared" si="136"/>
        <v>CONTA OPTICA</v>
      </c>
      <c r="J279" t="str">
        <f>"ÓPTICA RC LTDA"</f>
        <v>ÓPTICA RC LTDA</v>
      </c>
      <c r="K279" t="str">
        <f>"OTICAS RECRIS SHOPPING"</f>
        <v>OTICAS RECRIS SHOPPING</v>
      </c>
      <c r="L279" t="str">
        <f>""</f>
        <v/>
      </c>
      <c r="M279" t="str">
        <f>""</f>
        <v/>
      </c>
      <c r="N279" t="str">
        <f>"loja2@oticasrecris.com"</f>
        <v>loja2@oticasrecris.com</v>
      </c>
      <c r="O279" t="str">
        <f>""</f>
        <v/>
      </c>
      <c r="P279" t="str">
        <f>"AVENIDA FERNANDO MACHADO - D"</f>
        <v>AVENIDA FERNANDO MACHADO - D</v>
      </c>
      <c r="Q279" t="str">
        <f>"4000"</f>
        <v>4000</v>
      </c>
      <c r="R279" t="str">
        <f>"SALA 55"</f>
        <v>SALA 55</v>
      </c>
      <c r="S279" t="str">
        <f>"1287"</f>
        <v>1287</v>
      </c>
      <c r="T279" t="str">
        <f>"89805203"</f>
        <v>89805203</v>
      </c>
      <c r="U279" t="str">
        <f>"LIDER"</f>
        <v>LIDER</v>
      </c>
      <c r="V279" t="str">
        <f>"CHAPECO"</f>
        <v>CHAPECO</v>
      </c>
      <c r="W279" t="str">
        <f t="shared" ref="W279:W288" si="144">"SC"</f>
        <v>SC</v>
      </c>
      <c r="X279" t="str">
        <f>"49"</f>
        <v>49</v>
      </c>
      <c r="Y279" t="str">
        <f>"988852890"</f>
        <v>988852890</v>
      </c>
      <c r="Z279" t="str">
        <f>""</f>
        <v/>
      </c>
      <c r="AA279" t="str">
        <f>""</f>
        <v/>
      </c>
      <c r="AB279" t="str">
        <f>""</f>
        <v/>
      </c>
      <c r="AC279" t="str">
        <f>""</f>
        <v/>
      </c>
      <c r="AD279" t="str">
        <f>""</f>
        <v/>
      </c>
      <c r="AE279" t="str">
        <f>""</f>
        <v/>
      </c>
      <c r="AF279" t="str">
        <f>""</f>
        <v/>
      </c>
      <c r="AG279" t="str">
        <f>""</f>
        <v/>
      </c>
      <c r="AH279" t="str">
        <f>""</f>
        <v/>
      </c>
      <c r="AI279" t="str">
        <f>""</f>
        <v/>
      </c>
      <c r="AJ279" t="str">
        <f>""</f>
        <v/>
      </c>
      <c r="AK279" t="str">
        <f>""</f>
        <v/>
      </c>
      <c r="AL279" t="str">
        <f>""</f>
        <v/>
      </c>
      <c r="AM279" t="str">
        <f>""</f>
        <v/>
      </c>
      <c r="AN279" t="str">
        <f>""</f>
        <v/>
      </c>
      <c r="AO279" t="str">
        <f>""</f>
        <v/>
      </c>
      <c r="AP279" t="str">
        <f>""</f>
        <v/>
      </c>
      <c r="AQ279" t="str">
        <f>""</f>
        <v/>
      </c>
      <c r="AR279" t="str">
        <f>""</f>
        <v/>
      </c>
      <c r="AS279" t="str">
        <f>""</f>
        <v/>
      </c>
      <c r="AT279" t="str">
        <f>""</f>
        <v/>
      </c>
      <c r="AU279" t="str">
        <f>""</f>
        <v/>
      </c>
      <c r="AV279" t="str">
        <f>""</f>
        <v/>
      </c>
      <c r="AW279" t="str">
        <f>""</f>
        <v/>
      </c>
      <c r="AX279" t="str">
        <f>""</f>
        <v/>
      </c>
      <c r="AY279" t="str">
        <f>""</f>
        <v/>
      </c>
      <c r="AZ279" t="str">
        <f>""</f>
        <v/>
      </c>
      <c r="BA279" t="str">
        <f>""</f>
        <v/>
      </c>
      <c r="BB279" t="str">
        <f>"03/04/2023 13:34:29"</f>
        <v>03/04/2023 13:34:29</v>
      </c>
      <c r="BC279" t="str">
        <f>""</f>
        <v/>
      </c>
      <c r="BD279" t="str">
        <f>""</f>
        <v/>
      </c>
      <c r="BE279" t="str">
        <f>""</f>
        <v/>
      </c>
      <c r="BF279" t="str">
        <f t="shared" si="137"/>
        <v>A</v>
      </c>
      <c r="BG279" t="str">
        <f>""</f>
        <v/>
      </c>
      <c r="BH279" t="str">
        <f>""</f>
        <v/>
      </c>
      <c r="BI279" t="str">
        <f t="shared" si="117"/>
        <v>EVENTUAL</v>
      </c>
      <c r="BJ279" t="str">
        <f t="shared" si="138"/>
        <v>1</v>
      </c>
      <c r="BK279" t="str">
        <f t="shared" si="139"/>
        <v>Farmacia</v>
      </c>
      <c r="BL279" t="str">
        <f>""</f>
        <v/>
      </c>
      <c r="BM279" t="str">
        <f>""</f>
        <v/>
      </c>
      <c r="BN279" t="str">
        <f>""</f>
        <v/>
      </c>
      <c r="BO279" t="str">
        <f>""</f>
        <v/>
      </c>
      <c r="BP279" t="str">
        <f>""</f>
        <v/>
      </c>
      <c r="BQ279" t="str">
        <f>""</f>
        <v/>
      </c>
      <c r="BR279" t="str">
        <f>"03/04/2023"</f>
        <v>03/04/2023</v>
      </c>
      <c r="BS279" t="str">
        <f>""</f>
        <v/>
      </c>
      <c r="BT279" t="str">
        <f>""</f>
        <v/>
      </c>
      <c r="BU279" t="str">
        <f>""</f>
        <v/>
      </c>
      <c r="BV279" t="str">
        <f>""</f>
        <v/>
      </c>
      <c r="BW279" t="str">
        <f>"Não visitado"</f>
        <v>Não visitado</v>
      </c>
    </row>
    <row r="280" spans="1:75" x14ac:dyDescent="0.35">
      <c r="A280">
        <v>152736</v>
      </c>
      <c r="B280" t="str">
        <f t="shared" si="131"/>
        <v>A</v>
      </c>
      <c r="C280" t="str">
        <f t="shared" si="132"/>
        <v>80</v>
      </c>
      <c r="D280" t="str">
        <f t="shared" si="133"/>
        <v>11121001</v>
      </c>
      <c r="E280" t="str">
        <f t="shared" si="134"/>
        <v>121001</v>
      </c>
      <c r="F280" t="str">
        <f t="shared" si="135"/>
        <v>JENIFER SANTOS</v>
      </c>
      <c r="G280" t="str">
        <f>"46207637000154"</f>
        <v>46207637000154</v>
      </c>
      <c r="H280" t="str">
        <f>"0"</f>
        <v>0</v>
      </c>
      <c r="I280" t="str">
        <f t="shared" si="136"/>
        <v>CONTA OPTICA</v>
      </c>
      <c r="J280" t="str">
        <f>"OPTICA RC LTDA."</f>
        <v>OPTICA RC LTDA.</v>
      </c>
      <c r="K280" t="str">
        <f>"OTICAS RECRIS PINHALZINHO"</f>
        <v>OTICAS RECRIS PINHALZINHO</v>
      </c>
      <c r="L280" t="str">
        <f>""</f>
        <v/>
      </c>
      <c r="M280" t="str">
        <f>""</f>
        <v/>
      </c>
      <c r="N280" t="str">
        <f>"loja4@oticasrecris.com"</f>
        <v>loja4@oticasrecris.com</v>
      </c>
      <c r="O280" t="str">
        <f>""</f>
        <v/>
      </c>
      <c r="P280" t="str">
        <f>"RUA JOAO PESSOA"</f>
        <v>RUA JOAO PESSOA</v>
      </c>
      <c r="Q280" t="str">
        <f>"1808"</f>
        <v>1808</v>
      </c>
      <c r="R280" t="str">
        <f>"SALA 1002"</f>
        <v>SALA 1002</v>
      </c>
      <c r="S280" t="str">
        <f>"1288"</f>
        <v>1288</v>
      </c>
      <c r="T280" t="str">
        <f>"89870000"</f>
        <v>89870000</v>
      </c>
      <c r="U280" t="str">
        <f t="shared" ref="U280:U286" si="145">"CENTRO"</f>
        <v>CENTRO</v>
      </c>
      <c r="V280" t="str">
        <f>"PINHALZINHO"</f>
        <v>PINHALZINHO</v>
      </c>
      <c r="W280" t="str">
        <f t="shared" si="144"/>
        <v>SC</v>
      </c>
      <c r="X280" t="str">
        <f>"49"</f>
        <v>49</v>
      </c>
      <c r="Y280" t="str">
        <f>"984379692"</f>
        <v>984379692</v>
      </c>
      <c r="Z280" t="str">
        <f>""</f>
        <v/>
      </c>
      <c r="AA280" t="str">
        <f>""</f>
        <v/>
      </c>
      <c r="AB280" t="str">
        <f>""</f>
        <v/>
      </c>
      <c r="AC280" t="str">
        <f>""</f>
        <v/>
      </c>
      <c r="AD280" t="str">
        <f>""</f>
        <v/>
      </c>
      <c r="AE280" t="str">
        <f>""</f>
        <v/>
      </c>
      <c r="AF280" t="str">
        <f>""</f>
        <v/>
      </c>
      <c r="AG280" t="str">
        <f>""</f>
        <v/>
      </c>
      <c r="AH280" t="str">
        <f>""</f>
        <v/>
      </c>
      <c r="AI280" t="str">
        <f>""</f>
        <v/>
      </c>
      <c r="AJ280" t="str">
        <f>""</f>
        <v/>
      </c>
      <c r="AK280" t="str">
        <f>""</f>
        <v/>
      </c>
      <c r="AL280" t="str">
        <f>""</f>
        <v/>
      </c>
      <c r="AM280" t="str">
        <f>""</f>
        <v/>
      </c>
      <c r="AN280" t="str">
        <f>""</f>
        <v/>
      </c>
      <c r="AO280" t="str">
        <f>""</f>
        <v/>
      </c>
      <c r="AP280" t="str">
        <f>""</f>
        <v/>
      </c>
      <c r="AQ280" t="str">
        <f>""</f>
        <v/>
      </c>
      <c r="AR280" t="str">
        <f>""</f>
        <v/>
      </c>
      <c r="AS280" t="str">
        <f>""</f>
        <v/>
      </c>
      <c r="AT280" t="str">
        <f>""</f>
        <v/>
      </c>
      <c r="AU280" t="str">
        <f>""</f>
        <v/>
      </c>
      <c r="AV280" t="str">
        <f>""</f>
        <v/>
      </c>
      <c r="AW280" t="str">
        <f>""</f>
        <v/>
      </c>
      <c r="AX280" t="str">
        <f>""</f>
        <v/>
      </c>
      <c r="AY280" t="str">
        <f>""</f>
        <v/>
      </c>
      <c r="AZ280" t="str">
        <f>""</f>
        <v/>
      </c>
      <c r="BA280" t="str">
        <f>""</f>
        <v/>
      </c>
      <c r="BB280" t="str">
        <f>"03/04/2023 13:34:29"</f>
        <v>03/04/2023 13:34:29</v>
      </c>
      <c r="BC280" t="str">
        <f>""</f>
        <v/>
      </c>
      <c r="BD280" t="str">
        <f>""</f>
        <v/>
      </c>
      <c r="BE280" t="str">
        <f>""</f>
        <v/>
      </c>
      <c r="BF280" t="str">
        <f t="shared" si="137"/>
        <v>A</v>
      </c>
      <c r="BG280" t="str">
        <f>""</f>
        <v/>
      </c>
      <c r="BH280" t="str">
        <f>""</f>
        <v/>
      </c>
      <c r="BI280" t="str">
        <f t="shared" si="117"/>
        <v>EVENTUAL</v>
      </c>
      <c r="BJ280" t="str">
        <f t="shared" si="138"/>
        <v>1</v>
      </c>
      <c r="BK280" t="str">
        <f t="shared" si="139"/>
        <v>Farmacia</v>
      </c>
      <c r="BL280" t="str">
        <f>""</f>
        <v/>
      </c>
      <c r="BM280" t="str">
        <f>""</f>
        <v/>
      </c>
      <c r="BN280" t="str">
        <f>""</f>
        <v/>
      </c>
      <c r="BO280" t="str">
        <f>""</f>
        <v/>
      </c>
      <c r="BP280" t="str">
        <f>""</f>
        <v/>
      </c>
      <c r="BQ280" t="str">
        <f>""</f>
        <v/>
      </c>
      <c r="BR280" t="str">
        <f>"03/04/2023"</f>
        <v>03/04/2023</v>
      </c>
      <c r="BS280" t="str">
        <f>""</f>
        <v/>
      </c>
      <c r="BT280" t="str">
        <f>""</f>
        <v/>
      </c>
      <c r="BU280" t="str">
        <f>""</f>
        <v/>
      </c>
      <c r="BV280" t="str">
        <f>""</f>
        <v/>
      </c>
      <c r="BW280" t="str">
        <f>"Não visitado"</f>
        <v>Não visitado</v>
      </c>
    </row>
    <row r="281" spans="1:75" x14ac:dyDescent="0.35">
      <c r="A281">
        <v>157516</v>
      </c>
      <c r="B281" t="str">
        <f t="shared" si="131"/>
        <v>A</v>
      </c>
      <c r="C281" t="str">
        <f t="shared" si="132"/>
        <v>80</v>
      </c>
      <c r="D281" t="str">
        <f t="shared" si="133"/>
        <v>11121001</v>
      </c>
      <c r="E281" t="str">
        <f t="shared" si="134"/>
        <v>121001</v>
      </c>
      <c r="F281" t="str">
        <f t="shared" si="135"/>
        <v>JENIFER SANTOS</v>
      </c>
      <c r="G281" t="str">
        <f>"46207637000235"</f>
        <v>46207637000235</v>
      </c>
      <c r="H281" t="str">
        <f>"0"</f>
        <v>0</v>
      </c>
      <c r="I281" t="str">
        <f t="shared" si="136"/>
        <v>CONTA OPTICA</v>
      </c>
      <c r="J281" t="str">
        <f>"OPTICA RC LTDA."</f>
        <v>OPTICA RC LTDA.</v>
      </c>
      <c r="K281" t="str">
        <f>"OPTICA RC (4535)"</f>
        <v>OPTICA RC (4535)</v>
      </c>
      <c r="L281" t="str">
        <f>""</f>
        <v/>
      </c>
      <c r="M281" t="str">
        <f>""</f>
        <v/>
      </c>
      <c r="N281" t="str">
        <f>"LINDAMIR@OTICASRECRIS.COM"</f>
        <v>LINDAMIR@OTICASRECRIS.COM</v>
      </c>
      <c r="O281" t="str">
        <f>""</f>
        <v/>
      </c>
      <c r="P281" t="str">
        <f>"RUA ALMIRANTE TAMANDARE"</f>
        <v>RUA ALMIRANTE TAMANDARE</v>
      </c>
      <c r="Q281" t="str">
        <f>"445"</f>
        <v>445</v>
      </c>
      <c r="R281" t="str">
        <f>"TERREO"</f>
        <v>TERREO</v>
      </c>
      <c r="S281" t="str">
        <f>"1289"</f>
        <v>1289</v>
      </c>
      <c r="T281" t="str">
        <f>"89900000"</f>
        <v>89900000</v>
      </c>
      <c r="U281" t="str">
        <f t="shared" si="145"/>
        <v>CENTRO</v>
      </c>
      <c r="V281" t="str">
        <f>"SAO MIGUEL DO OESTE"</f>
        <v>SAO MIGUEL DO OESTE</v>
      </c>
      <c r="W281" t="str">
        <f t="shared" si="144"/>
        <v>SC</v>
      </c>
      <c r="X281" t="str">
        <f>"49"</f>
        <v>49</v>
      </c>
      <c r="Y281" t="str">
        <f>"31970300"</f>
        <v>31970300</v>
      </c>
      <c r="Z281" t="str">
        <f>""</f>
        <v/>
      </c>
      <c r="AA281" t="str">
        <f>""</f>
        <v/>
      </c>
      <c r="AB281" t="str">
        <f>""</f>
        <v/>
      </c>
      <c r="AC281" t="str">
        <f>""</f>
        <v/>
      </c>
      <c r="AD281" t="str">
        <f>""</f>
        <v/>
      </c>
      <c r="AE281" t="str">
        <f>""</f>
        <v/>
      </c>
      <c r="AF281" t="str">
        <f>""</f>
        <v/>
      </c>
      <c r="AG281" t="str">
        <f>""</f>
        <v/>
      </c>
      <c r="AH281" t="str">
        <f>""</f>
        <v/>
      </c>
      <c r="AI281" t="str">
        <f>""</f>
        <v/>
      </c>
      <c r="AJ281" t="str">
        <f>""</f>
        <v/>
      </c>
      <c r="AK281" t="str">
        <f>""</f>
        <v/>
      </c>
      <c r="AL281" t="str">
        <f>""</f>
        <v/>
      </c>
      <c r="AM281" t="str">
        <f>""</f>
        <v/>
      </c>
      <c r="AN281" t="str">
        <f>""</f>
        <v/>
      </c>
      <c r="AO281" t="str">
        <f>""</f>
        <v/>
      </c>
      <c r="AP281" t="str">
        <f>""</f>
        <v/>
      </c>
      <c r="AQ281" t="str">
        <f>""</f>
        <v/>
      </c>
      <c r="AR281" t="str">
        <f>""</f>
        <v/>
      </c>
      <c r="AS281" t="str">
        <f>""</f>
        <v/>
      </c>
      <c r="AT281" t="str">
        <f>""</f>
        <v/>
      </c>
      <c r="AU281" t="str">
        <f>""</f>
        <v/>
      </c>
      <c r="AV281" t="str">
        <f>""</f>
        <v/>
      </c>
      <c r="AW281" t="str">
        <f>""</f>
        <v/>
      </c>
      <c r="AX281" t="str">
        <f>""</f>
        <v/>
      </c>
      <c r="AY281" t="str">
        <f>""</f>
        <v/>
      </c>
      <c r="AZ281" t="str">
        <f>""</f>
        <v/>
      </c>
      <c r="BA281" t="str">
        <f>""</f>
        <v/>
      </c>
      <c r="BB281" t="str">
        <f>"11/07/2023 02:14:29"</f>
        <v>11/07/2023 02:14:29</v>
      </c>
      <c r="BC281" t="str">
        <f>""</f>
        <v/>
      </c>
      <c r="BD281" t="str">
        <f>""</f>
        <v/>
      </c>
      <c r="BE281" t="str">
        <f>""</f>
        <v/>
      </c>
      <c r="BF281" t="str">
        <f t="shared" si="137"/>
        <v>A</v>
      </c>
      <c r="BG281" t="str">
        <f>""</f>
        <v/>
      </c>
      <c r="BH281" t="str">
        <f>""</f>
        <v/>
      </c>
      <c r="BI281" t="str">
        <f t="shared" si="117"/>
        <v>EVENTUAL</v>
      </c>
      <c r="BJ281" t="str">
        <f t="shared" si="138"/>
        <v>1</v>
      </c>
      <c r="BK281" t="str">
        <f t="shared" si="139"/>
        <v>Farmacia</v>
      </c>
      <c r="BL281" t="str">
        <f>""</f>
        <v/>
      </c>
      <c r="BM281" t="str">
        <f>""</f>
        <v/>
      </c>
      <c r="BN281" t="str">
        <f>""</f>
        <v/>
      </c>
      <c r="BO281" t="str">
        <f>""</f>
        <v/>
      </c>
      <c r="BP281" t="str">
        <f>""</f>
        <v/>
      </c>
      <c r="BQ281" t="str">
        <f>""</f>
        <v/>
      </c>
      <c r="BR281" t="str">
        <f>"11/07/2023"</f>
        <v>11/07/2023</v>
      </c>
      <c r="BS281" t="str">
        <f>""</f>
        <v/>
      </c>
      <c r="BT281" t="str">
        <f>""</f>
        <v/>
      </c>
      <c r="BU281" t="str">
        <f>""</f>
        <v/>
      </c>
      <c r="BV281" t="str">
        <f>""</f>
        <v/>
      </c>
      <c r="BW281" t="str">
        <f>"74"</f>
        <v>74</v>
      </c>
    </row>
    <row r="282" spans="1:75" x14ac:dyDescent="0.35">
      <c r="A282">
        <v>144807</v>
      </c>
      <c r="B282" t="str">
        <f t="shared" si="131"/>
        <v>A</v>
      </c>
      <c r="C282" t="str">
        <f t="shared" si="132"/>
        <v>80</v>
      </c>
      <c r="D282" t="str">
        <f t="shared" si="133"/>
        <v>11121001</v>
      </c>
      <c r="E282" t="str">
        <f t="shared" si="134"/>
        <v>121001</v>
      </c>
      <c r="F282" t="str">
        <f t="shared" si="135"/>
        <v>JENIFER SANTOS</v>
      </c>
      <c r="G282" t="str">
        <f>"31838164000116"</f>
        <v>31838164000116</v>
      </c>
      <c r="H282" t="str">
        <f>""</f>
        <v/>
      </c>
      <c r="I282" t="str">
        <f t="shared" si="136"/>
        <v>CONTA OPTICA</v>
      </c>
      <c r="J282" t="str">
        <f>"OPTICA RETRO LTDA"</f>
        <v>OPTICA RETRO LTDA</v>
      </c>
      <c r="K282" t="str">
        <f>"OPTICA RETRO (4291)"</f>
        <v>OPTICA RETRO (4291)</v>
      </c>
      <c r="L282" t="str">
        <f>""</f>
        <v/>
      </c>
      <c r="M282" t="str">
        <f>""</f>
        <v/>
      </c>
      <c r="N282" t="str">
        <f>"retrooptica@gmail.com"</f>
        <v>retrooptica@gmail.com</v>
      </c>
      <c r="O282" t="str">
        <f>""</f>
        <v/>
      </c>
      <c r="P282" t="str">
        <f>"RUA SENADOR FELIPE SCHIMIDT"</f>
        <v>RUA SENADOR FELIPE SCHIMIDT</v>
      </c>
      <c r="Q282" t="str">
        <f>"172"</f>
        <v>172</v>
      </c>
      <c r="R282" t="str">
        <f>""</f>
        <v/>
      </c>
      <c r="S282" t="str">
        <f>""</f>
        <v/>
      </c>
      <c r="T282" t="str">
        <f>"89460090"</f>
        <v>89460090</v>
      </c>
      <c r="U282" t="str">
        <f t="shared" si="145"/>
        <v>CENTRO</v>
      </c>
      <c r="V282" t="str">
        <f>"CANOINHAS"</f>
        <v>CANOINHAS</v>
      </c>
      <c r="W282" t="str">
        <f t="shared" si="144"/>
        <v>SC</v>
      </c>
      <c r="X282" t="str">
        <f>"47"</f>
        <v>47</v>
      </c>
      <c r="Y282" t="str">
        <f>"36226135"</f>
        <v>36226135</v>
      </c>
      <c r="Z282" t="str">
        <f>""</f>
        <v/>
      </c>
      <c r="AA282" t="str">
        <f>""</f>
        <v/>
      </c>
      <c r="AB282" t="str">
        <f>""</f>
        <v/>
      </c>
      <c r="AC282" t="str">
        <f>""</f>
        <v/>
      </c>
      <c r="AD282" t="str">
        <f>""</f>
        <v/>
      </c>
      <c r="AE282" t="str">
        <f>""</f>
        <v/>
      </c>
      <c r="AF282" t="str">
        <f>""</f>
        <v/>
      </c>
      <c r="AG282" t="str">
        <f>""</f>
        <v/>
      </c>
      <c r="AH282" t="str">
        <f>""</f>
        <v/>
      </c>
      <c r="AI282" t="str">
        <f>""</f>
        <v/>
      </c>
      <c r="AJ282" t="str">
        <f>"0"</f>
        <v>0</v>
      </c>
      <c r="AK282" t="str">
        <f>"0"</f>
        <v>0</v>
      </c>
      <c r="AL282" t="str">
        <f>"0"</f>
        <v>0</v>
      </c>
      <c r="AM282" t="str">
        <f>""</f>
        <v/>
      </c>
      <c r="AN282" t="str">
        <f>""</f>
        <v/>
      </c>
      <c r="AO282" t="str">
        <f>""</f>
        <v/>
      </c>
      <c r="AP282" t="str">
        <f>""</f>
        <v/>
      </c>
      <c r="AQ282" t="str">
        <f>""</f>
        <v/>
      </c>
      <c r="AR282" t="str">
        <f>""</f>
        <v/>
      </c>
      <c r="AS282" t="str">
        <f>""</f>
        <v/>
      </c>
      <c r="AT282" t="str">
        <f>""</f>
        <v/>
      </c>
      <c r="AU282" t="str">
        <f>""</f>
        <v/>
      </c>
      <c r="AV282" t="str">
        <f>""</f>
        <v/>
      </c>
      <c r="AW282" t="str">
        <f>""</f>
        <v/>
      </c>
      <c r="AX282" t="str">
        <f>""</f>
        <v/>
      </c>
      <c r="AY282" t="str">
        <f>""</f>
        <v/>
      </c>
      <c r="AZ282" t="str">
        <f>""</f>
        <v/>
      </c>
      <c r="BA282" t="str">
        <f>""</f>
        <v/>
      </c>
      <c r="BB282" t="str">
        <f>""</f>
        <v/>
      </c>
      <c r="BC282" t="str">
        <f>""</f>
        <v/>
      </c>
      <c r="BD282" t="str">
        <f>""</f>
        <v/>
      </c>
      <c r="BE282" t="str">
        <f>""</f>
        <v/>
      </c>
      <c r="BF282" t="str">
        <f t="shared" si="137"/>
        <v>A</v>
      </c>
      <c r="BG282" t="str">
        <f>"0,00"</f>
        <v>0,00</v>
      </c>
      <c r="BH282" t="str">
        <f>"0,00"</f>
        <v>0,00</v>
      </c>
      <c r="BI282" t="str">
        <f t="shared" si="117"/>
        <v>EVENTUAL</v>
      </c>
      <c r="BJ282" t="str">
        <f t="shared" si="138"/>
        <v>1</v>
      </c>
      <c r="BK282" t="str">
        <f t="shared" si="139"/>
        <v>Farmacia</v>
      </c>
      <c r="BL282" t="str">
        <f>""</f>
        <v/>
      </c>
      <c r="BM282" t="str">
        <f>"NÃO É VARILUX ESPECIALISTA"</f>
        <v>NÃO É VARILUX ESPECIALISTA</v>
      </c>
      <c r="BN282" t="str">
        <f>"NA"</f>
        <v>NA</v>
      </c>
      <c r="BO282" t="str">
        <f>"OUTROS"</f>
        <v>OUTROS</v>
      </c>
      <c r="BP282" t="str">
        <f>""</f>
        <v/>
      </c>
      <c r="BQ282" t="str">
        <f>""</f>
        <v/>
      </c>
      <c r="BR282" t="str">
        <f>""</f>
        <v/>
      </c>
      <c r="BS282" t="str">
        <f>""</f>
        <v/>
      </c>
      <c r="BT282" t="str">
        <f>""</f>
        <v/>
      </c>
      <c r="BU282" t="str">
        <f>""</f>
        <v/>
      </c>
      <c r="BV282" t="str">
        <f>""</f>
        <v/>
      </c>
      <c r="BW282" t="str">
        <f>"18"</f>
        <v>18</v>
      </c>
    </row>
    <row r="283" spans="1:75" x14ac:dyDescent="0.35">
      <c r="A283">
        <v>156786</v>
      </c>
      <c r="B283" t="str">
        <f t="shared" si="131"/>
        <v>A</v>
      </c>
      <c r="C283" t="str">
        <f t="shared" si="132"/>
        <v>80</v>
      </c>
      <c r="D283" t="str">
        <f t="shared" si="133"/>
        <v>11121001</v>
      </c>
      <c r="E283" t="str">
        <f t="shared" si="134"/>
        <v>121001</v>
      </c>
      <c r="F283" t="str">
        <f t="shared" si="135"/>
        <v>JENIFER SANTOS</v>
      </c>
      <c r="G283" t="str">
        <f>"12702814000157"</f>
        <v>12702814000157</v>
      </c>
      <c r="H283" t="str">
        <f>"0"</f>
        <v>0</v>
      </c>
      <c r="I283" t="str">
        <f t="shared" si="136"/>
        <v>CONTA OPTICA</v>
      </c>
      <c r="J283" t="str">
        <f>"OPTICA SAO LUIZ LTDA"</f>
        <v>OPTICA SAO LUIZ LTDA</v>
      </c>
      <c r="K283" t="str">
        <f>"OPTICA SAO LUIZ (1790)"</f>
        <v>OPTICA SAO LUIZ (1790)</v>
      </c>
      <c r="L283" t="str">
        <f>""</f>
        <v/>
      </c>
      <c r="M283" t="str">
        <f>""</f>
        <v/>
      </c>
      <c r="N283" t="str">
        <f>"OPTICASAOLUIZ@HOTMAIL.COM"</f>
        <v>OPTICASAOLUIZ@HOTMAIL.COM</v>
      </c>
      <c r="O283" t="str">
        <f>""</f>
        <v/>
      </c>
      <c r="P283" t="str">
        <f>"RUA DO PRINCIPE"</f>
        <v>RUA DO PRINCIPE</v>
      </c>
      <c r="Q283" t="str">
        <f>"685"</f>
        <v>685</v>
      </c>
      <c r="R283" t="str">
        <f>"SALA 05"</f>
        <v>SALA 05</v>
      </c>
      <c r="S283" t="str">
        <f>"1277"</f>
        <v>1277</v>
      </c>
      <c r="T283" t="str">
        <f>"89201001"</f>
        <v>89201001</v>
      </c>
      <c r="U283" t="str">
        <f t="shared" si="145"/>
        <v>CENTRO</v>
      </c>
      <c r="V283" t="str">
        <f>"JOINVILLE"</f>
        <v>JOINVILLE</v>
      </c>
      <c r="W283" t="str">
        <f t="shared" si="144"/>
        <v>SC</v>
      </c>
      <c r="X283" t="str">
        <f>"47"</f>
        <v>47</v>
      </c>
      <c r="Y283" t="str">
        <f>"34230054"</f>
        <v>34230054</v>
      </c>
      <c r="Z283" t="str">
        <f>""</f>
        <v/>
      </c>
      <c r="AA283" t="str">
        <f>""</f>
        <v/>
      </c>
      <c r="AB283" t="str">
        <f>""</f>
        <v/>
      </c>
      <c r="AC283" t="str">
        <f>""</f>
        <v/>
      </c>
      <c r="AD283" t="str">
        <f>""</f>
        <v/>
      </c>
      <c r="AE283" t="str">
        <f>""</f>
        <v/>
      </c>
      <c r="AF283" t="str">
        <f>""</f>
        <v/>
      </c>
      <c r="AG283" t="str">
        <f>""</f>
        <v/>
      </c>
      <c r="AH283" t="str">
        <f>""</f>
        <v/>
      </c>
      <c r="AI283" t="str">
        <f>""</f>
        <v/>
      </c>
      <c r="AJ283" t="str">
        <f>""</f>
        <v/>
      </c>
      <c r="AK283" t="str">
        <f>""</f>
        <v/>
      </c>
      <c r="AL283" t="str">
        <f>""</f>
        <v/>
      </c>
      <c r="AM283" t="str">
        <f>""</f>
        <v/>
      </c>
      <c r="AN283" t="str">
        <f>""</f>
        <v/>
      </c>
      <c r="AO283" t="str">
        <f>""</f>
        <v/>
      </c>
      <c r="AP283" t="str">
        <f>""</f>
        <v/>
      </c>
      <c r="AQ283" t="str">
        <f>""</f>
        <v/>
      </c>
      <c r="AR283" t="str">
        <f>""</f>
        <v/>
      </c>
      <c r="AS283" t="str">
        <f>""</f>
        <v/>
      </c>
      <c r="AT283" t="str">
        <f>""</f>
        <v/>
      </c>
      <c r="AU283" t="str">
        <f>""</f>
        <v/>
      </c>
      <c r="AV283" t="str">
        <f>""</f>
        <v/>
      </c>
      <c r="AW283" t="str">
        <f>""</f>
        <v/>
      </c>
      <c r="AX283" t="str">
        <f>""</f>
        <v/>
      </c>
      <c r="AY283" t="str">
        <f>""</f>
        <v/>
      </c>
      <c r="AZ283" t="str">
        <f>""</f>
        <v/>
      </c>
      <c r="BA283" t="str">
        <f>""</f>
        <v/>
      </c>
      <c r="BB283" t="str">
        <f>"06/07/2023 12:07:48"</f>
        <v>06/07/2023 12:07:48</v>
      </c>
      <c r="BC283" t="str">
        <f>""</f>
        <v/>
      </c>
      <c r="BD283" t="str">
        <f>""</f>
        <v/>
      </c>
      <c r="BE283" t="str">
        <f>""</f>
        <v/>
      </c>
      <c r="BF283" t="str">
        <f t="shared" si="137"/>
        <v>A</v>
      </c>
      <c r="BG283" t="str">
        <f>""</f>
        <v/>
      </c>
      <c r="BH283" t="str">
        <f>""</f>
        <v/>
      </c>
      <c r="BI283" t="str">
        <f t="shared" si="117"/>
        <v>EVENTUAL</v>
      </c>
      <c r="BJ283" t="str">
        <f t="shared" si="138"/>
        <v>1</v>
      </c>
      <c r="BK283" t="str">
        <f t="shared" si="139"/>
        <v>Farmacia</v>
      </c>
      <c r="BL283" t="str">
        <f>""</f>
        <v/>
      </c>
      <c r="BM283" t="str">
        <f>""</f>
        <v/>
      </c>
      <c r="BN283" t="str">
        <f>""</f>
        <v/>
      </c>
      <c r="BO283" t="str">
        <f>""</f>
        <v/>
      </c>
      <c r="BP283" t="str">
        <f>""</f>
        <v/>
      </c>
      <c r="BQ283" t="str">
        <f>""</f>
        <v/>
      </c>
      <c r="BR283" t="str">
        <f>"06/07/2023"</f>
        <v>06/07/2023</v>
      </c>
      <c r="BS283" t="str">
        <f>""</f>
        <v/>
      </c>
      <c r="BT283" t="str">
        <f>""</f>
        <v/>
      </c>
      <c r="BU283" t="str">
        <f>""</f>
        <v/>
      </c>
      <c r="BV283" t="str">
        <f>""</f>
        <v/>
      </c>
      <c r="BW283" t="str">
        <f>"Não visitado"</f>
        <v>Não visitado</v>
      </c>
    </row>
    <row r="284" spans="1:75" x14ac:dyDescent="0.35">
      <c r="A284">
        <v>138151</v>
      </c>
      <c r="B284" t="str">
        <f t="shared" si="131"/>
        <v>A</v>
      </c>
      <c r="C284" t="str">
        <f t="shared" si="132"/>
        <v>80</v>
      </c>
      <c r="D284" t="str">
        <f t="shared" si="133"/>
        <v>11121001</v>
      </c>
      <c r="E284" t="str">
        <f t="shared" si="134"/>
        <v>121001</v>
      </c>
      <c r="F284" t="str">
        <f t="shared" si="135"/>
        <v>JENIFER SANTOS</v>
      </c>
      <c r="G284" t="str">
        <f>"14958767000132"</f>
        <v>14958767000132</v>
      </c>
      <c r="H284" t="str">
        <f>"0"</f>
        <v>0</v>
      </c>
      <c r="I284" t="str">
        <f t="shared" si="136"/>
        <v>CONTA OPTICA</v>
      </c>
      <c r="J284" t="str">
        <f>"OPTICA TOMAZELI LTDA ME"</f>
        <v>OPTICA TOMAZELI LTDA ME</v>
      </c>
      <c r="K284" t="str">
        <f>"OPTICA TOMAZELI (1881)"</f>
        <v>OPTICA TOMAZELI (1881)</v>
      </c>
      <c r="L284" t="str">
        <f>""</f>
        <v/>
      </c>
      <c r="M284" t="str">
        <f>""</f>
        <v/>
      </c>
      <c r="N284" t="str">
        <f>"jorge@tomazeli.com.br"</f>
        <v>jorge@tomazeli.com.br</v>
      </c>
      <c r="O284" t="str">
        <f>""</f>
        <v/>
      </c>
      <c r="P284" t="str">
        <f>"AVENIDA GETULIO DORNELES VARGAS"</f>
        <v>AVENIDA GETULIO DORNELES VARGAS</v>
      </c>
      <c r="Q284" t="str">
        <f>"320"</f>
        <v>320</v>
      </c>
      <c r="R284" t="str">
        <f>"N"</f>
        <v>N</v>
      </c>
      <c r="S284" t="str">
        <f>"1287"</f>
        <v>1287</v>
      </c>
      <c r="T284" t="str">
        <f>"89801000"</f>
        <v>89801000</v>
      </c>
      <c r="U284" t="str">
        <f t="shared" si="145"/>
        <v>CENTRO</v>
      </c>
      <c r="V284" t="str">
        <f>"CHAPECÓ"</f>
        <v>CHAPECÓ</v>
      </c>
      <c r="W284" t="str">
        <f t="shared" si="144"/>
        <v>SC</v>
      </c>
      <c r="X284" t="str">
        <f>"49"</f>
        <v>49</v>
      </c>
      <c r="Y284" t="str">
        <f>"33160352"</f>
        <v>33160352</v>
      </c>
      <c r="Z284" t="str">
        <f>""</f>
        <v/>
      </c>
      <c r="AA284" t="str">
        <f>""</f>
        <v/>
      </c>
      <c r="AB284" t="str">
        <f>""</f>
        <v/>
      </c>
      <c r="AC284" t="str">
        <f>""</f>
        <v/>
      </c>
      <c r="AD284" t="str">
        <f>""</f>
        <v/>
      </c>
      <c r="AE284" t="str">
        <f>""</f>
        <v/>
      </c>
      <c r="AF284" t="str">
        <f>""</f>
        <v/>
      </c>
      <c r="AG284" t="str">
        <f>"S"</f>
        <v>S</v>
      </c>
      <c r="AH284" t="str">
        <f>""</f>
        <v/>
      </c>
      <c r="AI284" t="str">
        <f>""</f>
        <v/>
      </c>
      <c r="AJ284" t="str">
        <f>""</f>
        <v/>
      </c>
      <c r="AK284" t="str">
        <f>""</f>
        <v/>
      </c>
      <c r="AL284" t="str">
        <f>""</f>
        <v/>
      </c>
      <c r="AM284" t="str">
        <f>""</f>
        <v/>
      </c>
      <c r="AN284" t="str">
        <f>""</f>
        <v/>
      </c>
      <c r="AO284" t="str">
        <f>""</f>
        <v/>
      </c>
      <c r="AP284" t="str">
        <f>""</f>
        <v/>
      </c>
      <c r="AQ284" t="str">
        <f t="shared" ref="AQ284:AU285" si="146">"N"</f>
        <v>N</v>
      </c>
      <c r="AR284" t="str">
        <f t="shared" si="146"/>
        <v>N</v>
      </c>
      <c r="AS284" t="str">
        <f t="shared" si="146"/>
        <v>N</v>
      </c>
      <c r="AT284" t="str">
        <f t="shared" si="146"/>
        <v>N</v>
      </c>
      <c r="AU284" t="str">
        <f t="shared" si="146"/>
        <v>N</v>
      </c>
      <c r="AV284" t="str">
        <f>""</f>
        <v/>
      </c>
      <c r="AW284" t="str">
        <f>""</f>
        <v/>
      </c>
      <c r="AX284" t="str">
        <f>""</f>
        <v/>
      </c>
      <c r="AY284" t="str">
        <f>""</f>
        <v/>
      </c>
      <c r="AZ284" t="str">
        <f>""</f>
        <v/>
      </c>
      <c r="BA284" t="str">
        <f>""</f>
        <v/>
      </c>
      <c r="BB284" t="str">
        <f>"01/07/2021 13:53:04"</f>
        <v>01/07/2021 13:53:04</v>
      </c>
      <c r="BC284" t="str">
        <f>"07/03/2022 17:41:16"</f>
        <v>07/03/2022 17:41:16</v>
      </c>
      <c r="BD284" t="str">
        <f>""</f>
        <v/>
      </c>
      <c r="BE284" t="str">
        <f>""</f>
        <v/>
      </c>
      <c r="BF284" t="str">
        <f t="shared" si="137"/>
        <v>A</v>
      </c>
      <c r="BG284" t="str">
        <f>""</f>
        <v/>
      </c>
      <c r="BH284" t="str">
        <f>"0,00"</f>
        <v>0,00</v>
      </c>
      <c r="BI284" t="str">
        <f t="shared" si="117"/>
        <v>EVENTUAL</v>
      </c>
      <c r="BJ284" t="str">
        <f t="shared" si="138"/>
        <v>1</v>
      </c>
      <c r="BK284" t="str">
        <f t="shared" si="139"/>
        <v>Farmacia</v>
      </c>
      <c r="BL284" t="str">
        <f>""</f>
        <v/>
      </c>
      <c r="BM284" t="str">
        <f>"NÃO É VARILUX ESPECIALISTA"</f>
        <v>NÃO É VARILUX ESPECIALISTA</v>
      </c>
      <c r="BN284" t="str">
        <f>"NA"</f>
        <v>NA</v>
      </c>
      <c r="BO284" t="str">
        <f>"FOCO VARILUX DIGITAL"</f>
        <v>FOCO VARILUX DIGITAL</v>
      </c>
      <c r="BP284" t="str">
        <f>""</f>
        <v/>
      </c>
      <c r="BQ284" t="str">
        <f>""</f>
        <v/>
      </c>
      <c r="BR284" t="str">
        <f>"01/07/2021"</f>
        <v>01/07/2021</v>
      </c>
      <c r="BS284" t="str">
        <f>"07/03/2022"</f>
        <v>07/03/2022</v>
      </c>
      <c r="BT284" t="str">
        <f>""</f>
        <v/>
      </c>
      <c r="BU284" t="str">
        <f>""</f>
        <v/>
      </c>
      <c r="BV284" t="str">
        <f>""</f>
        <v/>
      </c>
      <c r="BW284" t="str">
        <f>"266"</f>
        <v>266</v>
      </c>
    </row>
    <row r="285" spans="1:75" x14ac:dyDescent="0.35">
      <c r="A285">
        <v>137755</v>
      </c>
      <c r="B285" t="str">
        <f t="shared" si="131"/>
        <v>A</v>
      </c>
      <c r="C285" t="str">
        <f t="shared" si="132"/>
        <v>80</v>
      </c>
      <c r="D285" t="str">
        <f t="shared" si="133"/>
        <v>11121001</v>
      </c>
      <c r="E285" t="str">
        <f t="shared" si="134"/>
        <v>121001</v>
      </c>
      <c r="F285" t="str">
        <f t="shared" si="135"/>
        <v>JENIFER SANTOS</v>
      </c>
      <c r="G285" t="str">
        <f>"15048254000238"</f>
        <v>15048254000238</v>
      </c>
      <c r="H285" t="str">
        <f>"0"</f>
        <v>0</v>
      </c>
      <c r="I285" t="str">
        <f t="shared" si="136"/>
        <v>CONTA OPTICA</v>
      </c>
      <c r="J285" t="str">
        <f>"OPTICA TOMAZI LTDA - ME"</f>
        <v>OPTICA TOMAZI LTDA - ME</v>
      </c>
      <c r="K285" t="str">
        <f>"OPTICA TOMAZI (3375)"</f>
        <v>OPTICA TOMAZI (3375)</v>
      </c>
      <c r="L285" t="str">
        <f>""</f>
        <v/>
      </c>
      <c r="M285" t="str">
        <f>""</f>
        <v/>
      </c>
      <c r="N285" t="str">
        <f>"atendimento@opticaconfortovisual.com.br"</f>
        <v>atendimento@opticaconfortovisual.com.br</v>
      </c>
      <c r="O285" t="str">
        <f>""</f>
        <v/>
      </c>
      <c r="P285" t="str">
        <f>"RUA 11 DE NOVEMBRO"</f>
        <v>RUA 11 DE NOVEMBRO</v>
      </c>
      <c r="Q285" t="str">
        <f>"2503"</f>
        <v>2503</v>
      </c>
      <c r="R285" t="str">
        <f>""</f>
        <v/>
      </c>
      <c r="S285" t="str">
        <f>"1274"</f>
        <v>1274</v>
      </c>
      <c r="T285" t="str">
        <f>"89108000"</f>
        <v>89108000</v>
      </c>
      <c r="U285" t="str">
        <f t="shared" si="145"/>
        <v>CENTRO</v>
      </c>
      <c r="V285" t="str">
        <f>"MASSARANDUBA"</f>
        <v>MASSARANDUBA</v>
      </c>
      <c r="W285" t="str">
        <f t="shared" si="144"/>
        <v>SC</v>
      </c>
      <c r="X285" t="str">
        <f>"47"</f>
        <v>47</v>
      </c>
      <c r="Y285" t="str">
        <f>"33790805"</f>
        <v>33790805</v>
      </c>
      <c r="Z285" t="str">
        <f>""</f>
        <v/>
      </c>
      <c r="AA285" t="str">
        <f>""</f>
        <v/>
      </c>
      <c r="AB285" t="str">
        <f>""</f>
        <v/>
      </c>
      <c r="AC285" t="str">
        <f>""</f>
        <v/>
      </c>
      <c r="AD285" t="str">
        <f>""</f>
        <v/>
      </c>
      <c r="AE285" t="str">
        <f>""</f>
        <v/>
      </c>
      <c r="AF285" t="str">
        <f>""</f>
        <v/>
      </c>
      <c r="AG285" t="str">
        <f>"S"</f>
        <v>S</v>
      </c>
      <c r="AH285" t="str">
        <f>""</f>
        <v/>
      </c>
      <c r="AI285" t="str">
        <f>""</f>
        <v/>
      </c>
      <c r="AJ285" t="str">
        <f>""</f>
        <v/>
      </c>
      <c r="AK285" t="str">
        <f>""</f>
        <v/>
      </c>
      <c r="AL285" t="str">
        <f>""</f>
        <v/>
      </c>
      <c r="AM285" t="str">
        <f>""</f>
        <v/>
      </c>
      <c r="AN285" t="str">
        <f>""</f>
        <v/>
      </c>
      <c r="AO285" t="str">
        <f>""</f>
        <v/>
      </c>
      <c r="AP285" t="str">
        <f>""</f>
        <v/>
      </c>
      <c r="AQ285" t="str">
        <f t="shared" si="146"/>
        <v>N</v>
      </c>
      <c r="AR285" t="str">
        <f t="shared" si="146"/>
        <v>N</v>
      </c>
      <c r="AS285" t="str">
        <f t="shared" si="146"/>
        <v>N</v>
      </c>
      <c r="AT285" t="str">
        <f t="shared" si="146"/>
        <v>N</v>
      </c>
      <c r="AU285" t="str">
        <f t="shared" si="146"/>
        <v>N</v>
      </c>
      <c r="AV285" t="str">
        <f>""</f>
        <v/>
      </c>
      <c r="AW285" t="str">
        <f>""</f>
        <v/>
      </c>
      <c r="AX285" t="str">
        <f>""</f>
        <v/>
      </c>
      <c r="AY285" t="str">
        <f>""</f>
        <v/>
      </c>
      <c r="AZ285" t="str">
        <f>""</f>
        <v/>
      </c>
      <c r="BA285" t="str">
        <f>""</f>
        <v/>
      </c>
      <c r="BB285" t="str">
        <f>"01/07/2021 13:53:04"</f>
        <v>01/07/2021 13:53:04</v>
      </c>
      <c r="BC285" t="str">
        <f>"31/03/2022 10:27:55"</f>
        <v>31/03/2022 10:27:55</v>
      </c>
      <c r="BD285" t="str">
        <f>""</f>
        <v/>
      </c>
      <c r="BE285" t="str">
        <f>""</f>
        <v/>
      </c>
      <c r="BF285" t="str">
        <f t="shared" si="137"/>
        <v>A</v>
      </c>
      <c r="BG285" t="str">
        <f>""</f>
        <v/>
      </c>
      <c r="BH285" t="str">
        <f>"0,00"</f>
        <v>0,00</v>
      </c>
      <c r="BI285" t="str">
        <f t="shared" si="117"/>
        <v>EVENTUAL</v>
      </c>
      <c r="BJ285" t="str">
        <f t="shared" si="138"/>
        <v>1</v>
      </c>
      <c r="BK285" t="str">
        <f t="shared" si="139"/>
        <v>Farmacia</v>
      </c>
      <c r="BL285" t="str">
        <f>""</f>
        <v/>
      </c>
      <c r="BM285" t="str">
        <f>"NÃO É VARILUX ESPECIALISTA"</f>
        <v>NÃO É VARILUX ESPECIALISTA</v>
      </c>
      <c r="BN285" t="str">
        <f>"NA"</f>
        <v>NA</v>
      </c>
      <c r="BO285" t="str">
        <f>"FOCO VARILUX"</f>
        <v>FOCO VARILUX</v>
      </c>
      <c r="BP285" t="str">
        <f>""</f>
        <v/>
      </c>
      <c r="BQ285" t="str">
        <f>""</f>
        <v/>
      </c>
      <c r="BR285" t="str">
        <f>"01/07/2021"</f>
        <v>01/07/2021</v>
      </c>
      <c r="BS285" t="str">
        <f>"31/03/2022"</f>
        <v>31/03/2022</v>
      </c>
      <c r="BT285" t="str">
        <f>""</f>
        <v/>
      </c>
      <c r="BU285" t="str">
        <f>""</f>
        <v/>
      </c>
      <c r="BV285" t="str">
        <f>""</f>
        <v/>
      </c>
      <c r="BW285" t="str">
        <f>"Não visitado"</f>
        <v>Não visitado</v>
      </c>
    </row>
    <row r="286" spans="1:75" x14ac:dyDescent="0.35">
      <c r="A286">
        <v>120352</v>
      </c>
      <c r="B286" t="str">
        <f t="shared" si="131"/>
        <v>A</v>
      </c>
      <c r="C286" t="str">
        <f t="shared" si="132"/>
        <v>80</v>
      </c>
      <c r="D286" t="str">
        <f t="shared" si="133"/>
        <v>11121001</v>
      </c>
      <c r="E286" t="str">
        <f t="shared" si="134"/>
        <v>121001</v>
      </c>
      <c r="F286" t="str">
        <f t="shared" si="135"/>
        <v>JENIFER SANTOS</v>
      </c>
      <c r="G286" t="str">
        <f>"06109955000168"</f>
        <v>06109955000168</v>
      </c>
      <c r="H286" t="str">
        <f>"0"</f>
        <v>0</v>
      </c>
      <c r="I286" t="str">
        <f t="shared" si="136"/>
        <v>CONTA OPTICA</v>
      </c>
      <c r="J286" t="str">
        <f>"OPTICA VIDEIRA LTDA  ME"</f>
        <v>OPTICA VIDEIRA LTDA  ME</v>
      </c>
      <c r="K286" t="str">
        <f>"OPTICA VIDEIRA (1703)"</f>
        <v>OPTICA VIDEIRA (1703)</v>
      </c>
      <c r="L286" t="str">
        <f>""</f>
        <v/>
      </c>
      <c r="M286" t="str">
        <f>""</f>
        <v/>
      </c>
      <c r="N286" t="str">
        <f>"opticavideira@formatto.com.br"</f>
        <v>opticavideira@formatto.com.br</v>
      </c>
      <c r="O286" t="str">
        <f>""</f>
        <v/>
      </c>
      <c r="P286" t="str">
        <f>"RUA ANTONIO MARAFON"</f>
        <v>RUA ANTONIO MARAFON</v>
      </c>
      <c r="Q286" t="str">
        <f>"20"</f>
        <v>20</v>
      </c>
      <c r="R286" t="str">
        <f>"SALA 01"</f>
        <v>SALA 01</v>
      </c>
      <c r="S286" t="str">
        <f>"1284"</f>
        <v>1284</v>
      </c>
      <c r="T286" t="str">
        <f>"89560000"</f>
        <v>89560000</v>
      </c>
      <c r="U286" t="str">
        <f t="shared" si="145"/>
        <v>CENTRO</v>
      </c>
      <c r="V286" t="str">
        <f>"VIDEIRA"</f>
        <v>VIDEIRA</v>
      </c>
      <c r="W286" t="str">
        <f t="shared" si="144"/>
        <v>SC</v>
      </c>
      <c r="X286" t="str">
        <f>"49"</f>
        <v>49</v>
      </c>
      <c r="Y286" t="str">
        <f>"35665783"</f>
        <v>35665783</v>
      </c>
      <c r="Z286" t="str">
        <f>""</f>
        <v/>
      </c>
      <c r="AA286" t="str">
        <f>""</f>
        <v/>
      </c>
      <c r="AB286" t="str">
        <f>""</f>
        <v/>
      </c>
      <c r="AC286" t="str">
        <f>""</f>
        <v/>
      </c>
      <c r="AD286" t="str">
        <f>""</f>
        <v/>
      </c>
      <c r="AE286" t="str">
        <f>""</f>
        <v/>
      </c>
      <c r="AF286" t="str">
        <f>""</f>
        <v/>
      </c>
      <c r="AG286" t="str">
        <f>""</f>
        <v/>
      </c>
      <c r="AH286" t="str">
        <f>""</f>
        <v/>
      </c>
      <c r="AI286" t="str">
        <f>""</f>
        <v/>
      </c>
      <c r="AJ286" t="str">
        <f>"0"</f>
        <v>0</v>
      </c>
      <c r="AK286" t="str">
        <f>"0"</f>
        <v>0</v>
      </c>
      <c r="AL286" t="str">
        <f>"0"</f>
        <v>0</v>
      </c>
      <c r="AM286" t="str">
        <f>""</f>
        <v/>
      </c>
      <c r="AN286" t="str">
        <f>""</f>
        <v/>
      </c>
      <c r="AO286" t="str">
        <f>""</f>
        <v/>
      </c>
      <c r="AP286" t="str">
        <f>""</f>
        <v/>
      </c>
      <c r="AQ286" t="str">
        <f>""</f>
        <v/>
      </c>
      <c r="AR286" t="str">
        <f>""</f>
        <v/>
      </c>
      <c r="AS286" t="str">
        <f>""</f>
        <v/>
      </c>
      <c r="AT286" t="str">
        <f>""</f>
        <v/>
      </c>
      <c r="AU286" t="str">
        <f>""</f>
        <v/>
      </c>
      <c r="AV286" t="str">
        <f>""</f>
        <v/>
      </c>
      <c r="AW286" t="str">
        <f>""</f>
        <v/>
      </c>
      <c r="AX286" t="str">
        <f>""</f>
        <v/>
      </c>
      <c r="AY286" t="str">
        <f>""</f>
        <v/>
      </c>
      <c r="AZ286" t="str">
        <f>""</f>
        <v/>
      </c>
      <c r="BA286" t="str">
        <f>""</f>
        <v/>
      </c>
      <c r="BB286" t="str">
        <f>"18/09/2020 22:12:34"</f>
        <v>18/09/2020 22:12:34</v>
      </c>
      <c r="BC286" t="str">
        <f>""</f>
        <v/>
      </c>
      <c r="BD286" t="str">
        <f>""</f>
        <v/>
      </c>
      <c r="BE286" t="str">
        <f>""</f>
        <v/>
      </c>
      <c r="BF286" t="str">
        <f t="shared" si="137"/>
        <v>A</v>
      </c>
      <c r="BG286" t="str">
        <f>"0,00"</f>
        <v>0,00</v>
      </c>
      <c r="BH286" t="str">
        <f>"0,00"</f>
        <v>0,00</v>
      </c>
      <c r="BI286" t="str">
        <f t="shared" ref="BI286:BI349" si="147">"EVENTUAL"</f>
        <v>EVENTUAL</v>
      </c>
      <c r="BJ286" t="str">
        <f t="shared" si="138"/>
        <v>1</v>
      </c>
      <c r="BK286" t="str">
        <f t="shared" si="139"/>
        <v>Farmacia</v>
      </c>
      <c r="BL286" t="str">
        <f>""</f>
        <v/>
      </c>
      <c r="BM286" t="str">
        <f>"NÃO É VARILUX ESPECIALISTA"</f>
        <v>NÃO É VARILUX ESPECIALISTA</v>
      </c>
      <c r="BN286" t="str">
        <f>"NA"</f>
        <v>NA</v>
      </c>
      <c r="BO286" t="str">
        <f>"FOCO KODAK 2"</f>
        <v>FOCO KODAK 2</v>
      </c>
      <c r="BP286" t="str">
        <f>""</f>
        <v/>
      </c>
      <c r="BQ286" t="str">
        <f>""</f>
        <v/>
      </c>
      <c r="BR286" t="str">
        <f>"18/09/2020"</f>
        <v>18/09/2020</v>
      </c>
      <c r="BS286" t="str">
        <f>""</f>
        <v/>
      </c>
      <c r="BT286" t="str">
        <f>""</f>
        <v/>
      </c>
      <c r="BU286" t="str">
        <f>""</f>
        <v/>
      </c>
      <c r="BV286" t="str">
        <f>"6"</f>
        <v>6</v>
      </c>
      <c r="BW286" t="str">
        <f>"8"</f>
        <v>8</v>
      </c>
    </row>
    <row r="287" spans="1:75" x14ac:dyDescent="0.35">
      <c r="A287">
        <v>156774</v>
      </c>
      <c r="B287" t="str">
        <f t="shared" si="131"/>
        <v>A</v>
      </c>
      <c r="C287" t="str">
        <f t="shared" si="132"/>
        <v>80</v>
      </c>
      <c r="D287" t="str">
        <f t="shared" si="133"/>
        <v>11121001</v>
      </c>
      <c r="E287" t="str">
        <f t="shared" si="134"/>
        <v>121001</v>
      </c>
      <c r="F287" t="str">
        <f t="shared" si="135"/>
        <v>JENIFER SANTOS</v>
      </c>
      <c r="G287" t="str">
        <f>"20951792000197"</f>
        <v>20951792000197</v>
      </c>
      <c r="H287" t="str">
        <f>"0"</f>
        <v>0</v>
      </c>
      <c r="I287" t="str">
        <f t="shared" si="136"/>
        <v>CONTA OPTICA</v>
      </c>
      <c r="J287" t="str">
        <f>"OPTICA VILLA NOVA LTDA ME"</f>
        <v>OPTICA VILLA NOVA LTDA ME</v>
      </c>
      <c r="K287" t="str">
        <f>"OPTICA VILLA NOVA LTDA ME (2156)"</f>
        <v>OPTICA VILLA NOVA LTDA ME (2156)</v>
      </c>
      <c r="L287" t="str">
        <f>""</f>
        <v/>
      </c>
      <c r="M287" t="str">
        <f>""</f>
        <v/>
      </c>
      <c r="N287" t="str">
        <f>""</f>
        <v/>
      </c>
      <c r="O287" t="str">
        <f>""</f>
        <v/>
      </c>
      <c r="P287" t="str">
        <f>"RUA QUINZE DE NOVEMBRO"</f>
        <v>RUA QUINZE DE NOVEMBRO</v>
      </c>
      <c r="Q287" t="str">
        <f>"6918"</f>
        <v>6918</v>
      </c>
      <c r="R287" t="str">
        <f>"SALA 01"</f>
        <v>SALA 01</v>
      </c>
      <c r="S287" t="str">
        <f>"1279"</f>
        <v>1279</v>
      </c>
      <c r="T287" t="str">
        <f>"89237000"</f>
        <v>89237000</v>
      </c>
      <c r="U287" t="str">
        <f>"VILA NOVA"</f>
        <v>VILA NOVA</v>
      </c>
      <c r="V287" t="str">
        <f>"JOINVILLE"</f>
        <v>JOINVILLE</v>
      </c>
      <c r="W287" t="str">
        <f t="shared" si="144"/>
        <v>SC</v>
      </c>
      <c r="X287" t="str">
        <f>"47"</f>
        <v>47</v>
      </c>
      <c r="Y287" t="str">
        <f>"34667176"</f>
        <v>34667176</v>
      </c>
      <c r="Z287" t="str">
        <f>""</f>
        <v/>
      </c>
      <c r="AA287" t="str">
        <f>""</f>
        <v/>
      </c>
      <c r="AB287" t="str">
        <f>""</f>
        <v/>
      </c>
      <c r="AC287" t="str">
        <f>""</f>
        <v/>
      </c>
      <c r="AD287" t="str">
        <f>""</f>
        <v/>
      </c>
      <c r="AE287" t="str">
        <f>""</f>
        <v/>
      </c>
      <c r="AF287" t="str">
        <f>""</f>
        <v/>
      </c>
      <c r="AG287" t="str">
        <f>""</f>
        <v/>
      </c>
      <c r="AH287" t="str">
        <f>""</f>
        <v/>
      </c>
      <c r="AI287" t="str">
        <f>""</f>
        <v/>
      </c>
      <c r="AJ287" t="str">
        <f>""</f>
        <v/>
      </c>
      <c r="AK287" t="str">
        <f>""</f>
        <v/>
      </c>
      <c r="AL287" t="str">
        <f>""</f>
        <v/>
      </c>
      <c r="AM287" t="str">
        <f>""</f>
        <v/>
      </c>
      <c r="AN287" t="str">
        <f>""</f>
        <v/>
      </c>
      <c r="AO287" t="str">
        <f>""</f>
        <v/>
      </c>
      <c r="AP287" t="str">
        <f>""</f>
        <v/>
      </c>
      <c r="AQ287" t="str">
        <f>""</f>
        <v/>
      </c>
      <c r="AR287" t="str">
        <f>""</f>
        <v/>
      </c>
      <c r="AS287" t="str">
        <f>""</f>
        <v/>
      </c>
      <c r="AT287" t="str">
        <f>""</f>
        <v/>
      </c>
      <c r="AU287" t="str">
        <f>""</f>
        <v/>
      </c>
      <c r="AV287" t="str">
        <f>""</f>
        <v/>
      </c>
      <c r="AW287" t="str">
        <f>""</f>
        <v/>
      </c>
      <c r="AX287" t="str">
        <f>""</f>
        <v/>
      </c>
      <c r="AY287" t="str">
        <f>""</f>
        <v/>
      </c>
      <c r="AZ287" t="str">
        <f>""</f>
        <v/>
      </c>
      <c r="BA287" t="str">
        <f>""</f>
        <v/>
      </c>
      <c r="BB287" t="str">
        <f>"06/07/2023 12:07:48"</f>
        <v>06/07/2023 12:07:48</v>
      </c>
      <c r="BC287" t="str">
        <f>""</f>
        <v/>
      </c>
      <c r="BD287" t="str">
        <f>""</f>
        <v/>
      </c>
      <c r="BE287" t="str">
        <f>""</f>
        <v/>
      </c>
      <c r="BF287" t="str">
        <f t="shared" si="137"/>
        <v>A</v>
      </c>
      <c r="BG287" t="str">
        <f>""</f>
        <v/>
      </c>
      <c r="BH287" t="str">
        <f>""</f>
        <v/>
      </c>
      <c r="BI287" t="str">
        <f t="shared" si="147"/>
        <v>EVENTUAL</v>
      </c>
      <c r="BJ287" t="str">
        <f t="shared" si="138"/>
        <v>1</v>
      </c>
      <c r="BK287" t="str">
        <f t="shared" si="139"/>
        <v>Farmacia</v>
      </c>
      <c r="BL287" t="str">
        <f>""</f>
        <v/>
      </c>
      <c r="BM287" t="str">
        <f>""</f>
        <v/>
      </c>
      <c r="BN287" t="str">
        <f>""</f>
        <v/>
      </c>
      <c r="BO287" t="str">
        <f>""</f>
        <v/>
      </c>
      <c r="BP287" t="str">
        <f>""</f>
        <v/>
      </c>
      <c r="BQ287" t="str">
        <f>""</f>
        <v/>
      </c>
      <c r="BR287" t="str">
        <f>"06/07/2023"</f>
        <v>06/07/2023</v>
      </c>
      <c r="BS287" t="str">
        <f>""</f>
        <v/>
      </c>
      <c r="BT287" t="str">
        <f>""</f>
        <v/>
      </c>
      <c r="BU287" t="str">
        <f>""</f>
        <v/>
      </c>
      <c r="BV287" t="str">
        <f>""</f>
        <v/>
      </c>
      <c r="BW287" t="str">
        <f>"Não visitado"</f>
        <v>Não visitado</v>
      </c>
    </row>
    <row r="288" spans="1:75" x14ac:dyDescent="0.35">
      <c r="A288">
        <v>144802</v>
      </c>
      <c r="B288" t="str">
        <f t="shared" si="131"/>
        <v>A</v>
      </c>
      <c r="C288" t="str">
        <f t="shared" si="132"/>
        <v>80</v>
      </c>
      <c r="D288" t="str">
        <f t="shared" si="133"/>
        <v>11121001</v>
      </c>
      <c r="E288" t="str">
        <f t="shared" si="134"/>
        <v>121001</v>
      </c>
      <c r="F288" t="str">
        <f t="shared" si="135"/>
        <v>JENIFER SANTOS</v>
      </c>
      <c r="G288" t="str">
        <f>"35608293000179"</f>
        <v>35608293000179</v>
      </c>
      <c r="H288" t="str">
        <f>""</f>
        <v/>
      </c>
      <c r="I288" t="str">
        <f t="shared" si="136"/>
        <v>CONTA OPTICA</v>
      </c>
      <c r="J288" t="str">
        <f>"OPTICA VISAO ITAIOPOLIS LTDA"</f>
        <v>OPTICA VISAO ITAIOPOLIS LTDA</v>
      </c>
      <c r="K288" t="str">
        <f>"OPTICA VISAO ITAIOPOLIS (4272)"</f>
        <v>OPTICA VISAO ITAIOPOLIS (4272)</v>
      </c>
      <c r="L288" t="str">
        <f>""</f>
        <v/>
      </c>
      <c r="M288" t="str">
        <f>""</f>
        <v/>
      </c>
      <c r="N288" t="str">
        <f>"CRISTIANE_JAKUBIAK@HOTMAIL.COM"</f>
        <v>CRISTIANE_JAKUBIAK@HOTMAIL.COM</v>
      </c>
      <c r="O288" t="str">
        <f>""</f>
        <v/>
      </c>
      <c r="P288" t="str">
        <f>"RUA CALÇADÃO PAPA JOÃO PAULO II"</f>
        <v>RUA CALÇADÃO PAPA JOÃO PAULO II</v>
      </c>
      <c r="Q288" t="str">
        <f>"53"</f>
        <v>53</v>
      </c>
      <c r="R288" t="str">
        <f>"SALA 2"</f>
        <v>SALA 2</v>
      </c>
      <c r="S288" t="str">
        <f>"1281"</f>
        <v>1281</v>
      </c>
      <c r="T288" t="str">
        <f>"89340000"</f>
        <v>89340000</v>
      </c>
      <c r="U288" t="str">
        <f>"CENTRO"</f>
        <v>CENTRO</v>
      </c>
      <c r="V288" t="str">
        <f>"ITAIOPOLIS"</f>
        <v>ITAIOPOLIS</v>
      </c>
      <c r="W288" t="str">
        <f t="shared" si="144"/>
        <v>SC</v>
      </c>
      <c r="X288" t="str">
        <f>"47"</f>
        <v>47</v>
      </c>
      <c r="Y288" t="str">
        <f>"36522934"</f>
        <v>36522934</v>
      </c>
      <c r="Z288" t="str">
        <f>""</f>
        <v/>
      </c>
      <c r="AA288" t="str">
        <f>""</f>
        <v/>
      </c>
      <c r="AB288" t="str">
        <f>""</f>
        <v/>
      </c>
      <c r="AC288" t="str">
        <f>""</f>
        <v/>
      </c>
      <c r="AD288" t="str">
        <f>""</f>
        <v/>
      </c>
      <c r="AE288" t="str">
        <f>""</f>
        <v/>
      </c>
      <c r="AF288" t="str">
        <f>""</f>
        <v/>
      </c>
      <c r="AG288" t="str">
        <f>""</f>
        <v/>
      </c>
      <c r="AH288" t="str">
        <f>""</f>
        <v/>
      </c>
      <c r="AI288" t="str">
        <f>""</f>
        <v/>
      </c>
      <c r="AJ288" t="str">
        <f>""</f>
        <v/>
      </c>
      <c r="AK288" t="str">
        <f>""</f>
        <v/>
      </c>
      <c r="AL288" t="str">
        <f>""</f>
        <v/>
      </c>
      <c r="AM288" t="str">
        <f>""</f>
        <v/>
      </c>
      <c r="AN288" t="str">
        <f>""</f>
        <v/>
      </c>
      <c r="AO288" t="str">
        <f>""</f>
        <v/>
      </c>
      <c r="AP288" t="str">
        <f>""</f>
        <v/>
      </c>
      <c r="AQ288" t="str">
        <f>""</f>
        <v/>
      </c>
      <c r="AR288" t="str">
        <f>""</f>
        <v/>
      </c>
      <c r="AS288" t="str">
        <f>""</f>
        <v/>
      </c>
      <c r="AT288" t="str">
        <f>""</f>
        <v/>
      </c>
      <c r="AU288" t="str">
        <f>""</f>
        <v/>
      </c>
      <c r="AV288" t="str">
        <f>""</f>
        <v/>
      </c>
      <c r="AW288" t="str">
        <f>""</f>
        <v/>
      </c>
      <c r="AX288" t="str">
        <f>""</f>
        <v/>
      </c>
      <c r="AY288" t="str">
        <f>""</f>
        <v/>
      </c>
      <c r="AZ288" t="str">
        <f>""</f>
        <v/>
      </c>
      <c r="BA288" t="str">
        <f>""</f>
        <v/>
      </c>
      <c r="BB288" t="str">
        <f>""</f>
        <v/>
      </c>
      <c r="BC288" t="str">
        <f>""</f>
        <v/>
      </c>
      <c r="BD288" t="str">
        <f>""</f>
        <v/>
      </c>
      <c r="BE288" t="str">
        <f>""</f>
        <v/>
      </c>
      <c r="BF288" t="str">
        <f t="shared" si="137"/>
        <v>A</v>
      </c>
      <c r="BG288" t="str">
        <f>""</f>
        <v/>
      </c>
      <c r="BH288" t="str">
        <f>""</f>
        <v/>
      </c>
      <c r="BI288" t="str">
        <f t="shared" si="147"/>
        <v>EVENTUAL</v>
      </c>
      <c r="BJ288" t="str">
        <f t="shared" si="138"/>
        <v>1</v>
      </c>
      <c r="BK288" t="str">
        <f t="shared" si="139"/>
        <v>Farmacia</v>
      </c>
      <c r="BL288" t="str">
        <f>""</f>
        <v/>
      </c>
      <c r="BM288" t="str">
        <f>"NÃO É VARILUX ESPECIALISTA"</f>
        <v>NÃO É VARILUX ESPECIALISTA</v>
      </c>
      <c r="BN288" t="str">
        <f>"NA"</f>
        <v>NA</v>
      </c>
      <c r="BO288" t="str">
        <f>"OUTROS"</f>
        <v>OUTROS</v>
      </c>
      <c r="BP288" t="str">
        <f>""</f>
        <v/>
      </c>
      <c r="BQ288" t="str">
        <f>""</f>
        <v/>
      </c>
      <c r="BR288" t="str">
        <f>""</f>
        <v/>
      </c>
      <c r="BS288" t="str">
        <f>""</f>
        <v/>
      </c>
      <c r="BT288" t="str">
        <f>""</f>
        <v/>
      </c>
      <c r="BU288" t="str">
        <f>""</f>
        <v/>
      </c>
      <c r="BV288" t="str">
        <f>"9"</f>
        <v>9</v>
      </c>
      <c r="BW288" t="str">
        <f>"50"</f>
        <v>50</v>
      </c>
    </row>
    <row r="289" spans="1:75" x14ac:dyDescent="0.35">
      <c r="A289">
        <v>138853</v>
      </c>
      <c r="B289" t="str">
        <f t="shared" si="131"/>
        <v>A</v>
      </c>
      <c r="C289" t="str">
        <f t="shared" si="132"/>
        <v>80</v>
      </c>
      <c r="D289" t="str">
        <f t="shared" si="133"/>
        <v>11121001</v>
      </c>
      <c r="E289" t="str">
        <f t="shared" si="134"/>
        <v>121001</v>
      </c>
      <c r="F289" t="str">
        <f t="shared" si="135"/>
        <v>JENIFER SANTOS</v>
      </c>
      <c r="G289" t="str">
        <f>"07697973000170"</f>
        <v>07697973000170</v>
      </c>
      <c r="H289" t="str">
        <f>"0"</f>
        <v>0</v>
      </c>
      <c r="I289" t="str">
        <f t="shared" si="136"/>
        <v>CONTA OPTICA</v>
      </c>
      <c r="J289" t="str">
        <f>"OPTICA VISUALE LTDA"</f>
        <v>OPTICA VISUALE LTDA</v>
      </c>
      <c r="K289" t="str">
        <f>"OPTICA VISUAL (1410)"</f>
        <v>OPTICA VISUAL (1410)</v>
      </c>
      <c r="L289" t="str">
        <f>""</f>
        <v/>
      </c>
      <c r="M289" t="str">
        <f>""</f>
        <v/>
      </c>
      <c r="N289" t="str">
        <f>"visualplus@terra.com.br"</f>
        <v>visualplus@terra.com.br</v>
      </c>
      <c r="O289" t="str">
        <f>""</f>
        <v/>
      </c>
      <c r="P289" t="str">
        <f>"RUA BRASIL OESTE"</f>
        <v>RUA BRASIL OESTE</v>
      </c>
      <c r="Q289" t="str">
        <f>"253"</f>
        <v>253</v>
      </c>
      <c r="R289" t="str">
        <f>"SALA 1"</f>
        <v>SALA 1</v>
      </c>
      <c r="S289" t="str">
        <f>"1383"</f>
        <v>1383</v>
      </c>
      <c r="T289" t="str">
        <f>"99025001"</f>
        <v>99025001</v>
      </c>
      <c r="U289" t="str">
        <f>"BOQUEIRAO"</f>
        <v>BOQUEIRAO</v>
      </c>
      <c r="V289" t="str">
        <f>"PASSO FUNDO"</f>
        <v>PASSO FUNDO</v>
      </c>
      <c r="W289" t="str">
        <f>"RS"</f>
        <v>RS</v>
      </c>
      <c r="X289" t="str">
        <f>"54"</f>
        <v>54</v>
      </c>
      <c r="Y289" t="str">
        <f>"30453342"</f>
        <v>30453342</v>
      </c>
      <c r="Z289" t="str">
        <f>""</f>
        <v/>
      </c>
      <c r="AA289" t="str">
        <f>""</f>
        <v/>
      </c>
      <c r="AB289" t="str">
        <f>""</f>
        <v/>
      </c>
      <c r="AC289" t="str">
        <f>""</f>
        <v/>
      </c>
      <c r="AD289" t="str">
        <f>""</f>
        <v/>
      </c>
      <c r="AE289" t="str">
        <f>""</f>
        <v/>
      </c>
      <c r="AF289" t="str">
        <f>""</f>
        <v/>
      </c>
      <c r="AG289" t="str">
        <f>""</f>
        <v/>
      </c>
      <c r="AH289" t="str">
        <f>""</f>
        <v/>
      </c>
      <c r="AI289" t="str">
        <f>""</f>
        <v/>
      </c>
      <c r="AJ289" t="str">
        <f t="shared" ref="AJ289:AL291" si="148">"0"</f>
        <v>0</v>
      </c>
      <c r="AK289" t="str">
        <f t="shared" si="148"/>
        <v>0</v>
      </c>
      <c r="AL289" t="str">
        <f t="shared" si="148"/>
        <v>0</v>
      </c>
      <c r="AM289" t="str">
        <f>""</f>
        <v/>
      </c>
      <c r="AN289" t="str">
        <f>""</f>
        <v/>
      </c>
      <c r="AO289" t="str">
        <f>""</f>
        <v/>
      </c>
      <c r="AP289" t="str">
        <f>""</f>
        <v/>
      </c>
      <c r="AQ289" t="str">
        <f>""</f>
        <v/>
      </c>
      <c r="AR289" t="str">
        <f>""</f>
        <v/>
      </c>
      <c r="AS289" t="str">
        <f>""</f>
        <v/>
      </c>
      <c r="AT289" t="str">
        <f>""</f>
        <v/>
      </c>
      <c r="AU289" t="str">
        <f>""</f>
        <v/>
      </c>
      <c r="AV289" t="str">
        <f>""</f>
        <v/>
      </c>
      <c r="AW289" t="str">
        <f>""</f>
        <v/>
      </c>
      <c r="AX289" t="str">
        <f>""</f>
        <v/>
      </c>
      <c r="AY289" t="str">
        <f>""</f>
        <v/>
      </c>
      <c r="AZ289" t="str">
        <f>""</f>
        <v/>
      </c>
      <c r="BA289" t="str">
        <f>""</f>
        <v/>
      </c>
      <c r="BB289" t="str">
        <f>"15/07/2021 10:57:44"</f>
        <v>15/07/2021 10:57:44</v>
      </c>
      <c r="BC289" t="str">
        <f>""</f>
        <v/>
      </c>
      <c r="BD289" t="str">
        <f>""</f>
        <v/>
      </c>
      <c r="BE289" t="str">
        <f>""</f>
        <v/>
      </c>
      <c r="BF289" t="str">
        <f t="shared" si="137"/>
        <v>A</v>
      </c>
      <c r="BG289" t="str">
        <f t="shared" ref="BG289:BH291" si="149">"0,00"</f>
        <v>0,00</v>
      </c>
      <c r="BH289" t="str">
        <f t="shared" si="149"/>
        <v>0,00</v>
      </c>
      <c r="BI289" t="str">
        <f t="shared" si="147"/>
        <v>EVENTUAL</v>
      </c>
      <c r="BJ289" t="str">
        <f t="shared" si="138"/>
        <v>1</v>
      </c>
      <c r="BK289" t="str">
        <f t="shared" si="139"/>
        <v>Farmacia</v>
      </c>
      <c r="BL289" t="str">
        <f>""</f>
        <v/>
      </c>
      <c r="BM289" t="str">
        <f>"NÃO É VARILUX ESPECIALISTA"</f>
        <v>NÃO É VARILUX ESPECIALISTA</v>
      </c>
      <c r="BN289" t="str">
        <f>"NA"</f>
        <v>NA</v>
      </c>
      <c r="BO289" t="str">
        <f>"FOCO VARILUX DIGITAL"</f>
        <v>FOCO VARILUX DIGITAL</v>
      </c>
      <c r="BP289" t="str">
        <f>""</f>
        <v/>
      </c>
      <c r="BQ289" t="str">
        <f>""</f>
        <v/>
      </c>
      <c r="BR289" t="str">
        <f>"15/07/2021"</f>
        <v>15/07/2021</v>
      </c>
      <c r="BS289" t="str">
        <f>""</f>
        <v/>
      </c>
      <c r="BT289" t="str">
        <f>""</f>
        <v/>
      </c>
      <c r="BU289" t="str">
        <f>""</f>
        <v/>
      </c>
      <c r="BV289" t="str">
        <f>""</f>
        <v/>
      </c>
      <c r="BW289" t="str">
        <f>"32"</f>
        <v>32</v>
      </c>
    </row>
    <row r="290" spans="1:75" x14ac:dyDescent="0.35">
      <c r="A290">
        <v>120427</v>
      </c>
      <c r="B290" t="str">
        <f t="shared" si="131"/>
        <v>A</v>
      </c>
      <c r="C290" t="str">
        <f t="shared" si="132"/>
        <v>80</v>
      </c>
      <c r="D290" t="str">
        <f t="shared" si="133"/>
        <v>11121001</v>
      </c>
      <c r="E290" t="str">
        <f t="shared" si="134"/>
        <v>121001</v>
      </c>
      <c r="F290" t="str">
        <f t="shared" si="135"/>
        <v>JENIFER SANTOS</v>
      </c>
      <c r="G290" t="str">
        <f>"03130842000156"</f>
        <v>03130842000156</v>
      </c>
      <c r="H290" t="str">
        <f>"0"</f>
        <v>0</v>
      </c>
      <c r="I290" t="str">
        <f t="shared" si="136"/>
        <v>CONTA OPTICA</v>
      </c>
      <c r="J290" t="str">
        <f>"OPTICA VISUALPLUS LTDA  ME"</f>
        <v>OPTICA VISUALPLUS LTDA  ME</v>
      </c>
      <c r="K290" t="str">
        <f>"OPTICA VISUALPLUS LTDA ME (714)"</f>
        <v>OPTICA VISUALPLUS LTDA ME (714)</v>
      </c>
      <c r="L290" t="str">
        <f>""</f>
        <v/>
      </c>
      <c r="M290" t="str">
        <f>""</f>
        <v/>
      </c>
      <c r="N290" t="str">
        <f>"opvisual@hotmail.com"</f>
        <v>opvisual@hotmail.com</v>
      </c>
      <c r="O290" t="str">
        <f>""</f>
        <v/>
      </c>
      <c r="P290" t="str">
        <f>"AVENIDA BRASIL"</f>
        <v>AVENIDA BRASIL</v>
      </c>
      <c r="Q290" t="str">
        <f>"447"</f>
        <v>447</v>
      </c>
      <c r="R290" t="str">
        <f>""</f>
        <v/>
      </c>
      <c r="S290" t="str">
        <f>"1383"</f>
        <v>1383</v>
      </c>
      <c r="T290" t="str">
        <f>"99023001"</f>
        <v>99023001</v>
      </c>
      <c r="U290" t="str">
        <f>"CENTRO"</f>
        <v>CENTRO</v>
      </c>
      <c r="V290" t="str">
        <f>"PASSO FUNDO"</f>
        <v>PASSO FUNDO</v>
      </c>
      <c r="W290" t="str">
        <f>"RS"</f>
        <v>RS</v>
      </c>
      <c r="X290" t="str">
        <f>"54"</f>
        <v>54</v>
      </c>
      <c r="Y290" t="str">
        <f>"33119905"</f>
        <v>33119905</v>
      </c>
      <c r="Z290" t="str">
        <f>""</f>
        <v/>
      </c>
      <c r="AA290" t="str">
        <f>""</f>
        <v/>
      </c>
      <c r="AB290" t="str">
        <f>""</f>
        <v/>
      </c>
      <c r="AC290" t="str">
        <f>""</f>
        <v/>
      </c>
      <c r="AD290" t="str">
        <f>""</f>
        <v/>
      </c>
      <c r="AE290" t="str">
        <f>""</f>
        <v/>
      </c>
      <c r="AF290" t="str">
        <f>""</f>
        <v/>
      </c>
      <c r="AG290" t="str">
        <f>""</f>
        <v/>
      </c>
      <c r="AH290" t="str">
        <f>""</f>
        <v/>
      </c>
      <c r="AI290" t="str">
        <f>""</f>
        <v/>
      </c>
      <c r="AJ290" t="str">
        <f t="shared" si="148"/>
        <v>0</v>
      </c>
      <c r="AK290" t="str">
        <f t="shared" si="148"/>
        <v>0</v>
      </c>
      <c r="AL290" t="str">
        <f t="shared" si="148"/>
        <v>0</v>
      </c>
      <c r="AM290" t="str">
        <f>""</f>
        <v/>
      </c>
      <c r="AN290" t="str">
        <f>""</f>
        <v/>
      </c>
      <c r="AO290" t="str">
        <f>""</f>
        <v/>
      </c>
      <c r="AP290" t="str">
        <f>""</f>
        <v/>
      </c>
      <c r="AQ290" t="str">
        <f>""</f>
        <v/>
      </c>
      <c r="AR290" t="str">
        <f>""</f>
        <v/>
      </c>
      <c r="AS290" t="str">
        <f>""</f>
        <v/>
      </c>
      <c r="AT290" t="str">
        <f>""</f>
        <v/>
      </c>
      <c r="AU290" t="str">
        <f>""</f>
        <v/>
      </c>
      <c r="AV290" t="str">
        <f>""</f>
        <v/>
      </c>
      <c r="AW290" t="str">
        <f>""</f>
        <v/>
      </c>
      <c r="AX290" t="str">
        <f>""</f>
        <v/>
      </c>
      <c r="AY290" t="str">
        <f>""</f>
        <v/>
      </c>
      <c r="AZ290" t="str">
        <f>""</f>
        <v/>
      </c>
      <c r="BA290" t="str">
        <f>""</f>
        <v/>
      </c>
      <c r="BB290" t="str">
        <f>"18/09/2020 22:12:34"</f>
        <v>18/09/2020 22:12:34</v>
      </c>
      <c r="BC290" t="str">
        <f>""</f>
        <v/>
      </c>
      <c r="BD290" t="str">
        <f>""</f>
        <v/>
      </c>
      <c r="BE290" t="str">
        <f>""</f>
        <v/>
      </c>
      <c r="BF290" t="str">
        <f t="shared" si="137"/>
        <v>A</v>
      </c>
      <c r="BG290" t="str">
        <f t="shared" si="149"/>
        <v>0,00</v>
      </c>
      <c r="BH290" t="str">
        <f t="shared" si="149"/>
        <v>0,00</v>
      </c>
      <c r="BI290" t="str">
        <f t="shared" si="147"/>
        <v>EVENTUAL</v>
      </c>
      <c r="BJ290" t="str">
        <f t="shared" si="138"/>
        <v>1</v>
      </c>
      <c r="BK290" t="str">
        <f t="shared" si="139"/>
        <v>Farmacia</v>
      </c>
      <c r="BL290" t="str">
        <f>""</f>
        <v/>
      </c>
      <c r="BM290" t="str">
        <f>"NÃO É VARILUX ESPECIALISTA"</f>
        <v>NÃO É VARILUX ESPECIALISTA</v>
      </c>
      <c r="BN290" t="str">
        <f>"NA"</f>
        <v>NA</v>
      </c>
      <c r="BO290" t="str">
        <f>"FOCO VARILUX DIGITAL"</f>
        <v>FOCO VARILUX DIGITAL</v>
      </c>
      <c r="BP290" t="str">
        <f>""</f>
        <v/>
      </c>
      <c r="BQ290" t="str">
        <f>""</f>
        <v/>
      </c>
      <c r="BR290" t="str">
        <f>"18/09/2020"</f>
        <v>18/09/2020</v>
      </c>
      <c r="BS290" t="str">
        <f>""</f>
        <v/>
      </c>
      <c r="BT290" t="str">
        <f>""</f>
        <v/>
      </c>
      <c r="BU290" t="str">
        <f>""</f>
        <v/>
      </c>
      <c r="BV290" t="str">
        <f>"1"</f>
        <v>1</v>
      </c>
      <c r="BW290" t="str">
        <f>"Não visitado"</f>
        <v>Não visitado</v>
      </c>
    </row>
    <row r="291" spans="1:75" x14ac:dyDescent="0.35">
      <c r="A291">
        <v>761</v>
      </c>
      <c r="B291" t="str">
        <f t="shared" si="131"/>
        <v>A</v>
      </c>
      <c r="C291" t="str">
        <f t="shared" si="132"/>
        <v>80</v>
      </c>
      <c r="D291" t="str">
        <f t="shared" si="133"/>
        <v>11121001</v>
      </c>
      <c r="E291" t="str">
        <f t="shared" si="134"/>
        <v>121001</v>
      </c>
      <c r="F291" t="str">
        <f t="shared" si="135"/>
        <v>JENIFER SANTOS</v>
      </c>
      <c r="G291" t="str">
        <f>"00142823000151"</f>
        <v>00142823000151</v>
      </c>
      <c r="H291" t="str">
        <f>""</f>
        <v/>
      </c>
      <c r="I291" t="str">
        <f t="shared" si="136"/>
        <v>CONTA OPTICA</v>
      </c>
      <c r="J291" t="str">
        <f>"ORGANIZACOES OPTICAS CARVALHO LTDA"</f>
        <v>ORGANIZACOES OPTICAS CARVALHO LTDA</v>
      </c>
      <c r="K291" t="str">
        <f>"OTICA LUZ (291)"</f>
        <v>OTICA LUZ (291)</v>
      </c>
      <c r="L291" t="str">
        <f>""</f>
        <v/>
      </c>
      <c r="M291" t="str">
        <f>""</f>
        <v/>
      </c>
      <c r="N291" t="str">
        <f>"opticaluz782@yahoo.com.br"</f>
        <v>opticaluz782@yahoo.com.br</v>
      </c>
      <c r="O291" t="str">
        <f>""</f>
        <v/>
      </c>
      <c r="P291" t="str">
        <f>"RUA Senador Felipe Schimidt"</f>
        <v>RUA Senador Felipe Schimidt</v>
      </c>
      <c r="Q291" t="str">
        <f>"180"</f>
        <v>180</v>
      </c>
      <c r="R291" t="str">
        <f>"TERREO"</f>
        <v>TERREO</v>
      </c>
      <c r="S291" t="str">
        <f>""</f>
        <v/>
      </c>
      <c r="T291" t="str">
        <f>"89460090"</f>
        <v>89460090</v>
      </c>
      <c r="U291" t="str">
        <f>"CENTRO"</f>
        <v>CENTRO</v>
      </c>
      <c r="V291" t="str">
        <f>"CANOINHAS"</f>
        <v>CANOINHAS</v>
      </c>
      <c r="W291" t="str">
        <f>"SC"</f>
        <v>SC</v>
      </c>
      <c r="X291" t="str">
        <f>"47"</f>
        <v>47</v>
      </c>
      <c r="Y291" t="str">
        <f>"36224392"</f>
        <v>36224392</v>
      </c>
      <c r="Z291" t="str">
        <f>""</f>
        <v/>
      </c>
      <c r="AA291" t="str">
        <f>""</f>
        <v/>
      </c>
      <c r="AB291" t="str">
        <f>""</f>
        <v/>
      </c>
      <c r="AC291" t="str">
        <f>""</f>
        <v/>
      </c>
      <c r="AD291" t="str">
        <f>""</f>
        <v/>
      </c>
      <c r="AE291" t="str">
        <f>""</f>
        <v/>
      </c>
      <c r="AF291" t="str">
        <f>""</f>
        <v/>
      </c>
      <c r="AG291" t="str">
        <f>""</f>
        <v/>
      </c>
      <c r="AH291" t="str">
        <f>""</f>
        <v/>
      </c>
      <c r="AI291" t="str">
        <f>""</f>
        <v/>
      </c>
      <c r="AJ291" t="str">
        <f t="shared" si="148"/>
        <v>0</v>
      </c>
      <c r="AK291" t="str">
        <f t="shared" si="148"/>
        <v>0</v>
      </c>
      <c r="AL291" t="str">
        <f t="shared" si="148"/>
        <v>0</v>
      </c>
      <c r="AM291" t="str">
        <f>""</f>
        <v/>
      </c>
      <c r="AN291" t="str">
        <f>""</f>
        <v/>
      </c>
      <c r="AO291" t="str">
        <f>""</f>
        <v/>
      </c>
      <c r="AP291" t="str">
        <f>""</f>
        <v/>
      </c>
      <c r="AQ291" t="str">
        <f>""</f>
        <v/>
      </c>
      <c r="AR291" t="str">
        <f>""</f>
        <v/>
      </c>
      <c r="AS291" t="str">
        <f>""</f>
        <v/>
      </c>
      <c r="AT291" t="str">
        <f>""</f>
        <v/>
      </c>
      <c r="AU291" t="str">
        <f>""</f>
        <v/>
      </c>
      <c r="AV291" t="str">
        <f>""</f>
        <v/>
      </c>
      <c r="AW291" t="str">
        <f>""</f>
        <v/>
      </c>
      <c r="AX291" t="str">
        <f>""</f>
        <v/>
      </c>
      <c r="AY291" t="str">
        <f>""</f>
        <v/>
      </c>
      <c r="AZ291" t="str">
        <f>""</f>
        <v/>
      </c>
      <c r="BA291" t="str">
        <f>""</f>
        <v/>
      </c>
      <c r="BB291" t="str">
        <f>"27/07/2018 09:25:50"</f>
        <v>27/07/2018 09:25:50</v>
      </c>
      <c r="BC291" t="str">
        <f>""</f>
        <v/>
      </c>
      <c r="BD291" t="str">
        <f>""</f>
        <v/>
      </c>
      <c r="BE291" t="str">
        <f>"761"</f>
        <v>761</v>
      </c>
      <c r="BF291" t="str">
        <f t="shared" si="137"/>
        <v>A</v>
      </c>
      <c r="BG291" t="str">
        <f t="shared" si="149"/>
        <v>0,00</v>
      </c>
      <c r="BH291" t="str">
        <f t="shared" si="149"/>
        <v>0,00</v>
      </c>
      <c r="BI291" t="str">
        <f t="shared" si="147"/>
        <v>EVENTUAL</v>
      </c>
      <c r="BJ291" t="str">
        <f t="shared" si="138"/>
        <v>1</v>
      </c>
      <c r="BK291" t="str">
        <f t="shared" si="139"/>
        <v>Farmacia</v>
      </c>
      <c r="BL291" t="str">
        <f>""</f>
        <v/>
      </c>
      <c r="BM291" t="str">
        <f>"VARILUX ESPECIALISTA PREMIER"</f>
        <v>VARILUX ESPECIALISTA PREMIER</v>
      </c>
      <c r="BN291" t="str">
        <f>"NA"</f>
        <v>NA</v>
      </c>
      <c r="BO291" t="str">
        <f>"FOCO VARILUX DIGITAL"</f>
        <v>FOCO VARILUX DIGITAL</v>
      </c>
      <c r="BP291" t="str">
        <f>""</f>
        <v/>
      </c>
      <c r="BQ291" t="str">
        <f>""</f>
        <v/>
      </c>
      <c r="BR291" t="str">
        <f>"27/07/2018"</f>
        <v>27/07/2018</v>
      </c>
      <c r="BS291" t="str">
        <f>""</f>
        <v/>
      </c>
      <c r="BT291" t="str">
        <f>""</f>
        <v/>
      </c>
      <c r="BU291" t="str">
        <f>""</f>
        <v/>
      </c>
      <c r="BV291" t="str">
        <f>"1"</f>
        <v>1</v>
      </c>
      <c r="BW291" t="str">
        <f>"8"</f>
        <v>8</v>
      </c>
    </row>
    <row r="292" spans="1:75" x14ac:dyDescent="0.35">
      <c r="A292">
        <v>156814</v>
      </c>
      <c r="B292" t="str">
        <f t="shared" si="131"/>
        <v>A</v>
      </c>
      <c r="C292" t="str">
        <f t="shared" si="132"/>
        <v>80</v>
      </c>
      <c r="D292" t="str">
        <f t="shared" si="133"/>
        <v>11121001</v>
      </c>
      <c r="E292" t="str">
        <f t="shared" si="134"/>
        <v>121001</v>
      </c>
      <c r="F292" t="str">
        <f t="shared" si="135"/>
        <v>JENIFER SANTOS</v>
      </c>
      <c r="G292" t="str">
        <f>"80740962000469"</f>
        <v>80740962000469</v>
      </c>
      <c r="H292" t="str">
        <f>"0"</f>
        <v>0</v>
      </c>
      <c r="I292" t="str">
        <f t="shared" si="136"/>
        <v>CONTA OPTICA</v>
      </c>
      <c r="J292" t="str">
        <f>"ORO ORGANIZACOES RODRIGUES DE OTICAS LTDA - EPP"</f>
        <v>ORO ORGANIZACOES RODRIGUES DE OTICAS LTDA - EPP</v>
      </c>
      <c r="K292" t="str">
        <f>"O.R.O. ORG. RODRIGUES DE OTICAS LTDA (249)"</f>
        <v>O.R.O. ORG. RODRIGUES DE OTICAS LTDA (249)</v>
      </c>
      <c r="L292" t="str">
        <f>""</f>
        <v/>
      </c>
      <c r="M292" t="str">
        <f>""</f>
        <v/>
      </c>
      <c r="N292" t="str">
        <f>"otica_globo@hotmail.com"</f>
        <v>otica_globo@hotmail.com</v>
      </c>
      <c r="O292" t="str">
        <f>""</f>
        <v/>
      </c>
      <c r="P292" t="str">
        <f>"RUA XV DE NOVEMBRO"</f>
        <v>RUA XV DE NOVEMBRO</v>
      </c>
      <c r="Q292" t="str">
        <f>"367"</f>
        <v>367</v>
      </c>
      <c r="R292" t="str">
        <f>""</f>
        <v/>
      </c>
      <c r="S292" t="str">
        <f>"1279"</f>
        <v>1279</v>
      </c>
      <c r="T292" t="str">
        <f>"89237600"</f>
        <v>89237600</v>
      </c>
      <c r="U292" t="str">
        <f>"VILA NOVA"</f>
        <v>VILA NOVA</v>
      </c>
      <c r="V292" t="str">
        <f>"JOINVILLE"</f>
        <v>JOINVILLE</v>
      </c>
      <c r="W292" t="str">
        <f>"SC"</f>
        <v>SC</v>
      </c>
      <c r="X292" t="str">
        <f>"47"</f>
        <v>47</v>
      </c>
      <c r="Y292" t="str">
        <f>"30283509"</f>
        <v>30283509</v>
      </c>
      <c r="Z292" t="str">
        <f>""</f>
        <v/>
      </c>
      <c r="AA292" t="str">
        <f>""</f>
        <v/>
      </c>
      <c r="AB292" t="str">
        <f>""</f>
        <v/>
      </c>
      <c r="AC292" t="str">
        <f>""</f>
        <v/>
      </c>
      <c r="AD292" t="str">
        <f>""</f>
        <v/>
      </c>
      <c r="AE292" t="str">
        <f>""</f>
        <v/>
      </c>
      <c r="AF292" t="str">
        <f>""</f>
        <v/>
      </c>
      <c r="AG292" t="str">
        <f>""</f>
        <v/>
      </c>
      <c r="AH292" t="str">
        <f>""</f>
        <v/>
      </c>
      <c r="AI292" t="str">
        <f>""</f>
        <v/>
      </c>
      <c r="AJ292" t="str">
        <f>""</f>
        <v/>
      </c>
      <c r="AK292" t="str">
        <f>""</f>
        <v/>
      </c>
      <c r="AL292" t="str">
        <f>""</f>
        <v/>
      </c>
      <c r="AM292" t="str">
        <f>""</f>
        <v/>
      </c>
      <c r="AN292" t="str">
        <f>""</f>
        <v/>
      </c>
      <c r="AO292" t="str">
        <f>""</f>
        <v/>
      </c>
      <c r="AP292" t="str">
        <f>""</f>
        <v/>
      </c>
      <c r="AQ292" t="str">
        <f>""</f>
        <v/>
      </c>
      <c r="AR292" t="str">
        <f>""</f>
        <v/>
      </c>
      <c r="AS292" t="str">
        <f>""</f>
        <v/>
      </c>
      <c r="AT292" t="str">
        <f>""</f>
        <v/>
      </c>
      <c r="AU292" t="str">
        <f>""</f>
        <v/>
      </c>
      <c r="AV292" t="str">
        <f>""</f>
        <v/>
      </c>
      <c r="AW292" t="str">
        <f>""</f>
        <v/>
      </c>
      <c r="AX292" t="str">
        <f>""</f>
        <v/>
      </c>
      <c r="AY292" t="str">
        <f>""</f>
        <v/>
      </c>
      <c r="AZ292" t="str">
        <f>""</f>
        <v/>
      </c>
      <c r="BA292" t="str">
        <f>""</f>
        <v/>
      </c>
      <c r="BB292" t="str">
        <f>"06/07/2023 12:07:48"</f>
        <v>06/07/2023 12:07:48</v>
      </c>
      <c r="BC292" t="str">
        <f>""</f>
        <v/>
      </c>
      <c r="BD292" t="str">
        <f>""</f>
        <v/>
      </c>
      <c r="BE292" t="str">
        <f>""</f>
        <v/>
      </c>
      <c r="BF292" t="str">
        <f t="shared" si="137"/>
        <v>A</v>
      </c>
      <c r="BG292" t="str">
        <f>""</f>
        <v/>
      </c>
      <c r="BH292" t="str">
        <f>""</f>
        <v/>
      </c>
      <c r="BI292" t="str">
        <f t="shared" si="147"/>
        <v>EVENTUAL</v>
      </c>
      <c r="BJ292" t="str">
        <f t="shared" si="138"/>
        <v>1</v>
      </c>
      <c r="BK292" t="str">
        <f t="shared" si="139"/>
        <v>Farmacia</v>
      </c>
      <c r="BL292" t="str">
        <f>""</f>
        <v/>
      </c>
      <c r="BM292" t="str">
        <f>""</f>
        <v/>
      </c>
      <c r="BN292" t="str">
        <f>""</f>
        <v/>
      </c>
      <c r="BO292" t="str">
        <f>""</f>
        <v/>
      </c>
      <c r="BP292" t="str">
        <f>""</f>
        <v/>
      </c>
      <c r="BQ292" t="str">
        <f>""</f>
        <v/>
      </c>
      <c r="BR292" t="str">
        <f>"06/07/2023"</f>
        <v>06/07/2023</v>
      </c>
      <c r="BS292" t="str">
        <f>""</f>
        <v/>
      </c>
      <c r="BT292" t="str">
        <f>""</f>
        <v/>
      </c>
      <c r="BU292" t="str">
        <f>""</f>
        <v/>
      </c>
      <c r="BV292" t="str">
        <f>""</f>
        <v/>
      </c>
      <c r="BW292" t="str">
        <f>"Não visitado"</f>
        <v>Não visitado</v>
      </c>
    </row>
    <row r="293" spans="1:75" x14ac:dyDescent="0.35">
      <c r="A293">
        <v>144457</v>
      </c>
      <c r="B293" t="str">
        <f t="shared" si="131"/>
        <v>A</v>
      </c>
      <c r="C293" t="str">
        <f t="shared" si="132"/>
        <v>80</v>
      </c>
      <c r="D293" t="str">
        <f t="shared" si="133"/>
        <v>11121001</v>
      </c>
      <c r="E293" t="str">
        <f t="shared" si="134"/>
        <v>121001</v>
      </c>
      <c r="F293" t="str">
        <f t="shared" si="135"/>
        <v>JENIFER SANTOS</v>
      </c>
      <c r="G293" t="str">
        <f>"30288331000130"</f>
        <v>30288331000130</v>
      </c>
      <c r="H293" t="str">
        <f>""</f>
        <v/>
      </c>
      <c r="I293" t="str">
        <f t="shared" si="136"/>
        <v>CONTA OPTICA</v>
      </c>
      <c r="J293" t="str">
        <f>"OTC COMERCIO DE ARTIGOS OPTICOS LTDA"</f>
        <v>OTC COMERCIO DE ARTIGOS OPTICOS LTDA</v>
      </c>
      <c r="K293" t="str">
        <f>"OTICA GRENDELLI (3878)"</f>
        <v>OTICA GRENDELLI (3878)</v>
      </c>
      <c r="L293" t="str">
        <f>""</f>
        <v/>
      </c>
      <c r="M293" t="str">
        <f>""</f>
        <v/>
      </c>
      <c r="N293" t="str">
        <f>"oticagrendelli@grendelli.com.br"</f>
        <v>oticagrendelli@grendelli.com.br</v>
      </c>
      <c r="O293" t="str">
        <f>""</f>
        <v/>
      </c>
      <c r="P293" t="str">
        <f>"RUA MARIO LOBO"</f>
        <v>RUA MARIO LOBO</v>
      </c>
      <c r="Q293" t="str">
        <f>"10"</f>
        <v>10</v>
      </c>
      <c r="R293" t="str">
        <f>""</f>
        <v/>
      </c>
      <c r="S293" t="str">
        <f>"1277"</f>
        <v>1277</v>
      </c>
      <c r="T293" t="str">
        <f>"89201330"</f>
        <v>89201330</v>
      </c>
      <c r="U293" t="str">
        <f>"CENTRO"</f>
        <v>CENTRO</v>
      </c>
      <c r="V293" t="str">
        <f>"JOINVILLE"</f>
        <v>JOINVILLE</v>
      </c>
      <c r="W293" t="str">
        <f>"SC"</f>
        <v>SC</v>
      </c>
      <c r="X293" t="str">
        <f>"47"</f>
        <v>47</v>
      </c>
      <c r="Y293" t="str">
        <f>"34230506"</f>
        <v>34230506</v>
      </c>
      <c r="Z293" t="str">
        <f>""</f>
        <v/>
      </c>
      <c r="AA293" t="str">
        <f>""</f>
        <v/>
      </c>
      <c r="AB293" t="str">
        <f>""</f>
        <v/>
      </c>
      <c r="AC293" t="str">
        <f>""</f>
        <v/>
      </c>
      <c r="AD293" t="str">
        <f>""</f>
        <v/>
      </c>
      <c r="AE293" t="str">
        <f>""</f>
        <v/>
      </c>
      <c r="AF293" t="str">
        <f>""</f>
        <v/>
      </c>
      <c r="AG293" t="str">
        <f>""</f>
        <v/>
      </c>
      <c r="AH293" t="str">
        <f>""</f>
        <v/>
      </c>
      <c r="AI293" t="str">
        <f>""</f>
        <v/>
      </c>
      <c r="AJ293" t="str">
        <f>"0"</f>
        <v>0</v>
      </c>
      <c r="AK293" t="str">
        <f>"0"</f>
        <v>0</v>
      </c>
      <c r="AL293" t="str">
        <f>"0"</f>
        <v>0</v>
      </c>
      <c r="AM293" t="str">
        <f>""</f>
        <v/>
      </c>
      <c r="AN293" t="str">
        <f>""</f>
        <v/>
      </c>
      <c r="AO293" t="str">
        <f>""</f>
        <v/>
      </c>
      <c r="AP293" t="str">
        <f>""</f>
        <v/>
      </c>
      <c r="AQ293" t="str">
        <f>""</f>
        <v/>
      </c>
      <c r="AR293" t="str">
        <f>""</f>
        <v/>
      </c>
      <c r="AS293" t="str">
        <f>""</f>
        <v/>
      </c>
      <c r="AT293" t="str">
        <f>""</f>
        <v/>
      </c>
      <c r="AU293" t="str">
        <f>""</f>
        <v/>
      </c>
      <c r="AV293" t="str">
        <f>""</f>
        <v/>
      </c>
      <c r="AW293" t="str">
        <f>""</f>
        <v/>
      </c>
      <c r="AX293" t="str">
        <f>""</f>
        <v/>
      </c>
      <c r="AY293" t="str">
        <f>""</f>
        <v/>
      </c>
      <c r="AZ293" t="str">
        <f>""</f>
        <v/>
      </c>
      <c r="BA293" t="str">
        <f>""</f>
        <v/>
      </c>
      <c r="BB293" t="str">
        <f>""</f>
        <v/>
      </c>
      <c r="BC293" t="str">
        <f>""</f>
        <v/>
      </c>
      <c r="BD293" t="str">
        <f>""</f>
        <v/>
      </c>
      <c r="BE293" t="str">
        <f>""</f>
        <v/>
      </c>
      <c r="BF293" t="str">
        <f t="shared" si="137"/>
        <v>A</v>
      </c>
      <c r="BG293" t="str">
        <f>"0,00"</f>
        <v>0,00</v>
      </c>
      <c r="BH293" t="str">
        <f>"0,00"</f>
        <v>0,00</v>
      </c>
      <c r="BI293" t="str">
        <f t="shared" si="147"/>
        <v>EVENTUAL</v>
      </c>
      <c r="BJ293" t="str">
        <f t="shared" si="138"/>
        <v>1</v>
      </c>
      <c r="BK293" t="str">
        <f t="shared" si="139"/>
        <v>Farmacia</v>
      </c>
      <c r="BL293" t="str">
        <f>""</f>
        <v/>
      </c>
      <c r="BM293" t="str">
        <f>"VARILUX ESPECIALISTA PLATINE"</f>
        <v>VARILUX ESPECIALISTA PLATINE</v>
      </c>
      <c r="BN293" t="str">
        <f>"NA"</f>
        <v>NA</v>
      </c>
      <c r="BO293" t="str">
        <f>"FOCO VARILUX DIGITAL"</f>
        <v>FOCO VARILUX DIGITAL</v>
      </c>
      <c r="BP293" t="str">
        <f>""</f>
        <v/>
      </c>
      <c r="BQ293" t="str">
        <f>""</f>
        <v/>
      </c>
      <c r="BR293" t="str">
        <f>""</f>
        <v/>
      </c>
      <c r="BS293" t="str">
        <f>""</f>
        <v/>
      </c>
      <c r="BT293" t="str">
        <f>""</f>
        <v/>
      </c>
      <c r="BU293" t="str">
        <f>""</f>
        <v/>
      </c>
      <c r="BV293" t="str">
        <f>"1"</f>
        <v>1</v>
      </c>
      <c r="BW293" t="str">
        <f>"18"</f>
        <v>18</v>
      </c>
    </row>
    <row r="294" spans="1:75" x14ac:dyDescent="0.35">
      <c r="A294">
        <v>141893</v>
      </c>
      <c r="B294" t="str">
        <f t="shared" si="131"/>
        <v>A</v>
      </c>
      <c r="C294" t="str">
        <f t="shared" si="132"/>
        <v>80</v>
      </c>
      <c r="D294" t="str">
        <f t="shared" si="133"/>
        <v>11121001</v>
      </c>
      <c r="E294" t="str">
        <f t="shared" si="134"/>
        <v>121001</v>
      </c>
      <c r="F294" t="str">
        <f t="shared" si="135"/>
        <v>JENIFER SANTOS</v>
      </c>
      <c r="G294" t="str">
        <f>"42967966000142"</f>
        <v>42967966000142</v>
      </c>
      <c r="H294" t="str">
        <f>"0"</f>
        <v>0</v>
      </c>
      <c r="I294" t="str">
        <f t="shared" si="136"/>
        <v>CONTA OPTICA</v>
      </c>
      <c r="J294" t="str">
        <f>"OTEEFAH CB LTDA"</f>
        <v>OTEEFAH CB LTDA</v>
      </c>
      <c r="K294" t="str">
        <f>"OTICA CHILLIBEANS (4396)"</f>
        <v>OTICA CHILLIBEANS (4396)</v>
      </c>
      <c r="L294" t="str">
        <f>""</f>
        <v/>
      </c>
      <c r="M294" t="str">
        <f>""</f>
        <v/>
      </c>
      <c r="N294" t="str">
        <f>"PEDROBELLIS@GMAIL.COM"</f>
        <v>PEDROBELLIS@GMAIL.COM</v>
      </c>
      <c r="O294" t="str">
        <f>""</f>
        <v/>
      </c>
      <c r="P294" t="str">
        <f>"RUA MARECHAL DEODORO DA FONSECA"</f>
        <v>RUA MARECHAL DEODORO DA FONSECA</v>
      </c>
      <c r="Q294" t="str">
        <f>"315"</f>
        <v>315</v>
      </c>
      <c r="R294" t="str">
        <f>"LETRA E SALA 01"</f>
        <v>LETRA E SALA 01</v>
      </c>
      <c r="S294" t="str">
        <f>"1287"</f>
        <v>1287</v>
      </c>
      <c r="T294" t="str">
        <f>"89802140"</f>
        <v>89802140</v>
      </c>
      <c r="U294" t="str">
        <f>"CENTRO"</f>
        <v>CENTRO</v>
      </c>
      <c r="V294" t="str">
        <f>"CHAPECÓ"</f>
        <v>CHAPECÓ</v>
      </c>
      <c r="W294" t="str">
        <f>"SC"</f>
        <v>SC</v>
      </c>
      <c r="X294" t="str">
        <f>"49"</f>
        <v>49</v>
      </c>
      <c r="Y294" t="str">
        <f>"33232717"</f>
        <v>33232717</v>
      </c>
      <c r="Z294" t="str">
        <f>""</f>
        <v/>
      </c>
      <c r="AA294" t="str">
        <f>""</f>
        <v/>
      </c>
      <c r="AB294" t="str">
        <f>""</f>
        <v/>
      </c>
      <c r="AC294" t="str">
        <f>""</f>
        <v/>
      </c>
      <c r="AD294" t="str">
        <f>""</f>
        <v/>
      </c>
      <c r="AE294" t="str">
        <f>""</f>
        <v/>
      </c>
      <c r="AF294" t="str">
        <f>""</f>
        <v/>
      </c>
      <c r="AG294" t="str">
        <f>"S"</f>
        <v>S</v>
      </c>
      <c r="AH294" t="str">
        <f>""</f>
        <v/>
      </c>
      <c r="AI294" t="str">
        <f>""</f>
        <v/>
      </c>
      <c r="AJ294" t="str">
        <f>""</f>
        <v/>
      </c>
      <c r="AK294" t="str">
        <f>""</f>
        <v/>
      </c>
      <c r="AL294" t="str">
        <f>""</f>
        <v/>
      </c>
      <c r="AM294" t="str">
        <f>""</f>
        <v/>
      </c>
      <c r="AN294" t="str">
        <f>""</f>
        <v/>
      </c>
      <c r="AO294" t="str">
        <f>""</f>
        <v/>
      </c>
      <c r="AP294" t="str">
        <f>""</f>
        <v/>
      </c>
      <c r="AQ294" t="str">
        <f>"N"</f>
        <v>N</v>
      </c>
      <c r="AR294" t="str">
        <f>"N"</f>
        <v>N</v>
      </c>
      <c r="AS294" t="str">
        <f>"N"</f>
        <v>N</v>
      </c>
      <c r="AT294" t="str">
        <f>"N"</f>
        <v>N</v>
      </c>
      <c r="AU294" t="str">
        <f>"N"</f>
        <v>N</v>
      </c>
      <c r="AV294" t="str">
        <f>""</f>
        <v/>
      </c>
      <c r="AW294" t="str">
        <f>""</f>
        <v/>
      </c>
      <c r="AX294" t="str">
        <f>""</f>
        <v/>
      </c>
      <c r="AY294" t="str">
        <f>""</f>
        <v/>
      </c>
      <c r="AZ294" t="str">
        <f>""</f>
        <v/>
      </c>
      <c r="BA294" t="str">
        <f>""</f>
        <v/>
      </c>
      <c r="BB294" t="str">
        <f>"28/10/2021 19:34:33"</f>
        <v>28/10/2021 19:34:33</v>
      </c>
      <c r="BC294" t="str">
        <f>"21/02/2022 13:32:53"</f>
        <v>21/02/2022 13:32:53</v>
      </c>
      <c r="BD294" t="str">
        <f>""</f>
        <v/>
      </c>
      <c r="BE294" t="str">
        <f>""</f>
        <v/>
      </c>
      <c r="BF294" t="str">
        <f t="shared" si="137"/>
        <v>A</v>
      </c>
      <c r="BG294" t="str">
        <f>""</f>
        <v/>
      </c>
      <c r="BH294" t="str">
        <f>"0,00"</f>
        <v>0,00</v>
      </c>
      <c r="BI294" t="str">
        <f t="shared" si="147"/>
        <v>EVENTUAL</v>
      </c>
      <c r="BJ294" t="str">
        <f t="shared" si="138"/>
        <v>1</v>
      </c>
      <c r="BK294" t="str">
        <f t="shared" si="139"/>
        <v>Farmacia</v>
      </c>
      <c r="BL294" t="str">
        <f>""</f>
        <v/>
      </c>
      <c r="BM294" t="str">
        <f>""</f>
        <v/>
      </c>
      <c r="BN294" t="str">
        <f>""</f>
        <v/>
      </c>
      <c r="BO294" t="str">
        <f>"FOCO VARILUX"</f>
        <v>FOCO VARILUX</v>
      </c>
      <c r="BP294" t="str">
        <f>""</f>
        <v/>
      </c>
      <c r="BQ294" t="str">
        <f>""</f>
        <v/>
      </c>
      <c r="BR294" t="str">
        <f>"28/10/2021"</f>
        <v>28/10/2021</v>
      </c>
      <c r="BS294" t="str">
        <f>"21/02/2022"</f>
        <v>21/02/2022</v>
      </c>
      <c r="BT294" t="str">
        <f>""</f>
        <v/>
      </c>
      <c r="BU294" t="str">
        <f>""</f>
        <v/>
      </c>
      <c r="BV294" t="str">
        <f>""</f>
        <v/>
      </c>
      <c r="BW294" t="str">
        <f>"77"</f>
        <v>77</v>
      </c>
    </row>
    <row r="295" spans="1:75" x14ac:dyDescent="0.35">
      <c r="A295">
        <v>157510</v>
      </c>
      <c r="B295" t="str">
        <f t="shared" si="131"/>
        <v>A</v>
      </c>
      <c r="C295" t="str">
        <f t="shared" si="132"/>
        <v>80</v>
      </c>
      <c r="D295" t="str">
        <f t="shared" si="133"/>
        <v>11121001</v>
      </c>
      <c r="E295" t="str">
        <f t="shared" si="134"/>
        <v>121001</v>
      </c>
      <c r="F295" t="str">
        <f t="shared" si="135"/>
        <v>JENIFER SANTOS</v>
      </c>
      <c r="G295" t="str">
        <f>"07272257000141"</f>
        <v>07272257000141</v>
      </c>
      <c r="H295" t="str">
        <f>"0"</f>
        <v>0</v>
      </c>
      <c r="I295" t="str">
        <f t="shared" si="136"/>
        <v>CONTA OPTICA</v>
      </c>
      <c r="J295" t="str">
        <f>"OTICA ALBANO LTDA"</f>
        <v>OTICA ALBANO LTDA</v>
      </c>
      <c r="K295" t="str">
        <f>"OTICA EVERSSON (753)"</f>
        <v>OTICA EVERSSON (753)</v>
      </c>
      <c r="L295" t="str">
        <f>""</f>
        <v/>
      </c>
      <c r="M295" t="str">
        <f>""</f>
        <v/>
      </c>
      <c r="N295" t="str">
        <f>"oticaeverson@gmail.com"</f>
        <v>oticaeverson@gmail.com</v>
      </c>
      <c r="O295" t="str">
        <f>""</f>
        <v/>
      </c>
      <c r="P295" t="str">
        <f>"RUA IRIRIU"</f>
        <v>RUA IRIRIU</v>
      </c>
      <c r="Q295" t="str">
        <f>"1345"</f>
        <v>1345</v>
      </c>
      <c r="R295" t="str">
        <f>"SALA 01"</f>
        <v>SALA 01</v>
      </c>
      <c r="S295" t="str">
        <f>"1279"</f>
        <v>1279</v>
      </c>
      <c r="T295" t="str">
        <f>"89227045"</f>
        <v>89227045</v>
      </c>
      <c r="U295" t="str">
        <f>"IRIRIU"</f>
        <v>IRIRIU</v>
      </c>
      <c r="V295" t="str">
        <f>"JOINVILLE"</f>
        <v>JOINVILLE</v>
      </c>
      <c r="W295" t="str">
        <f>"SC"</f>
        <v>SC</v>
      </c>
      <c r="X295" t="str">
        <f>"47"</f>
        <v>47</v>
      </c>
      <c r="Y295" t="str">
        <f>"30267900"</f>
        <v>30267900</v>
      </c>
      <c r="Z295" t="str">
        <f>""</f>
        <v/>
      </c>
      <c r="AA295" t="str">
        <f>""</f>
        <v/>
      </c>
      <c r="AB295" t="str">
        <f>""</f>
        <v/>
      </c>
      <c r="AC295" t="str">
        <f>""</f>
        <v/>
      </c>
      <c r="AD295" t="str">
        <f>""</f>
        <v/>
      </c>
      <c r="AE295" t="str">
        <f>""</f>
        <v/>
      </c>
      <c r="AF295" t="str">
        <f>""</f>
        <v/>
      </c>
      <c r="AG295" t="str">
        <f>""</f>
        <v/>
      </c>
      <c r="AH295" t="str">
        <f>""</f>
        <v/>
      </c>
      <c r="AI295" t="str">
        <f>""</f>
        <v/>
      </c>
      <c r="AJ295" t="str">
        <f>""</f>
        <v/>
      </c>
      <c r="AK295" t="str">
        <f>""</f>
        <v/>
      </c>
      <c r="AL295" t="str">
        <f>""</f>
        <v/>
      </c>
      <c r="AM295" t="str">
        <f>""</f>
        <v/>
      </c>
      <c r="AN295" t="str">
        <f>""</f>
        <v/>
      </c>
      <c r="AO295" t="str">
        <f>""</f>
        <v/>
      </c>
      <c r="AP295" t="str">
        <f>""</f>
        <v/>
      </c>
      <c r="AQ295" t="str">
        <f>""</f>
        <v/>
      </c>
      <c r="AR295" t="str">
        <f>""</f>
        <v/>
      </c>
      <c r="AS295" t="str">
        <f>""</f>
        <v/>
      </c>
      <c r="AT295" t="str">
        <f>""</f>
        <v/>
      </c>
      <c r="AU295" t="str">
        <f>""</f>
        <v/>
      </c>
      <c r="AV295" t="str">
        <f>""</f>
        <v/>
      </c>
      <c r="AW295" t="str">
        <f>""</f>
        <v/>
      </c>
      <c r="AX295" t="str">
        <f>""</f>
        <v/>
      </c>
      <c r="AY295" t="str">
        <f>""</f>
        <v/>
      </c>
      <c r="AZ295" t="str">
        <f>""</f>
        <v/>
      </c>
      <c r="BA295" t="str">
        <f>""</f>
        <v/>
      </c>
      <c r="BB295" t="str">
        <f>"11/07/2023 02:14:29"</f>
        <v>11/07/2023 02:14:29</v>
      </c>
      <c r="BC295" t="str">
        <f>""</f>
        <v/>
      </c>
      <c r="BD295" t="str">
        <f>""</f>
        <v/>
      </c>
      <c r="BE295" t="str">
        <f>""</f>
        <v/>
      </c>
      <c r="BF295" t="str">
        <f t="shared" si="137"/>
        <v>A</v>
      </c>
      <c r="BG295" t="str">
        <f>""</f>
        <v/>
      </c>
      <c r="BH295" t="str">
        <f>""</f>
        <v/>
      </c>
      <c r="BI295" t="str">
        <f t="shared" si="147"/>
        <v>EVENTUAL</v>
      </c>
      <c r="BJ295" t="str">
        <f t="shared" si="138"/>
        <v>1</v>
      </c>
      <c r="BK295" t="str">
        <f t="shared" si="139"/>
        <v>Farmacia</v>
      </c>
      <c r="BL295" t="str">
        <f>""</f>
        <v/>
      </c>
      <c r="BM295" t="str">
        <f>""</f>
        <v/>
      </c>
      <c r="BN295" t="str">
        <f>""</f>
        <v/>
      </c>
      <c r="BO295" t="str">
        <f>""</f>
        <v/>
      </c>
      <c r="BP295" t="str">
        <f>""</f>
        <v/>
      </c>
      <c r="BQ295" t="str">
        <f>""</f>
        <v/>
      </c>
      <c r="BR295" t="str">
        <f>"11/07/2023"</f>
        <v>11/07/2023</v>
      </c>
      <c r="BS295" t="str">
        <f>""</f>
        <v/>
      </c>
      <c r="BT295" t="str">
        <f>""</f>
        <v/>
      </c>
      <c r="BU295" t="str">
        <f>""</f>
        <v/>
      </c>
      <c r="BV295" t="str">
        <f>""</f>
        <v/>
      </c>
      <c r="BW295" t="str">
        <f>"100"</f>
        <v>100</v>
      </c>
    </row>
    <row r="296" spans="1:75" x14ac:dyDescent="0.35">
      <c r="A296">
        <v>138154</v>
      </c>
      <c r="B296" t="str">
        <f t="shared" si="131"/>
        <v>A</v>
      </c>
      <c r="C296" t="str">
        <f t="shared" si="132"/>
        <v>80</v>
      </c>
      <c r="D296" t="str">
        <f t="shared" si="133"/>
        <v>11121001</v>
      </c>
      <c r="E296" t="str">
        <f t="shared" si="134"/>
        <v>121001</v>
      </c>
      <c r="F296" t="str">
        <f t="shared" si="135"/>
        <v>JENIFER SANTOS</v>
      </c>
      <c r="G296" t="str">
        <f>"20977325000136"</f>
        <v>20977325000136</v>
      </c>
      <c r="H296" t="str">
        <f>"0"</f>
        <v>0</v>
      </c>
      <c r="I296" t="str">
        <f t="shared" si="136"/>
        <v>CONTA OPTICA</v>
      </c>
      <c r="J296" t="str">
        <f>"OTICA ALINE LTDA"</f>
        <v>OTICA ALINE LTDA</v>
      </c>
      <c r="K296" t="str">
        <f>"OTICA ALINE (4208)"</f>
        <v>OTICA ALINE (4208)</v>
      </c>
      <c r="L296" t="str">
        <f>""</f>
        <v/>
      </c>
      <c r="M296" t="str">
        <f>""</f>
        <v/>
      </c>
      <c r="N296" t="str">
        <f>"oticaalinefinanceiro@gmail.com"</f>
        <v>oticaalinefinanceiro@gmail.com</v>
      </c>
      <c r="O296" t="str">
        <f>""</f>
        <v/>
      </c>
      <c r="P296" t="str">
        <f>"RUA CAPITAO ELEUTERIO"</f>
        <v>RUA CAPITAO ELEUTERIO</v>
      </c>
      <c r="Q296" t="str">
        <f>"470"</f>
        <v>470</v>
      </c>
      <c r="R296" t="str">
        <f>""</f>
        <v/>
      </c>
      <c r="S296" t="str">
        <f>""</f>
        <v/>
      </c>
      <c r="T296" t="str">
        <f>"99010060"</f>
        <v>99010060</v>
      </c>
      <c r="U296" t="str">
        <f>"CENTRO"</f>
        <v>CENTRO</v>
      </c>
      <c r="V296" t="str">
        <f>"PASSO FUNDO"</f>
        <v>PASSO FUNDO</v>
      </c>
      <c r="W296" t="str">
        <f>"RS"</f>
        <v>RS</v>
      </c>
      <c r="X296" t="str">
        <f>"54"</f>
        <v>54</v>
      </c>
      <c r="Y296" t="str">
        <f>"33111559"</f>
        <v>33111559</v>
      </c>
      <c r="Z296" t="str">
        <f>""</f>
        <v/>
      </c>
      <c r="AA296" t="str">
        <f>""</f>
        <v/>
      </c>
      <c r="AB296" t="str">
        <f>""</f>
        <v/>
      </c>
      <c r="AC296" t="str">
        <f>""</f>
        <v/>
      </c>
      <c r="AD296" t="str">
        <f>""</f>
        <v/>
      </c>
      <c r="AE296" t="str">
        <f>""</f>
        <v/>
      </c>
      <c r="AF296" t="str">
        <f>""</f>
        <v/>
      </c>
      <c r="AG296" t="str">
        <f>"S"</f>
        <v>S</v>
      </c>
      <c r="AH296" t="str">
        <f>""</f>
        <v/>
      </c>
      <c r="AI296" t="str">
        <f>""</f>
        <v/>
      </c>
      <c r="AJ296" t="str">
        <f>""</f>
        <v/>
      </c>
      <c r="AK296" t="str">
        <f>""</f>
        <v/>
      </c>
      <c r="AL296" t="str">
        <f>""</f>
        <v/>
      </c>
      <c r="AM296" t="str">
        <f>""</f>
        <v/>
      </c>
      <c r="AN296" t="str">
        <f>""</f>
        <v/>
      </c>
      <c r="AO296" t="str">
        <f>""</f>
        <v/>
      </c>
      <c r="AP296" t="str">
        <f>""</f>
        <v/>
      </c>
      <c r="AQ296" t="str">
        <f>"N"</f>
        <v>N</v>
      </c>
      <c r="AR296" t="str">
        <f>"N"</f>
        <v>N</v>
      </c>
      <c r="AS296" t="str">
        <f>"N"</f>
        <v>N</v>
      </c>
      <c r="AT296" t="str">
        <f>"N"</f>
        <v>N</v>
      </c>
      <c r="AU296" t="str">
        <f>"N"</f>
        <v>N</v>
      </c>
      <c r="AV296" t="str">
        <f>""</f>
        <v/>
      </c>
      <c r="AW296" t="str">
        <f>""</f>
        <v/>
      </c>
      <c r="AX296" t="str">
        <f>""</f>
        <v/>
      </c>
      <c r="AY296" t="str">
        <f>""</f>
        <v/>
      </c>
      <c r="AZ296" t="str">
        <f>""</f>
        <v/>
      </c>
      <c r="BA296" t="str">
        <f>""</f>
        <v/>
      </c>
      <c r="BB296" t="str">
        <f>"01/07/2021 13:53:04"</f>
        <v>01/07/2021 13:53:04</v>
      </c>
      <c r="BC296" t="str">
        <f>"06/07/2022 17:07:42"</f>
        <v>06/07/2022 17:07:42</v>
      </c>
      <c r="BD296" t="str">
        <f>""</f>
        <v/>
      </c>
      <c r="BE296" t="str">
        <f>""</f>
        <v/>
      </c>
      <c r="BF296" t="str">
        <f t="shared" si="137"/>
        <v>A</v>
      </c>
      <c r="BG296" t="str">
        <f>""</f>
        <v/>
      </c>
      <c r="BH296" t="str">
        <f>"0,00"</f>
        <v>0,00</v>
      </c>
      <c r="BI296" t="str">
        <f t="shared" si="147"/>
        <v>EVENTUAL</v>
      </c>
      <c r="BJ296" t="str">
        <f t="shared" si="138"/>
        <v>1</v>
      </c>
      <c r="BK296" t="str">
        <f t="shared" si="139"/>
        <v>Farmacia</v>
      </c>
      <c r="BL296" t="str">
        <f>""</f>
        <v/>
      </c>
      <c r="BM296" t="str">
        <f>"NÃO É VARILUX ESPECIALISTA"</f>
        <v>NÃO É VARILUX ESPECIALISTA</v>
      </c>
      <c r="BN296" t="str">
        <f>"NA"</f>
        <v>NA</v>
      </c>
      <c r="BO296" t="str">
        <f>"FOCO KODAK 2"</f>
        <v>FOCO KODAK 2</v>
      </c>
      <c r="BP296" t="str">
        <f>""</f>
        <v/>
      </c>
      <c r="BQ296" t="str">
        <f>""</f>
        <v/>
      </c>
      <c r="BR296" t="str">
        <f>"01/07/2021"</f>
        <v>01/07/2021</v>
      </c>
      <c r="BS296" t="str">
        <f>"06/07/2022"</f>
        <v>06/07/2022</v>
      </c>
      <c r="BT296" t="str">
        <f>""</f>
        <v/>
      </c>
      <c r="BU296" t="str">
        <f>""</f>
        <v/>
      </c>
      <c r="BV296" t="str">
        <f>""</f>
        <v/>
      </c>
      <c r="BW296" t="str">
        <f>"1"</f>
        <v>1</v>
      </c>
    </row>
    <row r="297" spans="1:75" x14ac:dyDescent="0.35">
      <c r="A297">
        <v>821</v>
      </c>
      <c r="B297" t="str">
        <f t="shared" si="131"/>
        <v>A</v>
      </c>
      <c r="C297" t="str">
        <f t="shared" si="132"/>
        <v>80</v>
      </c>
      <c r="D297" t="str">
        <f t="shared" si="133"/>
        <v>11121001</v>
      </c>
      <c r="E297" t="str">
        <f t="shared" si="134"/>
        <v>121001</v>
      </c>
      <c r="F297" t="str">
        <f t="shared" si="135"/>
        <v>JENIFER SANTOS</v>
      </c>
      <c r="G297" t="str">
        <f>"03432975000187"</f>
        <v>03432975000187</v>
      </c>
      <c r="H297" t="str">
        <f>""</f>
        <v/>
      </c>
      <c r="I297" t="str">
        <f t="shared" si="136"/>
        <v>CONTA OPTICA</v>
      </c>
      <c r="J297" t="str">
        <f>"OTICA ALINE LTDA ME"</f>
        <v>OTICA ALINE LTDA ME</v>
      </c>
      <c r="K297" t="str">
        <f>"OTICA ALINE LTDA ME (623)"</f>
        <v>OTICA ALINE LTDA ME (623)</v>
      </c>
      <c r="L297" t="str">
        <f>""</f>
        <v/>
      </c>
      <c r="M297" t="str">
        <f>""</f>
        <v/>
      </c>
      <c r="N297" t="str">
        <f>"oticasantacatarina@bol.com.br"</f>
        <v>oticasantacatarina@bol.com.br</v>
      </c>
      <c r="O297" t="str">
        <f>""</f>
        <v/>
      </c>
      <c r="P297" t="str">
        <f>"RUA DO PRINCIPE"</f>
        <v>RUA DO PRINCIPE</v>
      </c>
      <c r="Q297" t="str">
        <f>"690"</f>
        <v>690</v>
      </c>
      <c r="R297" t="str">
        <f>"SALA 02"</f>
        <v>SALA 02</v>
      </c>
      <c r="S297" t="str">
        <f>"1277"</f>
        <v>1277</v>
      </c>
      <c r="T297" t="str">
        <f>"89201001"</f>
        <v>89201001</v>
      </c>
      <c r="U297" t="str">
        <f>"CENTRO"</f>
        <v>CENTRO</v>
      </c>
      <c r="V297" t="str">
        <f>"JOINVILLE"</f>
        <v>JOINVILLE</v>
      </c>
      <c r="W297" t="str">
        <f t="shared" ref="W297:W314" si="150">"SC"</f>
        <v>SC</v>
      </c>
      <c r="X297" t="str">
        <f>"47"</f>
        <v>47</v>
      </c>
      <c r="Y297" t="str">
        <f>"30283358"</f>
        <v>30283358</v>
      </c>
      <c r="Z297" t="str">
        <f>""</f>
        <v/>
      </c>
      <c r="AA297" t="str">
        <f>""</f>
        <v/>
      </c>
      <c r="AB297" t="str">
        <f>""</f>
        <v/>
      </c>
      <c r="AC297" t="str">
        <f>""</f>
        <v/>
      </c>
      <c r="AD297" t="str">
        <f>""</f>
        <v/>
      </c>
      <c r="AE297" t="str">
        <f>""</f>
        <v/>
      </c>
      <c r="AF297" t="str">
        <f>""</f>
        <v/>
      </c>
      <c r="AG297" t="str">
        <f>""</f>
        <v/>
      </c>
      <c r="AH297" t="str">
        <f>""</f>
        <v/>
      </c>
      <c r="AI297" t="str">
        <f>""</f>
        <v/>
      </c>
      <c r="AJ297" t="str">
        <f>"0"</f>
        <v>0</v>
      </c>
      <c r="AK297" t="str">
        <f>"0"</f>
        <v>0</v>
      </c>
      <c r="AL297" t="str">
        <f>"0"</f>
        <v>0</v>
      </c>
      <c r="AM297" t="str">
        <f>""</f>
        <v/>
      </c>
      <c r="AN297" t="str">
        <f>""</f>
        <v/>
      </c>
      <c r="AO297" t="str">
        <f>""</f>
        <v/>
      </c>
      <c r="AP297" t="str">
        <f>""</f>
        <v/>
      </c>
      <c r="AQ297" t="str">
        <f>""</f>
        <v/>
      </c>
      <c r="AR297" t="str">
        <f>""</f>
        <v/>
      </c>
      <c r="AS297" t="str">
        <f>""</f>
        <v/>
      </c>
      <c r="AT297" t="str">
        <f>""</f>
        <v/>
      </c>
      <c r="AU297" t="str">
        <f>""</f>
        <v/>
      </c>
      <c r="AV297" t="str">
        <f>""</f>
        <v/>
      </c>
      <c r="AW297" t="str">
        <f>""</f>
        <v/>
      </c>
      <c r="AX297" t="str">
        <f>""</f>
        <v/>
      </c>
      <c r="AY297" t="str">
        <f>""</f>
        <v/>
      </c>
      <c r="AZ297" t="str">
        <f>""</f>
        <v/>
      </c>
      <c r="BA297" t="str">
        <f>""</f>
        <v/>
      </c>
      <c r="BB297" t="str">
        <f>"27/07/2018 09:25:51"</f>
        <v>27/07/2018 09:25:51</v>
      </c>
      <c r="BC297" t="str">
        <f>""</f>
        <v/>
      </c>
      <c r="BD297" t="str">
        <f>""</f>
        <v/>
      </c>
      <c r="BE297" t="str">
        <f>"821"</f>
        <v>821</v>
      </c>
      <c r="BF297" t="str">
        <f t="shared" si="137"/>
        <v>A</v>
      </c>
      <c r="BG297" t="str">
        <f>"0,00"</f>
        <v>0,00</v>
      </c>
      <c r="BH297" t="str">
        <f>"0,00"</f>
        <v>0,00</v>
      </c>
      <c r="BI297" t="str">
        <f t="shared" si="147"/>
        <v>EVENTUAL</v>
      </c>
      <c r="BJ297" t="str">
        <f t="shared" si="138"/>
        <v>1</v>
      </c>
      <c r="BK297" t="str">
        <f t="shared" si="139"/>
        <v>Farmacia</v>
      </c>
      <c r="BL297" t="str">
        <f>""</f>
        <v/>
      </c>
      <c r="BM297" t="str">
        <f>"VARILUX ESPECIALISTA SELECT"</f>
        <v>VARILUX ESPECIALISTA SELECT</v>
      </c>
      <c r="BN297" t="str">
        <f>"NA"</f>
        <v>NA</v>
      </c>
      <c r="BO297" t="str">
        <f>"FOCO VARILUX"</f>
        <v>FOCO VARILUX</v>
      </c>
      <c r="BP297" t="str">
        <f>""</f>
        <v/>
      </c>
      <c r="BQ297" t="str">
        <f>""</f>
        <v/>
      </c>
      <c r="BR297" t="str">
        <f>"27/07/2018"</f>
        <v>27/07/2018</v>
      </c>
      <c r="BS297" t="str">
        <f>""</f>
        <v/>
      </c>
      <c r="BT297" t="str">
        <f>""</f>
        <v/>
      </c>
      <c r="BU297" t="str">
        <f>""</f>
        <v/>
      </c>
      <c r="BV297" t="str">
        <f>"3"</f>
        <v>3</v>
      </c>
      <c r="BW297" t="str">
        <f>"Não visitado"</f>
        <v>Não visitado</v>
      </c>
    </row>
    <row r="298" spans="1:75" x14ac:dyDescent="0.35">
      <c r="A298">
        <v>138155</v>
      </c>
      <c r="B298" t="str">
        <f t="shared" si="131"/>
        <v>A</v>
      </c>
      <c r="C298" t="str">
        <f t="shared" si="132"/>
        <v>80</v>
      </c>
      <c r="D298" t="str">
        <f t="shared" si="133"/>
        <v>11121001</v>
      </c>
      <c r="E298" t="str">
        <f t="shared" si="134"/>
        <v>121001</v>
      </c>
      <c r="F298" t="str">
        <f t="shared" si="135"/>
        <v>JENIFER SANTOS</v>
      </c>
      <c r="G298" t="str">
        <f>"23433289000138"</f>
        <v>23433289000138</v>
      </c>
      <c r="H298" t="str">
        <f>"0"</f>
        <v>0</v>
      </c>
      <c r="I298" t="str">
        <f t="shared" si="136"/>
        <v>CONTA OPTICA</v>
      </c>
      <c r="J298" t="str">
        <f>"OTICA ALTERNATIVA LTDA"</f>
        <v>OTICA ALTERNATIVA LTDA</v>
      </c>
      <c r="K298" t="str">
        <f>"OTICA ALTERNATIVA (3892)"</f>
        <v>OTICA ALTERNATIVA (3892)</v>
      </c>
      <c r="L298" t="str">
        <f>""</f>
        <v/>
      </c>
      <c r="M298" t="str">
        <f>""</f>
        <v/>
      </c>
      <c r="N298" t="str">
        <f>"alternativa.otica@hotmail.com"</f>
        <v>alternativa.otica@hotmail.com</v>
      </c>
      <c r="O298" t="str">
        <f>""</f>
        <v/>
      </c>
      <c r="P298" t="str">
        <f>"RUA MARECHAL JOSE B. BORMANN - E"</f>
        <v>RUA MARECHAL JOSE B. BORMANN - E</v>
      </c>
      <c r="Q298" t="str">
        <f>"36"</f>
        <v>36</v>
      </c>
      <c r="R298" t="str">
        <f>"SL01"</f>
        <v>SL01</v>
      </c>
      <c r="S298" t="str">
        <f>"1287"</f>
        <v>1287</v>
      </c>
      <c r="T298" t="str">
        <f>"89802120"</f>
        <v>89802120</v>
      </c>
      <c r="U298" t="str">
        <f>"CENTRO"</f>
        <v>CENTRO</v>
      </c>
      <c r="V298" t="str">
        <f>"CHAPECÓ"</f>
        <v>CHAPECÓ</v>
      </c>
      <c r="W298" t="str">
        <f t="shared" si="150"/>
        <v>SC</v>
      </c>
      <c r="X298" t="str">
        <f>"49"</f>
        <v>49</v>
      </c>
      <c r="Y298" t="str">
        <f>"33295830"</f>
        <v>33295830</v>
      </c>
      <c r="Z298" t="str">
        <f>""</f>
        <v/>
      </c>
      <c r="AA298" t="str">
        <f>""</f>
        <v/>
      </c>
      <c r="AB298" t="str">
        <f>""</f>
        <v/>
      </c>
      <c r="AC298" t="str">
        <f>""</f>
        <v/>
      </c>
      <c r="AD298" t="str">
        <f>""</f>
        <v/>
      </c>
      <c r="AE298" t="str">
        <f>""</f>
        <v/>
      </c>
      <c r="AF298" t="str">
        <f>""</f>
        <v/>
      </c>
      <c r="AG298" t="str">
        <f>"S"</f>
        <v>S</v>
      </c>
      <c r="AH298" t="str">
        <f>""</f>
        <v/>
      </c>
      <c r="AI298" t="str">
        <f>""</f>
        <v/>
      </c>
      <c r="AJ298" t="str">
        <f>""</f>
        <v/>
      </c>
      <c r="AK298" t="str">
        <f>""</f>
        <v/>
      </c>
      <c r="AL298" t="str">
        <f>""</f>
        <v/>
      </c>
      <c r="AM298" t="str">
        <f>""</f>
        <v/>
      </c>
      <c r="AN298" t="str">
        <f>""</f>
        <v/>
      </c>
      <c r="AO298" t="str">
        <f>""</f>
        <v/>
      </c>
      <c r="AP298" t="str">
        <f>""</f>
        <v/>
      </c>
      <c r="AQ298" t="str">
        <f>"N"</f>
        <v>N</v>
      </c>
      <c r="AR298" t="str">
        <f>"N"</f>
        <v>N</v>
      </c>
      <c r="AS298" t="str">
        <f>"N"</f>
        <v>N</v>
      </c>
      <c r="AT298" t="str">
        <f>"N"</f>
        <v>N</v>
      </c>
      <c r="AU298" t="str">
        <f>"N"</f>
        <v>N</v>
      </c>
      <c r="AV298" t="str">
        <f>""</f>
        <v/>
      </c>
      <c r="AW298" t="str">
        <f>""</f>
        <v/>
      </c>
      <c r="AX298" t="str">
        <f>""</f>
        <v/>
      </c>
      <c r="AY298" t="str">
        <f>""</f>
        <v/>
      </c>
      <c r="AZ298" t="str">
        <f>""</f>
        <v/>
      </c>
      <c r="BA298" t="str">
        <f>""</f>
        <v/>
      </c>
      <c r="BB298" t="str">
        <f>"01/07/2021 13:53:04"</f>
        <v>01/07/2021 13:53:04</v>
      </c>
      <c r="BC298" t="str">
        <f>"28/12/2021 14:45:07"</f>
        <v>28/12/2021 14:45:07</v>
      </c>
      <c r="BD298" t="str">
        <f>""</f>
        <v/>
      </c>
      <c r="BE298" t="str">
        <f>""</f>
        <v/>
      </c>
      <c r="BF298" t="str">
        <f t="shared" si="137"/>
        <v>A</v>
      </c>
      <c r="BG298" t="str">
        <f>""</f>
        <v/>
      </c>
      <c r="BH298" t="str">
        <f>"0,00"</f>
        <v>0,00</v>
      </c>
      <c r="BI298" t="str">
        <f t="shared" si="147"/>
        <v>EVENTUAL</v>
      </c>
      <c r="BJ298" t="str">
        <f t="shared" si="138"/>
        <v>1</v>
      </c>
      <c r="BK298" t="str">
        <f t="shared" si="139"/>
        <v>Farmacia</v>
      </c>
      <c r="BL298" t="str">
        <f>""</f>
        <v/>
      </c>
      <c r="BM298" t="str">
        <f>"NÃO É VARILUX ESPECIALISTA"</f>
        <v>NÃO É VARILUX ESPECIALISTA</v>
      </c>
      <c r="BN298" t="str">
        <f>"NA"</f>
        <v>NA</v>
      </c>
      <c r="BO298" t="str">
        <f>"FOCO VARILUX"</f>
        <v>FOCO VARILUX</v>
      </c>
      <c r="BP298" t="str">
        <f>""</f>
        <v/>
      </c>
      <c r="BQ298" t="str">
        <f>""</f>
        <v/>
      </c>
      <c r="BR298" t="str">
        <f>"01/07/2021"</f>
        <v>01/07/2021</v>
      </c>
      <c r="BS298" t="str">
        <f>"28/12/2021"</f>
        <v>28/12/2021</v>
      </c>
      <c r="BT298" t="str">
        <f>""</f>
        <v/>
      </c>
      <c r="BU298" t="str">
        <f>""</f>
        <v/>
      </c>
      <c r="BV298" t="str">
        <f>""</f>
        <v/>
      </c>
      <c r="BW298" t="str">
        <f>"Não visitado"</f>
        <v>Não visitado</v>
      </c>
    </row>
    <row r="299" spans="1:75" x14ac:dyDescent="0.35">
      <c r="A299">
        <v>156780</v>
      </c>
      <c r="B299" t="str">
        <f t="shared" si="131"/>
        <v>A</v>
      </c>
      <c r="C299" t="str">
        <f t="shared" si="132"/>
        <v>80</v>
      </c>
      <c r="D299" t="str">
        <f t="shared" si="133"/>
        <v>11121001</v>
      </c>
      <c r="E299" t="str">
        <f t="shared" si="134"/>
        <v>121001</v>
      </c>
      <c r="F299" t="str">
        <f t="shared" si="135"/>
        <v>JENIFER SANTOS</v>
      </c>
      <c r="G299" t="str">
        <f>"18284857000146"</f>
        <v>18284857000146</v>
      </c>
      <c r="H299" t="str">
        <f>"0"</f>
        <v>0</v>
      </c>
      <c r="I299" t="str">
        <f t="shared" si="136"/>
        <v>CONTA OPTICA</v>
      </c>
      <c r="J299" t="str">
        <f>"OTICA AMS LTDA ME"</f>
        <v>OTICA AMS LTDA ME</v>
      </c>
      <c r="K299" t="str">
        <f>"SUPER OTICA SÃO JOSE (2037)"</f>
        <v>SUPER OTICA SÃO JOSE (2037)</v>
      </c>
      <c r="L299" t="str">
        <f>""</f>
        <v/>
      </c>
      <c r="M299" t="str">
        <f>""</f>
        <v/>
      </c>
      <c r="N299" t="str">
        <f>"ALINE_MS20@HOTMAIL.COM"</f>
        <v>ALINE_MS20@HOTMAIL.COM</v>
      </c>
      <c r="O299" t="str">
        <f>""</f>
        <v/>
      </c>
      <c r="P299" t="str">
        <f>"RUA BARAO DO RIO BRANCO"</f>
        <v>RUA BARAO DO RIO BRANCO</v>
      </c>
      <c r="Q299" t="str">
        <f>"377"</f>
        <v>377</v>
      </c>
      <c r="R299" t="str">
        <f>"SALA 123"</f>
        <v>SALA 123</v>
      </c>
      <c r="S299" t="str">
        <f>"1280"</f>
        <v>1280</v>
      </c>
      <c r="T299" t="str">
        <f>"89240000"</f>
        <v>89240000</v>
      </c>
      <c r="U299" t="str">
        <f>"CENTRO"</f>
        <v>CENTRO</v>
      </c>
      <c r="V299" t="str">
        <f>"SAO FRANCISCO DO SUL"</f>
        <v>SAO FRANCISCO DO SUL</v>
      </c>
      <c r="W299" t="str">
        <f t="shared" si="150"/>
        <v>SC</v>
      </c>
      <c r="X299" t="str">
        <f>"47"</f>
        <v>47</v>
      </c>
      <c r="Y299" t="str">
        <f>"34491616"</f>
        <v>34491616</v>
      </c>
      <c r="Z299" t="str">
        <f>""</f>
        <v/>
      </c>
      <c r="AA299" t="str">
        <f>""</f>
        <v/>
      </c>
      <c r="AB299" t="str">
        <f>""</f>
        <v/>
      </c>
      <c r="AC299" t="str">
        <f>""</f>
        <v/>
      </c>
      <c r="AD299" t="str">
        <f>""</f>
        <v/>
      </c>
      <c r="AE299" t="str">
        <f>""</f>
        <v/>
      </c>
      <c r="AF299" t="str">
        <f>""</f>
        <v/>
      </c>
      <c r="AG299" t="str">
        <f>""</f>
        <v/>
      </c>
      <c r="AH299" t="str">
        <f>""</f>
        <v/>
      </c>
      <c r="AI299" t="str">
        <f>""</f>
        <v/>
      </c>
      <c r="AJ299" t="str">
        <f>""</f>
        <v/>
      </c>
      <c r="AK299" t="str">
        <f>""</f>
        <v/>
      </c>
      <c r="AL299" t="str">
        <f>""</f>
        <v/>
      </c>
      <c r="AM299" t="str">
        <f>""</f>
        <v/>
      </c>
      <c r="AN299" t="str">
        <f>""</f>
        <v/>
      </c>
      <c r="AO299" t="str">
        <f>""</f>
        <v/>
      </c>
      <c r="AP299" t="str">
        <f>""</f>
        <v/>
      </c>
      <c r="AQ299" t="str">
        <f>""</f>
        <v/>
      </c>
      <c r="AR299" t="str">
        <f>""</f>
        <v/>
      </c>
      <c r="AS299" t="str">
        <f>""</f>
        <v/>
      </c>
      <c r="AT299" t="str">
        <f>""</f>
        <v/>
      </c>
      <c r="AU299" t="str">
        <f>""</f>
        <v/>
      </c>
      <c r="AV299" t="str">
        <f>""</f>
        <v/>
      </c>
      <c r="AW299" t="str">
        <f>""</f>
        <v/>
      </c>
      <c r="AX299" t="str">
        <f>""</f>
        <v/>
      </c>
      <c r="AY299" t="str">
        <f>""</f>
        <v/>
      </c>
      <c r="AZ299" t="str">
        <f>""</f>
        <v/>
      </c>
      <c r="BA299" t="str">
        <f>""</f>
        <v/>
      </c>
      <c r="BB299" t="str">
        <f>"06/07/2023 12:07:48"</f>
        <v>06/07/2023 12:07:48</v>
      </c>
      <c r="BC299" t="str">
        <f>""</f>
        <v/>
      </c>
      <c r="BD299" t="str">
        <f>""</f>
        <v/>
      </c>
      <c r="BE299" t="str">
        <f>""</f>
        <v/>
      </c>
      <c r="BF299" t="str">
        <f t="shared" si="137"/>
        <v>A</v>
      </c>
      <c r="BG299" t="str">
        <f>""</f>
        <v/>
      </c>
      <c r="BH299" t="str">
        <f>""</f>
        <v/>
      </c>
      <c r="BI299" t="str">
        <f t="shared" si="147"/>
        <v>EVENTUAL</v>
      </c>
      <c r="BJ299" t="str">
        <f t="shared" si="138"/>
        <v>1</v>
      </c>
      <c r="BK299" t="str">
        <f t="shared" si="139"/>
        <v>Farmacia</v>
      </c>
      <c r="BL299" t="str">
        <f>""</f>
        <v/>
      </c>
      <c r="BM299" t="str">
        <f>""</f>
        <v/>
      </c>
      <c r="BN299" t="str">
        <f>""</f>
        <v/>
      </c>
      <c r="BO299" t="str">
        <f>""</f>
        <v/>
      </c>
      <c r="BP299" t="str">
        <f>""</f>
        <v/>
      </c>
      <c r="BQ299" t="str">
        <f>""</f>
        <v/>
      </c>
      <c r="BR299" t="str">
        <f>"06/07/2023"</f>
        <v>06/07/2023</v>
      </c>
      <c r="BS299" t="str">
        <f>""</f>
        <v/>
      </c>
      <c r="BT299" t="str">
        <f>""</f>
        <v/>
      </c>
      <c r="BU299" t="str">
        <f>""</f>
        <v/>
      </c>
      <c r="BV299" t="str">
        <f>""</f>
        <v/>
      </c>
      <c r="BW299" t="str">
        <f>"Não visitado"</f>
        <v>Não visitado</v>
      </c>
    </row>
    <row r="300" spans="1:75" x14ac:dyDescent="0.35">
      <c r="A300">
        <v>156716</v>
      </c>
      <c r="B300" t="str">
        <f t="shared" si="131"/>
        <v>A</v>
      </c>
      <c r="C300" t="str">
        <f t="shared" si="132"/>
        <v>80</v>
      </c>
      <c r="D300" t="str">
        <f t="shared" si="133"/>
        <v>11121001</v>
      </c>
      <c r="E300" t="str">
        <f t="shared" si="134"/>
        <v>121001</v>
      </c>
      <c r="F300" t="str">
        <f t="shared" si="135"/>
        <v>JENIFER SANTOS</v>
      </c>
      <c r="G300" t="str">
        <f>"31591267000205"</f>
        <v>31591267000205</v>
      </c>
      <c r="H300" t="str">
        <f>"0"</f>
        <v>0</v>
      </c>
      <c r="I300" t="str">
        <f t="shared" si="136"/>
        <v>CONTA OPTICA</v>
      </c>
      <c r="J300" t="str">
        <f>"OTICA ARYA LTDA"</f>
        <v>OTICA ARYA LTDA</v>
      </c>
      <c r="K300" t="str">
        <f>"OTICAS ARYA (4692)"</f>
        <v>OTICAS ARYA (4692)</v>
      </c>
      <c r="L300" t="str">
        <f>""</f>
        <v/>
      </c>
      <c r="M300" t="str">
        <f>""</f>
        <v/>
      </c>
      <c r="N300" t="str">
        <f>"OTICAARYAPREMIER@GMAIL.COM"</f>
        <v>OTICAARYAPREMIER@GMAIL.COM</v>
      </c>
      <c r="O300" t="str">
        <f>""</f>
        <v/>
      </c>
      <c r="P300" t="str">
        <f>"DOM PEDRO II"</f>
        <v>DOM PEDRO II</v>
      </c>
      <c r="Q300" t="str">
        <f>"35"</f>
        <v>35</v>
      </c>
      <c r="R300" t="str">
        <f>"SALA 110 PISO 1"</f>
        <v>SALA 110 PISO 1</v>
      </c>
      <c r="S300" t="str">
        <f>""</f>
        <v/>
      </c>
      <c r="T300" t="str">
        <f>"89560210"</f>
        <v>89560210</v>
      </c>
      <c r="U300" t="str">
        <f>"CENTRO"</f>
        <v>CENTRO</v>
      </c>
      <c r="V300" t="str">
        <f>"VIDEIRA"</f>
        <v>VIDEIRA</v>
      </c>
      <c r="W300" t="str">
        <f t="shared" si="150"/>
        <v>SC</v>
      </c>
      <c r="X300" t="str">
        <f>"47"</f>
        <v>47</v>
      </c>
      <c r="Y300" t="str">
        <f>"999254598"</f>
        <v>999254598</v>
      </c>
      <c r="Z300" t="str">
        <f>""</f>
        <v/>
      </c>
      <c r="AA300" t="str">
        <f>""</f>
        <v/>
      </c>
      <c r="AB300" t="str">
        <f>""</f>
        <v/>
      </c>
      <c r="AC300" t="str">
        <f>""</f>
        <v/>
      </c>
      <c r="AD300" t="str">
        <f>""</f>
        <v/>
      </c>
      <c r="AE300" t="str">
        <f>""</f>
        <v/>
      </c>
      <c r="AF300" t="str">
        <f>""</f>
        <v/>
      </c>
      <c r="AG300" t="str">
        <f>""</f>
        <v/>
      </c>
      <c r="AH300" t="str">
        <f>""</f>
        <v/>
      </c>
      <c r="AI300" t="str">
        <f>""</f>
        <v/>
      </c>
      <c r="AJ300" t="str">
        <f>""</f>
        <v/>
      </c>
      <c r="AK300" t="str">
        <f>""</f>
        <v/>
      </c>
      <c r="AL300" t="str">
        <f>""</f>
        <v/>
      </c>
      <c r="AM300" t="str">
        <f>""</f>
        <v/>
      </c>
      <c r="AN300" t="str">
        <f>""</f>
        <v/>
      </c>
      <c r="AO300" t="str">
        <f>""</f>
        <v/>
      </c>
      <c r="AP300" t="str">
        <f>""</f>
        <v/>
      </c>
      <c r="AQ300" t="str">
        <f>""</f>
        <v/>
      </c>
      <c r="AR300" t="str">
        <f>""</f>
        <v/>
      </c>
      <c r="AS300" t="str">
        <f>""</f>
        <v/>
      </c>
      <c r="AT300" t="str">
        <f>""</f>
        <v/>
      </c>
      <c r="AU300" t="str">
        <f>""</f>
        <v/>
      </c>
      <c r="AV300" t="str">
        <f>""</f>
        <v/>
      </c>
      <c r="AW300" t="str">
        <f>""</f>
        <v/>
      </c>
      <c r="AX300" t="str">
        <f>""</f>
        <v/>
      </c>
      <c r="AY300" t="str">
        <f>""</f>
        <v/>
      </c>
      <c r="AZ300" t="str">
        <f>""</f>
        <v/>
      </c>
      <c r="BA300" t="str">
        <f>""</f>
        <v/>
      </c>
      <c r="BB300" t="str">
        <f>"06/07/2023 12:07:48"</f>
        <v>06/07/2023 12:07:48</v>
      </c>
      <c r="BC300" t="str">
        <f>""</f>
        <v/>
      </c>
      <c r="BD300" t="str">
        <f>""</f>
        <v/>
      </c>
      <c r="BE300" t="str">
        <f>""</f>
        <v/>
      </c>
      <c r="BF300" t="str">
        <f t="shared" si="137"/>
        <v>A</v>
      </c>
      <c r="BG300" t="str">
        <f>""</f>
        <v/>
      </c>
      <c r="BH300" t="str">
        <f>""</f>
        <v/>
      </c>
      <c r="BI300" t="str">
        <f t="shared" si="147"/>
        <v>EVENTUAL</v>
      </c>
      <c r="BJ300" t="str">
        <f t="shared" si="138"/>
        <v>1</v>
      </c>
      <c r="BK300" t="str">
        <f t="shared" si="139"/>
        <v>Farmacia</v>
      </c>
      <c r="BL300" t="str">
        <f>""</f>
        <v/>
      </c>
      <c r="BM300" t="str">
        <f>""</f>
        <v/>
      </c>
      <c r="BN300" t="str">
        <f>""</f>
        <v/>
      </c>
      <c r="BO300" t="str">
        <f>""</f>
        <v/>
      </c>
      <c r="BP300" t="str">
        <f>""</f>
        <v/>
      </c>
      <c r="BQ300" t="str">
        <f>""</f>
        <v/>
      </c>
      <c r="BR300" t="str">
        <f>"06/07/2023"</f>
        <v>06/07/2023</v>
      </c>
      <c r="BS300" t="str">
        <f>""</f>
        <v/>
      </c>
      <c r="BT300" t="str">
        <f>""</f>
        <v/>
      </c>
      <c r="BU300" t="str">
        <f>""</f>
        <v/>
      </c>
      <c r="BV300" t="str">
        <f>""</f>
        <v/>
      </c>
      <c r="BW300" t="str">
        <f>"59"</f>
        <v>59</v>
      </c>
    </row>
    <row r="301" spans="1:75" x14ac:dyDescent="0.35">
      <c r="A301">
        <v>138156</v>
      </c>
      <c r="B301" t="str">
        <f t="shared" si="131"/>
        <v>A</v>
      </c>
      <c r="C301" t="str">
        <f t="shared" si="132"/>
        <v>80</v>
      </c>
      <c r="D301" t="str">
        <f t="shared" si="133"/>
        <v>11121001</v>
      </c>
      <c r="E301" t="str">
        <f t="shared" si="134"/>
        <v>121001</v>
      </c>
      <c r="F301" t="str">
        <f t="shared" si="135"/>
        <v>JENIFER SANTOS</v>
      </c>
      <c r="G301" t="str">
        <f>"31591267000124"</f>
        <v>31591267000124</v>
      </c>
      <c r="H301" t="str">
        <f>"0"</f>
        <v>0</v>
      </c>
      <c r="I301" t="str">
        <f t="shared" si="136"/>
        <v>CONTA OPTICA</v>
      </c>
      <c r="J301" t="str">
        <f>"OTICA ARYA LTDA"</f>
        <v>OTICA ARYA LTDA</v>
      </c>
      <c r="K301" t="str">
        <f>"OTICA ARYA (3948)"</f>
        <v>OTICA ARYA (3948)</v>
      </c>
      <c r="L301" t="str">
        <f>""</f>
        <v/>
      </c>
      <c r="M301" t="str">
        <f>""</f>
        <v/>
      </c>
      <c r="N301" t="str">
        <f>"oticasarya@gmail.com"</f>
        <v>oticasarya@gmail.com</v>
      </c>
      <c r="O301" t="str">
        <f>""</f>
        <v/>
      </c>
      <c r="P301" t="str">
        <f>"RUA VICTOR MEIRELLES"</f>
        <v>RUA VICTOR MEIRELLES</v>
      </c>
      <c r="Q301" t="str">
        <f>"340"</f>
        <v>340</v>
      </c>
      <c r="R301" t="str">
        <f>""</f>
        <v/>
      </c>
      <c r="S301" t="str">
        <f>""</f>
        <v/>
      </c>
      <c r="T301" t="str">
        <f>"89560238"</f>
        <v>89560238</v>
      </c>
      <c r="U301" t="str">
        <f>"MATRIZ"</f>
        <v>MATRIZ</v>
      </c>
      <c r="V301" t="str">
        <f>"VIDEIRA"</f>
        <v>VIDEIRA</v>
      </c>
      <c r="W301" t="str">
        <f t="shared" si="150"/>
        <v>SC</v>
      </c>
      <c r="X301" t="str">
        <f>"49"</f>
        <v>49</v>
      </c>
      <c r="Y301" t="str">
        <f>"999945310"</f>
        <v>999945310</v>
      </c>
      <c r="Z301" t="str">
        <f>""</f>
        <v/>
      </c>
      <c r="AA301" t="str">
        <f>""</f>
        <v/>
      </c>
      <c r="AB301" t="str">
        <f>""</f>
        <v/>
      </c>
      <c r="AC301" t="str">
        <f>""</f>
        <v/>
      </c>
      <c r="AD301" t="str">
        <f>""</f>
        <v/>
      </c>
      <c r="AE301" t="str">
        <f>""</f>
        <v/>
      </c>
      <c r="AF301" t="str">
        <f>""</f>
        <v/>
      </c>
      <c r="AG301" t="str">
        <f>"S"</f>
        <v>S</v>
      </c>
      <c r="AH301" t="str">
        <f>""</f>
        <v/>
      </c>
      <c r="AI301" t="str">
        <f>""</f>
        <v/>
      </c>
      <c r="AJ301" t="str">
        <f>""</f>
        <v/>
      </c>
      <c r="AK301" t="str">
        <f>""</f>
        <v/>
      </c>
      <c r="AL301" t="str">
        <f>""</f>
        <v/>
      </c>
      <c r="AM301" t="str">
        <f>""</f>
        <v/>
      </c>
      <c r="AN301" t="str">
        <f>""</f>
        <v/>
      </c>
      <c r="AO301" t="str">
        <f>""</f>
        <v/>
      </c>
      <c r="AP301" t="str">
        <f>""</f>
        <v/>
      </c>
      <c r="AQ301" t="str">
        <f>"N"</f>
        <v>N</v>
      </c>
      <c r="AR301" t="str">
        <f>"N"</f>
        <v>N</v>
      </c>
      <c r="AS301" t="str">
        <f>"N"</f>
        <v>N</v>
      </c>
      <c r="AT301" t="str">
        <f>"N"</f>
        <v>N</v>
      </c>
      <c r="AU301" t="str">
        <f>"N"</f>
        <v>N</v>
      </c>
      <c r="AV301" t="str">
        <f>""</f>
        <v/>
      </c>
      <c r="AW301" t="str">
        <f>""</f>
        <v/>
      </c>
      <c r="AX301" t="str">
        <f>""</f>
        <v/>
      </c>
      <c r="AY301" t="str">
        <f>""</f>
        <v/>
      </c>
      <c r="AZ301" t="str">
        <f>""</f>
        <v/>
      </c>
      <c r="BA301" t="str">
        <f>""</f>
        <v/>
      </c>
      <c r="BB301" t="str">
        <f>"01/07/2021 13:53:04"</f>
        <v>01/07/2021 13:53:04</v>
      </c>
      <c r="BC301" t="str">
        <f>"28/03/2022 08:54:46"</f>
        <v>28/03/2022 08:54:46</v>
      </c>
      <c r="BD301" t="str">
        <f>""</f>
        <v/>
      </c>
      <c r="BE301" t="str">
        <f>""</f>
        <v/>
      </c>
      <c r="BF301" t="str">
        <f t="shared" si="137"/>
        <v>A</v>
      </c>
      <c r="BG301" t="str">
        <f>""</f>
        <v/>
      </c>
      <c r="BH301" t="str">
        <f>"0,00"</f>
        <v>0,00</v>
      </c>
      <c r="BI301" t="str">
        <f t="shared" si="147"/>
        <v>EVENTUAL</v>
      </c>
      <c r="BJ301" t="str">
        <f t="shared" si="138"/>
        <v>1</v>
      </c>
      <c r="BK301" t="str">
        <f t="shared" si="139"/>
        <v>Farmacia</v>
      </c>
      <c r="BL301" t="str">
        <f>""</f>
        <v/>
      </c>
      <c r="BM301" t="str">
        <f>"VARILUX ESPECIALISTA PLATINE"</f>
        <v>VARILUX ESPECIALISTA PLATINE</v>
      </c>
      <c r="BN301" t="str">
        <f>"NA"</f>
        <v>NA</v>
      </c>
      <c r="BO301" t="str">
        <f>"FOCO VARILUX DIGITAL"</f>
        <v>FOCO VARILUX DIGITAL</v>
      </c>
      <c r="BP301" t="str">
        <f>""</f>
        <v/>
      </c>
      <c r="BQ301" t="str">
        <f>""</f>
        <v/>
      </c>
      <c r="BR301" t="str">
        <f>"01/07/2021"</f>
        <v>01/07/2021</v>
      </c>
      <c r="BS301" t="str">
        <f>"28/03/2022"</f>
        <v>28/03/2022</v>
      </c>
      <c r="BT301" t="str">
        <f>""</f>
        <v/>
      </c>
      <c r="BU301" t="str">
        <f>""</f>
        <v/>
      </c>
      <c r="BV301" t="str">
        <f>""</f>
        <v/>
      </c>
      <c r="BW301" t="str">
        <f>"32"</f>
        <v>32</v>
      </c>
    </row>
    <row r="302" spans="1:75" x14ac:dyDescent="0.35">
      <c r="A302">
        <v>156740</v>
      </c>
      <c r="B302" t="str">
        <f t="shared" si="131"/>
        <v>A</v>
      </c>
      <c r="C302" t="str">
        <f t="shared" si="132"/>
        <v>80</v>
      </c>
      <c r="D302" t="str">
        <f t="shared" si="133"/>
        <v>11121001</v>
      </c>
      <c r="E302" t="str">
        <f t="shared" si="134"/>
        <v>121001</v>
      </c>
      <c r="F302" t="str">
        <f t="shared" si="135"/>
        <v>JENIFER SANTOS</v>
      </c>
      <c r="G302" t="str">
        <f>"45728567000117"</f>
        <v>45728567000117</v>
      </c>
      <c r="H302" t="str">
        <f>"0"</f>
        <v>0</v>
      </c>
      <c r="I302" t="str">
        <f t="shared" si="136"/>
        <v>CONTA OPTICA</v>
      </c>
      <c r="J302" t="str">
        <f>"OTICA AVENTUREIRO LTDA"</f>
        <v>OTICA AVENTUREIRO LTDA</v>
      </c>
      <c r="K302" t="str">
        <f>"OTICA BOM JESUS (4685)"</f>
        <v>OTICA BOM JESUS (4685)</v>
      </c>
      <c r="L302" t="str">
        <f>""</f>
        <v/>
      </c>
      <c r="M302" t="str">
        <f>""</f>
        <v/>
      </c>
      <c r="N302" t="str">
        <f>"THIAGO.GOMES2112@GMAIL.COM"</f>
        <v>THIAGO.GOMES2112@GMAIL.COM</v>
      </c>
      <c r="O302" t="str">
        <f>""</f>
        <v/>
      </c>
      <c r="P302" t="str">
        <f>"RUA ANTONIO JORGE CECYN"</f>
        <v>RUA ANTONIO JORGE CECYN</v>
      </c>
      <c r="Q302" t="str">
        <f>"201"</f>
        <v>201</v>
      </c>
      <c r="R302" t="str">
        <f>"SALA 01"</f>
        <v>SALA 01</v>
      </c>
      <c r="S302" t="str">
        <f>"1279"</f>
        <v>1279</v>
      </c>
      <c r="T302" t="str">
        <f>"89226260"</f>
        <v>89226260</v>
      </c>
      <c r="U302" t="str">
        <f>"AVENTUREIRO"</f>
        <v>AVENTUREIRO</v>
      </c>
      <c r="V302" t="str">
        <f>"JOINVILLE"</f>
        <v>JOINVILLE</v>
      </c>
      <c r="W302" t="str">
        <f t="shared" si="150"/>
        <v>SC</v>
      </c>
      <c r="X302" t="str">
        <f>"47"</f>
        <v>47</v>
      </c>
      <c r="Y302" t="str">
        <f>"30318681"</f>
        <v>30318681</v>
      </c>
      <c r="Z302" t="str">
        <f>""</f>
        <v/>
      </c>
      <c r="AA302" t="str">
        <f>""</f>
        <v/>
      </c>
      <c r="AB302" t="str">
        <f>""</f>
        <v/>
      </c>
      <c r="AC302" t="str">
        <f>""</f>
        <v/>
      </c>
      <c r="AD302" t="str">
        <f>""</f>
        <v/>
      </c>
      <c r="AE302" t="str">
        <f>""</f>
        <v/>
      </c>
      <c r="AF302" t="str">
        <f>""</f>
        <v/>
      </c>
      <c r="AG302" t="str">
        <f>""</f>
        <v/>
      </c>
      <c r="AH302" t="str">
        <f>""</f>
        <v/>
      </c>
      <c r="AI302" t="str">
        <f>""</f>
        <v/>
      </c>
      <c r="AJ302" t="str">
        <f>""</f>
        <v/>
      </c>
      <c r="AK302" t="str">
        <f>""</f>
        <v/>
      </c>
      <c r="AL302" t="str">
        <f>""</f>
        <v/>
      </c>
      <c r="AM302" t="str">
        <f>""</f>
        <v/>
      </c>
      <c r="AN302" t="str">
        <f>""</f>
        <v/>
      </c>
      <c r="AO302" t="str">
        <f>""</f>
        <v/>
      </c>
      <c r="AP302" t="str">
        <f>""</f>
        <v/>
      </c>
      <c r="AQ302" t="str">
        <f>""</f>
        <v/>
      </c>
      <c r="AR302" t="str">
        <f>""</f>
        <v/>
      </c>
      <c r="AS302" t="str">
        <f>""</f>
        <v/>
      </c>
      <c r="AT302" t="str">
        <f>""</f>
        <v/>
      </c>
      <c r="AU302" t="str">
        <f>""</f>
        <v/>
      </c>
      <c r="AV302" t="str">
        <f>""</f>
        <v/>
      </c>
      <c r="AW302" t="str">
        <f>""</f>
        <v/>
      </c>
      <c r="AX302" t="str">
        <f>""</f>
        <v/>
      </c>
      <c r="AY302" t="str">
        <f>""</f>
        <v/>
      </c>
      <c r="AZ302" t="str">
        <f>""</f>
        <v/>
      </c>
      <c r="BA302" t="str">
        <f>""</f>
        <v/>
      </c>
      <c r="BB302" t="str">
        <f>"06/07/2023 12:07:48"</f>
        <v>06/07/2023 12:07:48</v>
      </c>
      <c r="BC302" t="str">
        <f>""</f>
        <v/>
      </c>
      <c r="BD302" t="str">
        <f>""</f>
        <v/>
      </c>
      <c r="BE302" t="str">
        <f>""</f>
        <v/>
      </c>
      <c r="BF302" t="str">
        <f t="shared" si="137"/>
        <v>A</v>
      </c>
      <c r="BG302" t="str">
        <f>""</f>
        <v/>
      </c>
      <c r="BH302" t="str">
        <f>""</f>
        <v/>
      </c>
      <c r="BI302" t="str">
        <f t="shared" si="147"/>
        <v>EVENTUAL</v>
      </c>
      <c r="BJ302" t="str">
        <f t="shared" si="138"/>
        <v>1</v>
      </c>
      <c r="BK302" t="str">
        <f t="shared" si="139"/>
        <v>Farmacia</v>
      </c>
      <c r="BL302" t="str">
        <f>""</f>
        <v/>
      </c>
      <c r="BM302" t="str">
        <f>""</f>
        <v/>
      </c>
      <c r="BN302" t="str">
        <f>""</f>
        <v/>
      </c>
      <c r="BO302" t="str">
        <f>""</f>
        <v/>
      </c>
      <c r="BP302" t="str">
        <f>""</f>
        <v/>
      </c>
      <c r="BQ302" t="str">
        <f>""</f>
        <v/>
      </c>
      <c r="BR302" t="str">
        <f>"06/07/2023"</f>
        <v>06/07/2023</v>
      </c>
      <c r="BS302" t="str">
        <f>""</f>
        <v/>
      </c>
      <c r="BT302" t="str">
        <f>""</f>
        <v/>
      </c>
      <c r="BU302" t="str">
        <f>""</f>
        <v/>
      </c>
      <c r="BV302" t="str">
        <f>""</f>
        <v/>
      </c>
      <c r="BW302" t="str">
        <f>"32"</f>
        <v>32</v>
      </c>
    </row>
    <row r="303" spans="1:75" x14ac:dyDescent="0.35">
      <c r="A303">
        <v>158724</v>
      </c>
      <c r="B303" t="str">
        <f t="shared" si="131"/>
        <v>A</v>
      </c>
      <c r="C303" t="str">
        <f t="shared" si="132"/>
        <v>80</v>
      </c>
      <c r="D303" t="str">
        <f t="shared" si="133"/>
        <v>11121001</v>
      </c>
      <c r="E303" t="str">
        <f t="shared" si="134"/>
        <v>121001</v>
      </c>
      <c r="F303" t="str">
        <f t="shared" si="135"/>
        <v>JENIFER SANTOS</v>
      </c>
      <c r="G303" t="str">
        <f>"51300067000182"</f>
        <v>51300067000182</v>
      </c>
      <c r="H303" t="str">
        <f>""</f>
        <v/>
      </c>
      <c r="I303" t="str">
        <f t="shared" si="136"/>
        <v>CONTA OPTICA</v>
      </c>
      <c r="J303" t="str">
        <f>"OTICA BS LTDA"</f>
        <v>OTICA BS LTDA</v>
      </c>
      <c r="K303" t="str">
        <f>"OTICA BS (4746)"</f>
        <v>OTICA BS (4746)</v>
      </c>
      <c r="L303" t="str">
        <f>""</f>
        <v/>
      </c>
      <c r="M303" t="str">
        <f>""</f>
        <v/>
      </c>
      <c r="N303" t="str">
        <f>"OTICA.BS.ADM@GMAIL.COM"</f>
        <v>OTICA.BS.ADM@GMAIL.COM</v>
      </c>
      <c r="O303" t="str">
        <f>""</f>
        <v/>
      </c>
      <c r="P303" t="str">
        <f>"RUA SANTA CATARINA"</f>
        <v>RUA SANTA CATARINA</v>
      </c>
      <c r="Q303" t="str">
        <f>"1329"</f>
        <v>1329</v>
      </c>
      <c r="R303" t="str">
        <f>"SALA 02"</f>
        <v>SALA 02</v>
      </c>
      <c r="S303" t="str">
        <f>"1279"</f>
        <v>1279</v>
      </c>
      <c r="T303" t="str">
        <f>"89211307"</f>
        <v>89211307</v>
      </c>
      <c r="U303" t="str">
        <f>"FLORESTA"</f>
        <v>FLORESTA</v>
      </c>
      <c r="V303" t="str">
        <f>"JOINVILLE"</f>
        <v>JOINVILLE</v>
      </c>
      <c r="W303" t="str">
        <f t="shared" si="150"/>
        <v>SC</v>
      </c>
      <c r="X303" t="str">
        <f>"47"</f>
        <v>47</v>
      </c>
      <c r="Y303" t="str">
        <f>"992195537"</f>
        <v>992195537</v>
      </c>
      <c r="Z303" t="str">
        <f>""</f>
        <v/>
      </c>
      <c r="AA303" t="str">
        <f>""</f>
        <v/>
      </c>
      <c r="AB303" t="str">
        <f>""</f>
        <v/>
      </c>
      <c r="AC303" t="str">
        <f>""</f>
        <v/>
      </c>
      <c r="AD303" t="str">
        <f>""</f>
        <v/>
      </c>
      <c r="AE303" t="str">
        <f>""</f>
        <v/>
      </c>
      <c r="AF303" t="str">
        <f>""</f>
        <v/>
      </c>
      <c r="AG303" t="str">
        <f>""</f>
        <v/>
      </c>
      <c r="AH303" t="str">
        <f>""</f>
        <v/>
      </c>
      <c r="AI303" t="str">
        <f>""</f>
        <v/>
      </c>
      <c r="AJ303" t="str">
        <f>""</f>
        <v/>
      </c>
      <c r="AK303" t="str">
        <f>""</f>
        <v/>
      </c>
      <c r="AL303" t="str">
        <f>""</f>
        <v/>
      </c>
      <c r="AM303" t="str">
        <f>""</f>
        <v/>
      </c>
      <c r="AN303" t="str">
        <f>""</f>
        <v/>
      </c>
      <c r="AO303" t="str">
        <f>""</f>
        <v/>
      </c>
      <c r="AP303" t="str">
        <f>""</f>
        <v/>
      </c>
      <c r="AQ303" t="str">
        <f>""</f>
        <v/>
      </c>
      <c r="AR303" t="str">
        <f>""</f>
        <v/>
      </c>
      <c r="AS303" t="str">
        <f>""</f>
        <v/>
      </c>
      <c r="AT303" t="str">
        <f>""</f>
        <v/>
      </c>
      <c r="AU303" t="str">
        <f>""</f>
        <v/>
      </c>
      <c r="AV303" t="str">
        <f>""</f>
        <v/>
      </c>
      <c r="AW303" t="str">
        <f>""</f>
        <v/>
      </c>
      <c r="AX303" t="str">
        <f>""</f>
        <v/>
      </c>
      <c r="AY303" t="str">
        <f>""</f>
        <v/>
      </c>
      <c r="AZ303" t="str">
        <f>""</f>
        <v/>
      </c>
      <c r="BA303" t="str">
        <f>""</f>
        <v/>
      </c>
      <c r="BB303" t="str">
        <f>"17/08/2023 16:48:06"</f>
        <v>17/08/2023 16:48:06</v>
      </c>
      <c r="BC303" t="str">
        <f>""</f>
        <v/>
      </c>
      <c r="BD303" t="str">
        <f>""</f>
        <v/>
      </c>
      <c r="BE303" t="str">
        <f>""</f>
        <v/>
      </c>
      <c r="BF303" t="str">
        <f t="shared" si="137"/>
        <v>A</v>
      </c>
      <c r="BG303" t="str">
        <f>""</f>
        <v/>
      </c>
      <c r="BH303" t="str">
        <f>""</f>
        <v/>
      </c>
      <c r="BI303" t="str">
        <f t="shared" si="147"/>
        <v>EVENTUAL</v>
      </c>
      <c r="BJ303" t="str">
        <f t="shared" si="138"/>
        <v>1</v>
      </c>
      <c r="BK303" t="str">
        <f t="shared" si="139"/>
        <v>Farmacia</v>
      </c>
      <c r="BL303" t="str">
        <f>""</f>
        <v/>
      </c>
      <c r="BM303" t="str">
        <f>""</f>
        <v/>
      </c>
      <c r="BN303" t="str">
        <f>""</f>
        <v/>
      </c>
      <c r="BO303" t="str">
        <f>""</f>
        <v/>
      </c>
      <c r="BP303" t="str">
        <f>""</f>
        <v/>
      </c>
      <c r="BQ303" t="str">
        <f>""</f>
        <v/>
      </c>
      <c r="BR303" t="str">
        <f>"17/08/2023"</f>
        <v>17/08/2023</v>
      </c>
      <c r="BS303" t="str">
        <f>""</f>
        <v/>
      </c>
      <c r="BT303" t="str">
        <f>""</f>
        <v/>
      </c>
      <c r="BU303" t="str">
        <f>""</f>
        <v/>
      </c>
      <c r="BV303" t="str">
        <f>""</f>
        <v/>
      </c>
      <c r="BW303" t="str">
        <f>"14"</f>
        <v>14</v>
      </c>
    </row>
    <row r="304" spans="1:75" x14ac:dyDescent="0.35">
      <c r="A304">
        <v>138157</v>
      </c>
      <c r="B304" t="str">
        <f t="shared" si="131"/>
        <v>A</v>
      </c>
      <c r="C304" t="str">
        <f t="shared" si="132"/>
        <v>80</v>
      </c>
      <c r="D304" t="str">
        <f t="shared" si="133"/>
        <v>11121001</v>
      </c>
      <c r="E304" t="str">
        <f t="shared" si="134"/>
        <v>121001</v>
      </c>
      <c r="F304" t="str">
        <f t="shared" si="135"/>
        <v>JENIFER SANTOS</v>
      </c>
      <c r="G304" t="str">
        <f>"84584044000104"</f>
        <v>84584044000104</v>
      </c>
      <c r="H304" t="str">
        <f>"0"</f>
        <v>0</v>
      </c>
      <c r="I304" t="str">
        <f t="shared" si="136"/>
        <v>CONTA OPTICA</v>
      </c>
      <c r="J304" t="str">
        <f>"OTICA CALLIARI LTDA"</f>
        <v>OTICA CALLIARI LTDA</v>
      </c>
      <c r="K304" t="str">
        <f>"OTICA CALLIARI LTDA (47)"</f>
        <v>OTICA CALLIARI LTDA (47)</v>
      </c>
      <c r="L304" t="str">
        <f>""</f>
        <v/>
      </c>
      <c r="M304" t="str">
        <f>""</f>
        <v/>
      </c>
      <c r="N304" t="str">
        <f>"comercial@oticacalliari.com.br"</f>
        <v>comercial@oticacalliari.com.br</v>
      </c>
      <c r="O304" t="str">
        <f>""</f>
        <v/>
      </c>
      <c r="P304" t="str">
        <f>"AVENIDA XV DE NOVEMBRO"</f>
        <v>AVENIDA XV DE NOVEMBRO</v>
      </c>
      <c r="Q304" t="str">
        <f>"345"</f>
        <v>345</v>
      </c>
      <c r="R304" t="str">
        <f>""</f>
        <v/>
      </c>
      <c r="S304" t="str">
        <f>"1285"</f>
        <v>1285</v>
      </c>
      <c r="T304" t="str">
        <f>"89600000"</f>
        <v>89600000</v>
      </c>
      <c r="U304" t="str">
        <f>"CENTRO"</f>
        <v>CENTRO</v>
      </c>
      <c r="V304" t="str">
        <f>"JOAÇABA"</f>
        <v>JOAÇABA</v>
      </c>
      <c r="W304" t="str">
        <f t="shared" si="150"/>
        <v>SC</v>
      </c>
      <c r="X304" t="str">
        <f>"49"</f>
        <v>49</v>
      </c>
      <c r="Y304" t="str">
        <f>"35223812"</f>
        <v>35223812</v>
      </c>
      <c r="Z304" t="str">
        <f>""</f>
        <v/>
      </c>
      <c r="AA304" t="str">
        <f>""</f>
        <v/>
      </c>
      <c r="AB304" t="str">
        <f>""</f>
        <v/>
      </c>
      <c r="AC304" t="str">
        <f>""</f>
        <v/>
      </c>
      <c r="AD304" t="str">
        <f>""</f>
        <v/>
      </c>
      <c r="AE304" t="str">
        <f>""</f>
        <v/>
      </c>
      <c r="AF304" t="str">
        <f>""</f>
        <v/>
      </c>
      <c r="AG304" t="str">
        <f>"S"</f>
        <v>S</v>
      </c>
      <c r="AH304" t="str">
        <f>""</f>
        <v/>
      </c>
      <c r="AI304" t="str">
        <f>""</f>
        <v/>
      </c>
      <c r="AJ304" t="str">
        <f>""</f>
        <v/>
      </c>
      <c r="AK304" t="str">
        <f>""</f>
        <v/>
      </c>
      <c r="AL304" t="str">
        <f>""</f>
        <v/>
      </c>
      <c r="AM304" t="str">
        <f>""</f>
        <v/>
      </c>
      <c r="AN304" t="str">
        <f>""</f>
        <v/>
      </c>
      <c r="AO304" t="str">
        <f>""</f>
        <v/>
      </c>
      <c r="AP304" t="str">
        <f>""</f>
        <v/>
      </c>
      <c r="AQ304" t="str">
        <f t="shared" ref="AQ304:AU305" si="151">"N"</f>
        <v>N</v>
      </c>
      <c r="AR304" t="str">
        <f t="shared" si="151"/>
        <v>N</v>
      </c>
      <c r="AS304" t="str">
        <f t="shared" si="151"/>
        <v>N</v>
      </c>
      <c r="AT304" t="str">
        <f t="shared" si="151"/>
        <v>N</v>
      </c>
      <c r="AU304" t="str">
        <f t="shared" si="151"/>
        <v>N</v>
      </c>
      <c r="AV304" t="str">
        <f>""</f>
        <v/>
      </c>
      <c r="AW304" t="str">
        <f>""</f>
        <v/>
      </c>
      <c r="AX304" t="str">
        <f>""</f>
        <v/>
      </c>
      <c r="AY304" t="str">
        <f>""</f>
        <v/>
      </c>
      <c r="AZ304" t="str">
        <f>""</f>
        <v/>
      </c>
      <c r="BA304" t="str">
        <f>""</f>
        <v/>
      </c>
      <c r="BB304" t="str">
        <f>"01/07/2021 13:53:04"</f>
        <v>01/07/2021 13:53:04</v>
      </c>
      <c r="BC304" t="str">
        <f>"03/05/2022 11:54:39"</f>
        <v>03/05/2022 11:54:39</v>
      </c>
      <c r="BD304" t="str">
        <f>""</f>
        <v/>
      </c>
      <c r="BE304" t="str">
        <f>""</f>
        <v/>
      </c>
      <c r="BF304" t="str">
        <f t="shared" si="137"/>
        <v>A</v>
      </c>
      <c r="BG304" t="str">
        <f>""</f>
        <v/>
      </c>
      <c r="BH304" t="str">
        <f>"0,00"</f>
        <v>0,00</v>
      </c>
      <c r="BI304" t="str">
        <f t="shared" si="147"/>
        <v>EVENTUAL</v>
      </c>
      <c r="BJ304" t="str">
        <f t="shared" si="138"/>
        <v>1</v>
      </c>
      <c r="BK304" t="str">
        <f t="shared" si="139"/>
        <v>Farmacia</v>
      </c>
      <c r="BL304" t="str">
        <f>""</f>
        <v/>
      </c>
      <c r="BM304" t="str">
        <f>"VARILUX ESPECIALISTA SELECT"</f>
        <v>VARILUX ESPECIALISTA SELECT</v>
      </c>
      <c r="BN304" t="str">
        <f>"NA"</f>
        <v>NA</v>
      </c>
      <c r="BO304" t="str">
        <f>"FOCO VARILUX DIGITAL"</f>
        <v>FOCO VARILUX DIGITAL</v>
      </c>
      <c r="BP304" t="str">
        <f>""</f>
        <v/>
      </c>
      <c r="BQ304" t="str">
        <f>""</f>
        <v/>
      </c>
      <c r="BR304" t="str">
        <f>"01/07/2021"</f>
        <v>01/07/2021</v>
      </c>
      <c r="BS304" t="str">
        <f>"03/05/2022"</f>
        <v>03/05/2022</v>
      </c>
      <c r="BT304" t="str">
        <f>""</f>
        <v/>
      </c>
      <c r="BU304" t="str">
        <f>""</f>
        <v/>
      </c>
      <c r="BV304" t="str">
        <f>""</f>
        <v/>
      </c>
      <c r="BW304" t="str">
        <f>"7"</f>
        <v>7</v>
      </c>
    </row>
    <row r="305" spans="1:75" x14ac:dyDescent="0.35">
      <c r="A305">
        <v>138158</v>
      </c>
      <c r="B305" t="str">
        <f t="shared" si="131"/>
        <v>A</v>
      </c>
      <c r="C305" t="str">
        <f t="shared" si="132"/>
        <v>80</v>
      </c>
      <c r="D305" t="str">
        <f t="shared" si="133"/>
        <v>11121001</v>
      </c>
      <c r="E305" t="str">
        <f t="shared" si="134"/>
        <v>121001</v>
      </c>
      <c r="F305" t="str">
        <f t="shared" si="135"/>
        <v>JENIFER SANTOS</v>
      </c>
      <c r="G305" t="str">
        <f>"28087654000113"</f>
        <v>28087654000113</v>
      </c>
      <c r="H305" t="str">
        <f>"0"</f>
        <v>0</v>
      </c>
      <c r="I305" t="str">
        <f t="shared" si="136"/>
        <v>CONTA OPTICA</v>
      </c>
      <c r="J305" t="str">
        <f>"OTICA CAPINZAL LTDA - ME"</f>
        <v>OTICA CAPINZAL LTDA - ME</v>
      </c>
      <c r="K305" t="str">
        <f>"OTICA VISUAL (3839)"</f>
        <v>OTICA VISUAL (3839)</v>
      </c>
      <c r="L305" t="str">
        <f>""</f>
        <v/>
      </c>
      <c r="M305" t="str">
        <f>""</f>
        <v/>
      </c>
      <c r="N305" t="str">
        <f>"oticacapinzal@gmail.com"</f>
        <v>oticacapinzal@gmail.com</v>
      </c>
      <c r="O305" t="str">
        <f>""</f>
        <v/>
      </c>
      <c r="P305" t="str">
        <f>"RUA ERNESTO HACHMANN"</f>
        <v>RUA ERNESTO HACHMANN</v>
      </c>
      <c r="Q305" t="str">
        <f>"174"</f>
        <v>174</v>
      </c>
      <c r="R305" t="str">
        <f>"SALA 02"</f>
        <v>SALA 02</v>
      </c>
      <c r="S305" t="str">
        <f>"1285"</f>
        <v>1285</v>
      </c>
      <c r="T305" t="str">
        <f>"89665000"</f>
        <v>89665000</v>
      </c>
      <c r="U305" t="str">
        <f>"CENTRO"</f>
        <v>CENTRO</v>
      </c>
      <c r="V305" t="str">
        <f>"CAPINZAL"</f>
        <v>CAPINZAL</v>
      </c>
      <c r="W305" t="str">
        <f t="shared" si="150"/>
        <v>SC</v>
      </c>
      <c r="X305" t="str">
        <f>"49"</f>
        <v>49</v>
      </c>
      <c r="Y305" t="str">
        <f>"35554666"</f>
        <v>35554666</v>
      </c>
      <c r="Z305" t="str">
        <f>""</f>
        <v/>
      </c>
      <c r="AA305" t="str">
        <f>""</f>
        <v/>
      </c>
      <c r="AB305" t="str">
        <f>""</f>
        <v/>
      </c>
      <c r="AC305" t="str">
        <f>""</f>
        <v/>
      </c>
      <c r="AD305" t="str">
        <f>""</f>
        <v/>
      </c>
      <c r="AE305" t="str">
        <f>""</f>
        <v/>
      </c>
      <c r="AF305" t="str">
        <f>""</f>
        <v/>
      </c>
      <c r="AG305" t="str">
        <f>"S"</f>
        <v>S</v>
      </c>
      <c r="AH305" t="str">
        <f>""</f>
        <v/>
      </c>
      <c r="AI305" t="str">
        <f>""</f>
        <v/>
      </c>
      <c r="AJ305" t="str">
        <f>""</f>
        <v/>
      </c>
      <c r="AK305" t="str">
        <f>""</f>
        <v/>
      </c>
      <c r="AL305" t="str">
        <f>""</f>
        <v/>
      </c>
      <c r="AM305" t="str">
        <f>""</f>
        <v/>
      </c>
      <c r="AN305" t="str">
        <f>""</f>
        <v/>
      </c>
      <c r="AO305" t="str">
        <f>""</f>
        <v/>
      </c>
      <c r="AP305" t="str">
        <f>""</f>
        <v/>
      </c>
      <c r="AQ305" t="str">
        <f t="shared" si="151"/>
        <v>N</v>
      </c>
      <c r="AR305" t="str">
        <f t="shared" si="151"/>
        <v>N</v>
      </c>
      <c r="AS305" t="str">
        <f t="shared" si="151"/>
        <v>N</v>
      </c>
      <c r="AT305" t="str">
        <f t="shared" si="151"/>
        <v>N</v>
      </c>
      <c r="AU305" t="str">
        <f t="shared" si="151"/>
        <v>N</v>
      </c>
      <c r="AV305" t="str">
        <f>""</f>
        <v/>
      </c>
      <c r="AW305" t="str">
        <f>""</f>
        <v/>
      </c>
      <c r="AX305" t="str">
        <f>""</f>
        <v/>
      </c>
      <c r="AY305" t="str">
        <f>""</f>
        <v/>
      </c>
      <c r="AZ305" t="str">
        <f>""</f>
        <v/>
      </c>
      <c r="BA305" t="str">
        <f>""</f>
        <v/>
      </c>
      <c r="BB305" t="str">
        <f>"01/07/2021 13:53:04"</f>
        <v>01/07/2021 13:53:04</v>
      </c>
      <c r="BC305" t="str">
        <f>"27/10/2021 15:54:23"</f>
        <v>27/10/2021 15:54:23</v>
      </c>
      <c r="BD305" t="str">
        <f>""</f>
        <v/>
      </c>
      <c r="BE305" t="str">
        <f>""</f>
        <v/>
      </c>
      <c r="BF305" t="str">
        <f t="shared" si="137"/>
        <v>A</v>
      </c>
      <c r="BG305" t="str">
        <f>""</f>
        <v/>
      </c>
      <c r="BH305" t="str">
        <f>"0,00"</f>
        <v>0,00</v>
      </c>
      <c r="BI305" t="str">
        <f t="shared" si="147"/>
        <v>EVENTUAL</v>
      </c>
      <c r="BJ305" t="str">
        <f t="shared" si="138"/>
        <v>1</v>
      </c>
      <c r="BK305" t="str">
        <f t="shared" si="139"/>
        <v>Farmacia</v>
      </c>
      <c r="BL305" t="str">
        <f>""</f>
        <v/>
      </c>
      <c r="BM305" t="str">
        <f>"NÃO É VARILUX ESPECIALISTA"</f>
        <v>NÃO É VARILUX ESPECIALISTA</v>
      </c>
      <c r="BN305" t="str">
        <f>"EL360"</f>
        <v>EL360</v>
      </c>
      <c r="BO305" t="str">
        <f>"FOCO VARILUX DIGITAL"</f>
        <v>FOCO VARILUX DIGITAL</v>
      </c>
      <c r="BP305" t="str">
        <f>""</f>
        <v/>
      </c>
      <c r="BQ305" t="str">
        <f>""</f>
        <v/>
      </c>
      <c r="BR305" t="str">
        <f>"01/07/2021"</f>
        <v>01/07/2021</v>
      </c>
      <c r="BS305" t="str">
        <f>"27/10/2021"</f>
        <v>27/10/2021</v>
      </c>
      <c r="BT305" t="str">
        <f>""</f>
        <v/>
      </c>
      <c r="BU305" t="str">
        <f>""</f>
        <v/>
      </c>
      <c r="BV305" t="str">
        <f>""</f>
        <v/>
      </c>
      <c r="BW305" t="str">
        <f>"100"</f>
        <v>100</v>
      </c>
    </row>
    <row r="306" spans="1:75" x14ac:dyDescent="0.35">
      <c r="A306">
        <v>120422</v>
      </c>
      <c r="B306" t="str">
        <f t="shared" si="131"/>
        <v>A</v>
      </c>
      <c r="C306" t="str">
        <f t="shared" si="132"/>
        <v>80</v>
      </c>
      <c r="D306" t="str">
        <f t="shared" si="133"/>
        <v>11121001</v>
      </c>
      <c r="E306" t="str">
        <f t="shared" si="134"/>
        <v>121001</v>
      </c>
      <c r="F306" t="str">
        <f t="shared" si="135"/>
        <v>JENIFER SANTOS</v>
      </c>
      <c r="G306" t="str">
        <f>"06036734000298"</f>
        <v>06036734000298</v>
      </c>
      <c r="H306" t="str">
        <f>"0"</f>
        <v>0</v>
      </c>
      <c r="I306" t="str">
        <f t="shared" si="136"/>
        <v>CONTA OPTICA</v>
      </c>
      <c r="J306" t="str">
        <f>"OTICA CARLOS LTDA"</f>
        <v>OTICA CARLOS LTDA</v>
      </c>
      <c r="K306" t="str">
        <f>"OTICA CARLOS LTDA (902)"</f>
        <v>OTICA CARLOS LTDA (902)</v>
      </c>
      <c r="L306" t="str">
        <f>""</f>
        <v/>
      </c>
      <c r="M306" t="str">
        <f>""</f>
        <v/>
      </c>
      <c r="N306" t="str">
        <f>"martaocv@gmail.com"</f>
        <v>martaocv@gmail.com</v>
      </c>
      <c r="O306" t="str">
        <f>""</f>
        <v/>
      </c>
      <c r="P306" t="str">
        <f>"RUA MARECHAL DEODORO"</f>
        <v>RUA MARECHAL DEODORO</v>
      </c>
      <c r="Q306" t="str">
        <f>"1000"</f>
        <v>1000</v>
      </c>
      <c r="R306" t="str">
        <f>"SALA 02"</f>
        <v>SALA 02</v>
      </c>
      <c r="S306" t="str">
        <f>"1286"</f>
        <v>1286</v>
      </c>
      <c r="T306" t="str">
        <f>"89700000"</f>
        <v>89700000</v>
      </c>
      <c r="U306" t="str">
        <f>"CENTRO"</f>
        <v>CENTRO</v>
      </c>
      <c r="V306" t="str">
        <f>"CONCORDIA"</f>
        <v>CONCORDIA</v>
      </c>
      <c r="W306" t="str">
        <f t="shared" si="150"/>
        <v>SC</v>
      </c>
      <c r="X306" t="str">
        <f>"49"</f>
        <v>49</v>
      </c>
      <c r="Y306" t="str">
        <f>"34440811"</f>
        <v>34440811</v>
      </c>
      <c r="Z306" t="str">
        <f>""</f>
        <v/>
      </c>
      <c r="AA306" t="str">
        <f>""</f>
        <v/>
      </c>
      <c r="AB306" t="str">
        <f>""</f>
        <v/>
      </c>
      <c r="AC306" t="str">
        <f>""</f>
        <v/>
      </c>
      <c r="AD306" t="str">
        <f>""</f>
        <v/>
      </c>
      <c r="AE306" t="str">
        <f>""</f>
        <v/>
      </c>
      <c r="AF306" t="str">
        <f>""</f>
        <v/>
      </c>
      <c r="AG306" t="str">
        <f>""</f>
        <v/>
      </c>
      <c r="AH306" t="str">
        <f>""</f>
        <v/>
      </c>
      <c r="AI306" t="str">
        <f>""</f>
        <v/>
      </c>
      <c r="AJ306" t="str">
        <f>"0"</f>
        <v>0</v>
      </c>
      <c r="AK306" t="str">
        <f>"0"</f>
        <v>0</v>
      </c>
      <c r="AL306" t="str">
        <f>"0"</f>
        <v>0</v>
      </c>
      <c r="AM306" t="str">
        <f>""</f>
        <v/>
      </c>
      <c r="AN306" t="str">
        <f>""</f>
        <v/>
      </c>
      <c r="AO306" t="str">
        <f>""</f>
        <v/>
      </c>
      <c r="AP306" t="str">
        <f>""</f>
        <v/>
      </c>
      <c r="AQ306" t="str">
        <f>""</f>
        <v/>
      </c>
      <c r="AR306" t="str">
        <f>""</f>
        <v/>
      </c>
      <c r="AS306" t="str">
        <f>""</f>
        <v/>
      </c>
      <c r="AT306" t="str">
        <f>""</f>
        <v/>
      </c>
      <c r="AU306" t="str">
        <f>""</f>
        <v/>
      </c>
      <c r="AV306" t="str">
        <f>""</f>
        <v/>
      </c>
      <c r="AW306" t="str">
        <f>""</f>
        <v/>
      </c>
      <c r="AX306" t="str">
        <f>""</f>
        <v/>
      </c>
      <c r="AY306" t="str">
        <f>""</f>
        <v/>
      </c>
      <c r="AZ306" t="str">
        <f>""</f>
        <v/>
      </c>
      <c r="BA306" t="str">
        <f>""</f>
        <v/>
      </c>
      <c r="BB306" t="str">
        <f>"18/09/2020 22:12:34"</f>
        <v>18/09/2020 22:12:34</v>
      </c>
      <c r="BC306" t="str">
        <f>""</f>
        <v/>
      </c>
      <c r="BD306" t="str">
        <f>""</f>
        <v/>
      </c>
      <c r="BE306" t="str">
        <f>""</f>
        <v/>
      </c>
      <c r="BF306" t="str">
        <f t="shared" si="137"/>
        <v>A</v>
      </c>
      <c r="BG306" t="str">
        <f>"0,00"</f>
        <v>0,00</v>
      </c>
      <c r="BH306" t="str">
        <f>"0,00"</f>
        <v>0,00</v>
      </c>
      <c r="BI306" t="str">
        <f t="shared" si="147"/>
        <v>EVENTUAL</v>
      </c>
      <c r="BJ306" t="str">
        <f t="shared" si="138"/>
        <v>1</v>
      </c>
      <c r="BK306" t="str">
        <f t="shared" si="139"/>
        <v>Farmacia</v>
      </c>
      <c r="BL306" t="str">
        <f>""</f>
        <v/>
      </c>
      <c r="BM306" t="str">
        <f>"CREDENCIADO VARILUX"</f>
        <v>CREDENCIADO VARILUX</v>
      </c>
      <c r="BN306" t="str">
        <f>"NA"</f>
        <v>NA</v>
      </c>
      <c r="BO306" t="str">
        <f>"FOCO VARILUX DIGITAL"</f>
        <v>FOCO VARILUX DIGITAL</v>
      </c>
      <c r="BP306" t="str">
        <f>""</f>
        <v/>
      </c>
      <c r="BQ306" t="str">
        <f>""</f>
        <v/>
      </c>
      <c r="BR306" t="str">
        <f>"18/09/2020"</f>
        <v>18/09/2020</v>
      </c>
      <c r="BS306" t="str">
        <f>""</f>
        <v/>
      </c>
      <c r="BT306" t="str">
        <f>""</f>
        <v/>
      </c>
      <c r="BU306" t="str">
        <f>""</f>
        <v/>
      </c>
      <c r="BV306" t="str">
        <f>"1"</f>
        <v>1</v>
      </c>
      <c r="BW306" t="str">
        <f>"Não visitado"</f>
        <v>Não visitado</v>
      </c>
    </row>
    <row r="307" spans="1:75" x14ac:dyDescent="0.35">
      <c r="A307">
        <v>157503</v>
      </c>
      <c r="B307" t="str">
        <f t="shared" si="131"/>
        <v>A</v>
      </c>
      <c r="C307" t="str">
        <f t="shared" si="132"/>
        <v>80</v>
      </c>
      <c r="D307" t="str">
        <f t="shared" si="133"/>
        <v>11121001</v>
      </c>
      <c r="E307" t="str">
        <f t="shared" si="134"/>
        <v>121001</v>
      </c>
      <c r="F307" t="str">
        <f t="shared" si="135"/>
        <v>JENIFER SANTOS</v>
      </c>
      <c r="G307" t="str">
        <f>"06036734000107"</f>
        <v>06036734000107</v>
      </c>
      <c r="H307" t="str">
        <f>"0"</f>
        <v>0</v>
      </c>
      <c r="I307" t="str">
        <f t="shared" si="136"/>
        <v>CONTA OPTICA</v>
      </c>
      <c r="J307" t="str">
        <f>"OTICA CARLOS LTDA ME"</f>
        <v>OTICA CARLOS LTDA ME</v>
      </c>
      <c r="K307" t="str">
        <f>"OTICA CARLOS LTDA (490)"</f>
        <v>OTICA CARLOS LTDA (490)</v>
      </c>
      <c r="L307" t="str">
        <f>""</f>
        <v/>
      </c>
      <c r="M307" t="str">
        <f>""</f>
        <v/>
      </c>
      <c r="N307" t="str">
        <f>""</f>
        <v/>
      </c>
      <c r="O307" t="str">
        <f>""</f>
        <v/>
      </c>
      <c r="P307" t="str">
        <f>"RUA GETULIO VARGAS"</f>
        <v>RUA GETULIO VARGAS</v>
      </c>
      <c r="Q307" t="str">
        <f>"400"</f>
        <v>400</v>
      </c>
      <c r="R307" t="str">
        <f>"SALA 05"</f>
        <v>SALA 05</v>
      </c>
      <c r="S307" t="str">
        <f>"1286"</f>
        <v>1286</v>
      </c>
      <c r="T307" t="str">
        <f>"89700000"</f>
        <v>89700000</v>
      </c>
      <c r="U307" t="str">
        <f>"CENTRO"</f>
        <v>CENTRO</v>
      </c>
      <c r="V307" t="str">
        <f>"CONCORDIA"</f>
        <v>CONCORDIA</v>
      </c>
      <c r="W307" t="str">
        <f t="shared" si="150"/>
        <v>SC</v>
      </c>
      <c r="X307" t="str">
        <f>"49"</f>
        <v>49</v>
      </c>
      <c r="Y307" t="str">
        <f>"34449576"</f>
        <v>34449576</v>
      </c>
      <c r="Z307" t="str">
        <f>""</f>
        <v/>
      </c>
      <c r="AA307" t="str">
        <f>""</f>
        <v/>
      </c>
      <c r="AB307" t="str">
        <f>""</f>
        <v/>
      </c>
      <c r="AC307" t="str">
        <f>""</f>
        <v/>
      </c>
      <c r="AD307" t="str">
        <f>""</f>
        <v/>
      </c>
      <c r="AE307" t="str">
        <f>""</f>
        <v/>
      </c>
      <c r="AF307" t="str">
        <f>""</f>
        <v/>
      </c>
      <c r="AG307" t="str">
        <f>""</f>
        <v/>
      </c>
      <c r="AH307" t="str">
        <f>""</f>
        <v/>
      </c>
      <c r="AI307" t="str">
        <f>""</f>
        <v/>
      </c>
      <c r="AJ307" t="str">
        <f>""</f>
        <v/>
      </c>
      <c r="AK307" t="str">
        <f>""</f>
        <v/>
      </c>
      <c r="AL307" t="str">
        <f>""</f>
        <v/>
      </c>
      <c r="AM307" t="str">
        <f>""</f>
        <v/>
      </c>
      <c r="AN307" t="str">
        <f>""</f>
        <v/>
      </c>
      <c r="AO307" t="str">
        <f>""</f>
        <v/>
      </c>
      <c r="AP307" t="str">
        <f>""</f>
        <v/>
      </c>
      <c r="AQ307" t="str">
        <f>""</f>
        <v/>
      </c>
      <c r="AR307" t="str">
        <f>""</f>
        <v/>
      </c>
      <c r="AS307" t="str">
        <f>""</f>
        <v/>
      </c>
      <c r="AT307" t="str">
        <f>""</f>
        <v/>
      </c>
      <c r="AU307" t="str">
        <f>""</f>
        <v/>
      </c>
      <c r="AV307" t="str">
        <f>""</f>
        <v/>
      </c>
      <c r="AW307" t="str">
        <f>""</f>
        <v/>
      </c>
      <c r="AX307" t="str">
        <f>""</f>
        <v/>
      </c>
      <c r="AY307" t="str">
        <f>""</f>
        <v/>
      </c>
      <c r="AZ307" t="str">
        <f>""</f>
        <v/>
      </c>
      <c r="BA307" t="str">
        <f>""</f>
        <v/>
      </c>
      <c r="BB307" t="str">
        <f>"11/07/2023 02:14:29"</f>
        <v>11/07/2023 02:14:29</v>
      </c>
      <c r="BC307" t="str">
        <f>""</f>
        <v/>
      </c>
      <c r="BD307" t="str">
        <f>""</f>
        <v/>
      </c>
      <c r="BE307" t="str">
        <f>""</f>
        <v/>
      </c>
      <c r="BF307" t="str">
        <f t="shared" si="137"/>
        <v>A</v>
      </c>
      <c r="BG307" t="str">
        <f>""</f>
        <v/>
      </c>
      <c r="BH307" t="str">
        <f>""</f>
        <v/>
      </c>
      <c r="BI307" t="str">
        <f t="shared" si="147"/>
        <v>EVENTUAL</v>
      </c>
      <c r="BJ307" t="str">
        <f t="shared" si="138"/>
        <v>1</v>
      </c>
      <c r="BK307" t="str">
        <f t="shared" si="139"/>
        <v>Farmacia</v>
      </c>
      <c r="BL307" t="str">
        <f>""</f>
        <v/>
      </c>
      <c r="BM307" t="str">
        <f>""</f>
        <v/>
      </c>
      <c r="BN307" t="str">
        <f>""</f>
        <v/>
      </c>
      <c r="BO307" t="str">
        <f>""</f>
        <v/>
      </c>
      <c r="BP307" t="str">
        <f>""</f>
        <v/>
      </c>
      <c r="BQ307" t="str">
        <f>""</f>
        <v/>
      </c>
      <c r="BR307" t="str">
        <f>"11/07/2023"</f>
        <v>11/07/2023</v>
      </c>
      <c r="BS307" t="str">
        <f>""</f>
        <v/>
      </c>
      <c r="BT307" t="str">
        <f>""</f>
        <v/>
      </c>
      <c r="BU307" t="str">
        <f>""</f>
        <v/>
      </c>
      <c r="BV307" t="str">
        <f>""</f>
        <v/>
      </c>
      <c r="BW307" t="str">
        <f>"Não visitado"</f>
        <v>Não visitado</v>
      </c>
    </row>
    <row r="308" spans="1:75" x14ac:dyDescent="0.35">
      <c r="A308">
        <v>144792</v>
      </c>
      <c r="B308" t="str">
        <f t="shared" si="131"/>
        <v>A</v>
      </c>
      <c r="C308" t="str">
        <f t="shared" si="132"/>
        <v>80</v>
      </c>
      <c r="D308" t="str">
        <f t="shared" si="133"/>
        <v>11121001</v>
      </c>
      <c r="E308" t="str">
        <f t="shared" si="134"/>
        <v>121001</v>
      </c>
      <c r="F308" t="str">
        <f t="shared" si="135"/>
        <v>JENIFER SANTOS</v>
      </c>
      <c r="G308" t="str">
        <f>"37370287000151"</f>
        <v>37370287000151</v>
      </c>
      <c r="H308" t="str">
        <f>""</f>
        <v/>
      </c>
      <c r="I308" t="str">
        <f t="shared" si="136"/>
        <v>CONTA OPTICA</v>
      </c>
      <c r="J308" t="str">
        <f>"OTICA CATARINA LTDA"</f>
        <v>OTICA CATARINA LTDA</v>
      </c>
      <c r="K308" t="str">
        <f>"OTICA SANTA CATARINA (4211)"</f>
        <v>OTICA SANTA CATARINA (4211)</v>
      </c>
      <c r="L308" t="str">
        <f>""</f>
        <v/>
      </c>
      <c r="M308" t="str">
        <f>""</f>
        <v/>
      </c>
      <c r="N308" t="str">
        <f>"oticasantacatarina@bol.com.br"</f>
        <v>oticasantacatarina@bol.com.br</v>
      </c>
      <c r="O308" t="str">
        <f>""</f>
        <v/>
      </c>
      <c r="P308" t="str">
        <f>"RUA DONA FRANCISCA"</f>
        <v>RUA DONA FRANCISCA</v>
      </c>
      <c r="Q308" t="str">
        <f>"8300"</f>
        <v>8300</v>
      </c>
      <c r="R308" t="str">
        <f>"BLOCO L SALA 13"</f>
        <v>BLOCO L SALA 13</v>
      </c>
      <c r="S308" t="str">
        <f>""</f>
        <v/>
      </c>
      <c r="T308" t="str">
        <f>"89219600"</f>
        <v>89219600</v>
      </c>
      <c r="U308" t="str">
        <f>"ZONA INDUSTRIAL NORTE"</f>
        <v>ZONA INDUSTRIAL NORTE</v>
      </c>
      <c r="V308" t="str">
        <f>"JOINVILLE"</f>
        <v>JOINVILLE</v>
      </c>
      <c r="W308" t="str">
        <f t="shared" si="150"/>
        <v>SC</v>
      </c>
      <c r="X308" t="str">
        <f>"47"</f>
        <v>47</v>
      </c>
      <c r="Y308" t="str">
        <f>"34223358"</f>
        <v>34223358</v>
      </c>
      <c r="Z308" t="str">
        <f>""</f>
        <v/>
      </c>
      <c r="AA308" t="str">
        <f>""</f>
        <v/>
      </c>
      <c r="AB308" t="str">
        <f>""</f>
        <v/>
      </c>
      <c r="AC308" t="str">
        <f>""</f>
        <v/>
      </c>
      <c r="AD308" t="str">
        <f>""</f>
        <v/>
      </c>
      <c r="AE308" t="str">
        <f>""</f>
        <v/>
      </c>
      <c r="AF308" t="str">
        <f>""</f>
        <v/>
      </c>
      <c r="AG308" t="str">
        <f>""</f>
        <v/>
      </c>
      <c r="AH308" t="str">
        <f>""</f>
        <v/>
      </c>
      <c r="AI308" t="str">
        <f>""</f>
        <v/>
      </c>
      <c r="AJ308" t="str">
        <f>"0"</f>
        <v>0</v>
      </c>
      <c r="AK308" t="str">
        <f>"0"</f>
        <v>0</v>
      </c>
      <c r="AL308" t="str">
        <f>"0"</f>
        <v>0</v>
      </c>
      <c r="AM308" t="str">
        <f>""</f>
        <v/>
      </c>
      <c r="AN308" t="str">
        <f>""</f>
        <v/>
      </c>
      <c r="AO308" t="str">
        <f>""</f>
        <v/>
      </c>
      <c r="AP308" t="str">
        <f>""</f>
        <v/>
      </c>
      <c r="AQ308" t="str">
        <f>""</f>
        <v/>
      </c>
      <c r="AR308" t="str">
        <f>""</f>
        <v/>
      </c>
      <c r="AS308" t="str">
        <f>""</f>
        <v/>
      </c>
      <c r="AT308" t="str">
        <f>""</f>
        <v/>
      </c>
      <c r="AU308" t="str">
        <f>""</f>
        <v/>
      </c>
      <c r="AV308" t="str">
        <f>""</f>
        <v/>
      </c>
      <c r="AW308" t="str">
        <f>""</f>
        <v/>
      </c>
      <c r="AX308" t="str">
        <f>""</f>
        <v/>
      </c>
      <c r="AY308" t="str">
        <f>""</f>
        <v/>
      </c>
      <c r="AZ308" t="str">
        <f>""</f>
        <v/>
      </c>
      <c r="BA308" t="str">
        <f>""</f>
        <v/>
      </c>
      <c r="BB308" t="str">
        <f>""</f>
        <v/>
      </c>
      <c r="BC308" t="str">
        <f>""</f>
        <v/>
      </c>
      <c r="BD308" t="str">
        <f>""</f>
        <v/>
      </c>
      <c r="BE308" t="str">
        <f>""</f>
        <v/>
      </c>
      <c r="BF308" t="str">
        <f t="shared" si="137"/>
        <v>A</v>
      </c>
      <c r="BG308" t="str">
        <f>"0,00"</f>
        <v>0,00</v>
      </c>
      <c r="BH308" t="str">
        <f>"0,00"</f>
        <v>0,00</v>
      </c>
      <c r="BI308" t="str">
        <f t="shared" si="147"/>
        <v>EVENTUAL</v>
      </c>
      <c r="BJ308" t="str">
        <f t="shared" si="138"/>
        <v>1</v>
      </c>
      <c r="BK308" t="str">
        <f t="shared" si="139"/>
        <v>Farmacia</v>
      </c>
      <c r="BL308" t="str">
        <f>""</f>
        <v/>
      </c>
      <c r="BM308" t="str">
        <f>"NÃO É VARILUX ESPECIALISTA"</f>
        <v>NÃO É VARILUX ESPECIALISTA</v>
      </c>
      <c r="BN308" t="str">
        <f>"NA"</f>
        <v>NA</v>
      </c>
      <c r="BO308" t="str">
        <f>"OUTROS"</f>
        <v>OUTROS</v>
      </c>
      <c r="BP308" t="str">
        <f>""</f>
        <v/>
      </c>
      <c r="BQ308" t="str">
        <f>""</f>
        <v/>
      </c>
      <c r="BR308" t="str">
        <f>""</f>
        <v/>
      </c>
      <c r="BS308" t="str">
        <f>""</f>
        <v/>
      </c>
      <c r="BT308" t="str">
        <f>""</f>
        <v/>
      </c>
      <c r="BU308" t="str">
        <f>""</f>
        <v/>
      </c>
      <c r="BV308" t="str">
        <f>"9"</f>
        <v>9</v>
      </c>
      <c r="BW308" t="str">
        <f>"157"</f>
        <v>157</v>
      </c>
    </row>
    <row r="309" spans="1:75" x14ac:dyDescent="0.35">
      <c r="A309">
        <v>157523</v>
      </c>
      <c r="B309" t="str">
        <f t="shared" si="131"/>
        <v>A</v>
      </c>
      <c r="C309" t="str">
        <f t="shared" si="132"/>
        <v>80</v>
      </c>
      <c r="D309" t="str">
        <f t="shared" si="133"/>
        <v>11121001</v>
      </c>
      <c r="E309" t="str">
        <f t="shared" si="134"/>
        <v>121001</v>
      </c>
      <c r="F309" t="str">
        <f t="shared" si="135"/>
        <v>JENIFER SANTOS</v>
      </c>
      <c r="G309" t="str">
        <f>"37927495000109"</f>
        <v>37927495000109</v>
      </c>
      <c r="H309" t="str">
        <f>"0"</f>
        <v>0</v>
      </c>
      <c r="I309" t="str">
        <f t="shared" si="136"/>
        <v>CONTA OPTICA</v>
      </c>
      <c r="J309" t="str">
        <f>"OTICA CENTRAL VIDEIRENSE LTDA"</f>
        <v>OTICA CENTRAL VIDEIRENSE LTDA</v>
      </c>
      <c r="K309" t="str">
        <f>"OTICA VIDEIRENSE (4184)"</f>
        <v>OTICA VIDEIRENSE (4184)</v>
      </c>
      <c r="L309" t="str">
        <f>""</f>
        <v/>
      </c>
      <c r="M309" t="str">
        <f>""</f>
        <v/>
      </c>
      <c r="N309" t="str">
        <f>"OTICAVIDEIRENSE@GMAIL.COM"</f>
        <v>OTICAVIDEIRENSE@GMAIL.COM</v>
      </c>
      <c r="O309" t="str">
        <f>""</f>
        <v/>
      </c>
      <c r="P309" t="str">
        <f>"RUA OSVALDO CRUZ"</f>
        <v>RUA OSVALDO CRUZ</v>
      </c>
      <c r="Q309" t="str">
        <f>"62"</f>
        <v>62</v>
      </c>
      <c r="R309" t="str">
        <f>"SL 305 3° ANDAR"</f>
        <v>SL 305 3° ANDAR</v>
      </c>
      <c r="S309" t="str">
        <f>""</f>
        <v/>
      </c>
      <c r="T309" t="str">
        <f>"89560142"</f>
        <v>89560142</v>
      </c>
      <c r="U309" t="str">
        <f>"CENTRO"</f>
        <v>CENTRO</v>
      </c>
      <c r="V309" t="str">
        <f>"VIDEIRA"</f>
        <v>VIDEIRA</v>
      </c>
      <c r="W309" t="str">
        <f t="shared" si="150"/>
        <v>SC</v>
      </c>
      <c r="X309" t="str">
        <f>"49"</f>
        <v>49</v>
      </c>
      <c r="Y309" t="str">
        <f>"39600321"</f>
        <v>39600321</v>
      </c>
      <c r="Z309" t="str">
        <f>""</f>
        <v/>
      </c>
      <c r="AA309" t="str">
        <f>""</f>
        <v/>
      </c>
      <c r="AB309" t="str">
        <f>""</f>
        <v/>
      </c>
      <c r="AC309" t="str">
        <f>""</f>
        <v/>
      </c>
      <c r="AD309" t="str">
        <f>""</f>
        <v/>
      </c>
      <c r="AE309" t="str">
        <f>""</f>
        <v/>
      </c>
      <c r="AF309" t="str">
        <f>""</f>
        <v/>
      </c>
      <c r="AG309" t="str">
        <f>""</f>
        <v/>
      </c>
      <c r="AH309" t="str">
        <f>""</f>
        <v/>
      </c>
      <c r="AI309" t="str">
        <f>""</f>
        <v/>
      </c>
      <c r="AJ309" t="str">
        <f>""</f>
        <v/>
      </c>
      <c r="AK309" t="str">
        <f>""</f>
        <v/>
      </c>
      <c r="AL309" t="str">
        <f>""</f>
        <v/>
      </c>
      <c r="AM309" t="str">
        <f>""</f>
        <v/>
      </c>
      <c r="AN309" t="str">
        <f>""</f>
        <v/>
      </c>
      <c r="AO309" t="str">
        <f>""</f>
        <v/>
      </c>
      <c r="AP309" t="str">
        <f>""</f>
        <v/>
      </c>
      <c r="AQ309" t="str">
        <f>""</f>
        <v/>
      </c>
      <c r="AR309" t="str">
        <f>""</f>
        <v/>
      </c>
      <c r="AS309" t="str">
        <f>""</f>
        <v/>
      </c>
      <c r="AT309" t="str">
        <f>""</f>
        <v/>
      </c>
      <c r="AU309" t="str">
        <f>""</f>
        <v/>
      </c>
      <c r="AV309" t="str">
        <f>""</f>
        <v/>
      </c>
      <c r="AW309" t="str">
        <f>""</f>
        <v/>
      </c>
      <c r="AX309" t="str">
        <f>""</f>
        <v/>
      </c>
      <c r="AY309" t="str">
        <f>""</f>
        <v/>
      </c>
      <c r="AZ309" t="str">
        <f>""</f>
        <v/>
      </c>
      <c r="BA309" t="str">
        <f>""</f>
        <v/>
      </c>
      <c r="BB309" t="str">
        <f>"11/07/2023 02:14:29"</f>
        <v>11/07/2023 02:14:29</v>
      </c>
      <c r="BC309" t="str">
        <f>""</f>
        <v/>
      </c>
      <c r="BD309" t="str">
        <f>""</f>
        <v/>
      </c>
      <c r="BE309" t="str">
        <f>""</f>
        <v/>
      </c>
      <c r="BF309" t="str">
        <f t="shared" si="137"/>
        <v>A</v>
      </c>
      <c r="BG309" t="str">
        <f>""</f>
        <v/>
      </c>
      <c r="BH309" t="str">
        <f>""</f>
        <v/>
      </c>
      <c r="BI309" t="str">
        <f t="shared" si="147"/>
        <v>EVENTUAL</v>
      </c>
      <c r="BJ309" t="str">
        <f t="shared" si="138"/>
        <v>1</v>
      </c>
      <c r="BK309" t="str">
        <f t="shared" si="139"/>
        <v>Farmacia</v>
      </c>
      <c r="BL309" t="str">
        <f>""</f>
        <v/>
      </c>
      <c r="BM309" t="str">
        <f>""</f>
        <v/>
      </c>
      <c r="BN309" t="str">
        <f>""</f>
        <v/>
      </c>
      <c r="BO309" t="str">
        <f>""</f>
        <v/>
      </c>
      <c r="BP309" t="str">
        <f>""</f>
        <v/>
      </c>
      <c r="BQ309" t="str">
        <f>""</f>
        <v/>
      </c>
      <c r="BR309" t="str">
        <f>"11/07/2023"</f>
        <v>11/07/2023</v>
      </c>
      <c r="BS309" t="str">
        <f>""</f>
        <v/>
      </c>
      <c r="BT309" t="str">
        <f>""</f>
        <v/>
      </c>
      <c r="BU309" t="str">
        <f>""</f>
        <v/>
      </c>
      <c r="BV309" t="str">
        <f>""</f>
        <v/>
      </c>
      <c r="BW309" t="str">
        <f>"59"</f>
        <v>59</v>
      </c>
    </row>
    <row r="310" spans="1:75" x14ac:dyDescent="0.35">
      <c r="A310">
        <v>157546</v>
      </c>
      <c r="B310" t="str">
        <f t="shared" si="131"/>
        <v>A</v>
      </c>
      <c r="C310" t="str">
        <f t="shared" si="132"/>
        <v>80</v>
      </c>
      <c r="D310" t="str">
        <f t="shared" si="133"/>
        <v>11121001</v>
      </c>
      <c r="E310" t="str">
        <f t="shared" si="134"/>
        <v>121001</v>
      </c>
      <c r="F310" t="str">
        <f t="shared" si="135"/>
        <v>JENIFER SANTOS</v>
      </c>
      <c r="G310" t="str">
        <f>"09258186000158"</f>
        <v>09258186000158</v>
      </c>
      <c r="H310" t="str">
        <f>"0"</f>
        <v>0</v>
      </c>
      <c r="I310" t="str">
        <f t="shared" si="136"/>
        <v>CONTA OPTICA</v>
      </c>
      <c r="J310" t="str">
        <f>"OTICA COELHO LTDA"</f>
        <v>OTICA COELHO LTDA</v>
      </c>
      <c r="K310" t="str">
        <f>"OTICA COELHO  (2186)"</f>
        <v>OTICA COELHO  (2186)</v>
      </c>
      <c r="L310" t="str">
        <f>""</f>
        <v/>
      </c>
      <c r="M310" t="str">
        <f>""</f>
        <v/>
      </c>
      <c r="N310" t="str">
        <f>"OTICACOELHO@GMAIL.COM"</f>
        <v>OTICACOELHO@GMAIL.COM</v>
      </c>
      <c r="O310" t="str">
        <f>""</f>
        <v/>
      </c>
      <c r="P310" t="str">
        <f>"RUA JOSÉ BOITEUX"</f>
        <v>RUA JOSÉ BOITEUX</v>
      </c>
      <c r="Q310" t="str">
        <f>"142"</f>
        <v>142</v>
      </c>
      <c r="R310" t="str">
        <f>"SALA 1"</f>
        <v>SALA 1</v>
      </c>
      <c r="S310" t="str">
        <f>"1284"</f>
        <v>1284</v>
      </c>
      <c r="T310" t="str">
        <f>"89500040"</f>
        <v>89500040</v>
      </c>
      <c r="U310" t="str">
        <f>"CENTRO"</f>
        <v>CENTRO</v>
      </c>
      <c r="V310" t="str">
        <f>"CACADOR"</f>
        <v>CACADOR</v>
      </c>
      <c r="W310" t="str">
        <f t="shared" si="150"/>
        <v>SC</v>
      </c>
      <c r="X310" t="str">
        <f>"49"</f>
        <v>49</v>
      </c>
      <c r="Y310" t="str">
        <f>"35630757"</f>
        <v>35630757</v>
      </c>
      <c r="Z310" t="str">
        <f>""</f>
        <v/>
      </c>
      <c r="AA310" t="str">
        <f>""</f>
        <v/>
      </c>
      <c r="AB310" t="str">
        <f>""</f>
        <v/>
      </c>
      <c r="AC310" t="str">
        <f>""</f>
        <v/>
      </c>
      <c r="AD310" t="str">
        <f>""</f>
        <v/>
      </c>
      <c r="AE310" t="str">
        <f>""</f>
        <v/>
      </c>
      <c r="AF310" t="str">
        <f>""</f>
        <v/>
      </c>
      <c r="AG310" t="str">
        <f>""</f>
        <v/>
      </c>
      <c r="AH310" t="str">
        <f>""</f>
        <v/>
      </c>
      <c r="AI310" t="str">
        <f>""</f>
        <v/>
      </c>
      <c r="AJ310" t="str">
        <f>""</f>
        <v/>
      </c>
      <c r="AK310" t="str">
        <f>""</f>
        <v/>
      </c>
      <c r="AL310" t="str">
        <f>""</f>
        <v/>
      </c>
      <c r="AM310" t="str">
        <f>""</f>
        <v/>
      </c>
      <c r="AN310" t="str">
        <f>""</f>
        <v/>
      </c>
      <c r="AO310" t="str">
        <f>""</f>
        <v/>
      </c>
      <c r="AP310" t="str">
        <f>""</f>
        <v/>
      </c>
      <c r="AQ310" t="str">
        <f>""</f>
        <v/>
      </c>
      <c r="AR310" t="str">
        <f>""</f>
        <v/>
      </c>
      <c r="AS310" t="str">
        <f>""</f>
        <v/>
      </c>
      <c r="AT310" t="str">
        <f>""</f>
        <v/>
      </c>
      <c r="AU310" t="str">
        <f>""</f>
        <v/>
      </c>
      <c r="AV310" t="str">
        <f>""</f>
        <v/>
      </c>
      <c r="AW310" t="str">
        <f>""</f>
        <v/>
      </c>
      <c r="AX310" t="str">
        <f>""</f>
        <v/>
      </c>
      <c r="AY310" t="str">
        <f>""</f>
        <v/>
      </c>
      <c r="AZ310" t="str">
        <f>""</f>
        <v/>
      </c>
      <c r="BA310" t="str">
        <f>""</f>
        <v/>
      </c>
      <c r="BB310" t="str">
        <f>"11/07/2023 02:14:29"</f>
        <v>11/07/2023 02:14:29</v>
      </c>
      <c r="BC310" t="str">
        <f>""</f>
        <v/>
      </c>
      <c r="BD310" t="str">
        <f>""</f>
        <v/>
      </c>
      <c r="BE310" t="str">
        <f>""</f>
        <v/>
      </c>
      <c r="BF310" t="str">
        <f t="shared" si="137"/>
        <v>A</v>
      </c>
      <c r="BG310" t="str">
        <f>""</f>
        <v/>
      </c>
      <c r="BH310" t="str">
        <f>""</f>
        <v/>
      </c>
      <c r="BI310" t="str">
        <f t="shared" si="147"/>
        <v>EVENTUAL</v>
      </c>
      <c r="BJ310" t="str">
        <f t="shared" si="138"/>
        <v>1</v>
      </c>
      <c r="BK310" t="str">
        <f t="shared" si="139"/>
        <v>Farmacia</v>
      </c>
      <c r="BL310" t="str">
        <f>""</f>
        <v/>
      </c>
      <c r="BM310" t="str">
        <f>""</f>
        <v/>
      </c>
      <c r="BN310" t="str">
        <f>""</f>
        <v/>
      </c>
      <c r="BO310" t="str">
        <f>""</f>
        <v/>
      </c>
      <c r="BP310" t="str">
        <f>""</f>
        <v/>
      </c>
      <c r="BQ310" t="str">
        <f>""</f>
        <v/>
      </c>
      <c r="BR310" t="str">
        <f>"11/07/2023"</f>
        <v>11/07/2023</v>
      </c>
      <c r="BS310" t="str">
        <f>""</f>
        <v/>
      </c>
      <c r="BT310" t="str">
        <f>""</f>
        <v/>
      </c>
      <c r="BU310" t="str">
        <f>""</f>
        <v/>
      </c>
      <c r="BV310" t="str">
        <f>""</f>
        <v/>
      </c>
      <c r="BW310" t="str">
        <f>"Não visitado"</f>
        <v>Não visitado</v>
      </c>
    </row>
    <row r="311" spans="1:75" x14ac:dyDescent="0.35">
      <c r="A311">
        <v>156779</v>
      </c>
      <c r="B311" t="str">
        <f t="shared" si="131"/>
        <v>A</v>
      </c>
      <c r="C311" t="str">
        <f t="shared" si="132"/>
        <v>80</v>
      </c>
      <c r="D311" t="str">
        <f t="shared" si="133"/>
        <v>11121001</v>
      </c>
      <c r="E311" t="str">
        <f t="shared" si="134"/>
        <v>121001</v>
      </c>
      <c r="F311" t="str">
        <f t="shared" si="135"/>
        <v>JENIFER SANTOS</v>
      </c>
      <c r="G311" t="str">
        <f>"17977576000106"</f>
        <v>17977576000106</v>
      </c>
      <c r="H311" t="str">
        <f>"0"</f>
        <v>0</v>
      </c>
      <c r="I311" t="str">
        <f t="shared" si="136"/>
        <v>CONTA OPTICA</v>
      </c>
      <c r="J311" t="str">
        <f>"OTICA CONCEITO LTDA ME"</f>
        <v>OTICA CONCEITO LTDA ME</v>
      </c>
      <c r="K311" t="str">
        <f>"BELLA OPTICA (2047)"</f>
        <v>BELLA OPTICA (2047)</v>
      </c>
      <c r="L311" t="str">
        <f>""</f>
        <v/>
      </c>
      <c r="M311" t="str">
        <f>""</f>
        <v/>
      </c>
      <c r="N311" t="str">
        <f>"BELLA.OPTICA@HOTMAIL.COM"</f>
        <v>BELLA.OPTICA@HOTMAIL.COM</v>
      </c>
      <c r="O311" t="str">
        <f>""</f>
        <v/>
      </c>
      <c r="P311" t="str">
        <f>"RUA ABDON BATISTA"</f>
        <v>RUA ABDON BATISTA</v>
      </c>
      <c r="Q311" t="str">
        <f>"63"</f>
        <v>63</v>
      </c>
      <c r="R311" t="str">
        <f>""</f>
        <v/>
      </c>
      <c r="S311" t="str">
        <f>"1277"</f>
        <v>1277</v>
      </c>
      <c r="T311" t="str">
        <f>"89201010"</f>
        <v>89201010</v>
      </c>
      <c r="U311" t="str">
        <f>"CENTRO"</f>
        <v>CENTRO</v>
      </c>
      <c r="V311" t="str">
        <f>"JOINVILLE"</f>
        <v>JOINVILLE</v>
      </c>
      <c r="W311" t="str">
        <f t="shared" si="150"/>
        <v>SC</v>
      </c>
      <c r="X311" t="str">
        <f>"47"</f>
        <v>47</v>
      </c>
      <c r="Y311" t="str">
        <f>"30272889"</f>
        <v>30272889</v>
      </c>
      <c r="Z311" t="str">
        <f>""</f>
        <v/>
      </c>
      <c r="AA311" t="str">
        <f>""</f>
        <v/>
      </c>
      <c r="AB311" t="str">
        <f>""</f>
        <v/>
      </c>
      <c r="AC311" t="str">
        <f>""</f>
        <v/>
      </c>
      <c r="AD311" t="str">
        <f>""</f>
        <v/>
      </c>
      <c r="AE311" t="str">
        <f>""</f>
        <v/>
      </c>
      <c r="AF311" t="str">
        <f>""</f>
        <v/>
      </c>
      <c r="AG311" t="str">
        <f>""</f>
        <v/>
      </c>
      <c r="AH311" t="str">
        <f>""</f>
        <v/>
      </c>
      <c r="AI311" t="str">
        <f>""</f>
        <v/>
      </c>
      <c r="AJ311" t="str">
        <f>""</f>
        <v/>
      </c>
      <c r="AK311" t="str">
        <f>""</f>
        <v/>
      </c>
      <c r="AL311" t="str">
        <f>""</f>
        <v/>
      </c>
      <c r="AM311" t="str">
        <f>""</f>
        <v/>
      </c>
      <c r="AN311" t="str">
        <f>""</f>
        <v/>
      </c>
      <c r="AO311" t="str">
        <f>""</f>
        <v/>
      </c>
      <c r="AP311" t="str">
        <f>""</f>
        <v/>
      </c>
      <c r="AQ311" t="str">
        <f>""</f>
        <v/>
      </c>
      <c r="AR311" t="str">
        <f>""</f>
        <v/>
      </c>
      <c r="AS311" t="str">
        <f>""</f>
        <v/>
      </c>
      <c r="AT311" t="str">
        <f>""</f>
        <v/>
      </c>
      <c r="AU311" t="str">
        <f>""</f>
        <v/>
      </c>
      <c r="AV311" t="str">
        <f>""</f>
        <v/>
      </c>
      <c r="AW311" t="str">
        <f>""</f>
        <v/>
      </c>
      <c r="AX311" t="str">
        <f>""</f>
        <v/>
      </c>
      <c r="AY311" t="str">
        <f>""</f>
        <v/>
      </c>
      <c r="AZ311" t="str">
        <f>""</f>
        <v/>
      </c>
      <c r="BA311" t="str">
        <f>""</f>
        <v/>
      </c>
      <c r="BB311" t="str">
        <f>"06/07/2023 12:07:48"</f>
        <v>06/07/2023 12:07:48</v>
      </c>
      <c r="BC311" t="str">
        <f>""</f>
        <v/>
      </c>
      <c r="BD311" t="str">
        <f>""</f>
        <v/>
      </c>
      <c r="BE311" t="str">
        <f>""</f>
        <v/>
      </c>
      <c r="BF311" t="str">
        <f t="shared" si="137"/>
        <v>A</v>
      </c>
      <c r="BG311" t="str">
        <f>""</f>
        <v/>
      </c>
      <c r="BH311" t="str">
        <f>""</f>
        <v/>
      </c>
      <c r="BI311" t="str">
        <f t="shared" si="147"/>
        <v>EVENTUAL</v>
      </c>
      <c r="BJ311" t="str">
        <f t="shared" si="138"/>
        <v>1</v>
      </c>
      <c r="BK311" t="str">
        <f t="shared" si="139"/>
        <v>Farmacia</v>
      </c>
      <c r="BL311" t="str">
        <f>""</f>
        <v/>
      </c>
      <c r="BM311" t="str">
        <f>""</f>
        <v/>
      </c>
      <c r="BN311" t="str">
        <f>""</f>
        <v/>
      </c>
      <c r="BO311" t="str">
        <f>""</f>
        <v/>
      </c>
      <c r="BP311" t="str">
        <f>""</f>
        <v/>
      </c>
      <c r="BQ311" t="str">
        <f>""</f>
        <v/>
      </c>
      <c r="BR311" t="str">
        <f>"06/07/2023"</f>
        <v>06/07/2023</v>
      </c>
      <c r="BS311" t="str">
        <f>""</f>
        <v/>
      </c>
      <c r="BT311" t="str">
        <f>""</f>
        <v/>
      </c>
      <c r="BU311" t="str">
        <f>""</f>
        <v/>
      </c>
      <c r="BV311" t="str">
        <f>""</f>
        <v/>
      </c>
      <c r="BW311" t="str">
        <f>"Não visitado"</f>
        <v>Não visitado</v>
      </c>
    </row>
    <row r="312" spans="1:75" x14ac:dyDescent="0.35">
      <c r="A312">
        <v>156717</v>
      </c>
      <c r="B312" t="str">
        <f t="shared" si="131"/>
        <v>A</v>
      </c>
      <c r="C312" t="str">
        <f t="shared" si="132"/>
        <v>80</v>
      </c>
      <c r="D312" t="str">
        <f t="shared" si="133"/>
        <v>11121001</v>
      </c>
      <c r="E312" t="str">
        <f t="shared" si="134"/>
        <v>121001</v>
      </c>
      <c r="F312" t="str">
        <f t="shared" si="135"/>
        <v>JENIFER SANTOS</v>
      </c>
      <c r="G312" t="str">
        <f>"37789533000295"</f>
        <v>37789533000295</v>
      </c>
      <c r="H312" t="str">
        <f>"0"</f>
        <v>0</v>
      </c>
      <c r="I312" t="str">
        <f t="shared" si="136"/>
        <v>CONTA OPTICA</v>
      </c>
      <c r="J312" t="str">
        <f>"OTICA CONCEITUS LTDA"</f>
        <v>OTICA CONCEITUS LTDA</v>
      </c>
      <c r="K312" t="str">
        <f>"OTICA CONCEITUS (4638)"</f>
        <v>OTICA CONCEITUS (4638)</v>
      </c>
      <c r="L312" t="str">
        <f>""</f>
        <v/>
      </c>
      <c r="M312" t="str">
        <f>""</f>
        <v/>
      </c>
      <c r="N312" t="str">
        <f>"FINANCEIROCONCEITUS7@GMAIL.COM"</f>
        <v>FINANCEIROCONCEITUS7@GMAIL.COM</v>
      </c>
      <c r="O312" t="str">
        <f>""</f>
        <v/>
      </c>
      <c r="P312" t="str">
        <f>"RUA URUGUAI"</f>
        <v>RUA URUGUAI</v>
      </c>
      <c r="Q312" t="str">
        <f>"251-D"</f>
        <v>251-D</v>
      </c>
      <c r="R312" t="str">
        <f>"SALA 01"</f>
        <v>SALA 01</v>
      </c>
      <c r="S312" t="str">
        <f>""</f>
        <v/>
      </c>
      <c r="T312" t="str">
        <f>"89801570"</f>
        <v>89801570</v>
      </c>
      <c r="U312" t="str">
        <f>"CENTRO"</f>
        <v>CENTRO</v>
      </c>
      <c r="V312" t="str">
        <f>"CHAPECO"</f>
        <v>CHAPECO</v>
      </c>
      <c r="W312" t="str">
        <f t="shared" si="150"/>
        <v>SC</v>
      </c>
      <c r="X312" t="str">
        <f>"49"</f>
        <v>49</v>
      </c>
      <c r="Y312" t="str">
        <f>"33200191"</f>
        <v>33200191</v>
      </c>
      <c r="Z312" t="str">
        <f>""</f>
        <v/>
      </c>
      <c r="AA312" t="str">
        <f>""</f>
        <v/>
      </c>
      <c r="AB312" t="str">
        <f>""</f>
        <v/>
      </c>
      <c r="AC312" t="str">
        <f>""</f>
        <v/>
      </c>
      <c r="AD312" t="str">
        <f>""</f>
        <v/>
      </c>
      <c r="AE312" t="str">
        <f>""</f>
        <v/>
      </c>
      <c r="AF312" t="str">
        <f>""</f>
        <v/>
      </c>
      <c r="AG312" t="str">
        <f>""</f>
        <v/>
      </c>
      <c r="AH312" t="str">
        <f>""</f>
        <v/>
      </c>
      <c r="AI312" t="str">
        <f>""</f>
        <v/>
      </c>
      <c r="AJ312" t="str">
        <f>""</f>
        <v/>
      </c>
      <c r="AK312" t="str">
        <f>""</f>
        <v/>
      </c>
      <c r="AL312" t="str">
        <f>""</f>
        <v/>
      </c>
      <c r="AM312" t="str">
        <f>""</f>
        <v/>
      </c>
      <c r="AN312" t="str">
        <f>""</f>
        <v/>
      </c>
      <c r="AO312" t="str">
        <f>""</f>
        <v/>
      </c>
      <c r="AP312" t="str">
        <f>""</f>
        <v/>
      </c>
      <c r="AQ312" t="str">
        <f>""</f>
        <v/>
      </c>
      <c r="AR312" t="str">
        <f>""</f>
        <v/>
      </c>
      <c r="AS312" t="str">
        <f>""</f>
        <v/>
      </c>
      <c r="AT312" t="str">
        <f>""</f>
        <v/>
      </c>
      <c r="AU312" t="str">
        <f>""</f>
        <v/>
      </c>
      <c r="AV312" t="str">
        <f>""</f>
        <v/>
      </c>
      <c r="AW312" t="str">
        <f>""</f>
        <v/>
      </c>
      <c r="AX312" t="str">
        <f>""</f>
        <v/>
      </c>
      <c r="AY312" t="str">
        <f>""</f>
        <v/>
      </c>
      <c r="AZ312" t="str">
        <f>""</f>
        <v/>
      </c>
      <c r="BA312" t="str">
        <f>""</f>
        <v/>
      </c>
      <c r="BB312" t="str">
        <f>"06/07/2023 12:07:48"</f>
        <v>06/07/2023 12:07:48</v>
      </c>
      <c r="BC312" t="str">
        <f>""</f>
        <v/>
      </c>
      <c r="BD312" t="str">
        <f>""</f>
        <v/>
      </c>
      <c r="BE312" t="str">
        <f>""</f>
        <v/>
      </c>
      <c r="BF312" t="str">
        <f t="shared" si="137"/>
        <v>A</v>
      </c>
      <c r="BG312" t="str">
        <f>""</f>
        <v/>
      </c>
      <c r="BH312" t="str">
        <f>""</f>
        <v/>
      </c>
      <c r="BI312" t="str">
        <f t="shared" si="147"/>
        <v>EVENTUAL</v>
      </c>
      <c r="BJ312" t="str">
        <f t="shared" si="138"/>
        <v>1</v>
      </c>
      <c r="BK312" t="str">
        <f t="shared" si="139"/>
        <v>Farmacia</v>
      </c>
      <c r="BL312" t="str">
        <f>""</f>
        <v/>
      </c>
      <c r="BM312" t="str">
        <f>""</f>
        <v/>
      </c>
      <c r="BN312" t="str">
        <f>""</f>
        <v/>
      </c>
      <c r="BO312" t="str">
        <f>""</f>
        <v/>
      </c>
      <c r="BP312" t="str">
        <f>""</f>
        <v/>
      </c>
      <c r="BQ312" t="str">
        <f>""</f>
        <v/>
      </c>
      <c r="BR312" t="str">
        <f>"06/07/2023"</f>
        <v>06/07/2023</v>
      </c>
      <c r="BS312" t="str">
        <f>""</f>
        <v/>
      </c>
      <c r="BT312" t="str">
        <f>""</f>
        <v/>
      </c>
      <c r="BU312" t="str">
        <f>""</f>
        <v/>
      </c>
      <c r="BV312" t="str">
        <f>""</f>
        <v/>
      </c>
      <c r="BW312" t="str">
        <f>"Não visitado"</f>
        <v>Não visitado</v>
      </c>
    </row>
    <row r="313" spans="1:75" x14ac:dyDescent="0.35">
      <c r="A313">
        <v>138163</v>
      </c>
      <c r="B313" t="str">
        <f t="shared" si="131"/>
        <v>A</v>
      </c>
      <c r="C313" t="str">
        <f t="shared" si="132"/>
        <v>80</v>
      </c>
      <c r="D313" t="str">
        <f t="shared" si="133"/>
        <v>11121001</v>
      </c>
      <c r="E313" t="str">
        <f t="shared" si="134"/>
        <v>121001</v>
      </c>
      <c r="F313" t="str">
        <f t="shared" si="135"/>
        <v>JENIFER SANTOS</v>
      </c>
      <c r="G313" t="str">
        <f>"37789533000104"</f>
        <v>37789533000104</v>
      </c>
      <c r="H313" t="str">
        <f>"0"</f>
        <v>0</v>
      </c>
      <c r="I313" t="str">
        <f t="shared" si="136"/>
        <v>CONTA OPTICA</v>
      </c>
      <c r="J313" t="str">
        <f>"OTICA CONCEITUS LTDA"</f>
        <v>OTICA CONCEITUS LTDA</v>
      </c>
      <c r="K313" t="str">
        <f>"OTICA CONCEITUS (4173)"</f>
        <v>OTICA CONCEITUS (4173)</v>
      </c>
      <c r="L313" t="str">
        <f>""</f>
        <v/>
      </c>
      <c r="M313" t="str">
        <f>""</f>
        <v/>
      </c>
      <c r="N313" t="str">
        <f>"oticaconceitus7@gmail.com"</f>
        <v>oticaconceitus7@gmail.com</v>
      </c>
      <c r="O313" t="str">
        <f>""</f>
        <v/>
      </c>
      <c r="P313" t="str">
        <f>"AVENIDA FERNANDO MACHADO"</f>
        <v>AVENIDA FERNANDO MACHADO</v>
      </c>
      <c r="Q313" t="str">
        <f>"605-D"</f>
        <v>605-D</v>
      </c>
      <c r="R313" t="str">
        <f>"SALA 01"</f>
        <v>SALA 01</v>
      </c>
      <c r="S313" t="str">
        <f>"1287"</f>
        <v>1287</v>
      </c>
      <c r="T313" t="str">
        <f>"89802110"</f>
        <v>89802110</v>
      </c>
      <c r="U313" t="str">
        <f>"CENTRO"</f>
        <v>CENTRO</v>
      </c>
      <c r="V313" t="str">
        <f>"CHAPECÓ"</f>
        <v>CHAPECÓ</v>
      </c>
      <c r="W313" t="str">
        <f t="shared" si="150"/>
        <v>SC</v>
      </c>
      <c r="X313" t="str">
        <f>"49"</f>
        <v>49</v>
      </c>
      <c r="Y313" t="str">
        <f>"33200191"</f>
        <v>33200191</v>
      </c>
      <c r="Z313" t="str">
        <f>""</f>
        <v/>
      </c>
      <c r="AA313" t="str">
        <f>""</f>
        <v/>
      </c>
      <c r="AB313" t="str">
        <f>""</f>
        <v/>
      </c>
      <c r="AC313" t="str">
        <f>""</f>
        <v/>
      </c>
      <c r="AD313" t="str">
        <f>""</f>
        <v/>
      </c>
      <c r="AE313" t="str">
        <f>""</f>
        <v/>
      </c>
      <c r="AF313" t="str">
        <f>""</f>
        <v/>
      </c>
      <c r="AG313" t="str">
        <f>"S"</f>
        <v>S</v>
      </c>
      <c r="AH313" t="str">
        <f>""</f>
        <v/>
      </c>
      <c r="AI313" t="str">
        <f>""</f>
        <v/>
      </c>
      <c r="AJ313" t="str">
        <f>""</f>
        <v/>
      </c>
      <c r="AK313" t="str">
        <f>""</f>
        <v/>
      </c>
      <c r="AL313" t="str">
        <f>""</f>
        <v/>
      </c>
      <c r="AM313" t="str">
        <f>""</f>
        <v/>
      </c>
      <c r="AN313" t="str">
        <f>""</f>
        <v/>
      </c>
      <c r="AO313" t="str">
        <f>""</f>
        <v/>
      </c>
      <c r="AP313" t="str">
        <f>""</f>
        <v/>
      </c>
      <c r="AQ313" t="str">
        <f>"N"</f>
        <v>N</v>
      </c>
      <c r="AR313" t="str">
        <f>"N"</f>
        <v>N</v>
      </c>
      <c r="AS313" t="str">
        <f>"N"</f>
        <v>N</v>
      </c>
      <c r="AT313" t="str">
        <f>"N"</f>
        <v>N</v>
      </c>
      <c r="AU313" t="str">
        <f>"N"</f>
        <v>N</v>
      </c>
      <c r="AV313" t="str">
        <f>""</f>
        <v/>
      </c>
      <c r="AW313" t="str">
        <f>""</f>
        <v/>
      </c>
      <c r="AX313" t="str">
        <f>""</f>
        <v/>
      </c>
      <c r="AY313" t="str">
        <f>""</f>
        <v/>
      </c>
      <c r="AZ313" t="str">
        <f>""</f>
        <v/>
      </c>
      <c r="BA313" t="str">
        <f>""</f>
        <v/>
      </c>
      <c r="BB313" t="str">
        <f>"01/07/2021 13:53:04"</f>
        <v>01/07/2021 13:53:04</v>
      </c>
      <c r="BC313" t="str">
        <f>"01/07/2022 10:53:54"</f>
        <v>01/07/2022 10:53:54</v>
      </c>
      <c r="BD313" t="str">
        <f>""</f>
        <v/>
      </c>
      <c r="BE313" t="str">
        <f>""</f>
        <v/>
      </c>
      <c r="BF313" t="str">
        <f t="shared" si="137"/>
        <v>A</v>
      </c>
      <c r="BG313" t="str">
        <f>""</f>
        <v/>
      </c>
      <c r="BH313" t="str">
        <f>"0,00"</f>
        <v>0,00</v>
      </c>
      <c r="BI313" t="str">
        <f t="shared" si="147"/>
        <v>EVENTUAL</v>
      </c>
      <c r="BJ313" t="str">
        <f t="shared" si="138"/>
        <v>1</v>
      </c>
      <c r="BK313" t="str">
        <f t="shared" si="139"/>
        <v>Farmacia</v>
      </c>
      <c r="BL313" t="str">
        <f>""</f>
        <v/>
      </c>
      <c r="BM313" t="str">
        <f>"NÃO É VARILUX ESPECIALISTA"</f>
        <v>NÃO É VARILUX ESPECIALISTA</v>
      </c>
      <c r="BN313" t="str">
        <f>"EL360"</f>
        <v>EL360</v>
      </c>
      <c r="BO313" t="str">
        <f>"FOCO VARILUX DIGITAL"</f>
        <v>FOCO VARILUX DIGITAL</v>
      </c>
      <c r="BP313" t="str">
        <f>""</f>
        <v/>
      </c>
      <c r="BQ313" t="str">
        <f>""</f>
        <v/>
      </c>
      <c r="BR313" t="str">
        <f>"01/07/2021"</f>
        <v>01/07/2021</v>
      </c>
      <c r="BS313" t="str">
        <f>"01/07/2022"</f>
        <v>01/07/2022</v>
      </c>
      <c r="BT313" t="str">
        <f>""</f>
        <v/>
      </c>
      <c r="BU313" t="str">
        <f>""</f>
        <v/>
      </c>
      <c r="BV313" t="str">
        <f>""</f>
        <v/>
      </c>
      <c r="BW313" t="str">
        <f>"248"</f>
        <v>248</v>
      </c>
    </row>
    <row r="314" spans="1:75" x14ac:dyDescent="0.35">
      <c r="A314">
        <v>144797</v>
      </c>
      <c r="B314" t="str">
        <f t="shared" si="131"/>
        <v>A</v>
      </c>
      <c r="C314" t="str">
        <f t="shared" si="132"/>
        <v>80</v>
      </c>
      <c r="D314" t="str">
        <f t="shared" si="133"/>
        <v>11121001</v>
      </c>
      <c r="E314" t="str">
        <f t="shared" si="134"/>
        <v>121001</v>
      </c>
      <c r="F314" t="str">
        <f t="shared" si="135"/>
        <v>JENIFER SANTOS</v>
      </c>
      <c r="G314" t="str">
        <f>"37871440000124"</f>
        <v>37871440000124</v>
      </c>
      <c r="H314" t="str">
        <f>""</f>
        <v/>
      </c>
      <c r="I314" t="str">
        <f t="shared" si="136"/>
        <v>CONTA OPTICA</v>
      </c>
      <c r="J314" t="str">
        <f>"OTICA DAYAS LTDA"</f>
        <v>OTICA DAYAS LTDA</v>
      </c>
      <c r="K314" t="str">
        <f>"OTICA DAYAS (4242)"</f>
        <v>OTICA DAYAS (4242)</v>
      </c>
      <c r="L314" t="str">
        <f>""</f>
        <v/>
      </c>
      <c r="M314" t="str">
        <f>""</f>
        <v/>
      </c>
      <c r="N314" t="str">
        <f>"oticadayas@gmail.com"</f>
        <v>oticadayas@gmail.com</v>
      </c>
      <c r="O314" t="str">
        <f>""</f>
        <v/>
      </c>
      <c r="P314" t="str">
        <f>"RUA TENENTE ANTONIO JOAO"</f>
        <v>RUA TENENTE ANTONIO JOAO</v>
      </c>
      <c r="Q314" t="str">
        <f>"2605"</f>
        <v>2605</v>
      </c>
      <c r="R314" t="str">
        <f>"SALA 2"</f>
        <v>SALA 2</v>
      </c>
      <c r="S314" t="str">
        <f>"1279"</f>
        <v>1279</v>
      </c>
      <c r="T314" t="str">
        <f>"89223100"</f>
        <v>89223100</v>
      </c>
      <c r="U314" t="str">
        <f>"BOM RETIRO"</f>
        <v>BOM RETIRO</v>
      </c>
      <c r="V314" t="str">
        <f>"JOINVILLE"</f>
        <v>JOINVILLE</v>
      </c>
      <c r="W314" t="str">
        <f t="shared" si="150"/>
        <v>SC</v>
      </c>
      <c r="X314" t="str">
        <f>"47"</f>
        <v>47</v>
      </c>
      <c r="Y314" t="str">
        <f>"32029009"</f>
        <v>32029009</v>
      </c>
      <c r="Z314" t="str">
        <f>""</f>
        <v/>
      </c>
      <c r="AA314" t="str">
        <f>""</f>
        <v/>
      </c>
      <c r="AB314" t="str">
        <f>""</f>
        <v/>
      </c>
      <c r="AC314" t="str">
        <f>""</f>
        <v/>
      </c>
      <c r="AD314" t="str">
        <f>""</f>
        <v/>
      </c>
      <c r="AE314" t="str">
        <f>""</f>
        <v/>
      </c>
      <c r="AF314" t="str">
        <f>""</f>
        <v/>
      </c>
      <c r="AG314" t="str">
        <f>""</f>
        <v/>
      </c>
      <c r="AH314" t="str">
        <f>""</f>
        <v/>
      </c>
      <c r="AI314" t="str">
        <f>""</f>
        <v/>
      </c>
      <c r="AJ314" t="str">
        <f>"0"</f>
        <v>0</v>
      </c>
      <c r="AK314" t="str">
        <f>"0"</f>
        <v>0</v>
      </c>
      <c r="AL314" t="str">
        <f>"0"</f>
        <v>0</v>
      </c>
      <c r="AM314" t="str">
        <f>""</f>
        <v/>
      </c>
      <c r="AN314" t="str">
        <f>""</f>
        <v/>
      </c>
      <c r="AO314" t="str">
        <f>""</f>
        <v/>
      </c>
      <c r="AP314" t="str">
        <f>""</f>
        <v/>
      </c>
      <c r="AQ314" t="str">
        <f>""</f>
        <v/>
      </c>
      <c r="AR314" t="str">
        <f>""</f>
        <v/>
      </c>
      <c r="AS314" t="str">
        <f>""</f>
        <v/>
      </c>
      <c r="AT314" t="str">
        <f>""</f>
        <v/>
      </c>
      <c r="AU314" t="str">
        <f>""</f>
        <v/>
      </c>
      <c r="AV314" t="str">
        <f>""</f>
        <v/>
      </c>
      <c r="AW314" t="str">
        <f>""</f>
        <v/>
      </c>
      <c r="AX314" t="str">
        <f>""</f>
        <v/>
      </c>
      <c r="AY314" t="str">
        <f>""</f>
        <v/>
      </c>
      <c r="AZ314" t="str">
        <f>""</f>
        <v/>
      </c>
      <c r="BA314" t="str">
        <f>""</f>
        <v/>
      </c>
      <c r="BB314" t="str">
        <f>""</f>
        <v/>
      </c>
      <c r="BC314" t="str">
        <f>""</f>
        <v/>
      </c>
      <c r="BD314" t="str">
        <f>""</f>
        <v/>
      </c>
      <c r="BE314" t="str">
        <f>""</f>
        <v/>
      </c>
      <c r="BF314" t="str">
        <f t="shared" si="137"/>
        <v>A</v>
      </c>
      <c r="BG314" t="str">
        <f>"0,00"</f>
        <v>0,00</v>
      </c>
      <c r="BH314" t="str">
        <f>"0,00"</f>
        <v>0,00</v>
      </c>
      <c r="BI314" t="str">
        <f t="shared" si="147"/>
        <v>EVENTUAL</v>
      </c>
      <c r="BJ314" t="str">
        <f t="shared" si="138"/>
        <v>1</v>
      </c>
      <c r="BK314" t="str">
        <f t="shared" si="139"/>
        <v>Farmacia</v>
      </c>
      <c r="BL314" t="str">
        <f>""</f>
        <v/>
      </c>
      <c r="BM314" t="str">
        <f>"NÃO É VARILUX ESPECIALISTA"</f>
        <v>NÃO É VARILUX ESPECIALISTA</v>
      </c>
      <c r="BN314" t="str">
        <f>"NA"</f>
        <v>NA</v>
      </c>
      <c r="BO314" t="str">
        <f>""</f>
        <v/>
      </c>
      <c r="BP314" t="str">
        <f>""</f>
        <v/>
      </c>
      <c r="BQ314" t="str">
        <f>""</f>
        <v/>
      </c>
      <c r="BR314" t="str">
        <f>""</f>
        <v/>
      </c>
      <c r="BS314" t="str">
        <f>""</f>
        <v/>
      </c>
      <c r="BT314" t="str">
        <f>""</f>
        <v/>
      </c>
      <c r="BU314" t="str">
        <f>""</f>
        <v/>
      </c>
      <c r="BV314" t="str">
        <f>"9"</f>
        <v>9</v>
      </c>
      <c r="BW314" t="str">
        <f>"60"</f>
        <v>60</v>
      </c>
    </row>
    <row r="315" spans="1:75" x14ac:dyDescent="0.35">
      <c r="A315">
        <v>138165</v>
      </c>
      <c r="B315" t="str">
        <f t="shared" si="131"/>
        <v>A</v>
      </c>
      <c r="C315" t="str">
        <f t="shared" si="132"/>
        <v>80</v>
      </c>
      <c r="D315" t="str">
        <f t="shared" si="133"/>
        <v>11121001</v>
      </c>
      <c r="E315" t="str">
        <f t="shared" si="134"/>
        <v>121001</v>
      </c>
      <c r="F315" t="str">
        <f t="shared" si="135"/>
        <v>JENIFER SANTOS</v>
      </c>
      <c r="G315" t="str">
        <f>"19955201000170"</f>
        <v>19955201000170</v>
      </c>
      <c r="H315" t="str">
        <f>"0"</f>
        <v>0</v>
      </c>
      <c r="I315" t="str">
        <f t="shared" si="136"/>
        <v>CONTA OPTICA</v>
      </c>
      <c r="J315" t="str">
        <f>"OTICA E RELOJOARIA ERECHIM LTDA"</f>
        <v>OTICA E RELOJOARIA ERECHIM LTDA</v>
      </c>
      <c r="K315" t="str">
        <f>"OTICAS CAROL ERECHIM (2091)"</f>
        <v>OTICAS CAROL ERECHIM (2091)</v>
      </c>
      <c r="L315" t="str">
        <f>""</f>
        <v/>
      </c>
      <c r="M315" t="str">
        <f>""</f>
        <v/>
      </c>
      <c r="N315" t="str">
        <f>"luzoticaerechim@yahoo.com.br"</f>
        <v>luzoticaerechim@yahoo.com.br</v>
      </c>
      <c r="O315" t="str">
        <f>""</f>
        <v/>
      </c>
      <c r="P315" t="str">
        <f>"AVENIDA MAURICIO CARDOSO"</f>
        <v>AVENIDA MAURICIO CARDOSO</v>
      </c>
      <c r="Q315" t="str">
        <f>"441"</f>
        <v>441</v>
      </c>
      <c r="R315" t="str">
        <f>""</f>
        <v/>
      </c>
      <c r="S315" t="str">
        <f>"1389"</f>
        <v>1389</v>
      </c>
      <c r="T315" t="str">
        <f>"99700426"</f>
        <v>99700426</v>
      </c>
      <c r="U315" t="str">
        <f>"CENTRO"</f>
        <v>CENTRO</v>
      </c>
      <c r="V315" t="str">
        <f>"ERECHIM"</f>
        <v>ERECHIM</v>
      </c>
      <c r="W315" t="str">
        <f>"RS"</f>
        <v>RS</v>
      </c>
      <c r="X315" t="str">
        <f>"54"</f>
        <v>54</v>
      </c>
      <c r="Y315" t="str">
        <f>"37120455"</f>
        <v>37120455</v>
      </c>
      <c r="Z315" t="str">
        <f>""</f>
        <v/>
      </c>
      <c r="AA315" t="str">
        <f>""</f>
        <v/>
      </c>
      <c r="AB315" t="str">
        <f>""</f>
        <v/>
      </c>
      <c r="AC315" t="str">
        <f>""</f>
        <v/>
      </c>
      <c r="AD315" t="str">
        <f>""</f>
        <v/>
      </c>
      <c r="AE315" t="str">
        <f>""</f>
        <v/>
      </c>
      <c r="AF315" t="str">
        <f>""</f>
        <v/>
      </c>
      <c r="AG315" t="str">
        <f>"S"</f>
        <v>S</v>
      </c>
      <c r="AH315" t="str">
        <f>""</f>
        <v/>
      </c>
      <c r="AI315" t="str">
        <f>""</f>
        <v/>
      </c>
      <c r="AJ315" t="str">
        <f>""</f>
        <v/>
      </c>
      <c r="AK315" t="str">
        <f>""</f>
        <v/>
      </c>
      <c r="AL315" t="str">
        <f>""</f>
        <v/>
      </c>
      <c r="AM315" t="str">
        <f>""</f>
        <v/>
      </c>
      <c r="AN315" t="str">
        <f>""</f>
        <v/>
      </c>
      <c r="AO315" t="str">
        <f>""</f>
        <v/>
      </c>
      <c r="AP315" t="str">
        <f>""</f>
        <v/>
      </c>
      <c r="AQ315" t="str">
        <f>"N"</f>
        <v>N</v>
      </c>
      <c r="AR315" t="str">
        <f>"N"</f>
        <v>N</v>
      </c>
      <c r="AS315" t="str">
        <f>"N"</f>
        <v>N</v>
      </c>
      <c r="AT315" t="str">
        <f>"N"</f>
        <v>N</v>
      </c>
      <c r="AU315" t="str">
        <f>"N"</f>
        <v>N</v>
      </c>
      <c r="AV315" t="str">
        <f>""</f>
        <v/>
      </c>
      <c r="AW315" t="str">
        <f>""</f>
        <v/>
      </c>
      <c r="AX315" t="str">
        <f>""</f>
        <v/>
      </c>
      <c r="AY315" t="str">
        <f>""</f>
        <v/>
      </c>
      <c r="AZ315" t="str">
        <f>""</f>
        <v/>
      </c>
      <c r="BA315" t="str">
        <f>""</f>
        <v/>
      </c>
      <c r="BB315" t="str">
        <f>"01/07/2021 13:53:04"</f>
        <v>01/07/2021 13:53:04</v>
      </c>
      <c r="BC315" t="str">
        <f>"14/03/2022 15:57:21"</f>
        <v>14/03/2022 15:57:21</v>
      </c>
      <c r="BD315" t="str">
        <f>""</f>
        <v/>
      </c>
      <c r="BE315" t="str">
        <f>""</f>
        <v/>
      </c>
      <c r="BF315" t="str">
        <f t="shared" si="137"/>
        <v>A</v>
      </c>
      <c r="BG315" t="str">
        <f>""</f>
        <v/>
      </c>
      <c r="BH315" t="str">
        <f>"0,00"</f>
        <v>0,00</v>
      </c>
      <c r="BI315" t="str">
        <f t="shared" si="147"/>
        <v>EVENTUAL</v>
      </c>
      <c r="BJ315" t="str">
        <f t="shared" si="138"/>
        <v>1</v>
      </c>
      <c r="BK315" t="str">
        <f t="shared" si="139"/>
        <v>Farmacia</v>
      </c>
      <c r="BL315" t="str">
        <f>""</f>
        <v/>
      </c>
      <c r="BM315" t="str">
        <f>"NÃO É VARILUX ESPECIALISTA"</f>
        <v>NÃO É VARILUX ESPECIALISTA</v>
      </c>
      <c r="BN315" t="str">
        <f>"NA"</f>
        <v>NA</v>
      </c>
      <c r="BO315" t="str">
        <f>"FOCO VARILUX DIGITAL"</f>
        <v>FOCO VARILUX DIGITAL</v>
      </c>
      <c r="BP315" t="str">
        <f>""</f>
        <v/>
      </c>
      <c r="BQ315" t="str">
        <f>""</f>
        <v/>
      </c>
      <c r="BR315" t="str">
        <f>"01/07/2021"</f>
        <v>01/07/2021</v>
      </c>
      <c r="BS315" t="str">
        <f>"14/03/2022"</f>
        <v>14/03/2022</v>
      </c>
      <c r="BT315" t="str">
        <f>""</f>
        <v/>
      </c>
      <c r="BU315" t="str">
        <f>""</f>
        <v/>
      </c>
      <c r="BV315" t="str">
        <f>""</f>
        <v/>
      </c>
      <c r="BW315" t="str">
        <f>"14"</f>
        <v>14</v>
      </c>
    </row>
    <row r="316" spans="1:75" x14ac:dyDescent="0.35">
      <c r="A316">
        <v>156722</v>
      </c>
      <c r="B316" t="str">
        <f t="shared" si="131"/>
        <v>A</v>
      </c>
      <c r="C316" t="str">
        <f t="shared" si="132"/>
        <v>80</v>
      </c>
      <c r="D316" t="str">
        <f t="shared" si="133"/>
        <v>11121001</v>
      </c>
      <c r="E316" t="str">
        <f t="shared" si="134"/>
        <v>121001</v>
      </c>
      <c r="F316" t="str">
        <f t="shared" si="135"/>
        <v>JENIFER SANTOS</v>
      </c>
      <c r="G316" t="str">
        <f>"45672742000100"</f>
        <v>45672742000100</v>
      </c>
      <c r="H316" t="str">
        <f>"0"</f>
        <v>0</v>
      </c>
      <c r="I316" t="str">
        <f t="shared" si="136"/>
        <v>CONTA OPTICA</v>
      </c>
      <c r="J316" t="str">
        <f>"OTICA E RELOJOARIA L.E. ZORZI LTDA"</f>
        <v>OTICA E RELOJOARIA L.E. ZORZI LTDA</v>
      </c>
      <c r="K316" t="str">
        <f>"OTICA SAO JOSE ERECHIM (4495)"</f>
        <v>OTICA SAO JOSE ERECHIM (4495)</v>
      </c>
      <c r="L316" t="str">
        <f>""</f>
        <v/>
      </c>
      <c r="M316" t="str">
        <f>""</f>
        <v/>
      </c>
      <c r="N316" t="str">
        <f>"LUIS.ZORZI10@GMAIL.COM"</f>
        <v>LUIS.ZORZI10@GMAIL.COM</v>
      </c>
      <c r="O316" t="str">
        <f>""</f>
        <v/>
      </c>
      <c r="P316" t="str">
        <f>"RUA NELSON EHLERS"</f>
        <v>RUA NELSON EHLERS</v>
      </c>
      <c r="Q316" t="str">
        <f>"63"</f>
        <v>63</v>
      </c>
      <c r="R316" t="str">
        <f>"SALA 03"</f>
        <v>SALA 03</v>
      </c>
      <c r="S316" t="str">
        <f>""</f>
        <v/>
      </c>
      <c r="T316" t="str">
        <f>"99700398"</f>
        <v>99700398</v>
      </c>
      <c r="U316" t="str">
        <f>"CENTRO"</f>
        <v>CENTRO</v>
      </c>
      <c r="V316" t="str">
        <f>"ERECHIM"</f>
        <v>ERECHIM</v>
      </c>
      <c r="W316" t="str">
        <f>"RS"</f>
        <v>RS</v>
      </c>
      <c r="X316" t="str">
        <f>"54"</f>
        <v>54</v>
      </c>
      <c r="Y316" t="str">
        <f>"999242446"</f>
        <v>999242446</v>
      </c>
      <c r="Z316" t="str">
        <f>""</f>
        <v/>
      </c>
      <c r="AA316" t="str">
        <f>""</f>
        <v/>
      </c>
      <c r="AB316" t="str">
        <f>""</f>
        <v/>
      </c>
      <c r="AC316" t="str">
        <f>""</f>
        <v/>
      </c>
      <c r="AD316" t="str">
        <f>""</f>
        <v/>
      </c>
      <c r="AE316" t="str">
        <f>""</f>
        <v/>
      </c>
      <c r="AF316" t="str">
        <f>""</f>
        <v/>
      </c>
      <c r="AG316" t="str">
        <f>""</f>
        <v/>
      </c>
      <c r="AH316" t="str">
        <f>""</f>
        <v/>
      </c>
      <c r="AI316" t="str">
        <f>""</f>
        <v/>
      </c>
      <c r="AJ316" t="str">
        <f>""</f>
        <v/>
      </c>
      <c r="AK316" t="str">
        <f>""</f>
        <v/>
      </c>
      <c r="AL316" t="str">
        <f>""</f>
        <v/>
      </c>
      <c r="AM316" t="str">
        <f>""</f>
        <v/>
      </c>
      <c r="AN316" t="str">
        <f>""</f>
        <v/>
      </c>
      <c r="AO316" t="str">
        <f>""</f>
        <v/>
      </c>
      <c r="AP316" t="str">
        <f>""</f>
        <v/>
      </c>
      <c r="AQ316" t="str">
        <f>""</f>
        <v/>
      </c>
      <c r="AR316" t="str">
        <f>""</f>
        <v/>
      </c>
      <c r="AS316" t="str">
        <f>""</f>
        <v/>
      </c>
      <c r="AT316" t="str">
        <f>""</f>
        <v/>
      </c>
      <c r="AU316" t="str">
        <f>""</f>
        <v/>
      </c>
      <c r="AV316" t="str">
        <f>""</f>
        <v/>
      </c>
      <c r="AW316" t="str">
        <f>""</f>
        <v/>
      </c>
      <c r="AX316" t="str">
        <f>""</f>
        <v/>
      </c>
      <c r="AY316" t="str">
        <f>""</f>
        <v/>
      </c>
      <c r="AZ316" t="str">
        <f>""</f>
        <v/>
      </c>
      <c r="BA316" t="str">
        <f>""</f>
        <v/>
      </c>
      <c r="BB316" t="str">
        <f>"06/07/2023 12:07:48"</f>
        <v>06/07/2023 12:07:48</v>
      </c>
      <c r="BC316" t="str">
        <f>""</f>
        <v/>
      </c>
      <c r="BD316" t="str">
        <f>""</f>
        <v/>
      </c>
      <c r="BE316" t="str">
        <f>""</f>
        <v/>
      </c>
      <c r="BF316" t="str">
        <f t="shared" si="137"/>
        <v>A</v>
      </c>
      <c r="BG316" t="str">
        <f>""</f>
        <v/>
      </c>
      <c r="BH316" t="str">
        <f>""</f>
        <v/>
      </c>
      <c r="BI316" t="str">
        <f t="shared" si="147"/>
        <v>EVENTUAL</v>
      </c>
      <c r="BJ316" t="str">
        <f t="shared" si="138"/>
        <v>1</v>
      </c>
      <c r="BK316" t="str">
        <f t="shared" si="139"/>
        <v>Farmacia</v>
      </c>
      <c r="BL316" t="str">
        <f>""</f>
        <v/>
      </c>
      <c r="BM316" t="str">
        <f>""</f>
        <v/>
      </c>
      <c r="BN316" t="str">
        <f>""</f>
        <v/>
      </c>
      <c r="BO316" t="str">
        <f>""</f>
        <v/>
      </c>
      <c r="BP316" t="str">
        <f>""</f>
        <v/>
      </c>
      <c r="BQ316" t="str">
        <f>""</f>
        <v/>
      </c>
      <c r="BR316" t="str">
        <f>"06/07/2023"</f>
        <v>06/07/2023</v>
      </c>
      <c r="BS316" t="str">
        <f>""</f>
        <v/>
      </c>
      <c r="BT316" t="str">
        <f>""</f>
        <v/>
      </c>
      <c r="BU316" t="str">
        <f>""</f>
        <v/>
      </c>
      <c r="BV316" t="str">
        <f>""</f>
        <v/>
      </c>
      <c r="BW316" t="str">
        <f>"Não visitado"</f>
        <v>Não visitado</v>
      </c>
    </row>
    <row r="317" spans="1:75" x14ac:dyDescent="0.35">
      <c r="A317">
        <v>138166</v>
      </c>
      <c r="B317" t="str">
        <f t="shared" si="131"/>
        <v>A</v>
      </c>
      <c r="C317" t="str">
        <f t="shared" si="132"/>
        <v>80</v>
      </c>
      <c r="D317" t="str">
        <f t="shared" si="133"/>
        <v>11121001</v>
      </c>
      <c r="E317" t="str">
        <f t="shared" si="134"/>
        <v>121001</v>
      </c>
      <c r="F317" t="str">
        <f t="shared" si="135"/>
        <v>JENIFER SANTOS</v>
      </c>
      <c r="G317" t="str">
        <f>"12573695000180"</f>
        <v>12573695000180</v>
      </c>
      <c r="H317" t="str">
        <f>"0"</f>
        <v>0</v>
      </c>
      <c r="I317" t="str">
        <f t="shared" si="136"/>
        <v>CONTA OPTICA</v>
      </c>
      <c r="J317" t="str">
        <f>"OTICA ESPECIALISTA LTDA ME"</f>
        <v>OTICA ESPECIALISTA LTDA ME</v>
      </c>
      <c r="K317" t="str">
        <f>"OTICA ESPECIALISTA LTDA ME (1909)"</f>
        <v>OTICA ESPECIALISTA LTDA ME (1909)</v>
      </c>
      <c r="L317" t="str">
        <f>""</f>
        <v/>
      </c>
      <c r="M317" t="str">
        <f>""</f>
        <v/>
      </c>
      <c r="N317" t="str">
        <f>"oticaespecialistachapeco@gmail.com"</f>
        <v>oticaespecialistachapeco@gmail.com</v>
      </c>
      <c r="O317" t="str">
        <f>""</f>
        <v/>
      </c>
      <c r="P317" t="str">
        <f>"RUA PORTO ALEGRE"</f>
        <v>RUA PORTO ALEGRE</v>
      </c>
      <c r="Q317" t="str">
        <f>"97"</f>
        <v>97</v>
      </c>
      <c r="R317" t="str">
        <f>"LETRA D"</f>
        <v>LETRA D</v>
      </c>
      <c r="S317" t="str">
        <f>"1287"</f>
        <v>1287</v>
      </c>
      <c r="T317" t="str">
        <f>"89802132"</f>
        <v>89802132</v>
      </c>
      <c r="U317" t="str">
        <f>"CENTRO"</f>
        <v>CENTRO</v>
      </c>
      <c r="V317" t="str">
        <f>"CHAPECÓ"</f>
        <v>CHAPECÓ</v>
      </c>
      <c r="W317" t="str">
        <f>"SC"</f>
        <v>SC</v>
      </c>
      <c r="X317" t="str">
        <f>"49"</f>
        <v>49</v>
      </c>
      <c r="Y317" t="str">
        <f>"33230598"</f>
        <v>33230598</v>
      </c>
      <c r="Z317" t="str">
        <f>""</f>
        <v/>
      </c>
      <c r="AA317" t="str">
        <f>""</f>
        <v/>
      </c>
      <c r="AB317" t="str">
        <f>""</f>
        <v/>
      </c>
      <c r="AC317" t="str">
        <f>""</f>
        <v/>
      </c>
      <c r="AD317" t="str">
        <f>""</f>
        <v/>
      </c>
      <c r="AE317" t="str">
        <f>""</f>
        <v/>
      </c>
      <c r="AF317" t="str">
        <f>""</f>
        <v/>
      </c>
      <c r="AG317" t="str">
        <f>"S"</f>
        <v>S</v>
      </c>
      <c r="AH317" t="str">
        <f>""</f>
        <v/>
      </c>
      <c r="AI317" t="str">
        <f>""</f>
        <v/>
      </c>
      <c r="AJ317" t="str">
        <f>""</f>
        <v/>
      </c>
      <c r="AK317" t="str">
        <f>""</f>
        <v/>
      </c>
      <c r="AL317" t="str">
        <f>""</f>
        <v/>
      </c>
      <c r="AM317" t="str">
        <f>""</f>
        <v/>
      </c>
      <c r="AN317" t="str">
        <f>""</f>
        <v/>
      </c>
      <c r="AO317" t="str">
        <f>""</f>
        <v/>
      </c>
      <c r="AP317" t="str">
        <f>""</f>
        <v/>
      </c>
      <c r="AQ317" t="str">
        <f>"N"</f>
        <v>N</v>
      </c>
      <c r="AR317" t="str">
        <f>"N"</f>
        <v>N</v>
      </c>
      <c r="AS317" t="str">
        <f>"N"</f>
        <v>N</v>
      </c>
      <c r="AT317" t="str">
        <f>"N"</f>
        <v>N</v>
      </c>
      <c r="AU317" t="str">
        <f>"N"</f>
        <v>N</v>
      </c>
      <c r="AV317" t="str">
        <f>""</f>
        <v/>
      </c>
      <c r="AW317" t="str">
        <f>""</f>
        <v/>
      </c>
      <c r="AX317" t="str">
        <f>""</f>
        <v/>
      </c>
      <c r="AY317" t="str">
        <f>""</f>
        <v/>
      </c>
      <c r="AZ317" t="str">
        <f>""</f>
        <v/>
      </c>
      <c r="BA317" t="str">
        <f>""</f>
        <v/>
      </c>
      <c r="BB317" t="str">
        <f>"01/07/2021 13:53:04"</f>
        <v>01/07/2021 13:53:04</v>
      </c>
      <c r="BC317" t="str">
        <f>"28/10/2021 09:11:34"</f>
        <v>28/10/2021 09:11:34</v>
      </c>
      <c r="BD317" t="str">
        <f>""</f>
        <v/>
      </c>
      <c r="BE317" t="str">
        <f>""</f>
        <v/>
      </c>
      <c r="BF317" t="str">
        <f t="shared" si="137"/>
        <v>A</v>
      </c>
      <c r="BG317" t="str">
        <f>""</f>
        <v/>
      </c>
      <c r="BH317" t="str">
        <f>"0,00"</f>
        <v>0,00</v>
      </c>
      <c r="BI317" t="str">
        <f t="shared" si="147"/>
        <v>EVENTUAL</v>
      </c>
      <c r="BJ317" t="str">
        <f t="shared" si="138"/>
        <v>1</v>
      </c>
      <c r="BK317" t="str">
        <f t="shared" si="139"/>
        <v>Farmacia</v>
      </c>
      <c r="BL317" t="str">
        <f>""</f>
        <v/>
      </c>
      <c r="BM317" t="str">
        <f>"NÃO É VARILUX ESPECIALISTA"</f>
        <v>NÃO É VARILUX ESPECIALISTA</v>
      </c>
      <c r="BN317" t="str">
        <f>"NA"</f>
        <v>NA</v>
      </c>
      <c r="BO317" t="str">
        <f>"OUTROS"</f>
        <v>OUTROS</v>
      </c>
      <c r="BP317" t="str">
        <f>""</f>
        <v/>
      </c>
      <c r="BQ317" t="str">
        <f>""</f>
        <v/>
      </c>
      <c r="BR317" t="str">
        <f>"01/07/2021"</f>
        <v>01/07/2021</v>
      </c>
      <c r="BS317" t="str">
        <f>"28/10/2021"</f>
        <v>28/10/2021</v>
      </c>
      <c r="BT317" t="str">
        <f>""</f>
        <v/>
      </c>
      <c r="BU317" t="str">
        <f>""</f>
        <v/>
      </c>
      <c r="BV317" t="str">
        <f>""</f>
        <v/>
      </c>
      <c r="BW317" t="str">
        <f>"16"</f>
        <v>16</v>
      </c>
    </row>
    <row r="318" spans="1:75" x14ac:dyDescent="0.35">
      <c r="A318">
        <v>887</v>
      </c>
      <c r="B318" t="str">
        <f t="shared" si="131"/>
        <v>A</v>
      </c>
      <c r="C318" t="str">
        <f t="shared" si="132"/>
        <v>80</v>
      </c>
      <c r="D318" t="str">
        <f t="shared" si="133"/>
        <v>11121001</v>
      </c>
      <c r="E318" t="str">
        <f t="shared" si="134"/>
        <v>121001</v>
      </c>
      <c r="F318" t="str">
        <f t="shared" si="135"/>
        <v>JENIFER SANTOS</v>
      </c>
      <c r="G318" t="str">
        <f>"06148844000160"</f>
        <v>06148844000160</v>
      </c>
      <c r="H318" t="str">
        <f>""</f>
        <v/>
      </c>
      <c r="I318" t="str">
        <f t="shared" si="136"/>
        <v>CONTA OPTICA</v>
      </c>
      <c r="J318" t="str">
        <f>"OTICA EVERSSON LTDA ME"</f>
        <v>OTICA EVERSSON LTDA ME</v>
      </c>
      <c r="K318" t="str">
        <f>"OTICA EVERSSON LTDA ME (519)"</f>
        <v>OTICA EVERSSON LTDA ME (519)</v>
      </c>
      <c r="L318" t="str">
        <f>""</f>
        <v/>
      </c>
      <c r="M318" t="str">
        <f>""</f>
        <v/>
      </c>
      <c r="N318" t="str">
        <f>"eversonalbano@yahoo.com.br"</f>
        <v>eversonalbano@yahoo.com.br</v>
      </c>
      <c r="O318" t="str">
        <f>""</f>
        <v/>
      </c>
      <c r="P318" t="str">
        <f>"RUA SANTA CATARINA"</f>
        <v>RUA SANTA CATARINA</v>
      </c>
      <c r="Q318" t="str">
        <f>"1674"</f>
        <v>1674</v>
      </c>
      <c r="R318" t="str">
        <f>"TERREO"</f>
        <v>TERREO</v>
      </c>
      <c r="S318" t="str">
        <f>"1279"</f>
        <v>1279</v>
      </c>
      <c r="T318" t="str">
        <f>"89211307"</f>
        <v>89211307</v>
      </c>
      <c r="U318" t="str">
        <f>"FLORESTA"</f>
        <v>FLORESTA</v>
      </c>
      <c r="V318" t="str">
        <f>"JOINVILLE"</f>
        <v>JOINVILLE</v>
      </c>
      <c r="W318" t="str">
        <f>"SC"</f>
        <v>SC</v>
      </c>
      <c r="X318" t="str">
        <f>"47"</f>
        <v>47</v>
      </c>
      <c r="Y318" t="str">
        <f>"30266100"</f>
        <v>30266100</v>
      </c>
      <c r="Z318" t="str">
        <f>""</f>
        <v/>
      </c>
      <c r="AA318" t="str">
        <f>""</f>
        <v/>
      </c>
      <c r="AB318" t="str">
        <f>""</f>
        <v/>
      </c>
      <c r="AC318" t="str">
        <f>""</f>
        <v/>
      </c>
      <c r="AD318" t="str">
        <f>""</f>
        <v/>
      </c>
      <c r="AE318" t="str">
        <f>""</f>
        <v/>
      </c>
      <c r="AF318" t="str">
        <f>""</f>
        <v/>
      </c>
      <c r="AG318" t="str">
        <f>""</f>
        <v/>
      </c>
      <c r="AH318" t="str">
        <f>""</f>
        <v/>
      </c>
      <c r="AI318" t="str">
        <f>""</f>
        <v/>
      </c>
      <c r="AJ318" t="str">
        <f t="shared" ref="AJ318:AL320" si="152">"0"</f>
        <v>0</v>
      </c>
      <c r="AK318" t="str">
        <f t="shared" si="152"/>
        <v>0</v>
      </c>
      <c r="AL318" t="str">
        <f t="shared" si="152"/>
        <v>0</v>
      </c>
      <c r="AM318" t="str">
        <f>""</f>
        <v/>
      </c>
      <c r="AN318" t="str">
        <f>""</f>
        <v/>
      </c>
      <c r="AO318" t="str">
        <f>""</f>
        <v/>
      </c>
      <c r="AP318" t="str">
        <f>""</f>
        <v/>
      </c>
      <c r="AQ318" t="str">
        <f>""</f>
        <v/>
      </c>
      <c r="AR318" t="str">
        <f>""</f>
        <v/>
      </c>
      <c r="AS318" t="str">
        <f>""</f>
        <v/>
      </c>
      <c r="AT318" t="str">
        <f>""</f>
        <v/>
      </c>
      <c r="AU318" t="str">
        <f>""</f>
        <v/>
      </c>
      <c r="AV318" t="str">
        <f>""</f>
        <v/>
      </c>
      <c r="AW318" t="str">
        <f>""</f>
        <v/>
      </c>
      <c r="AX318" t="str">
        <f>""</f>
        <v/>
      </c>
      <c r="AY318" t="str">
        <f>""</f>
        <v/>
      </c>
      <c r="AZ318" t="str">
        <f>""</f>
        <v/>
      </c>
      <c r="BA318" t="str">
        <f>""</f>
        <v/>
      </c>
      <c r="BB318" t="str">
        <f>"27/07/2018 09:25:53"</f>
        <v>27/07/2018 09:25:53</v>
      </c>
      <c r="BC318" t="str">
        <f>""</f>
        <v/>
      </c>
      <c r="BD318" t="str">
        <f>""</f>
        <v/>
      </c>
      <c r="BE318" t="str">
        <f>"887"</f>
        <v>887</v>
      </c>
      <c r="BF318" t="str">
        <f t="shared" si="137"/>
        <v>A</v>
      </c>
      <c r="BG318" t="str">
        <f>"0,00"</f>
        <v>0,00</v>
      </c>
      <c r="BH318" t="str">
        <f>"0,00"</f>
        <v>0,00</v>
      </c>
      <c r="BI318" t="str">
        <f t="shared" si="147"/>
        <v>EVENTUAL</v>
      </c>
      <c r="BJ318" t="str">
        <f t="shared" si="138"/>
        <v>1</v>
      </c>
      <c r="BK318" t="str">
        <f t="shared" si="139"/>
        <v>Farmacia</v>
      </c>
      <c r="BL318" t="str">
        <f>""</f>
        <v/>
      </c>
      <c r="BM318" t="str">
        <f>"NÃO É VARILUX ESPECIALISTA"</f>
        <v>NÃO É VARILUX ESPECIALISTA</v>
      </c>
      <c r="BN318" t="str">
        <f>"NA"</f>
        <v>NA</v>
      </c>
      <c r="BO318" t="str">
        <f>"FOCO VARILUX DIGITAL"</f>
        <v>FOCO VARILUX DIGITAL</v>
      </c>
      <c r="BP318" t="str">
        <f>""</f>
        <v/>
      </c>
      <c r="BQ318" t="str">
        <f>""</f>
        <v/>
      </c>
      <c r="BR318" t="str">
        <f>"27/07/2018"</f>
        <v>27/07/2018</v>
      </c>
      <c r="BS318" t="str">
        <f>""</f>
        <v/>
      </c>
      <c r="BT318" t="str">
        <f>""</f>
        <v/>
      </c>
      <c r="BU318" t="str">
        <f>""</f>
        <v/>
      </c>
      <c r="BV318" t="str">
        <f>"1"</f>
        <v>1</v>
      </c>
      <c r="BW318" t="str">
        <f>"100"</f>
        <v>100</v>
      </c>
    </row>
    <row r="319" spans="1:75" x14ac:dyDescent="0.35">
      <c r="A319">
        <v>4272</v>
      </c>
      <c r="B319" t="str">
        <f t="shared" si="131"/>
        <v>A</v>
      </c>
      <c r="C319" t="str">
        <f t="shared" si="132"/>
        <v>80</v>
      </c>
      <c r="D319" t="str">
        <f t="shared" si="133"/>
        <v>11121001</v>
      </c>
      <c r="E319" t="str">
        <f t="shared" si="134"/>
        <v>121001</v>
      </c>
      <c r="F319" t="str">
        <f t="shared" si="135"/>
        <v>JENIFER SANTOS</v>
      </c>
      <c r="G319" t="str">
        <f>"01999775000185"</f>
        <v>01999775000185</v>
      </c>
      <c r="H319" t="str">
        <f>""</f>
        <v/>
      </c>
      <c r="I319" t="str">
        <f t="shared" si="136"/>
        <v>CONTA OPTICA</v>
      </c>
      <c r="J319" t="str">
        <f>"OTICA FERNANDES LTDA"</f>
        <v>OTICA FERNANDES LTDA</v>
      </c>
      <c r="K319" t="str">
        <f>"OTICA BELA VISTA (1325)"</f>
        <v>OTICA BELA VISTA (1325)</v>
      </c>
      <c r="L319" t="str">
        <f>""</f>
        <v/>
      </c>
      <c r="M319" t="str">
        <f>""</f>
        <v/>
      </c>
      <c r="N319" t="str">
        <f>"oticabelavistaenseada@gmail.com"</f>
        <v>oticabelavistaenseada@gmail.com</v>
      </c>
      <c r="O319" t="str">
        <f>""</f>
        <v/>
      </c>
      <c r="P319" t="str">
        <f>"AVENIDA ATLANTICA"</f>
        <v>AVENIDA ATLANTICA</v>
      </c>
      <c r="Q319" t="str">
        <f>"1030"</f>
        <v>1030</v>
      </c>
      <c r="R319" t="str">
        <f>"SALA 02"</f>
        <v>SALA 02</v>
      </c>
      <c r="S319" t="str">
        <f>"1280"</f>
        <v>1280</v>
      </c>
      <c r="T319" t="str">
        <f>"89240000"</f>
        <v>89240000</v>
      </c>
      <c r="U319" t="str">
        <f>"ENSEADA"</f>
        <v>ENSEADA</v>
      </c>
      <c r="V319" t="str">
        <f>"SAO FRANCISCO DO SUL"</f>
        <v>SAO FRANCISCO DO SUL</v>
      </c>
      <c r="W319" t="str">
        <f>"SC"</f>
        <v>SC</v>
      </c>
      <c r="X319" t="str">
        <f>"47"</f>
        <v>47</v>
      </c>
      <c r="Y319" t="str">
        <f>"34490364"</f>
        <v>34490364</v>
      </c>
      <c r="Z319" t="str">
        <f>""</f>
        <v/>
      </c>
      <c r="AA319" t="str">
        <f>""</f>
        <v/>
      </c>
      <c r="AB319" t="str">
        <f>""</f>
        <v/>
      </c>
      <c r="AC319" t="str">
        <f>""</f>
        <v/>
      </c>
      <c r="AD319" t="str">
        <f>""</f>
        <v/>
      </c>
      <c r="AE319" t="str">
        <f>""</f>
        <v/>
      </c>
      <c r="AF319" t="str">
        <f>""</f>
        <v/>
      </c>
      <c r="AG319" t="str">
        <f>""</f>
        <v/>
      </c>
      <c r="AH319" t="str">
        <f>""</f>
        <v/>
      </c>
      <c r="AI319" t="str">
        <f>""</f>
        <v/>
      </c>
      <c r="AJ319" t="str">
        <f t="shared" si="152"/>
        <v>0</v>
      </c>
      <c r="AK319" t="str">
        <f t="shared" si="152"/>
        <v>0</v>
      </c>
      <c r="AL319" t="str">
        <f t="shared" si="152"/>
        <v>0</v>
      </c>
      <c r="AM319" t="str">
        <f>""</f>
        <v/>
      </c>
      <c r="AN319" t="str">
        <f>""</f>
        <v/>
      </c>
      <c r="AO319" t="str">
        <f>""</f>
        <v/>
      </c>
      <c r="AP319" t="str">
        <f>""</f>
        <v/>
      </c>
      <c r="AQ319" t="str">
        <f>""</f>
        <v/>
      </c>
      <c r="AR319" t="str">
        <f>""</f>
        <v/>
      </c>
      <c r="AS319" t="str">
        <f>""</f>
        <v/>
      </c>
      <c r="AT319" t="str">
        <f>""</f>
        <v/>
      </c>
      <c r="AU319" t="str">
        <f>""</f>
        <v/>
      </c>
      <c r="AV319" t="str">
        <f>""</f>
        <v/>
      </c>
      <c r="AW319" t="str">
        <f>""</f>
        <v/>
      </c>
      <c r="AX319" t="str">
        <f>""</f>
        <v/>
      </c>
      <c r="AY319" t="str">
        <f>""</f>
        <v/>
      </c>
      <c r="AZ319" t="str">
        <f>""</f>
        <v/>
      </c>
      <c r="BA319" t="str">
        <f>""</f>
        <v/>
      </c>
      <c r="BB319" t="str">
        <f>"30/08/2018 17:21:40"</f>
        <v>30/08/2018 17:21:40</v>
      </c>
      <c r="BC319" t="str">
        <f>""</f>
        <v/>
      </c>
      <c r="BD319" t="str">
        <f>""</f>
        <v/>
      </c>
      <c r="BE319" t="str">
        <f>""</f>
        <v/>
      </c>
      <c r="BF319" t="str">
        <f t="shared" si="137"/>
        <v>A</v>
      </c>
      <c r="BG319" t="str">
        <f>"0,00"</f>
        <v>0,00</v>
      </c>
      <c r="BH319" t="str">
        <f>"0,00"</f>
        <v>0,00</v>
      </c>
      <c r="BI319" t="str">
        <f t="shared" si="147"/>
        <v>EVENTUAL</v>
      </c>
      <c r="BJ319" t="str">
        <f t="shared" si="138"/>
        <v>1</v>
      </c>
      <c r="BK319" t="str">
        <f t="shared" si="139"/>
        <v>Farmacia</v>
      </c>
      <c r="BL319" t="str">
        <f>""</f>
        <v/>
      </c>
      <c r="BM319" t="str">
        <f>"NÃO É VARILUX ESPECIALISTA"</f>
        <v>NÃO É VARILUX ESPECIALISTA</v>
      </c>
      <c r="BN319" t="str">
        <f>"NA"</f>
        <v>NA</v>
      </c>
      <c r="BO319" t="str">
        <f>"OUTROS"</f>
        <v>OUTROS</v>
      </c>
      <c r="BP319" t="str">
        <f>""</f>
        <v/>
      </c>
      <c r="BQ319" t="str">
        <f>""</f>
        <v/>
      </c>
      <c r="BR319" t="str">
        <f>"30/08/2018"</f>
        <v>30/08/2018</v>
      </c>
      <c r="BS319" t="str">
        <f>""</f>
        <v/>
      </c>
      <c r="BT319" t="str">
        <f>""</f>
        <v/>
      </c>
      <c r="BU319" t="str">
        <f>""</f>
        <v/>
      </c>
      <c r="BV319" t="str">
        <f>"9"</f>
        <v>9</v>
      </c>
      <c r="BW319" t="str">
        <f>"39"</f>
        <v>39</v>
      </c>
    </row>
    <row r="320" spans="1:75" x14ac:dyDescent="0.35">
      <c r="A320">
        <v>139956</v>
      </c>
      <c r="B320" t="str">
        <f t="shared" si="131"/>
        <v>A</v>
      </c>
      <c r="C320" t="str">
        <f t="shared" si="132"/>
        <v>80</v>
      </c>
      <c r="D320" t="str">
        <f t="shared" si="133"/>
        <v>11121001</v>
      </c>
      <c r="E320" t="str">
        <f t="shared" si="134"/>
        <v>121001</v>
      </c>
      <c r="F320" t="str">
        <f t="shared" si="135"/>
        <v>JENIFER SANTOS</v>
      </c>
      <c r="G320" t="str">
        <f>"08204418000122"</f>
        <v>08204418000122</v>
      </c>
      <c r="H320" t="str">
        <f>"0"</f>
        <v>0</v>
      </c>
      <c r="I320" t="str">
        <f t="shared" si="136"/>
        <v>CONTA OPTICA</v>
      </c>
      <c r="J320" t="str">
        <f>"OTICA FUTURA LTDA"</f>
        <v>OTICA FUTURA LTDA</v>
      </c>
      <c r="K320" t="str">
        <f>"BRASOPTICA  -  OCCHIALERIA (1348)"</f>
        <v>BRASOPTICA  -  OCCHIALERIA (1348)</v>
      </c>
      <c r="L320" t="str">
        <f>""</f>
        <v/>
      </c>
      <c r="M320" t="str">
        <f>""</f>
        <v/>
      </c>
      <c r="N320" t="str">
        <f>"brasoptica@hotmail.com"</f>
        <v>brasoptica@hotmail.com</v>
      </c>
      <c r="O320" t="str">
        <f>""</f>
        <v/>
      </c>
      <c r="P320" t="str">
        <f>"AVENIDA MAURICIO CARDOSO"</f>
        <v>AVENIDA MAURICIO CARDOSO</v>
      </c>
      <c r="Q320" t="str">
        <f>"283"</f>
        <v>283</v>
      </c>
      <c r="R320" t="str">
        <f>"A"</f>
        <v>A</v>
      </c>
      <c r="S320" t="str">
        <f>"1389"</f>
        <v>1389</v>
      </c>
      <c r="T320" t="str">
        <f>"99700426"</f>
        <v>99700426</v>
      </c>
      <c r="U320" t="str">
        <f t="shared" ref="U320:U327" si="153">"CENTRO"</f>
        <v>CENTRO</v>
      </c>
      <c r="V320" t="str">
        <f>"ERECHIM"</f>
        <v>ERECHIM</v>
      </c>
      <c r="W320" t="str">
        <f>"RS"</f>
        <v>RS</v>
      </c>
      <c r="X320" t="str">
        <f>"54"</f>
        <v>54</v>
      </c>
      <c r="Y320" t="str">
        <f>"35221256"</f>
        <v>35221256</v>
      </c>
      <c r="Z320" t="str">
        <f>""</f>
        <v/>
      </c>
      <c r="AA320" t="str">
        <f>""</f>
        <v/>
      </c>
      <c r="AB320" t="str">
        <f>""</f>
        <v/>
      </c>
      <c r="AC320" t="str">
        <f>""</f>
        <v/>
      </c>
      <c r="AD320" t="str">
        <f>""</f>
        <v/>
      </c>
      <c r="AE320" t="str">
        <f>""</f>
        <v/>
      </c>
      <c r="AF320" t="str">
        <f>""</f>
        <v/>
      </c>
      <c r="AG320" t="str">
        <f>""</f>
        <v/>
      </c>
      <c r="AH320" t="str">
        <f>""</f>
        <v/>
      </c>
      <c r="AI320" t="str">
        <f>""</f>
        <v/>
      </c>
      <c r="AJ320" t="str">
        <f t="shared" si="152"/>
        <v>0</v>
      </c>
      <c r="AK320" t="str">
        <f t="shared" si="152"/>
        <v>0</v>
      </c>
      <c r="AL320" t="str">
        <f t="shared" si="152"/>
        <v>0</v>
      </c>
      <c r="AM320" t="str">
        <f>""</f>
        <v/>
      </c>
      <c r="AN320" t="str">
        <f>""</f>
        <v/>
      </c>
      <c r="AO320" t="str">
        <f>""</f>
        <v/>
      </c>
      <c r="AP320" t="str">
        <f>""</f>
        <v/>
      </c>
      <c r="AQ320" t="str">
        <f>""</f>
        <v/>
      </c>
      <c r="AR320" t="str">
        <f>""</f>
        <v/>
      </c>
      <c r="AS320" t="str">
        <f>""</f>
        <v/>
      </c>
      <c r="AT320" t="str">
        <f>""</f>
        <v/>
      </c>
      <c r="AU320" t="str">
        <f>""</f>
        <v/>
      </c>
      <c r="AV320" t="str">
        <f>""</f>
        <v/>
      </c>
      <c r="AW320" t="str">
        <f>""</f>
        <v/>
      </c>
      <c r="AX320" t="str">
        <f>""</f>
        <v/>
      </c>
      <c r="AY320" t="str">
        <f>""</f>
        <v/>
      </c>
      <c r="AZ320" t="str">
        <f>""</f>
        <v/>
      </c>
      <c r="BA320" t="str">
        <f>""</f>
        <v/>
      </c>
      <c r="BB320" t="str">
        <f>"18/08/2021 08:46:18"</f>
        <v>18/08/2021 08:46:18</v>
      </c>
      <c r="BC320" t="str">
        <f>""</f>
        <v/>
      </c>
      <c r="BD320" t="str">
        <f>""</f>
        <v/>
      </c>
      <c r="BE320" t="str">
        <f>""</f>
        <v/>
      </c>
      <c r="BF320" t="str">
        <f t="shared" si="137"/>
        <v>A</v>
      </c>
      <c r="BG320" t="str">
        <f>"0,00"</f>
        <v>0,00</v>
      </c>
      <c r="BH320" t="str">
        <f>"0,00"</f>
        <v>0,00</v>
      </c>
      <c r="BI320" t="str">
        <f t="shared" si="147"/>
        <v>EVENTUAL</v>
      </c>
      <c r="BJ320" t="str">
        <f t="shared" si="138"/>
        <v>1</v>
      </c>
      <c r="BK320" t="str">
        <f t="shared" si="139"/>
        <v>Farmacia</v>
      </c>
      <c r="BL320" t="str">
        <f>""</f>
        <v/>
      </c>
      <c r="BM320" t="str">
        <f>"VARILUX ESPECIALISTA SELECT"</f>
        <v>VARILUX ESPECIALISTA SELECT</v>
      </c>
      <c r="BN320" t="str">
        <f>"NA"</f>
        <v>NA</v>
      </c>
      <c r="BO320" t="str">
        <f>"FOCO VARILUX DIGITAL"</f>
        <v>FOCO VARILUX DIGITAL</v>
      </c>
      <c r="BP320" t="str">
        <f>""</f>
        <v/>
      </c>
      <c r="BQ320" t="str">
        <f>""</f>
        <v/>
      </c>
      <c r="BR320" t="str">
        <f>"18/08/2021"</f>
        <v>18/08/2021</v>
      </c>
      <c r="BS320" t="str">
        <f>""</f>
        <v/>
      </c>
      <c r="BT320" t="str">
        <f>""</f>
        <v/>
      </c>
      <c r="BU320" t="str">
        <f>""</f>
        <v/>
      </c>
      <c r="BV320" t="str">
        <f>""</f>
        <v/>
      </c>
      <c r="BW320" t="str">
        <f>"1"</f>
        <v>1</v>
      </c>
    </row>
    <row r="321" spans="1:75" x14ac:dyDescent="0.35">
      <c r="A321">
        <v>157511</v>
      </c>
      <c r="B321" t="str">
        <f t="shared" si="131"/>
        <v>A</v>
      </c>
      <c r="C321" t="str">
        <f t="shared" si="132"/>
        <v>80</v>
      </c>
      <c r="D321" t="str">
        <f t="shared" si="133"/>
        <v>11121001</v>
      </c>
      <c r="E321" t="str">
        <f t="shared" si="134"/>
        <v>121001</v>
      </c>
      <c r="F321" t="str">
        <f t="shared" si="135"/>
        <v>JENIFER SANTOS</v>
      </c>
      <c r="G321" t="str">
        <f>"05556583000155"</f>
        <v>05556583000155</v>
      </c>
      <c r="H321" t="str">
        <f>"0"</f>
        <v>0</v>
      </c>
      <c r="I321" t="str">
        <f t="shared" si="136"/>
        <v>CONTA OPTICA</v>
      </c>
      <c r="J321" t="str">
        <f>"OTICA GARUVA LTDA ME"</f>
        <v>OTICA GARUVA LTDA ME</v>
      </c>
      <c r="K321" t="str">
        <f>"OTICA GARUVA  (305)"</f>
        <v>OTICA GARUVA  (305)</v>
      </c>
      <c r="L321" t="str">
        <f>""</f>
        <v/>
      </c>
      <c r="M321" t="str">
        <f>""</f>
        <v/>
      </c>
      <c r="N321" t="str">
        <f>"oticagaruva@hotmail.com"</f>
        <v>oticagaruva@hotmail.com</v>
      </c>
      <c r="O321" t="str">
        <f>""</f>
        <v/>
      </c>
      <c r="P321" t="str">
        <f>"PARANA"</f>
        <v>PARANA</v>
      </c>
      <c r="Q321" t="str">
        <f>"703"</f>
        <v>703</v>
      </c>
      <c r="R321" t="str">
        <f>"SALA 02"</f>
        <v>SALA 02</v>
      </c>
      <c r="S321" t="str">
        <f>"1280"</f>
        <v>1280</v>
      </c>
      <c r="T321" t="str">
        <f>"89248000"</f>
        <v>89248000</v>
      </c>
      <c r="U321" t="str">
        <f t="shared" si="153"/>
        <v>CENTRO</v>
      </c>
      <c r="V321" t="str">
        <f>"GARUVA"</f>
        <v>GARUVA</v>
      </c>
      <c r="W321" t="str">
        <f t="shared" ref="W321:W350" si="154">"SC"</f>
        <v>SC</v>
      </c>
      <c r="X321" t="str">
        <f>"47"</f>
        <v>47</v>
      </c>
      <c r="Y321" t="str">
        <f>"34452484"</f>
        <v>34452484</v>
      </c>
      <c r="Z321" t="str">
        <f>""</f>
        <v/>
      </c>
      <c r="AA321" t="str">
        <f>""</f>
        <v/>
      </c>
      <c r="AB321" t="str">
        <f>""</f>
        <v/>
      </c>
      <c r="AC321" t="str">
        <f>""</f>
        <v/>
      </c>
      <c r="AD321" t="str">
        <f>""</f>
        <v/>
      </c>
      <c r="AE321" t="str">
        <f>""</f>
        <v/>
      </c>
      <c r="AF321" t="str">
        <f>""</f>
        <v/>
      </c>
      <c r="AG321" t="str">
        <f>""</f>
        <v/>
      </c>
      <c r="AH321" t="str">
        <f>""</f>
        <v/>
      </c>
      <c r="AI321" t="str">
        <f>""</f>
        <v/>
      </c>
      <c r="AJ321" t="str">
        <f>""</f>
        <v/>
      </c>
      <c r="AK321" t="str">
        <f>""</f>
        <v/>
      </c>
      <c r="AL321" t="str">
        <f>""</f>
        <v/>
      </c>
      <c r="AM321" t="str">
        <f>""</f>
        <v/>
      </c>
      <c r="AN321" t="str">
        <f>""</f>
        <v/>
      </c>
      <c r="AO321" t="str">
        <f>""</f>
        <v/>
      </c>
      <c r="AP321" t="str">
        <f>""</f>
        <v/>
      </c>
      <c r="AQ321" t="str">
        <f>""</f>
        <v/>
      </c>
      <c r="AR321" t="str">
        <f>""</f>
        <v/>
      </c>
      <c r="AS321" t="str">
        <f>""</f>
        <v/>
      </c>
      <c r="AT321" t="str">
        <f>""</f>
        <v/>
      </c>
      <c r="AU321" t="str">
        <f>""</f>
        <v/>
      </c>
      <c r="AV321" t="str">
        <f>""</f>
        <v/>
      </c>
      <c r="AW321" t="str">
        <f>""</f>
        <v/>
      </c>
      <c r="AX321" t="str">
        <f>""</f>
        <v/>
      </c>
      <c r="AY321" t="str">
        <f>""</f>
        <v/>
      </c>
      <c r="AZ321" t="str">
        <f>""</f>
        <v/>
      </c>
      <c r="BA321" t="str">
        <f>""</f>
        <v/>
      </c>
      <c r="BB321" t="str">
        <f>"11/07/2023 02:14:29"</f>
        <v>11/07/2023 02:14:29</v>
      </c>
      <c r="BC321" t="str">
        <f>""</f>
        <v/>
      </c>
      <c r="BD321" t="str">
        <f>""</f>
        <v/>
      </c>
      <c r="BE321" t="str">
        <f>""</f>
        <v/>
      </c>
      <c r="BF321" t="str">
        <f t="shared" si="137"/>
        <v>A</v>
      </c>
      <c r="BG321" t="str">
        <f>""</f>
        <v/>
      </c>
      <c r="BH321" t="str">
        <f>""</f>
        <v/>
      </c>
      <c r="BI321" t="str">
        <f t="shared" si="147"/>
        <v>EVENTUAL</v>
      </c>
      <c r="BJ321" t="str">
        <f t="shared" si="138"/>
        <v>1</v>
      </c>
      <c r="BK321" t="str">
        <f t="shared" si="139"/>
        <v>Farmacia</v>
      </c>
      <c r="BL321" t="str">
        <f>""</f>
        <v/>
      </c>
      <c r="BM321" t="str">
        <f>""</f>
        <v/>
      </c>
      <c r="BN321" t="str">
        <f>""</f>
        <v/>
      </c>
      <c r="BO321" t="str">
        <f>""</f>
        <v/>
      </c>
      <c r="BP321" t="str">
        <f>""</f>
        <v/>
      </c>
      <c r="BQ321" t="str">
        <f>""</f>
        <v/>
      </c>
      <c r="BR321" t="str">
        <f>"11/07/2023"</f>
        <v>11/07/2023</v>
      </c>
      <c r="BS321" t="str">
        <f>""</f>
        <v/>
      </c>
      <c r="BT321" t="str">
        <f>""</f>
        <v/>
      </c>
      <c r="BU321" t="str">
        <f>""</f>
        <v/>
      </c>
      <c r="BV321" t="str">
        <f>""</f>
        <v/>
      </c>
      <c r="BW321" t="str">
        <f>"8"</f>
        <v>8</v>
      </c>
    </row>
    <row r="322" spans="1:75" x14ac:dyDescent="0.35">
      <c r="A322">
        <v>152735</v>
      </c>
      <c r="B322" t="str">
        <f t="shared" ref="B322:B385" si="155">"A"</f>
        <v>A</v>
      </c>
      <c r="C322" t="str">
        <f t="shared" ref="C322:C385" si="156">"80"</f>
        <v>80</v>
      </c>
      <c r="D322" t="str">
        <f t="shared" ref="D322:D385" si="157">"11121001"</f>
        <v>11121001</v>
      </c>
      <c r="E322" t="str">
        <f t="shared" ref="E322:E385" si="158">"121001"</f>
        <v>121001</v>
      </c>
      <c r="F322" t="str">
        <f t="shared" ref="F322:F385" si="159">"JENIFER SANTOS"</f>
        <v>JENIFER SANTOS</v>
      </c>
      <c r="G322" t="str">
        <f>"46382823000120"</f>
        <v>46382823000120</v>
      </c>
      <c r="H322" t="str">
        <f>"0"</f>
        <v>0</v>
      </c>
      <c r="I322" t="str">
        <f t="shared" ref="I322:I385" si="160">"CONTA OPTICA"</f>
        <v>CONTA OPTICA</v>
      </c>
      <c r="J322" t="str">
        <f>"OTICA GM LTDA"</f>
        <v>OTICA GM LTDA</v>
      </c>
      <c r="K322" t="str">
        <f>"MERCADÃO DOS OCULOS 02"</f>
        <v>MERCADÃO DOS OCULOS 02</v>
      </c>
      <c r="L322" t="str">
        <f>""</f>
        <v/>
      </c>
      <c r="M322" t="str">
        <f>""</f>
        <v/>
      </c>
      <c r="N322" t="str">
        <f>"sc-chapeco02@mercadaodosoculos.com.br"</f>
        <v>sc-chapeco02@mercadaodosoculos.com.br</v>
      </c>
      <c r="O322" t="str">
        <f>""</f>
        <v/>
      </c>
      <c r="P322" t="str">
        <f>"RUA BARAO DO RIO BRANCO - E"</f>
        <v>RUA BARAO DO RIO BRANCO - E</v>
      </c>
      <c r="Q322" t="str">
        <f>"85E"</f>
        <v>85E</v>
      </c>
      <c r="R322" t="str">
        <f>"- ATE 479/480"</f>
        <v>- ATE 479/480</v>
      </c>
      <c r="S322" t="str">
        <f>"1287"</f>
        <v>1287</v>
      </c>
      <c r="T322" t="str">
        <f>"89802100"</f>
        <v>89802100</v>
      </c>
      <c r="U322" t="str">
        <f t="shared" si="153"/>
        <v>CENTRO</v>
      </c>
      <c r="V322" t="str">
        <f>"CHAPECO"</f>
        <v>CHAPECO</v>
      </c>
      <c r="W322" t="str">
        <f t="shared" si="154"/>
        <v>SC</v>
      </c>
      <c r="X322" t="str">
        <f>"49"</f>
        <v>49</v>
      </c>
      <c r="Y322" t="str">
        <f>"999916261"</f>
        <v>999916261</v>
      </c>
      <c r="Z322" t="str">
        <f>""</f>
        <v/>
      </c>
      <c r="AA322" t="str">
        <f>""</f>
        <v/>
      </c>
      <c r="AB322" t="str">
        <f>""</f>
        <v/>
      </c>
      <c r="AC322" t="str">
        <f>""</f>
        <v/>
      </c>
      <c r="AD322" t="str">
        <f>""</f>
        <v/>
      </c>
      <c r="AE322" t="str">
        <f>""</f>
        <v/>
      </c>
      <c r="AF322" t="str">
        <f>""</f>
        <v/>
      </c>
      <c r="AG322" t="str">
        <f>""</f>
        <v/>
      </c>
      <c r="AH322" t="str">
        <f>""</f>
        <v/>
      </c>
      <c r="AI322" t="str">
        <f>""</f>
        <v/>
      </c>
      <c r="AJ322" t="str">
        <f>""</f>
        <v/>
      </c>
      <c r="AK322" t="str">
        <f>""</f>
        <v/>
      </c>
      <c r="AL322" t="str">
        <f>""</f>
        <v/>
      </c>
      <c r="AM322" t="str">
        <f>""</f>
        <v/>
      </c>
      <c r="AN322" t="str">
        <f>""</f>
        <v/>
      </c>
      <c r="AO322" t="str">
        <f>""</f>
        <v/>
      </c>
      <c r="AP322" t="str">
        <f>""</f>
        <v/>
      </c>
      <c r="AQ322" t="str">
        <f>""</f>
        <v/>
      </c>
      <c r="AR322" t="str">
        <f>""</f>
        <v/>
      </c>
      <c r="AS322" t="str">
        <f>""</f>
        <v/>
      </c>
      <c r="AT322" t="str">
        <f>""</f>
        <v/>
      </c>
      <c r="AU322" t="str">
        <f>""</f>
        <v/>
      </c>
      <c r="AV322" t="str">
        <f>""</f>
        <v/>
      </c>
      <c r="AW322" t="str">
        <f>""</f>
        <v/>
      </c>
      <c r="AX322" t="str">
        <f>""</f>
        <v/>
      </c>
      <c r="AY322" t="str">
        <f>""</f>
        <v/>
      </c>
      <c r="AZ322" t="str">
        <f>""</f>
        <v/>
      </c>
      <c r="BA322" t="str">
        <f>""</f>
        <v/>
      </c>
      <c r="BB322" t="str">
        <f>"03/04/2023 13:34:29"</f>
        <v>03/04/2023 13:34:29</v>
      </c>
      <c r="BC322" t="str">
        <f>""</f>
        <v/>
      </c>
      <c r="BD322" t="str">
        <f>""</f>
        <v/>
      </c>
      <c r="BE322" t="str">
        <f>""</f>
        <v/>
      </c>
      <c r="BF322" t="str">
        <f t="shared" ref="BF322:BF385" si="161">"A"</f>
        <v>A</v>
      </c>
      <c r="BG322" t="str">
        <f>""</f>
        <v/>
      </c>
      <c r="BH322" t="str">
        <f>""</f>
        <v/>
      </c>
      <c r="BI322" t="str">
        <f t="shared" si="147"/>
        <v>EVENTUAL</v>
      </c>
      <c r="BJ322" t="str">
        <f t="shared" ref="BJ322:BJ385" si="162">"1"</f>
        <v>1</v>
      </c>
      <c r="BK322" t="str">
        <f t="shared" ref="BK322:BK385" si="163">"Farmacia"</f>
        <v>Farmacia</v>
      </c>
      <c r="BL322" t="str">
        <f>""</f>
        <v/>
      </c>
      <c r="BM322" t="str">
        <f>""</f>
        <v/>
      </c>
      <c r="BN322" t="str">
        <f>""</f>
        <v/>
      </c>
      <c r="BO322" t="str">
        <f>""</f>
        <v/>
      </c>
      <c r="BP322" t="str">
        <f>""</f>
        <v/>
      </c>
      <c r="BQ322" t="str">
        <f>""</f>
        <v/>
      </c>
      <c r="BR322" t="str">
        <f>"03/04/2023"</f>
        <v>03/04/2023</v>
      </c>
      <c r="BS322" t="str">
        <f>""</f>
        <v/>
      </c>
      <c r="BT322" t="str">
        <f>""</f>
        <v/>
      </c>
      <c r="BU322" t="str">
        <f>""</f>
        <v/>
      </c>
      <c r="BV322" t="str">
        <f>""</f>
        <v/>
      </c>
      <c r="BW322" t="str">
        <f>"Não visitado"</f>
        <v>Não visitado</v>
      </c>
    </row>
    <row r="323" spans="1:75" x14ac:dyDescent="0.35">
      <c r="A323">
        <v>144580</v>
      </c>
      <c r="B323" t="str">
        <f t="shared" si="155"/>
        <v>A</v>
      </c>
      <c r="C323" t="str">
        <f t="shared" si="156"/>
        <v>80</v>
      </c>
      <c r="D323" t="str">
        <f t="shared" si="157"/>
        <v>11121001</v>
      </c>
      <c r="E323" t="str">
        <f t="shared" si="158"/>
        <v>121001</v>
      </c>
      <c r="F323" t="str">
        <f t="shared" si="159"/>
        <v>JENIFER SANTOS</v>
      </c>
      <c r="G323" t="str">
        <f>"18388252000103"</f>
        <v>18388252000103</v>
      </c>
      <c r="H323" t="str">
        <f>""</f>
        <v/>
      </c>
      <c r="I323" t="str">
        <f t="shared" si="160"/>
        <v>CONTA OPTICA</v>
      </c>
      <c r="J323" t="str">
        <f>"OTICA GUARAMIRIM LTDA - ME"</f>
        <v>OTICA GUARAMIRIM LTDA - ME</v>
      </c>
      <c r="K323" t="str">
        <f>"OTICA GUARAMIRIM (2057)"</f>
        <v>OTICA GUARAMIRIM (2057)</v>
      </c>
      <c r="L323" t="str">
        <f>""</f>
        <v/>
      </c>
      <c r="M323" t="str">
        <f>""</f>
        <v/>
      </c>
      <c r="N323" t="str">
        <f>"oticaguaramirim@hotmail.com"</f>
        <v>oticaguaramirim@hotmail.com</v>
      </c>
      <c r="O323" t="str">
        <f>""</f>
        <v/>
      </c>
      <c r="P323" t="str">
        <f>"RUA GERONIMO CORREIA"</f>
        <v>RUA GERONIMO CORREIA</v>
      </c>
      <c r="Q323" t="str">
        <f>"147"</f>
        <v>147</v>
      </c>
      <c r="R323" t="str">
        <f>"SALA 001"</f>
        <v>SALA 001</v>
      </c>
      <c r="S323" t="str">
        <f>"1280"</f>
        <v>1280</v>
      </c>
      <c r="T323" t="str">
        <f>"89270000"</f>
        <v>89270000</v>
      </c>
      <c r="U323" t="str">
        <f t="shared" si="153"/>
        <v>CENTRO</v>
      </c>
      <c r="V323" t="str">
        <f>"GUARAMIRIM"</f>
        <v>GUARAMIRIM</v>
      </c>
      <c r="W323" t="str">
        <f t="shared" si="154"/>
        <v>SC</v>
      </c>
      <c r="X323" t="str">
        <f>"47"</f>
        <v>47</v>
      </c>
      <c r="Y323" t="str">
        <f>"33733133"</f>
        <v>33733133</v>
      </c>
      <c r="Z323" t="str">
        <f>""</f>
        <v/>
      </c>
      <c r="AA323" t="str">
        <f>""</f>
        <v/>
      </c>
      <c r="AB323" t="str">
        <f>""</f>
        <v/>
      </c>
      <c r="AC323" t="str">
        <f>""</f>
        <v/>
      </c>
      <c r="AD323" t="str">
        <f>""</f>
        <v/>
      </c>
      <c r="AE323" t="str">
        <f>""</f>
        <v/>
      </c>
      <c r="AF323" t="str">
        <f>""</f>
        <v/>
      </c>
      <c r="AG323" t="str">
        <f>""</f>
        <v/>
      </c>
      <c r="AH323" t="str">
        <f>""</f>
        <v/>
      </c>
      <c r="AI323" t="str">
        <f>""</f>
        <v/>
      </c>
      <c r="AJ323" t="str">
        <f>""</f>
        <v/>
      </c>
      <c r="AK323" t="str">
        <f>""</f>
        <v/>
      </c>
      <c r="AL323" t="str">
        <f>""</f>
        <v/>
      </c>
      <c r="AM323" t="str">
        <f>""</f>
        <v/>
      </c>
      <c r="AN323" t="str">
        <f>""</f>
        <v/>
      </c>
      <c r="AO323" t="str">
        <f>""</f>
        <v/>
      </c>
      <c r="AP323" t="str">
        <f>""</f>
        <v/>
      </c>
      <c r="AQ323" t="str">
        <f>""</f>
        <v/>
      </c>
      <c r="AR323" t="str">
        <f>""</f>
        <v/>
      </c>
      <c r="AS323" t="str">
        <f>""</f>
        <v/>
      </c>
      <c r="AT323" t="str">
        <f>""</f>
        <v/>
      </c>
      <c r="AU323" t="str">
        <f>""</f>
        <v/>
      </c>
      <c r="AV323" t="str">
        <f>""</f>
        <v/>
      </c>
      <c r="AW323" t="str">
        <f>""</f>
        <v/>
      </c>
      <c r="AX323" t="str">
        <f>""</f>
        <v/>
      </c>
      <c r="AY323" t="str">
        <f>""</f>
        <v/>
      </c>
      <c r="AZ323" t="str">
        <f>""</f>
        <v/>
      </c>
      <c r="BA323" t="str">
        <f>""</f>
        <v/>
      </c>
      <c r="BB323" t="str">
        <f>""</f>
        <v/>
      </c>
      <c r="BC323" t="str">
        <f>""</f>
        <v/>
      </c>
      <c r="BD323" t="str">
        <f>""</f>
        <v/>
      </c>
      <c r="BE323" t="str">
        <f>""</f>
        <v/>
      </c>
      <c r="BF323" t="str">
        <f t="shared" si="161"/>
        <v>A</v>
      </c>
      <c r="BG323" t="str">
        <f>""</f>
        <v/>
      </c>
      <c r="BH323" t="str">
        <f>""</f>
        <v/>
      </c>
      <c r="BI323" t="str">
        <f t="shared" si="147"/>
        <v>EVENTUAL</v>
      </c>
      <c r="BJ323" t="str">
        <f t="shared" si="162"/>
        <v>1</v>
      </c>
      <c r="BK323" t="str">
        <f t="shared" si="163"/>
        <v>Farmacia</v>
      </c>
      <c r="BL323" t="str">
        <f>""</f>
        <v/>
      </c>
      <c r="BM323" t="str">
        <f>"NÃO É VARILUX ESPECIALISTA"</f>
        <v>NÃO É VARILUX ESPECIALISTA</v>
      </c>
      <c r="BN323" t="str">
        <f>"NA"</f>
        <v>NA</v>
      </c>
      <c r="BO323" t="str">
        <f>"OUTROS"</f>
        <v>OUTROS</v>
      </c>
      <c r="BP323" t="str">
        <f>""</f>
        <v/>
      </c>
      <c r="BQ323" t="str">
        <f>""</f>
        <v/>
      </c>
      <c r="BR323" t="str">
        <f>""</f>
        <v/>
      </c>
      <c r="BS323" t="str">
        <f>""</f>
        <v/>
      </c>
      <c r="BT323" t="str">
        <f>""</f>
        <v/>
      </c>
      <c r="BU323" t="str">
        <f>""</f>
        <v/>
      </c>
      <c r="BV323" t="str">
        <f>"8"</f>
        <v>8</v>
      </c>
      <c r="BW323" t="str">
        <f>"288"</f>
        <v>288</v>
      </c>
    </row>
    <row r="324" spans="1:75" x14ac:dyDescent="0.35">
      <c r="A324">
        <v>156812</v>
      </c>
      <c r="B324" t="str">
        <f t="shared" si="155"/>
        <v>A</v>
      </c>
      <c r="C324" t="str">
        <f t="shared" si="156"/>
        <v>80</v>
      </c>
      <c r="D324" t="str">
        <f t="shared" si="157"/>
        <v>11121001</v>
      </c>
      <c r="E324" t="str">
        <f t="shared" si="158"/>
        <v>121001</v>
      </c>
      <c r="F324" t="str">
        <f t="shared" si="159"/>
        <v>JENIFER SANTOS</v>
      </c>
      <c r="G324" t="str">
        <f>"79195996000198"</f>
        <v>79195996000198</v>
      </c>
      <c r="H324" t="str">
        <f>"0"</f>
        <v>0</v>
      </c>
      <c r="I324" t="str">
        <f t="shared" si="160"/>
        <v>CONTA OPTICA</v>
      </c>
      <c r="J324" t="str">
        <f>"OTICA HENNING LTDA"</f>
        <v>OTICA HENNING LTDA</v>
      </c>
      <c r="K324" t="str">
        <f>"OTICA HENNING LTDA (310)"</f>
        <v>OTICA HENNING LTDA (310)</v>
      </c>
      <c r="L324" t="str">
        <f>""</f>
        <v/>
      </c>
      <c r="M324" t="str">
        <f>""</f>
        <v/>
      </c>
      <c r="N324" t="str">
        <f>"JR.HENNING71@GMAIL.COM"</f>
        <v>JR.HENNING71@GMAIL.COM</v>
      </c>
      <c r="O324" t="str">
        <f>""</f>
        <v/>
      </c>
      <c r="P324" t="str">
        <f>"RUA BARAO DO RIO BRANCO"</f>
        <v>RUA BARAO DO RIO BRANCO</v>
      </c>
      <c r="Q324" t="str">
        <f>"528"</f>
        <v>528</v>
      </c>
      <c r="R324" t="str">
        <f>"SALA 01"</f>
        <v>SALA 01</v>
      </c>
      <c r="S324" t="str">
        <f>"1280"</f>
        <v>1280</v>
      </c>
      <c r="T324" t="str">
        <f>"89240000"</f>
        <v>89240000</v>
      </c>
      <c r="U324" t="str">
        <f t="shared" si="153"/>
        <v>CENTRO</v>
      </c>
      <c r="V324" t="str">
        <f>"SAO FRANCISCO DO SUL"</f>
        <v>SAO FRANCISCO DO SUL</v>
      </c>
      <c r="W324" t="str">
        <f t="shared" si="154"/>
        <v>SC</v>
      </c>
      <c r="X324" t="str">
        <f>"47"</f>
        <v>47</v>
      </c>
      <c r="Y324" t="str">
        <f>"34441699"</f>
        <v>34441699</v>
      </c>
      <c r="Z324" t="str">
        <f>""</f>
        <v/>
      </c>
      <c r="AA324" t="str">
        <f>""</f>
        <v/>
      </c>
      <c r="AB324" t="str">
        <f>""</f>
        <v/>
      </c>
      <c r="AC324" t="str">
        <f>""</f>
        <v/>
      </c>
      <c r="AD324" t="str">
        <f>""</f>
        <v/>
      </c>
      <c r="AE324" t="str">
        <f>""</f>
        <v/>
      </c>
      <c r="AF324" t="str">
        <f>""</f>
        <v/>
      </c>
      <c r="AG324" t="str">
        <f>""</f>
        <v/>
      </c>
      <c r="AH324" t="str">
        <f>""</f>
        <v/>
      </c>
      <c r="AI324" t="str">
        <f>""</f>
        <v/>
      </c>
      <c r="AJ324" t="str">
        <f>""</f>
        <v/>
      </c>
      <c r="AK324" t="str">
        <f>""</f>
        <v/>
      </c>
      <c r="AL324" t="str">
        <f>""</f>
        <v/>
      </c>
      <c r="AM324" t="str">
        <f>""</f>
        <v/>
      </c>
      <c r="AN324" t="str">
        <f>""</f>
        <v/>
      </c>
      <c r="AO324" t="str">
        <f>""</f>
        <v/>
      </c>
      <c r="AP324" t="str">
        <f>""</f>
        <v/>
      </c>
      <c r="AQ324" t="str">
        <f>""</f>
        <v/>
      </c>
      <c r="AR324" t="str">
        <f>""</f>
        <v/>
      </c>
      <c r="AS324" t="str">
        <f>""</f>
        <v/>
      </c>
      <c r="AT324" t="str">
        <f>""</f>
        <v/>
      </c>
      <c r="AU324" t="str">
        <f>""</f>
        <v/>
      </c>
      <c r="AV324" t="str">
        <f>""</f>
        <v/>
      </c>
      <c r="AW324" t="str">
        <f>""</f>
        <v/>
      </c>
      <c r="AX324" t="str">
        <f>""</f>
        <v/>
      </c>
      <c r="AY324" t="str">
        <f>""</f>
        <v/>
      </c>
      <c r="AZ324" t="str">
        <f>""</f>
        <v/>
      </c>
      <c r="BA324" t="str">
        <f>""</f>
        <v/>
      </c>
      <c r="BB324" t="str">
        <f>"06/07/2023 12:07:48"</f>
        <v>06/07/2023 12:07:48</v>
      </c>
      <c r="BC324" t="str">
        <f>""</f>
        <v/>
      </c>
      <c r="BD324" t="str">
        <f>""</f>
        <v/>
      </c>
      <c r="BE324" t="str">
        <f>""</f>
        <v/>
      </c>
      <c r="BF324" t="str">
        <f t="shared" si="161"/>
        <v>A</v>
      </c>
      <c r="BG324" t="str">
        <f>""</f>
        <v/>
      </c>
      <c r="BH324" t="str">
        <f>""</f>
        <v/>
      </c>
      <c r="BI324" t="str">
        <f t="shared" si="147"/>
        <v>EVENTUAL</v>
      </c>
      <c r="BJ324" t="str">
        <f t="shared" si="162"/>
        <v>1</v>
      </c>
      <c r="BK324" t="str">
        <f t="shared" si="163"/>
        <v>Farmacia</v>
      </c>
      <c r="BL324" t="str">
        <f>""</f>
        <v/>
      </c>
      <c r="BM324" t="str">
        <f>""</f>
        <v/>
      </c>
      <c r="BN324" t="str">
        <f>""</f>
        <v/>
      </c>
      <c r="BO324" t="str">
        <f>""</f>
        <v/>
      </c>
      <c r="BP324" t="str">
        <f>""</f>
        <v/>
      </c>
      <c r="BQ324" t="str">
        <f>""</f>
        <v/>
      </c>
      <c r="BR324" t="str">
        <f>"06/07/2023"</f>
        <v>06/07/2023</v>
      </c>
      <c r="BS324" t="str">
        <f>""</f>
        <v/>
      </c>
      <c r="BT324" t="str">
        <f>""</f>
        <v/>
      </c>
      <c r="BU324" t="str">
        <f>""</f>
        <v/>
      </c>
      <c r="BV324" t="str">
        <f>""</f>
        <v/>
      </c>
      <c r="BW324" t="str">
        <f>"Não visitado"</f>
        <v>Não visitado</v>
      </c>
    </row>
    <row r="325" spans="1:75" x14ac:dyDescent="0.35">
      <c r="A325">
        <v>144746</v>
      </c>
      <c r="B325" t="str">
        <f t="shared" si="155"/>
        <v>A</v>
      </c>
      <c r="C325" t="str">
        <f t="shared" si="156"/>
        <v>80</v>
      </c>
      <c r="D325" t="str">
        <f t="shared" si="157"/>
        <v>11121001</v>
      </c>
      <c r="E325" t="str">
        <f t="shared" si="158"/>
        <v>121001</v>
      </c>
      <c r="F325" t="str">
        <f t="shared" si="159"/>
        <v>JENIFER SANTOS</v>
      </c>
      <c r="G325" t="str">
        <f>"85282515000346"</f>
        <v>85282515000346</v>
      </c>
      <c r="H325" t="str">
        <f>""</f>
        <v/>
      </c>
      <c r="I325" t="str">
        <f t="shared" si="160"/>
        <v>CONTA OPTICA</v>
      </c>
      <c r="J325" t="str">
        <f>"OTICA HERTEL LTDA"</f>
        <v>OTICA HERTEL LTDA</v>
      </c>
      <c r="K325" t="str">
        <f>"OTICA HERTEL LTDA (1762)"</f>
        <v>OTICA HERTEL LTDA (1762)</v>
      </c>
      <c r="L325" t="str">
        <f>""</f>
        <v/>
      </c>
      <c r="M325" t="str">
        <f>""</f>
        <v/>
      </c>
      <c r="N325" t="str">
        <f>"contatooticahertel@outlook.com"</f>
        <v>contatooticahertel@outlook.com</v>
      </c>
      <c r="O325" t="str">
        <f>""</f>
        <v/>
      </c>
      <c r="P325" t="str">
        <f>"RUA MARECHAL DEODORO DA FONSECA"</f>
        <v>RUA MARECHAL DEODORO DA FONSECA</v>
      </c>
      <c r="Q325" t="str">
        <f>"739"</f>
        <v>739</v>
      </c>
      <c r="R325" t="str">
        <f>"SALA 6"</f>
        <v>SALA 6</v>
      </c>
      <c r="S325" t="str">
        <f>"1280"</f>
        <v>1280</v>
      </c>
      <c r="T325" t="str">
        <f>"89251701"</f>
        <v>89251701</v>
      </c>
      <c r="U325" t="str">
        <f t="shared" si="153"/>
        <v>CENTRO</v>
      </c>
      <c r="V325" t="str">
        <f>"JARAGUA DO SUL"</f>
        <v>JARAGUA DO SUL</v>
      </c>
      <c r="W325" t="str">
        <f t="shared" si="154"/>
        <v>SC</v>
      </c>
      <c r="X325" t="str">
        <f>"47"</f>
        <v>47</v>
      </c>
      <c r="Y325" t="str">
        <f>"32751889"</f>
        <v>32751889</v>
      </c>
      <c r="Z325" t="str">
        <f>""</f>
        <v/>
      </c>
      <c r="AA325" t="str">
        <f>""</f>
        <v/>
      </c>
      <c r="AB325" t="str">
        <f>""</f>
        <v/>
      </c>
      <c r="AC325" t="str">
        <f>""</f>
        <v/>
      </c>
      <c r="AD325" t="str">
        <f>""</f>
        <v/>
      </c>
      <c r="AE325" t="str">
        <f>""</f>
        <v/>
      </c>
      <c r="AF325" t="str">
        <f>""</f>
        <v/>
      </c>
      <c r="AG325" t="str">
        <f>""</f>
        <v/>
      </c>
      <c r="AH325" t="str">
        <f>""</f>
        <v/>
      </c>
      <c r="AI325" t="str">
        <f>""</f>
        <v/>
      </c>
      <c r="AJ325" t="str">
        <f>""</f>
        <v/>
      </c>
      <c r="AK325" t="str">
        <f>""</f>
        <v/>
      </c>
      <c r="AL325" t="str">
        <f>""</f>
        <v/>
      </c>
      <c r="AM325" t="str">
        <f>""</f>
        <v/>
      </c>
      <c r="AN325" t="str">
        <f>""</f>
        <v/>
      </c>
      <c r="AO325" t="str">
        <f>""</f>
        <v/>
      </c>
      <c r="AP325" t="str">
        <f>""</f>
        <v/>
      </c>
      <c r="AQ325" t="str">
        <f>""</f>
        <v/>
      </c>
      <c r="AR325" t="str">
        <f>""</f>
        <v/>
      </c>
      <c r="AS325" t="str">
        <f>""</f>
        <v/>
      </c>
      <c r="AT325" t="str">
        <f>""</f>
        <v/>
      </c>
      <c r="AU325" t="str">
        <f>""</f>
        <v/>
      </c>
      <c r="AV325" t="str">
        <f>""</f>
        <v/>
      </c>
      <c r="AW325" t="str">
        <f>""</f>
        <v/>
      </c>
      <c r="AX325" t="str">
        <f>""</f>
        <v/>
      </c>
      <c r="AY325" t="str">
        <f>""</f>
        <v/>
      </c>
      <c r="AZ325" t="str">
        <f>""</f>
        <v/>
      </c>
      <c r="BA325" t="str">
        <f>""</f>
        <v/>
      </c>
      <c r="BB325" t="str">
        <f>""</f>
        <v/>
      </c>
      <c r="BC325" t="str">
        <f>""</f>
        <v/>
      </c>
      <c r="BD325" t="str">
        <f>""</f>
        <v/>
      </c>
      <c r="BE325" t="str">
        <f>""</f>
        <v/>
      </c>
      <c r="BF325" t="str">
        <f t="shared" si="161"/>
        <v>A</v>
      </c>
      <c r="BG325" t="str">
        <f>""</f>
        <v/>
      </c>
      <c r="BH325" t="str">
        <f>""</f>
        <v/>
      </c>
      <c r="BI325" t="str">
        <f t="shared" si="147"/>
        <v>EVENTUAL</v>
      </c>
      <c r="BJ325" t="str">
        <f t="shared" si="162"/>
        <v>1</v>
      </c>
      <c r="BK325" t="str">
        <f t="shared" si="163"/>
        <v>Farmacia</v>
      </c>
      <c r="BL325" t="str">
        <f>""</f>
        <v/>
      </c>
      <c r="BM325" t="str">
        <f>"NÃO É VARILUX ESPECIALISTA"</f>
        <v>NÃO É VARILUX ESPECIALISTA</v>
      </c>
      <c r="BN325" t="str">
        <f>"NA"</f>
        <v>NA</v>
      </c>
      <c r="BO325" t="str">
        <f>"FOCO VARILUX DIGITAL"</f>
        <v>FOCO VARILUX DIGITAL</v>
      </c>
      <c r="BP325" t="str">
        <f>""</f>
        <v/>
      </c>
      <c r="BQ325" t="str">
        <f>""</f>
        <v/>
      </c>
      <c r="BR325" t="str">
        <f>""</f>
        <v/>
      </c>
      <c r="BS325" t="str">
        <f>""</f>
        <v/>
      </c>
      <c r="BT325" t="str">
        <f>""</f>
        <v/>
      </c>
      <c r="BU325" t="str">
        <f>""</f>
        <v/>
      </c>
      <c r="BV325" t="str">
        <f>"5"</f>
        <v>5</v>
      </c>
      <c r="BW325" t="str">
        <f>"1"</f>
        <v>1</v>
      </c>
    </row>
    <row r="326" spans="1:75" x14ac:dyDescent="0.35">
      <c r="A326">
        <v>144493</v>
      </c>
      <c r="B326" t="str">
        <f t="shared" si="155"/>
        <v>A</v>
      </c>
      <c r="C326" t="str">
        <f t="shared" si="156"/>
        <v>80</v>
      </c>
      <c r="D326" t="str">
        <f t="shared" si="157"/>
        <v>11121001</v>
      </c>
      <c r="E326" t="str">
        <f t="shared" si="158"/>
        <v>121001</v>
      </c>
      <c r="F326" t="str">
        <f t="shared" si="159"/>
        <v>JENIFER SANTOS</v>
      </c>
      <c r="G326" t="str">
        <f>"85282515000184"</f>
        <v>85282515000184</v>
      </c>
      <c r="H326" t="str">
        <f>""</f>
        <v/>
      </c>
      <c r="I326" t="str">
        <f t="shared" si="160"/>
        <v>CONTA OPTICA</v>
      </c>
      <c r="J326" t="str">
        <f>"OTICA HERTEL LTDA"</f>
        <v>OTICA HERTEL LTDA</v>
      </c>
      <c r="K326" t="str">
        <f>"OTICA HERTEL LTDA (311)"</f>
        <v>OTICA HERTEL LTDA (311)</v>
      </c>
      <c r="L326" t="str">
        <f>""</f>
        <v/>
      </c>
      <c r="M326" t="str">
        <f>""</f>
        <v/>
      </c>
      <c r="N326" t="str">
        <f>"oticamomm@oticamomm.com.br"</f>
        <v>oticamomm@oticamomm.com.br</v>
      </c>
      <c r="O326" t="str">
        <f>""</f>
        <v/>
      </c>
      <c r="P326" t="str">
        <f>"RUA GETULIO VARGAS"</f>
        <v>RUA GETULIO VARGAS</v>
      </c>
      <c r="Q326" t="str">
        <f>"15"</f>
        <v>15</v>
      </c>
      <c r="R326" t="str">
        <f>""</f>
        <v/>
      </c>
      <c r="S326" t="str">
        <f>"1280"</f>
        <v>1280</v>
      </c>
      <c r="T326" t="str">
        <f>"89251000"</f>
        <v>89251000</v>
      </c>
      <c r="U326" t="str">
        <f t="shared" si="153"/>
        <v>CENTRO</v>
      </c>
      <c r="V326" t="str">
        <f>"JARAGUA DO SUL"</f>
        <v>JARAGUA DO SUL</v>
      </c>
      <c r="W326" t="str">
        <f t="shared" si="154"/>
        <v>SC</v>
      </c>
      <c r="X326" t="str">
        <f>"47"</f>
        <v>47</v>
      </c>
      <c r="Y326" t="str">
        <f>"32751889"</f>
        <v>32751889</v>
      </c>
      <c r="Z326" t="str">
        <f>""</f>
        <v/>
      </c>
      <c r="AA326" t="str">
        <f>""</f>
        <v/>
      </c>
      <c r="AB326" t="str">
        <f>""</f>
        <v/>
      </c>
      <c r="AC326" t="str">
        <f>""</f>
        <v/>
      </c>
      <c r="AD326" t="str">
        <f>""</f>
        <v/>
      </c>
      <c r="AE326" t="str">
        <f>""</f>
        <v/>
      </c>
      <c r="AF326" t="str">
        <f>""</f>
        <v/>
      </c>
      <c r="AG326" t="str">
        <f>""</f>
        <v/>
      </c>
      <c r="AH326" t="str">
        <f>""</f>
        <v/>
      </c>
      <c r="AI326" t="str">
        <f>""</f>
        <v/>
      </c>
      <c r="AJ326" t="str">
        <f>""</f>
        <v/>
      </c>
      <c r="AK326" t="str">
        <f>""</f>
        <v/>
      </c>
      <c r="AL326" t="str">
        <f>""</f>
        <v/>
      </c>
      <c r="AM326" t="str">
        <f>""</f>
        <v/>
      </c>
      <c r="AN326" t="str">
        <f>""</f>
        <v/>
      </c>
      <c r="AO326" t="str">
        <f>""</f>
        <v/>
      </c>
      <c r="AP326" t="str">
        <f>""</f>
        <v/>
      </c>
      <c r="AQ326" t="str">
        <f>""</f>
        <v/>
      </c>
      <c r="AR326" t="str">
        <f>""</f>
        <v/>
      </c>
      <c r="AS326" t="str">
        <f>""</f>
        <v/>
      </c>
      <c r="AT326" t="str">
        <f>""</f>
        <v/>
      </c>
      <c r="AU326" t="str">
        <f>""</f>
        <v/>
      </c>
      <c r="AV326" t="str">
        <f>""</f>
        <v/>
      </c>
      <c r="AW326" t="str">
        <f>""</f>
        <v/>
      </c>
      <c r="AX326" t="str">
        <f>""</f>
        <v/>
      </c>
      <c r="AY326" t="str">
        <f>""</f>
        <v/>
      </c>
      <c r="AZ326" t="str">
        <f>""</f>
        <v/>
      </c>
      <c r="BA326" t="str">
        <f>""</f>
        <v/>
      </c>
      <c r="BB326" t="str">
        <f>""</f>
        <v/>
      </c>
      <c r="BC326" t="str">
        <f>""</f>
        <v/>
      </c>
      <c r="BD326" t="str">
        <f>""</f>
        <v/>
      </c>
      <c r="BE326" t="str">
        <f>""</f>
        <v/>
      </c>
      <c r="BF326" t="str">
        <f t="shared" si="161"/>
        <v>A</v>
      </c>
      <c r="BG326" t="str">
        <f>""</f>
        <v/>
      </c>
      <c r="BH326" t="str">
        <f>""</f>
        <v/>
      </c>
      <c r="BI326" t="str">
        <f t="shared" si="147"/>
        <v>EVENTUAL</v>
      </c>
      <c r="BJ326" t="str">
        <f t="shared" si="162"/>
        <v>1</v>
      </c>
      <c r="BK326" t="str">
        <f t="shared" si="163"/>
        <v>Farmacia</v>
      </c>
      <c r="BL326" t="str">
        <f>""</f>
        <v/>
      </c>
      <c r="BM326" t="str">
        <f>"VARILUX ESPECIALISTA SELECT"</f>
        <v>VARILUX ESPECIALISTA SELECT</v>
      </c>
      <c r="BN326" t="str">
        <f>"NA"</f>
        <v>NA</v>
      </c>
      <c r="BO326" t="str">
        <f>"FOCO VARILUX DIGITAL"</f>
        <v>FOCO VARILUX DIGITAL</v>
      </c>
      <c r="BP326" t="str">
        <f>""</f>
        <v/>
      </c>
      <c r="BQ326" t="str">
        <f>""</f>
        <v/>
      </c>
      <c r="BR326" t="str">
        <f>""</f>
        <v/>
      </c>
      <c r="BS326" t="str">
        <f>""</f>
        <v/>
      </c>
      <c r="BT326" t="str">
        <f>""</f>
        <v/>
      </c>
      <c r="BU326" t="str">
        <f>""</f>
        <v/>
      </c>
      <c r="BV326" t="str">
        <f>"3"</f>
        <v>3</v>
      </c>
      <c r="BW326" t="str">
        <f>"1"</f>
        <v>1</v>
      </c>
    </row>
    <row r="327" spans="1:75" x14ac:dyDescent="0.35">
      <c r="A327">
        <v>156811</v>
      </c>
      <c r="B327" t="str">
        <f t="shared" si="155"/>
        <v>A</v>
      </c>
      <c r="C327" t="str">
        <f t="shared" si="156"/>
        <v>80</v>
      </c>
      <c r="D327" t="str">
        <f t="shared" si="157"/>
        <v>11121001</v>
      </c>
      <c r="E327" t="str">
        <f t="shared" si="158"/>
        <v>121001</v>
      </c>
      <c r="F327" t="str">
        <f t="shared" si="159"/>
        <v>JENIFER SANTOS</v>
      </c>
      <c r="G327" t="str">
        <f>"75871467000106"</f>
        <v>75871467000106</v>
      </c>
      <c r="H327" t="str">
        <f>"0"</f>
        <v>0</v>
      </c>
      <c r="I327" t="str">
        <f t="shared" si="160"/>
        <v>CONTA OPTICA</v>
      </c>
      <c r="J327" t="str">
        <f>"OTICA IGUAÇU LTDA"</f>
        <v>OTICA IGUAÇU LTDA</v>
      </c>
      <c r="K327" t="str">
        <f>"IGUAÇU - PORTO UNIAO (315)"</f>
        <v>IGUAÇU - PORTO UNIAO (315)</v>
      </c>
      <c r="L327" t="str">
        <f>""</f>
        <v/>
      </c>
      <c r="M327" t="str">
        <f>""</f>
        <v/>
      </c>
      <c r="N327" t="str">
        <f>"oticaiguacu@oticaiguacu.com.br"</f>
        <v>oticaiguacu@oticaiguacu.com.br</v>
      </c>
      <c r="O327" t="str">
        <f>""</f>
        <v/>
      </c>
      <c r="P327" t="str">
        <f>"HERCILIO LUZ"</f>
        <v>HERCILIO LUZ</v>
      </c>
      <c r="Q327" t="str">
        <f>"67"</f>
        <v>67</v>
      </c>
      <c r="R327" t="str">
        <f>""</f>
        <v/>
      </c>
      <c r="S327" t="str">
        <f>"1282"</f>
        <v>1282</v>
      </c>
      <c r="T327" t="str">
        <f>"89400000"</f>
        <v>89400000</v>
      </c>
      <c r="U327" t="str">
        <f t="shared" si="153"/>
        <v>CENTRO</v>
      </c>
      <c r="V327" t="str">
        <f>"PORTO UNIAO"</f>
        <v>PORTO UNIAO</v>
      </c>
      <c r="W327" t="str">
        <f t="shared" si="154"/>
        <v>SC</v>
      </c>
      <c r="X327" t="str">
        <f>"42"</f>
        <v>42</v>
      </c>
      <c r="Y327" t="str">
        <f>"35221996"</f>
        <v>35221996</v>
      </c>
      <c r="Z327" t="str">
        <f>""</f>
        <v/>
      </c>
      <c r="AA327" t="str">
        <f>""</f>
        <v/>
      </c>
      <c r="AB327" t="str">
        <f>""</f>
        <v/>
      </c>
      <c r="AC327" t="str">
        <f>""</f>
        <v/>
      </c>
      <c r="AD327" t="str">
        <f>""</f>
        <v/>
      </c>
      <c r="AE327" t="str">
        <f>""</f>
        <v/>
      </c>
      <c r="AF327" t="str">
        <f>""</f>
        <v/>
      </c>
      <c r="AG327" t="str">
        <f>""</f>
        <v/>
      </c>
      <c r="AH327" t="str">
        <f>""</f>
        <v/>
      </c>
      <c r="AI327" t="str">
        <f>""</f>
        <v/>
      </c>
      <c r="AJ327" t="str">
        <f>""</f>
        <v/>
      </c>
      <c r="AK327" t="str">
        <f>""</f>
        <v/>
      </c>
      <c r="AL327" t="str">
        <f>""</f>
        <v/>
      </c>
      <c r="AM327" t="str">
        <f>""</f>
        <v/>
      </c>
      <c r="AN327" t="str">
        <f>""</f>
        <v/>
      </c>
      <c r="AO327" t="str">
        <f>""</f>
        <v/>
      </c>
      <c r="AP327" t="str">
        <f>""</f>
        <v/>
      </c>
      <c r="AQ327" t="str">
        <f>""</f>
        <v/>
      </c>
      <c r="AR327" t="str">
        <f>""</f>
        <v/>
      </c>
      <c r="AS327" t="str">
        <f>""</f>
        <v/>
      </c>
      <c r="AT327" t="str">
        <f>""</f>
        <v/>
      </c>
      <c r="AU327" t="str">
        <f>""</f>
        <v/>
      </c>
      <c r="AV327" t="str">
        <f>""</f>
        <v/>
      </c>
      <c r="AW327" t="str">
        <f>""</f>
        <v/>
      </c>
      <c r="AX327" t="str">
        <f>""</f>
        <v/>
      </c>
      <c r="AY327" t="str">
        <f>""</f>
        <v/>
      </c>
      <c r="AZ327" t="str">
        <f>""</f>
        <v/>
      </c>
      <c r="BA327" t="str">
        <f>""</f>
        <v/>
      </c>
      <c r="BB327" t="str">
        <f>"06/07/2023 12:07:48"</f>
        <v>06/07/2023 12:07:48</v>
      </c>
      <c r="BC327" t="str">
        <f>""</f>
        <v/>
      </c>
      <c r="BD327" t="str">
        <f>""</f>
        <v/>
      </c>
      <c r="BE327" t="str">
        <f>""</f>
        <v/>
      </c>
      <c r="BF327" t="str">
        <f t="shared" si="161"/>
        <v>A</v>
      </c>
      <c r="BG327" t="str">
        <f>""</f>
        <v/>
      </c>
      <c r="BH327" t="str">
        <f>""</f>
        <v/>
      </c>
      <c r="BI327" t="str">
        <f t="shared" si="147"/>
        <v>EVENTUAL</v>
      </c>
      <c r="BJ327" t="str">
        <f t="shared" si="162"/>
        <v>1</v>
      </c>
      <c r="BK327" t="str">
        <f t="shared" si="163"/>
        <v>Farmacia</v>
      </c>
      <c r="BL327" t="str">
        <f>""</f>
        <v/>
      </c>
      <c r="BM327" t="str">
        <f>""</f>
        <v/>
      </c>
      <c r="BN327" t="str">
        <f>""</f>
        <v/>
      </c>
      <c r="BO327" t="str">
        <f>""</f>
        <v/>
      </c>
      <c r="BP327" t="str">
        <f>""</f>
        <v/>
      </c>
      <c r="BQ327" t="str">
        <f>""</f>
        <v/>
      </c>
      <c r="BR327" t="str">
        <f>"06/07/2023"</f>
        <v>06/07/2023</v>
      </c>
      <c r="BS327" t="str">
        <f>""</f>
        <v/>
      </c>
      <c r="BT327" t="str">
        <f>""</f>
        <v/>
      </c>
      <c r="BU327" t="str">
        <f>""</f>
        <v/>
      </c>
      <c r="BV327" t="str">
        <f>""</f>
        <v/>
      </c>
      <c r="BW327" t="str">
        <f>"46"</f>
        <v>46</v>
      </c>
    </row>
    <row r="328" spans="1:75" x14ac:dyDescent="0.35">
      <c r="A328">
        <v>144624</v>
      </c>
      <c r="B328" t="str">
        <f t="shared" si="155"/>
        <v>A</v>
      </c>
      <c r="C328" t="str">
        <f t="shared" si="156"/>
        <v>80</v>
      </c>
      <c r="D328" t="str">
        <f t="shared" si="157"/>
        <v>11121001</v>
      </c>
      <c r="E328" t="str">
        <f t="shared" si="158"/>
        <v>121001</v>
      </c>
      <c r="F328" t="str">
        <f t="shared" si="159"/>
        <v>JENIFER SANTOS</v>
      </c>
      <c r="G328" t="str">
        <f>"19782328000135"</f>
        <v>19782328000135</v>
      </c>
      <c r="H328" t="str">
        <f>""</f>
        <v/>
      </c>
      <c r="I328" t="str">
        <f t="shared" si="160"/>
        <v>CONTA OPTICA</v>
      </c>
      <c r="J328" t="str">
        <f>"OTICA IN CASA LTDA"</f>
        <v>OTICA IN CASA LTDA</v>
      </c>
      <c r="K328" t="str">
        <f>"FAK REPRESENTACAO (4043)"</f>
        <v>FAK REPRESENTACAO (4043)</v>
      </c>
      <c r="L328" t="str">
        <f>""</f>
        <v/>
      </c>
      <c r="M328" t="str">
        <f>""</f>
        <v/>
      </c>
      <c r="N328" t="str">
        <f>"hangelamaes@gmail.com"</f>
        <v>hangelamaes@gmail.com</v>
      </c>
      <c r="O328" t="str">
        <f>""</f>
        <v/>
      </c>
      <c r="P328" t="str">
        <f>"RUA CIDADE DE DAMASCO"</f>
        <v>RUA CIDADE DE DAMASCO</v>
      </c>
      <c r="Q328" t="str">
        <f>"531"</f>
        <v>531</v>
      </c>
      <c r="R328" t="str">
        <f>""</f>
        <v/>
      </c>
      <c r="S328" t="str">
        <f>""</f>
        <v/>
      </c>
      <c r="T328" t="str">
        <f>"89210605"</f>
        <v>89210605</v>
      </c>
      <c r="U328" t="str">
        <f>"ITAUM"</f>
        <v>ITAUM</v>
      </c>
      <c r="V328" t="str">
        <f>"JOINVILLE"</f>
        <v>JOINVILLE</v>
      </c>
      <c r="W328" t="str">
        <f t="shared" si="154"/>
        <v>SC</v>
      </c>
      <c r="X328" t="str">
        <f>"47"</f>
        <v>47</v>
      </c>
      <c r="Y328" t="str">
        <f>"999866637"</f>
        <v>999866637</v>
      </c>
      <c r="Z328" t="str">
        <f>""</f>
        <v/>
      </c>
      <c r="AA328" t="str">
        <f>""</f>
        <v/>
      </c>
      <c r="AB328" t="str">
        <f>""</f>
        <v/>
      </c>
      <c r="AC328" t="str">
        <f>""</f>
        <v/>
      </c>
      <c r="AD328" t="str">
        <f>""</f>
        <v/>
      </c>
      <c r="AE328" t="str">
        <f>""</f>
        <v/>
      </c>
      <c r="AF328" t="str">
        <f>""</f>
        <v/>
      </c>
      <c r="AG328" t="str">
        <f>""</f>
        <v/>
      </c>
      <c r="AH328" t="str">
        <f>""</f>
        <v/>
      </c>
      <c r="AI328" t="str">
        <f>""</f>
        <v/>
      </c>
      <c r="AJ328" t="str">
        <f>""</f>
        <v/>
      </c>
      <c r="AK328" t="str">
        <f>""</f>
        <v/>
      </c>
      <c r="AL328" t="str">
        <f>""</f>
        <v/>
      </c>
      <c r="AM328" t="str">
        <f>""</f>
        <v/>
      </c>
      <c r="AN328" t="str">
        <f>""</f>
        <v/>
      </c>
      <c r="AO328" t="str">
        <f>""</f>
        <v/>
      </c>
      <c r="AP328" t="str">
        <f>""</f>
        <v/>
      </c>
      <c r="AQ328" t="str">
        <f>""</f>
        <v/>
      </c>
      <c r="AR328" t="str">
        <f>""</f>
        <v/>
      </c>
      <c r="AS328" t="str">
        <f>""</f>
        <v/>
      </c>
      <c r="AT328" t="str">
        <f>""</f>
        <v/>
      </c>
      <c r="AU328" t="str">
        <f>""</f>
        <v/>
      </c>
      <c r="AV328" t="str">
        <f>""</f>
        <v/>
      </c>
      <c r="AW328" t="str">
        <f>""</f>
        <v/>
      </c>
      <c r="AX328" t="str">
        <f>""</f>
        <v/>
      </c>
      <c r="AY328" t="str">
        <f>""</f>
        <v/>
      </c>
      <c r="AZ328" t="str">
        <f>""</f>
        <v/>
      </c>
      <c r="BA328" t="str">
        <f>""</f>
        <v/>
      </c>
      <c r="BB328" t="str">
        <f>""</f>
        <v/>
      </c>
      <c r="BC328" t="str">
        <f>""</f>
        <v/>
      </c>
      <c r="BD328" t="str">
        <f>""</f>
        <v/>
      </c>
      <c r="BE328" t="str">
        <f>""</f>
        <v/>
      </c>
      <c r="BF328" t="str">
        <f t="shared" si="161"/>
        <v>A</v>
      </c>
      <c r="BG328" t="str">
        <f>""</f>
        <v/>
      </c>
      <c r="BH328" t="str">
        <f>""</f>
        <v/>
      </c>
      <c r="BI328" t="str">
        <f t="shared" si="147"/>
        <v>EVENTUAL</v>
      </c>
      <c r="BJ328" t="str">
        <f t="shared" si="162"/>
        <v>1</v>
      </c>
      <c r="BK328" t="str">
        <f t="shared" si="163"/>
        <v>Farmacia</v>
      </c>
      <c r="BL328" t="str">
        <f>""</f>
        <v/>
      </c>
      <c r="BM328" t="str">
        <f>"NÃO É VARILUX ESPECIALISTA"</f>
        <v>NÃO É VARILUX ESPECIALISTA</v>
      </c>
      <c r="BN328" t="str">
        <f>"NA"</f>
        <v>NA</v>
      </c>
      <c r="BO328" t="str">
        <f>"OUTROS"</f>
        <v>OUTROS</v>
      </c>
      <c r="BP328" t="str">
        <f>""</f>
        <v/>
      </c>
      <c r="BQ328" t="str">
        <f>""</f>
        <v/>
      </c>
      <c r="BR328" t="str">
        <f>""</f>
        <v/>
      </c>
      <c r="BS328" t="str">
        <f>""</f>
        <v/>
      </c>
      <c r="BT328" t="str">
        <f>""</f>
        <v/>
      </c>
      <c r="BU328" t="str">
        <f>""</f>
        <v/>
      </c>
      <c r="BV328" t="str">
        <f>"9"</f>
        <v>9</v>
      </c>
      <c r="BW328" t="str">
        <f>"Não visitado"</f>
        <v>Não visitado</v>
      </c>
    </row>
    <row r="329" spans="1:75" x14ac:dyDescent="0.35">
      <c r="A329">
        <v>144456</v>
      </c>
      <c r="B329" t="str">
        <f t="shared" si="155"/>
        <v>A</v>
      </c>
      <c r="C329" t="str">
        <f t="shared" si="156"/>
        <v>80</v>
      </c>
      <c r="D329" t="str">
        <f t="shared" si="157"/>
        <v>11121001</v>
      </c>
      <c r="E329" t="str">
        <f t="shared" si="158"/>
        <v>121001</v>
      </c>
      <c r="F329" t="str">
        <f t="shared" si="159"/>
        <v>JENIFER SANTOS</v>
      </c>
      <c r="G329" t="str">
        <f>"29951377000108"</f>
        <v>29951377000108</v>
      </c>
      <c r="H329" t="str">
        <f>""</f>
        <v/>
      </c>
      <c r="I329" t="str">
        <f t="shared" si="160"/>
        <v>CONTA OPTICA</v>
      </c>
      <c r="J329" t="str">
        <f>"OTICA JADE COMERCIO DE PRODUTOS OPTICOS EIRELI"</f>
        <v>OTICA JADE COMERCIO DE PRODUTOS OPTICOS EIRELI</v>
      </c>
      <c r="K329" t="str">
        <f>"OTICA JADE (3888)"</f>
        <v>OTICA JADE (3888)</v>
      </c>
      <c r="L329" t="str">
        <f>""</f>
        <v/>
      </c>
      <c r="M329" t="str">
        <f>""</f>
        <v/>
      </c>
      <c r="N329" t="str">
        <f>"loja3.oticajade@gmail.com"</f>
        <v>loja3.oticajade@gmail.com</v>
      </c>
      <c r="O329" t="str">
        <f>""</f>
        <v/>
      </c>
      <c r="P329" t="str">
        <f>"RUA DO PRINCIPE"</f>
        <v>RUA DO PRINCIPE</v>
      </c>
      <c r="Q329" t="str">
        <f>"514"</f>
        <v>514</v>
      </c>
      <c r="R329" t="str">
        <f>"SL 3"</f>
        <v>SL 3</v>
      </c>
      <c r="S329" t="str">
        <f>"1277"</f>
        <v>1277</v>
      </c>
      <c r="T329" t="str">
        <f>"89201001"</f>
        <v>89201001</v>
      </c>
      <c r="U329" t="str">
        <f>"CENTRO"</f>
        <v>CENTRO</v>
      </c>
      <c r="V329" t="str">
        <f>"JOINVILLE"</f>
        <v>JOINVILLE</v>
      </c>
      <c r="W329" t="str">
        <f t="shared" si="154"/>
        <v>SC</v>
      </c>
      <c r="X329" t="str">
        <f>"47"</f>
        <v>47</v>
      </c>
      <c r="Y329" t="str">
        <f>"30290520"</f>
        <v>30290520</v>
      </c>
      <c r="Z329" t="str">
        <f>""</f>
        <v/>
      </c>
      <c r="AA329" t="str">
        <f>""</f>
        <v/>
      </c>
      <c r="AB329" t="str">
        <f>""</f>
        <v/>
      </c>
      <c r="AC329" t="str">
        <f>""</f>
        <v/>
      </c>
      <c r="AD329" t="str">
        <f>""</f>
        <v/>
      </c>
      <c r="AE329" t="str">
        <f>""</f>
        <v/>
      </c>
      <c r="AF329" t="str">
        <f>""</f>
        <v/>
      </c>
      <c r="AG329" t="str">
        <f>""</f>
        <v/>
      </c>
      <c r="AH329" t="str">
        <f>""</f>
        <v/>
      </c>
      <c r="AI329" t="str">
        <f>""</f>
        <v/>
      </c>
      <c r="AJ329" t="str">
        <f t="shared" ref="AJ329:AL330" si="164">"0"</f>
        <v>0</v>
      </c>
      <c r="AK329" t="str">
        <f t="shared" si="164"/>
        <v>0</v>
      </c>
      <c r="AL329" t="str">
        <f t="shared" si="164"/>
        <v>0</v>
      </c>
      <c r="AM329" t="str">
        <f>""</f>
        <v/>
      </c>
      <c r="AN329" t="str">
        <f>""</f>
        <v/>
      </c>
      <c r="AO329" t="str">
        <f>""</f>
        <v/>
      </c>
      <c r="AP329" t="str">
        <f>""</f>
        <v/>
      </c>
      <c r="AQ329" t="str">
        <f>""</f>
        <v/>
      </c>
      <c r="AR329" t="str">
        <f>""</f>
        <v/>
      </c>
      <c r="AS329" t="str">
        <f>""</f>
        <v/>
      </c>
      <c r="AT329" t="str">
        <f>""</f>
        <v/>
      </c>
      <c r="AU329" t="str">
        <f>""</f>
        <v/>
      </c>
      <c r="AV329" t="str">
        <f>""</f>
        <v/>
      </c>
      <c r="AW329" t="str">
        <f>""</f>
        <v/>
      </c>
      <c r="AX329" t="str">
        <f>""</f>
        <v/>
      </c>
      <c r="AY329" t="str">
        <f>""</f>
        <v/>
      </c>
      <c r="AZ329" t="str">
        <f>""</f>
        <v/>
      </c>
      <c r="BA329" t="str">
        <f>""</f>
        <v/>
      </c>
      <c r="BB329" t="str">
        <f>""</f>
        <v/>
      </c>
      <c r="BC329" t="str">
        <f>""</f>
        <v/>
      </c>
      <c r="BD329" t="str">
        <f>""</f>
        <v/>
      </c>
      <c r="BE329" t="str">
        <f>""</f>
        <v/>
      </c>
      <c r="BF329" t="str">
        <f t="shared" si="161"/>
        <v>A</v>
      </c>
      <c r="BG329" t="str">
        <f>"0,00"</f>
        <v>0,00</v>
      </c>
      <c r="BH329" t="str">
        <f>"0,00"</f>
        <v>0,00</v>
      </c>
      <c r="BI329" t="str">
        <f t="shared" si="147"/>
        <v>EVENTUAL</v>
      </c>
      <c r="BJ329" t="str">
        <f t="shared" si="162"/>
        <v>1</v>
      </c>
      <c r="BK329" t="str">
        <f t="shared" si="163"/>
        <v>Farmacia</v>
      </c>
      <c r="BL329" t="str">
        <f>""</f>
        <v/>
      </c>
      <c r="BM329" t="str">
        <f>"NÃO É VARILUX ESPECIALISTA"</f>
        <v>NÃO É VARILUX ESPECIALISTA</v>
      </c>
      <c r="BN329" t="str">
        <f>"NA"</f>
        <v>NA</v>
      </c>
      <c r="BO329" t="str">
        <f>"FOCO KODAK 2"</f>
        <v>FOCO KODAK 2</v>
      </c>
      <c r="BP329" t="str">
        <f>""</f>
        <v/>
      </c>
      <c r="BQ329" t="str">
        <f>""</f>
        <v/>
      </c>
      <c r="BR329" t="str">
        <f>""</f>
        <v/>
      </c>
      <c r="BS329" t="str">
        <f>""</f>
        <v/>
      </c>
      <c r="BT329" t="str">
        <f>""</f>
        <v/>
      </c>
      <c r="BU329" t="str">
        <f>""</f>
        <v/>
      </c>
      <c r="BV329" t="str">
        <f>"6"</f>
        <v>6</v>
      </c>
      <c r="BW329" t="str">
        <f>"182"</f>
        <v>182</v>
      </c>
    </row>
    <row r="330" spans="1:75" x14ac:dyDescent="0.35">
      <c r="A330">
        <v>144742</v>
      </c>
      <c r="B330" t="str">
        <f t="shared" si="155"/>
        <v>A</v>
      </c>
      <c r="C330" t="str">
        <f t="shared" si="156"/>
        <v>80</v>
      </c>
      <c r="D330" t="str">
        <f t="shared" si="157"/>
        <v>11121001</v>
      </c>
      <c r="E330" t="str">
        <f t="shared" si="158"/>
        <v>121001</v>
      </c>
      <c r="F330" t="str">
        <f t="shared" si="159"/>
        <v>JENIFER SANTOS</v>
      </c>
      <c r="G330" t="str">
        <f>"20405124000164"</f>
        <v>20405124000164</v>
      </c>
      <c r="H330" t="str">
        <f>""</f>
        <v/>
      </c>
      <c r="I330" t="str">
        <f t="shared" si="160"/>
        <v>CONTA OPTICA</v>
      </c>
      <c r="J330" t="str">
        <f>"OTICA JLV LTDA ME"</f>
        <v>OTICA JLV LTDA ME</v>
      </c>
      <c r="K330" t="str">
        <f>"OTICA DINIZ (2145)"</f>
        <v>OTICA DINIZ (2145)</v>
      </c>
      <c r="L330" t="str">
        <f>""</f>
        <v/>
      </c>
      <c r="M330" t="str">
        <f>""</f>
        <v/>
      </c>
      <c r="N330" t="str">
        <f>"estoquedinizjoinville@hotmail.com"</f>
        <v>estoquedinizjoinville@hotmail.com</v>
      </c>
      <c r="O330" t="str">
        <f>""</f>
        <v/>
      </c>
      <c r="P330" t="str">
        <f>"AVENIDA MARECHAL DEODORO DA FONSECA"</f>
        <v>AVENIDA MARECHAL DEODORO DA FONSECA</v>
      </c>
      <c r="Q330" t="str">
        <f>"406"</f>
        <v>406</v>
      </c>
      <c r="R330" t="str">
        <f>"SALA 02"</f>
        <v>SALA 02</v>
      </c>
      <c r="S330" t="str">
        <f>"1280"</f>
        <v>1280</v>
      </c>
      <c r="T330" t="str">
        <f>"89251702"</f>
        <v>89251702</v>
      </c>
      <c r="U330" t="str">
        <f>"CENTRO"</f>
        <v>CENTRO</v>
      </c>
      <c r="V330" t="str">
        <f>"JARAGUÁ DO SUL"</f>
        <v>JARAGUÁ DO SUL</v>
      </c>
      <c r="W330" t="str">
        <f t="shared" si="154"/>
        <v>SC</v>
      </c>
      <c r="X330" t="str">
        <f>"47"</f>
        <v>47</v>
      </c>
      <c r="Y330" t="str">
        <f>"30275567"</f>
        <v>30275567</v>
      </c>
      <c r="Z330" t="str">
        <f>""</f>
        <v/>
      </c>
      <c r="AA330" t="str">
        <f>""</f>
        <v/>
      </c>
      <c r="AB330" t="str">
        <f>""</f>
        <v/>
      </c>
      <c r="AC330" t="str">
        <f>""</f>
        <v/>
      </c>
      <c r="AD330" t="str">
        <f>""</f>
        <v/>
      </c>
      <c r="AE330" t="str">
        <f>""</f>
        <v/>
      </c>
      <c r="AF330" t="str">
        <f>""</f>
        <v/>
      </c>
      <c r="AG330" t="str">
        <f>""</f>
        <v/>
      </c>
      <c r="AH330" t="str">
        <f>""</f>
        <v/>
      </c>
      <c r="AI330" t="str">
        <f>""</f>
        <v/>
      </c>
      <c r="AJ330" t="str">
        <f t="shared" si="164"/>
        <v>0</v>
      </c>
      <c r="AK330" t="str">
        <f t="shared" si="164"/>
        <v>0</v>
      </c>
      <c r="AL330" t="str">
        <f t="shared" si="164"/>
        <v>0</v>
      </c>
      <c r="AM330" t="str">
        <f>""</f>
        <v/>
      </c>
      <c r="AN330" t="str">
        <f>""</f>
        <v/>
      </c>
      <c r="AO330" t="str">
        <f>""</f>
        <v/>
      </c>
      <c r="AP330" t="str">
        <f>""</f>
        <v/>
      </c>
      <c r="AQ330" t="str">
        <f>""</f>
        <v/>
      </c>
      <c r="AR330" t="str">
        <f>""</f>
        <v/>
      </c>
      <c r="AS330" t="str">
        <f>""</f>
        <v/>
      </c>
      <c r="AT330" t="str">
        <f>""</f>
        <v/>
      </c>
      <c r="AU330" t="str">
        <f>""</f>
        <v/>
      </c>
      <c r="AV330" t="str">
        <f>""</f>
        <v/>
      </c>
      <c r="AW330" t="str">
        <f>""</f>
        <v/>
      </c>
      <c r="AX330" t="str">
        <f>""</f>
        <v/>
      </c>
      <c r="AY330" t="str">
        <f>""</f>
        <v/>
      </c>
      <c r="AZ330" t="str">
        <f>""</f>
        <v/>
      </c>
      <c r="BA330" t="str">
        <f>""</f>
        <v/>
      </c>
      <c r="BB330" t="str">
        <f>""</f>
        <v/>
      </c>
      <c r="BC330" t="str">
        <f>""</f>
        <v/>
      </c>
      <c r="BD330" t="str">
        <f>""</f>
        <v/>
      </c>
      <c r="BE330" t="str">
        <f>""</f>
        <v/>
      </c>
      <c r="BF330" t="str">
        <f t="shared" si="161"/>
        <v>A</v>
      </c>
      <c r="BG330" t="str">
        <f>"0,00"</f>
        <v>0,00</v>
      </c>
      <c r="BH330" t="str">
        <f>"0,00"</f>
        <v>0,00</v>
      </c>
      <c r="BI330" t="str">
        <f t="shared" si="147"/>
        <v>EVENTUAL</v>
      </c>
      <c r="BJ330" t="str">
        <f t="shared" si="162"/>
        <v>1</v>
      </c>
      <c r="BK330" t="str">
        <f t="shared" si="163"/>
        <v>Farmacia</v>
      </c>
      <c r="BL330" t="str">
        <f>""</f>
        <v/>
      </c>
      <c r="BM330" t="str">
        <f>"NÃO É VARILUX ESPECIALISTA"</f>
        <v>NÃO É VARILUX ESPECIALISTA</v>
      </c>
      <c r="BN330" t="str">
        <f>"NA"</f>
        <v>NA</v>
      </c>
      <c r="BO330" t="str">
        <f>"OUTROS"</f>
        <v>OUTROS</v>
      </c>
      <c r="BP330" t="str">
        <f>""</f>
        <v/>
      </c>
      <c r="BQ330" t="str">
        <f>""</f>
        <v/>
      </c>
      <c r="BR330" t="str">
        <f>""</f>
        <v/>
      </c>
      <c r="BS330" t="str">
        <f>""</f>
        <v/>
      </c>
      <c r="BT330" t="str">
        <f>""</f>
        <v/>
      </c>
      <c r="BU330" t="str">
        <f>""</f>
        <v/>
      </c>
      <c r="BV330" t="str">
        <f>"8"</f>
        <v>8</v>
      </c>
      <c r="BW330" t="str">
        <f>"156"</f>
        <v>156</v>
      </c>
    </row>
    <row r="331" spans="1:75" x14ac:dyDescent="0.35">
      <c r="A331">
        <v>156809</v>
      </c>
      <c r="B331" t="str">
        <f t="shared" si="155"/>
        <v>A</v>
      </c>
      <c r="C331" t="str">
        <f t="shared" si="156"/>
        <v>80</v>
      </c>
      <c r="D331" t="str">
        <f t="shared" si="157"/>
        <v>11121001</v>
      </c>
      <c r="E331" t="str">
        <f t="shared" si="158"/>
        <v>121001</v>
      </c>
      <c r="F331" t="str">
        <f t="shared" si="159"/>
        <v>JENIFER SANTOS</v>
      </c>
      <c r="G331" t="str">
        <f>"75276501000102"</f>
        <v>75276501000102</v>
      </c>
      <c r="H331" t="str">
        <f>"0"</f>
        <v>0</v>
      </c>
      <c r="I331" t="str">
        <f t="shared" si="160"/>
        <v>CONTA OPTICA</v>
      </c>
      <c r="J331" t="str">
        <f>"OTICA KAMPMANN LTDA"</f>
        <v>OTICA KAMPMANN LTDA</v>
      </c>
      <c r="K331" t="str">
        <f>"OTICA BRASIL (374)"</f>
        <v>OTICA BRASIL (374)</v>
      </c>
      <c r="L331" t="str">
        <f>""</f>
        <v/>
      </c>
      <c r="M331" t="str">
        <f>""</f>
        <v/>
      </c>
      <c r="N331" t="str">
        <f>""</f>
        <v/>
      </c>
      <c r="O331" t="str">
        <f>""</f>
        <v/>
      </c>
      <c r="P331" t="str">
        <f>"RUA SIQUEIRA CAMPOS"</f>
        <v>RUA SIQUEIRA CAMPOS</v>
      </c>
      <c r="Q331" t="str">
        <f>"20"</f>
        <v>20</v>
      </c>
      <c r="R331" t="str">
        <f>""</f>
        <v/>
      </c>
      <c r="S331" t="str">
        <f>"1282"</f>
        <v>1282</v>
      </c>
      <c r="T331" t="str">
        <f>"89400000"</f>
        <v>89400000</v>
      </c>
      <c r="U331" t="str">
        <f>"CENTRO"</f>
        <v>CENTRO</v>
      </c>
      <c r="V331" t="str">
        <f>"PORTO UNIAO"</f>
        <v>PORTO UNIAO</v>
      </c>
      <c r="W331" t="str">
        <f t="shared" si="154"/>
        <v>SC</v>
      </c>
      <c r="X331" t="str">
        <f>"42"</f>
        <v>42</v>
      </c>
      <c r="Y331" t="str">
        <f>"35221345"</f>
        <v>35221345</v>
      </c>
      <c r="Z331" t="str">
        <f>""</f>
        <v/>
      </c>
      <c r="AA331" t="str">
        <f>""</f>
        <v/>
      </c>
      <c r="AB331" t="str">
        <f>""</f>
        <v/>
      </c>
      <c r="AC331" t="str">
        <f>""</f>
        <v/>
      </c>
      <c r="AD331" t="str">
        <f>""</f>
        <v/>
      </c>
      <c r="AE331" t="str">
        <f>""</f>
        <v/>
      </c>
      <c r="AF331" t="str">
        <f>""</f>
        <v/>
      </c>
      <c r="AG331" t="str">
        <f>""</f>
        <v/>
      </c>
      <c r="AH331" t="str">
        <f>""</f>
        <v/>
      </c>
      <c r="AI331" t="str">
        <f>""</f>
        <v/>
      </c>
      <c r="AJ331" t="str">
        <f>""</f>
        <v/>
      </c>
      <c r="AK331" t="str">
        <f>""</f>
        <v/>
      </c>
      <c r="AL331" t="str">
        <f>""</f>
        <v/>
      </c>
      <c r="AM331" t="str">
        <f>""</f>
        <v/>
      </c>
      <c r="AN331" t="str">
        <f>""</f>
        <v/>
      </c>
      <c r="AO331" t="str">
        <f>""</f>
        <v/>
      </c>
      <c r="AP331" t="str">
        <f>""</f>
        <v/>
      </c>
      <c r="AQ331" t="str">
        <f>""</f>
        <v/>
      </c>
      <c r="AR331" t="str">
        <f>""</f>
        <v/>
      </c>
      <c r="AS331" t="str">
        <f>""</f>
        <v/>
      </c>
      <c r="AT331" t="str">
        <f>""</f>
        <v/>
      </c>
      <c r="AU331" t="str">
        <f>""</f>
        <v/>
      </c>
      <c r="AV331" t="str">
        <f>""</f>
        <v/>
      </c>
      <c r="AW331" t="str">
        <f>""</f>
        <v/>
      </c>
      <c r="AX331" t="str">
        <f>""</f>
        <v/>
      </c>
      <c r="AY331" t="str">
        <f>""</f>
        <v/>
      </c>
      <c r="AZ331" t="str">
        <f>""</f>
        <v/>
      </c>
      <c r="BA331" t="str">
        <f>""</f>
        <v/>
      </c>
      <c r="BB331" t="str">
        <f>"06/07/2023 12:07:48"</f>
        <v>06/07/2023 12:07:48</v>
      </c>
      <c r="BC331" t="str">
        <f>""</f>
        <v/>
      </c>
      <c r="BD331" t="str">
        <f>""</f>
        <v/>
      </c>
      <c r="BE331" t="str">
        <f>""</f>
        <v/>
      </c>
      <c r="BF331" t="str">
        <f t="shared" si="161"/>
        <v>A</v>
      </c>
      <c r="BG331" t="str">
        <f>""</f>
        <v/>
      </c>
      <c r="BH331" t="str">
        <f>""</f>
        <v/>
      </c>
      <c r="BI331" t="str">
        <f t="shared" si="147"/>
        <v>EVENTUAL</v>
      </c>
      <c r="BJ331" t="str">
        <f t="shared" si="162"/>
        <v>1</v>
      </c>
      <c r="BK331" t="str">
        <f t="shared" si="163"/>
        <v>Farmacia</v>
      </c>
      <c r="BL331" t="str">
        <f>""</f>
        <v/>
      </c>
      <c r="BM331" t="str">
        <f>""</f>
        <v/>
      </c>
      <c r="BN331" t="str">
        <f>""</f>
        <v/>
      </c>
      <c r="BO331" t="str">
        <f>""</f>
        <v/>
      </c>
      <c r="BP331" t="str">
        <f>""</f>
        <v/>
      </c>
      <c r="BQ331" t="str">
        <f>""</f>
        <v/>
      </c>
      <c r="BR331" t="str">
        <f>"06/07/2023"</f>
        <v>06/07/2023</v>
      </c>
      <c r="BS331" t="str">
        <f>""</f>
        <v/>
      </c>
      <c r="BT331" t="str">
        <f>""</f>
        <v/>
      </c>
      <c r="BU331" t="str">
        <f>""</f>
        <v/>
      </c>
      <c r="BV331" t="str">
        <f>""</f>
        <v/>
      </c>
      <c r="BW331" t="str">
        <f>"46"</f>
        <v>46</v>
      </c>
    </row>
    <row r="332" spans="1:75" x14ac:dyDescent="0.35">
      <c r="A332">
        <v>127752</v>
      </c>
      <c r="B332" t="str">
        <f t="shared" si="155"/>
        <v>A</v>
      </c>
      <c r="C332" t="str">
        <f t="shared" si="156"/>
        <v>80</v>
      </c>
      <c r="D332" t="str">
        <f t="shared" si="157"/>
        <v>11121001</v>
      </c>
      <c r="E332" t="str">
        <f t="shared" si="158"/>
        <v>121001</v>
      </c>
      <c r="F332" t="str">
        <f t="shared" si="159"/>
        <v>JENIFER SANTOS</v>
      </c>
      <c r="G332" t="str">
        <f>"01944133000189"</f>
        <v>01944133000189</v>
      </c>
      <c r="H332" t="str">
        <f>"0"</f>
        <v>0</v>
      </c>
      <c r="I332" t="str">
        <f t="shared" si="160"/>
        <v>CONTA OPTICA</v>
      </c>
      <c r="J332" t="str">
        <f>"OTICA LIPSKI LTDA"</f>
        <v>OTICA LIPSKI LTDA</v>
      </c>
      <c r="K332" t="str">
        <f>"OTICA LIPSKI LTDA (1173)"</f>
        <v>OTICA LIPSKI LTDA (1173)</v>
      </c>
      <c r="L332" t="str">
        <f>""</f>
        <v/>
      </c>
      <c r="M332" t="str">
        <f>""</f>
        <v/>
      </c>
      <c r="N332" t="str">
        <f>""</f>
        <v/>
      </c>
      <c r="O332" t="str">
        <f>""</f>
        <v/>
      </c>
      <c r="P332" t="str">
        <f>"RUA MARECHAL DEODORO"</f>
        <v>RUA MARECHAL DEODORO</v>
      </c>
      <c r="Q332" t="str">
        <f>"187"</f>
        <v>187</v>
      </c>
      <c r="R332" t="str">
        <f>""</f>
        <v/>
      </c>
      <c r="S332" t="str">
        <f>"1280"</f>
        <v>1280</v>
      </c>
      <c r="T332" t="str">
        <f>"89290000"</f>
        <v>89290000</v>
      </c>
      <c r="U332" t="str">
        <f>"NAO INFORMADO"</f>
        <v>NAO INFORMADO</v>
      </c>
      <c r="V332" t="str">
        <f>"SAO BENTO DO SUL"</f>
        <v>SAO BENTO DO SUL</v>
      </c>
      <c r="W332" t="str">
        <f t="shared" si="154"/>
        <v>SC</v>
      </c>
      <c r="X332" t="str">
        <f>"47"</f>
        <v>47</v>
      </c>
      <c r="Y332" t="str">
        <f>"36335406"</f>
        <v>36335406</v>
      </c>
      <c r="Z332" t="str">
        <f>""</f>
        <v/>
      </c>
      <c r="AA332" t="str">
        <f>""</f>
        <v/>
      </c>
      <c r="AB332" t="str">
        <f>""</f>
        <v/>
      </c>
      <c r="AC332" t="str">
        <f>""</f>
        <v/>
      </c>
      <c r="AD332" t="str">
        <f>""</f>
        <v/>
      </c>
      <c r="AE332" t="str">
        <f>""</f>
        <v/>
      </c>
      <c r="AF332" t="str">
        <f>""</f>
        <v/>
      </c>
      <c r="AG332" t="str">
        <f>""</f>
        <v/>
      </c>
      <c r="AH332" t="str">
        <f>""</f>
        <v/>
      </c>
      <c r="AI332" t="str">
        <f>""</f>
        <v/>
      </c>
      <c r="AJ332" t="str">
        <f>"0"</f>
        <v>0</v>
      </c>
      <c r="AK332" t="str">
        <f>"0"</f>
        <v>0</v>
      </c>
      <c r="AL332" t="str">
        <f>"0"</f>
        <v>0</v>
      </c>
      <c r="AM332" t="str">
        <f>""</f>
        <v/>
      </c>
      <c r="AN332" t="str">
        <f>""</f>
        <v/>
      </c>
      <c r="AO332" t="str">
        <f>""</f>
        <v/>
      </c>
      <c r="AP332" t="str">
        <f>""</f>
        <v/>
      </c>
      <c r="AQ332" t="str">
        <f>""</f>
        <v/>
      </c>
      <c r="AR332" t="str">
        <f>""</f>
        <v/>
      </c>
      <c r="AS332" t="str">
        <f>""</f>
        <v/>
      </c>
      <c r="AT332" t="str">
        <f>""</f>
        <v/>
      </c>
      <c r="AU332" t="str">
        <f>""</f>
        <v/>
      </c>
      <c r="AV332" t="str">
        <f>""</f>
        <v/>
      </c>
      <c r="AW332" t="str">
        <f>""</f>
        <v/>
      </c>
      <c r="AX332" t="str">
        <f>""</f>
        <v/>
      </c>
      <c r="AY332" t="str">
        <f>""</f>
        <v/>
      </c>
      <c r="AZ332" t="str">
        <f>""</f>
        <v/>
      </c>
      <c r="BA332" t="str">
        <f>""</f>
        <v/>
      </c>
      <c r="BB332" t="str">
        <f>"07/10/2020 09:08:38"</f>
        <v>07/10/2020 09:08:38</v>
      </c>
      <c r="BC332" t="str">
        <f>""</f>
        <v/>
      </c>
      <c r="BD332" t="str">
        <f>""</f>
        <v/>
      </c>
      <c r="BE332" t="str">
        <f>""</f>
        <v/>
      </c>
      <c r="BF332" t="str">
        <f t="shared" si="161"/>
        <v>A</v>
      </c>
      <c r="BG332" t="str">
        <f>"0,00"</f>
        <v>0,00</v>
      </c>
      <c r="BH332" t="str">
        <f>"0,00"</f>
        <v>0,00</v>
      </c>
      <c r="BI332" t="str">
        <f t="shared" si="147"/>
        <v>EVENTUAL</v>
      </c>
      <c r="BJ332" t="str">
        <f t="shared" si="162"/>
        <v>1</v>
      </c>
      <c r="BK332" t="str">
        <f t="shared" si="163"/>
        <v>Farmacia</v>
      </c>
      <c r="BL332" t="str">
        <f>""</f>
        <v/>
      </c>
      <c r="BM332" t="str">
        <f>"NÃO É VARILUX ESPECIALISTA"</f>
        <v>NÃO É VARILUX ESPECIALISTA</v>
      </c>
      <c r="BN332" t="str">
        <f>"NA"</f>
        <v>NA</v>
      </c>
      <c r="BO332" t="str">
        <f>"OUTROS"</f>
        <v>OUTROS</v>
      </c>
      <c r="BP332" t="str">
        <f>""</f>
        <v/>
      </c>
      <c r="BQ332" t="str">
        <f>""</f>
        <v/>
      </c>
      <c r="BR332" t="str">
        <f>"07/10/2020"</f>
        <v>07/10/2020</v>
      </c>
      <c r="BS332" t="str">
        <f>""</f>
        <v/>
      </c>
      <c r="BT332" t="str">
        <f>""</f>
        <v/>
      </c>
      <c r="BU332" t="str">
        <f>""</f>
        <v/>
      </c>
      <c r="BV332" t="str">
        <f>"6"</f>
        <v>6</v>
      </c>
      <c r="BW332" t="str">
        <f>"Não visitado"</f>
        <v>Não visitado</v>
      </c>
    </row>
    <row r="333" spans="1:75" x14ac:dyDescent="0.35">
      <c r="A333">
        <v>156752</v>
      </c>
      <c r="B333" t="str">
        <f t="shared" si="155"/>
        <v>A</v>
      </c>
      <c r="C333" t="str">
        <f t="shared" si="156"/>
        <v>80</v>
      </c>
      <c r="D333" t="str">
        <f t="shared" si="157"/>
        <v>11121001</v>
      </c>
      <c r="E333" t="str">
        <f t="shared" si="158"/>
        <v>121001</v>
      </c>
      <c r="F333" t="str">
        <f t="shared" si="159"/>
        <v>JENIFER SANTOS</v>
      </c>
      <c r="G333" t="str">
        <f>"22218034000190"</f>
        <v>22218034000190</v>
      </c>
      <c r="H333" t="str">
        <f>"0"</f>
        <v>0</v>
      </c>
      <c r="I333" t="str">
        <f t="shared" si="160"/>
        <v>CONTA OPTICA</v>
      </c>
      <c r="J333" t="str">
        <f>"OTICA LUIZA LTDA"</f>
        <v>OTICA LUIZA LTDA</v>
      </c>
      <c r="K333" t="str">
        <f>"OTICA LUIZA (4589)"</f>
        <v>OTICA LUIZA (4589)</v>
      </c>
      <c r="L333" t="str">
        <f>""</f>
        <v/>
      </c>
      <c r="M333" t="str">
        <f>""</f>
        <v/>
      </c>
      <c r="N333" t="str">
        <f>"OTICA_LUIZA@HOTMAIL.COM"</f>
        <v>OTICA_LUIZA@HOTMAIL.COM</v>
      </c>
      <c r="O333" t="str">
        <f>""</f>
        <v/>
      </c>
      <c r="P333" t="str">
        <f>"RUA ABDON BATISTA"</f>
        <v>RUA ABDON BATISTA</v>
      </c>
      <c r="Q333" t="str">
        <f>"76"</f>
        <v>76</v>
      </c>
      <c r="R333" t="str">
        <f>"SALA C"</f>
        <v>SALA C</v>
      </c>
      <c r="S333" t="str">
        <f>"1277"</f>
        <v>1277</v>
      </c>
      <c r="T333" t="str">
        <f>"89201010"</f>
        <v>89201010</v>
      </c>
      <c r="U333" t="str">
        <f>"CENTRO"</f>
        <v>CENTRO</v>
      </c>
      <c r="V333" t="str">
        <f>"JOINVILLE"</f>
        <v>JOINVILLE</v>
      </c>
      <c r="W333" t="str">
        <f t="shared" si="154"/>
        <v>SC</v>
      </c>
      <c r="X333" t="str">
        <f>"47"</f>
        <v>47</v>
      </c>
      <c r="Y333" t="str">
        <f>"991411098"</f>
        <v>991411098</v>
      </c>
      <c r="Z333" t="str">
        <f>""</f>
        <v/>
      </c>
      <c r="AA333" t="str">
        <f>""</f>
        <v/>
      </c>
      <c r="AB333" t="str">
        <f>""</f>
        <v/>
      </c>
      <c r="AC333" t="str">
        <f>""</f>
        <v/>
      </c>
      <c r="AD333" t="str">
        <f>""</f>
        <v/>
      </c>
      <c r="AE333" t="str">
        <f>""</f>
        <v/>
      </c>
      <c r="AF333" t="str">
        <f>""</f>
        <v/>
      </c>
      <c r="AG333" t="str">
        <f>""</f>
        <v/>
      </c>
      <c r="AH333" t="str">
        <f>""</f>
        <v/>
      </c>
      <c r="AI333" t="str">
        <f>""</f>
        <v/>
      </c>
      <c r="AJ333" t="str">
        <f>""</f>
        <v/>
      </c>
      <c r="AK333" t="str">
        <f>""</f>
        <v/>
      </c>
      <c r="AL333" t="str">
        <f>""</f>
        <v/>
      </c>
      <c r="AM333" t="str">
        <f>""</f>
        <v/>
      </c>
      <c r="AN333" t="str">
        <f>""</f>
        <v/>
      </c>
      <c r="AO333" t="str">
        <f>""</f>
        <v/>
      </c>
      <c r="AP333" t="str">
        <f>""</f>
        <v/>
      </c>
      <c r="AQ333" t="str">
        <f>""</f>
        <v/>
      </c>
      <c r="AR333" t="str">
        <f>""</f>
        <v/>
      </c>
      <c r="AS333" t="str">
        <f>""</f>
        <v/>
      </c>
      <c r="AT333" t="str">
        <f>""</f>
        <v/>
      </c>
      <c r="AU333" t="str">
        <f>""</f>
        <v/>
      </c>
      <c r="AV333" t="str">
        <f>""</f>
        <v/>
      </c>
      <c r="AW333" t="str">
        <f>""</f>
        <v/>
      </c>
      <c r="AX333" t="str">
        <f>""</f>
        <v/>
      </c>
      <c r="AY333" t="str">
        <f>""</f>
        <v/>
      </c>
      <c r="AZ333" t="str">
        <f>""</f>
        <v/>
      </c>
      <c r="BA333" t="str">
        <f>""</f>
        <v/>
      </c>
      <c r="BB333" t="str">
        <f>"06/07/2023 12:07:48"</f>
        <v>06/07/2023 12:07:48</v>
      </c>
      <c r="BC333" t="str">
        <f>""</f>
        <v/>
      </c>
      <c r="BD333" t="str">
        <f>""</f>
        <v/>
      </c>
      <c r="BE333" t="str">
        <f>""</f>
        <v/>
      </c>
      <c r="BF333" t="str">
        <f t="shared" si="161"/>
        <v>A</v>
      </c>
      <c r="BG333" t="str">
        <f>""</f>
        <v/>
      </c>
      <c r="BH333" t="str">
        <f>""</f>
        <v/>
      </c>
      <c r="BI333" t="str">
        <f t="shared" si="147"/>
        <v>EVENTUAL</v>
      </c>
      <c r="BJ333" t="str">
        <f t="shared" si="162"/>
        <v>1</v>
      </c>
      <c r="BK333" t="str">
        <f t="shared" si="163"/>
        <v>Farmacia</v>
      </c>
      <c r="BL333" t="str">
        <f>""</f>
        <v/>
      </c>
      <c r="BM333" t="str">
        <f>""</f>
        <v/>
      </c>
      <c r="BN333" t="str">
        <f>""</f>
        <v/>
      </c>
      <c r="BO333" t="str">
        <f>""</f>
        <v/>
      </c>
      <c r="BP333" t="str">
        <f>""</f>
        <v/>
      </c>
      <c r="BQ333" t="str">
        <f>""</f>
        <v/>
      </c>
      <c r="BR333" t="str">
        <f>"06/07/2023"</f>
        <v>06/07/2023</v>
      </c>
      <c r="BS333" t="str">
        <f>""</f>
        <v/>
      </c>
      <c r="BT333" t="str">
        <f>""</f>
        <v/>
      </c>
      <c r="BU333" t="str">
        <f>""</f>
        <v/>
      </c>
      <c r="BV333" t="str">
        <f>""</f>
        <v/>
      </c>
      <c r="BW333" t="str">
        <f>"Não visitado"</f>
        <v>Não visitado</v>
      </c>
    </row>
    <row r="334" spans="1:75" x14ac:dyDescent="0.35">
      <c r="A334">
        <v>831</v>
      </c>
      <c r="B334" t="str">
        <f t="shared" si="155"/>
        <v>A</v>
      </c>
      <c r="C334" t="str">
        <f t="shared" si="156"/>
        <v>80</v>
      </c>
      <c r="D334" t="str">
        <f t="shared" si="157"/>
        <v>11121001</v>
      </c>
      <c r="E334" t="str">
        <f t="shared" si="158"/>
        <v>121001</v>
      </c>
      <c r="F334" t="str">
        <f t="shared" si="159"/>
        <v>JENIFER SANTOS</v>
      </c>
      <c r="G334" t="str">
        <f>"03852616000189"</f>
        <v>03852616000189</v>
      </c>
      <c r="H334" t="str">
        <f>""</f>
        <v/>
      </c>
      <c r="I334" t="str">
        <f t="shared" si="160"/>
        <v>CONTA OPTICA</v>
      </c>
      <c r="J334" t="str">
        <f>"OTICA MANCHESTER LTDA"</f>
        <v>OTICA MANCHESTER LTDA</v>
      </c>
      <c r="K334" t="str">
        <f>"OTICA MANCHESTER LTDA (1213)"</f>
        <v>OTICA MANCHESTER LTDA (1213)</v>
      </c>
      <c r="L334" t="str">
        <f>""</f>
        <v/>
      </c>
      <c r="M334" t="str">
        <f>""</f>
        <v/>
      </c>
      <c r="N334" t="str">
        <f>"otica.manchester@hotmail.com"</f>
        <v>otica.manchester@hotmail.com</v>
      </c>
      <c r="O334" t="str">
        <f>""</f>
        <v/>
      </c>
      <c r="P334" t="str">
        <f>"RUA ABDON BATISTA"</f>
        <v>RUA ABDON BATISTA</v>
      </c>
      <c r="Q334" t="str">
        <f>"76"</f>
        <v>76</v>
      </c>
      <c r="R334" t="str">
        <f>""</f>
        <v/>
      </c>
      <c r="S334" t="str">
        <f>"1277"</f>
        <v>1277</v>
      </c>
      <c r="T334" t="str">
        <f>"89201010"</f>
        <v>89201010</v>
      </c>
      <c r="U334" t="str">
        <f>"CENTRO"</f>
        <v>CENTRO</v>
      </c>
      <c r="V334" t="str">
        <f>"JOINVILLE"</f>
        <v>JOINVILLE</v>
      </c>
      <c r="W334" t="str">
        <f t="shared" si="154"/>
        <v>SC</v>
      </c>
      <c r="X334" t="str">
        <f>"47"</f>
        <v>47</v>
      </c>
      <c r="Y334" t="str">
        <f>"34230924"</f>
        <v>34230924</v>
      </c>
      <c r="Z334" t="str">
        <f>""</f>
        <v/>
      </c>
      <c r="AA334" t="str">
        <f>""</f>
        <v/>
      </c>
      <c r="AB334" t="str">
        <f>""</f>
        <v/>
      </c>
      <c r="AC334" t="str">
        <f>""</f>
        <v/>
      </c>
      <c r="AD334" t="str">
        <f>""</f>
        <v/>
      </c>
      <c r="AE334" t="str">
        <f>""</f>
        <v/>
      </c>
      <c r="AF334" t="str">
        <f>""</f>
        <v/>
      </c>
      <c r="AG334" t="str">
        <f>""</f>
        <v/>
      </c>
      <c r="AH334" t="str">
        <f>""</f>
        <v/>
      </c>
      <c r="AI334" t="str">
        <f>""</f>
        <v/>
      </c>
      <c r="AJ334" t="str">
        <f t="shared" ref="AJ334:AL335" si="165">"0"</f>
        <v>0</v>
      </c>
      <c r="AK334" t="str">
        <f t="shared" si="165"/>
        <v>0</v>
      </c>
      <c r="AL334" t="str">
        <f t="shared" si="165"/>
        <v>0</v>
      </c>
      <c r="AM334" t="str">
        <f>""</f>
        <v/>
      </c>
      <c r="AN334" t="str">
        <f>""</f>
        <v/>
      </c>
      <c r="AO334" t="str">
        <f>""</f>
        <v/>
      </c>
      <c r="AP334" t="str">
        <f>""</f>
        <v/>
      </c>
      <c r="AQ334" t="str">
        <f>""</f>
        <v/>
      </c>
      <c r="AR334" t="str">
        <f>""</f>
        <v/>
      </c>
      <c r="AS334" t="str">
        <f>""</f>
        <v/>
      </c>
      <c r="AT334" t="str">
        <f>""</f>
        <v/>
      </c>
      <c r="AU334" t="str">
        <f>""</f>
        <v/>
      </c>
      <c r="AV334" t="str">
        <f>""</f>
        <v/>
      </c>
      <c r="AW334" t="str">
        <f>""</f>
        <v/>
      </c>
      <c r="AX334" t="str">
        <f>""</f>
        <v/>
      </c>
      <c r="AY334" t="str">
        <f>""</f>
        <v/>
      </c>
      <c r="AZ334" t="str">
        <f>""</f>
        <v/>
      </c>
      <c r="BA334" t="str">
        <f>""</f>
        <v/>
      </c>
      <c r="BB334" t="str">
        <f>"27/07/2018 09:25:52"</f>
        <v>27/07/2018 09:25:52</v>
      </c>
      <c r="BC334" t="str">
        <f>""</f>
        <v/>
      </c>
      <c r="BD334" t="str">
        <f>""</f>
        <v/>
      </c>
      <c r="BE334" t="str">
        <f>"831"</f>
        <v>831</v>
      </c>
      <c r="BF334" t="str">
        <f t="shared" si="161"/>
        <v>A</v>
      </c>
      <c r="BG334" t="str">
        <f>"0,00"</f>
        <v>0,00</v>
      </c>
      <c r="BH334" t="str">
        <f>"0,00"</f>
        <v>0,00</v>
      </c>
      <c r="BI334" t="str">
        <f t="shared" si="147"/>
        <v>EVENTUAL</v>
      </c>
      <c r="BJ334" t="str">
        <f t="shared" si="162"/>
        <v>1</v>
      </c>
      <c r="BK334" t="str">
        <f t="shared" si="163"/>
        <v>Farmacia</v>
      </c>
      <c r="BL334" t="str">
        <f>""</f>
        <v/>
      </c>
      <c r="BM334" t="str">
        <f>"NÃO É VARILUX ESPECIALISTA"</f>
        <v>NÃO É VARILUX ESPECIALISTA</v>
      </c>
      <c r="BN334" t="str">
        <f t="shared" ref="BN334:BN341" si="166">"NA"</f>
        <v>NA</v>
      </c>
      <c r="BO334" t="str">
        <f>"OUTROS"</f>
        <v>OUTROS</v>
      </c>
      <c r="BP334" t="str">
        <f>""</f>
        <v/>
      </c>
      <c r="BQ334" t="str">
        <f>""</f>
        <v/>
      </c>
      <c r="BR334" t="str">
        <f>"27/07/2018"</f>
        <v>27/07/2018</v>
      </c>
      <c r="BS334" t="str">
        <f>""</f>
        <v/>
      </c>
      <c r="BT334" t="str">
        <f>""</f>
        <v/>
      </c>
      <c r="BU334" t="str">
        <f>""</f>
        <v/>
      </c>
      <c r="BV334" t="str">
        <f>"4"</f>
        <v>4</v>
      </c>
      <c r="BW334" t="str">
        <f>"Não visitado"</f>
        <v>Não visitado</v>
      </c>
    </row>
    <row r="335" spans="1:75" x14ac:dyDescent="0.35">
      <c r="A335">
        <v>144586</v>
      </c>
      <c r="B335" t="str">
        <f t="shared" si="155"/>
        <v>A</v>
      </c>
      <c r="C335" t="str">
        <f t="shared" si="156"/>
        <v>80</v>
      </c>
      <c r="D335" t="str">
        <f t="shared" si="157"/>
        <v>11121001</v>
      </c>
      <c r="E335" t="str">
        <f t="shared" si="158"/>
        <v>121001</v>
      </c>
      <c r="F335" t="str">
        <f t="shared" si="159"/>
        <v>JENIFER SANTOS</v>
      </c>
      <c r="G335" t="str">
        <f>"37310152000109"</f>
        <v>37310152000109</v>
      </c>
      <c r="H335" t="str">
        <f>""</f>
        <v/>
      </c>
      <c r="I335" t="str">
        <f t="shared" si="160"/>
        <v>CONTA OPTICA</v>
      </c>
      <c r="J335" t="str">
        <f>"OTICA MARTINS VERAS LTDA"</f>
        <v>OTICA MARTINS VERAS LTDA</v>
      </c>
      <c r="K335" t="str">
        <f>"OTICA VER + (4177)"</f>
        <v>OTICA VER + (4177)</v>
      </c>
      <c r="L335" t="str">
        <f>""</f>
        <v/>
      </c>
      <c r="M335" t="str">
        <f>""</f>
        <v/>
      </c>
      <c r="N335" t="str">
        <f>"tonimveras@hotmail.com"</f>
        <v>tonimveras@hotmail.com</v>
      </c>
      <c r="O335" t="str">
        <f>""</f>
        <v/>
      </c>
      <c r="P335" t="str">
        <f>"AVENIDA MARECHAL DEODORO DA FONSECA"</f>
        <v>AVENIDA MARECHAL DEODORO DA FONSECA</v>
      </c>
      <c r="Q335" t="str">
        <f>"406"</f>
        <v>406</v>
      </c>
      <c r="R335" t="str">
        <f>"SALA 02"</f>
        <v>SALA 02</v>
      </c>
      <c r="S335" t="str">
        <f>"1280"</f>
        <v>1280</v>
      </c>
      <c r="T335" t="str">
        <f>"89251700"</f>
        <v>89251700</v>
      </c>
      <c r="U335" t="str">
        <f>"CENTRO"</f>
        <v>CENTRO</v>
      </c>
      <c r="V335" t="str">
        <f>"JARAGUÁ DO SUL"</f>
        <v>JARAGUÁ DO SUL</v>
      </c>
      <c r="W335" t="str">
        <f t="shared" si="154"/>
        <v>SC</v>
      </c>
      <c r="X335" t="str">
        <f>"47"</f>
        <v>47</v>
      </c>
      <c r="Y335" t="str">
        <f>"30179428"</f>
        <v>30179428</v>
      </c>
      <c r="Z335" t="str">
        <f>""</f>
        <v/>
      </c>
      <c r="AA335" t="str">
        <f>""</f>
        <v/>
      </c>
      <c r="AB335" t="str">
        <f>""</f>
        <v/>
      </c>
      <c r="AC335" t="str">
        <f>""</f>
        <v/>
      </c>
      <c r="AD335" t="str">
        <f>""</f>
        <v/>
      </c>
      <c r="AE335" t="str">
        <f>""</f>
        <v/>
      </c>
      <c r="AF335" t="str">
        <f>""</f>
        <v/>
      </c>
      <c r="AG335" t="str">
        <f>""</f>
        <v/>
      </c>
      <c r="AH335" t="str">
        <f>""</f>
        <v/>
      </c>
      <c r="AI335" t="str">
        <f>""</f>
        <v/>
      </c>
      <c r="AJ335" t="str">
        <f t="shared" si="165"/>
        <v>0</v>
      </c>
      <c r="AK335" t="str">
        <f t="shared" si="165"/>
        <v>0</v>
      </c>
      <c r="AL335" t="str">
        <f t="shared" si="165"/>
        <v>0</v>
      </c>
      <c r="AM335" t="str">
        <f>""</f>
        <v/>
      </c>
      <c r="AN335" t="str">
        <f>""</f>
        <v/>
      </c>
      <c r="AO335" t="str">
        <f>""</f>
        <v/>
      </c>
      <c r="AP335" t="str">
        <f>""</f>
        <v/>
      </c>
      <c r="AQ335" t="str">
        <f>""</f>
        <v/>
      </c>
      <c r="AR335" t="str">
        <f>""</f>
        <v/>
      </c>
      <c r="AS335" t="str">
        <f>""</f>
        <v/>
      </c>
      <c r="AT335" t="str">
        <f>""</f>
        <v/>
      </c>
      <c r="AU335" t="str">
        <f>""</f>
        <v/>
      </c>
      <c r="AV335" t="str">
        <f>""</f>
        <v/>
      </c>
      <c r="AW335" t="str">
        <f>""</f>
        <v/>
      </c>
      <c r="AX335" t="str">
        <f>""</f>
        <v/>
      </c>
      <c r="AY335" t="str">
        <f>""</f>
        <v/>
      </c>
      <c r="AZ335" t="str">
        <f>""</f>
        <v/>
      </c>
      <c r="BA335" t="str">
        <f>""</f>
        <v/>
      </c>
      <c r="BB335" t="str">
        <f>""</f>
        <v/>
      </c>
      <c r="BC335" t="str">
        <f>""</f>
        <v/>
      </c>
      <c r="BD335" t="str">
        <f>""</f>
        <v/>
      </c>
      <c r="BE335" t="str">
        <f>""</f>
        <v/>
      </c>
      <c r="BF335" t="str">
        <f t="shared" si="161"/>
        <v>A</v>
      </c>
      <c r="BG335" t="str">
        <f>"0,00"</f>
        <v>0,00</v>
      </c>
      <c r="BH335" t="str">
        <f>"0,00"</f>
        <v>0,00</v>
      </c>
      <c r="BI335" t="str">
        <f t="shared" si="147"/>
        <v>EVENTUAL</v>
      </c>
      <c r="BJ335" t="str">
        <f t="shared" si="162"/>
        <v>1</v>
      </c>
      <c r="BK335" t="str">
        <f t="shared" si="163"/>
        <v>Farmacia</v>
      </c>
      <c r="BL335" t="str">
        <f>""</f>
        <v/>
      </c>
      <c r="BM335" t="str">
        <f>"NÃO É VARILUX ESPECIALISTA"</f>
        <v>NÃO É VARILUX ESPECIALISTA</v>
      </c>
      <c r="BN335" t="str">
        <f t="shared" si="166"/>
        <v>NA</v>
      </c>
      <c r="BO335" t="str">
        <f>"OUTROS"</f>
        <v>OUTROS</v>
      </c>
      <c r="BP335" t="str">
        <f>""</f>
        <v/>
      </c>
      <c r="BQ335" t="str">
        <f>""</f>
        <v/>
      </c>
      <c r="BR335" t="str">
        <f>""</f>
        <v/>
      </c>
      <c r="BS335" t="str">
        <f>""</f>
        <v/>
      </c>
      <c r="BT335" t="str">
        <f>""</f>
        <v/>
      </c>
      <c r="BU335" t="str">
        <f>""</f>
        <v/>
      </c>
      <c r="BV335" t="str">
        <f>"9"</f>
        <v>9</v>
      </c>
      <c r="BW335" t="str">
        <f>"119"</f>
        <v>119</v>
      </c>
    </row>
    <row r="336" spans="1:75" x14ac:dyDescent="0.35">
      <c r="A336">
        <v>138173</v>
      </c>
      <c r="B336" t="str">
        <f t="shared" si="155"/>
        <v>A</v>
      </c>
      <c r="C336" t="str">
        <f t="shared" si="156"/>
        <v>80</v>
      </c>
      <c r="D336" t="str">
        <f t="shared" si="157"/>
        <v>11121001</v>
      </c>
      <c r="E336" t="str">
        <f t="shared" si="158"/>
        <v>121001</v>
      </c>
      <c r="F336" t="str">
        <f t="shared" si="159"/>
        <v>JENIFER SANTOS</v>
      </c>
      <c r="G336" t="str">
        <f>"32013142000260"</f>
        <v>32013142000260</v>
      </c>
      <c r="H336" t="str">
        <f>"0"</f>
        <v>0</v>
      </c>
      <c r="I336" t="str">
        <f t="shared" si="160"/>
        <v>CONTA OPTICA</v>
      </c>
      <c r="J336" t="str">
        <f>"OTICA MEDEIROS LTDA"</f>
        <v>OTICA MEDEIROS LTDA</v>
      </c>
      <c r="K336" t="str">
        <f>"MERCADAO DOS OCULOS(4301)"</f>
        <v>MERCADAO DOS OCULOS(4301)</v>
      </c>
      <c r="L336" t="str">
        <f>""</f>
        <v/>
      </c>
      <c r="M336" t="str">
        <f>""</f>
        <v/>
      </c>
      <c r="N336" t="str">
        <f>"MDOVIDEIRA@GMAIL.COM"</f>
        <v>MDOVIDEIRA@GMAIL.COM</v>
      </c>
      <c r="O336" t="str">
        <f>""</f>
        <v/>
      </c>
      <c r="P336" t="str">
        <f>"RUA XV DE NOVEMBRO"</f>
        <v>RUA XV DE NOVEMBRO</v>
      </c>
      <c r="Q336" t="str">
        <f>"619"</f>
        <v>619</v>
      </c>
      <c r="R336" t="str">
        <f>"SALA 03"</f>
        <v>SALA 03</v>
      </c>
      <c r="S336" t="str">
        <f>""</f>
        <v/>
      </c>
      <c r="T336" t="str">
        <f>"89560128"</f>
        <v>89560128</v>
      </c>
      <c r="U336" t="str">
        <f>"CENTRO"</f>
        <v>CENTRO</v>
      </c>
      <c r="V336" t="str">
        <f>"VIDEIRA"</f>
        <v>VIDEIRA</v>
      </c>
      <c r="W336" t="str">
        <f t="shared" si="154"/>
        <v>SC</v>
      </c>
      <c r="X336" t="str">
        <f>"49"</f>
        <v>49</v>
      </c>
      <c r="Y336" t="str">
        <f>"998129293"</f>
        <v>998129293</v>
      </c>
      <c r="Z336" t="str">
        <f>""</f>
        <v/>
      </c>
      <c r="AA336" t="str">
        <f>""</f>
        <v/>
      </c>
      <c r="AB336" t="str">
        <f>""</f>
        <v/>
      </c>
      <c r="AC336" t="str">
        <f>""</f>
        <v/>
      </c>
      <c r="AD336" t="str">
        <f>""</f>
        <v/>
      </c>
      <c r="AE336" t="str">
        <f>""</f>
        <v/>
      </c>
      <c r="AF336" t="str">
        <f>""</f>
        <v/>
      </c>
      <c r="AG336" t="str">
        <f>"S"</f>
        <v>S</v>
      </c>
      <c r="AH336" t="str">
        <f>""</f>
        <v/>
      </c>
      <c r="AI336" t="str">
        <f>""</f>
        <v/>
      </c>
      <c r="AJ336" t="str">
        <f>""</f>
        <v/>
      </c>
      <c r="AK336" t="str">
        <f>""</f>
        <v/>
      </c>
      <c r="AL336" t="str">
        <f>""</f>
        <v/>
      </c>
      <c r="AM336" t="str">
        <f>""</f>
        <v/>
      </c>
      <c r="AN336" t="str">
        <f>""</f>
        <v/>
      </c>
      <c r="AO336" t="str">
        <f>""</f>
        <v/>
      </c>
      <c r="AP336" t="str">
        <f>""</f>
        <v/>
      </c>
      <c r="AQ336" t="str">
        <f t="shared" ref="AQ336:AU337" si="167">"N"</f>
        <v>N</v>
      </c>
      <c r="AR336" t="str">
        <f t="shared" si="167"/>
        <v>N</v>
      </c>
      <c r="AS336" t="str">
        <f t="shared" si="167"/>
        <v>N</v>
      </c>
      <c r="AT336" t="str">
        <f t="shared" si="167"/>
        <v>N</v>
      </c>
      <c r="AU336" t="str">
        <f t="shared" si="167"/>
        <v>N</v>
      </c>
      <c r="AV336" t="str">
        <f>""</f>
        <v/>
      </c>
      <c r="AW336" t="str">
        <f>""</f>
        <v/>
      </c>
      <c r="AX336" t="str">
        <f>""</f>
        <v/>
      </c>
      <c r="AY336" t="str">
        <f>""</f>
        <v/>
      </c>
      <c r="AZ336" t="str">
        <f>""</f>
        <v/>
      </c>
      <c r="BA336" t="str">
        <f>""</f>
        <v/>
      </c>
      <c r="BB336" t="str">
        <f>"01/07/2021 13:53:04"</f>
        <v>01/07/2021 13:53:04</v>
      </c>
      <c r="BC336" t="str">
        <f>"28/06/2022 15:50:38"</f>
        <v>28/06/2022 15:50:38</v>
      </c>
      <c r="BD336" t="str">
        <f>""</f>
        <v/>
      </c>
      <c r="BE336" t="str">
        <f>""</f>
        <v/>
      </c>
      <c r="BF336" t="str">
        <f t="shared" si="161"/>
        <v>A</v>
      </c>
      <c r="BG336" t="str">
        <f>""</f>
        <v/>
      </c>
      <c r="BH336" t="str">
        <f t="shared" ref="BH336:BH342" si="168">"0,00"</f>
        <v>0,00</v>
      </c>
      <c r="BI336" t="str">
        <f t="shared" si="147"/>
        <v>EVENTUAL</v>
      </c>
      <c r="BJ336" t="str">
        <f t="shared" si="162"/>
        <v>1</v>
      </c>
      <c r="BK336" t="str">
        <f t="shared" si="163"/>
        <v>Farmacia</v>
      </c>
      <c r="BL336" t="str">
        <f>""</f>
        <v/>
      </c>
      <c r="BM336" t="str">
        <f>"NÃO É VARILUX ESPECIALISTA"</f>
        <v>NÃO É VARILUX ESPECIALISTA</v>
      </c>
      <c r="BN336" t="str">
        <f t="shared" si="166"/>
        <v>NA</v>
      </c>
      <c r="BO336" t="str">
        <f>"FOCO VARILUX DIGITAL"</f>
        <v>FOCO VARILUX DIGITAL</v>
      </c>
      <c r="BP336" t="str">
        <f>""</f>
        <v/>
      </c>
      <c r="BQ336" t="str">
        <f>""</f>
        <v/>
      </c>
      <c r="BR336" t="str">
        <f>"01/07/2021"</f>
        <v>01/07/2021</v>
      </c>
      <c r="BS336" t="str">
        <f>"28/06/2022"</f>
        <v>28/06/2022</v>
      </c>
      <c r="BT336" t="str">
        <f>""</f>
        <v/>
      </c>
      <c r="BU336" t="str">
        <f>""</f>
        <v/>
      </c>
      <c r="BV336" t="str">
        <f>""</f>
        <v/>
      </c>
      <c r="BW336" t="str">
        <f>"29"</f>
        <v>29</v>
      </c>
    </row>
    <row r="337" spans="1:75" x14ac:dyDescent="0.35">
      <c r="A337">
        <v>138174</v>
      </c>
      <c r="B337" t="str">
        <f t="shared" si="155"/>
        <v>A</v>
      </c>
      <c r="C337" t="str">
        <f t="shared" si="156"/>
        <v>80</v>
      </c>
      <c r="D337" t="str">
        <f t="shared" si="157"/>
        <v>11121001</v>
      </c>
      <c r="E337" t="str">
        <f t="shared" si="158"/>
        <v>121001</v>
      </c>
      <c r="F337" t="str">
        <f t="shared" si="159"/>
        <v>JENIFER SANTOS</v>
      </c>
      <c r="G337" t="str">
        <f>"32013142000180"</f>
        <v>32013142000180</v>
      </c>
      <c r="H337" t="str">
        <f>"0"</f>
        <v>0</v>
      </c>
      <c r="I337" t="str">
        <f t="shared" si="160"/>
        <v>CONTA OPTICA</v>
      </c>
      <c r="J337" t="str">
        <f>"OTICA MEDEIROS LTDA ME"</f>
        <v>OTICA MEDEIROS LTDA ME</v>
      </c>
      <c r="K337" t="str">
        <f>"MERCADAO DOS OCULOS (3963)"</f>
        <v>MERCADAO DOS OCULOS (3963)</v>
      </c>
      <c r="L337" t="str">
        <f>""</f>
        <v/>
      </c>
      <c r="M337" t="str">
        <f>""</f>
        <v/>
      </c>
      <c r="N337" t="str">
        <f>"adrianarichtermedeiros73@gmail.com"</f>
        <v>adrianarichtermedeiros73@gmail.com</v>
      </c>
      <c r="O337" t="str">
        <f>""</f>
        <v/>
      </c>
      <c r="P337" t="str">
        <f>"AVENIDA BARAO DO RIO BRANCO"</f>
        <v>AVENIDA BARAO DO RIO BRANCO</v>
      </c>
      <c r="Q337" t="str">
        <f>"777"</f>
        <v>777</v>
      </c>
      <c r="R337" t="str">
        <f>""</f>
        <v/>
      </c>
      <c r="S337" t="str">
        <f>""</f>
        <v/>
      </c>
      <c r="T337" t="str">
        <f>"89500091"</f>
        <v>89500091</v>
      </c>
      <c r="U337" t="str">
        <f>"CENTRO"</f>
        <v>CENTRO</v>
      </c>
      <c r="V337" t="str">
        <f>"CAÇADOR"</f>
        <v>CAÇADOR</v>
      </c>
      <c r="W337" t="str">
        <f t="shared" si="154"/>
        <v>SC</v>
      </c>
      <c r="X337" t="str">
        <f>"49"</f>
        <v>49</v>
      </c>
      <c r="Y337" t="str">
        <f>"991444505"</f>
        <v>991444505</v>
      </c>
      <c r="Z337" t="str">
        <f>""</f>
        <v/>
      </c>
      <c r="AA337" t="str">
        <f>""</f>
        <v/>
      </c>
      <c r="AB337" t="str">
        <f>""</f>
        <v/>
      </c>
      <c r="AC337" t="str">
        <f>""</f>
        <v/>
      </c>
      <c r="AD337" t="str">
        <f>""</f>
        <v/>
      </c>
      <c r="AE337" t="str">
        <f>""</f>
        <v/>
      </c>
      <c r="AF337" t="str">
        <f>""</f>
        <v/>
      </c>
      <c r="AG337" t="str">
        <f>"S"</f>
        <v>S</v>
      </c>
      <c r="AH337" t="str">
        <f>""</f>
        <v/>
      </c>
      <c r="AI337" t="str">
        <f>""</f>
        <v/>
      </c>
      <c r="AJ337" t="str">
        <f>""</f>
        <v/>
      </c>
      <c r="AK337" t="str">
        <f>""</f>
        <v/>
      </c>
      <c r="AL337" t="str">
        <f>""</f>
        <v/>
      </c>
      <c r="AM337" t="str">
        <f>""</f>
        <v/>
      </c>
      <c r="AN337" t="str">
        <f>""</f>
        <v/>
      </c>
      <c r="AO337" t="str">
        <f>""</f>
        <v/>
      </c>
      <c r="AP337" t="str">
        <f>""</f>
        <v/>
      </c>
      <c r="AQ337" t="str">
        <f t="shared" si="167"/>
        <v>N</v>
      </c>
      <c r="AR337" t="str">
        <f t="shared" si="167"/>
        <v>N</v>
      </c>
      <c r="AS337" t="str">
        <f t="shared" si="167"/>
        <v>N</v>
      </c>
      <c r="AT337" t="str">
        <f t="shared" si="167"/>
        <v>N</v>
      </c>
      <c r="AU337" t="str">
        <f t="shared" si="167"/>
        <v>N</v>
      </c>
      <c r="AV337" t="str">
        <f>""</f>
        <v/>
      </c>
      <c r="AW337" t="str">
        <f>""</f>
        <v/>
      </c>
      <c r="AX337" t="str">
        <f>""</f>
        <v/>
      </c>
      <c r="AY337" t="str">
        <f>""</f>
        <v/>
      </c>
      <c r="AZ337" t="str">
        <f>""</f>
        <v/>
      </c>
      <c r="BA337" t="str">
        <f>""</f>
        <v/>
      </c>
      <c r="BB337" t="str">
        <f>"01/07/2021 13:53:04"</f>
        <v>01/07/2021 13:53:04</v>
      </c>
      <c r="BC337" t="str">
        <f>"28/06/2022 15:51:36"</f>
        <v>28/06/2022 15:51:36</v>
      </c>
      <c r="BD337" t="str">
        <f>""</f>
        <v/>
      </c>
      <c r="BE337" t="str">
        <f>""</f>
        <v/>
      </c>
      <c r="BF337" t="str">
        <f t="shared" si="161"/>
        <v>A</v>
      </c>
      <c r="BG337" t="str">
        <f>""</f>
        <v/>
      </c>
      <c r="BH337" t="str">
        <f t="shared" si="168"/>
        <v>0,00</v>
      </c>
      <c r="BI337" t="str">
        <f t="shared" si="147"/>
        <v>EVENTUAL</v>
      </c>
      <c r="BJ337" t="str">
        <f t="shared" si="162"/>
        <v>1</v>
      </c>
      <c r="BK337" t="str">
        <f t="shared" si="163"/>
        <v>Farmacia</v>
      </c>
      <c r="BL337" t="str">
        <f>""</f>
        <v/>
      </c>
      <c r="BM337" t="str">
        <f>"VARILUX ESPECIALISTA PLATINE"</f>
        <v>VARILUX ESPECIALISTA PLATINE</v>
      </c>
      <c r="BN337" t="str">
        <f t="shared" si="166"/>
        <v>NA</v>
      </c>
      <c r="BO337" t="str">
        <f>"FOCO VARILUX DIGITAL"</f>
        <v>FOCO VARILUX DIGITAL</v>
      </c>
      <c r="BP337" t="str">
        <f>""</f>
        <v/>
      </c>
      <c r="BQ337" t="str">
        <f>""</f>
        <v/>
      </c>
      <c r="BR337" t="str">
        <f>"01/07/2021"</f>
        <v>01/07/2021</v>
      </c>
      <c r="BS337" t="str">
        <f>"28/06/2022"</f>
        <v>28/06/2022</v>
      </c>
      <c r="BT337" t="str">
        <f>""</f>
        <v/>
      </c>
      <c r="BU337" t="str">
        <f>""</f>
        <v/>
      </c>
      <c r="BV337" t="str">
        <f>""</f>
        <v/>
      </c>
      <c r="BW337" t="str">
        <f>"29"</f>
        <v>29</v>
      </c>
    </row>
    <row r="338" spans="1:75" x14ac:dyDescent="0.35">
      <c r="A338">
        <v>933</v>
      </c>
      <c r="B338" t="str">
        <f t="shared" si="155"/>
        <v>A</v>
      </c>
      <c r="C338" t="str">
        <f t="shared" si="156"/>
        <v>80</v>
      </c>
      <c r="D338" t="str">
        <f t="shared" si="157"/>
        <v>11121001</v>
      </c>
      <c r="E338" t="str">
        <f t="shared" si="158"/>
        <v>121001</v>
      </c>
      <c r="F338" t="str">
        <f t="shared" si="159"/>
        <v>JENIFER SANTOS</v>
      </c>
      <c r="G338" t="str">
        <f>"08334384000271"</f>
        <v>08334384000271</v>
      </c>
      <c r="H338" t="str">
        <f>""</f>
        <v/>
      </c>
      <c r="I338" t="str">
        <f t="shared" si="160"/>
        <v>CONTA OPTICA</v>
      </c>
      <c r="J338" t="str">
        <f>"OTICA MULLER LTDA"</f>
        <v>OTICA MULLER LTDA</v>
      </c>
      <c r="K338" t="str">
        <f>"OTICA MULLER (1368)"</f>
        <v>OTICA MULLER (1368)</v>
      </c>
      <c r="L338" t="str">
        <f>""</f>
        <v/>
      </c>
      <c r="M338" t="str">
        <f>""</f>
        <v/>
      </c>
      <c r="N338" t="str">
        <f>"oticamuller@terra.com.br"</f>
        <v>oticamuller@terra.com.br</v>
      </c>
      <c r="O338" t="str">
        <f>""</f>
        <v/>
      </c>
      <c r="P338" t="str">
        <f>"RUA BOEHMERWALD"</f>
        <v>RUA BOEHMERWALD</v>
      </c>
      <c r="Q338" t="str">
        <f>"774"</f>
        <v>774</v>
      </c>
      <c r="R338" t="str">
        <f>"SALA 01"</f>
        <v>SALA 01</v>
      </c>
      <c r="S338" t="str">
        <f>"1279"</f>
        <v>1279</v>
      </c>
      <c r="T338" t="str">
        <f>"89232485"</f>
        <v>89232485</v>
      </c>
      <c r="U338" t="str">
        <f>"BOEHMERWALD"</f>
        <v>BOEHMERWALD</v>
      </c>
      <c r="V338" t="str">
        <f>"JOINVILLE"</f>
        <v>JOINVILLE</v>
      </c>
      <c r="W338" t="str">
        <f t="shared" si="154"/>
        <v>SC</v>
      </c>
      <c r="X338" t="str">
        <f>"47"</f>
        <v>47</v>
      </c>
      <c r="Y338" t="str">
        <f>"34656859"</f>
        <v>34656859</v>
      </c>
      <c r="Z338" t="str">
        <f>""</f>
        <v/>
      </c>
      <c r="AA338" t="str">
        <f>""</f>
        <v/>
      </c>
      <c r="AB338" t="str">
        <f>""</f>
        <v/>
      </c>
      <c r="AC338" t="str">
        <f>""</f>
        <v/>
      </c>
      <c r="AD338" t="str">
        <f>""</f>
        <v/>
      </c>
      <c r="AE338" t="str">
        <f>""</f>
        <v/>
      </c>
      <c r="AF338" t="str">
        <f>""</f>
        <v/>
      </c>
      <c r="AG338" t="str">
        <f>""</f>
        <v/>
      </c>
      <c r="AH338" t="str">
        <f>""</f>
        <v/>
      </c>
      <c r="AI338" t="str">
        <f>""</f>
        <v/>
      </c>
      <c r="AJ338" t="str">
        <f t="shared" ref="AJ338:AL339" si="169">"0"</f>
        <v>0</v>
      </c>
      <c r="AK338" t="str">
        <f t="shared" si="169"/>
        <v>0</v>
      </c>
      <c r="AL338" t="str">
        <f t="shared" si="169"/>
        <v>0</v>
      </c>
      <c r="AM338" t="str">
        <f>""</f>
        <v/>
      </c>
      <c r="AN338" t="str">
        <f>""</f>
        <v/>
      </c>
      <c r="AO338" t="str">
        <f>""</f>
        <v/>
      </c>
      <c r="AP338" t="str">
        <f>""</f>
        <v/>
      </c>
      <c r="AQ338" t="str">
        <f>""</f>
        <v/>
      </c>
      <c r="AR338" t="str">
        <f>""</f>
        <v/>
      </c>
      <c r="AS338" t="str">
        <f>""</f>
        <v/>
      </c>
      <c r="AT338" t="str">
        <f>""</f>
        <v/>
      </c>
      <c r="AU338" t="str">
        <f>""</f>
        <v/>
      </c>
      <c r="AV338" t="str">
        <f>""</f>
        <v/>
      </c>
      <c r="AW338" t="str">
        <f>""</f>
        <v/>
      </c>
      <c r="AX338" t="str">
        <f>""</f>
        <v/>
      </c>
      <c r="AY338" t="str">
        <f>""</f>
        <v/>
      </c>
      <c r="AZ338" t="str">
        <f>""</f>
        <v/>
      </c>
      <c r="BA338" t="str">
        <f>""</f>
        <v/>
      </c>
      <c r="BB338" t="str">
        <f>"27/07/2018 09:25:54"</f>
        <v>27/07/2018 09:25:54</v>
      </c>
      <c r="BC338" t="str">
        <f>""</f>
        <v/>
      </c>
      <c r="BD338" t="str">
        <f>""</f>
        <v/>
      </c>
      <c r="BE338" t="str">
        <f>"933"</f>
        <v>933</v>
      </c>
      <c r="BF338" t="str">
        <f t="shared" si="161"/>
        <v>A</v>
      </c>
      <c r="BG338" t="str">
        <f>"0,00"</f>
        <v>0,00</v>
      </c>
      <c r="BH338" t="str">
        <f t="shared" si="168"/>
        <v>0,00</v>
      </c>
      <c r="BI338" t="str">
        <f t="shared" si="147"/>
        <v>EVENTUAL</v>
      </c>
      <c r="BJ338" t="str">
        <f t="shared" si="162"/>
        <v>1</v>
      </c>
      <c r="BK338" t="str">
        <f t="shared" si="163"/>
        <v>Farmacia</v>
      </c>
      <c r="BL338" t="str">
        <f>""</f>
        <v/>
      </c>
      <c r="BM338" t="str">
        <f>"NÃO É VARILUX ESPECIALISTA"</f>
        <v>NÃO É VARILUX ESPECIALISTA</v>
      </c>
      <c r="BN338" t="str">
        <f t="shared" si="166"/>
        <v>NA</v>
      </c>
      <c r="BO338" t="str">
        <f>"FOCO VARILUX DIGITAL"</f>
        <v>FOCO VARILUX DIGITAL</v>
      </c>
      <c r="BP338" t="str">
        <f>""</f>
        <v/>
      </c>
      <c r="BQ338" t="str">
        <f>""</f>
        <v/>
      </c>
      <c r="BR338" t="str">
        <f>"27/07/2018"</f>
        <v>27/07/2018</v>
      </c>
      <c r="BS338" t="str">
        <f>""</f>
        <v/>
      </c>
      <c r="BT338" t="str">
        <f>""</f>
        <v/>
      </c>
      <c r="BU338" t="str">
        <f>""</f>
        <v/>
      </c>
      <c r="BV338" t="str">
        <f>"5"</f>
        <v>5</v>
      </c>
      <c r="BW338" t="str">
        <f>"Não visitado"</f>
        <v>Não visitado</v>
      </c>
    </row>
    <row r="339" spans="1:75" x14ac:dyDescent="0.35">
      <c r="A339">
        <v>118722</v>
      </c>
      <c r="B339" t="str">
        <f t="shared" si="155"/>
        <v>A</v>
      </c>
      <c r="C339" t="str">
        <f t="shared" si="156"/>
        <v>80</v>
      </c>
      <c r="D339" t="str">
        <f t="shared" si="157"/>
        <v>11121001</v>
      </c>
      <c r="E339" t="str">
        <f t="shared" si="158"/>
        <v>121001</v>
      </c>
      <c r="F339" t="str">
        <f t="shared" si="159"/>
        <v>JENIFER SANTOS</v>
      </c>
      <c r="G339" t="str">
        <f>"08334384000190"</f>
        <v>08334384000190</v>
      </c>
      <c r="H339" t="str">
        <f>""</f>
        <v/>
      </c>
      <c r="I339" t="str">
        <f t="shared" si="160"/>
        <v>CONTA OPTICA</v>
      </c>
      <c r="J339" t="str">
        <f>"OTICA MULLER LTDA"</f>
        <v>OTICA MULLER LTDA</v>
      </c>
      <c r="K339" t="str">
        <f>"OTICA MULLER LTDA (967)"</f>
        <v>OTICA MULLER LTDA (967)</v>
      </c>
      <c r="L339" t="str">
        <f>""</f>
        <v/>
      </c>
      <c r="M339" t="str">
        <f>""</f>
        <v/>
      </c>
      <c r="N339" t="str">
        <f>"oticamuller@terra.com.br"</f>
        <v>oticamuller@terra.com.br</v>
      </c>
      <c r="O339" t="str">
        <f>""</f>
        <v/>
      </c>
      <c r="P339" t="str">
        <f>"RUA DOUTOR JOAO COLIN"</f>
        <v>RUA DOUTOR JOAO COLIN</v>
      </c>
      <c r="Q339" t="str">
        <f>"509"</f>
        <v>509</v>
      </c>
      <c r="R339" t="str">
        <f>""</f>
        <v/>
      </c>
      <c r="S339" t="str">
        <f>"1277"</f>
        <v>1277</v>
      </c>
      <c r="T339" t="str">
        <f>"89201300"</f>
        <v>89201300</v>
      </c>
      <c r="U339" t="str">
        <f t="shared" ref="U339:U344" si="170">"CENTRO"</f>
        <v>CENTRO</v>
      </c>
      <c r="V339" t="str">
        <f>"JOINVILLE"</f>
        <v>JOINVILLE</v>
      </c>
      <c r="W339" t="str">
        <f t="shared" si="154"/>
        <v>SC</v>
      </c>
      <c r="X339" t="str">
        <f>"47"</f>
        <v>47</v>
      </c>
      <c r="Y339" t="str">
        <f>"34232666"</f>
        <v>34232666</v>
      </c>
      <c r="Z339" t="str">
        <f>""</f>
        <v/>
      </c>
      <c r="AA339" t="str">
        <f>""</f>
        <v/>
      </c>
      <c r="AB339" t="str">
        <f>""</f>
        <v/>
      </c>
      <c r="AC339" t="str">
        <f>""</f>
        <v/>
      </c>
      <c r="AD339" t="str">
        <f>""</f>
        <v/>
      </c>
      <c r="AE339" t="str">
        <f>""</f>
        <v/>
      </c>
      <c r="AF339" t="str">
        <f>""</f>
        <v/>
      </c>
      <c r="AG339" t="str">
        <f>""</f>
        <v/>
      </c>
      <c r="AH339" t="str">
        <f>""</f>
        <v/>
      </c>
      <c r="AI339" t="str">
        <f>""</f>
        <v/>
      </c>
      <c r="AJ339" t="str">
        <f t="shared" si="169"/>
        <v>0</v>
      </c>
      <c r="AK339" t="str">
        <f t="shared" si="169"/>
        <v>0</v>
      </c>
      <c r="AL339" t="str">
        <f t="shared" si="169"/>
        <v>0</v>
      </c>
      <c r="AM339" t="str">
        <f>""</f>
        <v/>
      </c>
      <c r="AN339" t="str">
        <f>""</f>
        <v/>
      </c>
      <c r="AO339" t="str">
        <f>""</f>
        <v/>
      </c>
      <c r="AP339" t="str">
        <f>""</f>
        <v/>
      </c>
      <c r="AQ339" t="str">
        <f>""</f>
        <v/>
      </c>
      <c r="AR339" t="str">
        <f>""</f>
        <v/>
      </c>
      <c r="AS339" t="str">
        <f>""</f>
        <v/>
      </c>
      <c r="AT339" t="str">
        <f>""</f>
        <v/>
      </c>
      <c r="AU339" t="str">
        <f>""</f>
        <v/>
      </c>
      <c r="AV339" t="str">
        <f>""</f>
        <v/>
      </c>
      <c r="AW339" t="str">
        <f>""</f>
        <v/>
      </c>
      <c r="AX339" t="str">
        <f>""</f>
        <v/>
      </c>
      <c r="AY339" t="str">
        <f>""</f>
        <v/>
      </c>
      <c r="AZ339" t="str">
        <f>""</f>
        <v/>
      </c>
      <c r="BA339" t="str">
        <f>""</f>
        <v/>
      </c>
      <c r="BB339" t="str">
        <f>""</f>
        <v/>
      </c>
      <c r="BC339" t="str">
        <f>""</f>
        <v/>
      </c>
      <c r="BD339" t="str">
        <f>""</f>
        <v/>
      </c>
      <c r="BE339" t="str">
        <f>""</f>
        <v/>
      </c>
      <c r="BF339" t="str">
        <f t="shared" si="161"/>
        <v>A</v>
      </c>
      <c r="BG339" t="str">
        <f>"0,00"</f>
        <v>0,00</v>
      </c>
      <c r="BH339" t="str">
        <f t="shared" si="168"/>
        <v>0,00</v>
      </c>
      <c r="BI339" t="str">
        <f t="shared" si="147"/>
        <v>EVENTUAL</v>
      </c>
      <c r="BJ339" t="str">
        <f t="shared" si="162"/>
        <v>1</v>
      </c>
      <c r="BK339" t="str">
        <f t="shared" si="163"/>
        <v>Farmacia</v>
      </c>
      <c r="BL339" t="str">
        <f>""</f>
        <v/>
      </c>
      <c r="BM339" t="str">
        <f>"NÃO É VARILUX ESPECIALISTA"</f>
        <v>NÃO É VARILUX ESPECIALISTA</v>
      </c>
      <c r="BN339" t="str">
        <f t="shared" si="166"/>
        <v>NA</v>
      </c>
      <c r="BO339" t="str">
        <f>"FOCO VARILUX DIGITAL"</f>
        <v>FOCO VARILUX DIGITAL</v>
      </c>
      <c r="BP339" t="str">
        <f>""</f>
        <v/>
      </c>
      <c r="BQ339" t="str">
        <f>""</f>
        <v/>
      </c>
      <c r="BR339" t="str">
        <f>""</f>
        <v/>
      </c>
      <c r="BS339" t="str">
        <f>""</f>
        <v/>
      </c>
      <c r="BT339" t="str">
        <f>""</f>
        <v/>
      </c>
      <c r="BU339" t="str">
        <f>""</f>
        <v/>
      </c>
      <c r="BV339" t="str">
        <f>"7"</f>
        <v>7</v>
      </c>
      <c r="BW339" t="str">
        <f>"Não visitado"</f>
        <v>Não visitado</v>
      </c>
    </row>
    <row r="340" spans="1:75" x14ac:dyDescent="0.35">
      <c r="A340">
        <v>138175</v>
      </c>
      <c r="B340" t="str">
        <f t="shared" si="155"/>
        <v>A</v>
      </c>
      <c r="C340" t="str">
        <f t="shared" si="156"/>
        <v>80</v>
      </c>
      <c r="D340" t="str">
        <f t="shared" si="157"/>
        <v>11121001</v>
      </c>
      <c r="E340" t="str">
        <f t="shared" si="158"/>
        <v>121001</v>
      </c>
      <c r="F340" t="str">
        <f t="shared" si="159"/>
        <v>JENIFER SANTOS</v>
      </c>
      <c r="G340" t="str">
        <f>"26283570000120"</f>
        <v>26283570000120</v>
      </c>
      <c r="H340" t="str">
        <f>"0"</f>
        <v>0</v>
      </c>
      <c r="I340" t="str">
        <f t="shared" si="160"/>
        <v>CONTA OPTICA</v>
      </c>
      <c r="J340" t="str">
        <f>"OTICA N. D. LTDA"</f>
        <v>OTICA N. D. LTDA</v>
      </c>
      <c r="K340" t="str">
        <f>"MERCADAO DOS OCULOS (3995)"</f>
        <v>MERCADAO DOS OCULOS (3995)</v>
      </c>
      <c r="L340" t="str">
        <f>""</f>
        <v/>
      </c>
      <c r="M340" t="str">
        <f>""</f>
        <v/>
      </c>
      <c r="N340" t="str">
        <f>"sc-chapeco@mercadaodosoculos.com.br"</f>
        <v>sc-chapeco@mercadaodosoculos.com.br</v>
      </c>
      <c r="O340" t="str">
        <f>""</f>
        <v/>
      </c>
      <c r="P340" t="str">
        <f>"RUA MARECHAL JOSE B. BORMANN - E"</f>
        <v>RUA MARECHAL JOSE B. BORMANN - E</v>
      </c>
      <c r="Q340" t="str">
        <f>"113"</f>
        <v>113</v>
      </c>
      <c r="R340" t="str">
        <f>"SALA 1"</f>
        <v>SALA 1</v>
      </c>
      <c r="S340" t="str">
        <f>"1287"</f>
        <v>1287</v>
      </c>
      <c r="T340" t="str">
        <f>"89802120"</f>
        <v>89802120</v>
      </c>
      <c r="U340" t="str">
        <f t="shared" si="170"/>
        <v>CENTRO</v>
      </c>
      <c r="V340" t="str">
        <f>"CHAPECÓ"</f>
        <v>CHAPECÓ</v>
      </c>
      <c r="W340" t="str">
        <f t="shared" si="154"/>
        <v>SC</v>
      </c>
      <c r="X340" t="str">
        <f>"49"</f>
        <v>49</v>
      </c>
      <c r="Y340" t="str">
        <f>"988220808"</f>
        <v>988220808</v>
      </c>
      <c r="Z340" t="str">
        <f>""</f>
        <v/>
      </c>
      <c r="AA340" t="str">
        <f>""</f>
        <v/>
      </c>
      <c r="AB340" t="str">
        <f>""</f>
        <v/>
      </c>
      <c r="AC340" t="str">
        <f>""</f>
        <v/>
      </c>
      <c r="AD340" t="str">
        <f>""</f>
        <v/>
      </c>
      <c r="AE340" t="str">
        <f>""</f>
        <v/>
      </c>
      <c r="AF340" t="str">
        <f>""</f>
        <v/>
      </c>
      <c r="AG340" t="str">
        <f>"S"</f>
        <v>S</v>
      </c>
      <c r="AH340" t="str">
        <f>""</f>
        <v/>
      </c>
      <c r="AI340" t="str">
        <f>""</f>
        <v/>
      </c>
      <c r="AJ340" t="str">
        <f>""</f>
        <v/>
      </c>
      <c r="AK340" t="str">
        <f>""</f>
        <v/>
      </c>
      <c r="AL340" t="str">
        <f>""</f>
        <v/>
      </c>
      <c r="AM340" t="str">
        <f>""</f>
        <v/>
      </c>
      <c r="AN340" t="str">
        <f>""</f>
        <v/>
      </c>
      <c r="AO340" t="str">
        <f>""</f>
        <v/>
      </c>
      <c r="AP340" t="str">
        <f>""</f>
        <v/>
      </c>
      <c r="AQ340" t="str">
        <f>"N"</f>
        <v>N</v>
      </c>
      <c r="AR340" t="str">
        <f>"N"</f>
        <v>N</v>
      </c>
      <c r="AS340" t="str">
        <f>"N"</f>
        <v>N</v>
      </c>
      <c r="AT340" t="str">
        <f>"N"</f>
        <v>N</v>
      </c>
      <c r="AU340" t="str">
        <f>"N"</f>
        <v>N</v>
      </c>
      <c r="AV340" t="str">
        <f>""</f>
        <v/>
      </c>
      <c r="AW340" t="str">
        <f>""</f>
        <v/>
      </c>
      <c r="AX340" t="str">
        <f>""</f>
        <v/>
      </c>
      <c r="AY340" t="str">
        <f>""</f>
        <v/>
      </c>
      <c r="AZ340" t="str">
        <f>""</f>
        <v/>
      </c>
      <c r="BA340" t="str">
        <f>""</f>
        <v/>
      </c>
      <c r="BB340" t="str">
        <f>"01/07/2021 13:53:04"</f>
        <v>01/07/2021 13:53:04</v>
      </c>
      <c r="BC340" t="str">
        <f>"19/11/2021 09:45:21"</f>
        <v>19/11/2021 09:45:21</v>
      </c>
      <c r="BD340" t="str">
        <f>""</f>
        <v/>
      </c>
      <c r="BE340" t="str">
        <f>""</f>
        <v/>
      </c>
      <c r="BF340" t="str">
        <f t="shared" si="161"/>
        <v>A</v>
      </c>
      <c r="BG340" t="str">
        <f>""</f>
        <v/>
      </c>
      <c r="BH340" t="str">
        <f t="shared" si="168"/>
        <v>0,00</v>
      </c>
      <c r="BI340" t="str">
        <f t="shared" si="147"/>
        <v>EVENTUAL</v>
      </c>
      <c r="BJ340" t="str">
        <f t="shared" si="162"/>
        <v>1</v>
      </c>
      <c r="BK340" t="str">
        <f t="shared" si="163"/>
        <v>Farmacia</v>
      </c>
      <c r="BL340" t="str">
        <f>""</f>
        <v/>
      </c>
      <c r="BM340" t="str">
        <f>"NÃO É VARILUX ESPECIALISTA"</f>
        <v>NÃO É VARILUX ESPECIALISTA</v>
      </c>
      <c r="BN340" t="str">
        <f t="shared" si="166"/>
        <v>NA</v>
      </c>
      <c r="BO340" t="str">
        <f>"FOCO VARILUX"</f>
        <v>FOCO VARILUX</v>
      </c>
      <c r="BP340" t="str">
        <f>""</f>
        <v/>
      </c>
      <c r="BQ340" t="str">
        <f>""</f>
        <v/>
      </c>
      <c r="BR340" t="str">
        <f>"01/07/2021"</f>
        <v>01/07/2021</v>
      </c>
      <c r="BS340" t="str">
        <f>"19/11/2021"</f>
        <v>19/11/2021</v>
      </c>
      <c r="BT340" t="str">
        <f>""</f>
        <v/>
      </c>
      <c r="BU340" t="str">
        <f>""</f>
        <v/>
      </c>
      <c r="BV340" t="str">
        <f>""</f>
        <v/>
      </c>
      <c r="BW340" t="str">
        <f>"46"</f>
        <v>46</v>
      </c>
    </row>
    <row r="341" spans="1:75" x14ac:dyDescent="0.35">
      <c r="A341">
        <v>144737</v>
      </c>
      <c r="B341" t="str">
        <f t="shared" si="155"/>
        <v>A</v>
      </c>
      <c r="C341" t="str">
        <f t="shared" si="156"/>
        <v>80</v>
      </c>
      <c r="D341" t="str">
        <f t="shared" si="157"/>
        <v>11121001</v>
      </c>
      <c r="E341" t="str">
        <f t="shared" si="158"/>
        <v>121001</v>
      </c>
      <c r="F341" t="str">
        <f t="shared" si="159"/>
        <v>JENIFER SANTOS</v>
      </c>
      <c r="G341" t="str">
        <f>"86048105000136"</f>
        <v>86048105000136</v>
      </c>
      <c r="H341" t="str">
        <f>""</f>
        <v/>
      </c>
      <c r="I341" t="str">
        <f t="shared" si="160"/>
        <v>CONTA OPTICA</v>
      </c>
      <c r="J341" t="str">
        <f>"OTICA PARAISO DA SERRA EIRELI - EPP"</f>
        <v>OTICA PARAISO DA SERRA EIRELI - EPP</v>
      </c>
      <c r="K341" t="str">
        <f>"OTICA PARAISO SERRA EIRELLE (423)"</f>
        <v>OTICA PARAISO SERRA EIRELLE (423)</v>
      </c>
      <c r="L341" t="str">
        <f>""</f>
        <v/>
      </c>
      <c r="M341" t="str">
        <f>""</f>
        <v/>
      </c>
      <c r="N341" t="str">
        <f>"cristarpl@yahoo.com.br"</f>
        <v>cristarpl@yahoo.com.br</v>
      </c>
      <c r="O341" t="str">
        <f>""</f>
        <v/>
      </c>
      <c r="P341" t="str">
        <f>"AVENIDA DR GETULIO VARGAS"</f>
        <v>AVENIDA DR GETULIO VARGAS</v>
      </c>
      <c r="Q341" t="str">
        <f>"190"</f>
        <v>190</v>
      </c>
      <c r="R341" t="str">
        <f>""</f>
        <v/>
      </c>
      <c r="S341" t="str">
        <f>"1280"</f>
        <v>1280</v>
      </c>
      <c r="T341" t="str">
        <f>"89294000"</f>
        <v>89294000</v>
      </c>
      <c r="U341" t="str">
        <f t="shared" si="170"/>
        <v>CENTRO</v>
      </c>
      <c r="V341" t="str">
        <f>"CAMPO ALEGRE"</f>
        <v>CAMPO ALEGRE</v>
      </c>
      <c r="W341" t="str">
        <f t="shared" si="154"/>
        <v>SC</v>
      </c>
      <c r="X341" t="str">
        <f>"47"</f>
        <v>47</v>
      </c>
      <c r="Y341" t="str">
        <f>"36334660"</f>
        <v>36334660</v>
      </c>
      <c r="Z341" t="str">
        <f>""</f>
        <v/>
      </c>
      <c r="AA341" t="str">
        <f>""</f>
        <v/>
      </c>
      <c r="AB341" t="str">
        <f>""</f>
        <v/>
      </c>
      <c r="AC341" t="str">
        <f>""</f>
        <v/>
      </c>
      <c r="AD341" t="str">
        <f>""</f>
        <v/>
      </c>
      <c r="AE341" t="str">
        <f>""</f>
        <v/>
      </c>
      <c r="AF341" t="str">
        <f>""</f>
        <v/>
      </c>
      <c r="AG341" t="str">
        <f>""</f>
        <v/>
      </c>
      <c r="AH341" t="str">
        <f>""</f>
        <v/>
      </c>
      <c r="AI341" t="str">
        <f>""</f>
        <v/>
      </c>
      <c r="AJ341" t="str">
        <f>"0"</f>
        <v>0</v>
      </c>
      <c r="AK341" t="str">
        <f>"0"</f>
        <v>0</v>
      </c>
      <c r="AL341" t="str">
        <f>"0"</f>
        <v>0</v>
      </c>
      <c r="AM341" t="str">
        <f>""</f>
        <v/>
      </c>
      <c r="AN341" t="str">
        <f>""</f>
        <v/>
      </c>
      <c r="AO341" t="str">
        <f>""</f>
        <v/>
      </c>
      <c r="AP341" t="str">
        <f>""</f>
        <v/>
      </c>
      <c r="AQ341" t="str">
        <f>""</f>
        <v/>
      </c>
      <c r="AR341" t="str">
        <f>""</f>
        <v/>
      </c>
      <c r="AS341" t="str">
        <f>""</f>
        <v/>
      </c>
      <c r="AT341" t="str">
        <f>""</f>
        <v/>
      </c>
      <c r="AU341" t="str">
        <f>""</f>
        <v/>
      </c>
      <c r="AV341" t="str">
        <f>""</f>
        <v/>
      </c>
      <c r="AW341" t="str">
        <f>""</f>
        <v/>
      </c>
      <c r="AX341" t="str">
        <f>""</f>
        <v/>
      </c>
      <c r="AY341" t="str">
        <f>""</f>
        <v/>
      </c>
      <c r="AZ341" t="str">
        <f>""</f>
        <v/>
      </c>
      <c r="BA341" t="str">
        <f>""</f>
        <v/>
      </c>
      <c r="BB341" t="str">
        <f>""</f>
        <v/>
      </c>
      <c r="BC341" t="str">
        <f>""</f>
        <v/>
      </c>
      <c r="BD341" t="str">
        <f>""</f>
        <v/>
      </c>
      <c r="BE341" t="str">
        <f>""</f>
        <v/>
      </c>
      <c r="BF341" t="str">
        <f t="shared" si="161"/>
        <v>A</v>
      </c>
      <c r="BG341" t="str">
        <f>"0,00"</f>
        <v>0,00</v>
      </c>
      <c r="BH341" t="str">
        <f t="shared" si="168"/>
        <v>0,00</v>
      </c>
      <c r="BI341" t="str">
        <f t="shared" si="147"/>
        <v>EVENTUAL</v>
      </c>
      <c r="BJ341" t="str">
        <f t="shared" si="162"/>
        <v>1</v>
      </c>
      <c r="BK341" t="str">
        <f t="shared" si="163"/>
        <v>Farmacia</v>
      </c>
      <c r="BL341" t="str">
        <f>""</f>
        <v/>
      </c>
      <c r="BM341" t="str">
        <f>"NÃO É VARILUX ESPECIALISTA"</f>
        <v>NÃO É VARILUX ESPECIALISTA</v>
      </c>
      <c r="BN341" t="str">
        <f t="shared" si="166"/>
        <v>NA</v>
      </c>
      <c r="BO341" t="str">
        <f>"FOCO VARILUX"</f>
        <v>FOCO VARILUX</v>
      </c>
      <c r="BP341" t="str">
        <f>""</f>
        <v/>
      </c>
      <c r="BQ341" t="str">
        <f>""</f>
        <v/>
      </c>
      <c r="BR341" t="str">
        <f>""</f>
        <v/>
      </c>
      <c r="BS341" t="str">
        <f>""</f>
        <v/>
      </c>
      <c r="BT341" t="str">
        <f>""</f>
        <v/>
      </c>
      <c r="BU341" t="str">
        <f>""</f>
        <v/>
      </c>
      <c r="BV341" t="str">
        <f>"5"</f>
        <v>5</v>
      </c>
      <c r="BW341" t="str">
        <f>"Não visitado"</f>
        <v>Não visitado</v>
      </c>
    </row>
    <row r="342" spans="1:75" x14ac:dyDescent="0.35">
      <c r="A342">
        <v>138176</v>
      </c>
      <c r="B342" t="str">
        <f t="shared" si="155"/>
        <v>A</v>
      </c>
      <c r="C342" t="str">
        <f t="shared" si="156"/>
        <v>80</v>
      </c>
      <c r="D342" t="str">
        <f t="shared" si="157"/>
        <v>11121001</v>
      </c>
      <c r="E342" t="str">
        <f t="shared" si="158"/>
        <v>121001</v>
      </c>
      <c r="F342" t="str">
        <f t="shared" si="159"/>
        <v>JENIFER SANTOS</v>
      </c>
      <c r="G342" t="str">
        <f>"22792029000196"</f>
        <v>22792029000196</v>
      </c>
      <c r="H342" t="str">
        <f>"0"</f>
        <v>0</v>
      </c>
      <c r="I342" t="str">
        <f t="shared" si="160"/>
        <v>CONTA OPTICA</v>
      </c>
      <c r="J342" t="str">
        <f>"OTICA PASQUAL LTDA"</f>
        <v>OTICA PASQUAL LTDA</v>
      </c>
      <c r="K342" t="str">
        <f>"OTICA PASQUAL LTDA EPP (2275)"</f>
        <v>OTICA PASQUAL LTDA EPP (2275)</v>
      </c>
      <c r="L342" t="str">
        <f>""</f>
        <v/>
      </c>
      <c r="M342" t="str">
        <f>""</f>
        <v/>
      </c>
      <c r="N342" t="str">
        <f>"pasqualotica@gmail.com"</f>
        <v>pasqualotica@gmail.com</v>
      </c>
      <c r="O342" t="str">
        <f>""</f>
        <v/>
      </c>
      <c r="P342" t="str">
        <f>"RUA XV DE NOVEMBRO"</f>
        <v>RUA XV DE NOVEMBRO</v>
      </c>
      <c r="Q342" t="str">
        <f>"300"</f>
        <v>300</v>
      </c>
      <c r="R342" t="str">
        <f>"SALA"</f>
        <v>SALA</v>
      </c>
      <c r="S342" t="str">
        <f>""</f>
        <v/>
      </c>
      <c r="T342" t="str">
        <f>"89560130"</f>
        <v>89560130</v>
      </c>
      <c r="U342" t="str">
        <f t="shared" si="170"/>
        <v>CENTRO</v>
      </c>
      <c r="V342" t="str">
        <f>"VIDEIRA"</f>
        <v>VIDEIRA</v>
      </c>
      <c r="W342" t="str">
        <f t="shared" si="154"/>
        <v>SC</v>
      </c>
      <c r="X342" t="str">
        <f>"49"</f>
        <v>49</v>
      </c>
      <c r="Y342" t="str">
        <f>"35660373"</f>
        <v>35660373</v>
      </c>
      <c r="Z342" t="str">
        <f>""</f>
        <v/>
      </c>
      <c r="AA342" t="str">
        <f>""</f>
        <v/>
      </c>
      <c r="AB342" t="str">
        <f>""</f>
        <v/>
      </c>
      <c r="AC342" t="str">
        <f>""</f>
        <v/>
      </c>
      <c r="AD342" t="str">
        <f>""</f>
        <v/>
      </c>
      <c r="AE342" t="str">
        <f>""</f>
        <v/>
      </c>
      <c r="AF342" t="str">
        <f>""</f>
        <v/>
      </c>
      <c r="AG342" t="str">
        <f>"S"</f>
        <v>S</v>
      </c>
      <c r="AH342" t="str">
        <f>""</f>
        <v/>
      </c>
      <c r="AI342" t="str">
        <f>""</f>
        <v/>
      </c>
      <c r="AJ342" t="str">
        <f>""</f>
        <v/>
      </c>
      <c r="AK342" t="str">
        <f>""</f>
        <v/>
      </c>
      <c r="AL342" t="str">
        <f>""</f>
        <v/>
      </c>
      <c r="AM342" t="str">
        <f>""</f>
        <v/>
      </c>
      <c r="AN342" t="str">
        <f>""</f>
        <v/>
      </c>
      <c r="AO342" t="str">
        <f>""</f>
        <v/>
      </c>
      <c r="AP342" t="str">
        <f>""</f>
        <v/>
      </c>
      <c r="AQ342" t="str">
        <f>"N"</f>
        <v>N</v>
      </c>
      <c r="AR342" t="str">
        <f>"N"</f>
        <v>N</v>
      </c>
      <c r="AS342" t="str">
        <f>"N"</f>
        <v>N</v>
      </c>
      <c r="AT342" t="str">
        <f>"N"</f>
        <v>N</v>
      </c>
      <c r="AU342" t="str">
        <f>"N"</f>
        <v>N</v>
      </c>
      <c r="AV342" t="str">
        <f>""</f>
        <v/>
      </c>
      <c r="AW342" t="str">
        <f>""</f>
        <v/>
      </c>
      <c r="AX342" t="str">
        <f>""</f>
        <v/>
      </c>
      <c r="AY342" t="str">
        <f>""</f>
        <v/>
      </c>
      <c r="AZ342" t="str">
        <f>""</f>
        <v/>
      </c>
      <c r="BA342" t="str">
        <f>""</f>
        <v/>
      </c>
      <c r="BB342" t="str">
        <f>"01/07/2021 13:53:04"</f>
        <v>01/07/2021 13:53:04</v>
      </c>
      <c r="BC342" t="str">
        <f>"20/10/2021 15:01:42"</f>
        <v>20/10/2021 15:01:42</v>
      </c>
      <c r="BD342" t="str">
        <f>""</f>
        <v/>
      </c>
      <c r="BE342" t="str">
        <f>""</f>
        <v/>
      </c>
      <c r="BF342" t="str">
        <f t="shared" si="161"/>
        <v>A</v>
      </c>
      <c r="BG342" t="str">
        <f>""</f>
        <v/>
      </c>
      <c r="BH342" t="str">
        <f t="shared" si="168"/>
        <v>0,00</v>
      </c>
      <c r="BI342" t="str">
        <f t="shared" si="147"/>
        <v>EVENTUAL</v>
      </c>
      <c r="BJ342" t="str">
        <f t="shared" si="162"/>
        <v>1</v>
      </c>
      <c r="BK342" t="str">
        <f t="shared" si="163"/>
        <v>Farmacia</v>
      </c>
      <c r="BL342" t="str">
        <f>""</f>
        <v/>
      </c>
      <c r="BM342" t="str">
        <f>"NÃO É VARILUX ESPECIALISTA"</f>
        <v>NÃO É VARILUX ESPECIALISTA</v>
      </c>
      <c r="BN342" t="str">
        <f>"EL360"</f>
        <v>EL360</v>
      </c>
      <c r="BO342" t="str">
        <f>"FOCO VARILUX"</f>
        <v>FOCO VARILUX</v>
      </c>
      <c r="BP342" t="str">
        <f>""</f>
        <v/>
      </c>
      <c r="BQ342" t="str">
        <f>""</f>
        <v/>
      </c>
      <c r="BR342" t="str">
        <f>"01/07/2021"</f>
        <v>01/07/2021</v>
      </c>
      <c r="BS342" t="str">
        <f>"20/10/2021"</f>
        <v>20/10/2021</v>
      </c>
      <c r="BT342" t="str">
        <f>""</f>
        <v/>
      </c>
      <c r="BU342" t="str">
        <f>""</f>
        <v/>
      </c>
      <c r="BV342" t="str">
        <f>""</f>
        <v/>
      </c>
      <c r="BW342" t="str">
        <f>"Não visitado"</f>
        <v>Não visitado</v>
      </c>
    </row>
    <row r="343" spans="1:75" x14ac:dyDescent="0.35">
      <c r="A343">
        <v>156767</v>
      </c>
      <c r="B343" t="str">
        <f t="shared" si="155"/>
        <v>A</v>
      </c>
      <c r="C343" t="str">
        <f t="shared" si="156"/>
        <v>80</v>
      </c>
      <c r="D343" t="str">
        <f t="shared" si="157"/>
        <v>11121001</v>
      </c>
      <c r="E343" t="str">
        <f t="shared" si="158"/>
        <v>121001</v>
      </c>
      <c r="F343" t="str">
        <f t="shared" si="159"/>
        <v>JENIFER SANTOS</v>
      </c>
      <c r="G343" t="str">
        <f>"34644811000147"</f>
        <v>34644811000147</v>
      </c>
      <c r="H343" t="str">
        <f>"0"</f>
        <v>0</v>
      </c>
      <c r="I343" t="str">
        <f t="shared" si="160"/>
        <v>CONTA OPTICA</v>
      </c>
      <c r="J343" t="str">
        <f>"OTICA PECK FERRARI LTDA"</f>
        <v>OTICA PECK FERRARI LTDA</v>
      </c>
      <c r="K343" t="str">
        <f>"OTICA PRECO POPULAR (4072)"</f>
        <v>OTICA PRECO POPULAR (4072)</v>
      </c>
      <c r="L343" t="str">
        <f>""</f>
        <v/>
      </c>
      <c r="M343" t="str">
        <f>""</f>
        <v/>
      </c>
      <c r="N343" t="str">
        <f>"OTICAPRECOPOPULARJOINVILLE@GMAIL.COM"</f>
        <v>OTICAPRECOPOPULARJOINVILLE@GMAIL.COM</v>
      </c>
      <c r="O343" t="str">
        <f>""</f>
        <v/>
      </c>
      <c r="P343" t="str">
        <f>"RUA ABDON BATISTA"</f>
        <v>RUA ABDON BATISTA</v>
      </c>
      <c r="Q343" t="str">
        <f>"214"</f>
        <v>214</v>
      </c>
      <c r="R343" t="str">
        <f>""</f>
        <v/>
      </c>
      <c r="S343" t="str">
        <f>"1277"</f>
        <v>1277</v>
      </c>
      <c r="T343" t="str">
        <f>"89201010"</f>
        <v>89201010</v>
      </c>
      <c r="U343" t="str">
        <f t="shared" si="170"/>
        <v>CENTRO</v>
      </c>
      <c r="V343" t="str">
        <f>"JOINVILLE"</f>
        <v>JOINVILLE</v>
      </c>
      <c r="W343" t="str">
        <f t="shared" si="154"/>
        <v>SC</v>
      </c>
      <c r="X343" t="str">
        <f>"47"</f>
        <v>47</v>
      </c>
      <c r="Y343" t="str">
        <f>"38011031"</f>
        <v>38011031</v>
      </c>
      <c r="Z343" t="str">
        <f>""</f>
        <v/>
      </c>
      <c r="AA343" t="str">
        <f>""</f>
        <v/>
      </c>
      <c r="AB343" t="str">
        <f>""</f>
        <v/>
      </c>
      <c r="AC343" t="str">
        <f>""</f>
        <v/>
      </c>
      <c r="AD343" t="str">
        <f>""</f>
        <v/>
      </c>
      <c r="AE343" t="str">
        <f>""</f>
        <v/>
      </c>
      <c r="AF343" t="str">
        <f>""</f>
        <v/>
      </c>
      <c r="AG343" t="str">
        <f>""</f>
        <v/>
      </c>
      <c r="AH343" t="str">
        <f>""</f>
        <v/>
      </c>
      <c r="AI343" t="str">
        <f>""</f>
        <v/>
      </c>
      <c r="AJ343" t="str">
        <f>""</f>
        <v/>
      </c>
      <c r="AK343" t="str">
        <f>""</f>
        <v/>
      </c>
      <c r="AL343" t="str">
        <f>""</f>
        <v/>
      </c>
      <c r="AM343" t="str">
        <f>""</f>
        <v/>
      </c>
      <c r="AN343" t="str">
        <f>""</f>
        <v/>
      </c>
      <c r="AO343" t="str">
        <f>""</f>
        <v/>
      </c>
      <c r="AP343" t="str">
        <f>""</f>
        <v/>
      </c>
      <c r="AQ343" t="str">
        <f>""</f>
        <v/>
      </c>
      <c r="AR343" t="str">
        <f>""</f>
        <v/>
      </c>
      <c r="AS343" t="str">
        <f>""</f>
        <v/>
      </c>
      <c r="AT343" t="str">
        <f>""</f>
        <v/>
      </c>
      <c r="AU343" t="str">
        <f>""</f>
        <v/>
      </c>
      <c r="AV343" t="str">
        <f>""</f>
        <v/>
      </c>
      <c r="AW343" t="str">
        <f>""</f>
        <v/>
      </c>
      <c r="AX343" t="str">
        <f>""</f>
        <v/>
      </c>
      <c r="AY343" t="str">
        <f>""</f>
        <v/>
      </c>
      <c r="AZ343" t="str">
        <f>""</f>
        <v/>
      </c>
      <c r="BA343" t="str">
        <f>""</f>
        <v/>
      </c>
      <c r="BB343" t="str">
        <f>"06/07/2023 12:07:48"</f>
        <v>06/07/2023 12:07:48</v>
      </c>
      <c r="BC343" t="str">
        <f>""</f>
        <v/>
      </c>
      <c r="BD343" t="str">
        <f>""</f>
        <v/>
      </c>
      <c r="BE343" t="str">
        <f>""</f>
        <v/>
      </c>
      <c r="BF343" t="str">
        <f t="shared" si="161"/>
        <v>A</v>
      </c>
      <c r="BG343" t="str">
        <f>""</f>
        <v/>
      </c>
      <c r="BH343" t="str">
        <f>""</f>
        <v/>
      </c>
      <c r="BI343" t="str">
        <f t="shared" si="147"/>
        <v>EVENTUAL</v>
      </c>
      <c r="BJ343" t="str">
        <f t="shared" si="162"/>
        <v>1</v>
      </c>
      <c r="BK343" t="str">
        <f t="shared" si="163"/>
        <v>Farmacia</v>
      </c>
      <c r="BL343" t="str">
        <f>""</f>
        <v/>
      </c>
      <c r="BM343" t="str">
        <f>""</f>
        <v/>
      </c>
      <c r="BN343" t="str">
        <f>""</f>
        <v/>
      </c>
      <c r="BO343" t="str">
        <f>""</f>
        <v/>
      </c>
      <c r="BP343" t="str">
        <f>""</f>
        <v/>
      </c>
      <c r="BQ343" t="str">
        <f>""</f>
        <v/>
      </c>
      <c r="BR343" t="str">
        <f>"06/07/2023"</f>
        <v>06/07/2023</v>
      </c>
      <c r="BS343" t="str">
        <f>""</f>
        <v/>
      </c>
      <c r="BT343" t="str">
        <f>""</f>
        <v/>
      </c>
      <c r="BU343" t="str">
        <f>""</f>
        <v/>
      </c>
      <c r="BV343" t="str">
        <f>""</f>
        <v/>
      </c>
      <c r="BW343" t="str">
        <f>"Não visitado"</f>
        <v>Não visitado</v>
      </c>
    </row>
    <row r="344" spans="1:75" x14ac:dyDescent="0.35">
      <c r="A344">
        <v>152728</v>
      </c>
      <c r="B344" t="str">
        <f t="shared" si="155"/>
        <v>A</v>
      </c>
      <c r="C344" t="str">
        <f t="shared" si="156"/>
        <v>80</v>
      </c>
      <c r="D344" t="str">
        <f t="shared" si="157"/>
        <v>11121001</v>
      </c>
      <c r="E344" t="str">
        <f t="shared" si="158"/>
        <v>121001</v>
      </c>
      <c r="F344" t="str">
        <f t="shared" si="159"/>
        <v>JENIFER SANTOS</v>
      </c>
      <c r="G344" t="str">
        <f>"47663212000112"</f>
        <v>47663212000112</v>
      </c>
      <c r="H344" t="str">
        <f>"0"</f>
        <v>0</v>
      </c>
      <c r="I344" t="str">
        <f t="shared" si="160"/>
        <v>CONTA OPTICA</v>
      </c>
      <c r="J344" t="str">
        <f>"OTICA PERFIL LTDA"</f>
        <v>OTICA PERFIL LTDA</v>
      </c>
      <c r="K344" t="str">
        <f>"OTICA PERFIL"</f>
        <v>OTICA PERFIL</v>
      </c>
      <c r="L344" t="str">
        <f>""</f>
        <v/>
      </c>
      <c r="M344" t="str">
        <f>""</f>
        <v/>
      </c>
      <c r="N344" t="str">
        <f>"oticaperfilcco@gmail.com"</f>
        <v>oticaperfilcco@gmail.com</v>
      </c>
      <c r="O344" t="str">
        <f>""</f>
        <v/>
      </c>
      <c r="P344" t="str">
        <f>"AVENIDA PORTO ALEGRE - D"</f>
        <v>AVENIDA PORTO ALEGRE - D</v>
      </c>
      <c r="Q344" t="str">
        <f>"391"</f>
        <v>391</v>
      </c>
      <c r="R344" t="str">
        <f>"- ATE 619/620"</f>
        <v>- ATE 619/620</v>
      </c>
      <c r="S344" t="str">
        <f>"1287"</f>
        <v>1287</v>
      </c>
      <c r="T344" t="str">
        <f>"89802130"</f>
        <v>89802130</v>
      </c>
      <c r="U344" t="str">
        <f t="shared" si="170"/>
        <v>CENTRO</v>
      </c>
      <c r="V344" t="str">
        <f>"CHAPECO"</f>
        <v>CHAPECO</v>
      </c>
      <c r="W344" t="str">
        <f t="shared" si="154"/>
        <v>SC</v>
      </c>
      <c r="X344" t="str">
        <f>"49"</f>
        <v>49</v>
      </c>
      <c r="Y344" t="str">
        <f>"999902604"</f>
        <v>999902604</v>
      </c>
      <c r="Z344" t="str">
        <f>""</f>
        <v/>
      </c>
      <c r="AA344" t="str">
        <f>""</f>
        <v/>
      </c>
      <c r="AB344" t="str">
        <f>""</f>
        <v/>
      </c>
      <c r="AC344" t="str">
        <f>""</f>
        <v/>
      </c>
      <c r="AD344" t="str">
        <f>""</f>
        <v/>
      </c>
      <c r="AE344" t="str">
        <f>""</f>
        <v/>
      </c>
      <c r="AF344" t="str">
        <f>""</f>
        <v/>
      </c>
      <c r="AG344" t="str">
        <f>""</f>
        <v/>
      </c>
      <c r="AH344" t="str">
        <f>""</f>
        <v/>
      </c>
      <c r="AI344" t="str">
        <f>""</f>
        <v/>
      </c>
      <c r="AJ344" t="str">
        <f>""</f>
        <v/>
      </c>
      <c r="AK344" t="str">
        <f>""</f>
        <v/>
      </c>
      <c r="AL344" t="str">
        <f>""</f>
        <v/>
      </c>
      <c r="AM344" t="str">
        <f>""</f>
        <v/>
      </c>
      <c r="AN344" t="str">
        <f>""</f>
        <v/>
      </c>
      <c r="AO344" t="str">
        <f>""</f>
        <v/>
      </c>
      <c r="AP344" t="str">
        <f>""</f>
        <v/>
      </c>
      <c r="AQ344" t="str">
        <f>""</f>
        <v/>
      </c>
      <c r="AR344" t="str">
        <f>""</f>
        <v/>
      </c>
      <c r="AS344" t="str">
        <f>""</f>
        <v/>
      </c>
      <c r="AT344" t="str">
        <f>""</f>
        <v/>
      </c>
      <c r="AU344" t="str">
        <f>""</f>
        <v/>
      </c>
      <c r="AV344" t="str">
        <f>""</f>
        <v/>
      </c>
      <c r="AW344" t="str">
        <f>""</f>
        <v/>
      </c>
      <c r="AX344" t="str">
        <f>""</f>
        <v/>
      </c>
      <c r="AY344" t="str">
        <f>""</f>
        <v/>
      </c>
      <c r="AZ344" t="str">
        <f>""</f>
        <v/>
      </c>
      <c r="BA344" t="str">
        <f>""</f>
        <v/>
      </c>
      <c r="BB344" t="str">
        <f>"03/04/2023 13:34:29"</f>
        <v>03/04/2023 13:34:29</v>
      </c>
      <c r="BC344" t="str">
        <f>""</f>
        <v/>
      </c>
      <c r="BD344" t="str">
        <f>""</f>
        <v/>
      </c>
      <c r="BE344" t="str">
        <f>""</f>
        <v/>
      </c>
      <c r="BF344" t="str">
        <f t="shared" si="161"/>
        <v>A</v>
      </c>
      <c r="BG344" t="str">
        <f>""</f>
        <v/>
      </c>
      <c r="BH344" t="str">
        <f>""</f>
        <v/>
      </c>
      <c r="BI344" t="str">
        <f t="shared" si="147"/>
        <v>EVENTUAL</v>
      </c>
      <c r="BJ344" t="str">
        <f t="shared" si="162"/>
        <v>1</v>
      </c>
      <c r="BK344" t="str">
        <f t="shared" si="163"/>
        <v>Farmacia</v>
      </c>
      <c r="BL344" t="str">
        <f>""</f>
        <v/>
      </c>
      <c r="BM344" t="str">
        <f>""</f>
        <v/>
      </c>
      <c r="BN344" t="str">
        <f>""</f>
        <v/>
      </c>
      <c r="BO344" t="str">
        <f>""</f>
        <v/>
      </c>
      <c r="BP344" t="str">
        <f>""</f>
        <v/>
      </c>
      <c r="BQ344" t="str">
        <f>""</f>
        <v/>
      </c>
      <c r="BR344" t="str">
        <f>"03/04/2023"</f>
        <v>03/04/2023</v>
      </c>
      <c r="BS344" t="str">
        <f>""</f>
        <v/>
      </c>
      <c r="BT344" t="str">
        <f>""</f>
        <v/>
      </c>
      <c r="BU344" t="str">
        <f>""</f>
        <v/>
      </c>
      <c r="BV344" t="str">
        <f>""</f>
        <v/>
      </c>
      <c r="BW344" t="str">
        <f>"7"</f>
        <v>7</v>
      </c>
    </row>
    <row r="345" spans="1:75" x14ac:dyDescent="0.35">
      <c r="A345">
        <v>144790</v>
      </c>
      <c r="B345" t="str">
        <f t="shared" si="155"/>
        <v>A</v>
      </c>
      <c r="C345" t="str">
        <f t="shared" si="156"/>
        <v>80</v>
      </c>
      <c r="D345" t="str">
        <f t="shared" si="157"/>
        <v>11121001</v>
      </c>
      <c r="E345" t="str">
        <f t="shared" si="158"/>
        <v>121001</v>
      </c>
      <c r="F345" t="str">
        <f t="shared" si="159"/>
        <v>JENIFER SANTOS</v>
      </c>
      <c r="G345" t="str">
        <f>"38207002000129"</f>
        <v>38207002000129</v>
      </c>
      <c r="H345" t="str">
        <f>""</f>
        <v/>
      </c>
      <c r="I345" t="str">
        <f t="shared" si="160"/>
        <v>CONTA OPTICA</v>
      </c>
      <c r="J345" t="str">
        <f>"OTICA PETRY LTDA"</f>
        <v>OTICA PETRY LTDA</v>
      </c>
      <c r="K345" t="str">
        <f>"OTICA PETRY (4206)"</f>
        <v>OTICA PETRY (4206)</v>
      </c>
      <c r="L345" t="str">
        <f>""</f>
        <v/>
      </c>
      <c r="M345" t="str">
        <f>""</f>
        <v/>
      </c>
      <c r="N345" t="str">
        <f>"oticapetry@gmail.com"</f>
        <v>oticapetry@gmail.com</v>
      </c>
      <c r="O345" t="str">
        <f>""</f>
        <v/>
      </c>
      <c r="P345" t="str">
        <f>"RUA MONSENHOR GERCINO"</f>
        <v>RUA MONSENHOR GERCINO</v>
      </c>
      <c r="Q345" t="str">
        <f>"1286"</f>
        <v>1286</v>
      </c>
      <c r="R345" t="str">
        <f>""</f>
        <v/>
      </c>
      <c r="S345" t="str">
        <f>""</f>
        <v/>
      </c>
      <c r="T345" t="str">
        <f>"89210145"</f>
        <v>89210145</v>
      </c>
      <c r="U345" t="str">
        <f>"ITAUM"</f>
        <v>ITAUM</v>
      </c>
      <c r="V345" t="str">
        <f>"JOINVILLE"</f>
        <v>JOINVILLE</v>
      </c>
      <c r="W345" t="str">
        <f t="shared" si="154"/>
        <v>SC</v>
      </c>
      <c r="X345" t="str">
        <f>"47"</f>
        <v>47</v>
      </c>
      <c r="Y345" t="str">
        <f>"32274163"</f>
        <v>32274163</v>
      </c>
      <c r="Z345" t="str">
        <f>""</f>
        <v/>
      </c>
      <c r="AA345" t="str">
        <f>""</f>
        <v/>
      </c>
      <c r="AB345" t="str">
        <f>""</f>
        <v/>
      </c>
      <c r="AC345" t="str">
        <f>""</f>
        <v/>
      </c>
      <c r="AD345" t="str">
        <f>""</f>
        <v/>
      </c>
      <c r="AE345" t="str">
        <f>""</f>
        <v/>
      </c>
      <c r="AF345" t="str">
        <f>""</f>
        <v/>
      </c>
      <c r="AG345" t="str">
        <f>""</f>
        <v/>
      </c>
      <c r="AH345" t="str">
        <f>""</f>
        <v/>
      </c>
      <c r="AI345" t="str">
        <f>""</f>
        <v/>
      </c>
      <c r="AJ345" t="str">
        <f>""</f>
        <v/>
      </c>
      <c r="AK345" t="str">
        <f>""</f>
        <v/>
      </c>
      <c r="AL345" t="str">
        <f>""</f>
        <v/>
      </c>
      <c r="AM345" t="str">
        <f>""</f>
        <v/>
      </c>
      <c r="AN345" t="str">
        <f>""</f>
        <v/>
      </c>
      <c r="AO345" t="str">
        <f>""</f>
        <v/>
      </c>
      <c r="AP345" t="str">
        <f>""</f>
        <v/>
      </c>
      <c r="AQ345" t="str">
        <f>""</f>
        <v/>
      </c>
      <c r="AR345" t="str">
        <f>""</f>
        <v/>
      </c>
      <c r="AS345" t="str">
        <f>""</f>
        <v/>
      </c>
      <c r="AT345" t="str">
        <f>""</f>
        <v/>
      </c>
      <c r="AU345" t="str">
        <f>""</f>
        <v/>
      </c>
      <c r="AV345" t="str">
        <f>""</f>
        <v/>
      </c>
      <c r="AW345" t="str">
        <f>""</f>
        <v/>
      </c>
      <c r="AX345" t="str">
        <f>""</f>
        <v/>
      </c>
      <c r="AY345" t="str">
        <f>""</f>
        <v/>
      </c>
      <c r="AZ345" t="str">
        <f>""</f>
        <v/>
      </c>
      <c r="BA345" t="str">
        <f>""</f>
        <v/>
      </c>
      <c r="BB345" t="str">
        <f>""</f>
        <v/>
      </c>
      <c r="BC345" t="str">
        <f>""</f>
        <v/>
      </c>
      <c r="BD345" t="str">
        <f>""</f>
        <v/>
      </c>
      <c r="BE345" t="str">
        <f>""</f>
        <v/>
      </c>
      <c r="BF345" t="str">
        <f t="shared" si="161"/>
        <v>A</v>
      </c>
      <c r="BG345" t="str">
        <f>""</f>
        <v/>
      </c>
      <c r="BH345" t="str">
        <f>""</f>
        <v/>
      </c>
      <c r="BI345" t="str">
        <f t="shared" si="147"/>
        <v>EVENTUAL</v>
      </c>
      <c r="BJ345" t="str">
        <f t="shared" si="162"/>
        <v>1</v>
      </c>
      <c r="BK345" t="str">
        <f t="shared" si="163"/>
        <v>Farmacia</v>
      </c>
      <c r="BL345" t="str">
        <f>""</f>
        <v/>
      </c>
      <c r="BM345" t="str">
        <f>"NÃO É VARILUX ESPECIALISTA"</f>
        <v>NÃO É VARILUX ESPECIALISTA</v>
      </c>
      <c r="BN345" t="str">
        <f>"NA"</f>
        <v>NA</v>
      </c>
      <c r="BO345" t="str">
        <f>""</f>
        <v/>
      </c>
      <c r="BP345" t="str">
        <f>""</f>
        <v/>
      </c>
      <c r="BQ345" t="str">
        <f>""</f>
        <v/>
      </c>
      <c r="BR345" t="str">
        <f>""</f>
        <v/>
      </c>
      <c r="BS345" t="str">
        <f>""</f>
        <v/>
      </c>
      <c r="BT345" t="str">
        <f>""</f>
        <v/>
      </c>
      <c r="BU345" t="str">
        <f>""</f>
        <v/>
      </c>
      <c r="BV345" t="str">
        <f>"9"</f>
        <v>9</v>
      </c>
      <c r="BW345" t="str">
        <f>"Não visitado"</f>
        <v>Não visitado</v>
      </c>
    </row>
    <row r="346" spans="1:75" x14ac:dyDescent="0.35">
      <c r="A346">
        <v>156736</v>
      </c>
      <c r="B346" t="str">
        <f t="shared" si="155"/>
        <v>A</v>
      </c>
      <c r="C346" t="str">
        <f t="shared" si="156"/>
        <v>80</v>
      </c>
      <c r="D346" t="str">
        <f t="shared" si="157"/>
        <v>11121001</v>
      </c>
      <c r="E346" t="str">
        <f t="shared" si="158"/>
        <v>121001</v>
      </c>
      <c r="F346" t="str">
        <f t="shared" si="159"/>
        <v>JENIFER SANTOS</v>
      </c>
      <c r="G346" t="str">
        <f>"50397679000172"</f>
        <v>50397679000172</v>
      </c>
      <c r="H346" t="str">
        <f>"0"</f>
        <v>0</v>
      </c>
      <c r="I346" t="str">
        <f t="shared" si="160"/>
        <v>CONTA OPTICA</v>
      </c>
      <c r="J346" t="str">
        <f>"OTICA POPULAR BOEHMERWALD LTDA"</f>
        <v>OTICA POPULAR BOEHMERWALD LTDA</v>
      </c>
      <c r="K346" t="str">
        <f>"OTICA POPULAR (4709)"</f>
        <v>OTICA POPULAR (4709)</v>
      </c>
      <c r="L346" t="str">
        <f>""</f>
        <v/>
      </c>
      <c r="M346" t="str">
        <f>""</f>
        <v/>
      </c>
      <c r="N346" t="str">
        <f>"ISAALBANO21@HOTMAIL.COM"</f>
        <v>ISAALBANO21@HOTMAIL.COM</v>
      </c>
      <c r="O346" t="str">
        <f>""</f>
        <v/>
      </c>
      <c r="P346" t="str">
        <f>"RUA BOEHMERWALD"</f>
        <v>RUA BOEHMERWALD</v>
      </c>
      <c r="Q346" t="str">
        <f>"820"</f>
        <v>820</v>
      </c>
      <c r="R346" t="str">
        <f>""</f>
        <v/>
      </c>
      <c r="S346" t="str">
        <f>""</f>
        <v/>
      </c>
      <c r="T346" t="str">
        <f>"89232486"</f>
        <v>89232486</v>
      </c>
      <c r="U346" t="str">
        <f>"BOEHMERWALD"</f>
        <v>BOEHMERWALD</v>
      </c>
      <c r="V346" t="str">
        <f>"JOINVILLE"</f>
        <v>JOINVILLE</v>
      </c>
      <c r="W346" t="str">
        <f t="shared" si="154"/>
        <v>SC</v>
      </c>
      <c r="X346" t="str">
        <f>"47"</f>
        <v>47</v>
      </c>
      <c r="Y346" t="str">
        <f>"997119279"</f>
        <v>997119279</v>
      </c>
      <c r="Z346" t="str">
        <f>""</f>
        <v/>
      </c>
      <c r="AA346" t="str">
        <f>""</f>
        <v/>
      </c>
      <c r="AB346" t="str">
        <f>""</f>
        <v/>
      </c>
      <c r="AC346" t="str">
        <f>""</f>
        <v/>
      </c>
      <c r="AD346" t="str">
        <f>""</f>
        <v/>
      </c>
      <c r="AE346" t="str">
        <f>""</f>
        <v/>
      </c>
      <c r="AF346" t="str">
        <f>""</f>
        <v/>
      </c>
      <c r="AG346" t="str">
        <f>""</f>
        <v/>
      </c>
      <c r="AH346" t="str">
        <f>""</f>
        <v/>
      </c>
      <c r="AI346" t="str">
        <f>""</f>
        <v/>
      </c>
      <c r="AJ346" t="str">
        <f>""</f>
        <v/>
      </c>
      <c r="AK346" t="str">
        <f>""</f>
        <v/>
      </c>
      <c r="AL346" t="str">
        <f>""</f>
        <v/>
      </c>
      <c r="AM346" t="str">
        <f>""</f>
        <v/>
      </c>
      <c r="AN346" t="str">
        <f>""</f>
        <v/>
      </c>
      <c r="AO346" t="str">
        <f>""</f>
        <v/>
      </c>
      <c r="AP346" t="str">
        <f>""</f>
        <v/>
      </c>
      <c r="AQ346" t="str">
        <f>""</f>
        <v/>
      </c>
      <c r="AR346" t="str">
        <f>""</f>
        <v/>
      </c>
      <c r="AS346" t="str">
        <f>""</f>
        <v/>
      </c>
      <c r="AT346" t="str">
        <f>""</f>
        <v/>
      </c>
      <c r="AU346" t="str">
        <f>""</f>
        <v/>
      </c>
      <c r="AV346" t="str">
        <f>""</f>
        <v/>
      </c>
      <c r="AW346" t="str">
        <f>""</f>
        <v/>
      </c>
      <c r="AX346" t="str">
        <f>""</f>
        <v/>
      </c>
      <c r="AY346" t="str">
        <f>""</f>
        <v/>
      </c>
      <c r="AZ346" t="str">
        <f>""</f>
        <v/>
      </c>
      <c r="BA346" t="str">
        <f>""</f>
        <v/>
      </c>
      <c r="BB346" t="str">
        <f>"06/07/2023 12:07:48"</f>
        <v>06/07/2023 12:07:48</v>
      </c>
      <c r="BC346" t="str">
        <f>""</f>
        <v/>
      </c>
      <c r="BD346" t="str">
        <f>""</f>
        <v/>
      </c>
      <c r="BE346" t="str">
        <f>""</f>
        <v/>
      </c>
      <c r="BF346" t="str">
        <f t="shared" si="161"/>
        <v>A</v>
      </c>
      <c r="BG346" t="str">
        <f>""</f>
        <v/>
      </c>
      <c r="BH346" t="str">
        <f>""</f>
        <v/>
      </c>
      <c r="BI346" t="str">
        <f t="shared" si="147"/>
        <v>EVENTUAL</v>
      </c>
      <c r="BJ346" t="str">
        <f t="shared" si="162"/>
        <v>1</v>
      </c>
      <c r="BK346" t="str">
        <f t="shared" si="163"/>
        <v>Farmacia</v>
      </c>
      <c r="BL346" t="str">
        <f>""</f>
        <v/>
      </c>
      <c r="BM346" t="str">
        <f>""</f>
        <v/>
      </c>
      <c r="BN346" t="str">
        <f>""</f>
        <v/>
      </c>
      <c r="BO346" t="str">
        <f>""</f>
        <v/>
      </c>
      <c r="BP346" t="str">
        <f>""</f>
        <v/>
      </c>
      <c r="BQ346" t="str">
        <f>""</f>
        <v/>
      </c>
      <c r="BR346" t="str">
        <f>"06/07/2023"</f>
        <v>06/07/2023</v>
      </c>
      <c r="BS346" t="str">
        <f>""</f>
        <v/>
      </c>
      <c r="BT346" t="str">
        <f>""</f>
        <v/>
      </c>
      <c r="BU346" t="str">
        <f>""</f>
        <v/>
      </c>
      <c r="BV346" t="str">
        <f>""</f>
        <v/>
      </c>
      <c r="BW346" t="str">
        <f>"100"</f>
        <v>100</v>
      </c>
    </row>
    <row r="347" spans="1:75" x14ac:dyDescent="0.35">
      <c r="A347">
        <v>144886</v>
      </c>
      <c r="B347" t="str">
        <f t="shared" si="155"/>
        <v>A</v>
      </c>
      <c r="C347" t="str">
        <f t="shared" si="156"/>
        <v>80</v>
      </c>
      <c r="D347" t="str">
        <f t="shared" si="157"/>
        <v>11121001</v>
      </c>
      <c r="E347" t="str">
        <f t="shared" si="158"/>
        <v>121001</v>
      </c>
      <c r="F347" t="str">
        <f t="shared" si="159"/>
        <v>JENIFER SANTOS</v>
      </c>
      <c r="G347" t="str">
        <f>"44346001000168"</f>
        <v>44346001000168</v>
      </c>
      <c r="H347" t="str">
        <f>"0"</f>
        <v>0</v>
      </c>
      <c r="I347" t="str">
        <f t="shared" si="160"/>
        <v>CONTA OPTICA</v>
      </c>
      <c r="J347" t="str">
        <f>"OTICA PRECISAO LTDA"</f>
        <v>OTICA PRECISAO LTDA</v>
      </c>
      <c r="K347" t="str">
        <f>"OTICAS PRECISAO (4437)"</f>
        <v>OTICAS PRECISAO (4437)</v>
      </c>
      <c r="L347" t="str">
        <f>""</f>
        <v/>
      </c>
      <c r="M347" t="str">
        <f>""</f>
        <v/>
      </c>
      <c r="N347" t="str">
        <f>"PRECISAOXAXIM@GMAIL.COM"</f>
        <v>PRECISAOXAXIM@GMAIL.COM</v>
      </c>
      <c r="O347" t="str">
        <f>""</f>
        <v/>
      </c>
      <c r="P347" t="str">
        <f>"PLINIO ARLINDO DE NES"</f>
        <v>PLINIO ARLINDO DE NES</v>
      </c>
      <c r="Q347" t="str">
        <f>"828"</f>
        <v>828</v>
      </c>
      <c r="R347" t="str">
        <f>""</f>
        <v/>
      </c>
      <c r="S347" t="str">
        <f>"1288"</f>
        <v>1288</v>
      </c>
      <c r="T347" t="str">
        <f>"89825000"</f>
        <v>89825000</v>
      </c>
      <c r="U347" t="str">
        <f>"CENTRO"</f>
        <v>CENTRO</v>
      </c>
      <c r="V347" t="str">
        <f>"XAXIM"</f>
        <v>XAXIM</v>
      </c>
      <c r="W347" t="str">
        <f t="shared" si="154"/>
        <v>SC</v>
      </c>
      <c r="X347" t="str">
        <f>"48"</f>
        <v>48</v>
      </c>
      <c r="Y347" t="str">
        <f>"989032545"</f>
        <v>989032545</v>
      </c>
      <c r="Z347" t="str">
        <f>""</f>
        <v/>
      </c>
      <c r="AA347" t="str">
        <f>""</f>
        <v/>
      </c>
      <c r="AB347" t="str">
        <f>""</f>
        <v/>
      </c>
      <c r="AC347" t="str">
        <f>""</f>
        <v/>
      </c>
      <c r="AD347" t="str">
        <f>""</f>
        <v/>
      </c>
      <c r="AE347" t="str">
        <f>""</f>
        <v/>
      </c>
      <c r="AF347" t="str">
        <f>""</f>
        <v/>
      </c>
      <c r="AG347" t="str">
        <f>"S"</f>
        <v>S</v>
      </c>
      <c r="AH347" t="str">
        <f>""</f>
        <v/>
      </c>
      <c r="AI347" t="str">
        <f>""</f>
        <v/>
      </c>
      <c r="AJ347" t="str">
        <f>""</f>
        <v/>
      </c>
      <c r="AK347" t="str">
        <f>""</f>
        <v/>
      </c>
      <c r="AL347" t="str">
        <f>""</f>
        <v/>
      </c>
      <c r="AM347" t="str">
        <f>""</f>
        <v/>
      </c>
      <c r="AN347" t="str">
        <f>""</f>
        <v/>
      </c>
      <c r="AO347" t="str">
        <f>""</f>
        <v/>
      </c>
      <c r="AP347" t="str">
        <f>""</f>
        <v/>
      </c>
      <c r="AQ347" t="str">
        <f>"N"</f>
        <v>N</v>
      </c>
      <c r="AR347" t="str">
        <f>"N"</f>
        <v>N</v>
      </c>
      <c r="AS347" t="str">
        <f>"N"</f>
        <v>N</v>
      </c>
      <c r="AT347" t="str">
        <f>"N"</f>
        <v>N</v>
      </c>
      <c r="AU347" t="str">
        <f>"N"</f>
        <v>N</v>
      </c>
      <c r="AV347" t="str">
        <f>""</f>
        <v/>
      </c>
      <c r="AW347" t="str">
        <f>""</f>
        <v/>
      </c>
      <c r="AX347" t="str">
        <f>""</f>
        <v/>
      </c>
      <c r="AY347" t="str">
        <f>""</f>
        <v/>
      </c>
      <c r="AZ347" t="str">
        <f>""</f>
        <v/>
      </c>
      <c r="BA347" t="str">
        <f>""</f>
        <v/>
      </c>
      <c r="BB347" t="str">
        <f>"28/12/2021 17:14:38"</f>
        <v>28/12/2021 17:14:38</v>
      </c>
      <c r="BC347" t="str">
        <f>"18/03/2022 15:51:28"</f>
        <v>18/03/2022 15:51:28</v>
      </c>
      <c r="BD347" t="str">
        <f>""</f>
        <v/>
      </c>
      <c r="BE347" t="str">
        <f>""</f>
        <v/>
      </c>
      <c r="BF347" t="str">
        <f t="shared" si="161"/>
        <v>A</v>
      </c>
      <c r="BG347" t="str">
        <f>""</f>
        <v/>
      </c>
      <c r="BH347" t="str">
        <f>"0,00"</f>
        <v>0,00</v>
      </c>
      <c r="BI347" t="str">
        <f t="shared" si="147"/>
        <v>EVENTUAL</v>
      </c>
      <c r="BJ347" t="str">
        <f t="shared" si="162"/>
        <v>1</v>
      </c>
      <c r="BK347" t="str">
        <f t="shared" si="163"/>
        <v>Farmacia</v>
      </c>
      <c r="BL347" t="str">
        <f>""</f>
        <v/>
      </c>
      <c r="BM347" t="str">
        <f>""</f>
        <v/>
      </c>
      <c r="BN347" t="str">
        <f>""</f>
        <v/>
      </c>
      <c r="BO347" t="str">
        <f>"OUTROS"</f>
        <v>OUTROS</v>
      </c>
      <c r="BP347" t="str">
        <f>""</f>
        <v/>
      </c>
      <c r="BQ347" t="str">
        <f>""</f>
        <v/>
      </c>
      <c r="BR347" t="str">
        <f>"28/12/2021"</f>
        <v>28/12/2021</v>
      </c>
      <c r="BS347" t="str">
        <f>"18/03/2022"</f>
        <v>18/03/2022</v>
      </c>
      <c r="BT347" t="str">
        <f>""</f>
        <v/>
      </c>
      <c r="BU347" t="str">
        <f>""</f>
        <v/>
      </c>
      <c r="BV347" t="str">
        <f>""</f>
        <v/>
      </c>
      <c r="BW347" t="str">
        <f>"8"</f>
        <v>8</v>
      </c>
    </row>
    <row r="348" spans="1:75" x14ac:dyDescent="0.35">
      <c r="A348">
        <v>157532</v>
      </c>
      <c r="B348" t="str">
        <f t="shared" si="155"/>
        <v>A</v>
      </c>
      <c r="C348" t="str">
        <f t="shared" si="156"/>
        <v>80</v>
      </c>
      <c r="D348" t="str">
        <f t="shared" si="157"/>
        <v>11121001</v>
      </c>
      <c r="E348" t="str">
        <f t="shared" si="158"/>
        <v>121001</v>
      </c>
      <c r="F348" t="str">
        <f t="shared" si="159"/>
        <v>JENIFER SANTOS</v>
      </c>
      <c r="G348" t="str">
        <f>"83019372000197"</f>
        <v>83019372000197</v>
      </c>
      <c r="H348" t="str">
        <f>"0"</f>
        <v>0</v>
      </c>
      <c r="I348" t="str">
        <f t="shared" si="160"/>
        <v>CONTA OPTICA</v>
      </c>
      <c r="J348" t="str">
        <f>"OTICA PRECISAO LTDA - EPP"</f>
        <v>OTICA PRECISAO LTDA - EPP</v>
      </c>
      <c r="K348" t="str">
        <f>"OTICA PRECISAO (3818)"</f>
        <v>OTICA PRECISAO (3818)</v>
      </c>
      <c r="L348" t="str">
        <f>""</f>
        <v/>
      </c>
      <c r="M348" t="str">
        <f>""</f>
        <v/>
      </c>
      <c r="N348" t="str">
        <f>"EMANUELACARVALHO@HOTMAIL.COM"</f>
        <v>EMANUELACARVALHO@HOTMAIL.COM</v>
      </c>
      <c r="O348" t="str">
        <f>""</f>
        <v/>
      </c>
      <c r="P348" t="str">
        <f>"RUA GETULIO DORNELES VARGAS - N"</f>
        <v>RUA GETULIO DORNELES VARGAS - N</v>
      </c>
      <c r="Q348" t="str">
        <f>"241"</f>
        <v>241</v>
      </c>
      <c r="R348" t="str">
        <f>"N"</f>
        <v>N</v>
      </c>
      <c r="S348" t="str">
        <f>"1287"</f>
        <v>1287</v>
      </c>
      <c r="T348" t="str">
        <f>"89802000"</f>
        <v>89802000</v>
      </c>
      <c r="U348" t="str">
        <f>"CENTRO"</f>
        <v>CENTRO</v>
      </c>
      <c r="V348" t="str">
        <f>"CHAPECO"</f>
        <v>CHAPECO</v>
      </c>
      <c r="W348" t="str">
        <f t="shared" si="154"/>
        <v>SC</v>
      </c>
      <c r="X348" t="str">
        <f>"49"</f>
        <v>49</v>
      </c>
      <c r="Y348" t="str">
        <f>"33297179"</f>
        <v>33297179</v>
      </c>
      <c r="Z348" t="str">
        <f>""</f>
        <v/>
      </c>
      <c r="AA348" t="str">
        <f>""</f>
        <v/>
      </c>
      <c r="AB348" t="str">
        <f>""</f>
        <v/>
      </c>
      <c r="AC348" t="str">
        <f>""</f>
        <v/>
      </c>
      <c r="AD348" t="str">
        <f>""</f>
        <v/>
      </c>
      <c r="AE348" t="str">
        <f>""</f>
        <v/>
      </c>
      <c r="AF348" t="str">
        <f>""</f>
        <v/>
      </c>
      <c r="AG348" t="str">
        <f>""</f>
        <v/>
      </c>
      <c r="AH348" t="str">
        <f>""</f>
        <v/>
      </c>
      <c r="AI348" t="str">
        <f>""</f>
        <v/>
      </c>
      <c r="AJ348" t="str">
        <f>""</f>
        <v/>
      </c>
      <c r="AK348" t="str">
        <f>""</f>
        <v/>
      </c>
      <c r="AL348" t="str">
        <f>""</f>
        <v/>
      </c>
      <c r="AM348" t="str">
        <f>""</f>
        <v/>
      </c>
      <c r="AN348" t="str">
        <f>""</f>
        <v/>
      </c>
      <c r="AO348" t="str">
        <f>""</f>
        <v/>
      </c>
      <c r="AP348" t="str">
        <f>""</f>
        <v/>
      </c>
      <c r="AQ348" t="str">
        <f>""</f>
        <v/>
      </c>
      <c r="AR348" t="str">
        <f>""</f>
        <v/>
      </c>
      <c r="AS348" t="str">
        <f>""</f>
        <v/>
      </c>
      <c r="AT348" t="str">
        <f>""</f>
        <v/>
      </c>
      <c r="AU348" t="str">
        <f>""</f>
        <v/>
      </c>
      <c r="AV348" t="str">
        <f>""</f>
        <v/>
      </c>
      <c r="AW348" t="str">
        <f>""</f>
        <v/>
      </c>
      <c r="AX348" t="str">
        <f>""</f>
        <v/>
      </c>
      <c r="AY348" t="str">
        <f>""</f>
        <v/>
      </c>
      <c r="AZ348" t="str">
        <f>""</f>
        <v/>
      </c>
      <c r="BA348" t="str">
        <f>""</f>
        <v/>
      </c>
      <c r="BB348" t="str">
        <f>"11/07/2023 02:14:29"</f>
        <v>11/07/2023 02:14:29</v>
      </c>
      <c r="BC348" t="str">
        <f>""</f>
        <v/>
      </c>
      <c r="BD348" t="str">
        <f>""</f>
        <v/>
      </c>
      <c r="BE348" t="str">
        <f>""</f>
        <v/>
      </c>
      <c r="BF348" t="str">
        <f t="shared" si="161"/>
        <v>A</v>
      </c>
      <c r="BG348" t="str">
        <f>""</f>
        <v/>
      </c>
      <c r="BH348" t="str">
        <f>""</f>
        <v/>
      </c>
      <c r="BI348" t="str">
        <f t="shared" si="147"/>
        <v>EVENTUAL</v>
      </c>
      <c r="BJ348" t="str">
        <f t="shared" si="162"/>
        <v>1</v>
      </c>
      <c r="BK348" t="str">
        <f t="shared" si="163"/>
        <v>Farmacia</v>
      </c>
      <c r="BL348" t="str">
        <f>""</f>
        <v/>
      </c>
      <c r="BM348" t="str">
        <f>""</f>
        <v/>
      </c>
      <c r="BN348" t="str">
        <f>""</f>
        <v/>
      </c>
      <c r="BO348" t="str">
        <f>""</f>
        <v/>
      </c>
      <c r="BP348" t="str">
        <f>""</f>
        <v/>
      </c>
      <c r="BQ348" t="str">
        <f>""</f>
        <v/>
      </c>
      <c r="BR348" t="str">
        <f>"11/07/2023"</f>
        <v>11/07/2023</v>
      </c>
      <c r="BS348" t="str">
        <f>""</f>
        <v/>
      </c>
      <c r="BT348" t="str">
        <f>""</f>
        <v/>
      </c>
      <c r="BU348" t="str">
        <f>""</f>
        <v/>
      </c>
      <c r="BV348" t="str">
        <f>""</f>
        <v/>
      </c>
      <c r="BW348" t="str">
        <f>"Não visitado"</f>
        <v>Não visitado</v>
      </c>
    </row>
    <row r="349" spans="1:75" x14ac:dyDescent="0.35">
      <c r="A349">
        <v>144466</v>
      </c>
      <c r="B349" t="str">
        <f t="shared" si="155"/>
        <v>A</v>
      </c>
      <c r="C349" t="str">
        <f t="shared" si="156"/>
        <v>80</v>
      </c>
      <c r="D349" t="str">
        <f t="shared" si="157"/>
        <v>11121001</v>
      </c>
      <c r="E349" t="str">
        <f t="shared" si="158"/>
        <v>121001</v>
      </c>
      <c r="F349" t="str">
        <f t="shared" si="159"/>
        <v>JENIFER SANTOS</v>
      </c>
      <c r="G349" t="str">
        <f>"82175498000198"</f>
        <v>82175498000198</v>
      </c>
      <c r="H349" t="str">
        <f>""</f>
        <v/>
      </c>
      <c r="I349" t="str">
        <f t="shared" si="160"/>
        <v>CONTA OPTICA</v>
      </c>
      <c r="J349" t="str">
        <f>"OTICA PRINCIPE LTDA"</f>
        <v>OTICA PRINCIPE LTDA</v>
      </c>
      <c r="K349" t="str">
        <f>"OTICA PRINCIPE (56)"</f>
        <v>OTICA PRINCIPE (56)</v>
      </c>
      <c r="L349" t="str">
        <f>""</f>
        <v/>
      </c>
      <c r="M349" t="str">
        <f>""</f>
        <v/>
      </c>
      <c r="N349" t="str">
        <f>"oticaprincipe@ig.com.br"</f>
        <v>oticaprincipe@ig.com.br</v>
      </c>
      <c r="O349" t="str">
        <f>""</f>
        <v/>
      </c>
      <c r="P349" t="str">
        <f>"RUA DO PRINCIPE"</f>
        <v>RUA DO PRINCIPE</v>
      </c>
      <c r="Q349" t="str">
        <f>"729"</f>
        <v>729</v>
      </c>
      <c r="R349" t="str">
        <f>""</f>
        <v/>
      </c>
      <c r="S349" t="str">
        <f>"1277"</f>
        <v>1277</v>
      </c>
      <c r="T349" t="str">
        <f>"89201001"</f>
        <v>89201001</v>
      </c>
      <c r="U349" t="str">
        <f>"CENTRO"</f>
        <v>CENTRO</v>
      </c>
      <c r="V349" t="str">
        <f>"JOINVILLE"</f>
        <v>JOINVILLE</v>
      </c>
      <c r="W349" t="str">
        <f t="shared" si="154"/>
        <v>SC</v>
      </c>
      <c r="X349" t="str">
        <f>"47"</f>
        <v>47</v>
      </c>
      <c r="Y349" t="str">
        <f>"34331982"</f>
        <v>34331982</v>
      </c>
      <c r="Z349" t="str">
        <f>""</f>
        <v/>
      </c>
      <c r="AA349" t="str">
        <f>""</f>
        <v/>
      </c>
      <c r="AB349" t="str">
        <f>""</f>
        <v/>
      </c>
      <c r="AC349" t="str">
        <f>""</f>
        <v/>
      </c>
      <c r="AD349" t="str">
        <f>""</f>
        <v/>
      </c>
      <c r="AE349" t="str">
        <f>""</f>
        <v/>
      </c>
      <c r="AF349" t="str">
        <f>""</f>
        <v/>
      </c>
      <c r="AG349" t="str">
        <f>""</f>
        <v/>
      </c>
      <c r="AH349" t="str">
        <f>""</f>
        <v/>
      </c>
      <c r="AI349" t="str">
        <f>""</f>
        <v/>
      </c>
      <c r="AJ349" t="str">
        <f t="shared" ref="AJ349:AL350" si="171">"0"</f>
        <v>0</v>
      </c>
      <c r="AK349" t="str">
        <f t="shared" si="171"/>
        <v>0</v>
      </c>
      <c r="AL349" t="str">
        <f t="shared" si="171"/>
        <v>0</v>
      </c>
      <c r="AM349" t="str">
        <f>""</f>
        <v/>
      </c>
      <c r="AN349" t="str">
        <f>""</f>
        <v/>
      </c>
      <c r="AO349" t="str">
        <f>""</f>
        <v/>
      </c>
      <c r="AP349" t="str">
        <f>""</f>
        <v/>
      </c>
      <c r="AQ349" t="str">
        <f>""</f>
        <v/>
      </c>
      <c r="AR349" t="str">
        <f>""</f>
        <v/>
      </c>
      <c r="AS349" t="str">
        <f>""</f>
        <v/>
      </c>
      <c r="AT349" t="str">
        <f>""</f>
        <v/>
      </c>
      <c r="AU349" t="str">
        <f>""</f>
        <v/>
      </c>
      <c r="AV349" t="str">
        <f>""</f>
        <v/>
      </c>
      <c r="AW349" t="str">
        <f>""</f>
        <v/>
      </c>
      <c r="AX349" t="str">
        <f>""</f>
        <v/>
      </c>
      <c r="AY349" t="str">
        <f>""</f>
        <v/>
      </c>
      <c r="AZ349" t="str">
        <f>""</f>
        <v/>
      </c>
      <c r="BA349" t="str">
        <f>""</f>
        <v/>
      </c>
      <c r="BB349" t="str">
        <f>""</f>
        <v/>
      </c>
      <c r="BC349" t="str">
        <f>""</f>
        <v/>
      </c>
      <c r="BD349" t="str">
        <f>""</f>
        <v/>
      </c>
      <c r="BE349" t="str">
        <f>""</f>
        <v/>
      </c>
      <c r="BF349" t="str">
        <f t="shared" si="161"/>
        <v>A</v>
      </c>
      <c r="BG349" t="str">
        <f>"0,00"</f>
        <v>0,00</v>
      </c>
      <c r="BH349" t="str">
        <f>"0,00"</f>
        <v>0,00</v>
      </c>
      <c r="BI349" t="str">
        <f t="shared" si="147"/>
        <v>EVENTUAL</v>
      </c>
      <c r="BJ349" t="str">
        <f t="shared" si="162"/>
        <v>1</v>
      </c>
      <c r="BK349" t="str">
        <f t="shared" si="163"/>
        <v>Farmacia</v>
      </c>
      <c r="BL349" t="str">
        <f>""</f>
        <v/>
      </c>
      <c r="BM349" t="str">
        <f>"VARILUX ESPECIALISTA SELECT"</f>
        <v>VARILUX ESPECIALISTA SELECT</v>
      </c>
      <c r="BN349" t="str">
        <f>"NA"</f>
        <v>NA</v>
      </c>
      <c r="BO349" t="str">
        <f>"FOCO VARILUX DIGITAL"</f>
        <v>FOCO VARILUX DIGITAL</v>
      </c>
      <c r="BP349" t="str">
        <f>""</f>
        <v/>
      </c>
      <c r="BQ349" t="str">
        <f>""</f>
        <v/>
      </c>
      <c r="BR349" t="str">
        <f>""</f>
        <v/>
      </c>
      <c r="BS349" t="str">
        <f>""</f>
        <v/>
      </c>
      <c r="BT349" t="str">
        <f>""</f>
        <v/>
      </c>
      <c r="BU349" t="str">
        <f>""</f>
        <v/>
      </c>
      <c r="BV349" t="str">
        <f>"5"</f>
        <v>5</v>
      </c>
      <c r="BW349" t="str">
        <f>"366"</f>
        <v>366</v>
      </c>
    </row>
    <row r="350" spans="1:75" x14ac:dyDescent="0.35">
      <c r="A350">
        <v>144472</v>
      </c>
      <c r="B350" t="str">
        <f t="shared" si="155"/>
        <v>A</v>
      </c>
      <c r="C350" t="str">
        <f t="shared" si="156"/>
        <v>80</v>
      </c>
      <c r="D350" t="str">
        <f t="shared" si="157"/>
        <v>11121001</v>
      </c>
      <c r="E350" t="str">
        <f t="shared" si="158"/>
        <v>121001</v>
      </c>
      <c r="F350" t="str">
        <f t="shared" si="159"/>
        <v>JENIFER SANTOS</v>
      </c>
      <c r="G350" t="str">
        <f>"85346955000158"</f>
        <v>85346955000158</v>
      </c>
      <c r="H350" t="str">
        <f>""</f>
        <v/>
      </c>
      <c r="I350" t="str">
        <f t="shared" si="160"/>
        <v>CONTA OPTICA</v>
      </c>
      <c r="J350" t="str">
        <f>"OTICA PUPILA LTDA"</f>
        <v>OTICA PUPILA LTDA</v>
      </c>
      <c r="K350" t="str">
        <f>"OTICA PUPILA (345)"</f>
        <v>OTICA PUPILA (345)</v>
      </c>
      <c r="L350" t="str">
        <f>""</f>
        <v/>
      </c>
      <c r="M350" t="str">
        <f>""</f>
        <v/>
      </c>
      <c r="N350" t="str">
        <f>"oticapupilaltda@hotmail.com"</f>
        <v>oticapupilaltda@hotmail.com</v>
      </c>
      <c r="O350" t="str">
        <f>""</f>
        <v/>
      </c>
      <c r="P350" t="str">
        <f>"RUA ABDON BATISTA"</f>
        <v>RUA ABDON BATISTA</v>
      </c>
      <c r="Q350" t="str">
        <f>"59"</f>
        <v>59</v>
      </c>
      <c r="R350" t="str">
        <f>""</f>
        <v/>
      </c>
      <c r="S350" t="str">
        <f>"1277"</f>
        <v>1277</v>
      </c>
      <c r="T350" t="str">
        <f>"89201010"</f>
        <v>89201010</v>
      </c>
      <c r="U350" t="str">
        <f>"CENTRO"</f>
        <v>CENTRO</v>
      </c>
      <c r="V350" t="str">
        <f>"JOINVILLE"</f>
        <v>JOINVILLE</v>
      </c>
      <c r="W350" t="str">
        <f t="shared" si="154"/>
        <v>SC</v>
      </c>
      <c r="X350" t="str">
        <f>"47"</f>
        <v>47</v>
      </c>
      <c r="Y350" t="str">
        <f>"34223223"</f>
        <v>34223223</v>
      </c>
      <c r="Z350" t="str">
        <f>""</f>
        <v/>
      </c>
      <c r="AA350" t="str">
        <f>""</f>
        <v/>
      </c>
      <c r="AB350" t="str">
        <f>""</f>
        <v/>
      </c>
      <c r="AC350" t="str">
        <f>""</f>
        <v/>
      </c>
      <c r="AD350" t="str">
        <f>""</f>
        <v/>
      </c>
      <c r="AE350" t="str">
        <f>""</f>
        <v/>
      </c>
      <c r="AF350" t="str">
        <f>""</f>
        <v/>
      </c>
      <c r="AG350" t="str">
        <f>""</f>
        <v/>
      </c>
      <c r="AH350" t="str">
        <f>""</f>
        <v/>
      </c>
      <c r="AI350" t="str">
        <f>""</f>
        <v/>
      </c>
      <c r="AJ350" t="str">
        <f t="shared" si="171"/>
        <v>0</v>
      </c>
      <c r="AK350" t="str">
        <f t="shared" si="171"/>
        <v>0</v>
      </c>
      <c r="AL350" t="str">
        <f t="shared" si="171"/>
        <v>0</v>
      </c>
      <c r="AM350" t="str">
        <f>""</f>
        <v/>
      </c>
      <c r="AN350" t="str">
        <f>""</f>
        <v/>
      </c>
      <c r="AO350" t="str">
        <f>""</f>
        <v/>
      </c>
      <c r="AP350" t="str">
        <f>""</f>
        <v/>
      </c>
      <c r="AQ350" t="str">
        <f>""</f>
        <v/>
      </c>
      <c r="AR350" t="str">
        <f>""</f>
        <v/>
      </c>
      <c r="AS350" t="str">
        <f>""</f>
        <v/>
      </c>
      <c r="AT350" t="str">
        <f>""</f>
        <v/>
      </c>
      <c r="AU350" t="str">
        <f>""</f>
        <v/>
      </c>
      <c r="AV350" t="str">
        <f>""</f>
        <v/>
      </c>
      <c r="AW350" t="str">
        <f>""</f>
        <v/>
      </c>
      <c r="AX350" t="str">
        <f>""</f>
        <v/>
      </c>
      <c r="AY350" t="str">
        <f>""</f>
        <v/>
      </c>
      <c r="AZ350" t="str">
        <f>""</f>
        <v/>
      </c>
      <c r="BA350" t="str">
        <f>""</f>
        <v/>
      </c>
      <c r="BB350" t="str">
        <f>""</f>
        <v/>
      </c>
      <c r="BC350" t="str">
        <f>""</f>
        <v/>
      </c>
      <c r="BD350" t="str">
        <f>""</f>
        <v/>
      </c>
      <c r="BE350" t="str">
        <f>""</f>
        <v/>
      </c>
      <c r="BF350" t="str">
        <f t="shared" si="161"/>
        <v>A</v>
      </c>
      <c r="BG350" t="str">
        <f>"0,00"</f>
        <v>0,00</v>
      </c>
      <c r="BH350" t="str">
        <f>"0,00"</f>
        <v>0,00</v>
      </c>
      <c r="BI350" t="str">
        <f t="shared" ref="BI350:BI398" si="172">"EVENTUAL"</f>
        <v>EVENTUAL</v>
      </c>
      <c r="BJ350" t="str">
        <f t="shared" si="162"/>
        <v>1</v>
      </c>
      <c r="BK350" t="str">
        <f t="shared" si="163"/>
        <v>Farmacia</v>
      </c>
      <c r="BL350" t="str">
        <f>""</f>
        <v/>
      </c>
      <c r="BM350" t="str">
        <f>"NÃO É VARILUX ESPECIALISTA"</f>
        <v>NÃO É VARILUX ESPECIALISTA</v>
      </c>
      <c r="BN350" t="str">
        <f>"EL360"</f>
        <v>EL360</v>
      </c>
      <c r="BO350" t="str">
        <f>"FOCO VARILUX"</f>
        <v>FOCO VARILUX</v>
      </c>
      <c r="BP350" t="str">
        <f>""</f>
        <v/>
      </c>
      <c r="BQ350" t="str">
        <f>""</f>
        <v/>
      </c>
      <c r="BR350" t="str">
        <f>""</f>
        <v/>
      </c>
      <c r="BS350" t="str">
        <f>""</f>
        <v/>
      </c>
      <c r="BT350" t="str">
        <f>""</f>
        <v/>
      </c>
      <c r="BU350" t="str">
        <f>""</f>
        <v/>
      </c>
      <c r="BV350" t="str">
        <f>"5"</f>
        <v>5</v>
      </c>
      <c r="BW350" t="str">
        <f>"67"</f>
        <v>67</v>
      </c>
    </row>
    <row r="351" spans="1:75" x14ac:dyDescent="0.35">
      <c r="A351">
        <v>156734</v>
      </c>
      <c r="B351" t="str">
        <f t="shared" si="155"/>
        <v>A</v>
      </c>
      <c r="C351" t="str">
        <f t="shared" si="156"/>
        <v>80</v>
      </c>
      <c r="D351" t="str">
        <f t="shared" si="157"/>
        <v>11121001</v>
      </c>
      <c r="E351" t="str">
        <f t="shared" si="158"/>
        <v>121001</v>
      </c>
      <c r="F351" t="str">
        <f t="shared" si="159"/>
        <v>JENIFER SANTOS</v>
      </c>
      <c r="G351" t="str">
        <f>"91916197000169"</f>
        <v>91916197000169</v>
      </c>
      <c r="H351" t="str">
        <f>"0"</f>
        <v>0</v>
      </c>
      <c r="I351" t="str">
        <f t="shared" si="160"/>
        <v>CONTA OPTICA</v>
      </c>
      <c r="J351" t="str">
        <f>"OTICA PUPILENTES LTDA"</f>
        <v>OTICA PUPILENTES LTDA</v>
      </c>
      <c r="K351" t="str">
        <f>"OTICA PUPILENTES (346)"</f>
        <v>OTICA PUPILENTES (346)</v>
      </c>
      <c r="L351" t="str">
        <f>""</f>
        <v/>
      </c>
      <c r="M351" t="str">
        <f>""</f>
        <v/>
      </c>
      <c r="N351" t="str">
        <f>"oticapupilentes@yahoo.com.br"</f>
        <v>oticapupilentes@yahoo.com.br</v>
      </c>
      <c r="O351" t="str">
        <f>""</f>
        <v/>
      </c>
      <c r="P351" t="str">
        <f>"MAURICIO CARDOSO"</f>
        <v>MAURICIO CARDOSO</v>
      </c>
      <c r="Q351" t="str">
        <f>"87"</f>
        <v>87</v>
      </c>
      <c r="R351" t="str">
        <f>"SALA 05"</f>
        <v>SALA 05</v>
      </c>
      <c r="S351" t="str">
        <f>"1389"</f>
        <v>1389</v>
      </c>
      <c r="T351" t="str">
        <f>"99700000"</f>
        <v>99700000</v>
      </c>
      <c r="U351" t="str">
        <f>"CENTRO"</f>
        <v>CENTRO</v>
      </c>
      <c r="V351" t="str">
        <f>"ERECHIM"</f>
        <v>ERECHIM</v>
      </c>
      <c r="W351" t="str">
        <f>"RS"</f>
        <v>RS</v>
      </c>
      <c r="X351" t="str">
        <f>"54"</f>
        <v>54</v>
      </c>
      <c r="Y351" t="str">
        <f>"35229093"</f>
        <v>35229093</v>
      </c>
      <c r="Z351" t="str">
        <f>""</f>
        <v/>
      </c>
      <c r="AA351" t="str">
        <f>""</f>
        <v/>
      </c>
      <c r="AB351" t="str">
        <f>""</f>
        <v/>
      </c>
      <c r="AC351" t="str">
        <f>""</f>
        <v/>
      </c>
      <c r="AD351" t="str">
        <f>""</f>
        <v/>
      </c>
      <c r="AE351" t="str">
        <f>""</f>
        <v/>
      </c>
      <c r="AF351" t="str">
        <f>""</f>
        <v/>
      </c>
      <c r="AG351" t="str">
        <f>""</f>
        <v/>
      </c>
      <c r="AH351" t="str">
        <f>""</f>
        <v/>
      </c>
      <c r="AI351" t="str">
        <f>""</f>
        <v/>
      </c>
      <c r="AJ351" t="str">
        <f>""</f>
        <v/>
      </c>
      <c r="AK351" t="str">
        <f>""</f>
        <v/>
      </c>
      <c r="AL351" t="str">
        <f>""</f>
        <v/>
      </c>
      <c r="AM351" t="str">
        <f>""</f>
        <v/>
      </c>
      <c r="AN351" t="str">
        <f>""</f>
        <v/>
      </c>
      <c r="AO351" t="str">
        <f>""</f>
        <v/>
      </c>
      <c r="AP351" t="str">
        <f>""</f>
        <v/>
      </c>
      <c r="AQ351" t="str">
        <f>""</f>
        <v/>
      </c>
      <c r="AR351" t="str">
        <f>""</f>
        <v/>
      </c>
      <c r="AS351" t="str">
        <f>""</f>
        <v/>
      </c>
      <c r="AT351" t="str">
        <f>""</f>
        <v/>
      </c>
      <c r="AU351" t="str">
        <f>""</f>
        <v/>
      </c>
      <c r="AV351" t="str">
        <f>""</f>
        <v/>
      </c>
      <c r="AW351" t="str">
        <f>""</f>
        <v/>
      </c>
      <c r="AX351" t="str">
        <f>""</f>
        <v/>
      </c>
      <c r="AY351" t="str">
        <f>""</f>
        <v/>
      </c>
      <c r="AZ351" t="str">
        <f>""</f>
        <v/>
      </c>
      <c r="BA351" t="str">
        <f>""</f>
        <v/>
      </c>
      <c r="BB351" t="str">
        <f>"06/07/2023 12:07:48"</f>
        <v>06/07/2023 12:07:48</v>
      </c>
      <c r="BC351" t="str">
        <f>""</f>
        <v/>
      </c>
      <c r="BD351" t="str">
        <f>""</f>
        <v/>
      </c>
      <c r="BE351" t="str">
        <f>""</f>
        <v/>
      </c>
      <c r="BF351" t="str">
        <f t="shared" si="161"/>
        <v>A</v>
      </c>
      <c r="BG351" t="str">
        <f>""</f>
        <v/>
      </c>
      <c r="BH351" t="str">
        <f>""</f>
        <v/>
      </c>
      <c r="BI351" t="str">
        <f t="shared" si="172"/>
        <v>EVENTUAL</v>
      </c>
      <c r="BJ351" t="str">
        <f t="shared" si="162"/>
        <v>1</v>
      </c>
      <c r="BK351" t="str">
        <f t="shared" si="163"/>
        <v>Farmacia</v>
      </c>
      <c r="BL351" t="str">
        <f>""</f>
        <v/>
      </c>
      <c r="BM351" t="str">
        <f>""</f>
        <v/>
      </c>
      <c r="BN351" t="str">
        <f>""</f>
        <v/>
      </c>
      <c r="BO351" t="str">
        <f>""</f>
        <v/>
      </c>
      <c r="BP351" t="str">
        <f>""</f>
        <v/>
      </c>
      <c r="BQ351" t="str">
        <f>""</f>
        <v/>
      </c>
      <c r="BR351" t="str">
        <f>"06/07/2023"</f>
        <v>06/07/2023</v>
      </c>
      <c r="BS351" t="str">
        <f>""</f>
        <v/>
      </c>
      <c r="BT351" t="str">
        <f>""</f>
        <v/>
      </c>
      <c r="BU351" t="str">
        <f>""</f>
        <v/>
      </c>
      <c r="BV351" t="str">
        <f>""</f>
        <v/>
      </c>
      <c r="BW351" t="str">
        <f>"10"</f>
        <v>10</v>
      </c>
    </row>
    <row r="352" spans="1:75" x14ac:dyDescent="0.35">
      <c r="A352">
        <v>156761</v>
      </c>
      <c r="B352" t="str">
        <f t="shared" si="155"/>
        <v>A</v>
      </c>
      <c r="C352" t="str">
        <f t="shared" si="156"/>
        <v>80</v>
      </c>
      <c r="D352" t="str">
        <f t="shared" si="157"/>
        <v>11121001</v>
      </c>
      <c r="E352" t="str">
        <f t="shared" si="158"/>
        <v>121001</v>
      </c>
      <c r="F352" t="str">
        <f t="shared" si="159"/>
        <v>JENIFER SANTOS</v>
      </c>
      <c r="G352" t="str">
        <f>"11517436000179"</f>
        <v>11517436000179</v>
      </c>
      <c r="H352" t="str">
        <f>"0"</f>
        <v>0</v>
      </c>
      <c r="I352" t="str">
        <f t="shared" si="160"/>
        <v>CONTA OPTICA</v>
      </c>
      <c r="J352" t="str">
        <f>"OTICA RAFAELA LTDA"</f>
        <v>OTICA RAFAELA LTDA</v>
      </c>
      <c r="K352" t="str">
        <f>"OTICA TRADICAO (4499)"</f>
        <v>OTICA TRADICAO (4499)</v>
      </c>
      <c r="L352" t="str">
        <f>""</f>
        <v/>
      </c>
      <c r="M352" t="str">
        <f>""</f>
        <v/>
      </c>
      <c r="N352" t="str">
        <f>"OTICATRADICAOJLLE@GMAIL.COM"</f>
        <v>OTICATRADICAOJLLE@GMAIL.COM</v>
      </c>
      <c r="O352" t="str">
        <f>""</f>
        <v/>
      </c>
      <c r="P352" t="str">
        <f>"RUA IRIRIU"</f>
        <v>RUA IRIRIU</v>
      </c>
      <c r="Q352" t="str">
        <f>"978"</f>
        <v>978</v>
      </c>
      <c r="R352" t="str">
        <f>""</f>
        <v/>
      </c>
      <c r="S352" t="str">
        <f>"1279"</f>
        <v>1279</v>
      </c>
      <c r="T352" t="str">
        <f>"89227045"</f>
        <v>89227045</v>
      </c>
      <c r="U352" t="str">
        <f>"IRIRIU"</f>
        <v>IRIRIU</v>
      </c>
      <c r="V352" t="str">
        <f>"JOINVILLE"</f>
        <v>JOINVILLE</v>
      </c>
      <c r="W352" t="str">
        <f>"SC"</f>
        <v>SC</v>
      </c>
      <c r="X352" t="str">
        <f>"47"</f>
        <v>47</v>
      </c>
      <c r="Y352" t="str">
        <f>"32783822"</f>
        <v>32783822</v>
      </c>
      <c r="Z352" t="str">
        <f>""</f>
        <v/>
      </c>
      <c r="AA352" t="str">
        <f>""</f>
        <v/>
      </c>
      <c r="AB352" t="str">
        <f>""</f>
        <v/>
      </c>
      <c r="AC352" t="str">
        <f>""</f>
        <v/>
      </c>
      <c r="AD352" t="str">
        <f>""</f>
        <v/>
      </c>
      <c r="AE352" t="str">
        <f>""</f>
        <v/>
      </c>
      <c r="AF352" t="str">
        <f>""</f>
        <v/>
      </c>
      <c r="AG352" t="str">
        <f>""</f>
        <v/>
      </c>
      <c r="AH352" t="str">
        <f>""</f>
        <v/>
      </c>
      <c r="AI352" t="str">
        <f>""</f>
        <v/>
      </c>
      <c r="AJ352" t="str">
        <f>""</f>
        <v/>
      </c>
      <c r="AK352" t="str">
        <f>""</f>
        <v/>
      </c>
      <c r="AL352" t="str">
        <f>""</f>
        <v/>
      </c>
      <c r="AM352" t="str">
        <f>""</f>
        <v/>
      </c>
      <c r="AN352" t="str">
        <f>""</f>
        <v/>
      </c>
      <c r="AO352" t="str">
        <f>""</f>
        <v/>
      </c>
      <c r="AP352" t="str">
        <f>""</f>
        <v/>
      </c>
      <c r="AQ352" t="str">
        <f>""</f>
        <v/>
      </c>
      <c r="AR352" t="str">
        <f>""</f>
        <v/>
      </c>
      <c r="AS352" t="str">
        <f>""</f>
        <v/>
      </c>
      <c r="AT352" t="str">
        <f>""</f>
        <v/>
      </c>
      <c r="AU352" t="str">
        <f>""</f>
        <v/>
      </c>
      <c r="AV352" t="str">
        <f>""</f>
        <v/>
      </c>
      <c r="AW352" t="str">
        <f>""</f>
        <v/>
      </c>
      <c r="AX352" t="str">
        <f>""</f>
        <v/>
      </c>
      <c r="AY352" t="str">
        <f>""</f>
        <v/>
      </c>
      <c r="AZ352" t="str">
        <f>""</f>
        <v/>
      </c>
      <c r="BA352" t="str">
        <f>""</f>
        <v/>
      </c>
      <c r="BB352" t="str">
        <f>"06/07/2023 12:07:48"</f>
        <v>06/07/2023 12:07:48</v>
      </c>
      <c r="BC352" t="str">
        <f>""</f>
        <v/>
      </c>
      <c r="BD352" t="str">
        <f>""</f>
        <v/>
      </c>
      <c r="BE352" t="str">
        <f>""</f>
        <v/>
      </c>
      <c r="BF352" t="str">
        <f t="shared" si="161"/>
        <v>A</v>
      </c>
      <c r="BG352" t="str">
        <f>""</f>
        <v/>
      </c>
      <c r="BH352" t="str">
        <f>""</f>
        <v/>
      </c>
      <c r="BI352" t="str">
        <f t="shared" si="172"/>
        <v>EVENTUAL</v>
      </c>
      <c r="BJ352" t="str">
        <f t="shared" si="162"/>
        <v>1</v>
      </c>
      <c r="BK352" t="str">
        <f t="shared" si="163"/>
        <v>Farmacia</v>
      </c>
      <c r="BL352" t="str">
        <f>""</f>
        <v/>
      </c>
      <c r="BM352" t="str">
        <f>""</f>
        <v/>
      </c>
      <c r="BN352" t="str">
        <f>""</f>
        <v/>
      </c>
      <c r="BO352" t="str">
        <f>""</f>
        <v/>
      </c>
      <c r="BP352" t="str">
        <f>""</f>
        <v/>
      </c>
      <c r="BQ352" t="str">
        <f>""</f>
        <v/>
      </c>
      <c r="BR352" t="str">
        <f>"06/07/2023"</f>
        <v>06/07/2023</v>
      </c>
      <c r="BS352" t="str">
        <f>""</f>
        <v/>
      </c>
      <c r="BT352" t="str">
        <f>""</f>
        <v/>
      </c>
      <c r="BU352" t="str">
        <f>""</f>
        <v/>
      </c>
      <c r="BV352" t="str">
        <f>""</f>
        <v/>
      </c>
      <c r="BW352" t="str">
        <f>"Não visitado"</f>
        <v>Não visitado</v>
      </c>
    </row>
    <row r="353" spans="1:75" x14ac:dyDescent="0.35">
      <c r="A353">
        <v>156806</v>
      </c>
      <c r="B353" t="str">
        <f t="shared" si="155"/>
        <v>A</v>
      </c>
      <c r="C353" t="str">
        <f t="shared" si="156"/>
        <v>80</v>
      </c>
      <c r="D353" t="str">
        <f t="shared" si="157"/>
        <v>11121001</v>
      </c>
      <c r="E353" t="str">
        <f t="shared" si="158"/>
        <v>121001</v>
      </c>
      <c r="F353" t="str">
        <f t="shared" si="159"/>
        <v>JENIFER SANTOS</v>
      </c>
      <c r="G353" t="str">
        <f>"73223000000124"</f>
        <v>73223000000124</v>
      </c>
      <c r="H353" t="str">
        <f>"0"</f>
        <v>0</v>
      </c>
      <c r="I353" t="str">
        <f t="shared" si="160"/>
        <v>CONTA OPTICA</v>
      </c>
      <c r="J353" t="str">
        <f>"OTICA REAL LTDA"</f>
        <v>OTICA REAL LTDA</v>
      </c>
      <c r="K353" t="str">
        <f>"OTICA REAL LTDA (585)"</f>
        <v>OTICA REAL LTDA (585)</v>
      </c>
      <c r="L353" t="str">
        <f>""</f>
        <v/>
      </c>
      <c r="M353" t="str">
        <f>""</f>
        <v/>
      </c>
      <c r="N353" t="str">
        <f>"jlle_oticareal@hotmail.com"</f>
        <v>jlle_oticareal@hotmail.com</v>
      </c>
      <c r="O353" t="str">
        <f>""</f>
        <v/>
      </c>
      <c r="P353" t="str">
        <f>"RUA ABDON BATISTA"</f>
        <v>RUA ABDON BATISTA</v>
      </c>
      <c r="Q353" t="str">
        <f>"110"</f>
        <v>110</v>
      </c>
      <c r="R353" t="str">
        <f>""</f>
        <v/>
      </c>
      <c r="S353" t="str">
        <f>"1277"</f>
        <v>1277</v>
      </c>
      <c r="T353" t="str">
        <f>"89201010"</f>
        <v>89201010</v>
      </c>
      <c r="U353" t="str">
        <f>"CENTRO"</f>
        <v>CENTRO</v>
      </c>
      <c r="V353" t="str">
        <f>"JOINVILLE"</f>
        <v>JOINVILLE</v>
      </c>
      <c r="W353" t="str">
        <f>"SC"</f>
        <v>SC</v>
      </c>
      <c r="X353" t="str">
        <f>"47"</f>
        <v>47</v>
      </c>
      <c r="Y353" t="str">
        <f>"34335494"</f>
        <v>34335494</v>
      </c>
      <c r="Z353" t="str">
        <f>""</f>
        <v/>
      </c>
      <c r="AA353" t="str">
        <f>""</f>
        <v/>
      </c>
      <c r="AB353" t="str">
        <f>""</f>
        <v/>
      </c>
      <c r="AC353" t="str">
        <f>""</f>
        <v/>
      </c>
      <c r="AD353" t="str">
        <f>""</f>
        <v/>
      </c>
      <c r="AE353" t="str">
        <f>""</f>
        <v/>
      </c>
      <c r="AF353" t="str">
        <f>""</f>
        <v/>
      </c>
      <c r="AG353" t="str">
        <f>""</f>
        <v/>
      </c>
      <c r="AH353" t="str">
        <f>""</f>
        <v/>
      </c>
      <c r="AI353" t="str">
        <f>""</f>
        <v/>
      </c>
      <c r="AJ353" t="str">
        <f>""</f>
        <v/>
      </c>
      <c r="AK353" t="str">
        <f>""</f>
        <v/>
      </c>
      <c r="AL353" t="str">
        <f>""</f>
        <v/>
      </c>
      <c r="AM353" t="str">
        <f>""</f>
        <v/>
      </c>
      <c r="AN353" t="str">
        <f>""</f>
        <v/>
      </c>
      <c r="AO353" t="str">
        <f>""</f>
        <v/>
      </c>
      <c r="AP353" t="str">
        <f>""</f>
        <v/>
      </c>
      <c r="AQ353" t="str">
        <f>""</f>
        <v/>
      </c>
      <c r="AR353" t="str">
        <f>""</f>
        <v/>
      </c>
      <c r="AS353" t="str">
        <f>""</f>
        <v/>
      </c>
      <c r="AT353" t="str">
        <f>""</f>
        <v/>
      </c>
      <c r="AU353" t="str">
        <f>""</f>
        <v/>
      </c>
      <c r="AV353" t="str">
        <f>""</f>
        <v/>
      </c>
      <c r="AW353" t="str">
        <f>""</f>
        <v/>
      </c>
      <c r="AX353" t="str">
        <f>""</f>
        <v/>
      </c>
      <c r="AY353" t="str">
        <f>""</f>
        <v/>
      </c>
      <c r="AZ353" t="str">
        <f>""</f>
        <v/>
      </c>
      <c r="BA353" t="str">
        <f>""</f>
        <v/>
      </c>
      <c r="BB353" t="str">
        <f>"06/07/2023 12:07:48"</f>
        <v>06/07/2023 12:07:48</v>
      </c>
      <c r="BC353" t="str">
        <f>""</f>
        <v/>
      </c>
      <c r="BD353" t="str">
        <f>""</f>
        <v/>
      </c>
      <c r="BE353" t="str">
        <f>""</f>
        <v/>
      </c>
      <c r="BF353" t="str">
        <f t="shared" si="161"/>
        <v>A</v>
      </c>
      <c r="BG353" t="str">
        <f>""</f>
        <v/>
      </c>
      <c r="BH353" t="str">
        <f>""</f>
        <v/>
      </c>
      <c r="BI353" t="str">
        <f t="shared" si="172"/>
        <v>EVENTUAL</v>
      </c>
      <c r="BJ353" t="str">
        <f t="shared" si="162"/>
        <v>1</v>
      </c>
      <c r="BK353" t="str">
        <f t="shared" si="163"/>
        <v>Farmacia</v>
      </c>
      <c r="BL353" t="str">
        <f>""</f>
        <v/>
      </c>
      <c r="BM353" t="str">
        <f>""</f>
        <v/>
      </c>
      <c r="BN353" t="str">
        <f>""</f>
        <v/>
      </c>
      <c r="BO353" t="str">
        <f>""</f>
        <v/>
      </c>
      <c r="BP353" t="str">
        <f>""</f>
        <v/>
      </c>
      <c r="BQ353" t="str">
        <f>""</f>
        <v/>
      </c>
      <c r="BR353" t="str">
        <f>"06/07/2023"</f>
        <v>06/07/2023</v>
      </c>
      <c r="BS353" t="str">
        <f>""</f>
        <v/>
      </c>
      <c r="BT353" t="str">
        <f>""</f>
        <v/>
      </c>
      <c r="BU353" t="str">
        <f>""</f>
        <v/>
      </c>
      <c r="BV353" t="str">
        <f>""</f>
        <v/>
      </c>
      <c r="BW353" t="str">
        <f>"Não visitado"</f>
        <v>Não visitado</v>
      </c>
    </row>
    <row r="354" spans="1:75" x14ac:dyDescent="0.35">
      <c r="A354">
        <v>156818</v>
      </c>
      <c r="B354" t="str">
        <f t="shared" si="155"/>
        <v>A</v>
      </c>
      <c r="C354" t="str">
        <f t="shared" si="156"/>
        <v>80</v>
      </c>
      <c r="D354" t="str">
        <f t="shared" si="157"/>
        <v>11121001</v>
      </c>
      <c r="E354" t="str">
        <f t="shared" si="158"/>
        <v>121001</v>
      </c>
      <c r="F354" t="str">
        <f t="shared" si="159"/>
        <v>JENIFER SANTOS</v>
      </c>
      <c r="G354" t="str">
        <f>"80860182000100"</f>
        <v>80860182000100</v>
      </c>
      <c r="H354" t="str">
        <f>"0"</f>
        <v>0</v>
      </c>
      <c r="I354" t="str">
        <f t="shared" si="160"/>
        <v>CONTA OPTICA</v>
      </c>
      <c r="J354" t="str">
        <f>"OTICA REAL WUNDERLICH LTDA"</f>
        <v>OTICA REAL WUNDERLICH LTDA</v>
      </c>
      <c r="K354" t="str">
        <f>"OTICA REAL  (114)"</f>
        <v>OTICA REAL  (114)</v>
      </c>
      <c r="L354" t="str">
        <f>""</f>
        <v/>
      </c>
      <c r="M354" t="str">
        <f>""</f>
        <v/>
      </c>
      <c r="N354" t="str">
        <f>"OTICA-REAL@OUTLOOK.COM"</f>
        <v>OTICA-REAL@OUTLOOK.COM</v>
      </c>
      <c r="O354" t="str">
        <f>""</f>
        <v/>
      </c>
      <c r="P354" t="str">
        <f>"RUA XV DE NOVEMBRO"</f>
        <v>RUA XV DE NOVEMBRO</v>
      </c>
      <c r="Q354" t="str">
        <f>"221"</f>
        <v>221</v>
      </c>
      <c r="R354" t="str">
        <f>""</f>
        <v/>
      </c>
      <c r="S354" t="str">
        <f>"1191"</f>
        <v>1191</v>
      </c>
      <c r="T354" t="str">
        <f>"83880000"</f>
        <v>83880000</v>
      </c>
      <c r="U354" t="str">
        <f>"NAO INFORMADO"</f>
        <v>NAO INFORMADO</v>
      </c>
      <c r="V354" t="str">
        <f>"RIO NEGRO"</f>
        <v>RIO NEGRO</v>
      </c>
      <c r="W354" t="str">
        <f>"PR"</f>
        <v>PR</v>
      </c>
      <c r="X354" t="str">
        <f>"47"</f>
        <v>47</v>
      </c>
      <c r="Y354" t="str">
        <f>"36420870"</f>
        <v>36420870</v>
      </c>
      <c r="Z354" t="str">
        <f>""</f>
        <v/>
      </c>
      <c r="AA354" t="str">
        <f>""</f>
        <v/>
      </c>
      <c r="AB354" t="str">
        <f>""</f>
        <v/>
      </c>
      <c r="AC354" t="str">
        <f>""</f>
        <v/>
      </c>
      <c r="AD354" t="str">
        <f>""</f>
        <v/>
      </c>
      <c r="AE354" t="str">
        <f>""</f>
        <v/>
      </c>
      <c r="AF354" t="str">
        <f>""</f>
        <v/>
      </c>
      <c r="AG354" t="str">
        <f>""</f>
        <v/>
      </c>
      <c r="AH354" t="str">
        <f>""</f>
        <v/>
      </c>
      <c r="AI354" t="str">
        <f>""</f>
        <v/>
      </c>
      <c r="AJ354" t="str">
        <f>""</f>
        <v/>
      </c>
      <c r="AK354" t="str">
        <f>""</f>
        <v/>
      </c>
      <c r="AL354" t="str">
        <f>""</f>
        <v/>
      </c>
      <c r="AM354" t="str">
        <f>""</f>
        <v/>
      </c>
      <c r="AN354" t="str">
        <f>""</f>
        <v/>
      </c>
      <c r="AO354" t="str">
        <f>""</f>
        <v/>
      </c>
      <c r="AP354" t="str">
        <f>""</f>
        <v/>
      </c>
      <c r="AQ354" t="str">
        <f>""</f>
        <v/>
      </c>
      <c r="AR354" t="str">
        <f>""</f>
        <v/>
      </c>
      <c r="AS354" t="str">
        <f>""</f>
        <v/>
      </c>
      <c r="AT354" t="str">
        <f>""</f>
        <v/>
      </c>
      <c r="AU354" t="str">
        <f>""</f>
        <v/>
      </c>
      <c r="AV354" t="str">
        <f>""</f>
        <v/>
      </c>
      <c r="AW354" t="str">
        <f>""</f>
        <v/>
      </c>
      <c r="AX354" t="str">
        <f>""</f>
        <v/>
      </c>
      <c r="AY354" t="str">
        <f>""</f>
        <v/>
      </c>
      <c r="AZ354" t="str">
        <f>""</f>
        <v/>
      </c>
      <c r="BA354" t="str">
        <f>""</f>
        <v/>
      </c>
      <c r="BB354" t="str">
        <f>"06/07/2023 12:07:48"</f>
        <v>06/07/2023 12:07:48</v>
      </c>
      <c r="BC354" t="str">
        <f>""</f>
        <v/>
      </c>
      <c r="BD354" t="str">
        <f>""</f>
        <v/>
      </c>
      <c r="BE354" t="str">
        <f>""</f>
        <v/>
      </c>
      <c r="BF354" t="str">
        <f t="shared" si="161"/>
        <v>A</v>
      </c>
      <c r="BG354" t="str">
        <f>""</f>
        <v/>
      </c>
      <c r="BH354" t="str">
        <f>""</f>
        <v/>
      </c>
      <c r="BI354" t="str">
        <f t="shared" si="172"/>
        <v>EVENTUAL</v>
      </c>
      <c r="BJ354" t="str">
        <f t="shared" si="162"/>
        <v>1</v>
      </c>
      <c r="BK354" t="str">
        <f t="shared" si="163"/>
        <v>Farmacia</v>
      </c>
      <c r="BL354" t="str">
        <f>""</f>
        <v/>
      </c>
      <c r="BM354" t="str">
        <f>""</f>
        <v/>
      </c>
      <c r="BN354" t="str">
        <f>""</f>
        <v/>
      </c>
      <c r="BO354" t="str">
        <f>""</f>
        <v/>
      </c>
      <c r="BP354" t="str">
        <f>""</f>
        <v/>
      </c>
      <c r="BQ354" t="str">
        <f>""</f>
        <v/>
      </c>
      <c r="BR354" t="str">
        <f>"06/07/2023"</f>
        <v>06/07/2023</v>
      </c>
      <c r="BS354" t="str">
        <f>""</f>
        <v/>
      </c>
      <c r="BT354" t="str">
        <f>""</f>
        <v/>
      </c>
      <c r="BU354" t="str">
        <f>""</f>
        <v/>
      </c>
      <c r="BV354" t="str">
        <f>""</f>
        <v/>
      </c>
      <c r="BW354" t="str">
        <f>"Não visitado"</f>
        <v>Não visitado</v>
      </c>
    </row>
    <row r="355" spans="1:75" x14ac:dyDescent="0.35">
      <c r="A355">
        <v>156731</v>
      </c>
      <c r="B355" t="str">
        <f t="shared" si="155"/>
        <v>A</v>
      </c>
      <c r="C355" t="str">
        <f t="shared" si="156"/>
        <v>80</v>
      </c>
      <c r="D355" t="str">
        <f t="shared" si="157"/>
        <v>11121001</v>
      </c>
      <c r="E355" t="str">
        <f t="shared" si="158"/>
        <v>121001</v>
      </c>
      <c r="F355" t="str">
        <f t="shared" si="159"/>
        <v>JENIFER SANTOS</v>
      </c>
      <c r="G355" t="str">
        <f>"92186253000110"</f>
        <v>92186253000110</v>
      </c>
      <c r="H355" t="str">
        <f>"0"</f>
        <v>0</v>
      </c>
      <c r="I355" t="str">
        <f t="shared" si="160"/>
        <v>CONTA OPTICA</v>
      </c>
      <c r="J355" t="str">
        <f>"OTICA REBELATTO LTDA ME"</f>
        <v>OTICA REBELATTO LTDA ME</v>
      </c>
      <c r="K355" t="str">
        <f>"OTICA REBELATTO LTDA ME (745)"</f>
        <v>OTICA REBELATTO LTDA ME (745)</v>
      </c>
      <c r="L355" t="str">
        <f>""</f>
        <v/>
      </c>
      <c r="M355" t="str">
        <f>""</f>
        <v/>
      </c>
      <c r="N355" t="str">
        <f>"OPTICA.REBELATTO@HOTMAIL.COM"</f>
        <v>OPTICA.REBELATTO@HOTMAIL.COM</v>
      </c>
      <c r="O355" t="str">
        <f>""</f>
        <v/>
      </c>
      <c r="P355" t="str">
        <f>"RUA BRASIL OESTE"</f>
        <v>RUA BRASIL OESTE</v>
      </c>
      <c r="Q355" t="str">
        <f>"497"</f>
        <v>497</v>
      </c>
      <c r="R355" t="str">
        <f>"SL 46"</f>
        <v>SL 46</v>
      </c>
      <c r="S355" t="str">
        <f>"1383"</f>
        <v>1383</v>
      </c>
      <c r="T355" t="str">
        <f>"99025001"</f>
        <v>99025001</v>
      </c>
      <c r="U355" t="str">
        <f>"BOQUEIRAO"</f>
        <v>BOQUEIRAO</v>
      </c>
      <c r="V355" t="str">
        <f>"PASSO FUNDO"</f>
        <v>PASSO FUNDO</v>
      </c>
      <c r="W355" t="str">
        <f>"RS"</f>
        <v>RS</v>
      </c>
      <c r="X355" t="str">
        <f>"54"</f>
        <v>54</v>
      </c>
      <c r="Y355" t="str">
        <f>"33133603"</f>
        <v>33133603</v>
      </c>
      <c r="Z355" t="str">
        <f>""</f>
        <v/>
      </c>
      <c r="AA355" t="str">
        <f>""</f>
        <v/>
      </c>
      <c r="AB355" t="str">
        <f>""</f>
        <v/>
      </c>
      <c r="AC355" t="str">
        <f>""</f>
        <v/>
      </c>
      <c r="AD355" t="str">
        <f>""</f>
        <v/>
      </c>
      <c r="AE355" t="str">
        <f>""</f>
        <v/>
      </c>
      <c r="AF355" t="str">
        <f>""</f>
        <v/>
      </c>
      <c r="AG355" t="str">
        <f>""</f>
        <v/>
      </c>
      <c r="AH355" t="str">
        <f>""</f>
        <v/>
      </c>
      <c r="AI355" t="str">
        <f>""</f>
        <v/>
      </c>
      <c r="AJ355" t="str">
        <f>""</f>
        <v/>
      </c>
      <c r="AK355" t="str">
        <f>""</f>
        <v/>
      </c>
      <c r="AL355" t="str">
        <f>""</f>
        <v/>
      </c>
      <c r="AM355" t="str">
        <f>""</f>
        <v/>
      </c>
      <c r="AN355" t="str">
        <f>""</f>
        <v/>
      </c>
      <c r="AO355" t="str">
        <f>""</f>
        <v/>
      </c>
      <c r="AP355" t="str">
        <f>""</f>
        <v/>
      </c>
      <c r="AQ355" t="str">
        <f>""</f>
        <v/>
      </c>
      <c r="AR355" t="str">
        <f>""</f>
        <v/>
      </c>
      <c r="AS355" t="str">
        <f>""</f>
        <v/>
      </c>
      <c r="AT355" t="str">
        <f>""</f>
        <v/>
      </c>
      <c r="AU355" t="str">
        <f>""</f>
        <v/>
      </c>
      <c r="AV355" t="str">
        <f>""</f>
        <v/>
      </c>
      <c r="AW355" t="str">
        <f>""</f>
        <v/>
      </c>
      <c r="AX355" t="str">
        <f>""</f>
        <v/>
      </c>
      <c r="AY355" t="str">
        <f>""</f>
        <v/>
      </c>
      <c r="AZ355" t="str">
        <f>""</f>
        <v/>
      </c>
      <c r="BA355" t="str">
        <f>""</f>
        <v/>
      </c>
      <c r="BB355" t="str">
        <f>"06/07/2023 12:07:48"</f>
        <v>06/07/2023 12:07:48</v>
      </c>
      <c r="BC355" t="str">
        <f>""</f>
        <v/>
      </c>
      <c r="BD355" t="str">
        <f>""</f>
        <v/>
      </c>
      <c r="BE355" t="str">
        <f>""</f>
        <v/>
      </c>
      <c r="BF355" t="str">
        <f t="shared" si="161"/>
        <v>A</v>
      </c>
      <c r="BG355" t="str">
        <f>""</f>
        <v/>
      </c>
      <c r="BH355" t="str">
        <f>""</f>
        <v/>
      </c>
      <c r="BI355" t="str">
        <f t="shared" si="172"/>
        <v>EVENTUAL</v>
      </c>
      <c r="BJ355" t="str">
        <f t="shared" si="162"/>
        <v>1</v>
      </c>
      <c r="BK355" t="str">
        <f t="shared" si="163"/>
        <v>Farmacia</v>
      </c>
      <c r="BL355" t="str">
        <f>""</f>
        <v/>
      </c>
      <c r="BM355" t="str">
        <f>""</f>
        <v/>
      </c>
      <c r="BN355" t="str">
        <f>""</f>
        <v/>
      </c>
      <c r="BO355" t="str">
        <f>""</f>
        <v/>
      </c>
      <c r="BP355" t="str">
        <f>""</f>
        <v/>
      </c>
      <c r="BQ355" t="str">
        <f>""</f>
        <v/>
      </c>
      <c r="BR355" t="str">
        <f>"06/07/2023"</f>
        <v>06/07/2023</v>
      </c>
      <c r="BS355" t="str">
        <f>""</f>
        <v/>
      </c>
      <c r="BT355" t="str">
        <f>""</f>
        <v/>
      </c>
      <c r="BU355" t="str">
        <f>""</f>
        <v/>
      </c>
      <c r="BV355" t="str">
        <f>""</f>
        <v/>
      </c>
      <c r="BW355" t="str">
        <f>"127"</f>
        <v>127</v>
      </c>
    </row>
    <row r="356" spans="1:75" x14ac:dyDescent="0.35">
      <c r="A356">
        <v>144475</v>
      </c>
      <c r="B356" t="str">
        <f t="shared" si="155"/>
        <v>A</v>
      </c>
      <c r="C356" t="str">
        <f t="shared" si="156"/>
        <v>80</v>
      </c>
      <c r="D356" t="str">
        <f t="shared" si="157"/>
        <v>11121001</v>
      </c>
      <c r="E356" t="str">
        <f t="shared" si="158"/>
        <v>121001</v>
      </c>
      <c r="F356" t="str">
        <f t="shared" si="159"/>
        <v>JENIFER SANTOS</v>
      </c>
      <c r="G356" t="str">
        <f>"95865069000194"</f>
        <v>95865069000194</v>
      </c>
      <c r="H356" t="str">
        <f>""</f>
        <v/>
      </c>
      <c r="I356" t="str">
        <f t="shared" si="160"/>
        <v>CONTA OPTICA</v>
      </c>
      <c r="J356" t="str">
        <f>"OTICA RELOJOARIA ORION"</f>
        <v>OTICA RELOJOARIA ORION</v>
      </c>
      <c r="K356" t="str">
        <f>"OTICA E RELOJOARIA ORION (934)"</f>
        <v>OTICA E RELOJOARIA ORION (934)</v>
      </c>
      <c r="L356" t="str">
        <f>""</f>
        <v/>
      </c>
      <c r="M356" t="str">
        <f>""</f>
        <v/>
      </c>
      <c r="N356" t="str">
        <f>"oticaorion@hotmail.com"</f>
        <v>oticaorion@hotmail.com</v>
      </c>
      <c r="O356" t="str">
        <f>""</f>
        <v/>
      </c>
      <c r="P356" t="str">
        <f>"RUA CONCELHEIRO PEDREIRA"</f>
        <v>RUA CONCELHEIRO PEDREIRA</v>
      </c>
      <c r="Q356" t="str">
        <f>"60"</f>
        <v>60</v>
      </c>
      <c r="R356" t="str">
        <f>""</f>
        <v/>
      </c>
      <c r="S356" t="str">
        <f>"1279"</f>
        <v>1279</v>
      </c>
      <c r="T356" t="str">
        <f>"89239220"</f>
        <v>89239220</v>
      </c>
      <c r="U356" t="str">
        <f>"PIRABEIRABA"</f>
        <v>PIRABEIRABA</v>
      </c>
      <c r="V356" t="str">
        <f>"JOINVILLE"</f>
        <v>JOINVILLE</v>
      </c>
      <c r="W356" t="str">
        <f t="shared" ref="W356:W372" si="173">"SC"</f>
        <v>SC</v>
      </c>
      <c r="X356" t="str">
        <f>"47"</f>
        <v>47</v>
      </c>
      <c r="Y356" t="str">
        <f>"34240846"</f>
        <v>34240846</v>
      </c>
      <c r="Z356" t="str">
        <f>""</f>
        <v/>
      </c>
      <c r="AA356" t="str">
        <f>""</f>
        <v/>
      </c>
      <c r="AB356" t="str">
        <f>""</f>
        <v/>
      </c>
      <c r="AC356" t="str">
        <f>""</f>
        <v/>
      </c>
      <c r="AD356" t="str">
        <f>""</f>
        <v/>
      </c>
      <c r="AE356" t="str">
        <f>""</f>
        <v/>
      </c>
      <c r="AF356" t="str">
        <f>""</f>
        <v/>
      </c>
      <c r="AG356" t="str">
        <f>""</f>
        <v/>
      </c>
      <c r="AH356" t="str">
        <f>""</f>
        <v/>
      </c>
      <c r="AI356" t="str">
        <f>""</f>
        <v/>
      </c>
      <c r="AJ356" t="str">
        <f t="shared" ref="AJ356:AL359" si="174">"0"</f>
        <v>0</v>
      </c>
      <c r="AK356" t="str">
        <f t="shared" si="174"/>
        <v>0</v>
      </c>
      <c r="AL356" t="str">
        <f t="shared" si="174"/>
        <v>0</v>
      </c>
      <c r="AM356" t="str">
        <f>""</f>
        <v/>
      </c>
      <c r="AN356" t="str">
        <f>""</f>
        <v/>
      </c>
      <c r="AO356" t="str">
        <f>""</f>
        <v/>
      </c>
      <c r="AP356" t="str">
        <f>""</f>
        <v/>
      </c>
      <c r="AQ356" t="str">
        <f>""</f>
        <v/>
      </c>
      <c r="AR356" t="str">
        <f>""</f>
        <v/>
      </c>
      <c r="AS356" t="str">
        <f>""</f>
        <v/>
      </c>
      <c r="AT356" t="str">
        <f>""</f>
        <v/>
      </c>
      <c r="AU356" t="str">
        <f>""</f>
        <v/>
      </c>
      <c r="AV356" t="str">
        <f>""</f>
        <v/>
      </c>
      <c r="AW356" t="str">
        <f>""</f>
        <v/>
      </c>
      <c r="AX356" t="str">
        <f>""</f>
        <v/>
      </c>
      <c r="AY356" t="str">
        <f>""</f>
        <v/>
      </c>
      <c r="AZ356" t="str">
        <f>""</f>
        <v/>
      </c>
      <c r="BA356" t="str">
        <f>""</f>
        <v/>
      </c>
      <c r="BB356" t="str">
        <f>""</f>
        <v/>
      </c>
      <c r="BC356" t="str">
        <f>""</f>
        <v/>
      </c>
      <c r="BD356" t="str">
        <f>""</f>
        <v/>
      </c>
      <c r="BE356" t="str">
        <f>""</f>
        <v/>
      </c>
      <c r="BF356" t="str">
        <f t="shared" si="161"/>
        <v>A</v>
      </c>
      <c r="BG356" t="str">
        <f t="shared" ref="BG356:BH359" si="175">"0,00"</f>
        <v>0,00</v>
      </c>
      <c r="BH356" t="str">
        <f t="shared" si="175"/>
        <v>0,00</v>
      </c>
      <c r="BI356" t="str">
        <f t="shared" si="172"/>
        <v>EVENTUAL</v>
      </c>
      <c r="BJ356" t="str">
        <f t="shared" si="162"/>
        <v>1</v>
      </c>
      <c r="BK356" t="str">
        <f t="shared" si="163"/>
        <v>Farmacia</v>
      </c>
      <c r="BL356" t="str">
        <f>""</f>
        <v/>
      </c>
      <c r="BM356" t="str">
        <f>"NÃO É VARILUX ESPECIALISTA"</f>
        <v>NÃO É VARILUX ESPECIALISTA</v>
      </c>
      <c r="BN356" t="str">
        <f>"NA"</f>
        <v>NA</v>
      </c>
      <c r="BO356" t="str">
        <f>"OUTROS"</f>
        <v>OUTROS</v>
      </c>
      <c r="BP356" t="str">
        <f>""</f>
        <v/>
      </c>
      <c r="BQ356" t="str">
        <f>""</f>
        <v/>
      </c>
      <c r="BR356" t="str">
        <f>""</f>
        <v/>
      </c>
      <c r="BS356" t="str">
        <f>""</f>
        <v/>
      </c>
      <c r="BT356" t="str">
        <f>""</f>
        <v/>
      </c>
      <c r="BU356" t="str">
        <f>""</f>
        <v/>
      </c>
      <c r="BV356" t="str">
        <f>"9"</f>
        <v>9</v>
      </c>
      <c r="BW356" t="str">
        <f>"1"</f>
        <v>1</v>
      </c>
    </row>
    <row r="357" spans="1:75" x14ac:dyDescent="0.35">
      <c r="A357">
        <v>144570</v>
      </c>
      <c r="B357" t="str">
        <f t="shared" si="155"/>
        <v>A</v>
      </c>
      <c r="C357" t="str">
        <f t="shared" si="156"/>
        <v>80</v>
      </c>
      <c r="D357" t="str">
        <f t="shared" si="157"/>
        <v>11121001</v>
      </c>
      <c r="E357" t="str">
        <f t="shared" si="158"/>
        <v>121001</v>
      </c>
      <c r="F357" t="str">
        <f t="shared" si="159"/>
        <v>JENIFER SANTOS</v>
      </c>
      <c r="G357" t="str">
        <f>"73871394000127"</f>
        <v>73871394000127</v>
      </c>
      <c r="H357" t="str">
        <f>""</f>
        <v/>
      </c>
      <c r="I357" t="str">
        <f t="shared" si="160"/>
        <v>CONTA OPTICA</v>
      </c>
      <c r="J357" t="str">
        <f>"OTICA SANTA CATARINA LTDA"</f>
        <v>OTICA SANTA CATARINA LTDA</v>
      </c>
      <c r="K357" t="str">
        <f>"OTICA SANTA CATARINA LTDA (662)"</f>
        <v>OTICA SANTA CATARINA LTDA (662)</v>
      </c>
      <c r="L357" t="str">
        <f>""</f>
        <v/>
      </c>
      <c r="M357" t="str">
        <f>""</f>
        <v/>
      </c>
      <c r="N357" t="str">
        <f>"oticasantacatarina@bol.com.br"</f>
        <v>oticasantacatarina@bol.com.br</v>
      </c>
      <c r="O357" t="str">
        <f>""</f>
        <v/>
      </c>
      <c r="P357" t="str">
        <f>"RUA DO PRINCIPE"</f>
        <v>RUA DO PRINCIPE</v>
      </c>
      <c r="Q357" t="str">
        <f>"685"</f>
        <v>685</v>
      </c>
      <c r="R357" t="str">
        <f>"SALA 01"</f>
        <v>SALA 01</v>
      </c>
      <c r="S357" t="str">
        <f>"1277"</f>
        <v>1277</v>
      </c>
      <c r="T357" t="str">
        <f>"89201001"</f>
        <v>89201001</v>
      </c>
      <c r="U357" t="str">
        <f>"CENTRO"</f>
        <v>CENTRO</v>
      </c>
      <c r="V357" t="str">
        <f>"JOINVILLE"</f>
        <v>JOINVILLE</v>
      </c>
      <c r="W357" t="str">
        <f t="shared" si="173"/>
        <v>SC</v>
      </c>
      <c r="X357" t="str">
        <f>"47"</f>
        <v>47</v>
      </c>
      <c r="Y357" t="str">
        <f>"34223358"</f>
        <v>34223358</v>
      </c>
      <c r="Z357" t="str">
        <f>""</f>
        <v/>
      </c>
      <c r="AA357" t="str">
        <f>""</f>
        <v/>
      </c>
      <c r="AB357" t="str">
        <f>""</f>
        <v/>
      </c>
      <c r="AC357" t="str">
        <f>""</f>
        <v/>
      </c>
      <c r="AD357" t="str">
        <f>""</f>
        <v/>
      </c>
      <c r="AE357" t="str">
        <f>""</f>
        <v/>
      </c>
      <c r="AF357" t="str">
        <f>""</f>
        <v/>
      </c>
      <c r="AG357" t="str">
        <f>""</f>
        <v/>
      </c>
      <c r="AH357" t="str">
        <f>""</f>
        <v/>
      </c>
      <c r="AI357" t="str">
        <f>""</f>
        <v/>
      </c>
      <c r="AJ357" t="str">
        <f t="shared" si="174"/>
        <v>0</v>
      </c>
      <c r="AK357" t="str">
        <f t="shared" si="174"/>
        <v>0</v>
      </c>
      <c r="AL357" t="str">
        <f t="shared" si="174"/>
        <v>0</v>
      </c>
      <c r="AM357" t="str">
        <f>""</f>
        <v/>
      </c>
      <c r="AN357" t="str">
        <f>""</f>
        <v/>
      </c>
      <c r="AO357" t="str">
        <f>""</f>
        <v/>
      </c>
      <c r="AP357" t="str">
        <f>""</f>
        <v/>
      </c>
      <c r="AQ357" t="str">
        <f>""</f>
        <v/>
      </c>
      <c r="AR357" t="str">
        <f>""</f>
        <v/>
      </c>
      <c r="AS357" t="str">
        <f>""</f>
        <v/>
      </c>
      <c r="AT357" t="str">
        <f>""</f>
        <v/>
      </c>
      <c r="AU357" t="str">
        <f>""</f>
        <v/>
      </c>
      <c r="AV357" t="str">
        <f>""</f>
        <v/>
      </c>
      <c r="AW357" t="str">
        <f>""</f>
        <v/>
      </c>
      <c r="AX357" t="str">
        <f>""</f>
        <v/>
      </c>
      <c r="AY357" t="str">
        <f>""</f>
        <v/>
      </c>
      <c r="AZ357" t="str">
        <f>""</f>
        <v/>
      </c>
      <c r="BA357" t="str">
        <f>""</f>
        <v/>
      </c>
      <c r="BB357" t="str">
        <f>""</f>
        <v/>
      </c>
      <c r="BC357" t="str">
        <f>""</f>
        <v/>
      </c>
      <c r="BD357" t="str">
        <f>""</f>
        <v/>
      </c>
      <c r="BE357" t="str">
        <f>""</f>
        <v/>
      </c>
      <c r="BF357" t="str">
        <f t="shared" si="161"/>
        <v>A</v>
      </c>
      <c r="BG357" t="str">
        <f t="shared" si="175"/>
        <v>0,00</v>
      </c>
      <c r="BH357" t="str">
        <f t="shared" si="175"/>
        <v>0,00</v>
      </c>
      <c r="BI357" t="str">
        <f t="shared" si="172"/>
        <v>EVENTUAL</v>
      </c>
      <c r="BJ357" t="str">
        <f t="shared" si="162"/>
        <v>1</v>
      </c>
      <c r="BK357" t="str">
        <f t="shared" si="163"/>
        <v>Farmacia</v>
      </c>
      <c r="BL357" t="str">
        <f>""</f>
        <v/>
      </c>
      <c r="BM357" t="str">
        <f>"NÃO É VARILUX ESPECIALISTA"</f>
        <v>NÃO É VARILUX ESPECIALISTA</v>
      </c>
      <c r="BN357" t="str">
        <f>"EL360"</f>
        <v>EL360</v>
      </c>
      <c r="BO357" t="str">
        <f>"FOCO KODAK 2"</f>
        <v>FOCO KODAK 2</v>
      </c>
      <c r="BP357" t="str">
        <f>""</f>
        <v/>
      </c>
      <c r="BQ357" t="str">
        <f>""</f>
        <v/>
      </c>
      <c r="BR357" t="str">
        <f>""</f>
        <v/>
      </c>
      <c r="BS357" t="str">
        <f>""</f>
        <v/>
      </c>
      <c r="BT357" t="str">
        <f>""</f>
        <v/>
      </c>
      <c r="BU357" t="str">
        <f>""</f>
        <v/>
      </c>
      <c r="BV357" t="str">
        <f>"8"</f>
        <v>8</v>
      </c>
      <c r="BW357" t="str">
        <f>"Não visitado"</f>
        <v>Não visitado</v>
      </c>
    </row>
    <row r="358" spans="1:75" x14ac:dyDescent="0.35">
      <c r="A358">
        <v>144571</v>
      </c>
      <c r="B358" t="str">
        <f t="shared" si="155"/>
        <v>A</v>
      </c>
      <c r="C358" t="str">
        <f t="shared" si="156"/>
        <v>80</v>
      </c>
      <c r="D358" t="str">
        <f t="shared" si="157"/>
        <v>11121001</v>
      </c>
      <c r="E358" t="str">
        <f t="shared" si="158"/>
        <v>121001</v>
      </c>
      <c r="F358" t="str">
        <f t="shared" si="159"/>
        <v>JENIFER SANTOS</v>
      </c>
      <c r="G358" t="str">
        <f>"73871394000208"</f>
        <v>73871394000208</v>
      </c>
      <c r="H358" t="str">
        <f>""</f>
        <v/>
      </c>
      <c r="I358" t="str">
        <f t="shared" si="160"/>
        <v>CONTA OPTICA</v>
      </c>
      <c r="J358" t="str">
        <f>"OTICA SANTA CATARINA LTDA ME"</f>
        <v>OTICA SANTA CATARINA LTDA ME</v>
      </c>
      <c r="K358" t="str">
        <f>"OTICA SANTA CATARINA LTDA ME (1017)"</f>
        <v>OTICA SANTA CATARINA LTDA ME (1017)</v>
      </c>
      <c r="L358" t="str">
        <f>""</f>
        <v/>
      </c>
      <c r="M358" t="str">
        <f>""</f>
        <v/>
      </c>
      <c r="N358" t="str">
        <f>"oticasantacatarina@bol.com.br"</f>
        <v>oticasantacatarina@bol.com.br</v>
      </c>
      <c r="O358" t="str">
        <f>""</f>
        <v/>
      </c>
      <c r="P358" t="str">
        <f>"RUA DO PRINCIPE"</f>
        <v>RUA DO PRINCIPE</v>
      </c>
      <c r="Q358" t="str">
        <f>"685"</f>
        <v>685</v>
      </c>
      <c r="R358" t="str">
        <f>"SALA 02"</f>
        <v>SALA 02</v>
      </c>
      <c r="S358" t="str">
        <f>"1277"</f>
        <v>1277</v>
      </c>
      <c r="T358" t="str">
        <f>"89201001"</f>
        <v>89201001</v>
      </c>
      <c r="U358" t="str">
        <f>"CENTRO"</f>
        <v>CENTRO</v>
      </c>
      <c r="V358" t="str">
        <f>"JOINVILLE"</f>
        <v>JOINVILLE</v>
      </c>
      <c r="W358" t="str">
        <f t="shared" si="173"/>
        <v>SC</v>
      </c>
      <c r="X358" t="str">
        <f>"47"</f>
        <v>47</v>
      </c>
      <c r="Y358" t="str">
        <f>"30283358"</f>
        <v>30283358</v>
      </c>
      <c r="Z358" t="str">
        <f>""</f>
        <v/>
      </c>
      <c r="AA358" t="str">
        <f>""</f>
        <v/>
      </c>
      <c r="AB358" t="str">
        <f>""</f>
        <v/>
      </c>
      <c r="AC358" t="str">
        <f>""</f>
        <v/>
      </c>
      <c r="AD358" t="str">
        <f>""</f>
        <v/>
      </c>
      <c r="AE358" t="str">
        <f>""</f>
        <v/>
      </c>
      <c r="AF358" t="str">
        <f>""</f>
        <v/>
      </c>
      <c r="AG358" t="str">
        <f>""</f>
        <v/>
      </c>
      <c r="AH358" t="str">
        <f>""</f>
        <v/>
      </c>
      <c r="AI358" t="str">
        <f>""</f>
        <v/>
      </c>
      <c r="AJ358" t="str">
        <f t="shared" si="174"/>
        <v>0</v>
      </c>
      <c r="AK358" t="str">
        <f t="shared" si="174"/>
        <v>0</v>
      </c>
      <c r="AL358" t="str">
        <f t="shared" si="174"/>
        <v>0</v>
      </c>
      <c r="AM358" t="str">
        <f>""</f>
        <v/>
      </c>
      <c r="AN358" t="str">
        <f>""</f>
        <v/>
      </c>
      <c r="AO358" t="str">
        <f>""</f>
        <v/>
      </c>
      <c r="AP358" t="str">
        <f>""</f>
        <v/>
      </c>
      <c r="AQ358" t="str">
        <f>""</f>
        <v/>
      </c>
      <c r="AR358" t="str">
        <f>""</f>
        <v/>
      </c>
      <c r="AS358" t="str">
        <f>""</f>
        <v/>
      </c>
      <c r="AT358" t="str">
        <f>""</f>
        <v/>
      </c>
      <c r="AU358" t="str">
        <f>""</f>
        <v/>
      </c>
      <c r="AV358" t="str">
        <f>""</f>
        <v/>
      </c>
      <c r="AW358" t="str">
        <f>""</f>
        <v/>
      </c>
      <c r="AX358" t="str">
        <f>""</f>
        <v/>
      </c>
      <c r="AY358" t="str">
        <f>""</f>
        <v/>
      </c>
      <c r="AZ358" t="str">
        <f>""</f>
        <v/>
      </c>
      <c r="BA358" t="str">
        <f>""</f>
        <v/>
      </c>
      <c r="BB358" t="str">
        <f>""</f>
        <v/>
      </c>
      <c r="BC358" t="str">
        <f>""</f>
        <v/>
      </c>
      <c r="BD358" t="str">
        <f>""</f>
        <v/>
      </c>
      <c r="BE358" t="str">
        <f>""</f>
        <v/>
      </c>
      <c r="BF358" t="str">
        <f t="shared" si="161"/>
        <v>A</v>
      </c>
      <c r="BG358" t="str">
        <f t="shared" si="175"/>
        <v>0,00</v>
      </c>
      <c r="BH358" t="str">
        <f t="shared" si="175"/>
        <v>0,00</v>
      </c>
      <c r="BI358" t="str">
        <f t="shared" si="172"/>
        <v>EVENTUAL</v>
      </c>
      <c r="BJ358" t="str">
        <f t="shared" si="162"/>
        <v>1</v>
      </c>
      <c r="BK358" t="str">
        <f t="shared" si="163"/>
        <v>Farmacia</v>
      </c>
      <c r="BL358" t="str">
        <f>""</f>
        <v/>
      </c>
      <c r="BM358" t="str">
        <f>"NÃO É VARILUX ESPECIALISTA"</f>
        <v>NÃO É VARILUX ESPECIALISTA</v>
      </c>
      <c r="BN358" t="str">
        <f>"EL360"</f>
        <v>EL360</v>
      </c>
      <c r="BO358" t="str">
        <f>"OUTROS"</f>
        <v>OUTROS</v>
      </c>
      <c r="BP358" t="str">
        <f>""</f>
        <v/>
      </c>
      <c r="BQ358" t="str">
        <f>""</f>
        <v/>
      </c>
      <c r="BR358" t="str">
        <f>""</f>
        <v/>
      </c>
      <c r="BS358" t="str">
        <f>""</f>
        <v/>
      </c>
      <c r="BT358" t="str">
        <f>""</f>
        <v/>
      </c>
      <c r="BU358" t="str">
        <f>""</f>
        <v/>
      </c>
      <c r="BV358" t="str">
        <f>"8"</f>
        <v>8</v>
      </c>
      <c r="BW358" t="str">
        <f>"157"</f>
        <v>157</v>
      </c>
    </row>
    <row r="359" spans="1:75" x14ac:dyDescent="0.35">
      <c r="A359">
        <v>869</v>
      </c>
      <c r="B359" t="str">
        <f t="shared" si="155"/>
        <v>A</v>
      </c>
      <c r="C359" t="str">
        <f t="shared" si="156"/>
        <v>80</v>
      </c>
      <c r="D359" t="str">
        <f t="shared" si="157"/>
        <v>11121001</v>
      </c>
      <c r="E359" t="str">
        <f t="shared" si="158"/>
        <v>121001</v>
      </c>
      <c r="F359" t="str">
        <f t="shared" si="159"/>
        <v>JENIFER SANTOS</v>
      </c>
      <c r="G359" t="str">
        <f>"05301036000129"</f>
        <v>05301036000129</v>
      </c>
      <c r="H359" t="str">
        <f>""</f>
        <v/>
      </c>
      <c r="I359" t="str">
        <f t="shared" si="160"/>
        <v>CONTA OPTICA</v>
      </c>
      <c r="J359" t="str">
        <f>"OTICA SANTO ANDRE LTDA"</f>
        <v>OTICA SANTO ANDRE LTDA</v>
      </c>
      <c r="K359" t="str">
        <f>"OTICA SANTO ANDRE LTDA (230)"</f>
        <v>OTICA SANTO ANDRE LTDA (230)</v>
      </c>
      <c r="L359" t="str">
        <f>""</f>
        <v/>
      </c>
      <c r="M359" t="str">
        <f>""</f>
        <v/>
      </c>
      <c r="N359" t="str">
        <f>""</f>
        <v/>
      </c>
      <c r="O359" t="str">
        <f>""</f>
        <v/>
      </c>
      <c r="P359" t="str">
        <f>"RUA PRINCESA IZABEL"</f>
        <v>RUA PRINCESA IZABEL</v>
      </c>
      <c r="Q359" t="str">
        <f>"347"</f>
        <v>347</v>
      </c>
      <c r="R359" t="str">
        <f>"SALA02"</f>
        <v>SALA02</v>
      </c>
      <c r="S359" t="str">
        <f>"1277"</f>
        <v>1277</v>
      </c>
      <c r="T359" t="str">
        <f>"89201270"</f>
        <v>89201270</v>
      </c>
      <c r="U359" t="str">
        <f>"CENTRO"</f>
        <v>CENTRO</v>
      </c>
      <c r="V359" t="str">
        <f>"JOINVILLE"</f>
        <v>JOINVILLE</v>
      </c>
      <c r="W359" t="str">
        <f t="shared" si="173"/>
        <v>SC</v>
      </c>
      <c r="X359" t="str">
        <f>"47"</f>
        <v>47</v>
      </c>
      <c r="Y359" t="str">
        <f>"34339602"</f>
        <v>34339602</v>
      </c>
      <c r="Z359" t="str">
        <f>""</f>
        <v/>
      </c>
      <c r="AA359" t="str">
        <f>""</f>
        <v/>
      </c>
      <c r="AB359" t="str">
        <f>""</f>
        <v/>
      </c>
      <c r="AC359" t="str">
        <f>""</f>
        <v/>
      </c>
      <c r="AD359" t="str">
        <f>""</f>
        <v/>
      </c>
      <c r="AE359" t="str">
        <f>""</f>
        <v/>
      </c>
      <c r="AF359" t="str">
        <f>""</f>
        <v/>
      </c>
      <c r="AG359" t="str">
        <f>""</f>
        <v/>
      </c>
      <c r="AH359" t="str">
        <f>""</f>
        <v/>
      </c>
      <c r="AI359" t="str">
        <f>""</f>
        <v/>
      </c>
      <c r="AJ359" t="str">
        <f t="shared" si="174"/>
        <v>0</v>
      </c>
      <c r="AK359" t="str">
        <f t="shared" si="174"/>
        <v>0</v>
      </c>
      <c r="AL359" t="str">
        <f t="shared" si="174"/>
        <v>0</v>
      </c>
      <c r="AM359" t="str">
        <f>""</f>
        <v/>
      </c>
      <c r="AN359" t="str">
        <f>""</f>
        <v/>
      </c>
      <c r="AO359" t="str">
        <f>""</f>
        <v/>
      </c>
      <c r="AP359" t="str">
        <f>""</f>
        <v/>
      </c>
      <c r="AQ359" t="str">
        <f>""</f>
        <v/>
      </c>
      <c r="AR359" t="str">
        <f>""</f>
        <v/>
      </c>
      <c r="AS359" t="str">
        <f>""</f>
        <v/>
      </c>
      <c r="AT359" t="str">
        <f>""</f>
        <v/>
      </c>
      <c r="AU359" t="str">
        <f>""</f>
        <v/>
      </c>
      <c r="AV359" t="str">
        <f>""</f>
        <v/>
      </c>
      <c r="AW359" t="str">
        <f>""</f>
        <v/>
      </c>
      <c r="AX359" t="str">
        <f>""</f>
        <v/>
      </c>
      <c r="AY359" t="str">
        <f>""</f>
        <v/>
      </c>
      <c r="AZ359" t="str">
        <f>""</f>
        <v/>
      </c>
      <c r="BA359" t="str">
        <f>""</f>
        <v/>
      </c>
      <c r="BB359" t="str">
        <f>"27/07/2018 09:25:53"</f>
        <v>27/07/2018 09:25:53</v>
      </c>
      <c r="BC359" t="str">
        <f>""</f>
        <v/>
      </c>
      <c r="BD359" t="str">
        <f>""</f>
        <v/>
      </c>
      <c r="BE359" t="str">
        <f>"869"</f>
        <v>869</v>
      </c>
      <c r="BF359" t="str">
        <f t="shared" si="161"/>
        <v>A</v>
      </c>
      <c r="BG359" t="str">
        <f t="shared" si="175"/>
        <v>0,00</v>
      </c>
      <c r="BH359" t="str">
        <f t="shared" si="175"/>
        <v>0,00</v>
      </c>
      <c r="BI359" t="str">
        <f t="shared" si="172"/>
        <v>EVENTUAL</v>
      </c>
      <c r="BJ359" t="str">
        <f t="shared" si="162"/>
        <v>1</v>
      </c>
      <c r="BK359" t="str">
        <f t="shared" si="163"/>
        <v>Farmacia</v>
      </c>
      <c r="BL359" t="str">
        <f>""</f>
        <v/>
      </c>
      <c r="BM359" t="str">
        <f>"NÃO É VARILUX ESPECIALISTA"</f>
        <v>NÃO É VARILUX ESPECIALISTA</v>
      </c>
      <c r="BN359" t="str">
        <f>"NA"</f>
        <v>NA</v>
      </c>
      <c r="BO359" t="str">
        <f>"FOCO KODAK 2"</f>
        <v>FOCO KODAK 2</v>
      </c>
      <c r="BP359" t="str">
        <f>""</f>
        <v/>
      </c>
      <c r="BQ359" t="str">
        <f>""</f>
        <v/>
      </c>
      <c r="BR359" t="str">
        <f>"27/07/2018"</f>
        <v>27/07/2018</v>
      </c>
      <c r="BS359" t="str">
        <f>""</f>
        <v/>
      </c>
      <c r="BT359" t="str">
        <f>""</f>
        <v/>
      </c>
      <c r="BU359" t="str">
        <f>""</f>
        <v/>
      </c>
      <c r="BV359" t="str">
        <f>"9"</f>
        <v>9</v>
      </c>
      <c r="BW359" t="str">
        <f>"Não visitado"</f>
        <v>Não visitado</v>
      </c>
    </row>
    <row r="360" spans="1:75" x14ac:dyDescent="0.35">
      <c r="A360">
        <v>156708</v>
      </c>
      <c r="B360" t="str">
        <f t="shared" si="155"/>
        <v>A</v>
      </c>
      <c r="C360" t="str">
        <f t="shared" si="156"/>
        <v>80</v>
      </c>
      <c r="D360" t="str">
        <f t="shared" si="157"/>
        <v>11121001</v>
      </c>
      <c r="E360" t="str">
        <f t="shared" si="158"/>
        <v>121001</v>
      </c>
      <c r="F360" t="str">
        <f t="shared" si="159"/>
        <v>JENIFER SANTOS</v>
      </c>
      <c r="G360" t="str">
        <f>"02238843000156"</f>
        <v>02238843000156</v>
      </c>
      <c r="H360" t="str">
        <f>"0"</f>
        <v>0</v>
      </c>
      <c r="I360" t="str">
        <f t="shared" si="160"/>
        <v>CONTA OPTICA</v>
      </c>
      <c r="J360" t="str">
        <f>"OTICA SAO FRANCISCO LTDA ME"</f>
        <v>OTICA SAO FRANCISCO LTDA ME</v>
      </c>
      <c r="K360" t="str">
        <f>"OTICA SAO FRANCISCO LTDA ME (752)"</f>
        <v>OTICA SAO FRANCISCO LTDA ME (752)</v>
      </c>
      <c r="L360" t="str">
        <f>""</f>
        <v/>
      </c>
      <c r="M360" t="str">
        <f>""</f>
        <v/>
      </c>
      <c r="N360" t="str">
        <f>"otica_globo@hotmail.com"</f>
        <v>otica_globo@hotmail.com</v>
      </c>
      <c r="O360" t="str">
        <f>""</f>
        <v/>
      </c>
      <c r="P360" t="str">
        <f>"RUA LAURO MULLER"</f>
        <v>RUA LAURO MULLER</v>
      </c>
      <c r="Q360" t="str">
        <f>"17"</f>
        <v>17</v>
      </c>
      <c r="R360" t="str">
        <f>""</f>
        <v/>
      </c>
      <c r="S360" t="str">
        <f>"1280"</f>
        <v>1280</v>
      </c>
      <c r="T360" t="str">
        <f>"89240000"</f>
        <v>89240000</v>
      </c>
      <c r="U360" t="str">
        <f>"NAO INFORMADO"</f>
        <v>NAO INFORMADO</v>
      </c>
      <c r="V360" t="str">
        <f>"SAO FRANCISCO DO SUL"</f>
        <v>SAO FRANCISCO DO SUL</v>
      </c>
      <c r="W360" t="str">
        <f t="shared" si="173"/>
        <v>SC</v>
      </c>
      <c r="X360" t="str">
        <f>"47"</f>
        <v>47</v>
      </c>
      <c r="Y360" t="str">
        <f>"34442198"</f>
        <v>34442198</v>
      </c>
      <c r="Z360" t="str">
        <f>""</f>
        <v/>
      </c>
      <c r="AA360" t="str">
        <f>""</f>
        <v/>
      </c>
      <c r="AB360" t="str">
        <f>""</f>
        <v/>
      </c>
      <c r="AC360" t="str">
        <f>""</f>
        <v/>
      </c>
      <c r="AD360" t="str">
        <f>""</f>
        <v/>
      </c>
      <c r="AE360" t="str">
        <f>""</f>
        <v/>
      </c>
      <c r="AF360" t="str">
        <f>""</f>
        <v/>
      </c>
      <c r="AG360" t="str">
        <f>""</f>
        <v/>
      </c>
      <c r="AH360" t="str">
        <f>""</f>
        <v/>
      </c>
      <c r="AI360" t="str">
        <f>""</f>
        <v/>
      </c>
      <c r="AJ360" t="str">
        <f>""</f>
        <v/>
      </c>
      <c r="AK360" t="str">
        <f>""</f>
        <v/>
      </c>
      <c r="AL360" t="str">
        <f>""</f>
        <v/>
      </c>
      <c r="AM360" t="str">
        <f>""</f>
        <v/>
      </c>
      <c r="AN360" t="str">
        <f>""</f>
        <v/>
      </c>
      <c r="AO360" t="str">
        <f>""</f>
        <v/>
      </c>
      <c r="AP360" t="str">
        <f>""</f>
        <v/>
      </c>
      <c r="AQ360" t="str">
        <f>""</f>
        <v/>
      </c>
      <c r="AR360" t="str">
        <f>""</f>
        <v/>
      </c>
      <c r="AS360" t="str">
        <f>""</f>
        <v/>
      </c>
      <c r="AT360" t="str">
        <f>""</f>
        <v/>
      </c>
      <c r="AU360" t="str">
        <f>""</f>
        <v/>
      </c>
      <c r="AV360" t="str">
        <f>""</f>
        <v/>
      </c>
      <c r="AW360" t="str">
        <f>""</f>
        <v/>
      </c>
      <c r="AX360" t="str">
        <f>""</f>
        <v/>
      </c>
      <c r="AY360" t="str">
        <f>""</f>
        <v/>
      </c>
      <c r="AZ360" t="str">
        <f>""</f>
        <v/>
      </c>
      <c r="BA360" t="str">
        <f>""</f>
        <v/>
      </c>
      <c r="BB360" t="str">
        <f>"06/07/2023 11:06:18"</f>
        <v>06/07/2023 11:06:18</v>
      </c>
      <c r="BC360" t="str">
        <f>""</f>
        <v/>
      </c>
      <c r="BD360" t="str">
        <f>""</f>
        <v/>
      </c>
      <c r="BE360" t="str">
        <f>""</f>
        <v/>
      </c>
      <c r="BF360" t="str">
        <f t="shared" si="161"/>
        <v>A</v>
      </c>
      <c r="BG360" t="str">
        <f>""</f>
        <v/>
      </c>
      <c r="BH360" t="str">
        <f>""</f>
        <v/>
      </c>
      <c r="BI360" t="str">
        <f t="shared" si="172"/>
        <v>EVENTUAL</v>
      </c>
      <c r="BJ360" t="str">
        <f t="shared" si="162"/>
        <v>1</v>
      </c>
      <c r="BK360" t="str">
        <f t="shared" si="163"/>
        <v>Farmacia</v>
      </c>
      <c r="BL360" t="str">
        <f>""</f>
        <v/>
      </c>
      <c r="BM360" t="str">
        <f>""</f>
        <v/>
      </c>
      <c r="BN360" t="str">
        <f>""</f>
        <v/>
      </c>
      <c r="BO360" t="str">
        <f>""</f>
        <v/>
      </c>
      <c r="BP360" t="str">
        <f>""</f>
        <v/>
      </c>
      <c r="BQ360" t="str">
        <f>""</f>
        <v/>
      </c>
      <c r="BR360" t="str">
        <f>"06/07/2023"</f>
        <v>06/07/2023</v>
      </c>
      <c r="BS360" t="str">
        <f>""</f>
        <v/>
      </c>
      <c r="BT360" t="str">
        <f>""</f>
        <v/>
      </c>
      <c r="BU360" t="str">
        <f>""</f>
        <v/>
      </c>
      <c r="BV360" t="str">
        <f>""</f>
        <v/>
      </c>
      <c r="BW360" t="str">
        <f>"Não visitado"</f>
        <v>Não visitado</v>
      </c>
    </row>
    <row r="361" spans="1:75" x14ac:dyDescent="0.35">
      <c r="A361">
        <v>138183</v>
      </c>
      <c r="B361" t="str">
        <f t="shared" si="155"/>
        <v>A</v>
      </c>
      <c r="C361" t="str">
        <f t="shared" si="156"/>
        <v>80</v>
      </c>
      <c r="D361" t="str">
        <f t="shared" si="157"/>
        <v>11121001</v>
      </c>
      <c r="E361" t="str">
        <f t="shared" si="158"/>
        <v>121001</v>
      </c>
      <c r="F361" t="str">
        <f t="shared" si="159"/>
        <v>JENIFER SANTOS</v>
      </c>
      <c r="G361" t="str">
        <f>"20587881000104"</f>
        <v>20587881000104</v>
      </c>
      <c r="H361" t="str">
        <f>"0"</f>
        <v>0</v>
      </c>
      <c r="I361" t="str">
        <f t="shared" si="160"/>
        <v>CONTA OPTICA</v>
      </c>
      <c r="J361" t="str">
        <f>"OTICA SEARA LTDA"</f>
        <v>OTICA SEARA LTDA</v>
      </c>
      <c r="K361" t="str">
        <f>"OTICA SEARA (2221)"</f>
        <v>OTICA SEARA (2221)</v>
      </c>
      <c r="L361" t="str">
        <f>""</f>
        <v/>
      </c>
      <c r="M361" t="str">
        <f>""</f>
        <v/>
      </c>
      <c r="N361" t="str">
        <f>"oticaseara@gmail.com"</f>
        <v>oticaseara@gmail.com</v>
      </c>
      <c r="O361" t="str">
        <f>""</f>
        <v/>
      </c>
      <c r="P361" t="str">
        <f>"RUA HERCULANO ZANUSO"</f>
        <v>RUA HERCULANO ZANUSO</v>
      </c>
      <c r="Q361" t="str">
        <f>"532"</f>
        <v>532</v>
      </c>
      <c r="R361" t="str">
        <f>""</f>
        <v/>
      </c>
      <c r="S361" t="str">
        <f>"1286"</f>
        <v>1286</v>
      </c>
      <c r="T361" t="str">
        <f>"89770000"</f>
        <v>89770000</v>
      </c>
      <c r="U361" t="str">
        <f>"BAIRRO INDUSTRIAL"</f>
        <v>BAIRRO INDUSTRIAL</v>
      </c>
      <c r="V361" t="str">
        <f>"SEARA"</f>
        <v>SEARA</v>
      </c>
      <c r="W361" t="str">
        <f t="shared" si="173"/>
        <v>SC</v>
      </c>
      <c r="X361" t="str">
        <f>"49"</f>
        <v>49</v>
      </c>
      <c r="Y361" t="str">
        <f>"34525922"</f>
        <v>34525922</v>
      </c>
      <c r="Z361" t="str">
        <f>""</f>
        <v/>
      </c>
      <c r="AA361" t="str">
        <f>""</f>
        <v/>
      </c>
      <c r="AB361" t="str">
        <f>""</f>
        <v/>
      </c>
      <c r="AC361" t="str">
        <f>""</f>
        <v/>
      </c>
      <c r="AD361" t="str">
        <f>""</f>
        <v/>
      </c>
      <c r="AE361" t="str">
        <f>""</f>
        <v/>
      </c>
      <c r="AF361" t="str">
        <f>""</f>
        <v/>
      </c>
      <c r="AG361" t="str">
        <f>"S"</f>
        <v>S</v>
      </c>
      <c r="AH361" t="str">
        <f>""</f>
        <v/>
      </c>
      <c r="AI361" t="str">
        <f>""</f>
        <v/>
      </c>
      <c r="AJ361" t="str">
        <f>""</f>
        <v/>
      </c>
      <c r="AK361" t="str">
        <f>""</f>
        <v/>
      </c>
      <c r="AL361" t="str">
        <f>""</f>
        <v/>
      </c>
      <c r="AM361" t="str">
        <f>""</f>
        <v/>
      </c>
      <c r="AN361" t="str">
        <f>""</f>
        <v/>
      </c>
      <c r="AO361" t="str">
        <f>""</f>
        <v/>
      </c>
      <c r="AP361" t="str">
        <f>""</f>
        <v/>
      </c>
      <c r="AQ361" t="str">
        <f>"N"</f>
        <v>N</v>
      </c>
      <c r="AR361" t="str">
        <f>"N"</f>
        <v>N</v>
      </c>
      <c r="AS361" t="str">
        <f>"N"</f>
        <v>N</v>
      </c>
      <c r="AT361" t="str">
        <f>"N"</f>
        <v>N</v>
      </c>
      <c r="AU361" t="str">
        <f>"N"</f>
        <v>N</v>
      </c>
      <c r="AV361" t="str">
        <f>""</f>
        <v/>
      </c>
      <c r="AW361" t="str">
        <f>""</f>
        <v/>
      </c>
      <c r="AX361" t="str">
        <f>""</f>
        <v/>
      </c>
      <c r="AY361" t="str">
        <f>""</f>
        <v/>
      </c>
      <c r="AZ361" t="str">
        <f>""</f>
        <v/>
      </c>
      <c r="BA361" t="str">
        <f>""</f>
        <v/>
      </c>
      <c r="BB361" t="str">
        <f>"01/07/2021 13:53:04"</f>
        <v>01/07/2021 13:53:04</v>
      </c>
      <c r="BC361" t="str">
        <f>"04/03/2022 11:54:25"</f>
        <v>04/03/2022 11:54:25</v>
      </c>
      <c r="BD361" t="str">
        <f>""</f>
        <v/>
      </c>
      <c r="BE361" t="str">
        <f>""</f>
        <v/>
      </c>
      <c r="BF361" t="str">
        <f t="shared" si="161"/>
        <v>A</v>
      </c>
      <c r="BG361" t="str">
        <f>""</f>
        <v/>
      </c>
      <c r="BH361" t="str">
        <f>"0,00"</f>
        <v>0,00</v>
      </c>
      <c r="BI361" t="str">
        <f t="shared" si="172"/>
        <v>EVENTUAL</v>
      </c>
      <c r="BJ361" t="str">
        <f t="shared" si="162"/>
        <v>1</v>
      </c>
      <c r="BK361" t="str">
        <f t="shared" si="163"/>
        <v>Farmacia</v>
      </c>
      <c r="BL361" t="str">
        <f>""</f>
        <v/>
      </c>
      <c r="BM361" t="str">
        <f>"NÃO É VARILUX ESPECIALISTA"</f>
        <v>NÃO É VARILUX ESPECIALISTA</v>
      </c>
      <c r="BN361" t="str">
        <f>"NA"</f>
        <v>NA</v>
      </c>
      <c r="BO361" t="str">
        <f>"FOCO VARILUX"</f>
        <v>FOCO VARILUX</v>
      </c>
      <c r="BP361" t="str">
        <f>""</f>
        <v/>
      </c>
      <c r="BQ361" t="str">
        <f>""</f>
        <v/>
      </c>
      <c r="BR361" t="str">
        <f>"01/07/2021"</f>
        <v>01/07/2021</v>
      </c>
      <c r="BS361" t="str">
        <f>"04/03/2022"</f>
        <v>04/03/2022</v>
      </c>
      <c r="BT361" t="str">
        <f>""</f>
        <v/>
      </c>
      <c r="BU361" t="str">
        <f>""</f>
        <v/>
      </c>
      <c r="BV361" t="str">
        <f>""</f>
        <v/>
      </c>
      <c r="BW361" t="str">
        <f>"134"</f>
        <v>134</v>
      </c>
    </row>
    <row r="362" spans="1:75" x14ac:dyDescent="0.35">
      <c r="A362">
        <v>144441</v>
      </c>
      <c r="B362" t="str">
        <f t="shared" si="155"/>
        <v>A</v>
      </c>
      <c r="C362" t="str">
        <f t="shared" si="156"/>
        <v>80</v>
      </c>
      <c r="D362" t="str">
        <f t="shared" si="157"/>
        <v>11121001</v>
      </c>
      <c r="E362" t="str">
        <f t="shared" si="158"/>
        <v>121001</v>
      </c>
      <c r="F362" t="str">
        <f t="shared" si="159"/>
        <v>JENIFER SANTOS</v>
      </c>
      <c r="G362" t="str">
        <f>"13140732000129"</f>
        <v>13140732000129</v>
      </c>
      <c r="H362" t="str">
        <f>""</f>
        <v/>
      </c>
      <c r="I362" t="str">
        <f t="shared" si="160"/>
        <v>CONTA OPTICA</v>
      </c>
      <c r="J362" t="str">
        <f>"OTICA SILVA MELO LTDA ME"</f>
        <v>OTICA SILVA MELO LTDA ME</v>
      </c>
      <c r="K362" t="str">
        <f>"OTICA DINIZ (1804)"</f>
        <v>OTICA DINIZ (1804)</v>
      </c>
      <c r="L362" t="str">
        <f>""</f>
        <v/>
      </c>
      <c r="M362" t="str">
        <f>""</f>
        <v/>
      </c>
      <c r="N362" t="str">
        <f>"juliana-diniz1@hotmail.com"</f>
        <v>juliana-diniz1@hotmail.com</v>
      </c>
      <c r="O362" t="str">
        <f>""</f>
        <v/>
      </c>
      <c r="P362" t="str">
        <f>"RUA R. DO PRINCIPE"</f>
        <v>RUA R. DO PRINCIPE</v>
      </c>
      <c r="Q362" t="str">
        <f>"292"</f>
        <v>292</v>
      </c>
      <c r="R362" t="str">
        <f>"SALA 02"</f>
        <v>SALA 02</v>
      </c>
      <c r="S362" t="str">
        <f>"1277"</f>
        <v>1277</v>
      </c>
      <c r="T362" t="str">
        <f>"89201000"</f>
        <v>89201000</v>
      </c>
      <c r="U362" t="str">
        <f t="shared" ref="U362:U367" si="176">"CENTRO"</f>
        <v>CENTRO</v>
      </c>
      <c r="V362" t="str">
        <f>"JOINVILLE"</f>
        <v>JOINVILLE</v>
      </c>
      <c r="W362" t="str">
        <f t="shared" si="173"/>
        <v>SC</v>
      </c>
      <c r="X362" t="str">
        <f>"47"</f>
        <v>47</v>
      </c>
      <c r="Y362" t="str">
        <f>"30275567"</f>
        <v>30275567</v>
      </c>
      <c r="Z362" t="str">
        <f>""</f>
        <v/>
      </c>
      <c r="AA362" t="str">
        <f>""</f>
        <v/>
      </c>
      <c r="AB362" t="str">
        <f>""</f>
        <v/>
      </c>
      <c r="AC362" t="str">
        <f>""</f>
        <v/>
      </c>
      <c r="AD362" t="str">
        <f>""</f>
        <v/>
      </c>
      <c r="AE362" t="str">
        <f>""</f>
        <v/>
      </c>
      <c r="AF362" t="str">
        <f>""</f>
        <v/>
      </c>
      <c r="AG362" t="str">
        <f>""</f>
        <v/>
      </c>
      <c r="AH362" t="str">
        <f>""</f>
        <v/>
      </c>
      <c r="AI362" t="str">
        <f>""</f>
        <v/>
      </c>
      <c r="AJ362" t="str">
        <f t="shared" ref="AJ362:AL364" si="177">"0"</f>
        <v>0</v>
      </c>
      <c r="AK362" t="str">
        <f t="shared" si="177"/>
        <v>0</v>
      </c>
      <c r="AL362" t="str">
        <f t="shared" si="177"/>
        <v>0</v>
      </c>
      <c r="AM362" t="str">
        <f>""</f>
        <v/>
      </c>
      <c r="AN362" t="str">
        <f>""</f>
        <v/>
      </c>
      <c r="AO362" t="str">
        <f>""</f>
        <v/>
      </c>
      <c r="AP362" t="str">
        <f>""</f>
        <v/>
      </c>
      <c r="AQ362" t="str">
        <f>""</f>
        <v/>
      </c>
      <c r="AR362" t="str">
        <f>""</f>
        <v/>
      </c>
      <c r="AS362" t="str">
        <f>""</f>
        <v/>
      </c>
      <c r="AT362" t="str">
        <f>""</f>
        <v/>
      </c>
      <c r="AU362" t="str">
        <f>""</f>
        <v/>
      </c>
      <c r="AV362" t="str">
        <f>""</f>
        <v/>
      </c>
      <c r="AW362" t="str">
        <f>""</f>
        <v/>
      </c>
      <c r="AX362" t="str">
        <f>""</f>
        <v/>
      </c>
      <c r="AY362" t="str">
        <f>""</f>
        <v/>
      </c>
      <c r="AZ362" t="str">
        <f>""</f>
        <v/>
      </c>
      <c r="BA362" t="str">
        <f>""</f>
        <v/>
      </c>
      <c r="BB362" t="str">
        <f>""</f>
        <v/>
      </c>
      <c r="BC362" t="str">
        <f>""</f>
        <v/>
      </c>
      <c r="BD362" t="str">
        <f>""</f>
        <v/>
      </c>
      <c r="BE362" t="str">
        <f>""</f>
        <v/>
      </c>
      <c r="BF362" t="str">
        <f t="shared" si="161"/>
        <v>A</v>
      </c>
      <c r="BG362" t="str">
        <f>"0,00"</f>
        <v>0,00</v>
      </c>
      <c r="BH362" t="str">
        <f>"0,00"</f>
        <v>0,00</v>
      </c>
      <c r="BI362" t="str">
        <f t="shared" si="172"/>
        <v>EVENTUAL</v>
      </c>
      <c r="BJ362" t="str">
        <f t="shared" si="162"/>
        <v>1</v>
      </c>
      <c r="BK362" t="str">
        <f t="shared" si="163"/>
        <v>Farmacia</v>
      </c>
      <c r="BL362" t="str">
        <f>""</f>
        <v/>
      </c>
      <c r="BM362" t="str">
        <f>"NÃO É VARILUX ESPECIALISTA"</f>
        <v>NÃO É VARILUX ESPECIALISTA</v>
      </c>
      <c r="BN362" t="str">
        <f>"NA"</f>
        <v>NA</v>
      </c>
      <c r="BO362" t="str">
        <f>"FOCO VARILUX"</f>
        <v>FOCO VARILUX</v>
      </c>
      <c r="BP362" t="str">
        <f>""</f>
        <v/>
      </c>
      <c r="BQ362" t="str">
        <f>""</f>
        <v/>
      </c>
      <c r="BR362" t="str">
        <f>""</f>
        <v/>
      </c>
      <c r="BS362" t="str">
        <f>""</f>
        <v/>
      </c>
      <c r="BT362" t="str">
        <f>""</f>
        <v/>
      </c>
      <c r="BU362" t="str">
        <f>""</f>
        <v/>
      </c>
      <c r="BV362" t="str">
        <f>"3"</f>
        <v>3</v>
      </c>
      <c r="BW362" t="str">
        <f>"156"</f>
        <v>156</v>
      </c>
    </row>
    <row r="363" spans="1:75" x14ac:dyDescent="0.35">
      <c r="A363">
        <v>144727</v>
      </c>
      <c r="B363" t="str">
        <f t="shared" si="155"/>
        <v>A</v>
      </c>
      <c r="C363" t="str">
        <f t="shared" si="156"/>
        <v>80</v>
      </c>
      <c r="D363" t="str">
        <f t="shared" si="157"/>
        <v>11121001</v>
      </c>
      <c r="E363" t="str">
        <f t="shared" si="158"/>
        <v>121001</v>
      </c>
      <c r="F363" t="str">
        <f t="shared" si="159"/>
        <v>JENIFER SANTOS</v>
      </c>
      <c r="G363" t="str">
        <f>"13170447000150"</f>
        <v>13170447000150</v>
      </c>
      <c r="H363" t="str">
        <f>""</f>
        <v/>
      </c>
      <c r="I363" t="str">
        <f t="shared" si="160"/>
        <v>CONTA OPTICA</v>
      </c>
      <c r="J363" t="str">
        <f>"OTICA SMV LTDA ME"</f>
        <v>OTICA SMV LTDA ME</v>
      </c>
      <c r="K363" t="str">
        <f>"OTICA DINIZ (1807)"</f>
        <v>OTICA DINIZ (1807)</v>
      </c>
      <c r="L363" t="str">
        <f>""</f>
        <v/>
      </c>
      <c r="M363" t="str">
        <f>""</f>
        <v/>
      </c>
      <c r="N363" t="str">
        <f>"financeirodiniz02@gmail.com"</f>
        <v>financeirodiniz02@gmail.com</v>
      </c>
      <c r="O363" t="str">
        <f>""</f>
        <v/>
      </c>
      <c r="P363" t="str">
        <f>"RUA VISCONDE DE TAUNAY"</f>
        <v>RUA VISCONDE DE TAUNAY</v>
      </c>
      <c r="Q363" t="str">
        <f>"235"</f>
        <v>235</v>
      </c>
      <c r="R363" t="str">
        <f>"LOJA 004"</f>
        <v>LOJA 004</v>
      </c>
      <c r="S363" t="str">
        <f>"1277"</f>
        <v>1277</v>
      </c>
      <c r="T363" t="str">
        <f>"89201908"</f>
        <v>89201908</v>
      </c>
      <c r="U363" t="str">
        <f t="shared" si="176"/>
        <v>CENTRO</v>
      </c>
      <c r="V363" t="str">
        <f>"JOINVILLE"</f>
        <v>JOINVILLE</v>
      </c>
      <c r="W363" t="str">
        <f t="shared" si="173"/>
        <v>SC</v>
      </c>
      <c r="X363" t="str">
        <f>"47"</f>
        <v>47</v>
      </c>
      <c r="Y363" t="str">
        <f>"30293472"</f>
        <v>30293472</v>
      </c>
      <c r="Z363" t="str">
        <f>""</f>
        <v/>
      </c>
      <c r="AA363" t="str">
        <f>""</f>
        <v/>
      </c>
      <c r="AB363" t="str">
        <f>""</f>
        <v/>
      </c>
      <c r="AC363" t="str">
        <f>""</f>
        <v/>
      </c>
      <c r="AD363" t="str">
        <f>""</f>
        <v/>
      </c>
      <c r="AE363" t="str">
        <f>""</f>
        <v/>
      </c>
      <c r="AF363" t="str">
        <f>""</f>
        <v/>
      </c>
      <c r="AG363" t="str">
        <f>""</f>
        <v/>
      </c>
      <c r="AH363" t="str">
        <f>""</f>
        <v/>
      </c>
      <c r="AI363" t="str">
        <f>""</f>
        <v/>
      </c>
      <c r="AJ363" t="str">
        <f t="shared" si="177"/>
        <v>0</v>
      </c>
      <c r="AK363" t="str">
        <f t="shared" si="177"/>
        <v>0</v>
      </c>
      <c r="AL363" t="str">
        <f t="shared" si="177"/>
        <v>0</v>
      </c>
      <c r="AM363" t="str">
        <f>""</f>
        <v/>
      </c>
      <c r="AN363" t="str">
        <f>""</f>
        <v/>
      </c>
      <c r="AO363" t="str">
        <f>""</f>
        <v/>
      </c>
      <c r="AP363" t="str">
        <f>""</f>
        <v/>
      </c>
      <c r="AQ363" t="str">
        <f>""</f>
        <v/>
      </c>
      <c r="AR363" t="str">
        <f>""</f>
        <v/>
      </c>
      <c r="AS363" t="str">
        <f>""</f>
        <v/>
      </c>
      <c r="AT363" t="str">
        <f>""</f>
        <v/>
      </c>
      <c r="AU363" t="str">
        <f>""</f>
        <v/>
      </c>
      <c r="AV363" t="str">
        <f>""</f>
        <v/>
      </c>
      <c r="AW363" t="str">
        <f>""</f>
        <v/>
      </c>
      <c r="AX363" t="str">
        <f>""</f>
        <v/>
      </c>
      <c r="AY363" t="str">
        <f>""</f>
        <v/>
      </c>
      <c r="AZ363" t="str">
        <f>""</f>
        <v/>
      </c>
      <c r="BA363" t="str">
        <f>""</f>
        <v/>
      </c>
      <c r="BB363" t="str">
        <f>""</f>
        <v/>
      </c>
      <c r="BC363" t="str">
        <f>""</f>
        <v/>
      </c>
      <c r="BD363" t="str">
        <f>""</f>
        <v/>
      </c>
      <c r="BE363" t="str">
        <f>""</f>
        <v/>
      </c>
      <c r="BF363" t="str">
        <f t="shared" si="161"/>
        <v>A</v>
      </c>
      <c r="BG363" t="str">
        <f>"0,00"</f>
        <v>0,00</v>
      </c>
      <c r="BH363" t="str">
        <f>"0,00"</f>
        <v>0,00</v>
      </c>
      <c r="BI363" t="str">
        <f t="shared" si="172"/>
        <v>EVENTUAL</v>
      </c>
      <c r="BJ363" t="str">
        <f t="shared" si="162"/>
        <v>1</v>
      </c>
      <c r="BK363" t="str">
        <f t="shared" si="163"/>
        <v>Farmacia</v>
      </c>
      <c r="BL363" t="str">
        <f>""</f>
        <v/>
      </c>
      <c r="BM363" t="str">
        <f>"NÃO É VARILUX ESPECIALISTA"</f>
        <v>NÃO É VARILUX ESPECIALISTA</v>
      </c>
      <c r="BN363" t="str">
        <f>"NA"</f>
        <v>NA</v>
      </c>
      <c r="BO363" t="str">
        <f>"FOCO VARILUX DIGITAL"</f>
        <v>FOCO VARILUX DIGITAL</v>
      </c>
      <c r="BP363" t="str">
        <f>""</f>
        <v/>
      </c>
      <c r="BQ363" t="str">
        <f>""</f>
        <v/>
      </c>
      <c r="BR363" t="str">
        <f>""</f>
        <v/>
      </c>
      <c r="BS363" t="str">
        <f>""</f>
        <v/>
      </c>
      <c r="BT363" t="str">
        <f>""</f>
        <v/>
      </c>
      <c r="BU363" t="str">
        <f>""</f>
        <v/>
      </c>
      <c r="BV363" t="str">
        <f>"3"</f>
        <v>3</v>
      </c>
      <c r="BW363" t="str">
        <f>"156"</f>
        <v>156</v>
      </c>
    </row>
    <row r="364" spans="1:75" x14ac:dyDescent="0.35">
      <c r="A364">
        <v>120433</v>
      </c>
      <c r="B364" t="str">
        <f t="shared" si="155"/>
        <v>A</v>
      </c>
      <c r="C364" t="str">
        <f t="shared" si="156"/>
        <v>80</v>
      </c>
      <c r="D364" t="str">
        <f t="shared" si="157"/>
        <v>11121001</v>
      </c>
      <c r="E364" t="str">
        <f t="shared" si="158"/>
        <v>121001</v>
      </c>
      <c r="F364" t="str">
        <f t="shared" si="159"/>
        <v>JENIFER SANTOS</v>
      </c>
      <c r="G364" t="str">
        <f>"07515600000131"</f>
        <v>07515600000131</v>
      </c>
      <c r="H364" t="str">
        <f>"0"</f>
        <v>0</v>
      </c>
      <c r="I364" t="str">
        <f t="shared" si="160"/>
        <v>CONTA OPTICA</v>
      </c>
      <c r="J364" t="str">
        <f>"OTICA VEJA BEM EIRELI EPP"</f>
        <v>OTICA VEJA BEM EIRELI EPP</v>
      </c>
      <c r="K364" t="str">
        <f>"VEJA BEM OTICA (792)"</f>
        <v>VEJA BEM OTICA (792)</v>
      </c>
      <c r="L364" t="str">
        <f>""</f>
        <v/>
      </c>
      <c r="M364" t="str">
        <f>""</f>
        <v/>
      </c>
      <c r="N364" t="str">
        <f>"vejabem@oticavejabem.com.br"</f>
        <v>vejabem@oticavejabem.com.br</v>
      </c>
      <c r="O364" t="str">
        <f>""</f>
        <v/>
      </c>
      <c r="P364" t="str">
        <f>"RUA RUI BARBOSA"</f>
        <v>RUA RUI BARBOSA</v>
      </c>
      <c r="Q364" t="str">
        <f>"11"</f>
        <v>11</v>
      </c>
      <c r="R364" t="str">
        <f>"F"</f>
        <v>F</v>
      </c>
      <c r="S364" t="str">
        <f>"1288"</f>
        <v>1288</v>
      </c>
      <c r="T364" t="str">
        <f>"89820000"</f>
        <v>89820000</v>
      </c>
      <c r="U364" t="str">
        <f t="shared" si="176"/>
        <v>CENTRO</v>
      </c>
      <c r="V364" t="str">
        <f>"XANXERÊ"</f>
        <v>XANXERÊ</v>
      </c>
      <c r="W364" t="str">
        <f t="shared" si="173"/>
        <v>SC</v>
      </c>
      <c r="X364" t="str">
        <f>"49"</f>
        <v>49</v>
      </c>
      <c r="Y364" t="str">
        <f>"34332956"</f>
        <v>34332956</v>
      </c>
      <c r="Z364" t="str">
        <f>""</f>
        <v/>
      </c>
      <c r="AA364" t="str">
        <f>""</f>
        <v/>
      </c>
      <c r="AB364" t="str">
        <f>""</f>
        <v/>
      </c>
      <c r="AC364" t="str">
        <f>""</f>
        <v/>
      </c>
      <c r="AD364" t="str">
        <f>""</f>
        <v/>
      </c>
      <c r="AE364" t="str">
        <f>""</f>
        <v/>
      </c>
      <c r="AF364" t="str">
        <f>""</f>
        <v/>
      </c>
      <c r="AG364" t="str">
        <f>""</f>
        <v/>
      </c>
      <c r="AH364" t="str">
        <f>""</f>
        <v/>
      </c>
      <c r="AI364" t="str">
        <f>""</f>
        <v/>
      </c>
      <c r="AJ364" t="str">
        <f t="shared" si="177"/>
        <v>0</v>
      </c>
      <c r="AK364" t="str">
        <f t="shared" si="177"/>
        <v>0</v>
      </c>
      <c r="AL364" t="str">
        <f t="shared" si="177"/>
        <v>0</v>
      </c>
      <c r="AM364" t="str">
        <f>""</f>
        <v/>
      </c>
      <c r="AN364" t="str">
        <f>""</f>
        <v/>
      </c>
      <c r="AO364" t="str">
        <f>""</f>
        <v/>
      </c>
      <c r="AP364" t="str">
        <f>""</f>
        <v/>
      </c>
      <c r="AQ364" t="str">
        <f>""</f>
        <v/>
      </c>
      <c r="AR364" t="str">
        <f>""</f>
        <v/>
      </c>
      <c r="AS364" t="str">
        <f>""</f>
        <v/>
      </c>
      <c r="AT364" t="str">
        <f>""</f>
        <v/>
      </c>
      <c r="AU364" t="str">
        <f>""</f>
        <v/>
      </c>
      <c r="AV364" t="str">
        <f>""</f>
        <v/>
      </c>
      <c r="AW364" t="str">
        <f>""</f>
        <v/>
      </c>
      <c r="AX364" t="str">
        <f>""</f>
        <v/>
      </c>
      <c r="AY364" t="str">
        <f>""</f>
        <v/>
      </c>
      <c r="AZ364" t="str">
        <f>""</f>
        <v/>
      </c>
      <c r="BA364" t="str">
        <f>""</f>
        <v/>
      </c>
      <c r="BB364" t="str">
        <f>"18/09/2020 22:12:34"</f>
        <v>18/09/2020 22:12:34</v>
      </c>
      <c r="BC364" t="str">
        <f>""</f>
        <v/>
      </c>
      <c r="BD364" t="str">
        <f>""</f>
        <v/>
      </c>
      <c r="BE364" t="str">
        <f>""</f>
        <v/>
      </c>
      <c r="BF364" t="str">
        <f t="shared" si="161"/>
        <v>A</v>
      </c>
      <c r="BG364" t="str">
        <f>"0,00"</f>
        <v>0,00</v>
      </c>
      <c r="BH364" t="str">
        <f>"0,00"</f>
        <v>0,00</v>
      </c>
      <c r="BI364" t="str">
        <f t="shared" si="172"/>
        <v>EVENTUAL</v>
      </c>
      <c r="BJ364" t="str">
        <f t="shared" si="162"/>
        <v>1</v>
      </c>
      <c r="BK364" t="str">
        <f t="shared" si="163"/>
        <v>Farmacia</v>
      </c>
      <c r="BL364" t="str">
        <f>""</f>
        <v/>
      </c>
      <c r="BM364" t="str">
        <f>"NÃO É VARILUX ESPECIALISTA"</f>
        <v>NÃO É VARILUX ESPECIALISTA</v>
      </c>
      <c r="BN364" t="str">
        <f>"NA"</f>
        <v>NA</v>
      </c>
      <c r="BO364" t="str">
        <f>"FOCO KODAK 2"</f>
        <v>FOCO KODAK 2</v>
      </c>
      <c r="BP364" t="str">
        <f>""</f>
        <v/>
      </c>
      <c r="BQ364" t="str">
        <f>""</f>
        <v/>
      </c>
      <c r="BR364" t="str">
        <f>"18/09/2020"</f>
        <v>18/09/2020</v>
      </c>
      <c r="BS364" t="str">
        <f>""</f>
        <v/>
      </c>
      <c r="BT364" t="str">
        <f>""</f>
        <v/>
      </c>
      <c r="BU364" t="str">
        <f>""</f>
        <v/>
      </c>
      <c r="BV364" t="str">
        <f>"4"</f>
        <v>4</v>
      </c>
      <c r="BW364" t="str">
        <f>"Não visitado"</f>
        <v>Não visitado</v>
      </c>
    </row>
    <row r="365" spans="1:75" x14ac:dyDescent="0.35">
      <c r="A365">
        <v>156765</v>
      </c>
      <c r="B365" t="str">
        <f t="shared" si="155"/>
        <v>A</v>
      </c>
      <c r="C365" t="str">
        <f t="shared" si="156"/>
        <v>80</v>
      </c>
      <c r="D365" t="str">
        <f t="shared" si="157"/>
        <v>11121001</v>
      </c>
      <c r="E365" t="str">
        <f t="shared" si="158"/>
        <v>121001</v>
      </c>
      <c r="F365" t="str">
        <f t="shared" si="159"/>
        <v>JENIFER SANTOS</v>
      </c>
      <c r="G365" t="str">
        <f>"43702043000121"</f>
        <v>43702043000121</v>
      </c>
      <c r="H365" t="str">
        <f>"0"</f>
        <v>0</v>
      </c>
      <c r="I365" t="str">
        <f t="shared" si="160"/>
        <v>CONTA OPTICA</v>
      </c>
      <c r="J365" t="str">
        <f>"OTICA VIA EXATA LIMITADA"</f>
        <v>OTICA VIA EXATA LIMITADA</v>
      </c>
      <c r="K365" t="str">
        <f>"VIA EXATA (4421)"</f>
        <v>VIA EXATA (4421)</v>
      </c>
      <c r="L365" t="str">
        <f>""</f>
        <v/>
      </c>
      <c r="M365" t="str">
        <f>""</f>
        <v/>
      </c>
      <c r="N365" t="str">
        <f>"FINANCEIRO@WOPEFRANCHISING.COM.BR"</f>
        <v>FINANCEIRO@WOPEFRANCHISING.COM.BR</v>
      </c>
      <c r="O365" t="str">
        <f>""</f>
        <v/>
      </c>
      <c r="P365" t="str">
        <f>"RUA HENRIQUE SCHWARZ"</f>
        <v>RUA HENRIQUE SCHWARZ</v>
      </c>
      <c r="Q365" t="str">
        <f>"26"</f>
        <v>26</v>
      </c>
      <c r="R365" t="str">
        <f>"SALA 04"</f>
        <v>SALA 04</v>
      </c>
      <c r="S365" t="str">
        <f>"1280"</f>
        <v>1280</v>
      </c>
      <c r="T365" t="str">
        <f>"89295000"</f>
        <v>89295000</v>
      </c>
      <c r="U365" t="str">
        <f t="shared" si="176"/>
        <v>CENTRO</v>
      </c>
      <c r="V365" t="str">
        <f>"RIO NEGRINHO"</f>
        <v>RIO NEGRINHO</v>
      </c>
      <c r="W365" t="str">
        <f t="shared" si="173"/>
        <v>SC</v>
      </c>
      <c r="X365" t="str">
        <f>"48"</f>
        <v>48</v>
      </c>
      <c r="Y365" t="str">
        <f>"30293542"</f>
        <v>30293542</v>
      </c>
      <c r="Z365" t="str">
        <f>""</f>
        <v/>
      </c>
      <c r="AA365" t="str">
        <f>""</f>
        <v/>
      </c>
      <c r="AB365" t="str">
        <f>""</f>
        <v/>
      </c>
      <c r="AC365" t="str">
        <f>""</f>
        <v/>
      </c>
      <c r="AD365" t="str">
        <f>""</f>
        <v/>
      </c>
      <c r="AE365" t="str">
        <f>""</f>
        <v/>
      </c>
      <c r="AF365" t="str">
        <f>""</f>
        <v/>
      </c>
      <c r="AG365" t="str">
        <f>""</f>
        <v/>
      </c>
      <c r="AH365" t="str">
        <f>""</f>
        <v/>
      </c>
      <c r="AI365" t="str">
        <f>""</f>
        <v/>
      </c>
      <c r="AJ365" t="str">
        <f>""</f>
        <v/>
      </c>
      <c r="AK365" t="str">
        <f>""</f>
        <v/>
      </c>
      <c r="AL365" t="str">
        <f>""</f>
        <v/>
      </c>
      <c r="AM365" t="str">
        <f>""</f>
        <v/>
      </c>
      <c r="AN365" t="str">
        <f>""</f>
        <v/>
      </c>
      <c r="AO365" t="str">
        <f>""</f>
        <v/>
      </c>
      <c r="AP365" t="str">
        <f>""</f>
        <v/>
      </c>
      <c r="AQ365" t="str">
        <f>""</f>
        <v/>
      </c>
      <c r="AR365" t="str">
        <f>""</f>
        <v/>
      </c>
      <c r="AS365" t="str">
        <f>""</f>
        <v/>
      </c>
      <c r="AT365" t="str">
        <f>""</f>
        <v/>
      </c>
      <c r="AU365" t="str">
        <f>""</f>
        <v/>
      </c>
      <c r="AV365" t="str">
        <f>""</f>
        <v/>
      </c>
      <c r="AW365" t="str">
        <f>""</f>
        <v/>
      </c>
      <c r="AX365" t="str">
        <f>""</f>
        <v/>
      </c>
      <c r="AY365" t="str">
        <f>""</f>
        <v/>
      </c>
      <c r="AZ365" t="str">
        <f>""</f>
        <v/>
      </c>
      <c r="BA365" t="str">
        <f>""</f>
        <v/>
      </c>
      <c r="BB365" t="str">
        <f>"06/07/2023 12:07:48"</f>
        <v>06/07/2023 12:07:48</v>
      </c>
      <c r="BC365" t="str">
        <f>""</f>
        <v/>
      </c>
      <c r="BD365" t="str">
        <f>""</f>
        <v/>
      </c>
      <c r="BE365" t="str">
        <f>""</f>
        <v/>
      </c>
      <c r="BF365" t="str">
        <f t="shared" si="161"/>
        <v>A</v>
      </c>
      <c r="BG365" t="str">
        <f>""</f>
        <v/>
      </c>
      <c r="BH365" t="str">
        <f>""</f>
        <v/>
      </c>
      <c r="BI365" t="str">
        <f t="shared" si="172"/>
        <v>EVENTUAL</v>
      </c>
      <c r="BJ365" t="str">
        <f t="shared" si="162"/>
        <v>1</v>
      </c>
      <c r="BK365" t="str">
        <f t="shared" si="163"/>
        <v>Farmacia</v>
      </c>
      <c r="BL365" t="str">
        <f>""</f>
        <v/>
      </c>
      <c r="BM365" t="str">
        <f>""</f>
        <v/>
      </c>
      <c r="BN365" t="str">
        <f>""</f>
        <v/>
      </c>
      <c r="BO365" t="str">
        <f>""</f>
        <v/>
      </c>
      <c r="BP365" t="str">
        <f>""</f>
        <v/>
      </c>
      <c r="BQ365" t="str">
        <f>""</f>
        <v/>
      </c>
      <c r="BR365" t="str">
        <f>"06/07/2023"</f>
        <v>06/07/2023</v>
      </c>
      <c r="BS365" t="str">
        <f>""</f>
        <v/>
      </c>
      <c r="BT365" t="str">
        <f>""</f>
        <v/>
      </c>
      <c r="BU365" t="str">
        <f>""</f>
        <v/>
      </c>
      <c r="BV365" t="str">
        <f>""</f>
        <v/>
      </c>
      <c r="BW365" t="str">
        <f>"Não visitado"</f>
        <v>Não visitado</v>
      </c>
    </row>
    <row r="366" spans="1:75" x14ac:dyDescent="0.35">
      <c r="A366">
        <v>144471</v>
      </c>
      <c r="B366" t="str">
        <f t="shared" si="155"/>
        <v>A</v>
      </c>
      <c r="C366" t="str">
        <f t="shared" si="156"/>
        <v>80</v>
      </c>
      <c r="D366" t="str">
        <f t="shared" si="157"/>
        <v>11121001</v>
      </c>
      <c r="E366" t="str">
        <f t="shared" si="158"/>
        <v>121001</v>
      </c>
      <c r="F366" t="str">
        <f t="shared" si="159"/>
        <v>JENIFER SANTOS</v>
      </c>
      <c r="G366" t="str">
        <f>"85125680000122"</f>
        <v>85125680000122</v>
      </c>
      <c r="H366" t="str">
        <f>""</f>
        <v/>
      </c>
      <c r="I366" t="str">
        <f t="shared" si="160"/>
        <v>CONTA OPTICA</v>
      </c>
      <c r="J366" t="str">
        <f>"OTICA VISION LTDA"</f>
        <v>OTICA VISION LTDA</v>
      </c>
      <c r="K366" t="str">
        <f>"OTICA VISION (367)"</f>
        <v>OTICA VISION (367)</v>
      </c>
      <c r="L366" t="str">
        <f>""</f>
        <v/>
      </c>
      <c r="M366" t="str">
        <f>""</f>
        <v/>
      </c>
      <c r="N366" t="str">
        <f>"oticaboavista@oticaboavista.com.br"</f>
        <v>oticaboavista@oticaboavista.com.br</v>
      </c>
      <c r="O366" t="str">
        <f>""</f>
        <v/>
      </c>
      <c r="P366" t="str">
        <f>"RUA ABDON BATISTA"</f>
        <v>RUA ABDON BATISTA</v>
      </c>
      <c r="Q366" t="str">
        <f>"32"</f>
        <v>32</v>
      </c>
      <c r="R366" t="str">
        <f>"SALA"</f>
        <v>SALA</v>
      </c>
      <c r="S366" t="str">
        <f>"1277"</f>
        <v>1277</v>
      </c>
      <c r="T366" t="str">
        <f>"89201010"</f>
        <v>89201010</v>
      </c>
      <c r="U366" t="str">
        <f t="shared" si="176"/>
        <v>CENTRO</v>
      </c>
      <c r="V366" t="str">
        <f>"JOINVILLE"</f>
        <v>JOINVILLE</v>
      </c>
      <c r="W366" t="str">
        <f t="shared" si="173"/>
        <v>SC</v>
      </c>
      <c r="X366" t="str">
        <f>"47"</f>
        <v>47</v>
      </c>
      <c r="Y366" t="str">
        <f>"34228191"</f>
        <v>34228191</v>
      </c>
      <c r="Z366" t="str">
        <f>""</f>
        <v/>
      </c>
      <c r="AA366" t="str">
        <f>""</f>
        <v/>
      </c>
      <c r="AB366" t="str">
        <f>""</f>
        <v/>
      </c>
      <c r="AC366" t="str">
        <f>""</f>
        <v/>
      </c>
      <c r="AD366" t="str">
        <f>""</f>
        <v/>
      </c>
      <c r="AE366" t="str">
        <f>""</f>
        <v/>
      </c>
      <c r="AF366" t="str">
        <f>""</f>
        <v/>
      </c>
      <c r="AG366" t="str">
        <f>""</f>
        <v/>
      </c>
      <c r="AH366" t="str">
        <f>""</f>
        <v/>
      </c>
      <c r="AI366" t="str">
        <f>""</f>
        <v/>
      </c>
      <c r="AJ366" t="str">
        <f t="shared" ref="AJ366:AL367" si="178">"0"</f>
        <v>0</v>
      </c>
      <c r="AK366" t="str">
        <f t="shared" si="178"/>
        <v>0</v>
      </c>
      <c r="AL366" t="str">
        <f t="shared" si="178"/>
        <v>0</v>
      </c>
      <c r="AM366" t="str">
        <f>""</f>
        <v/>
      </c>
      <c r="AN366" t="str">
        <f>""</f>
        <v/>
      </c>
      <c r="AO366" t="str">
        <f>""</f>
        <v/>
      </c>
      <c r="AP366" t="str">
        <f>""</f>
        <v/>
      </c>
      <c r="AQ366" t="str">
        <f>""</f>
        <v/>
      </c>
      <c r="AR366" t="str">
        <f>""</f>
        <v/>
      </c>
      <c r="AS366" t="str">
        <f>""</f>
        <v/>
      </c>
      <c r="AT366" t="str">
        <f>""</f>
        <v/>
      </c>
      <c r="AU366" t="str">
        <f>""</f>
        <v/>
      </c>
      <c r="AV366" t="str">
        <f>""</f>
        <v/>
      </c>
      <c r="AW366" t="str">
        <f>""</f>
        <v/>
      </c>
      <c r="AX366" t="str">
        <f>""</f>
        <v/>
      </c>
      <c r="AY366" t="str">
        <f>""</f>
        <v/>
      </c>
      <c r="AZ366" t="str">
        <f>""</f>
        <v/>
      </c>
      <c r="BA366" t="str">
        <f>""</f>
        <v/>
      </c>
      <c r="BB366" t="str">
        <f>""</f>
        <v/>
      </c>
      <c r="BC366" t="str">
        <f>""</f>
        <v/>
      </c>
      <c r="BD366" t="str">
        <f>""</f>
        <v/>
      </c>
      <c r="BE366" t="str">
        <f>""</f>
        <v/>
      </c>
      <c r="BF366" t="str">
        <f t="shared" si="161"/>
        <v>A</v>
      </c>
      <c r="BG366" t="str">
        <f>"0,00"</f>
        <v>0,00</v>
      </c>
      <c r="BH366" t="str">
        <f>"0,00"</f>
        <v>0,00</v>
      </c>
      <c r="BI366" t="str">
        <f t="shared" si="172"/>
        <v>EVENTUAL</v>
      </c>
      <c r="BJ366" t="str">
        <f t="shared" si="162"/>
        <v>1</v>
      </c>
      <c r="BK366" t="str">
        <f t="shared" si="163"/>
        <v>Farmacia</v>
      </c>
      <c r="BL366" t="str">
        <f>""</f>
        <v/>
      </c>
      <c r="BM366" t="str">
        <f>"VARILUX ESPECIALISTA PLATINE"</f>
        <v>VARILUX ESPECIALISTA PLATINE</v>
      </c>
      <c r="BN366" t="str">
        <f>"NA"</f>
        <v>NA</v>
      </c>
      <c r="BO366" t="str">
        <f>"FOCO VARILUX DIGITAL"</f>
        <v>FOCO VARILUX DIGITAL</v>
      </c>
      <c r="BP366" t="str">
        <f>""</f>
        <v/>
      </c>
      <c r="BQ366" t="str">
        <f>""</f>
        <v/>
      </c>
      <c r="BR366" t="str">
        <f>""</f>
        <v/>
      </c>
      <c r="BS366" t="str">
        <f>""</f>
        <v/>
      </c>
      <c r="BT366" t="str">
        <f>""</f>
        <v/>
      </c>
      <c r="BU366" t="str">
        <f>""</f>
        <v/>
      </c>
      <c r="BV366" t="str">
        <f>"1"</f>
        <v>1</v>
      </c>
      <c r="BW366" t="str">
        <f>"46"</f>
        <v>46</v>
      </c>
    </row>
    <row r="367" spans="1:75" x14ac:dyDescent="0.35">
      <c r="A367">
        <v>144805</v>
      </c>
      <c r="B367" t="str">
        <f t="shared" si="155"/>
        <v>A</v>
      </c>
      <c r="C367" t="str">
        <f t="shared" si="156"/>
        <v>80</v>
      </c>
      <c r="D367" t="str">
        <f t="shared" si="157"/>
        <v>11121001</v>
      </c>
      <c r="E367" t="str">
        <f t="shared" si="158"/>
        <v>121001</v>
      </c>
      <c r="F367" t="str">
        <f t="shared" si="159"/>
        <v>JENIFER SANTOS</v>
      </c>
      <c r="G367" t="str">
        <f>"22653617000149"</f>
        <v>22653617000149</v>
      </c>
      <c r="H367" t="str">
        <f>""</f>
        <v/>
      </c>
      <c r="I367" t="str">
        <f t="shared" si="160"/>
        <v>CONTA OPTICA</v>
      </c>
      <c r="J367" t="str">
        <f>"OTICA VISOLENS LTDA"</f>
        <v>OTICA VISOLENS LTDA</v>
      </c>
      <c r="K367" t="str">
        <f>"OTICA VISOLENS (4288)"</f>
        <v>OTICA VISOLENS (4288)</v>
      </c>
      <c r="L367" t="str">
        <f>""</f>
        <v/>
      </c>
      <c r="M367" t="str">
        <f>""</f>
        <v/>
      </c>
      <c r="N367" t="str">
        <f>"flaviavexani@hotmail.com"</f>
        <v>flaviavexani@hotmail.com</v>
      </c>
      <c r="O367" t="str">
        <f>""</f>
        <v/>
      </c>
      <c r="P367" t="str">
        <f>"AVENIDA JUSCELINO KUBITSCHEK"</f>
        <v>AVENIDA JUSCELINO KUBITSCHEK</v>
      </c>
      <c r="Q367" t="str">
        <f>"410"</f>
        <v>410</v>
      </c>
      <c r="R367" t="str">
        <f>"SALA 03 TERREO"</f>
        <v>SALA 03 TERREO</v>
      </c>
      <c r="S367" t="str">
        <f>"1277"</f>
        <v>1277</v>
      </c>
      <c r="T367" t="str">
        <f>"89201100"</f>
        <v>89201100</v>
      </c>
      <c r="U367" t="str">
        <f t="shared" si="176"/>
        <v>CENTRO</v>
      </c>
      <c r="V367" t="str">
        <f>"JOINVILLE"</f>
        <v>JOINVILLE</v>
      </c>
      <c r="W367" t="str">
        <f t="shared" si="173"/>
        <v>SC</v>
      </c>
      <c r="X367" t="str">
        <f>"47"</f>
        <v>47</v>
      </c>
      <c r="Y367" t="str">
        <f>"30252529"</f>
        <v>30252529</v>
      </c>
      <c r="Z367" t="str">
        <f>""</f>
        <v/>
      </c>
      <c r="AA367" t="str">
        <f>""</f>
        <v/>
      </c>
      <c r="AB367" t="str">
        <f>""</f>
        <v/>
      </c>
      <c r="AC367" t="str">
        <f>""</f>
        <v/>
      </c>
      <c r="AD367" t="str">
        <f>""</f>
        <v/>
      </c>
      <c r="AE367" t="str">
        <f>""</f>
        <v/>
      </c>
      <c r="AF367" t="str">
        <f>""</f>
        <v/>
      </c>
      <c r="AG367" t="str">
        <f>""</f>
        <v/>
      </c>
      <c r="AH367" t="str">
        <f>""</f>
        <v/>
      </c>
      <c r="AI367" t="str">
        <f>""</f>
        <v/>
      </c>
      <c r="AJ367" t="str">
        <f t="shared" si="178"/>
        <v>0</v>
      </c>
      <c r="AK367" t="str">
        <f t="shared" si="178"/>
        <v>0</v>
      </c>
      <c r="AL367" t="str">
        <f t="shared" si="178"/>
        <v>0</v>
      </c>
      <c r="AM367" t="str">
        <f>""</f>
        <v/>
      </c>
      <c r="AN367" t="str">
        <f>""</f>
        <v/>
      </c>
      <c r="AO367" t="str">
        <f>""</f>
        <v/>
      </c>
      <c r="AP367" t="str">
        <f>""</f>
        <v/>
      </c>
      <c r="AQ367" t="str">
        <f>""</f>
        <v/>
      </c>
      <c r="AR367" t="str">
        <f>""</f>
        <v/>
      </c>
      <c r="AS367" t="str">
        <f>""</f>
        <v/>
      </c>
      <c r="AT367" t="str">
        <f>""</f>
        <v/>
      </c>
      <c r="AU367" t="str">
        <f>""</f>
        <v/>
      </c>
      <c r="AV367" t="str">
        <f>""</f>
        <v/>
      </c>
      <c r="AW367" t="str">
        <f>""</f>
        <v/>
      </c>
      <c r="AX367" t="str">
        <f>""</f>
        <v/>
      </c>
      <c r="AY367" t="str">
        <f>""</f>
        <v/>
      </c>
      <c r="AZ367" t="str">
        <f>""</f>
        <v/>
      </c>
      <c r="BA367" t="str">
        <f>""</f>
        <v/>
      </c>
      <c r="BB367" t="str">
        <f>""</f>
        <v/>
      </c>
      <c r="BC367" t="str">
        <f>""</f>
        <v/>
      </c>
      <c r="BD367" t="str">
        <f>""</f>
        <v/>
      </c>
      <c r="BE367" t="str">
        <f>""</f>
        <v/>
      </c>
      <c r="BF367" t="str">
        <f t="shared" si="161"/>
        <v>A</v>
      </c>
      <c r="BG367" t="str">
        <f>"0,00"</f>
        <v>0,00</v>
      </c>
      <c r="BH367" t="str">
        <f>"0,00"</f>
        <v>0,00</v>
      </c>
      <c r="BI367" t="str">
        <f t="shared" si="172"/>
        <v>EVENTUAL</v>
      </c>
      <c r="BJ367" t="str">
        <f t="shared" si="162"/>
        <v>1</v>
      </c>
      <c r="BK367" t="str">
        <f t="shared" si="163"/>
        <v>Farmacia</v>
      </c>
      <c r="BL367" t="str">
        <f>""</f>
        <v/>
      </c>
      <c r="BM367" t="str">
        <f>"NÃO É VARILUX ESPECIALISTA"</f>
        <v>NÃO É VARILUX ESPECIALISTA</v>
      </c>
      <c r="BN367" t="str">
        <f>"NA"</f>
        <v>NA</v>
      </c>
      <c r="BO367" t="str">
        <f>"OUTROS"</f>
        <v>OUTROS</v>
      </c>
      <c r="BP367" t="str">
        <f>""</f>
        <v/>
      </c>
      <c r="BQ367" t="str">
        <f>""</f>
        <v/>
      </c>
      <c r="BR367" t="str">
        <f>""</f>
        <v/>
      </c>
      <c r="BS367" t="str">
        <f>""</f>
        <v/>
      </c>
      <c r="BT367" t="str">
        <f>""</f>
        <v/>
      </c>
      <c r="BU367" t="str">
        <f>""</f>
        <v/>
      </c>
      <c r="BV367" t="str">
        <f>""</f>
        <v/>
      </c>
      <c r="BW367" t="str">
        <f>"233"</f>
        <v>233</v>
      </c>
    </row>
    <row r="368" spans="1:75" x14ac:dyDescent="0.35">
      <c r="A368">
        <v>127559</v>
      </c>
      <c r="B368" t="str">
        <f t="shared" si="155"/>
        <v>A</v>
      </c>
      <c r="C368" t="str">
        <f t="shared" si="156"/>
        <v>80</v>
      </c>
      <c r="D368" t="str">
        <f t="shared" si="157"/>
        <v>11121001</v>
      </c>
      <c r="E368" t="str">
        <f t="shared" si="158"/>
        <v>121001</v>
      </c>
      <c r="F368" t="str">
        <f t="shared" si="159"/>
        <v>JENIFER SANTOS</v>
      </c>
      <c r="G368" t="str">
        <f>"05023673000342"</f>
        <v>05023673000342</v>
      </c>
      <c r="H368" t="str">
        <f>"0"</f>
        <v>0</v>
      </c>
      <c r="I368" t="str">
        <f t="shared" si="160"/>
        <v>CONTA OPTICA</v>
      </c>
      <c r="J368" t="str">
        <f>"OTICA VISOR EIRELI EPP"</f>
        <v>OTICA VISOR EIRELI EPP</v>
      </c>
      <c r="K368" t="str">
        <f>"OTICA FACIAL (2288)"</f>
        <v>OTICA FACIAL (2288)</v>
      </c>
      <c r="L368" t="str">
        <f>""</f>
        <v/>
      </c>
      <c r="M368" t="str">
        <f>""</f>
        <v/>
      </c>
      <c r="N368" t="str">
        <f>"mariolobo@oticafacial.com.br"</f>
        <v>mariolobo@oticafacial.com.br</v>
      </c>
      <c r="O368" t="str">
        <f>""</f>
        <v/>
      </c>
      <c r="P368" t="str">
        <f>"RUA CAMBORIU"</f>
        <v>RUA CAMBORIU</v>
      </c>
      <c r="Q368" t="str">
        <f>"230"</f>
        <v>230</v>
      </c>
      <c r="R368" t="str">
        <f>"SALA 8"</f>
        <v>SALA 8</v>
      </c>
      <c r="S368" t="str">
        <f>"1279"</f>
        <v>1279</v>
      </c>
      <c r="T368" t="str">
        <f>"89216222"</f>
        <v>89216222</v>
      </c>
      <c r="U368" t="str">
        <f>"GLORIA"</f>
        <v>GLORIA</v>
      </c>
      <c r="V368" t="str">
        <f>"JOINVILLE"</f>
        <v>JOINVILLE</v>
      </c>
      <c r="W368" t="str">
        <f t="shared" si="173"/>
        <v>SC</v>
      </c>
      <c r="X368" t="str">
        <f>"47"</f>
        <v>47</v>
      </c>
      <c r="Y368" t="str">
        <f>"34452533"</f>
        <v>34452533</v>
      </c>
      <c r="Z368" t="str">
        <f>""</f>
        <v/>
      </c>
      <c r="AA368" t="str">
        <f>""</f>
        <v/>
      </c>
      <c r="AB368" t="str">
        <f>""</f>
        <v/>
      </c>
      <c r="AC368" t="str">
        <f>""</f>
        <v/>
      </c>
      <c r="AD368" t="str">
        <f>""</f>
        <v/>
      </c>
      <c r="AE368" t="str">
        <f>""</f>
        <v/>
      </c>
      <c r="AF368" t="str">
        <f>""</f>
        <v/>
      </c>
      <c r="AG368" t="str">
        <f>""</f>
        <v/>
      </c>
      <c r="AH368" t="str">
        <f>""</f>
        <v/>
      </c>
      <c r="AI368" t="str">
        <f>""</f>
        <v/>
      </c>
      <c r="AJ368" t="str">
        <f>""</f>
        <v/>
      </c>
      <c r="AK368" t="str">
        <f>""</f>
        <v/>
      </c>
      <c r="AL368" t="str">
        <f>""</f>
        <v/>
      </c>
      <c r="AM368" t="str">
        <f>""</f>
        <v/>
      </c>
      <c r="AN368" t="str">
        <f>""</f>
        <v/>
      </c>
      <c r="AO368" t="str">
        <f>""</f>
        <v/>
      </c>
      <c r="AP368" t="str">
        <f>""</f>
        <v/>
      </c>
      <c r="AQ368" t="str">
        <f>""</f>
        <v/>
      </c>
      <c r="AR368" t="str">
        <f>""</f>
        <v/>
      </c>
      <c r="AS368" t="str">
        <f>""</f>
        <v/>
      </c>
      <c r="AT368" t="str">
        <f>""</f>
        <v/>
      </c>
      <c r="AU368" t="str">
        <f>""</f>
        <v/>
      </c>
      <c r="AV368" t="str">
        <f>""</f>
        <v/>
      </c>
      <c r="AW368" t="str">
        <f>""</f>
        <v/>
      </c>
      <c r="AX368" t="str">
        <f>""</f>
        <v/>
      </c>
      <c r="AY368" t="str">
        <f>""</f>
        <v/>
      </c>
      <c r="AZ368" t="str">
        <f>""</f>
        <v/>
      </c>
      <c r="BA368" t="str">
        <f>""</f>
        <v/>
      </c>
      <c r="BB368" t="str">
        <f>"07/10/2020 09:08:38"</f>
        <v>07/10/2020 09:08:38</v>
      </c>
      <c r="BC368" t="str">
        <f>""</f>
        <v/>
      </c>
      <c r="BD368" t="str">
        <f>""</f>
        <v/>
      </c>
      <c r="BE368" t="str">
        <f>""</f>
        <v/>
      </c>
      <c r="BF368" t="str">
        <f t="shared" si="161"/>
        <v>A</v>
      </c>
      <c r="BG368" t="str">
        <f>""</f>
        <v/>
      </c>
      <c r="BH368" t="str">
        <f>""</f>
        <v/>
      </c>
      <c r="BI368" t="str">
        <f t="shared" si="172"/>
        <v>EVENTUAL</v>
      </c>
      <c r="BJ368" t="str">
        <f t="shared" si="162"/>
        <v>1</v>
      </c>
      <c r="BK368" t="str">
        <f t="shared" si="163"/>
        <v>Farmacia</v>
      </c>
      <c r="BL368" t="str">
        <f>""</f>
        <v/>
      </c>
      <c r="BM368" t="str">
        <f>"VARILUX ESPECIALISTA PLATINE"</f>
        <v>VARILUX ESPECIALISTA PLATINE</v>
      </c>
      <c r="BN368" t="str">
        <f>"EL360"</f>
        <v>EL360</v>
      </c>
      <c r="BO368" t="str">
        <f>"FOCO VARILUX DIGITAL"</f>
        <v>FOCO VARILUX DIGITAL</v>
      </c>
      <c r="BP368" t="str">
        <f>""</f>
        <v/>
      </c>
      <c r="BQ368" t="str">
        <f>""</f>
        <v/>
      </c>
      <c r="BR368" t="str">
        <f>"07/10/2020"</f>
        <v>07/10/2020</v>
      </c>
      <c r="BS368" t="str">
        <f>""</f>
        <v/>
      </c>
      <c r="BT368" t="str">
        <f>""</f>
        <v/>
      </c>
      <c r="BU368" t="str">
        <f>""</f>
        <v/>
      </c>
      <c r="BV368" t="str">
        <f>"1"</f>
        <v>1</v>
      </c>
      <c r="BW368" t="str">
        <f>"46"</f>
        <v>46</v>
      </c>
    </row>
    <row r="369" spans="1:75" x14ac:dyDescent="0.35">
      <c r="A369">
        <v>157512</v>
      </c>
      <c r="B369" t="str">
        <f t="shared" si="155"/>
        <v>A</v>
      </c>
      <c r="C369" t="str">
        <f t="shared" si="156"/>
        <v>80</v>
      </c>
      <c r="D369" t="str">
        <f t="shared" si="157"/>
        <v>11121001</v>
      </c>
      <c r="E369" t="str">
        <f t="shared" si="158"/>
        <v>121001</v>
      </c>
      <c r="F369" t="str">
        <f t="shared" si="159"/>
        <v>JENIFER SANTOS</v>
      </c>
      <c r="G369" t="str">
        <f>"05023673000180"</f>
        <v>05023673000180</v>
      </c>
      <c r="H369" t="str">
        <f>"0"</f>
        <v>0</v>
      </c>
      <c r="I369" t="str">
        <f t="shared" si="160"/>
        <v>CONTA OPTICA</v>
      </c>
      <c r="J369" t="str">
        <f>"OTICA VISOR LTDA"</f>
        <v>OTICA VISOR LTDA</v>
      </c>
      <c r="K369" t="str">
        <f>"OTICA VISOR LTDA (178)"</f>
        <v>OTICA VISOR LTDA (178)</v>
      </c>
      <c r="L369" t="str">
        <f>""</f>
        <v/>
      </c>
      <c r="M369" t="str">
        <f>""</f>
        <v/>
      </c>
      <c r="N369" t="str">
        <f>"MARIOLOBO@OTICAFACIAL.COM.BR"</f>
        <v>MARIOLOBO@OTICAFACIAL.COM.BR</v>
      </c>
      <c r="O369" t="str">
        <f>""</f>
        <v/>
      </c>
      <c r="P369" t="str">
        <f>"RUA MARIO LOBO"</f>
        <v>RUA MARIO LOBO</v>
      </c>
      <c r="Q369" t="str">
        <f>"246"</f>
        <v>246</v>
      </c>
      <c r="R369" t="str">
        <f>"LOJA 04"</f>
        <v>LOJA 04</v>
      </c>
      <c r="S369" t="str">
        <f>"1277"</f>
        <v>1277</v>
      </c>
      <c r="T369" t="str">
        <f>"89201330"</f>
        <v>89201330</v>
      </c>
      <c r="U369" t="str">
        <f>"CENTRO"</f>
        <v>CENTRO</v>
      </c>
      <c r="V369" t="str">
        <f>"JOINVILLE"</f>
        <v>JOINVILLE</v>
      </c>
      <c r="W369" t="str">
        <f t="shared" si="173"/>
        <v>SC</v>
      </c>
      <c r="X369" t="str">
        <f>"47"</f>
        <v>47</v>
      </c>
      <c r="Y369" t="str">
        <f>"34331544"</f>
        <v>34331544</v>
      </c>
      <c r="Z369" t="str">
        <f>""</f>
        <v/>
      </c>
      <c r="AA369" t="str">
        <f>""</f>
        <v/>
      </c>
      <c r="AB369" t="str">
        <f>""</f>
        <v/>
      </c>
      <c r="AC369" t="str">
        <f>""</f>
        <v/>
      </c>
      <c r="AD369" t="str">
        <f>""</f>
        <v/>
      </c>
      <c r="AE369" t="str">
        <f>""</f>
        <v/>
      </c>
      <c r="AF369" t="str">
        <f>""</f>
        <v/>
      </c>
      <c r="AG369" t="str">
        <f>""</f>
        <v/>
      </c>
      <c r="AH369" t="str">
        <f>""</f>
        <v/>
      </c>
      <c r="AI369" t="str">
        <f>""</f>
        <v/>
      </c>
      <c r="AJ369" t="str">
        <f>""</f>
        <v/>
      </c>
      <c r="AK369" t="str">
        <f>""</f>
        <v/>
      </c>
      <c r="AL369" t="str">
        <f>""</f>
        <v/>
      </c>
      <c r="AM369" t="str">
        <f>""</f>
        <v/>
      </c>
      <c r="AN369" t="str">
        <f>""</f>
        <v/>
      </c>
      <c r="AO369" t="str">
        <f>""</f>
        <v/>
      </c>
      <c r="AP369" t="str">
        <f>""</f>
        <v/>
      </c>
      <c r="AQ369" t="str">
        <f>""</f>
        <v/>
      </c>
      <c r="AR369" t="str">
        <f>""</f>
        <v/>
      </c>
      <c r="AS369" t="str">
        <f>""</f>
        <v/>
      </c>
      <c r="AT369" t="str">
        <f>""</f>
        <v/>
      </c>
      <c r="AU369" t="str">
        <f>""</f>
        <v/>
      </c>
      <c r="AV369" t="str">
        <f>""</f>
        <v/>
      </c>
      <c r="AW369" t="str">
        <f>""</f>
        <v/>
      </c>
      <c r="AX369" t="str">
        <f>""</f>
        <v/>
      </c>
      <c r="AY369" t="str">
        <f>""</f>
        <v/>
      </c>
      <c r="AZ369" t="str">
        <f>""</f>
        <v/>
      </c>
      <c r="BA369" t="str">
        <f>""</f>
        <v/>
      </c>
      <c r="BB369" t="str">
        <f>"11/07/2023 02:14:29"</f>
        <v>11/07/2023 02:14:29</v>
      </c>
      <c r="BC369" t="str">
        <f>""</f>
        <v/>
      </c>
      <c r="BD369" t="str">
        <f>""</f>
        <v/>
      </c>
      <c r="BE369" t="str">
        <f>""</f>
        <v/>
      </c>
      <c r="BF369" t="str">
        <f t="shared" si="161"/>
        <v>A</v>
      </c>
      <c r="BG369" t="str">
        <f>""</f>
        <v/>
      </c>
      <c r="BH369" t="str">
        <f>""</f>
        <v/>
      </c>
      <c r="BI369" t="str">
        <f t="shared" si="172"/>
        <v>EVENTUAL</v>
      </c>
      <c r="BJ369" t="str">
        <f t="shared" si="162"/>
        <v>1</v>
      </c>
      <c r="BK369" t="str">
        <f t="shared" si="163"/>
        <v>Farmacia</v>
      </c>
      <c r="BL369" t="str">
        <f>""</f>
        <v/>
      </c>
      <c r="BM369" t="str">
        <f>""</f>
        <v/>
      </c>
      <c r="BN369" t="str">
        <f>""</f>
        <v/>
      </c>
      <c r="BO369" t="str">
        <f>""</f>
        <v/>
      </c>
      <c r="BP369" t="str">
        <f>""</f>
        <v/>
      </c>
      <c r="BQ369" t="str">
        <f>""</f>
        <v/>
      </c>
      <c r="BR369" t="str">
        <f>"11/07/2023"</f>
        <v>11/07/2023</v>
      </c>
      <c r="BS369" t="str">
        <f>""</f>
        <v/>
      </c>
      <c r="BT369" t="str">
        <f>""</f>
        <v/>
      </c>
      <c r="BU369" t="str">
        <f>""</f>
        <v/>
      </c>
      <c r="BV369" t="str">
        <f>""</f>
        <v/>
      </c>
      <c r="BW369" t="str">
        <f>"36"</f>
        <v>36</v>
      </c>
    </row>
    <row r="370" spans="1:75" x14ac:dyDescent="0.35">
      <c r="A370">
        <v>862</v>
      </c>
      <c r="B370" t="str">
        <f t="shared" si="155"/>
        <v>A</v>
      </c>
      <c r="C370" t="str">
        <f t="shared" si="156"/>
        <v>80</v>
      </c>
      <c r="D370" t="str">
        <f t="shared" si="157"/>
        <v>11121001</v>
      </c>
      <c r="E370" t="str">
        <f t="shared" si="158"/>
        <v>121001</v>
      </c>
      <c r="F370" t="str">
        <f t="shared" si="159"/>
        <v>JENIFER SANTOS</v>
      </c>
      <c r="G370" t="str">
        <f>"05023673000261"</f>
        <v>05023673000261</v>
      </c>
      <c r="H370" t="str">
        <f>""</f>
        <v/>
      </c>
      <c r="I370" t="str">
        <f t="shared" si="160"/>
        <v>CONTA OPTICA</v>
      </c>
      <c r="J370" t="str">
        <f>"OTICA VISOR LTDA ME"</f>
        <v>OTICA VISOR LTDA ME</v>
      </c>
      <c r="K370" t="str">
        <f>"OTICA FACIAL (1948)"</f>
        <v>OTICA FACIAL (1948)</v>
      </c>
      <c r="L370" t="str">
        <f>""</f>
        <v/>
      </c>
      <c r="M370" t="str">
        <f>""</f>
        <v/>
      </c>
      <c r="N370" t="str">
        <f>"mariolobo@oticafacial.com.br"</f>
        <v>mariolobo@oticafacial.com.br</v>
      </c>
      <c r="O370" t="str">
        <f>""</f>
        <v/>
      </c>
      <c r="P370" t="str">
        <f>"RUA IRIRIU"</f>
        <v>RUA IRIRIU</v>
      </c>
      <c r="Q370" t="str">
        <f>"1098"</f>
        <v>1098</v>
      </c>
      <c r="R370" t="str">
        <f>""</f>
        <v/>
      </c>
      <c r="S370" t="str">
        <f>"1279"</f>
        <v>1279</v>
      </c>
      <c r="T370" t="str">
        <f>"89227045"</f>
        <v>89227045</v>
      </c>
      <c r="U370" t="str">
        <f>"IRIRIU"</f>
        <v>IRIRIU</v>
      </c>
      <c r="V370" t="str">
        <f>"JOINVILLE"</f>
        <v>JOINVILLE</v>
      </c>
      <c r="W370" t="str">
        <f t="shared" si="173"/>
        <v>SC</v>
      </c>
      <c r="X370" t="str">
        <f>"47"</f>
        <v>47</v>
      </c>
      <c r="Y370" t="str">
        <f>"30253898"</f>
        <v>30253898</v>
      </c>
      <c r="Z370" t="str">
        <f>""</f>
        <v/>
      </c>
      <c r="AA370" t="str">
        <f>""</f>
        <v/>
      </c>
      <c r="AB370" t="str">
        <f>""</f>
        <v/>
      </c>
      <c r="AC370" t="str">
        <f>""</f>
        <v/>
      </c>
      <c r="AD370" t="str">
        <f>""</f>
        <v/>
      </c>
      <c r="AE370" t="str">
        <f>""</f>
        <v/>
      </c>
      <c r="AF370" t="str">
        <f>""</f>
        <v/>
      </c>
      <c r="AG370" t="str">
        <f>""</f>
        <v/>
      </c>
      <c r="AH370" t="str">
        <f>""</f>
        <v/>
      </c>
      <c r="AI370" t="str">
        <f>""</f>
        <v/>
      </c>
      <c r="AJ370" t="str">
        <f>"0"</f>
        <v>0</v>
      </c>
      <c r="AK370" t="str">
        <f>"0"</f>
        <v>0</v>
      </c>
      <c r="AL370" t="str">
        <f>"0"</f>
        <v>0</v>
      </c>
      <c r="AM370" t="str">
        <f>""</f>
        <v/>
      </c>
      <c r="AN370" t="str">
        <f>""</f>
        <v/>
      </c>
      <c r="AO370" t="str">
        <f>""</f>
        <v/>
      </c>
      <c r="AP370" t="str">
        <f>""</f>
        <v/>
      </c>
      <c r="AQ370" t="str">
        <f>""</f>
        <v/>
      </c>
      <c r="AR370" t="str">
        <f>""</f>
        <v/>
      </c>
      <c r="AS370" t="str">
        <f>""</f>
        <v/>
      </c>
      <c r="AT370" t="str">
        <f>""</f>
        <v/>
      </c>
      <c r="AU370" t="str">
        <f>""</f>
        <v/>
      </c>
      <c r="AV370" t="str">
        <f>""</f>
        <v/>
      </c>
      <c r="AW370" t="str">
        <f>""</f>
        <v/>
      </c>
      <c r="AX370" t="str">
        <f>""</f>
        <v/>
      </c>
      <c r="AY370" t="str">
        <f>""</f>
        <v/>
      </c>
      <c r="AZ370" t="str">
        <f>""</f>
        <v/>
      </c>
      <c r="BA370" t="str">
        <f>""</f>
        <v/>
      </c>
      <c r="BB370" t="str">
        <f>"27/07/2018 09:25:53"</f>
        <v>27/07/2018 09:25:53</v>
      </c>
      <c r="BC370" t="str">
        <f>""</f>
        <v/>
      </c>
      <c r="BD370" t="str">
        <f>""</f>
        <v/>
      </c>
      <c r="BE370" t="str">
        <f>"862"</f>
        <v>862</v>
      </c>
      <c r="BF370" t="str">
        <f t="shared" si="161"/>
        <v>A</v>
      </c>
      <c r="BG370" t="str">
        <f>"0,00"</f>
        <v>0,00</v>
      </c>
      <c r="BH370" t="str">
        <f>"0,00"</f>
        <v>0,00</v>
      </c>
      <c r="BI370" t="str">
        <f t="shared" si="172"/>
        <v>EVENTUAL</v>
      </c>
      <c r="BJ370" t="str">
        <f t="shared" si="162"/>
        <v>1</v>
      </c>
      <c r="BK370" t="str">
        <f t="shared" si="163"/>
        <v>Farmacia</v>
      </c>
      <c r="BL370" t="str">
        <f>""</f>
        <v/>
      </c>
      <c r="BM370" t="str">
        <f>"VARILUX ESPECIALISTA SELECT"</f>
        <v>VARILUX ESPECIALISTA SELECT</v>
      </c>
      <c r="BN370" t="str">
        <f>"EL360"</f>
        <v>EL360</v>
      </c>
      <c r="BO370" t="str">
        <f>"FOCO VARILUX DIGITAL"</f>
        <v>FOCO VARILUX DIGITAL</v>
      </c>
      <c r="BP370" t="str">
        <f>""</f>
        <v/>
      </c>
      <c r="BQ370" t="str">
        <f>""</f>
        <v/>
      </c>
      <c r="BR370" t="str">
        <f>"27/07/2018"</f>
        <v>27/07/2018</v>
      </c>
      <c r="BS370" t="str">
        <f>""</f>
        <v/>
      </c>
      <c r="BT370" t="str">
        <f>""</f>
        <v/>
      </c>
      <c r="BU370" t="str">
        <f>""</f>
        <v/>
      </c>
      <c r="BV370" t="str">
        <f>"1"</f>
        <v>1</v>
      </c>
      <c r="BW370" t="str">
        <f>"46"</f>
        <v>46</v>
      </c>
    </row>
    <row r="371" spans="1:75" x14ac:dyDescent="0.35">
      <c r="A371">
        <v>156762</v>
      </c>
      <c r="B371" t="str">
        <f t="shared" si="155"/>
        <v>A</v>
      </c>
      <c r="C371" t="str">
        <f t="shared" si="156"/>
        <v>80</v>
      </c>
      <c r="D371" t="str">
        <f t="shared" si="157"/>
        <v>11121001</v>
      </c>
      <c r="E371" t="str">
        <f t="shared" si="158"/>
        <v>121001</v>
      </c>
      <c r="F371" t="str">
        <f t="shared" si="159"/>
        <v>JENIFER SANTOS</v>
      </c>
      <c r="G371" t="str">
        <f>"41789186000197"</f>
        <v>41789186000197</v>
      </c>
      <c r="H371" t="str">
        <f>"0"</f>
        <v>0</v>
      </c>
      <c r="I371" t="str">
        <f t="shared" si="160"/>
        <v>CONTA OPTICA</v>
      </c>
      <c r="J371" t="str">
        <f>"OTICA VISS LTDA"</f>
        <v>OTICA VISS LTDA</v>
      </c>
      <c r="K371" t="str">
        <f>"OTICA VISS (4497)"</f>
        <v>OTICA VISS (4497)</v>
      </c>
      <c r="L371" t="str">
        <f>""</f>
        <v/>
      </c>
      <c r="M371" t="str">
        <f>""</f>
        <v/>
      </c>
      <c r="N371" t="str">
        <f>"OTICASVISS@GMAIL.COM"</f>
        <v>OTICASVISS@GMAIL.COM</v>
      </c>
      <c r="O371" t="str">
        <f>""</f>
        <v/>
      </c>
      <c r="P371" t="str">
        <f>"GETULIO VARGAS"</f>
        <v>GETULIO VARGAS</v>
      </c>
      <c r="Q371" t="str">
        <f>"475"</f>
        <v>475</v>
      </c>
      <c r="R371" t="str">
        <f>"SALA:3"</f>
        <v>SALA:3</v>
      </c>
      <c r="S371" t="str">
        <f>"1282"</f>
        <v>1282</v>
      </c>
      <c r="T371" t="str">
        <f>"89400000"</f>
        <v>89400000</v>
      </c>
      <c r="U371" t="str">
        <f>"CENTRO"</f>
        <v>CENTRO</v>
      </c>
      <c r="V371" t="str">
        <f>"PORTO UNIAO"</f>
        <v>PORTO UNIAO</v>
      </c>
      <c r="W371" t="str">
        <f t="shared" si="173"/>
        <v>SC</v>
      </c>
      <c r="X371" t="str">
        <f>"42"</f>
        <v>42</v>
      </c>
      <c r="Y371" t="str">
        <f>"988630351"</f>
        <v>988630351</v>
      </c>
      <c r="Z371" t="str">
        <f>""</f>
        <v/>
      </c>
      <c r="AA371" t="str">
        <f>""</f>
        <v/>
      </c>
      <c r="AB371" t="str">
        <f>""</f>
        <v/>
      </c>
      <c r="AC371" t="str">
        <f>""</f>
        <v/>
      </c>
      <c r="AD371" t="str">
        <f>""</f>
        <v/>
      </c>
      <c r="AE371" t="str">
        <f>""</f>
        <v/>
      </c>
      <c r="AF371" t="str">
        <f>""</f>
        <v/>
      </c>
      <c r="AG371" t="str">
        <f>""</f>
        <v/>
      </c>
      <c r="AH371" t="str">
        <f>""</f>
        <v/>
      </c>
      <c r="AI371" t="str">
        <f>""</f>
        <v/>
      </c>
      <c r="AJ371" t="str">
        <f>""</f>
        <v/>
      </c>
      <c r="AK371" t="str">
        <f>""</f>
        <v/>
      </c>
      <c r="AL371" t="str">
        <f>""</f>
        <v/>
      </c>
      <c r="AM371" t="str">
        <f>""</f>
        <v/>
      </c>
      <c r="AN371" t="str">
        <f>""</f>
        <v/>
      </c>
      <c r="AO371" t="str">
        <f>""</f>
        <v/>
      </c>
      <c r="AP371" t="str">
        <f>""</f>
        <v/>
      </c>
      <c r="AQ371" t="str">
        <f>""</f>
        <v/>
      </c>
      <c r="AR371" t="str">
        <f>""</f>
        <v/>
      </c>
      <c r="AS371" t="str">
        <f>""</f>
        <v/>
      </c>
      <c r="AT371" t="str">
        <f>""</f>
        <v/>
      </c>
      <c r="AU371" t="str">
        <f>""</f>
        <v/>
      </c>
      <c r="AV371" t="str">
        <f>""</f>
        <v/>
      </c>
      <c r="AW371" t="str">
        <f>""</f>
        <v/>
      </c>
      <c r="AX371" t="str">
        <f>""</f>
        <v/>
      </c>
      <c r="AY371" t="str">
        <f>""</f>
        <v/>
      </c>
      <c r="AZ371" t="str">
        <f>""</f>
        <v/>
      </c>
      <c r="BA371" t="str">
        <f>""</f>
        <v/>
      </c>
      <c r="BB371" t="str">
        <f>"06/07/2023 12:07:48"</f>
        <v>06/07/2023 12:07:48</v>
      </c>
      <c r="BC371" t="str">
        <f>""</f>
        <v/>
      </c>
      <c r="BD371" t="str">
        <f>""</f>
        <v/>
      </c>
      <c r="BE371" t="str">
        <f>""</f>
        <v/>
      </c>
      <c r="BF371" t="str">
        <f t="shared" si="161"/>
        <v>A</v>
      </c>
      <c r="BG371" t="str">
        <f>""</f>
        <v/>
      </c>
      <c r="BH371" t="str">
        <f>""</f>
        <v/>
      </c>
      <c r="BI371" t="str">
        <f t="shared" si="172"/>
        <v>EVENTUAL</v>
      </c>
      <c r="BJ371" t="str">
        <f t="shared" si="162"/>
        <v>1</v>
      </c>
      <c r="BK371" t="str">
        <f t="shared" si="163"/>
        <v>Farmacia</v>
      </c>
      <c r="BL371" t="str">
        <f>""</f>
        <v/>
      </c>
      <c r="BM371" t="str">
        <f>""</f>
        <v/>
      </c>
      <c r="BN371" t="str">
        <f>""</f>
        <v/>
      </c>
      <c r="BO371" t="str">
        <f>""</f>
        <v/>
      </c>
      <c r="BP371" t="str">
        <f>""</f>
        <v/>
      </c>
      <c r="BQ371" t="str">
        <f>""</f>
        <v/>
      </c>
      <c r="BR371" t="str">
        <f>"06/07/2023"</f>
        <v>06/07/2023</v>
      </c>
      <c r="BS371" t="str">
        <f>""</f>
        <v/>
      </c>
      <c r="BT371" t="str">
        <f>""</f>
        <v/>
      </c>
      <c r="BU371" t="str">
        <f>""</f>
        <v/>
      </c>
      <c r="BV371" t="str">
        <f>""</f>
        <v/>
      </c>
      <c r="BW371" t="str">
        <f>"Não visitado"</f>
        <v>Não visitado</v>
      </c>
    </row>
    <row r="372" spans="1:75" x14ac:dyDescent="0.35">
      <c r="A372">
        <v>144729</v>
      </c>
      <c r="B372" t="str">
        <f t="shared" si="155"/>
        <v>A</v>
      </c>
      <c r="C372" t="str">
        <f t="shared" si="156"/>
        <v>80</v>
      </c>
      <c r="D372" t="str">
        <f t="shared" si="157"/>
        <v>11121001</v>
      </c>
      <c r="E372" t="str">
        <f t="shared" si="158"/>
        <v>121001</v>
      </c>
      <c r="F372" t="str">
        <f t="shared" si="159"/>
        <v>JENIFER SANTOS</v>
      </c>
      <c r="G372" t="str">
        <f>"14228334000121"</f>
        <v>14228334000121</v>
      </c>
      <c r="H372" t="str">
        <f>""</f>
        <v/>
      </c>
      <c r="I372" t="str">
        <f t="shared" si="160"/>
        <v>CONTA OPTICA</v>
      </c>
      <c r="J372" t="str">
        <f>"OTICA VM LTDA ME"</f>
        <v>OTICA VM LTDA ME</v>
      </c>
      <c r="K372" t="str">
        <f>"OTICA DINIZ (1856)"</f>
        <v>OTICA DINIZ (1856)</v>
      </c>
      <c r="L372" t="str">
        <f>""</f>
        <v/>
      </c>
      <c r="M372" t="str">
        <f>""</f>
        <v/>
      </c>
      <c r="N372" t="str">
        <f>"vivianearaujorn@hotmail.com"</f>
        <v>vivianearaujorn@hotmail.com</v>
      </c>
      <c r="O372" t="str">
        <f>""</f>
        <v/>
      </c>
      <c r="P372" t="str">
        <f>"RUA IRIRIU"</f>
        <v>RUA IRIRIU</v>
      </c>
      <c r="Q372" t="str">
        <f>"3584"</f>
        <v>3584</v>
      </c>
      <c r="R372" t="str">
        <f>""</f>
        <v/>
      </c>
      <c r="S372" t="str">
        <f>"1279"</f>
        <v>1279</v>
      </c>
      <c r="T372" t="str">
        <f>"89227017"</f>
        <v>89227017</v>
      </c>
      <c r="U372" t="str">
        <f>"IRIRIU"</f>
        <v>IRIRIU</v>
      </c>
      <c r="V372" t="str">
        <f>"JOINVILLE"</f>
        <v>JOINVILLE</v>
      </c>
      <c r="W372" t="str">
        <f t="shared" si="173"/>
        <v>SC</v>
      </c>
      <c r="X372" t="str">
        <f>"47"</f>
        <v>47</v>
      </c>
      <c r="Y372" t="str">
        <f>"4358076"</f>
        <v>4358076</v>
      </c>
      <c r="Z372" t="str">
        <f>""</f>
        <v/>
      </c>
      <c r="AA372" t="str">
        <f>""</f>
        <v/>
      </c>
      <c r="AB372" t="str">
        <f>""</f>
        <v/>
      </c>
      <c r="AC372" t="str">
        <f>""</f>
        <v/>
      </c>
      <c r="AD372" t="str">
        <f>""</f>
        <v/>
      </c>
      <c r="AE372" t="str">
        <f>""</f>
        <v/>
      </c>
      <c r="AF372" t="str">
        <f>""</f>
        <v/>
      </c>
      <c r="AG372" t="str">
        <f>""</f>
        <v/>
      </c>
      <c r="AH372" t="str">
        <f>""</f>
        <v/>
      </c>
      <c r="AI372" t="str">
        <f>""</f>
        <v/>
      </c>
      <c r="AJ372" t="str">
        <f>"0"</f>
        <v>0</v>
      </c>
      <c r="AK372" t="str">
        <f>"0"</f>
        <v>0</v>
      </c>
      <c r="AL372" t="str">
        <f>"0"</f>
        <v>0</v>
      </c>
      <c r="AM372" t="str">
        <f>""</f>
        <v/>
      </c>
      <c r="AN372" t="str">
        <f>""</f>
        <v/>
      </c>
      <c r="AO372" t="str">
        <f>""</f>
        <v/>
      </c>
      <c r="AP372" t="str">
        <f>""</f>
        <v/>
      </c>
      <c r="AQ372" t="str">
        <f>""</f>
        <v/>
      </c>
      <c r="AR372" t="str">
        <f>""</f>
        <v/>
      </c>
      <c r="AS372" t="str">
        <f>""</f>
        <v/>
      </c>
      <c r="AT372" t="str">
        <f>""</f>
        <v/>
      </c>
      <c r="AU372" t="str">
        <f>""</f>
        <v/>
      </c>
      <c r="AV372" t="str">
        <f>""</f>
        <v/>
      </c>
      <c r="AW372" t="str">
        <f>""</f>
        <v/>
      </c>
      <c r="AX372" t="str">
        <f>""</f>
        <v/>
      </c>
      <c r="AY372" t="str">
        <f>""</f>
        <v/>
      </c>
      <c r="AZ372" t="str">
        <f>""</f>
        <v/>
      </c>
      <c r="BA372" t="str">
        <f>""</f>
        <v/>
      </c>
      <c r="BB372" t="str">
        <f>""</f>
        <v/>
      </c>
      <c r="BC372" t="str">
        <f>""</f>
        <v/>
      </c>
      <c r="BD372" t="str">
        <f>""</f>
        <v/>
      </c>
      <c r="BE372" t="str">
        <f>""</f>
        <v/>
      </c>
      <c r="BF372" t="str">
        <f t="shared" si="161"/>
        <v>A</v>
      </c>
      <c r="BG372" t="str">
        <f>"0,00"</f>
        <v>0,00</v>
      </c>
      <c r="BH372" t="str">
        <f>"0,00"</f>
        <v>0,00</v>
      </c>
      <c r="BI372" t="str">
        <f t="shared" si="172"/>
        <v>EVENTUAL</v>
      </c>
      <c r="BJ372" t="str">
        <f t="shared" si="162"/>
        <v>1</v>
      </c>
      <c r="BK372" t="str">
        <f t="shared" si="163"/>
        <v>Farmacia</v>
      </c>
      <c r="BL372" t="str">
        <f>""</f>
        <v/>
      </c>
      <c r="BM372" t="str">
        <f>"NÃO É VARILUX ESPECIALISTA"</f>
        <v>NÃO É VARILUX ESPECIALISTA</v>
      </c>
      <c r="BN372" t="str">
        <f>"NA"</f>
        <v>NA</v>
      </c>
      <c r="BO372" t="str">
        <f>"FOCO KODAK 2"</f>
        <v>FOCO KODAK 2</v>
      </c>
      <c r="BP372" t="str">
        <f>""</f>
        <v/>
      </c>
      <c r="BQ372" t="str">
        <f>""</f>
        <v/>
      </c>
      <c r="BR372" t="str">
        <f>""</f>
        <v/>
      </c>
      <c r="BS372" t="str">
        <f>""</f>
        <v/>
      </c>
      <c r="BT372" t="str">
        <f>""</f>
        <v/>
      </c>
      <c r="BU372" t="str">
        <f>""</f>
        <v/>
      </c>
      <c r="BV372" t="str">
        <f>"4"</f>
        <v>4</v>
      </c>
      <c r="BW372" t="str">
        <f>"156"</f>
        <v>156</v>
      </c>
    </row>
    <row r="373" spans="1:75" x14ac:dyDescent="0.35">
      <c r="A373">
        <v>138188</v>
      </c>
      <c r="B373" t="str">
        <f t="shared" si="155"/>
        <v>A</v>
      </c>
      <c r="C373" t="str">
        <f t="shared" si="156"/>
        <v>80</v>
      </c>
      <c r="D373" t="str">
        <f t="shared" si="157"/>
        <v>11121001</v>
      </c>
      <c r="E373" t="str">
        <f t="shared" si="158"/>
        <v>121001</v>
      </c>
      <c r="F373" t="str">
        <f t="shared" si="159"/>
        <v>JENIFER SANTOS</v>
      </c>
      <c r="G373" t="str">
        <f>"29794830000110"</f>
        <v>29794830000110</v>
      </c>
      <c r="H373" t="str">
        <f>"0"</f>
        <v>0</v>
      </c>
      <c r="I373" t="str">
        <f t="shared" si="160"/>
        <v>CONTA OPTICA</v>
      </c>
      <c r="J373" t="str">
        <f>"OTICA ZANFIR EIRELI"</f>
        <v>OTICA ZANFIR EIRELI</v>
      </c>
      <c r="K373" t="str">
        <f>"OTICA ZANFIR EIRELI (3862)"</f>
        <v>OTICA ZANFIR EIRELI (3862)</v>
      </c>
      <c r="L373" t="str">
        <f>""</f>
        <v/>
      </c>
      <c r="M373" t="str">
        <f>""</f>
        <v/>
      </c>
      <c r="N373" t="str">
        <f>"cristiano.zanfir@yahoo.com.br"</f>
        <v>cristiano.zanfir@yahoo.com.br</v>
      </c>
      <c r="O373" t="str">
        <f>""</f>
        <v/>
      </c>
      <c r="P373" t="str">
        <f>"RUA TORRES GONCALVES"</f>
        <v>RUA TORRES GONCALVES</v>
      </c>
      <c r="Q373" t="str">
        <f>"305"</f>
        <v>305</v>
      </c>
      <c r="R373" t="str">
        <f>""</f>
        <v/>
      </c>
      <c r="S373" t="str">
        <f>"1389"</f>
        <v>1389</v>
      </c>
      <c r="T373" t="str">
        <f>"99700422"</f>
        <v>99700422</v>
      </c>
      <c r="U373" t="str">
        <f>"CENTRO"</f>
        <v>CENTRO</v>
      </c>
      <c r="V373" t="str">
        <f>"ERECHIM"</f>
        <v>ERECHIM</v>
      </c>
      <c r="W373" t="str">
        <f>"RS"</f>
        <v>RS</v>
      </c>
      <c r="X373" t="str">
        <f>"54"</f>
        <v>54</v>
      </c>
      <c r="Y373" t="str">
        <f>"991912771"</f>
        <v>991912771</v>
      </c>
      <c r="Z373" t="str">
        <f>""</f>
        <v/>
      </c>
      <c r="AA373" t="str">
        <f>""</f>
        <v/>
      </c>
      <c r="AB373" t="str">
        <f>""</f>
        <v/>
      </c>
      <c r="AC373" t="str">
        <f>""</f>
        <v/>
      </c>
      <c r="AD373" t="str">
        <f>""</f>
        <v/>
      </c>
      <c r="AE373" t="str">
        <f>""</f>
        <v/>
      </c>
      <c r="AF373" t="str">
        <f>""</f>
        <v/>
      </c>
      <c r="AG373" t="str">
        <f>"S"</f>
        <v>S</v>
      </c>
      <c r="AH373" t="str">
        <f>""</f>
        <v/>
      </c>
      <c r="AI373" t="str">
        <f>""</f>
        <v/>
      </c>
      <c r="AJ373" t="str">
        <f>""</f>
        <v/>
      </c>
      <c r="AK373" t="str">
        <f>""</f>
        <v/>
      </c>
      <c r="AL373" t="str">
        <f>""</f>
        <v/>
      </c>
      <c r="AM373" t="str">
        <f>""</f>
        <v/>
      </c>
      <c r="AN373" t="str">
        <f>""</f>
        <v/>
      </c>
      <c r="AO373" t="str">
        <f>""</f>
        <v/>
      </c>
      <c r="AP373" t="str">
        <f>""</f>
        <v/>
      </c>
      <c r="AQ373" t="str">
        <f>"N"</f>
        <v>N</v>
      </c>
      <c r="AR373" t="str">
        <f>"N"</f>
        <v>N</v>
      </c>
      <c r="AS373" t="str">
        <f>"N"</f>
        <v>N</v>
      </c>
      <c r="AT373" t="str">
        <f>"N"</f>
        <v>N</v>
      </c>
      <c r="AU373" t="str">
        <f>"N"</f>
        <v>N</v>
      </c>
      <c r="AV373" t="str">
        <f>""</f>
        <v/>
      </c>
      <c r="AW373" t="str">
        <f>""</f>
        <v/>
      </c>
      <c r="AX373" t="str">
        <f>""</f>
        <v/>
      </c>
      <c r="AY373" t="str">
        <f>""</f>
        <v/>
      </c>
      <c r="AZ373" t="str">
        <f>""</f>
        <v/>
      </c>
      <c r="BA373" t="str">
        <f>""</f>
        <v/>
      </c>
      <c r="BB373" t="str">
        <f>"01/07/2021 13:53:04"</f>
        <v>01/07/2021 13:53:04</v>
      </c>
      <c r="BC373" t="str">
        <f>"24/11/2021 16:40:58"</f>
        <v>24/11/2021 16:40:58</v>
      </c>
      <c r="BD373" t="str">
        <f>""</f>
        <v/>
      </c>
      <c r="BE373" t="str">
        <f>""</f>
        <v/>
      </c>
      <c r="BF373" t="str">
        <f t="shared" si="161"/>
        <v>A</v>
      </c>
      <c r="BG373" t="str">
        <f>""</f>
        <v/>
      </c>
      <c r="BH373" t="str">
        <f>"0,00"</f>
        <v>0,00</v>
      </c>
      <c r="BI373" t="str">
        <f t="shared" si="172"/>
        <v>EVENTUAL</v>
      </c>
      <c r="BJ373" t="str">
        <f t="shared" si="162"/>
        <v>1</v>
      </c>
      <c r="BK373" t="str">
        <f t="shared" si="163"/>
        <v>Farmacia</v>
      </c>
      <c r="BL373" t="str">
        <f>""</f>
        <v/>
      </c>
      <c r="BM373" t="str">
        <f>"NÃO É VARILUX ESPECIALISTA"</f>
        <v>NÃO É VARILUX ESPECIALISTA</v>
      </c>
      <c r="BN373" t="str">
        <f>"NA"</f>
        <v>NA</v>
      </c>
      <c r="BO373" t="str">
        <f>"FOCO VARILUX"</f>
        <v>FOCO VARILUX</v>
      </c>
      <c r="BP373" t="str">
        <f>""</f>
        <v/>
      </c>
      <c r="BQ373" t="str">
        <f>""</f>
        <v/>
      </c>
      <c r="BR373" t="str">
        <f>"01/07/2021"</f>
        <v>01/07/2021</v>
      </c>
      <c r="BS373" t="str">
        <f>"24/11/2021"</f>
        <v>24/11/2021</v>
      </c>
      <c r="BT373" t="str">
        <f>""</f>
        <v/>
      </c>
      <c r="BU373" t="str">
        <f>""</f>
        <v/>
      </c>
      <c r="BV373" t="str">
        <f>""</f>
        <v/>
      </c>
      <c r="BW373" t="str">
        <f>"65"</f>
        <v>65</v>
      </c>
    </row>
    <row r="374" spans="1:75" x14ac:dyDescent="0.35">
      <c r="A374">
        <v>144633</v>
      </c>
      <c r="B374" t="str">
        <f t="shared" si="155"/>
        <v>A</v>
      </c>
      <c r="C374" t="str">
        <f t="shared" si="156"/>
        <v>80</v>
      </c>
      <c r="D374" t="str">
        <f t="shared" si="157"/>
        <v>11121001</v>
      </c>
      <c r="E374" t="str">
        <f t="shared" si="158"/>
        <v>121001</v>
      </c>
      <c r="F374" t="str">
        <f t="shared" si="159"/>
        <v>JENIFER SANTOS</v>
      </c>
      <c r="G374" t="str">
        <f>"27921076000297"</f>
        <v>27921076000297</v>
      </c>
      <c r="H374" t="str">
        <f>""</f>
        <v/>
      </c>
      <c r="I374" t="str">
        <f t="shared" si="160"/>
        <v>CONTA OPTICA</v>
      </c>
      <c r="J374" t="str">
        <f>"OTICAS CAROLINE LTDA"</f>
        <v>OTICAS CAROLINE LTDA</v>
      </c>
      <c r="K374" t="str">
        <f>"OTICAS CAROLINE CENTRO (4115)"</f>
        <v>OTICAS CAROLINE CENTRO (4115)</v>
      </c>
      <c r="L374" t="str">
        <f>""</f>
        <v/>
      </c>
      <c r="M374" t="str">
        <f>""</f>
        <v/>
      </c>
      <c r="N374" t="str">
        <f>"oticascarolinefilial@gmail.com"</f>
        <v>oticascarolinefilial@gmail.com</v>
      </c>
      <c r="O374" t="str">
        <f>""</f>
        <v/>
      </c>
      <c r="P374" t="str">
        <f>"RUA BLUMENAU"</f>
        <v>RUA BLUMENAU</v>
      </c>
      <c r="Q374" t="str">
        <f>"178"</f>
        <v>178</v>
      </c>
      <c r="R374" t="str">
        <f>"SALA 4"</f>
        <v>SALA 4</v>
      </c>
      <c r="S374" t="str">
        <f>"1278"</f>
        <v>1278</v>
      </c>
      <c r="T374" t="str">
        <f>"89204248"</f>
        <v>89204248</v>
      </c>
      <c r="U374" t="str">
        <f>"AMERICA"</f>
        <v>AMERICA</v>
      </c>
      <c r="V374" t="str">
        <f>"JOINVILLE"</f>
        <v>JOINVILLE</v>
      </c>
      <c r="W374" t="str">
        <f t="shared" ref="W374:W393" si="179">"SC"</f>
        <v>SC</v>
      </c>
      <c r="X374" t="str">
        <f>"47"</f>
        <v>47</v>
      </c>
      <c r="Y374" t="str">
        <f>"30132539"</f>
        <v>30132539</v>
      </c>
      <c r="Z374" t="str">
        <f>""</f>
        <v/>
      </c>
      <c r="AA374" t="str">
        <f>""</f>
        <v/>
      </c>
      <c r="AB374" t="str">
        <f>""</f>
        <v/>
      </c>
      <c r="AC374" t="str">
        <f>""</f>
        <v/>
      </c>
      <c r="AD374" t="str">
        <f>""</f>
        <v/>
      </c>
      <c r="AE374" t="str">
        <f>""</f>
        <v/>
      </c>
      <c r="AF374" t="str">
        <f>""</f>
        <v/>
      </c>
      <c r="AG374" t="str">
        <f>""</f>
        <v/>
      </c>
      <c r="AH374" t="str">
        <f>""</f>
        <v/>
      </c>
      <c r="AI374" t="str">
        <f>""</f>
        <v/>
      </c>
      <c r="AJ374" t="str">
        <f>"0"</f>
        <v>0</v>
      </c>
      <c r="AK374" t="str">
        <f>"0"</f>
        <v>0</v>
      </c>
      <c r="AL374" t="str">
        <f>"0"</f>
        <v>0</v>
      </c>
      <c r="AM374" t="str">
        <f>""</f>
        <v/>
      </c>
      <c r="AN374" t="str">
        <f>""</f>
        <v/>
      </c>
      <c r="AO374" t="str">
        <f>""</f>
        <v/>
      </c>
      <c r="AP374" t="str">
        <f>""</f>
        <v/>
      </c>
      <c r="AQ374" t="str">
        <f>""</f>
        <v/>
      </c>
      <c r="AR374" t="str">
        <f>""</f>
        <v/>
      </c>
      <c r="AS374" t="str">
        <f>""</f>
        <v/>
      </c>
      <c r="AT374" t="str">
        <f>""</f>
        <v/>
      </c>
      <c r="AU374" t="str">
        <f>""</f>
        <v/>
      </c>
      <c r="AV374" t="str">
        <f>""</f>
        <v/>
      </c>
      <c r="AW374" t="str">
        <f>""</f>
        <v/>
      </c>
      <c r="AX374" t="str">
        <f>""</f>
        <v/>
      </c>
      <c r="AY374" t="str">
        <f>""</f>
        <v/>
      </c>
      <c r="AZ374" t="str">
        <f>""</f>
        <v/>
      </c>
      <c r="BA374" t="str">
        <f>""</f>
        <v/>
      </c>
      <c r="BB374" t="str">
        <f>""</f>
        <v/>
      </c>
      <c r="BC374" t="str">
        <f>""</f>
        <v/>
      </c>
      <c r="BD374" t="str">
        <f>""</f>
        <v/>
      </c>
      <c r="BE374" t="str">
        <f>""</f>
        <v/>
      </c>
      <c r="BF374" t="str">
        <f t="shared" si="161"/>
        <v>A</v>
      </c>
      <c r="BG374" t="str">
        <f>"0,00"</f>
        <v>0,00</v>
      </c>
      <c r="BH374" t="str">
        <f>"0,00"</f>
        <v>0,00</v>
      </c>
      <c r="BI374" t="str">
        <f t="shared" si="172"/>
        <v>EVENTUAL</v>
      </c>
      <c r="BJ374" t="str">
        <f t="shared" si="162"/>
        <v>1</v>
      </c>
      <c r="BK374" t="str">
        <f t="shared" si="163"/>
        <v>Farmacia</v>
      </c>
      <c r="BL374" t="str">
        <f>""</f>
        <v/>
      </c>
      <c r="BM374" t="str">
        <f>"NÃO É VARILUX ESPECIALISTA"</f>
        <v>NÃO É VARILUX ESPECIALISTA</v>
      </c>
      <c r="BN374" t="str">
        <f>"NA"</f>
        <v>NA</v>
      </c>
      <c r="BO374" t="str">
        <f>"FOCO VARILUX"</f>
        <v>FOCO VARILUX</v>
      </c>
      <c r="BP374" t="str">
        <f>""</f>
        <v/>
      </c>
      <c r="BQ374" t="str">
        <f>""</f>
        <v/>
      </c>
      <c r="BR374" t="str">
        <f>""</f>
        <v/>
      </c>
      <c r="BS374" t="str">
        <f>""</f>
        <v/>
      </c>
      <c r="BT374" t="str">
        <f>""</f>
        <v/>
      </c>
      <c r="BU374" t="str">
        <f>""</f>
        <v/>
      </c>
      <c r="BV374" t="str">
        <f>"9"</f>
        <v>9</v>
      </c>
      <c r="BW374" t="str">
        <f>"2"</f>
        <v>2</v>
      </c>
    </row>
    <row r="375" spans="1:75" x14ac:dyDescent="0.35">
      <c r="A375">
        <v>138189</v>
      </c>
      <c r="B375" t="str">
        <f t="shared" si="155"/>
        <v>A</v>
      </c>
      <c r="C375" t="str">
        <f t="shared" si="156"/>
        <v>80</v>
      </c>
      <c r="D375" t="str">
        <f t="shared" si="157"/>
        <v>11121001</v>
      </c>
      <c r="E375" t="str">
        <f t="shared" si="158"/>
        <v>121001</v>
      </c>
      <c r="F375" t="str">
        <f t="shared" si="159"/>
        <v>JENIFER SANTOS</v>
      </c>
      <c r="G375" t="str">
        <f>"26431217000140"</f>
        <v>26431217000140</v>
      </c>
      <c r="H375" t="str">
        <f>"0"</f>
        <v>0</v>
      </c>
      <c r="I375" t="str">
        <f t="shared" si="160"/>
        <v>CONTA OPTICA</v>
      </c>
      <c r="J375" t="str">
        <f>"OTICAS COMPLETA E TREINAMENTOS EIRELI - ME"</f>
        <v>OTICAS COMPLETA E TREINAMENTOS EIRELI - ME</v>
      </c>
      <c r="K375" t="str">
        <f>"OTICAS COMPLETA (3843)"</f>
        <v>OTICAS COMPLETA (3843)</v>
      </c>
      <c r="L375" t="str">
        <f>""</f>
        <v/>
      </c>
      <c r="M375" t="str">
        <f>""</f>
        <v/>
      </c>
      <c r="N375" t="str">
        <f>"fabiano@oticasgasparetto.com.br"</f>
        <v>fabiano@oticasgasparetto.com.br</v>
      </c>
      <c r="O375" t="str">
        <f>""</f>
        <v/>
      </c>
      <c r="P375" t="str">
        <f>"RUA BARAO DO RIO BRANCO - E"</f>
        <v>RUA BARAO DO RIO BRANCO - E</v>
      </c>
      <c r="Q375" t="str">
        <f>"284"</f>
        <v>284</v>
      </c>
      <c r="R375" t="str">
        <f>"E - SALA 10"</f>
        <v>E - SALA 10</v>
      </c>
      <c r="S375" t="str">
        <f>"1287"</f>
        <v>1287</v>
      </c>
      <c r="T375" t="str">
        <f>"89802100"</f>
        <v>89802100</v>
      </c>
      <c r="U375" t="str">
        <f>"CENTRO"</f>
        <v>CENTRO</v>
      </c>
      <c r="V375" t="str">
        <f>"CHAPECÓ"</f>
        <v>CHAPECÓ</v>
      </c>
      <c r="W375" t="str">
        <f t="shared" si="179"/>
        <v>SC</v>
      </c>
      <c r="X375" t="str">
        <f>"49"</f>
        <v>49</v>
      </c>
      <c r="Y375" t="str">
        <f>"33233826"</f>
        <v>33233826</v>
      </c>
      <c r="Z375" t="str">
        <f>""</f>
        <v/>
      </c>
      <c r="AA375" t="str">
        <f>""</f>
        <v/>
      </c>
      <c r="AB375" t="str">
        <f>""</f>
        <v/>
      </c>
      <c r="AC375" t="str">
        <f>""</f>
        <v/>
      </c>
      <c r="AD375" t="str">
        <f>""</f>
        <v/>
      </c>
      <c r="AE375" t="str">
        <f>""</f>
        <v/>
      </c>
      <c r="AF375" t="str">
        <f>""</f>
        <v/>
      </c>
      <c r="AG375" t="str">
        <f>"S"</f>
        <v>S</v>
      </c>
      <c r="AH375" t="str">
        <f>""</f>
        <v/>
      </c>
      <c r="AI375" t="str">
        <f>""</f>
        <v/>
      </c>
      <c r="AJ375" t="str">
        <f>""</f>
        <v/>
      </c>
      <c r="AK375" t="str">
        <f>""</f>
        <v/>
      </c>
      <c r="AL375" t="str">
        <f>""</f>
        <v/>
      </c>
      <c r="AM375" t="str">
        <f>""</f>
        <v/>
      </c>
      <c r="AN375" t="str">
        <f>""</f>
        <v/>
      </c>
      <c r="AO375" t="str">
        <f>""</f>
        <v/>
      </c>
      <c r="AP375" t="str">
        <f>""</f>
        <v/>
      </c>
      <c r="AQ375" t="str">
        <f>"N"</f>
        <v>N</v>
      </c>
      <c r="AR375" t="str">
        <f>"N"</f>
        <v>N</v>
      </c>
      <c r="AS375" t="str">
        <f>"N"</f>
        <v>N</v>
      </c>
      <c r="AT375" t="str">
        <f>"N"</f>
        <v>N</v>
      </c>
      <c r="AU375" t="str">
        <f>"N"</f>
        <v>N</v>
      </c>
      <c r="AV375" t="str">
        <f>""</f>
        <v/>
      </c>
      <c r="AW375" t="str">
        <f>""</f>
        <v/>
      </c>
      <c r="AX375" t="str">
        <f>""</f>
        <v/>
      </c>
      <c r="AY375" t="str">
        <f>""</f>
        <v/>
      </c>
      <c r="AZ375" t="str">
        <f>""</f>
        <v/>
      </c>
      <c r="BA375" t="str">
        <f>""</f>
        <v/>
      </c>
      <c r="BB375" t="str">
        <f>"01/07/2021 13:53:04"</f>
        <v>01/07/2021 13:53:04</v>
      </c>
      <c r="BC375" t="str">
        <f>"28/09/2021 10:14:48"</f>
        <v>28/09/2021 10:14:48</v>
      </c>
      <c r="BD375" t="str">
        <f>""</f>
        <v/>
      </c>
      <c r="BE375" t="str">
        <f>""</f>
        <v/>
      </c>
      <c r="BF375" t="str">
        <f t="shared" si="161"/>
        <v>A</v>
      </c>
      <c r="BG375" t="str">
        <f>""</f>
        <v/>
      </c>
      <c r="BH375" t="str">
        <f>"0,00"</f>
        <v>0,00</v>
      </c>
      <c r="BI375" t="str">
        <f t="shared" si="172"/>
        <v>EVENTUAL</v>
      </c>
      <c r="BJ375" t="str">
        <f t="shared" si="162"/>
        <v>1</v>
      </c>
      <c r="BK375" t="str">
        <f t="shared" si="163"/>
        <v>Farmacia</v>
      </c>
      <c r="BL375" t="str">
        <f>""</f>
        <v/>
      </c>
      <c r="BM375" t="str">
        <f>"NÃO É VARILUX ESPECIALISTA"</f>
        <v>NÃO É VARILUX ESPECIALISTA</v>
      </c>
      <c r="BN375" t="str">
        <f>"NA"</f>
        <v>NA</v>
      </c>
      <c r="BO375" t="str">
        <f>"OUTROS"</f>
        <v>OUTROS</v>
      </c>
      <c r="BP375" t="str">
        <f>""</f>
        <v/>
      </c>
      <c r="BQ375" t="str">
        <f>""</f>
        <v/>
      </c>
      <c r="BR375" t="str">
        <f>"01/07/2021"</f>
        <v>01/07/2021</v>
      </c>
      <c r="BS375" t="str">
        <f>"28/09/2021"</f>
        <v>28/09/2021</v>
      </c>
      <c r="BT375" t="str">
        <f>""</f>
        <v/>
      </c>
      <c r="BU375" t="str">
        <f>""</f>
        <v/>
      </c>
      <c r="BV375" t="str">
        <f>""</f>
        <v/>
      </c>
      <c r="BW375" t="str">
        <f>"298"</f>
        <v>298</v>
      </c>
    </row>
    <row r="376" spans="1:75" x14ac:dyDescent="0.35">
      <c r="A376">
        <v>157566</v>
      </c>
      <c r="B376" t="str">
        <f t="shared" si="155"/>
        <v>A</v>
      </c>
      <c r="C376" t="str">
        <f t="shared" si="156"/>
        <v>80</v>
      </c>
      <c r="D376" t="str">
        <f t="shared" si="157"/>
        <v>11121001</v>
      </c>
      <c r="E376" t="str">
        <f t="shared" si="158"/>
        <v>121001</v>
      </c>
      <c r="F376" t="str">
        <f t="shared" si="159"/>
        <v>JENIFER SANTOS</v>
      </c>
      <c r="G376" t="str">
        <f>"42167964000179"</f>
        <v>42167964000179</v>
      </c>
      <c r="H376" t="str">
        <f>"0"</f>
        <v>0</v>
      </c>
      <c r="I376" t="str">
        <f t="shared" si="160"/>
        <v>CONTA OPTICA</v>
      </c>
      <c r="J376" t="str">
        <f>"OTICAS EVO LTDA"</f>
        <v>OTICAS EVO LTDA</v>
      </c>
      <c r="K376" t="str">
        <f>"OTICA EVO (4425)"</f>
        <v>OTICA EVO (4425)</v>
      </c>
      <c r="L376" t="str">
        <f>""</f>
        <v/>
      </c>
      <c r="M376" t="str">
        <f>""</f>
        <v/>
      </c>
      <c r="N376" t="str">
        <f>"OTICASEVOMATRIZ@GMAIL.COM"</f>
        <v>OTICASEVOMATRIZ@GMAIL.COM</v>
      </c>
      <c r="O376" t="str">
        <f>""</f>
        <v/>
      </c>
      <c r="P376" t="str">
        <f>"RUA QUINZE DE NOVEMBRO"</f>
        <v>RUA QUINZE DE NOVEMBRO</v>
      </c>
      <c r="Q376" t="str">
        <f>"651"</f>
        <v>651</v>
      </c>
      <c r="R376" t="str">
        <f>""</f>
        <v/>
      </c>
      <c r="S376" t="str">
        <f>"1277"</f>
        <v>1277</v>
      </c>
      <c r="T376" t="str">
        <f>"89201601"</f>
        <v>89201601</v>
      </c>
      <c r="U376" t="str">
        <f>"CENTRO"</f>
        <v>CENTRO</v>
      </c>
      <c r="V376" t="str">
        <f>"JOINVILLE"</f>
        <v>JOINVILLE</v>
      </c>
      <c r="W376" t="str">
        <f t="shared" si="179"/>
        <v>SC</v>
      </c>
      <c r="X376" t="str">
        <f>"47"</f>
        <v>47</v>
      </c>
      <c r="Y376" t="str">
        <f>"99184061"</f>
        <v>99184061</v>
      </c>
      <c r="Z376" t="str">
        <f>""</f>
        <v/>
      </c>
      <c r="AA376" t="str">
        <f>""</f>
        <v/>
      </c>
      <c r="AB376" t="str">
        <f>""</f>
        <v/>
      </c>
      <c r="AC376" t="str">
        <f>""</f>
        <v/>
      </c>
      <c r="AD376" t="str">
        <f>""</f>
        <v/>
      </c>
      <c r="AE376" t="str">
        <f>""</f>
        <v/>
      </c>
      <c r="AF376" t="str">
        <f>""</f>
        <v/>
      </c>
      <c r="AG376" t="str">
        <f>""</f>
        <v/>
      </c>
      <c r="AH376" t="str">
        <f>""</f>
        <v/>
      </c>
      <c r="AI376" t="str">
        <f>""</f>
        <v/>
      </c>
      <c r="AJ376" t="str">
        <f>""</f>
        <v/>
      </c>
      <c r="AK376" t="str">
        <f>""</f>
        <v/>
      </c>
      <c r="AL376" t="str">
        <f>""</f>
        <v/>
      </c>
      <c r="AM376" t="str">
        <f>""</f>
        <v/>
      </c>
      <c r="AN376" t="str">
        <f>""</f>
        <v/>
      </c>
      <c r="AO376" t="str">
        <f>""</f>
        <v/>
      </c>
      <c r="AP376" t="str">
        <f>""</f>
        <v/>
      </c>
      <c r="AQ376" t="str">
        <f>""</f>
        <v/>
      </c>
      <c r="AR376" t="str">
        <f>""</f>
        <v/>
      </c>
      <c r="AS376" t="str">
        <f>""</f>
        <v/>
      </c>
      <c r="AT376" t="str">
        <f>""</f>
        <v/>
      </c>
      <c r="AU376" t="str">
        <f>""</f>
        <v/>
      </c>
      <c r="AV376" t="str">
        <f>""</f>
        <v/>
      </c>
      <c r="AW376" t="str">
        <f>""</f>
        <v/>
      </c>
      <c r="AX376" t="str">
        <f>""</f>
        <v/>
      </c>
      <c r="AY376" t="str">
        <f>""</f>
        <v/>
      </c>
      <c r="AZ376" t="str">
        <f>""</f>
        <v/>
      </c>
      <c r="BA376" t="str">
        <f>""</f>
        <v/>
      </c>
      <c r="BB376" t="str">
        <f>"11/07/2023 02:14:29"</f>
        <v>11/07/2023 02:14:29</v>
      </c>
      <c r="BC376" t="str">
        <f>""</f>
        <v/>
      </c>
      <c r="BD376" t="str">
        <f>""</f>
        <v/>
      </c>
      <c r="BE376" t="str">
        <f>""</f>
        <v/>
      </c>
      <c r="BF376" t="str">
        <f t="shared" si="161"/>
        <v>A</v>
      </c>
      <c r="BG376" t="str">
        <f>""</f>
        <v/>
      </c>
      <c r="BH376" t="str">
        <f>""</f>
        <v/>
      </c>
      <c r="BI376" t="str">
        <f t="shared" si="172"/>
        <v>EVENTUAL</v>
      </c>
      <c r="BJ376" t="str">
        <f t="shared" si="162"/>
        <v>1</v>
      </c>
      <c r="BK376" t="str">
        <f t="shared" si="163"/>
        <v>Farmacia</v>
      </c>
      <c r="BL376" t="str">
        <f>""</f>
        <v/>
      </c>
      <c r="BM376" t="str">
        <f>""</f>
        <v/>
      </c>
      <c r="BN376" t="str">
        <f>""</f>
        <v/>
      </c>
      <c r="BO376" t="str">
        <f>""</f>
        <v/>
      </c>
      <c r="BP376" t="str">
        <f>""</f>
        <v/>
      </c>
      <c r="BQ376" t="str">
        <f>""</f>
        <v/>
      </c>
      <c r="BR376" t="str">
        <f>"11/07/2023"</f>
        <v>11/07/2023</v>
      </c>
      <c r="BS376" t="str">
        <f>""</f>
        <v/>
      </c>
      <c r="BT376" t="str">
        <f>""</f>
        <v/>
      </c>
      <c r="BU376" t="str">
        <f>""</f>
        <v/>
      </c>
      <c r="BV376" t="str">
        <f>""</f>
        <v/>
      </c>
      <c r="BW376" t="str">
        <f t="shared" ref="BW376:BW384" si="180">"Não visitado"</f>
        <v>Não visitado</v>
      </c>
    </row>
    <row r="377" spans="1:75" x14ac:dyDescent="0.35">
      <c r="A377">
        <v>156720</v>
      </c>
      <c r="B377" t="str">
        <f t="shared" si="155"/>
        <v>A</v>
      </c>
      <c r="C377" t="str">
        <f t="shared" si="156"/>
        <v>80</v>
      </c>
      <c r="D377" t="str">
        <f t="shared" si="157"/>
        <v>11121001</v>
      </c>
      <c r="E377" t="str">
        <f t="shared" si="158"/>
        <v>121001</v>
      </c>
      <c r="F377" t="str">
        <f t="shared" si="159"/>
        <v>JENIFER SANTOS</v>
      </c>
      <c r="G377" t="str">
        <f>"47258893000133"</f>
        <v>47258893000133</v>
      </c>
      <c r="H377" t="str">
        <f>"0"</f>
        <v>0</v>
      </c>
      <c r="I377" t="str">
        <f t="shared" si="160"/>
        <v>CONTA OPTICA</v>
      </c>
      <c r="J377" t="str">
        <f>"OTICAS FG LTDA"</f>
        <v>OTICAS FG LTDA</v>
      </c>
      <c r="K377" t="str">
        <f>"OTICAS RECRIS (4571)"</f>
        <v>OTICAS RECRIS (4571)</v>
      </c>
      <c r="L377" t="str">
        <f>""</f>
        <v/>
      </c>
      <c r="M377" t="str">
        <f>""</f>
        <v/>
      </c>
      <c r="N377" t="str">
        <f>"CONCORDIA@OTICASRECRIS.COM"</f>
        <v>CONCORDIA@OTICASRECRIS.COM</v>
      </c>
      <c r="O377" t="str">
        <f>""</f>
        <v/>
      </c>
      <c r="P377" t="str">
        <f>"RUA MARECHAL DEODORO"</f>
        <v>RUA MARECHAL DEODORO</v>
      </c>
      <c r="Q377" t="str">
        <f>"772"</f>
        <v>772</v>
      </c>
      <c r="R377" t="str">
        <f>"SALA 02"</f>
        <v>SALA 02</v>
      </c>
      <c r="S377" t="str">
        <f>""</f>
        <v/>
      </c>
      <c r="T377" t="str">
        <f>"89700905"</f>
        <v>89700905</v>
      </c>
      <c r="U377" t="str">
        <f>"CENTRO"</f>
        <v>CENTRO</v>
      </c>
      <c r="V377" t="str">
        <f>"CONCORDIA"</f>
        <v>CONCORDIA</v>
      </c>
      <c r="W377" t="str">
        <f t="shared" si="179"/>
        <v>SC</v>
      </c>
      <c r="X377" t="str">
        <f>"49"</f>
        <v>49</v>
      </c>
      <c r="Y377" t="str">
        <f>"35500167"</f>
        <v>35500167</v>
      </c>
      <c r="Z377" t="str">
        <f>""</f>
        <v/>
      </c>
      <c r="AA377" t="str">
        <f>""</f>
        <v/>
      </c>
      <c r="AB377" t="str">
        <f>""</f>
        <v/>
      </c>
      <c r="AC377" t="str">
        <f>""</f>
        <v/>
      </c>
      <c r="AD377" t="str">
        <f>""</f>
        <v/>
      </c>
      <c r="AE377" t="str">
        <f>""</f>
        <v/>
      </c>
      <c r="AF377" t="str">
        <f>""</f>
        <v/>
      </c>
      <c r="AG377" t="str">
        <f>""</f>
        <v/>
      </c>
      <c r="AH377" t="str">
        <f>""</f>
        <v/>
      </c>
      <c r="AI377" t="str">
        <f>""</f>
        <v/>
      </c>
      <c r="AJ377" t="str">
        <f>""</f>
        <v/>
      </c>
      <c r="AK377" t="str">
        <f>""</f>
        <v/>
      </c>
      <c r="AL377" t="str">
        <f>""</f>
        <v/>
      </c>
      <c r="AM377" t="str">
        <f>""</f>
        <v/>
      </c>
      <c r="AN377" t="str">
        <f>""</f>
        <v/>
      </c>
      <c r="AO377" t="str">
        <f>""</f>
        <v/>
      </c>
      <c r="AP377" t="str">
        <f>""</f>
        <v/>
      </c>
      <c r="AQ377" t="str">
        <f>""</f>
        <v/>
      </c>
      <c r="AR377" t="str">
        <f>""</f>
        <v/>
      </c>
      <c r="AS377" t="str">
        <f>""</f>
        <v/>
      </c>
      <c r="AT377" t="str">
        <f>""</f>
        <v/>
      </c>
      <c r="AU377" t="str">
        <f>""</f>
        <v/>
      </c>
      <c r="AV377" t="str">
        <f>""</f>
        <v/>
      </c>
      <c r="AW377" t="str">
        <f>""</f>
        <v/>
      </c>
      <c r="AX377" t="str">
        <f>""</f>
        <v/>
      </c>
      <c r="AY377" t="str">
        <f>""</f>
        <v/>
      </c>
      <c r="AZ377" t="str">
        <f>""</f>
        <v/>
      </c>
      <c r="BA377" t="str">
        <f>""</f>
        <v/>
      </c>
      <c r="BB377" t="str">
        <f>"06/07/2023 12:07:48"</f>
        <v>06/07/2023 12:07:48</v>
      </c>
      <c r="BC377" t="str">
        <f>""</f>
        <v/>
      </c>
      <c r="BD377" t="str">
        <f>""</f>
        <v/>
      </c>
      <c r="BE377" t="str">
        <f>""</f>
        <v/>
      </c>
      <c r="BF377" t="str">
        <f t="shared" si="161"/>
        <v>A</v>
      </c>
      <c r="BG377" t="str">
        <f>""</f>
        <v/>
      </c>
      <c r="BH377" t="str">
        <f>""</f>
        <v/>
      </c>
      <c r="BI377" t="str">
        <f t="shared" si="172"/>
        <v>EVENTUAL</v>
      </c>
      <c r="BJ377" t="str">
        <f t="shared" si="162"/>
        <v>1</v>
      </c>
      <c r="BK377" t="str">
        <f t="shared" si="163"/>
        <v>Farmacia</v>
      </c>
      <c r="BL377" t="str">
        <f>""</f>
        <v/>
      </c>
      <c r="BM377" t="str">
        <f>""</f>
        <v/>
      </c>
      <c r="BN377" t="str">
        <f>""</f>
        <v/>
      </c>
      <c r="BO377" t="str">
        <f>""</f>
        <v/>
      </c>
      <c r="BP377" t="str">
        <f>""</f>
        <v/>
      </c>
      <c r="BQ377" t="str">
        <f>""</f>
        <v/>
      </c>
      <c r="BR377" t="str">
        <f>"06/07/2023"</f>
        <v>06/07/2023</v>
      </c>
      <c r="BS377" t="str">
        <f>""</f>
        <v/>
      </c>
      <c r="BT377" t="str">
        <f>""</f>
        <v/>
      </c>
      <c r="BU377" t="str">
        <f>""</f>
        <v/>
      </c>
      <c r="BV377" t="str">
        <f>""</f>
        <v/>
      </c>
      <c r="BW377" t="str">
        <f t="shared" si="180"/>
        <v>Não visitado</v>
      </c>
    </row>
    <row r="378" spans="1:75" x14ac:dyDescent="0.35">
      <c r="A378">
        <v>144578</v>
      </c>
      <c r="B378" t="str">
        <f t="shared" si="155"/>
        <v>A</v>
      </c>
      <c r="C378" t="str">
        <f t="shared" si="156"/>
        <v>80</v>
      </c>
      <c r="D378" t="str">
        <f t="shared" si="157"/>
        <v>11121001</v>
      </c>
      <c r="E378" t="str">
        <f t="shared" si="158"/>
        <v>121001</v>
      </c>
      <c r="F378" t="str">
        <f t="shared" si="159"/>
        <v>JENIFER SANTOS</v>
      </c>
      <c r="G378" t="str">
        <f>"31701870000111"</f>
        <v>31701870000111</v>
      </c>
      <c r="H378" t="str">
        <f>""</f>
        <v/>
      </c>
      <c r="I378" t="str">
        <f t="shared" si="160"/>
        <v>CONTA OPTICA</v>
      </c>
      <c r="J378" t="str">
        <f>"OTICAS MEIRA MORAES LTDA"</f>
        <v>OTICAS MEIRA MORAES LTDA</v>
      </c>
      <c r="K378" t="str">
        <f>"OTICAS MORAES (3945)"</f>
        <v>OTICAS MORAES (3945)</v>
      </c>
      <c r="L378" t="str">
        <f>""</f>
        <v/>
      </c>
      <c r="M378" t="str">
        <f>""</f>
        <v/>
      </c>
      <c r="N378" t="str">
        <f>"oticasmoraes18@gmail.com"</f>
        <v>oticasmoraes18@gmail.com</v>
      </c>
      <c r="O378" t="str">
        <f>""</f>
        <v/>
      </c>
      <c r="P378" t="str">
        <f>"RUA VICE-PREFEITO LUIZ CARLOS GARCIA"</f>
        <v>RUA VICE-PREFEITO LUIZ CARLOS GARCIA</v>
      </c>
      <c r="Q378" t="str">
        <f>"1079"</f>
        <v>1079</v>
      </c>
      <c r="R378" t="str">
        <f>"SALA 2"</f>
        <v>SALA 2</v>
      </c>
      <c r="S378" t="str">
        <f>""</f>
        <v/>
      </c>
      <c r="T378" t="str">
        <f>"89219370"</f>
        <v>89219370</v>
      </c>
      <c r="U378" t="str">
        <f>"COSTA E SILVA"</f>
        <v>COSTA E SILVA</v>
      </c>
      <c r="V378" t="str">
        <f>"JOINVILLE"</f>
        <v>JOINVILLE</v>
      </c>
      <c r="W378" t="str">
        <f t="shared" si="179"/>
        <v>SC</v>
      </c>
      <c r="X378" t="str">
        <f t="shared" ref="X378:X385" si="181">"47"</f>
        <v>47</v>
      </c>
      <c r="Y378" t="str">
        <f>"992638526"</f>
        <v>992638526</v>
      </c>
      <c r="Z378" t="str">
        <f>""</f>
        <v/>
      </c>
      <c r="AA378" t="str">
        <f>""</f>
        <v/>
      </c>
      <c r="AB378" t="str">
        <f>""</f>
        <v/>
      </c>
      <c r="AC378" t="str">
        <f>""</f>
        <v/>
      </c>
      <c r="AD378" t="str">
        <f>""</f>
        <v/>
      </c>
      <c r="AE378" t="str">
        <f>""</f>
        <v/>
      </c>
      <c r="AF378" t="str">
        <f>""</f>
        <v/>
      </c>
      <c r="AG378" t="str">
        <f>""</f>
        <v/>
      </c>
      <c r="AH378" t="str">
        <f>""</f>
        <v/>
      </c>
      <c r="AI378" t="str">
        <f>""</f>
        <v/>
      </c>
      <c r="AJ378" t="str">
        <f>"0"</f>
        <v>0</v>
      </c>
      <c r="AK378" t="str">
        <f>"0"</f>
        <v>0</v>
      </c>
      <c r="AL378" t="str">
        <f>"0"</f>
        <v>0</v>
      </c>
      <c r="AM378" t="str">
        <f>""</f>
        <v/>
      </c>
      <c r="AN378" t="str">
        <f>""</f>
        <v/>
      </c>
      <c r="AO378" t="str">
        <f>""</f>
        <v/>
      </c>
      <c r="AP378" t="str">
        <f>""</f>
        <v/>
      </c>
      <c r="AQ378" t="str">
        <f>""</f>
        <v/>
      </c>
      <c r="AR378" t="str">
        <f>""</f>
        <v/>
      </c>
      <c r="AS378" t="str">
        <f>""</f>
        <v/>
      </c>
      <c r="AT378" t="str">
        <f>""</f>
        <v/>
      </c>
      <c r="AU378" t="str">
        <f>""</f>
        <v/>
      </c>
      <c r="AV378" t="str">
        <f>""</f>
        <v/>
      </c>
      <c r="AW378" t="str">
        <f>""</f>
        <v/>
      </c>
      <c r="AX378" t="str">
        <f>""</f>
        <v/>
      </c>
      <c r="AY378" t="str">
        <f>""</f>
        <v/>
      </c>
      <c r="AZ378" t="str">
        <f>""</f>
        <v/>
      </c>
      <c r="BA378" t="str">
        <f>""</f>
        <v/>
      </c>
      <c r="BB378" t="str">
        <f>""</f>
        <v/>
      </c>
      <c r="BC378" t="str">
        <f>""</f>
        <v/>
      </c>
      <c r="BD378" t="str">
        <f>""</f>
        <v/>
      </c>
      <c r="BE378" t="str">
        <f>""</f>
        <v/>
      </c>
      <c r="BF378" t="str">
        <f t="shared" si="161"/>
        <v>A</v>
      </c>
      <c r="BG378" t="str">
        <f>"0,00"</f>
        <v>0,00</v>
      </c>
      <c r="BH378" t="str">
        <f>"0,00"</f>
        <v>0,00</v>
      </c>
      <c r="BI378" t="str">
        <f t="shared" si="172"/>
        <v>EVENTUAL</v>
      </c>
      <c r="BJ378" t="str">
        <f t="shared" si="162"/>
        <v>1</v>
      </c>
      <c r="BK378" t="str">
        <f t="shared" si="163"/>
        <v>Farmacia</v>
      </c>
      <c r="BL378" t="str">
        <f>""</f>
        <v/>
      </c>
      <c r="BM378" t="str">
        <f>"NÃO É VARILUX ESPECIALISTA"</f>
        <v>NÃO É VARILUX ESPECIALISTA</v>
      </c>
      <c r="BN378" t="str">
        <f>"NA"</f>
        <v>NA</v>
      </c>
      <c r="BO378" t="str">
        <f>"FOCO VARILUX"</f>
        <v>FOCO VARILUX</v>
      </c>
      <c r="BP378" t="str">
        <f>""</f>
        <v/>
      </c>
      <c r="BQ378" t="str">
        <f>""</f>
        <v/>
      </c>
      <c r="BR378" t="str">
        <f>""</f>
        <v/>
      </c>
      <c r="BS378" t="str">
        <f>""</f>
        <v/>
      </c>
      <c r="BT378" t="str">
        <f>""</f>
        <v/>
      </c>
      <c r="BU378" t="str">
        <f>""</f>
        <v/>
      </c>
      <c r="BV378" t="str">
        <f>"9"</f>
        <v>9</v>
      </c>
      <c r="BW378" t="str">
        <f t="shared" si="180"/>
        <v>Não visitado</v>
      </c>
    </row>
    <row r="379" spans="1:75" x14ac:dyDescent="0.35">
      <c r="A379">
        <v>144529</v>
      </c>
      <c r="B379" t="str">
        <f t="shared" si="155"/>
        <v>A</v>
      </c>
      <c r="C379" t="str">
        <f t="shared" si="156"/>
        <v>80</v>
      </c>
      <c r="D379" t="str">
        <f t="shared" si="157"/>
        <v>11121001</v>
      </c>
      <c r="E379" t="str">
        <f t="shared" si="158"/>
        <v>121001</v>
      </c>
      <c r="F379" t="str">
        <f t="shared" si="159"/>
        <v>JENIFER SANTOS</v>
      </c>
      <c r="G379" t="str">
        <f>"31701870000200"</f>
        <v>31701870000200</v>
      </c>
      <c r="H379" t="str">
        <f>""</f>
        <v/>
      </c>
      <c r="I379" t="str">
        <f t="shared" si="160"/>
        <v>CONTA OPTICA</v>
      </c>
      <c r="J379" t="str">
        <f>"OTICAS MEIRA MORAES LTDA"</f>
        <v>OTICAS MEIRA MORAES LTDA</v>
      </c>
      <c r="K379" t="str">
        <f>"OTICAS MORAES (4162)"</f>
        <v>OTICAS MORAES (4162)</v>
      </c>
      <c r="L379" t="str">
        <f>""</f>
        <v/>
      </c>
      <c r="M379" t="str">
        <f>""</f>
        <v/>
      </c>
      <c r="N379" t="str">
        <f>"supervisao@oticasmoraes.com"</f>
        <v>supervisao@oticasmoraes.com</v>
      </c>
      <c r="O379" t="str">
        <f>""</f>
        <v/>
      </c>
      <c r="P379" t="str">
        <f>"RUA DOS GINASTICOS"</f>
        <v>RUA DOS GINASTICOS</v>
      </c>
      <c r="Q379" t="str">
        <f>"126"</f>
        <v>126</v>
      </c>
      <c r="R379" t="str">
        <f>"LADO CID DAS FL"</f>
        <v>LADO CID DAS FL</v>
      </c>
      <c r="S379" t="str">
        <f>""</f>
        <v/>
      </c>
      <c r="T379" t="str">
        <f>"89201310"</f>
        <v>89201310</v>
      </c>
      <c r="U379" t="str">
        <f>"CENTRO"</f>
        <v>CENTRO</v>
      </c>
      <c r="V379" t="str">
        <f>"JOINVILLE"</f>
        <v>JOINVILLE</v>
      </c>
      <c r="W379" t="str">
        <f t="shared" si="179"/>
        <v>SC</v>
      </c>
      <c r="X379" t="str">
        <f t="shared" si="181"/>
        <v>47</v>
      </c>
      <c r="Y379" t="str">
        <f>"35112784"</f>
        <v>35112784</v>
      </c>
      <c r="Z379" t="str">
        <f>""</f>
        <v/>
      </c>
      <c r="AA379" t="str">
        <f>""</f>
        <v/>
      </c>
      <c r="AB379" t="str">
        <f>""</f>
        <v/>
      </c>
      <c r="AC379" t="str">
        <f>""</f>
        <v/>
      </c>
      <c r="AD379" t="str">
        <f>""</f>
        <v/>
      </c>
      <c r="AE379" t="str">
        <f>""</f>
        <v/>
      </c>
      <c r="AF379" t="str">
        <f>""</f>
        <v/>
      </c>
      <c r="AG379" t="str">
        <f>""</f>
        <v/>
      </c>
      <c r="AH379" t="str">
        <f>""</f>
        <v/>
      </c>
      <c r="AI379" t="str">
        <f>""</f>
        <v/>
      </c>
      <c r="AJ379" t="str">
        <f>""</f>
        <v/>
      </c>
      <c r="AK379" t="str">
        <f>""</f>
        <v/>
      </c>
      <c r="AL379" t="str">
        <f>""</f>
        <v/>
      </c>
      <c r="AM379" t="str">
        <f>""</f>
        <v/>
      </c>
      <c r="AN379" t="str">
        <f>""</f>
        <v/>
      </c>
      <c r="AO379" t="str">
        <f>""</f>
        <v/>
      </c>
      <c r="AP379" t="str">
        <f>""</f>
        <v/>
      </c>
      <c r="AQ379" t="str">
        <f>""</f>
        <v/>
      </c>
      <c r="AR379" t="str">
        <f>""</f>
        <v/>
      </c>
      <c r="AS379" t="str">
        <f>""</f>
        <v/>
      </c>
      <c r="AT379" t="str">
        <f>""</f>
        <v/>
      </c>
      <c r="AU379" t="str">
        <f>""</f>
        <v/>
      </c>
      <c r="AV379" t="str">
        <f>""</f>
        <v/>
      </c>
      <c r="AW379" t="str">
        <f>""</f>
        <v/>
      </c>
      <c r="AX379" t="str">
        <f>""</f>
        <v/>
      </c>
      <c r="AY379" t="str">
        <f>""</f>
        <v/>
      </c>
      <c r="AZ379" t="str">
        <f>""</f>
        <v/>
      </c>
      <c r="BA379" t="str">
        <f>""</f>
        <v/>
      </c>
      <c r="BB379" t="str">
        <f>""</f>
        <v/>
      </c>
      <c r="BC379" t="str">
        <f>""</f>
        <v/>
      </c>
      <c r="BD379" t="str">
        <f>""</f>
        <v/>
      </c>
      <c r="BE379" t="str">
        <f>""</f>
        <v/>
      </c>
      <c r="BF379" t="str">
        <f t="shared" si="161"/>
        <v>A</v>
      </c>
      <c r="BG379" t="str">
        <f>""</f>
        <v/>
      </c>
      <c r="BH379" t="str">
        <f>""</f>
        <v/>
      </c>
      <c r="BI379" t="str">
        <f t="shared" si="172"/>
        <v>EVENTUAL</v>
      </c>
      <c r="BJ379" t="str">
        <f t="shared" si="162"/>
        <v>1</v>
      </c>
      <c r="BK379" t="str">
        <f t="shared" si="163"/>
        <v>Farmacia</v>
      </c>
      <c r="BL379" t="str">
        <f>""</f>
        <v/>
      </c>
      <c r="BM379" t="str">
        <f>"NÃO É VARILUX ESPECIALISTA"</f>
        <v>NÃO É VARILUX ESPECIALISTA</v>
      </c>
      <c r="BN379" t="str">
        <f>"NA"</f>
        <v>NA</v>
      </c>
      <c r="BO379" t="str">
        <f>"FOCO VARILUX"</f>
        <v>FOCO VARILUX</v>
      </c>
      <c r="BP379" t="str">
        <f>""</f>
        <v/>
      </c>
      <c r="BQ379" t="str">
        <f>""</f>
        <v/>
      </c>
      <c r="BR379" t="str">
        <f>""</f>
        <v/>
      </c>
      <c r="BS379" t="str">
        <f>""</f>
        <v/>
      </c>
      <c r="BT379" t="str">
        <f>""</f>
        <v/>
      </c>
      <c r="BU379" t="str">
        <f>""</f>
        <v/>
      </c>
      <c r="BV379" t="str">
        <f>"9"</f>
        <v>9</v>
      </c>
      <c r="BW379" t="str">
        <f t="shared" si="180"/>
        <v>Não visitado</v>
      </c>
    </row>
    <row r="380" spans="1:75" x14ac:dyDescent="0.35">
      <c r="A380">
        <v>144530</v>
      </c>
      <c r="B380" t="str">
        <f t="shared" si="155"/>
        <v>A</v>
      </c>
      <c r="C380" t="str">
        <f t="shared" si="156"/>
        <v>80</v>
      </c>
      <c r="D380" t="str">
        <f t="shared" si="157"/>
        <v>11121001</v>
      </c>
      <c r="E380" t="str">
        <f t="shared" si="158"/>
        <v>121001</v>
      </c>
      <c r="F380" t="str">
        <f t="shared" si="159"/>
        <v>JENIFER SANTOS</v>
      </c>
      <c r="G380" t="str">
        <f>"27876857000398"</f>
        <v>27876857000398</v>
      </c>
      <c r="H380" t="str">
        <f>""</f>
        <v/>
      </c>
      <c r="I380" t="str">
        <f t="shared" si="160"/>
        <v>CONTA OPTICA</v>
      </c>
      <c r="J380" t="str">
        <f>"OTICAS MORAES E REPRESENTACOES LTDA"</f>
        <v>OTICAS MORAES E REPRESENTACOES LTDA</v>
      </c>
      <c r="K380" t="str">
        <f>"OTICAS MORAES (4167)"</f>
        <v>OTICAS MORAES (4167)</v>
      </c>
      <c r="L380" t="str">
        <f>""</f>
        <v/>
      </c>
      <c r="M380" t="str">
        <f>""</f>
        <v/>
      </c>
      <c r="N380" t="str">
        <f>"supervisao@oticasmoraes.com"</f>
        <v>supervisao@oticasmoraes.com</v>
      </c>
      <c r="O380" t="str">
        <f>""</f>
        <v/>
      </c>
      <c r="P380" t="str">
        <f>"RUA FATIMA"</f>
        <v>RUA FATIMA</v>
      </c>
      <c r="Q380" t="str">
        <f>"570"</f>
        <v>570</v>
      </c>
      <c r="R380" t="str">
        <f>"MERCADO BOBATO"</f>
        <v>MERCADO BOBATO</v>
      </c>
      <c r="S380" t="str">
        <f>""</f>
        <v/>
      </c>
      <c r="T380" t="str">
        <f>"89203570"</f>
        <v>89203570</v>
      </c>
      <c r="U380" t="str">
        <f>"FATIMA"</f>
        <v>FATIMA</v>
      </c>
      <c r="V380" t="str">
        <f>"JOINVILLE"</f>
        <v>JOINVILLE</v>
      </c>
      <c r="W380" t="str">
        <f t="shared" si="179"/>
        <v>SC</v>
      </c>
      <c r="X380" t="str">
        <f t="shared" si="181"/>
        <v>47</v>
      </c>
      <c r="Y380" t="str">
        <f>"32276372"</f>
        <v>32276372</v>
      </c>
      <c r="Z380" t="str">
        <f>""</f>
        <v/>
      </c>
      <c r="AA380" t="str">
        <f>""</f>
        <v/>
      </c>
      <c r="AB380" t="str">
        <f>""</f>
        <v/>
      </c>
      <c r="AC380" t="str">
        <f>""</f>
        <v/>
      </c>
      <c r="AD380" t="str">
        <f>""</f>
        <v/>
      </c>
      <c r="AE380" t="str">
        <f>""</f>
        <v/>
      </c>
      <c r="AF380" t="str">
        <f>""</f>
        <v/>
      </c>
      <c r="AG380" t="str">
        <f>""</f>
        <v/>
      </c>
      <c r="AH380" t="str">
        <f>""</f>
        <v/>
      </c>
      <c r="AI380" t="str">
        <f>""</f>
        <v/>
      </c>
      <c r="AJ380" t="str">
        <f t="shared" ref="AJ380:AL381" si="182">"0"</f>
        <v>0</v>
      </c>
      <c r="AK380" t="str">
        <f t="shared" si="182"/>
        <v>0</v>
      </c>
      <c r="AL380" t="str">
        <f t="shared" si="182"/>
        <v>0</v>
      </c>
      <c r="AM380" t="str">
        <f>""</f>
        <v/>
      </c>
      <c r="AN380" t="str">
        <f>""</f>
        <v/>
      </c>
      <c r="AO380" t="str">
        <f>""</f>
        <v/>
      </c>
      <c r="AP380" t="str">
        <f>""</f>
        <v/>
      </c>
      <c r="AQ380" t="str">
        <f>""</f>
        <v/>
      </c>
      <c r="AR380" t="str">
        <f>""</f>
        <v/>
      </c>
      <c r="AS380" t="str">
        <f>""</f>
        <v/>
      </c>
      <c r="AT380" t="str">
        <f>""</f>
        <v/>
      </c>
      <c r="AU380" t="str">
        <f>""</f>
        <v/>
      </c>
      <c r="AV380" t="str">
        <f>""</f>
        <v/>
      </c>
      <c r="AW380" t="str">
        <f>""</f>
        <v/>
      </c>
      <c r="AX380" t="str">
        <f>""</f>
        <v/>
      </c>
      <c r="AY380" t="str">
        <f>""</f>
        <v/>
      </c>
      <c r="AZ380" t="str">
        <f>""</f>
        <v/>
      </c>
      <c r="BA380" t="str">
        <f>""</f>
        <v/>
      </c>
      <c r="BB380" t="str">
        <f>""</f>
        <v/>
      </c>
      <c r="BC380" t="str">
        <f>""</f>
        <v/>
      </c>
      <c r="BD380" t="str">
        <f>""</f>
        <v/>
      </c>
      <c r="BE380" t="str">
        <f>""</f>
        <v/>
      </c>
      <c r="BF380" t="str">
        <f t="shared" si="161"/>
        <v>A</v>
      </c>
      <c r="BG380" t="str">
        <f>"0,00"</f>
        <v>0,00</v>
      </c>
      <c r="BH380" t="str">
        <f>"0,00"</f>
        <v>0,00</v>
      </c>
      <c r="BI380" t="str">
        <f t="shared" si="172"/>
        <v>EVENTUAL</v>
      </c>
      <c r="BJ380" t="str">
        <f t="shared" si="162"/>
        <v>1</v>
      </c>
      <c r="BK380" t="str">
        <f t="shared" si="163"/>
        <v>Farmacia</v>
      </c>
      <c r="BL380" t="str">
        <f>""</f>
        <v/>
      </c>
      <c r="BM380" t="str">
        <f>"NÃO É VARILUX ESPECIALISTA"</f>
        <v>NÃO É VARILUX ESPECIALISTA</v>
      </c>
      <c r="BN380" t="str">
        <f>"NA"</f>
        <v>NA</v>
      </c>
      <c r="BO380" t="str">
        <f>"FOCO VARILUX"</f>
        <v>FOCO VARILUX</v>
      </c>
      <c r="BP380" t="str">
        <f>""</f>
        <v/>
      </c>
      <c r="BQ380" t="str">
        <f>""</f>
        <v/>
      </c>
      <c r="BR380" t="str">
        <f>""</f>
        <v/>
      </c>
      <c r="BS380" t="str">
        <f>""</f>
        <v/>
      </c>
      <c r="BT380" t="str">
        <f>""</f>
        <v/>
      </c>
      <c r="BU380" t="str">
        <f>""</f>
        <v/>
      </c>
      <c r="BV380" t="str">
        <f>"9"</f>
        <v>9</v>
      </c>
      <c r="BW380" t="str">
        <f t="shared" si="180"/>
        <v>Não visitado</v>
      </c>
    </row>
    <row r="381" spans="1:75" x14ac:dyDescent="0.35">
      <c r="A381">
        <v>144521</v>
      </c>
      <c r="B381" t="str">
        <f t="shared" si="155"/>
        <v>A</v>
      </c>
      <c r="C381" t="str">
        <f t="shared" si="156"/>
        <v>80</v>
      </c>
      <c r="D381" t="str">
        <f t="shared" si="157"/>
        <v>11121001</v>
      </c>
      <c r="E381" t="str">
        <f t="shared" si="158"/>
        <v>121001</v>
      </c>
      <c r="F381" t="str">
        <f t="shared" si="159"/>
        <v>JENIFER SANTOS</v>
      </c>
      <c r="G381" t="str">
        <f>"27876857000126"</f>
        <v>27876857000126</v>
      </c>
      <c r="H381" t="str">
        <f>""</f>
        <v/>
      </c>
      <c r="I381" t="str">
        <f t="shared" si="160"/>
        <v>CONTA OPTICA</v>
      </c>
      <c r="J381" t="str">
        <f>"OTICAS MORAES E REPRESENTACOES LTDA"</f>
        <v>OTICAS MORAES E REPRESENTACOES LTDA</v>
      </c>
      <c r="K381" t="str">
        <f>"OTICAS MORAES (4071)"</f>
        <v>OTICAS MORAES (4071)</v>
      </c>
      <c r="L381" t="str">
        <f>""</f>
        <v/>
      </c>
      <c r="M381" t="str">
        <f>""</f>
        <v/>
      </c>
      <c r="N381" t="str">
        <f>""</f>
        <v/>
      </c>
      <c r="O381" t="str">
        <f>""</f>
        <v/>
      </c>
      <c r="P381" t="str">
        <f>"RUA BARAO DO RIO BRANCO"</f>
        <v>RUA BARAO DO RIO BRANCO</v>
      </c>
      <c r="Q381" t="str">
        <f>"377"</f>
        <v>377</v>
      </c>
      <c r="R381" t="str">
        <f>"LOJA 113"</f>
        <v>LOJA 113</v>
      </c>
      <c r="S381" t="str">
        <f>"1280"</f>
        <v>1280</v>
      </c>
      <c r="T381" t="str">
        <f>"89240000"</f>
        <v>89240000</v>
      </c>
      <c r="U381" t="str">
        <f>"ACARAI"</f>
        <v>ACARAI</v>
      </c>
      <c r="V381" t="str">
        <f>"SÃO FRANCISCO DO SUL"</f>
        <v>SÃO FRANCISCO DO SUL</v>
      </c>
      <c r="W381" t="str">
        <f t="shared" si="179"/>
        <v>SC</v>
      </c>
      <c r="X381" t="str">
        <f t="shared" si="181"/>
        <v>47</v>
      </c>
      <c r="Y381" t="str">
        <f>"92638526"</f>
        <v>92638526</v>
      </c>
      <c r="Z381" t="str">
        <f>""</f>
        <v/>
      </c>
      <c r="AA381" t="str">
        <f>""</f>
        <v/>
      </c>
      <c r="AB381" t="str">
        <f>""</f>
        <v/>
      </c>
      <c r="AC381" t="str">
        <f>""</f>
        <v/>
      </c>
      <c r="AD381" t="str">
        <f>""</f>
        <v/>
      </c>
      <c r="AE381" t="str">
        <f>""</f>
        <v/>
      </c>
      <c r="AF381" t="str">
        <f>""</f>
        <v/>
      </c>
      <c r="AG381" t="str">
        <f>""</f>
        <v/>
      </c>
      <c r="AH381" t="str">
        <f>""</f>
        <v/>
      </c>
      <c r="AI381" t="str">
        <f>""</f>
        <v/>
      </c>
      <c r="AJ381" t="str">
        <f t="shared" si="182"/>
        <v>0</v>
      </c>
      <c r="AK381" t="str">
        <f t="shared" si="182"/>
        <v>0</v>
      </c>
      <c r="AL381" t="str">
        <f t="shared" si="182"/>
        <v>0</v>
      </c>
      <c r="AM381" t="str">
        <f>""</f>
        <v/>
      </c>
      <c r="AN381" t="str">
        <f>""</f>
        <v/>
      </c>
      <c r="AO381" t="str">
        <f>""</f>
        <v/>
      </c>
      <c r="AP381" t="str">
        <f>""</f>
        <v/>
      </c>
      <c r="AQ381" t="str">
        <f>""</f>
        <v/>
      </c>
      <c r="AR381" t="str">
        <f>""</f>
        <v/>
      </c>
      <c r="AS381" t="str">
        <f>""</f>
        <v/>
      </c>
      <c r="AT381" t="str">
        <f>""</f>
        <v/>
      </c>
      <c r="AU381" t="str">
        <f>""</f>
        <v/>
      </c>
      <c r="AV381" t="str">
        <f>""</f>
        <v/>
      </c>
      <c r="AW381" t="str">
        <f>""</f>
        <v/>
      </c>
      <c r="AX381" t="str">
        <f>""</f>
        <v/>
      </c>
      <c r="AY381" t="str">
        <f>""</f>
        <v/>
      </c>
      <c r="AZ381" t="str">
        <f>""</f>
        <v/>
      </c>
      <c r="BA381" t="str">
        <f>""</f>
        <v/>
      </c>
      <c r="BB381" t="str">
        <f>""</f>
        <v/>
      </c>
      <c r="BC381" t="str">
        <f>""</f>
        <v/>
      </c>
      <c r="BD381" t="str">
        <f>""</f>
        <v/>
      </c>
      <c r="BE381" t="str">
        <f>""</f>
        <v/>
      </c>
      <c r="BF381" t="str">
        <f t="shared" si="161"/>
        <v>A</v>
      </c>
      <c r="BG381" t="str">
        <f>"0,00"</f>
        <v>0,00</v>
      </c>
      <c r="BH381" t="str">
        <f>"0,00"</f>
        <v>0,00</v>
      </c>
      <c r="BI381" t="str">
        <f t="shared" si="172"/>
        <v>EVENTUAL</v>
      </c>
      <c r="BJ381" t="str">
        <f t="shared" si="162"/>
        <v>1</v>
      </c>
      <c r="BK381" t="str">
        <f t="shared" si="163"/>
        <v>Farmacia</v>
      </c>
      <c r="BL381" t="str">
        <f>""</f>
        <v/>
      </c>
      <c r="BM381" t="str">
        <f>"NÃO É VARILUX ESPECIALISTA"</f>
        <v>NÃO É VARILUX ESPECIALISTA</v>
      </c>
      <c r="BN381" t="str">
        <f>"NA"</f>
        <v>NA</v>
      </c>
      <c r="BO381" t="str">
        <f>"FOCO VARILUX"</f>
        <v>FOCO VARILUX</v>
      </c>
      <c r="BP381" t="str">
        <f>""</f>
        <v/>
      </c>
      <c r="BQ381" t="str">
        <f>""</f>
        <v/>
      </c>
      <c r="BR381" t="str">
        <f>""</f>
        <v/>
      </c>
      <c r="BS381" t="str">
        <f>""</f>
        <v/>
      </c>
      <c r="BT381" t="str">
        <f>""</f>
        <v/>
      </c>
      <c r="BU381" t="str">
        <f>""</f>
        <v/>
      </c>
      <c r="BV381" t="str">
        <f>"9"</f>
        <v>9</v>
      </c>
      <c r="BW381" t="str">
        <f t="shared" si="180"/>
        <v>Não visitado</v>
      </c>
    </row>
    <row r="382" spans="1:75" x14ac:dyDescent="0.35">
      <c r="A382">
        <v>156742</v>
      </c>
      <c r="B382" t="str">
        <f t="shared" si="155"/>
        <v>A</v>
      </c>
      <c r="C382" t="str">
        <f t="shared" si="156"/>
        <v>80</v>
      </c>
      <c r="D382" t="str">
        <f t="shared" si="157"/>
        <v>11121001</v>
      </c>
      <c r="E382" t="str">
        <f t="shared" si="158"/>
        <v>121001</v>
      </c>
      <c r="F382" t="str">
        <f t="shared" si="159"/>
        <v>JENIFER SANTOS</v>
      </c>
      <c r="G382" t="str">
        <f>"27876857000479"</f>
        <v>27876857000479</v>
      </c>
      <c r="H382" t="str">
        <f>"0"</f>
        <v>0</v>
      </c>
      <c r="I382" t="str">
        <f t="shared" si="160"/>
        <v>CONTA OPTICA</v>
      </c>
      <c r="J382" t="str">
        <f>"OTICAS MORAES E REPRESENTACOES LTDA"</f>
        <v>OTICAS MORAES E REPRESENTACOES LTDA</v>
      </c>
      <c r="K382" t="str">
        <f>"OTICAS MORAES (4682)"</f>
        <v>OTICAS MORAES (4682)</v>
      </c>
      <c r="L382" t="str">
        <f>""</f>
        <v/>
      </c>
      <c r="M382" t="str">
        <f>""</f>
        <v/>
      </c>
      <c r="N382" t="str">
        <f>"FINANCEIRO@OTICASMORAES.COM"</f>
        <v>FINANCEIRO@OTICASMORAES.COM</v>
      </c>
      <c r="O382" t="str">
        <f>""</f>
        <v/>
      </c>
      <c r="P382" t="str">
        <f>"RUA OTTO PFUETZENREUTER"</f>
        <v>RUA OTTO PFUETZENREUTER</v>
      </c>
      <c r="Q382" t="str">
        <f>"10"</f>
        <v>10</v>
      </c>
      <c r="R382" t="str">
        <f>"SALA 02"</f>
        <v>SALA 02</v>
      </c>
      <c r="S382" t="str">
        <f>"1279"</f>
        <v>1279</v>
      </c>
      <c r="T382" t="str">
        <f>"89219200"</f>
        <v>89219200</v>
      </c>
      <c r="U382" t="str">
        <f>"COSTA E SILVA"</f>
        <v>COSTA E SILVA</v>
      </c>
      <c r="V382" t="str">
        <f>"JOINVILLE"</f>
        <v>JOINVILLE</v>
      </c>
      <c r="W382" t="str">
        <f t="shared" si="179"/>
        <v>SC</v>
      </c>
      <c r="X382" t="str">
        <f t="shared" si="181"/>
        <v>47</v>
      </c>
      <c r="Y382" t="str">
        <f>"996739554"</f>
        <v>996739554</v>
      </c>
      <c r="Z382" t="str">
        <f>""</f>
        <v/>
      </c>
      <c r="AA382" t="str">
        <f>""</f>
        <v/>
      </c>
      <c r="AB382" t="str">
        <f>""</f>
        <v/>
      </c>
      <c r="AC382" t="str">
        <f>""</f>
        <v/>
      </c>
      <c r="AD382" t="str">
        <f>""</f>
        <v/>
      </c>
      <c r="AE382" t="str">
        <f>""</f>
        <v/>
      </c>
      <c r="AF382" t="str">
        <f>""</f>
        <v/>
      </c>
      <c r="AG382" t="str">
        <f>""</f>
        <v/>
      </c>
      <c r="AH382" t="str">
        <f>""</f>
        <v/>
      </c>
      <c r="AI382" t="str">
        <f>""</f>
        <v/>
      </c>
      <c r="AJ382" t="str">
        <f>""</f>
        <v/>
      </c>
      <c r="AK382" t="str">
        <f>""</f>
        <v/>
      </c>
      <c r="AL382" t="str">
        <f>""</f>
        <v/>
      </c>
      <c r="AM382" t="str">
        <f>""</f>
        <v/>
      </c>
      <c r="AN382" t="str">
        <f>""</f>
        <v/>
      </c>
      <c r="AO382" t="str">
        <f>""</f>
        <v/>
      </c>
      <c r="AP382" t="str">
        <f>""</f>
        <v/>
      </c>
      <c r="AQ382" t="str">
        <f>""</f>
        <v/>
      </c>
      <c r="AR382" t="str">
        <f>""</f>
        <v/>
      </c>
      <c r="AS382" t="str">
        <f>""</f>
        <v/>
      </c>
      <c r="AT382" t="str">
        <f>""</f>
        <v/>
      </c>
      <c r="AU382" t="str">
        <f>""</f>
        <v/>
      </c>
      <c r="AV382" t="str">
        <f>""</f>
        <v/>
      </c>
      <c r="AW382" t="str">
        <f>""</f>
        <v/>
      </c>
      <c r="AX382" t="str">
        <f>""</f>
        <v/>
      </c>
      <c r="AY382" t="str">
        <f>""</f>
        <v/>
      </c>
      <c r="AZ382" t="str">
        <f>""</f>
        <v/>
      </c>
      <c r="BA382" t="str">
        <f>""</f>
        <v/>
      </c>
      <c r="BB382" t="str">
        <f>"06/07/2023 12:07:48"</f>
        <v>06/07/2023 12:07:48</v>
      </c>
      <c r="BC382" t="str">
        <f>""</f>
        <v/>
      </c>
      <c r="BD382" t="str">
        <f>""</f>
        <v/>
      </c>
      <c r="BE382" t="str">
        <f>""</f>
        <v/>
      </c>
      <c r="BF382" t="str">
        <f t="shared" si="161"/>
        <v>A</v>
      </c>
      <c r="BG382" t="str">
        <f>""</f>
        <v/>
      </c>
      <c r="BH382" t="str">
        <f>""</f>
        <v/>
      </c>
      <c r="BI382" t="str">
        <f t="shared" si="172"/>
        <v>EVENTUAL</v>
      </c>
      <c r="BJ382" t="str">
        <f t="shared" si="162"/>
        <v>1</v>
      </c>
      <c r="BK382" t="str">
        <f t="shared" si="163"/>
        <v>Farmacia</v>
      </c>
      <c r="BL382" t="str">
        <f>""</f>
        <v/>
      </c>
      <c r="BM382" t="str">
        <f>""</f>
        <v/>
      </c>
      <c r="BN382" t="str">
        <f>""</f>
        <v/>
      </c>
      <c r="BO382" t="str">
        <f>""</f>
        <v/>
      </c>
      <c r="BP382" t="str">
        <f>""</f>
        <v/>
      </c>
      <c r="BQ382" t="str">
        <f>""</f>
        <v/>
      </c>
      <c r="BR382" t="str">
        <f>"06/07/2023"</f>
        <v>06/07/2023</v>
      </c>
      <c r="BS382" t="str">
        <f>""</f>
        <v/>
      </c>
      <c r="BT382" t="str">
        <f>""</f>
        <v/>
      </c>
      <c r="BU382" t="str">
        <f>""</f>
        <v/>
      </c>
      <c r="BV382" t="str">
        <f>""</f>
        <v/>
      </c>
      <c r="BW382" t="str">
        <f t="shared" si="180"/>
        <v>Não visitado</v>
      </c>
    </row>
    <row r="383" spans="1:75" x14ac:dyDescent="0.35">
      <c r="A383">
        <v>156741</v>
      </c>
      <c r="B383" t="str">
        <f t="shared" si="155"/>
        <v>A</v>
      </c>
      <c r="C383" t="str">
        <f t="shared" si="156"/>
        <v>80</v>
      </c>
      <c r="D383" t="str">
        <f t="shared" si="157"/>
        <v>11121001</v>
      </c>
      <c r="E383" t="str">
        <f t="shared" si="158"/>
        <v>121001</v>
      </c>
      <c r="F383" t="str">
        <f t="shared" si="159"/>
        <v>JENIFER SANTOS</v>
      </c>
      <c r="G383" t="str">
        <f>"27876857000550"</f>
        <v>27876857000550</v>
      </c>
      <c r="H383" t="str">
        <f>"0"</f>
        <v>0</v>
      </c>
      <c r="I383" t="str">
        <f t="shared" si="160"/>
        <v>CONTA OPTICA</v>
      </c>
      <c r="J383" t="str">
        <f>"OTICAS MORAES E REPRESENTACOES LTDA"</f>
        <v>OTICAS MORAES E REPRESENTACOES LTDA</v>
      </c>
      <c r="K383" t="str">
        <f>"OTICAS MORAES (4683)"</f>
        <v>OTICAS MORAES (4683)</v>
      </c>
      <c r="L383" t="str">
        <f>""</f>
        <v/>
      </c>
      <c r="M383" t="str">
        <f>""</f>
        <v/>
      </c>
      <c r="N383" t="str">
        <f>"OTICASMORAES18@GMAIL.COM"</f>
        <v>OTICASMORAES18@GMAIL.COM</v>
      </c>
      <c r="O383" t="str">
        <f>""</f>
        <v/>
      </c>
      <c r="P383" t="str">
        <f>"RUA PADRE CARLOS"</f>
        <v>RUA PADRE CARLOS</v>
      </c>
      <c r="Q383" t="str">
        <f>"143"</f>
        <v>143</v>
      </c>
      <c r="R383" t="str">
        <f>"SALA 01"</f>
        <v>SALA 01</v>
      </c>
      <c r="S383" t="str">
        <f>"1277"</f>
        <v>1277</v>
      </c>
      <c r="T383" t="str">
        <f>"89201110"</f>
        <v>89201110</v>
      </c>
      <c r="U383" t="str">
        <f>"CENTRO"</f>
        <v>CENTRO</v>
      </c>
      <c r="V383" t="str">
        <f>"JOINVILLE"</f>
        <v>JOINVILLE</v>
      </c>
      <c r="W383" t="str">
        <f t="shared" si="179"/>
        <v>SC</v>
      </c>
      <c r="X383" t="str">
        <f t="shared" si="181"/>
        <v>47</v>
      </c>
      <c r="Y383" t="str">
        <f>"996739554"</f>
        <v>996739554</v>
      </c>
      <c r="Z383" t="str">
        <f>""</f>
        <v/>
      </c>
      <c r="AA383" t="str">
        <f>""</f>
        <v/>
      </c>
      <c r="AB383" t="str">
        <f>""</f>
        <v/>
      </c>
      <c r="AC383" t="str">
        <f>""</f>
        <v/>
      </c>
      <c r="AD383" t="str">
        <f>""</f>
        <v/>
      </c>
      <c r="AE383" t="str">
        <f>""</f>
        <v/>
      </c>
      <c r="AF383" t="str">
        <f>""</f>
        <v/>
      </c>
      <c r="AG383" t="str">
        <f>""</f>
        <v/>
      </c>
      <c r="AH383" t="str">
        <f>""</f>
        <v/>
      </c>
      <c r="AI383" t="str">
        <f>""</f>
        <v/>
      </c>
      <c r="AJ383" t="str">
        <f>""</f>
        <v/>
      </c>
      <c r="AK383" t="str">
        <f>""</f>
        <v/>
      </c>
      <c r="AL383" t="str">
        <f>""</f>
        <v/>
      </c>
      <c r="AM383" t="str">
        <f>""</f>
        <v/>
      </c>
      <c r="AN383" t="str">
        <f>""</f>
        <v/>
      </c>
      <c r="AO383" t="str">
        <f>""</f>
        <v/>
      </c>
      <c r="AP383" t="str">
        <f>""</f>
        <v/>
      </c>
      <c r="AQ383" t="str">
        <f>""</f>
        <v/>
      </c>
      <c r="AR383" t="str">
        <f>""</f>
        <v/>
      </c>
      <c r="AS383" t="str">
        <f>""</f>
        <v/>
      </c>
      <c r="AT383" t="str">
        <f>""</f>
        <v/>
      </c>
      <c r="AU383" t="str">
        <f>""</f>
        <v/>
      </c>
      <c r="AV383" t="str">
        <f>""</f>
        <v/>
      </c>
      <c r="AW383" t="str">
        <f>""</f>
        <v/>
      </c>
      <c r="AX383" t="str">
        <f>""</f>
        <v/>
      </c>
      <c r="AY383" t="str">
        <f>""</f>
        <v/>
      </c>
      <c r="AZ383" t="str">
        <f>""</f>
        <v/>
      </c>
      <c r="BA383" t="str">
        <f>""</f>
        <v/>
      </c>
      <c r="BB383" t="str">
        <f>"06/07/2023 12:07:48"</f>
        <v>06/07/2023 12:07:48</v>
      </c>
      <c r="BC383" t="str">
        <f>""</f>
        <v/>
      </c>
      <c r="BD383" t="str">
        <f>""</f>
        <v/>
      </c>
      <c r="BE383" t="str">
        <f>""</f>
        <v/>
      </c>
      <c r="BF383" t="str">
        <f t="shared" si="161"/>
        <v>A</v>
      </c>
      <c r="BG383" t="str">
        <f>""</f>
        <v/>
      </c>
      <c r="BH383" t="str">
        <f>""</f>
        <v/>
      </c>
      <c r="BI383" t="str">
        <f t="shared" si="172"/>
        <v>EVENTUAL</v>
      </c>
      <c r="BJ383" t="str">
        <f t="shared" si="162"/>
        <v>1</v>
      </c>
      <c r="BK383" t="str">
        <f t="shared" si="163"/>
        <v>Farmacia</v>
      </c>
      <c r="BL383" t="str">
        <f>""</f>
        <v/>
      </c>
      <c r="BM383" t="str">
        <f>""</f>
        <v/>
      </c>
      <c r="BN383" t="str">
        <f>""</f>
        <v/>
      </c>
      <c r="BO383" t="str">
        <f>""</f>
        <v/>
      </c>
      <c r="BP383" t="str">
        <f>""</f>
        <v/>
      </c>
      <c r="BQ383" t="str">
        <f>""</f>
        <v/>
      </c>
      <c r="BR383" t="str">
        <f>"06/07/2023"</f>
        <v>06/07/2023</v>
      </c>
      <c r="BS383" t="str">
        <f>""</f>
        <v/>
      </c>
      <c r="BT383" t="str">
        <f>""</f>
        <v/>
      </c>
      <c r="BU383" t="str">
        <f>""</f>
        <v/>
      </c>
      <c r="BV383" t="str">
        <f>""</f>
        <v/>
      </c>
      <c r="BW383" t="str">
        <f t="shared" si="180"/>
        <v>Não visitado</v>
      </c>
    </row>
    <row r="384" spans="1:75" x14ac:dyDescent="0.35">
      <c r="A384">
        <v>144594</v>
      </c>
      <c r="B384" t="str">
        <f t="shared" si="155"/>
        <v>A</v>
      </c>
      <c r="C384" t="str">
        <f t="shared" si="156"/>
        <v>80</v>
      </c>
      <c r="D384" t="str">
        <f t="shared" si="157"/>
        <v>11121001</v>
      </c>
      <c r="E384" t="str">
        <f t="shared" si="158"/>
        <v>121001</v>
      </c>
      <c r="F384" t="str">
        <f t="shared" si="159"/>
        <v>JENIFER SANTOS</v>
      </c>
      <c r="G384" t="str">
        <f>"26289134000320"</f>
        <v>26289134000320</v>
      </c>
      <c r="H384" t="str">
        <f>""</f>
        <v/>
      </c>
      <c r="I384" t="str">
        <f t="shared" si="160"/>
        <v>CONTA OPTICA</v>
      </c>
      <c r="J384" t="str">
        <f>"OTICAS SHARK EIRELI - EPP"</f>
        <v>OTICAS SHARK EIRELI - EPP</v>
      </c>
      <c r="K384" t="str">
        <f>"MERCADAO DOS OCULOS (3789)"</f>
        <v>MERCADAO DOS OCULOS (3789)</v>
      </c>
      <c r="L384" t="str">
        <f>""</f>
        <v/>
      </c>
      <c r="M384" t="str">
        <f>""</f>
        <v/>
      </c>
      <c r="N384" t="str">
        <f>"sc-joinville@mercadaodosoculos.com.br"</f>
        <v>sc-joinville@mercadaodosoculos.com.br</v>
      </c>
      <c r="O384" t="str">
        <f>""</f>
        <v/>
      </c>
      <c r="P384" t="str">
        <f>"RUA JERONIMO COELHO"</f>
        <v>RUA JERONIMO COELHO</v>
      </c>
      <c r="Q384" t="str">
        <f>"27"</f>
        <v>27</v>
      </c>
      <c r="R384" t="str">
        <f>"SALA 6"</f>
        <v>SALA 6</v>
      </c>
      <c r="S384" t="str">
        <f>"1277"</f>
        <v>1277</v>
      </c>
      <c r="T384" t="str">
        <f>"89201050"</f>
        <v>89201050</v>
      </c>
      <c r="U384" t="str">
        <f>"CENTRO"</f>
        <v>CENTRO</v>
      </c>
      <c r="V384" t="str">
        <f>"JOINVILLE"</f>
        <v>JOINVILLE</v>
      </c>
      <c r="W384" t="str">
        <f t="shared" si="179"/>
        <v>SC</v>
      </c>
      <c r="X384" t="str">
        <f t="shared" si="181"/>
        <v>47</v>
      </c>
      <c r="Y384" t="str">
        <f>"30313088"</f>
        <v>30313088</v>
      </c>
      <c r="Z384" t="str">
        <f>""</f>
        <v/>
      </c>
      <c r="AA384" t="str">
        <f>""</f>
        <v/>
      </c>
      <c r="AB384" t="str">
        <f>""</f>
        <v/>
      </c>
      <c r="AC384" t="str">
        <f>""</f>
        <v/>
      </c>
      <c r="AD384" t="str">
        <f>""</f>
        <v/>
      </c>
      <c r="AE384" t="str">
        <f>""</f>
        <v/>
      </c>
      <c r="AF384" t="str">
        <f>""</f>
        <v/>
      </c>
      <c r="AG384" t="str">
        <f>""</f>
        <v/>
      </c>
      <c r="AH384" t="str">
        <f>""</f>
        <v/>
      </c>
      <c r="AI384" t="str">
        <f>""</f>
        <v/>
      </c>
      <c r="AJ384" t="str">
        <f t="shared" ref="AJ384:AL385" si="183">"0"</f>
        <v>0</v>
      </c>
      <c r="AK384" t="str">
        <f t="shared" si="183"/>
        <v>0</v>
      </c>
      <c r="AL384" t="str">
        <f t="shared" si="183"/>
        <v>0</v>
      </c>
      <c r="AM384" t="str">
        <f>""</f>
        <v/>
      </c>
      <c r="AN384" t="str">
        <f>""</f>
        <v/>
      </c>
      <c r="AO384" t="str">
        <f>""</f>
        <v/>
      </c>
      <c r="AP384" t="str">
        <f>""</f>
        <v/>
      </c>
      <c r="AQ384" t="str">
        <f>""</f>
        <v/>
      </c>
      <c r="AR384" t="str">
        <f>""</f>
        <v/>
      </c>
      <c r="AS384" t="str">
        <f>""</f>
        <v/>
      </c>
      <c r="AT384" t="str">
        <f>""</f>
        <v/>
      </c>
      <c r="AU384" t="str">
        <f>""</f>
        <v/>
      </c>
      <c r="AV384" t="str">
        <f>""</f>
        <v/>
      </c>
      <c r="AW384" t="str">
        <f>""</f>
        <v/>
      </c>
      <c r="AX384" t="str">
        <f>""</f>
        <v/>
      </c>
      <c r="AY384" t="str">
        <f>""</f>
        <v/>
      </c>
      <c r="AZ384" t="str">
        <f>""</f>
        <v/>
      </c>
      <c r="BA384" t="str">
        <f>""</f>
        <v/>
      </c>
      <c r="BB384" t="str">
        <f>""</f>
        <v/>
      </c>
      <c r="BC384" t="str">
        <f>""</f>
        <v/>
      </c>
      <c r="BD384" t="str">
        <f>""</f>
        <v/>
      </c>
      <c r="BE384" t="str">
        <f>""</f>
        <v/>
      </c>
      <c r="BF384" t="str">
        <f t="shared" si="161"/>
        <v>A</v>
      </c>
      <c r="BG384" t="str">
        <f>"0,00"</f>
        <v>0,00</v>
      </c>
      <c r="BH384" t="str">
        <f>"0,00"</f>
        <v>0,00</v>
      </c>
      <c r="BI384" t="str">
        <f t="shared" si="172"/>
        <v>EVENTUAL</v>
      </c>
      <c r="BJ384" t="str">
        <f t="shared" si="162"/>
        <v>1</v>
      </c>
      <c r="BK384" t="str">
        <f t="shared" si="163"/>
        <v>Farmacia</v>
      </c>
      <c r="BL384" t="str">
        <f>""</f>
        <v/>
      </c>
      <c r="BM384" t="str">
        <f>"NÃO É VARILUX ESPECIALISTA"</f>
        <v>NÃO É VARILUX ESPECIALISTA</v>
      </c>
      <c r="BN384" t="str">
        <f>"NA"</f>
        <v>NA</v>
      </c>
      <c r="BO384" t="str">
        <f>"OUTROS"</f>
        <v>OUTROS</v>
      </c>
      <c r="BP384" t="str">
        <f>""</f>
        <v/>
      </c>
      <c r="BQ384" t="str">
        <f>""</f>
        <v/>
      </c>
      <c r="BR384" t="str">
        <f>""</f>
        <v/>
      </c>
      <c r="BS384" t="str">
        <f>""</f>
        <v/>
      </c>
      <c r="BT384" t="str">
        <f>""</f>
        <v/>
      </c>
      <c r="BU384" t="str">
        <f>""</f>
        <v/>
      </c>
      <c r="BV384" t="str">
        <f>"6"</f>
        <v>6</v>
      </c>
      <c r="BW384" t="str">
        <f t="shared" si="180"/>
        <v>Não visitado</v>
      </c>
    </row>
    <row r="385" spans="1:75" x14ac:dyDescent="0.35">
      <c r="A385">
        <v>144455</v>
      </c>
      <c r="B385" t="str">
        <f t="shared" si="155"/>
        <v>A</v>
      </c>
      <c r="C385" t="str">
        <f t="shared" si="156"/>
        <v>80</v>
      </c>
      <c r="D385" t="str">
        <f t="shared" si="157"/>
        <v>11121001</v>
      </c>
      <c r="E385" t="str">
        <f t="shared" si="158"/>
        <v>121001</v>
      </c>
      <c r="F385" t="str">
        <f t="shared" si="159"/>
        <v>JENIFER SANTOS</v>
      </c>
      <c r="G385" t="str">
        <f>"25199970000199"</f>
        <v>25199970000199</v>
      </c>
      <c r="H385" t="str">
        <f>""</f>
        <v/>
      </c>
      <c r="I385" t="str">
        <f t="shared" si="160"/>
        <v>CONTA OPTICA</v>
      </c>
      <c r="J385" t="str">
        <f>"OTTICA NICKE COMERCIO DE ARTIGOS OPTICOS LTDA"</f>
        <v>OTTICA NICKE COMERCIO DE ARTIGOS OPTICOS LTDA</v>
      </c>
      <c r="K385" t="str">
        <f>"OTTICA NICKE (3336)"</f>
        <v>OTTICA NICKE (3336)</v>
      </c>
      <c r="L385" t="str">
        <f>""</f>
        <v/>
      </c>
      <c r="M385" t="str">
        <f>""</f>
        <v/>
      </c>
      <c r="N385" t="str">
        <f>"ottica.nicke@gmail.com"</f>
        <v>ottica.nicke@gmail.com</v>
      </c>
      <c r="O385" t="str">
        <f>""</f>
        <v/>
      </c>
      <c r="P385" t="str">
        <f>"RUA DO PRINCIPE"</f>
        <v>RUA DO PRINCIPE</v>
      </c>
      <c r="Q385" t="str">
        <f>"641"</f>
        <v>641</v>
      </c>
      <c r="R385" t="str">
        <f>""</f>
        <v/>
      </c>
      <c r="S385" t="str">
        <f>"1277"</f>
        <v>1277</v>
      </c>
      <c r="T385" t="str">
        <f>"89201003"</f>
        <v>89201003</v>
      </c>
      <c r="U385" t="str">
        <f>"CENTRO"</f>
        <v>CENTRO</v>
      </c>
      <c r="V385" t="str">
        <f>"JOINVILLE"</f>
        <v>JOINVILLE</v>
      </c>
      <c r="W385" t="str">
        <f t="shared" si="179"/>
        <v>SC</v>
      </c>
      <c r="X385" t="str">
        <f t="shared" si="181"/>
        <v>47</v>
      </c>
      <c r="Y385" t="str">
        <f>"34226046"</f>
        <v>34226046</v>
      </c>
      <c r="Z385" t="str">
        <f>""</f>
        <v/>
      </c>
      <c r="AA385" t="str">
        <f>""</f>
        <v/>
      </c>
      <c r="AB385" t="str">
        <f>""</f>
        <v/>
      </c>
      <c r="AC385" t="str">
        <f>""</f>
        <v/>
      </c>
      <c r="AD385" t="str">
        <f>""</f>
        <v/>
      </c>
      <c r="AE385" t="str">
        <f>""</f>
        <v/>
      </c>
      <c r="AF385" t="str">
        <f>""</f>
        <v/>
      </c>
      <c r="AG385" t="str">
        <f>""</f>
        <v/>
      </c>
      <c r="AH385" t="str">
        <f>""</f>
        <v/>
      </c>
      <c r="AI385" t="str">
        <f>""</f>
        <v/>
      </c>
      <c r="AJ385" t="str">
        <f t="shared" si="183"/>
        <v>0</v>
      </c>
      <c r="AK385" t="str">
        <f t="shared" si="183"/>
        <v>0</v>
      </c>
      <c r="AL385" t="str">
        <f t="shared" si="183"/>
        <v>0</v>
      </c>
      <c r="AM385" t="str">
        <f>""</f>
        <v/>
      </c>
      <c r="AN385" t="str">
        <f>""</f>
        <v/>
      </c>
      <c r="AO385" t="str">
        <f>""</f>
        <v/>
      </c>
      <c r="AP385" t="str">
        <f>""</f>
        <v/>
      </c>
      <c r="AQ385" t="str">
        <f>""</f>
        <v/>
      </c>
      <c r="AR385" t="str">
        <f>""</f>
        <v/>
      </c>
      <c r="AS385" t="str">
        <f>""</f>
        <v/>
      </c>
      <c r="AT385" t="str">
        <f>""</f>
        <v/>
      </c>
      <c r="AU385" t="str">
        <f>""</f>
        <v/>
      </c>
      <c r="AV385" t="str">
        <f>""</f>
        <v/>
      </c>
      <c r="AW385" t="str">
        <f>""</f>
        <v/>
      </c>
      <c r="AX385" t="str">
        <f>""</f>
        <v/>
      </c>
      <c r="AY385" t="str">
        <f>""</f>
        <v/>
      </c>
      <c r="AZ385" t="str">
        <f>""</f>
        <v/>
      </c>
      <c r="BA385" t="str">
        <f>""</f>
        <v/>
      </c>
      <c r="BB385" t="str">
        <f>""</f>
        <v/>
      </c>
      <c r="BC385" t="str">
        <f>""</f>
        <v/>
      </c>
      <c r="BD385" t="str">
        <f>""</f>
        <v/>
      </c>
      <c r="BE385" t="str">
        <f>""</f>
        <v/>
      </c>
      <c r="BF385" t="str">
        <f t="shared" si="161"/>
        <v>A</v>
      </c>
      <c r="BG385" t="str">
        <f>"0,00"</f>
        <v>0,00</v>
      </c>
      <c r="BH385" t="str">
        <f>"0,00"</f>
        <v>0,00</v>
      </c>
      <c r="BI385" t="str">
        <f t="shared" si="172"/>
        <v>EVENTUAL</v>
      </c>
      <c r="BJ385" t="str">
        <f t="shared" si="162"/>
        <v>1</v>
      </c>
      <c r="BK385" t="str">
        <f t="shared" si="163"/>
        <v>Farmacia</v>
      </c>
      <c r="BL385" t="str">
        <f>""</f>
        <v/>
      </c>
      <c r="BM385" t="str">
        <f>"VARILUX ESPECIALISTA PLATINE"</f>
        <v>VARILUX ESPECIALISTA PLATINE</v>
      </c>
      <c r="BN385" t="str">
        <f>"NA"</f>
        <v>NA</v>
      </c>
      <c r="BO385" t="str">
        <f>"FOCO VARILUX DIGITAL"</f>
        <v>FOCO VARILUX DIGITAL</v>
      </c>
      <c r="BP385" t="str">
        <f>""</f>
        <v/>
      </c>
      <c r="BQ385" t="str">
        <f>""</f>
        <v/>
      </c>
      <c r="BR385" t="str">
        <f>""</f>
        <v/>
      </c>
      <c r="BS385" t="str">
        <f>""</f>
        <v/>
      </c>
      <c r="BT385" t="str">
        <f>""</f>
        <v/>
      </c>
      <c r="BU385" t="str">
        <f>""</f>
        <v/>
      </c>
      <c r="BV385" t="str">
        <f>"1"</f>
        <v>1</v>
      </c>
      <c r="BW385" t="str">
        <f>"182"</f>
        <v>182</v>
      </c>
    </row>
    <row r="386" spans="1:75" x14ac:dyDescent="0.35">
      <c r="A386">
        <v>156726</v>
      </c>
      <c r="B386" t="str">
        <f t="shared" ref="B386:B449" si="184">"A"</f>
        <v>A</v>
      </c>
      <c r="C386" t="str">
        <f t="shared" ref="C386:C449" si="185">"80"</f>
        <v>80</v>
      </c>
      <c r="D386" t="str">
        <f t="shared" ref="D386:D449" si="186">"11121001"</f>
        <v>11121001</v>
      </c>
      <c r="E386" t="str">
        <f t="shared" ref="E386:E449" si="187">"121001"</f>
        <v>121001</v>
      </c>
      <c r="F386" t="str">
        <f t="shared" ref="F386:F449" si="188">"JENIFER SANTOS"</f>
        <v>JENIFER SANTOS</v>
      </c>
      <c r="G386" t="str">
        <f>"41319103000104"</f>
        <v>41319103000104</v>
      </c>
      <c r="H386" t="str">
        <f t="shared" ref="H386:H394" si="189">"0"</f>
        <v>0</v>
      </c>
      <c r="I386" t="str">
        <f t="shared" ref="I386:I449" si="190">"CONTA OPTICA"</f>
        <v>CONTA OPTICA</v>
      </c>
      <c r="J386" t="str">
        <f>"OURO VERDE OTICAS LTDA"</f>
        <v>OURO VERDE OTICAS LTDA</v>
      </c>
      <c r="K386" t="str">
        <f>"OTICAS CAROL (4353)"</f>
        <v>OTICAS CAROL (4353)</v>
      </c>
      <c r="L386" t="str">
        <f>""</f>
        <v/>
      </c>
      <c r="M386" t="str">
        <f>""</f>
        <v/>
      </c>
      <c r="N386" t="str">
        <f>"NATAL.SIQUEIRA@OTICASCAROL.COM.BR"</f>
        <v>NATAL.SIQUEIRA@OTICASCAROL.COM.BR</v>
      </c>
      <c r="O386" t="str">
        <f>""</f>
        <v/>
      </c>
      <c r="P386" t="str">
        <f>"SALOMAO CARNEIRO DE ALMEIDA"</f>
        <v>SALOMAO CARNEIRO DE ALMEIDA</v>
      </c>
      <c r="Q386" t="str">
        <f>"49"</f>
        <v>49</v>
      </c>
      <c r="R386" t="str">
        <f>"LOJA 03"</f>
        <v>LOJA 03</v>
      </c>
      <c r="S386" t="str">
        <f>"1284"</f>
        <v>1284</v>
      </c>
      <c r="T386" t="str">
        <f>"89520000"</f>
        <v>89520000</v>
      </c>
      <c r="U386" t="str">
        <f>"CENTRO"</f>
        <v>CENTRO</v>
      </c>
      <c r="V386" t="str">
        <f>"CURITIBANOS"</f>
        <v>CURITIBANOS</v>
      </c>
      <c r="W386" t="str">
        <f t="shared" si="179"/>
        <v>SC</v>
      </c>
      <c r="X386" t="str">
        <f>"49"</f>
        <v>49</v>
      </c>
      <c r="Y386" t="str">
        <f>"999377992"</f>
        <v>999377992</v>
      </c>
      <c r="Z386" t="str">
        <f>""</f>
        <v/>
      </c>
      <c r="AA386" t="str">
        <f>""</f>
        <v/>
      </c>
      <c r="AB386" t="str">
        <f>""</f>
        <v/>
      </c>
      <c r="AC386" t="str">
        <f>""</f>
        <v/>
      </c>
      <c r="AD386" t="str">
        <f>""</f>
        <v/>
      </c>
      <c r="AE386" t="str">
        <f>""</f>
        <v/>
      </c>
      <c r="AF386" t="str">
        <f>""</f>
        <v/>
      </c>
      <c r="AG386" t="str">
        <f>""</f>
        <v/>
      </c>
      <c r="AH386" t="str">
        <f>""</f>
        <v/>
      </c>
      <c r="AI386" t="str">
        <f>""</f>
        <v/>
      </c>
      <c r="AJ386" t="str">
        <f>""</f>
        <v/>
      </c>
      <c r="AK386" t="str">
        <f>""</f>
        <v/>
      </c>
      <c r="AL386" t="str">
        <f>""</f>
        <v/>
      </c>
      <c r="AM386" t="str">
        <f>""</f>
        <v/>
      </c>
      <c r="AN386" t="str">
        <f>""</f>
        <v/>
      </c>
      <c r="AO386" t="str">
        <f>""</f>
        <v/>
      </c>
      <c r="AP386" t="str">
        <f>""</f>
        <v/>
      </c>
      <c r="AQ386" t="str">
        <f>""</f>
        <v/>
      </c>
      <c r="AR386" t="str">
        <f>""</f>
        <v/>
      </c>
      <c r="AS386" t="str">
        <f>""</f>
        <v/>
      </c>
      <c r="AT386" t="str">
        <f>""</f>
        <v/>
      </c>
      <c r="AU386" t="str">
        <f>""</f>
        <v/>
      </c>
      <c r="AV386" t="str">
        <f>""</f>
        <v/>
      </c>
      <c r="AW386" t="str">
        <f>""</f>
        <v/>
      </c>
      <c r="AX386" t="str">
        <f>""</f>
        <v/>
      </c>
      <c r="AY386" t="str">
        <f>""</f>
        <v/>
      </c>
      <c r="AZ386" t="str">
        <f>""</f>
        <v/>
      </c>
      <c r="BA386" t="str">
        <f>""</f>
        <v/>
      </c>
      <c r="BB386" t="str">
        <f>"06/07/2023 12:07:48"</f>
        <v>06/07/2023 12:07:48</v>
      </c>
      <c r="BC386" t="str">
        <f>""</f>
        <v/>
      </c>
      <c r="BD386" t="str">
        <f>""</f>
        <v/>
      </c>
      <c r="BE386" t="str">
        <f>""</f>
        <v/>
      </c>
      <c r="BF386" t="str">
        <f t="shared" ref="BF386:BF449" si="191">"A"</f>
        <v>A</v>
      </c>
      <c r="BG386" t="str">
        <f>""</f>
        <v/>
      </c>
      <c r="BH386" t="str">
        <f>""</f>
        <v/>
      </c>
      <c r="BI386" t="str">
        <f t="shared" si="172"/>
        <v>EVENTUAL</v>
      </c>
      <c r="BJ386" t="str">
        <f t="shared" ref="BJ386:BJ449" si="192">"1"</f>
        <v>1</v>
      </c>
      <c r="BK386" t="str">
        <f t="shared" ref="BK386:BK449" si="193">"Farmacia"</f>
        <v>Farmacia</v>
      </c>
      <c r="BL386" t="str">
        <f>""</f>
        <v/>
      </c>
      <c r="BM386" t="str">
        <f>""</f>
        <v/>
      </c>
      <c r="BN386" t="str">
        <f>""</f>
        <v/>
      </c>
      <c r="BO386" t="str">
        <f>""</f>
        <v/>
      </c>
      <c r="BP386" t="str">
        <f>""</f>
        <v/>
      </c>
      <c r="BQ386" t="str">
        <f>""</f>
        <v/>
      </c>
      <c r="BR386" t="str">
        <f>"06/07/2023"</f>
        <v>06/07/2023</v>
      </c>
      <c r="BS386" t="str">
        <f>""</f>
        <v/>
      </c>
      <c r="BT386" t="str">
        <f>""</f>
        <v/>
      </c>
      <c r="BU386" t="str">
        <f>""</f>
        <v/>
      </c>
      <c r="BV386" t="str">
        <f>""</f>
        <v/>
      </c>
      <c r="BW386" t="str">
        <f>"15"</f>
        <v>15</v>
      </c>
    </row>
    <row r="387" spans="1:75" x14ac:dyDescent="0.35">
      <c r="A387">
        <v>156757</v>
      </c>
      <c r="B387" t="str">
        <f t="shared" si="184"/>
        <v>A</v>
      </c>
      <c r="C387" t="str">
        <f t="shared" si="185"/>
        <v>80</v>
      </c>
      <c r="D387" t="str">
        <f t="shared" si="186"/>
        <v>11121001</v>
      </c>
      <c r="E387" t="str">
        <f t="shared" si="187"/>
        <v>121001</v>
      </c>
      <c r="F387" t="str">
        <f t="shared" si="188"/>
        <v>JENIFER SANTOS</v>
      </c>
      <c r="G387" t="str">
        <f>"45255246000223"</f>
        <v>45255246000223</v>
      </c>
      <c r="H387" t="str">
        <f t="shared" si="189"/>
        <v>0</v>
      </c>
      <c r="I387" t="str">
        <f t="shared" si="190"/>
        <v>CONTA OPTICA</v>
      </c>
      <c r="J387" t="str">
        <f>"P. FERRONATTO LTDA"</f>
        <v>P. FERRONATTO LTDA</v>
      </c>
      <c r="K387" t="str">
        <f>"CHILLI BEANS (4503)"</f>
        <v>CHILLI BEANS (4503)</v>
      </c>
      <c r="L387" t="str">
        <f>""</f>
        <v/>
      </c>
      <c r="M387" t="str">
        <f>""</f>
        <v/>
      </c>
      <c r="N387" t="str">
        <f>"ADM.FERRONATTOEPAZA@GMAIL.COM"</f>
        <v>ADM.FERRONATTOEPAZA@GMAIL.COM</v>
      </c>
      <c r="O387" t="str">
        <f>""</f>
        <v/>
      </c>
      <c r="P387" t="str">
        <f>"RUA ROLF WIEST"</f>
        <v>RUA ROLF WIEST</v>
      </c>
      <c r="Q387" t="str">
        <f>"333"</f>
        <v>333</v>
      </c>
      <c r="R387" t="str">
        <f>"LOJA 30"</f>
        <v>LOJA 30</v>
      </c>
      <c r="S387" t="str">
        <f>"1279"</f>
        <v>1279</v>
      </c>
      <c r="T387" t="str">
        <f>"89223005"</f>
        <v>89223005</v>
      </c>
      <c r="U387" t="str">
        <f>"BOM RETIRO"</f>
        <v>BOM RETIRO</v>
      </c>
      <c r="V387" t="str">
        <f>"JOINVILLE"</f>
        <v>JOINVILLE</v>
      </c>
      <c r="W387" t="str">
        <f t="shared" si="179"/>
        <v>SC</v>
      </c>
      <c r="X387" t="str">
        <f>"42"</f>
        <v>42</v>
      </c>
      <c r="Y387" t="str">
        <f>"998585101"</f>
        <v>998585101</v>
      </c>
      <c r="Z387" t="str">
        <f>""</f>
        <v/>
      </c>
      <c r="AA387" t="str">
        <f>""</f>
        <v/>
      </c>
      <c r="AB387" t="str">
        <f>""</f>
        <v/>
      </c>
      <c r="AC387" t="str">
        <f>""</f>
        <v/>
      </c>
      <c r="AD387" t="str">
        <f>""</f>
        <v/>
      </c>
      <c r="AE387" t="str">
        <f>""</f>
        <v/>
      </c>
      <c r="AF387" t="str">
        <f>""</f>
        <v/>
      </c>
      <c r="AG387" t="str">
        <f>""</f>
        <v/>
      </c>
      <c r="AH387" t="str">
        <f>""</f>
        <v/>
      </c>
      <c r="AI387" t="str">
        <f>""</f>
        <v/>
      </c>
      <c r="AJ387" t="str">
        <f>""</f>
        <v/>
      </c>
      <c r="AK387" t="str">
        <f>""</f>
        <v/>
      </c>
      <c r="AL387" t="str">
        <f>""</f>
        <v/>
      </c>
      <c r="AM387" t="str">
        <f>""</f>
        <v/>
      </c>
      <c r="AN387" t="str">
        <f>""</f>
        <v/>
      </c>
      <c r="AO387" t="str">
        <f>""</f>
        <v/>
      </c>
      <c r="AP387" t="str">
        <f>""</f>
        <v/>
      </c>
      <c r="AQ387" t="str">
        <f>""</f>
        <v/>
      </c>
      <c r="AR387" t="str">
        <f>""</f>
        <v/>
      </c>
      <c r="AS387" t="str">
        <f>""</f>
        <v/>
      </c>
      <c r="AT387" t="str">
        <f>""</f>
        <v/>
      </c>
      <c r="AU387" t="str">
        <f>""</f>
        <v/>
      </c>
      <c r="AV387" t="str">
        <f>""</f>
        <v/>
      </c>
      <c r="AW387" t="str">
        <f>""</f>
        <v/>
      </c>
      <c r="AX387" t="str">
        <f>""</f>
        <v/>
      </c>
      <c r="AY387" t="str">
        <f>""</f>
        <v/>
      </c>
      <c r="AZ387" t="str">
        <f>""</f>
        <v/>
      </c>
      <c r="BA387" t="str">
        <f>""</f>
        <v/>
      </c>
      <c r="BB387" t="str">
        <f>"06/07/2023 12:07:48"</f>
        <v>06/07/2023 12:07:48</v>
      </c>
      <c r="BC387" t="str">
        <f>""</f>
        <v/>
      </c>
      <c r="BD387" t="str">
        <f>""</f>
        <v/>
      </c>
      <c r="BE387" t="str">
        <f>""</f>
        <v/>
      </c>
      <c r="BF387" t="str">
        <f t="shared" si="191"/>
        <v>A</v>
      </c>
      <c r="BG387" t="str">
        <f>""</f>
        <v/>
      </c>
      <c r="BH387" t="str">
        <f>""</f>
        <v/>
      </c>
      <c r="BI387" t="str">
        <f t="shared" si="172"/>
        <v>EVENTUAL</v>
      </c>
      <c r="BJ387" t="str">
        <f t="shared" si="192"/>
        <v>1</v>
      </c>
      <c r="BK387" t="str">
        <f t="shared" si="193"/>
        <v>Farmacia</v>
      </c>
      <c r="BL387" t="str">
        <f>""</f>
        <v/>
      </c>
      <c r="BM387" t="str">
        <f>""</f>
        <v/>
      </c>
      <c r="BN387" t="str">
        <f>""</f>
        <v/>
      </c>
      <c r="BO387" t="str">
        <f>""</f>
        <v/>
      </c>
      <c r="BP387" t="str">
        <f>""</f>
        <v/>
      </c>
      <c r="BQ387" t="str">
        <f>""</f>
        <v/>
      </c>
      <c r="BR387" t="str">
        <f>"06/07/2023"</f>
        <v>06/07/2023</v>
      </c>
      <c r="BS387" t="str">
        <f>""</f>
        <v/>
      </c>
      <c r="BT387" t="str">
        <f>""</f>
        <v/>
      </c>
      <c r="BU387" t="str">
        <f>""</f>
        <v/>
      </c>
      <c r="BV387" t="str">
        <f>""</f>
        <v/>
      </c>
      <c r="BW387" t="str">
        <f>"Não visitado"</f>
        <v>Não visitado</v>
      </c>
    </row>
    <row r="388" spans="1:75" x14ac:dyDescent="0.35">
      <c r="A388">
        <v>156758</v>
      </c>
      <c r="B388" t="str">
        <f t="shared" si="184"/>
        <v>A</v>
      </c>
      <c r="C388" t="str">
        <f t="shared" si="185"/>
        <v>80</v>
      </c>
      <c r="D388" t="str">
        <f t="shared" si="186"/>
        <v>11121001</v>
      </c>
      <c r="E388" t="str">
        <f t="shared" si="187"/>
        <v>121001</v>
      </c>
      <c r="F388" t="str">
        <f t="shared" si="188"/>
        <v>JENIFER SANTOS</v>
      </c>
      <c r="G388" t="str">
        <f>"45255246000142"</f>
        <v>45255246000142</v>
      </c>
      <c r="H388" t="str">
        <f t="shared" si="189"/>
        <v>0</v>
      </c>
      <c r="I388" t="str">
        <f t="shared" si="190"/>
        <v>CONTA OPTICA</v>
      </c>
      <c r="J388" t="str">
        <f>"P. FERRONATTO LTDA"</f>
        <v>P. FERRONATTO LTDA</v>
      </c>
      <c r="K388" t="str">
        <f>"CHILLI BEANS (4502)"</f>
        <v>CHILLI BEANS (4502)</v>
      </c>
      <c r="L388" t="str">
        <f>""</f>
        <v/>
      </c>
      <c r="M388" t="str">
        <f>""</f>
        <v/>
      </c>
      <c r="N388" t="str">
        <f>"ADM.FERRONATTOEPAZA@GMAIL.COM"</f>
        <v>ADM.FERRONATTOEPAZA@GMAIL.COM</v>
      </c>
      <c r="O388" t="str">
        <f>""</f>
        <v/>
      </c>
      <c r="P388" t="str">
        <f>"RUA VISCONDE DE TAUNAY"</f>
        <v>RUA VISCONDE DE TAUNAY</v>
      </c>
      <c r="Q388" t="str">
        <f>"235"</f>
        <v>235</v>
      </c>
      <c r="R388" t="str">
        <f>"QUIOSQ08"</f>
        <v>QUIOSQ08</v>
      </c>
      <c r="S388" t="str">
        <f>"1277"</f>
        <v>1277</v>
      </c>
      <c r="T388" t="str">
        <f>"89201908"</f>
        <v>89201908</v>
      </c>
      <c r="U388" t="str">
        <f>"CENTRO"</f>
        <v>CENTRO</v>
      </c>
      <c r="V388" t="str">
        <f>"JOINVILLE"</f>
        <v>JOINVILLE</v>
      </c>
      <c r="W388" t="str">
        <f t="shared" si="179"/>
        <v>SC</v>
      </c>
      <c r="X388" t="str">
        <f>"42"</f>
        <v>42</v>
      </c>
      <c r="Y388" t="str">
        <f>"998585101"</f>
        <v>998585101</v>
      </c>
      <c r="Z388" t="str">
        <f>""</f>
        <v/>
      </c>
      <c r="AA388" t="str">
        <f>""</f>
        <v/>
      </c>
      <c r="AB388" t="str">
        <f>""</f>
        <v/>
      </c>
      <c r="AC388" t="str">
        <f>""</f>
        <v/>
      </c>
      <c r="AD388" t="str">
        <f>""</f>
        <v/>
      </c>
      <c r="AE388" t="str">
        <f>""</f>
        <v/>
      </c>
      <c r="AF388" t="str">
        <f>""</f>
        <v/>
      </c>
      <c r="AG388" t="str">
        <f>""</f>
        <v/>
      </c>
      <c r="AH388" t="str">
        <f>""</f>
        <v/>
      </c>
      <c r="AI388" t="str">
        <f>""</f>
        <v/>
      </c>
      <c r="AJ388" t="str">
        <f>""</f>
        <v/>
      </c>
      <c r="AK388" t="str">
        <f>""</f>
        <v/>
      </c>
      <c r="AL388" t="str">
        <f>""</f>
        <v/>
      </c>
      <c r="AM388" t="str">
        <f>""</f>
        <v/>
      </c>
      <c r="AN388" t="str">
        <f>""</f>
        <v/>
      </c>
      <c r="AO388" t="str">
        <f>""</f>
        <v/>
      </c>
      <c r="AP388" t="str">
        <f>""</f>
        <v/>
      </c>
      <c r="AQ388" t="str">
        <f>""</f>
        <v/>
      </c>
      <c r="AR388" t="str">
        <f>""</f>
        <v/>
      </c>
      <c r="AS388" t="str">
        <f>""</f>
        <v/>
      </c>
      <c r="AT388" t="str">
        <f>""</f>
        <v/>
      </c>
      <c r="AU388" t="str">
        <f>""</f>
        <v/>
      </c>
      <c r="AV388" t="str">
        <f>""</f>
        <v/>
      </c>
      <c r="AW388" t="str">
        <f>""</f>
        <v/>
      </c>
      <c r="AX388" t="str">
        <f>""</f>
        <v/>
      </c>
      <c r="AY388" t="str">
        <f>""</f>
        <v/>
      </c>
      <c r="AZ388" t="str">
        <f>""</f>
        <v/>
      </c>
      <c r="BA388" t="str">
        <f>""</f>
        <v/>
      </c>
      <c r="BB388" t="str">
        <f>"06/07/2023 12:07:48"</f>
        <v>06/07/2023 12:07:48</v>
      </c>
      <c r="BC388" t="str">
        <f>""</f>
        <v/>
      </c>
      <c r="BD388" t="str">
        <f>""</f>
        <v/>
      </c>
      <c r="BE388" t="str">
        <f>""</f>
        <v/>
      </c>
      <c r="BF388" t="str">
        <f t="shared" si="191"/>
        <v>A</v>
      </c>
      <c r="BG388" t="str">
        <f>""</f>
        <v/>
      </c>
      <c r="BH388" t="str">
        <f>""</f>
        <v/>
      </c>
      <c r="BI388" t="str">
        <f t="shared" si="172"/>
        <v>EVENTUAL</v>
      </c>
      <c r="BJ388" t="str">
        <f t="shared" si="192"/>
        <v>1</v>
      </c>
      <c r="BK388" t="str">
        <f t="shared" si="193"/>
        <v>Farmacia</v>
      </c>
      <c r="BL388" t="str">
        <f>""</f>
        <v/>
      </c>
      <c r="BM388" t="str">
        <f>""</f>
        <v/>
      </c>
      <c r="BN388" t="str">
        <f>""</f>
        <v/>
      </c>
      <c r="BO388" t="str">
        <f>""</f>
        <v/>
      </c>
      <c r="BP388" t="str">
        <f>""</f>
        <v/>
      </c>
      <c r="BQ388" t="str">
        <f>""</f>
        <v/>
      </c>
      <c r="BR388" t="str">
        <f>"06/07/2023"</f>
        <v>06/07/2023</v>
      </c>
      <c r="BS388" t="str">
        <f>""</f>
        <v/>
      </c>
      <c r="BT388" t="str">
        <f>""</f>
        <v/>
      </c>
      <c r="BU388" t="str">
        <f>""</f>
        <v/>
      </c>
      <c r="BV388" t="str">
        <f>""</f>
        <v/>
      </c>
      <c r="BW388" t="str">
        <f>"Não visitado"</f>
        <v>Não visitado</v>
      </c>
    </row>
    <row r="389" spans="1:75" x14ac:dyDescent="0.35">
      <c r="A389">
        <v>138194</v>
      </c>
      <c r="B389" t="str">
        <f t="shared" si="184"/>
        <v>A</v>
      </c>
      <c r="C389" t="str">
        <f t="shared" si="185"/>
        <v>80</v>
      </c>
      <c r="D389" t="str">
        <f t="shared" si="186"/>
        <v>11121001</v>
      </c>
      <c r="E389" t="str">
        <f t="shared" si="187"/>
        <v>121001</v>
      </c>
      <c r="F389" t="str">
        <f t="shared" si="188"/>
        <v>JENIFER SANTOS</v>
      </c>
      <c r="G389" t="str">
        <f>"79944179000195"</f>
        <v>79944179000195</v>
      </c>
      <c r="H389" t="str">
        <f t="shared" si="189"/>
        <v>0</v>
      </c>
      <c r="I389" t="str">
        <f t="shared" si="190"/>
        <v>CONTA OPTICA</v>
      </c>
      <c r="J389" t="str">
        <f>"PASA E CIA LTDA EPP"</f>
        <v>PASA E CIA LTDA EPP</v>
      </c>
      <c r="K389" t="str">
        <f>"PASA E CIA (77)"</f>
        <v>PASA E CIA (77)</v>
      </c>
      <c r="L389" t="str">
        <f>""</f>
        <v/>
      </c>
      <c r="M389" t="str">
        <f>""</f>
        <v/>
      </c>
      <c r="N389" t="str">
        <f>"otica_confianca@hotmail.com"</f>
        <v>otica_confianca@hotmail.com</v>
      </c>
      <c r="O389" t="str">
        <f>""</f>
        <v/>
      </c>
      <c r="P389" t="str">
        <f>"AVENIDA BRASIL"</f>
        <v>AVENIDA BRASIL</v>
      </c>
      <c r="Q389" t="str">
        <f>"611"</f>
        <v>611</v>
      </c>
      <c r="R389" t="str">
        <f>"SALA 02"</f>
        <v>SALA 02</v>
      </c>
      <c r="S389" t="str">
        <f>"1288"</f>
        <v>1288</v>
      </c>
      <c r="T389" t="str">
        <f>"89887000"</f>
        <v>89887000</v>
      </c>
      <c r="U389" t="str">
        <f>"CENTRO"</f>
        <v>CENTRO</v>
      </c>
      <c r="V389" t="str">
        <f>"PALMITOS"</f>
        <v>PALMITOS</v>
      </c>
      <c r="W389" t="str">
        <f t="shared" si="179"/>
        <v>SC</v>
      </c>
      <c r="X389" t="str">
        <f>"49"</f>
        <v>49</v>
      </c>
      <c r="Y389" t="str">
        <f>"36470522"</f>
        <v>36470522</v>
      </c>
      <c r="Z389" t="str">
        <f>""</f>
        <v/>
      </c>
      <c r="AA389" t="str">
        <f>""</f>
        <v/>
      </c>
      <c r="AB389" t="str">
        <f>""</f>
        <v/>
      </c>
      <c r="AC389" t="str">
        <f>""</f>
        <v/>
      </c>
      <c r="AD389" t="str">
        <f>""</f>
        <v/>
      </c>
      <c r="AE389" t="str">
        <f>""</f>
        <v/>
      </c>
      <c r="AF389" t="str">
        <f>""</f>
        <v/>
      </c>
      <c r="AG389" t="str">
        <f>"S"</f>
        <v>S</v>
      </c>
      <c r="AH389" t="str">
        <f>""</f>
        <v/>
      </c>
      <c r="AI389" t="str">
        <f>""</f>
        <v/>
      </c>
      <c r="AJ389" t="str">
        <f>""</f>
        <v/>
      </c>
      <c r="AK389" t="str">
        <f>""</f>
        <v/>
      </c>
      <c r="AL389" t="str">
        <f>""</f>
        <v/>
      </c>
      <c r="AM389" t="str">
        <f>""</f>
        <v/>
      </c>
      <c r="AN389" t="str">
        <f>""</f>
        <v/>
      </c>
      <c r="AO389" t="str">
        <f>""</f>
        <v/>
      </c>
      <c r="AP389" t="str">
        <f>""</f>
        <v/>
      </c>
      <c r="AQ389" t="str">
        <f>"N"</f>
        <v>N</v>
      </c>
      <c r="AR389" t="str">
        <f>"N"</f>
        <v>N</v>
      </c>
      <c r="AS389" t="str">
        <f>"N"</f>
        <v>N</v>
      </c>
      <c r="AT389" t="str">
        <f>"N"</f>
        <v>N</v>
      </c>
      <c r="AU389" t="str">
        <f>"N"</f>
        <v>N</v>
      </c>
      <c r="AV389" t="str">
        <f>""</f>
        <v/>
      </c>
      <c r="AW389" t="str">
        <f>""</f>
        <v/>
      </c>
      <c r="AX389" t="str">
        <f>""</f>
        <v/>
      </c>
      <c r="AY389" t="str">
        <f>""</f>
        <v/>
      </c>
      <c r="AZ389" t="str">
        <f>""</f>
        <v/>
      </c>
      <c r="BA389" t="str">
        <f>""</f>
        <v/>
      </c>
      <c r="BB389" t="str">
        <f>"01/07/2021 13:53:04"</f>
        <v>01/07/2021 13:53:04</v>
      </c>
      <c r="BC389" t="str">
        <f>"09/03/2022 14:26:13"</f>
        <v>09/03/2022 14:26:13</v>
      </c>
      <c r="BD389" t="str">
        <f>""</f>
        <v/>
      </c>
      <c r="BE389" t="str">
        <f>""</f>
        <v/>
      </c>
      <c r="BF389" t="str">
        <f t="shared" si="191"/>
        <v>A</v>
      </c>
      <c r="BG389" t="str">
        <f>""</f>
        <v/>
      </c>
      <c r="BH389" t="str">
        <f>"0,00"</f>
        <v>0,00</v>
      </c>
      <c r="BI389" t="str">
        <f t="shared" si="172"/>
        <v>EVENTUAL</v>
      </c>
      <c r="BJ389" t="str">
        <f t="shared" si="192"/>
        <v>1</v>
      </c>
      <c r="BK389" t="str">
        <f t="shared" si="193"/>
        <v>Farmacia</v>
      </c>
      <c r="BL389" t="str">
        <f>""</f>
        <v/>
      </c>
      <c r="BM389" t="str">
        <f>"NÃO É VARILUX ESPECIALISTA"</f>
        <v>NÃO É VARILUX ESPECIALISTA</v>
      </c>
      <c r="BN389" t="str">
        <f>"NA"</f>
        <v>NA</v>
      </c>
      <c r="BO389" t="str">
        <f>"FOCO VARILUX"</f>
        <v>FOCO VARILUX</v>
      </c>
      <c r="BP389" t="str">
        <f>""</f>
        <v/>
      </c>
      <c r="BQ389" t="str">
        <f>""</f>
        <v/>
      </c>
      <c r="BR389" t="str">
        <f>"01/07/2021"</f>
        <v>01/07/2021</v>
      </c>
      <c r="BS389" t="str">
        <f>"09/03/2022"</f>
        <v>09/03/2022</v>
      </c>
      <c r="BT389" t="str">
        <f>""</f>
        <v/>
      </c>
      <c r="BU389" t="str">
        <f>""</f>
        <v/>
      </c>
      <c r="BV389" t="str">
        <f>""</f>
        <v/>
      </c>
      <c r="BW389" t="str">
        <f>"8"</f>
        <v>8</v>
      </c>
    </row>
    <row r="390" spans="1:75" x14ac:dyDescent="0.35">
      <c r="A390">
        <v>120389</v>
      </c>
      <c r="B390" t="str">
        <f t="shared" si="184"/>
        <v>A</v>
      </c>
      <c r="C390" t="str">
        <f t="shared" si="185"/>
        <v>80</v>
      </c>
      <c r="D390" t="str">
        <f t="shared" si="186"/>
        <v>11121001</v>
      </c>
      <c r="E390" t="str">
        <f t="shared" si="187"/>
        <v>121001</v>
      </c>
      <c r="F390" t="str">
        <f t="shared" si="188"/>
        <v>JENIFER SANTOS</v>
      </c>
      <c r="G390" t="str">
        <f>"08885480000127"</f>
        <v>08885480000127</v>
      </c>
      <c r="H390" t="str">
        <f t="shared" si="189"/>
        <v>0</v>
      </c>
      <c r="I390" t="str">
        <f t="shared" si="190"/>
        <v>CONTA OPTICA</v>
      </c>
      <c r="J390" t="str">
        <f>"PATRICIA RIBEIRO BONFANTE ME"</f>
        <v>PATRICIA RIBEIRO BONFANTE ME</v>
      </c>
      <c r="K390" t="str">
        <f>"OTICA E RELOJOARIA BONFANTE (1338)"</f>
        <v>OTICA E RELOJOARIA BONFANTE (1338)</v>
      </c>
      <c r="L390" t="str">
        <f>""</f>
        <v/>
      </c>
      <c r="M390" t="str">
        <f>""</f>
        <v/>
      </c>
      <c r="N390" t="str">
        <f>"otica.villavi@hotmail.com"</f>
        <v>otica.villavi@hotmail.com</v>
      </c>
      <c r="O390" t="str">
        <f>""</f>
        <v/>
      </c>
      <c r="P390" t="str">
        <f>"AVENIDA GETULIO DORNELES VARGAS"</f>
        <v>AVENIDA GETULIO DORNELES VARGAS</v>
      </c>
      <c r="Q390" t="str">
        <f>"250 S"</f>
        <v>250 S</v>
      </c>
      <c r="R390" t="str">
        <f>""</f>
        <v/>
      </c>
      <c r="S390" t="str">
        <f>"1287"</f>
        <v>1287</v>
      </c>
      <c r="T390" t="str">
        <f>"89802001"</f>
        <v>89802001</v>
      </c>
      <c r="U390" t="str">
        <f>"CENTRO"</f>
        <v>CENTRO</v>
      </c>
      <c r="V390" t="str">
        <f>"CHAPECÓ"</f>
        <v>CHAPECÓ</v>
      </c>
      <c r="W390" t="str">
        <f t="shared" si="179"/>
        <v>SC</v>
      </c>
      <c r="X390" t="str">
        <f>"49"</f>
        <v>49</v>
      </c>
      <c r="Y390" t="str">
        <f>"33242345"</f>
        <v>33242345</v>
      </c>
      <c r="Z390" t="str">
        <f>""</f>
        <v/>
      </c>
      <c r="AA390" t="str">
        <f>""</f>
        <v/>
      </c>
      <c r="AB390" t="str">
        <f>""</f>
        <v/>
      </c>
      <c r="AC390" t="str">
        <f>""</f>
        <v/>
      </c>
      <c r="AD390" t="str">
        <f>""</f>
        <v/>
      </c>
      <c r="AE390" t="str">
        <f>""</f>
        <v/>
      </c>
      <c r="AF390" t="str">
        <f>""</f>
        <v/>
      </c>
      <c r="AG390" t="str">
        <f>""</f>
        <v/>
      </c>
      <c r="AH390" t="str">
        <f>""</f>
        <v/>
      </c>
      <c r="AI390" t="str">
        <f>""</f>
        <v/>
      </c>
      <c r="AJ390" t="str">
        <f>"0"</f>
        <v>0</v>
      </c>
      <c r="AK390" t="str">
        <f>"0"</f>
        <v>0</v>
      </c>
      <c r="AL390" t="str">
        <f>"0"</f>
        <v>0</v>
      </c>
      <c r="AM390" t="str">
        <f>""</f>
        <v/>
      </c>
      <c r="AN390" t="str">
        <f>""</f>
        <v/>
      </c>
      <c r="AO390" t="str">
        <f>""</f>
        <v/>
      </c>
      <c r="AP390" t="str">
        <f>""</f>
        <v/>
      </c>
      <c r="AQ390" t="str">
        <f>""</f>
        <v/>
      </c>
      <c r="AR390" t="str">
        <f>""</f>
        <v/>
      </c>
      <c r="AS390" t="str">
        <f>""</f>
        <v/>
      </c>
      <c r="AT390" t="str">
        <f>""</f>
        <v/>
      </c>
      <c r="AU390" t="str">
        <f>""</f>
        <v/>
      </c>
      <c r="AV390" t="str">
        <f>""</f>
        <v/>
      </c>
      <c r="AW390" t="str">
        <f>""</f>
        <v/>
      </c>
      <c r="AX390" t="str">
        <f>""</f>
        <v/>
      </c>
      <c r="AY390" t="str">
        <f>""</f>
        <v/>
      </c>
      <c r="AZ390" t="str">
        <f>""</f>
        <v/>
      </c>
      <c r="BA390" t="str">
        <f>""</f>
        <v/>
      </c>
      <c r="BB390" t="str">
        <f>"18/09/2020 22:12:34"</f>
        <v>18/09/2020 22:12:34</v>
      </c>
      <c r="BC390" t="str">
        <f>""</f>
        <v/>
      </c>
      <c r="BD390" t="str">
        <f>""</f>
        <v/>
      </c>
      <c r="BE390" t="str">
        <f>""</f>
        <v/>
      </c>
      <c r="BF390" t="str">
        <f t="shared" si="191"/>
        <v>A</v>
      </c>
      <c r="BG390" t="str">
        <f>"0,00"</f>
        <v>0,00</v>
      </c>
      <c r="BH390" t="str">
        <f>"0,00"</f>
        <v>0,00</v>
      </c>
      <c r="BI390" t="str">
        <f t="shared" si="172"/>
        <v>EVENTUAL</v>
      </c>
      <c r="BJ390" t="str">
        <f t="shared" si="192"/>
        <v>1</v>
      </c>
      <c r="BK390" t="str">
        <f t="shared" si="193"/>
        <v>Farmacia</v>
      </c>
      <c r="BL390" t="str">
        <f>""</f>
        <v/>
      </c>
      <c r="BM390" t="str">
        <f>"NÃO É VARILUX ESPECIALISTA"</f>
        <v>NÃO É VARILUX ESPECIALISTA</v>
      </c>
      <c r="BN390" t="str">
        <f>""</f>
        <v/>
      </c>
      <c r="BO390" t="str">
        <f>"FOCO VARILUX DIGITAL"</f>
        <v>FOCO VARILUX DIGITAL</v>
      </c>
      <c r="BP390" t="str">
        <f>""</f>
        <v/>
      </c>
      <c r="BQ390" t="str">
        <f>""</f>
        <v/>
      </c>
      <c r="BR390" t="str">
        <f>"18/09/2020"</f>
        <v>18/09/2020</v>
      </c>
      <c r="BS390" t="str">
        <f>""</f>
        <v/>
      </c>
      <c r="BT390" t="str">
        <f>""</f>
        <v/>
      </c>
      <c r="BU390" t="str">
        <f>""</f>
        <v/>
      </c>
      <c r="BV390" t="str">
        <f>"9"</f>
        <v>9</v>
      </c>
      <c r="BW390" t="str">
        <f>"8"</f>
        <v>8</v>
      </c>
    </row>
    <row r="391" spans="1:75" x14ac:dyDescent="0.35">
      <c r="A391">
        <v>156763</v>
      </c>
      <c r="B391" t="str">
        <f t="shared" si="184"/>
        <v>A</v>
      </c>
      <c r="C391" t="str">
        <f t="shared" si="185"/>
        <v>80</v>
      </c>
      <c r="D391" t="str">
        <f t="shared" si="186"/>
        <v>11121001</v>
      </c>
      <c r="E391" t="str">
        <f t="shared" si="187"/>
        <v>121001</v>
      </c>
      <c r="F391" t="str">
        <f t="shared" si="188"/>
        <v>JENIFER SANTOS</v>
      </c>
      <c r="G391" t="str">
        <f>"44431515000200"</f>
        <v>44431515000200</v>
      </c>
      <c r="H391" t="str">
        <f t="shared" si="189"/>
        <v>0</v>
      </c>
      <c r="I391" t="str">
        <f t="shared" si="190"/>
        <v>CONTA OPTICA</v>
      </c>
      <c r="J391" t="str">
        <f>"PAULO FERRONATTO LTDA"</f>
        <v>PAULO FERRONATTO LTDA</v>
      </c>
      <c r="K391" t="str">
        <f>"CHILLI BEANS (4451)"</f>
        <v>CHILLI BEANS (4451)</v>
      </c>
      <c r="L391" t="str">
        <f>""</f>
        <v/>
      </c>
      <c r="M391" t="str">
        <f>""</f>
        <v/>
      </c>
      <c r="N391" t="str">
        <f>"ADM.FERRONATTOEPAZA@GMAIL.COM"</f>
        <v>ADM.FERRONATTOEPAZA@GMAIL.COM</v>
      </c>
      <c r="O391" t="str">
        <f>""</f>
        <v/>
      </c>
      <c r="P391" t="str">
        <f>"ROLF WIEST"</f>
        <v>ROLF WIEST</v>
      </c>
      <c r="Q391" t="str">
        <f>"333"</f>
        <v>333</v>
      </c>
      <c r="R391" t="str">
        <f>"LOJA 30"</f>
        <v>LOJA 30</v>
      </c>
      <c r="S391" t="str">
        <f>"1279"</f>
        <v>1279</v>
      </c>
      <c r="T391" t="str">
        <f>"89223005"</f>
        <v>89223005</v>
      </c>
      <c r="U391" t="str">
        <f>"BOM RETIRO"</f>
        <v>BOM RETIRO</v>
      </c>
      <c r="V391" t="str">
        <f>"JOINVILLE"</f>
        <v>JOINVILLE</v>
      </c>
      <c r="W391" t="str">
        <f t="shared" si="179"/>
        <v>SC</v>
      </c>
      <c r="X391" t="str">
        <f>"42"</f>
        <v>42</v>
      </c>
      <c r="Y391" t="str">
        <f>"999551414"</f>
        <v>999551414</v>
      </c>
      <c r="Z391" t="str">
        <f>""</f>
        <v/>
      </c>
      <c r="AA391" t="str">
        <f>""</f>
        <v/>
      </c>
      <c r="AB391" t="str">
        <f>""</f>
        <v/>
      </c>
      <c r="AC391" t="str">
        <f>""</f>
        <v/>
      </c>
      <c r="AD391" t="str">
        <f>""</f>
        <v/>
      </c>
      <c r="AE391" t="str">
        <f>""</f>
        <v/>
      </c>
      <c r="AF391" t="str">
        <f>""</f>
        <v/>
      </c>
      <c r="AG391" t="str">
        <f>""</f>
        <v/>
      </c>
      <c r="AH391" t="str">
        <f>""</f>
        <v/>
      </c>
      <c r="AI391" t="str">
        <f>""</f>
        <v/>
      </c>
      <c r="AJ391" t="str">
        <f>""</f>
        <v/>
      </c>
      <c r="AK391" t="str">
        <f>""</f>
        <v/>
      </c>
      <c r="AL391" t="str">
        <f>""</f>
        <v/>
      </c>
      <c r="AM391" t="str">
        <f>""</f>
        <v/>
      </c>
      <c r="AN391" t="str">
        <f>""</f>
        <v/>
      </c>
      <c r="AO391" t="str">
        <f>""</f>
        <v/>
      </c>
      <c r="AP391" t="str">
        <f>""</f>
        <v/>
      </c>
      <c r="AQ391" t="str">
        <f>""</f>
        <v/>
      </c>
      <c r="AR391" t="str">
        <f>""</f>
        <v/>
      </c>
      <c r="AS391" t="str">
        <f>""</f>
        <v/>
      </c>
      <c r="AT391" t="str">
        <f>""</f>
        <v/>
      </c>
      <c r="AU391" t="str">
        <f>""</f>
        <v/>
      </c>
      <c r="AV391" t="str">
        <f>""</f>
        <v/>
      </c>
      <c r="AW391" t="str">
        <f>""</f>
        <v/>
      </c>
      <c r="AX391" t="str">
        <f>""</f>
        <v/>
      </c>
      <c r="AY391" t="str">
        <f>""</f>
        <v/>
      </c>
      <c r="AZ391" t="str">
        <f>""</f>
        <v/>
      </c>
      <c r="BA391" t="str">
        <f>""</f>
        <v/>
      </c>
      <c r="BB391" t="str">
        <f>"06/07/2023 12:07:48"</f>
        <v>06/07/2023 12:07:48</v>
      </c>
      <c r="BC391" t="str">
        <f>""</f>
        <v/>
      </c>
      <c r="BD391" t="str">
        <f>""</f>
        <v/>
      </c>
      <c r="BE391" t="str">
        <f>""</f>
        <v/>
      </c>
      <c r="BF391" t="str">
        <f t="shared" si="191"/>
        <v>A</v>
      </c>
      <c r="BG391" t="str">
        <f>""</f>
        <v/>
      </c>
      <c r="BH391" t="str">
        <f>""</f>
        <v/>
      </c>
      <c r="BI391" t="str">
        <f t="shared" si="172"/>
        <v>EVENTUAL</v>
      </c>
      <c r="BJ391" t="str">
        <f t="shared" si="192"/>
        <v>1</v>
      </c>
      <c r="BK391" t="str">
        <f t="shared" si="193"/>
        <v>Farmacia</v>
      </c>
      <c r="BL391" t="str">
        <f>""</f>
        <v/>
      </c>
      <c r="BM391" t="str">
        <f>""</f>
        <v/>
      </c>
      <c r="BN391" t="str">
        <f>""</f>
        <v/>
      </c>
      <c r="BO391" t="str">
        <f>""</f>
        <v/>
      </c>
      <c r="BP391" t="str">
        <f>""</f>
        <v/>
      </c>
      <c r="BQ391" t="str">
        <f>""</f>
        <v/>
      </c>
      <c r="BR391" t="str">
        <f>"06/07/2023"</f>
        <v>06/07/2023</v>
      </c>
      <c r="BS391" t="str">
        <f>""</f>
        <v/>
      </c>
      <c r="BT391" t="str">
        <f>""</f>
        <v/>
      </c>
      <c r="BU391" t="str">
        <f>""</f>
        <v/>
      </c>
      <c r="BV391" t="str">
        <f>""</f>
        <v/>
      </c>
      <c r="BW391" t="str">
        <f>"Não visitado"</f>
        <v>Não visitado</v>
      </c>
    </row>
    <row r="392" spans="1:75" x14ac:dyDescent="0.35">
      <c r="A392">
        <v>157565</v>
      </c>
      <c r="B392" t="str">
        <f t="shared" si="184"/>
        <v>A</v>
      </c>
      <c r="C392" t="str">
        <f t="shared" si="185"/>
        <v>80</v>
      </c>
      <c r="D392" t="str">
        <f t="shared" si="186"/>
        <v>11121001</v>
      </c>
      <c r="E392" t="str">
        <f t="shared" si="187"/>
        <v>121001</v>
      </c>
      <c r="F392" t="str">
        <f t="shared" si="188"/>
        <v>JENIFER SANTOS</v>
      </c>
      <c r="G392" t="str">
        <f>"44431515000111"</f>
        <v>44431515000111</v>
      </c>
      <c r="H392" t="str">
        <f t="shared" si="189"/>
        <v>0</v>
      </c>
      <c r="I392" t="str">
        <f t="shared" si="190"/>
        <v>CONTA OPTICA</v>
      </c>
      <c r="J392" t="str">
        <f>"PAULO FERRONATTO LTDA"</f>
        <v>PAULO FERRONATTO LTDA</v>
      </c>
      <c r="K392" t="str">
        <f>"CHILLI BEANS (4452)"</f>
        <v>CHILLI BEANS (4452)</v>
      </c>
      <c r="L392" t="str">
        <f>""</f>
        <v/>
      </c>
      <c r="M392" t="str">
        <f>""</f>
        <v/>
      </c>
      <c r="N392" t="str">
        <f>"ADM.FERRONATTOEPAZA@GMAIL.COM"</f>
        <v>ADM.FERRONATTOEPAZA@GMAIL.COM</v>
      </c>
      <c r="O392" t="str">
        <f>""</f>
        <v/>
      </c>
      <c r="P392" t="str">
        <f>"RUA VISCONDE DE TAUNAY"</f>
        <v>RUA VISCONDE DE TAUNAY</v>
      </c>
      <c r="Q392" t="str">
        <f>"235"</f>
        <v>235</v>
      </c>
      <c r="R392" t="str">
        <f>"QUIOSQ08 PAVMTO"</f>
        <v>QUIOSQ08 PAVMTO</v>
      </c>
      <c r="S392" t="str">
        <f>"1277"</f>
        <v>1277</v>
      </c>
      <c r="T392" t="str">
        <f>"89201908"</f>
        <v>89201908</v>
      </c>
      <c r="U392" t="str">
        <f>"CENTRO"</f>
        <v>CENTRO</v>
      </c>
      <c r="V392" t="str">
        <f>"JOINVILLE"</f>
        <v>JOINVILLE</v>
      </c>
      <c r="W392" t="str">
        <f t="shared" si="179"/>
        <v>SC</v>
      </c>
      <c r="X392" t="str">
        <f>"42"</f>
        <v>42</v>
      </c>
      <c r="Y392" t="str">
        <f>"999551414"</f>
        <v>999551414</v>
      </c>
      <c r="Z392" t="str">
        <f>""</f>
        <v/>
      </c>
      <c r="AA392" t="str">
        <f>""</f>
        <v/>
      </c>
      <c r="AB392" t="str">
        <f>""</f>
        <v/>
      </c>
      <c r="AC392" t="str">
        <f>""</f>
        <v/>
      </c>
      <c r="AD392" t="str">
        <f>""</f>
        <v/>
      </c>
      <c r="AE392" t="str">
        <f>""</f>
        <v/>
      </c>
      <c r="AF392" t="str">
        <f>""</f>
        <v/>
      </c>
      <c r="AG392" t="str">
        <f>""</f>
        <v/>
      </c>
      <c r="AH392" t="str">
        <f>""</f>
        <v/>
      </c>
      <c r="AI392" t="str">
        <f>""</f>
        <v/>
      </c>
      <c r="AJ392" t="str">
        <f>""</f>
        <v/>
      </c>
      <c r="AK392" t="str">
        <f>""</f>
        <v/>
      </c>
      <c r="AL392" t="str">
        <f>""</f>
        <v/>
      </c>
      <c r="AM392" t="str">
        <f>""</f>
        <v/>
      </c>
      <c r="AN392" t="str">
        <f>""</f>
        <v/>
      </c>
      <c r="AO392" t="str">
        <f>""</f>
        <v/>
      </c>
      <c r="AP392" t="str">
        <f>""</f>
        <v/>
      </c>
      <c r="AQ392" t="str">
        <f>""</f>
        <v/>
      </c>
      <c r="AR392" t="str">
        <f>""</f>
        <v/>
      </c>
      <c r="AS392" t="str">
        <f>""</f>
        <v/>
      </c>
      <c r="AT392" t="str">
        <f>""</f>
        <v/>
      </c>
      <c r="AU392" t="str">
        <f>""</f>
        <v/>
      </c>
      <c r="AV392" t="str">
        <f>""</f>
        <v/>
      </c>
      <c r="AW392" t="str">
        <f>""</f>
        <v/>
      </c>
      <c r="AX392" t="str">
        <f>""</f>
        <v/>
      </c>
      <c r="AY392" t="str">
        <f>""</f>
        <v/>
      </c>
      <c r="AZ392" t="str">
        <f>""</f>
        <v/>
      </c>
      <c r="BA392" t="str">
        <f>""</f>
        <v/>
      </c>
      <c r="BB392" t="str">
        <f>"11/07/2023 02:14:29"</f>
        <v>11/07/2023 02:14:29</v>
      </c>
      <c r="BC392" t="str">
        <f>""</f>
        <v/>
      </c>
      <c r="BD392" t="str">
        <f>""</f>
        <v/>
      </c>
      <c r="BE392" t="str">
        <f>""</f>
        <v/>
      </c>
      <c r="BF392" t="str">
        <f t="shared" si="191"/>
        <v>A</v>
      </c>
      <c r="BG392" t="str">
        <f>""</f>
        <v/>
      </c>
      <c r="BH392" t="str">
        <f>""</f>
        <v/>
      </c>
      <c r="BI392" t="str">
        <f t="shared" si="172"/>
        <v>EVENTUAL</v>
      </c>
      <c r="BJ392" t="str">
        <f t="shared" si="192"/>
        <v>1</v>
      </c>
      <c r="BK392" t="str">
        <f t="shared" si="193"/>
        <v>Farmacia</v>
      </c>
      <c r="BL392" t="str">
        <f>""</f>
        <v/>
      </c>
      <c r="BM392" t="str">
        <f>""</f>
        <v/>
      </c>
      <c r="BN392" t="str">
        <f>""</f>
        <v/>
      </c>
      <c r="BO392" t="str">
        <f>""</f>
        <v/>
      </c>
      <c r="BP392" t="str">
        <f>""</f>
        <v/>
      </c>
      <c r="BQ392" t="str">
        <f>""</f>
        <v/>
      </c>
      <c r="BR392" t="str">
        <f>"11/07/2023"</f>
        <v>11/07/2023</v>
      </c>
      <c r="BS392" t="str">
        <f>""</f>
        <v/>
      </c>
      <c r="BT392" t="str">
        <f>""</f>
        <v/>
      </c>
      <c r="BU392" t="str">
        <f>""</f>
        <v/>
      </c>
      <c r="BV392" t="str">
        <f>""</f>
        <v/>
      </c>
      <c r="BW392" t="str">
        <f>"Não visitado"</f>
        <v>Não visitado</v>
      </c>
    </row>
    <row r="393" spans="1:75" x14ac:dyDescent="0.35">
      <c r="A393">
        <v>152739</v>
      </c>
      <c r="B393" t="str">
        <f t="shared" si="184"/>
        <v>A</v>
      </c>
      <c r="C393" t="str">
        <f t="shared" si="185"/>
        <v>80</v>
      </c>
      <c r="D393" t="str">
        <f t="shared" si="186"/>
        <v>11121001</v>
      </c>
      <c r="E393" t="str">
        <f t="shared" si="187"/>
        <v>121001</v>
      </c>
      <c r="F393" t="str">
        <f t="shared" si="188"/>
        <v>JENIFER SANTOS</v>
      </c>
      <c r="G393" t="str">
        <f>"42528434000109"</f>
        <v>42528434000109</v>
      </c>
      <c r="H393" t="str">
        <f t="shared" si="189"/>
        <v>0</v>
      </c>
      <c r="I393" t="str">
        <f t="shared" si="190"/>
        <v>CONTA OPTICA</v>
      </c>
      <c r="J393" t="str">
        <f>"PG OTICAS LTDA"</f>
        <v>PG OTICAS LTDA</v>
      </c>
      <c r="K393" t="str">
        <f>"OTICAS CAROL"</f>
        <v>OTICAS CAROL</v>
      </c>
      <c r="L393" t="str">
        <f>""</f>
        <v/>
      </c>
      <c r="M393" t="str">
        <f>""</f>
        <v/>
      </c>
      <c r="N393" t="str">
        <f>"loja2351@oticascarol.com.br"</f>
        <v>loja2351@oticascarol.com.br</v>
      </c>
      <c r="O393" t="str">
        <f>""</f>
        <v/>
      </c>
      <c r="P393" t="str">
        <f>"RUA MARECHAL DEODORO"</f>
        <v>RUA MARECHAL DEODORO</v>
      </c>
      <c r="Q393" t="str">
        <f>"980"</f>
        <v>980</v>
      </c>
      <c r="R393" t="str">
        <f>"SALA 08"</f>
        <v>SALA 08</v>
      </c>
      <c r="S393" t="str">
        <f>""</f>
        <v/>
      </c>
      <c r="T393" t="str">
        <f>"89700055"</f>
        <v>89700055</v>
      </c>
      <c r="U393" t="str">
        <f>"CENTRO"</f>
        <v>CENTRO</v>
      </c>
      <c r="V393" t="str">
        <f>"CONCORDIA"</f>
        <v>CONCORDIA</v>
      </c>
      <c r="W393" t="str">
        <f t="shared" si="179"/>
        <v>SC</v>
      </c>
      <c r="X393" t="str">
        <f>"49"</f>
        <v>49</v>
      </c>
      <c r="Y393" t="str">
        <f>"999181453"</f>
        <v>999181453</v>
      </c>
      <c r="Z393" t="str">
        <f>""</f>
        <v/>
      </c>
      <c r="AA393" t="str">
        <f>""</f>
        <v/>
      </c>
      <c r="AB393" t="str">
        <f>""</f>
        <v/>
      </c>
      <c r="AC393" t="str">
        <f>""</f>
        <v/>
      </c>
      <c r="AD393" t="str">
        <f>""</f>
        <v/>
      </c>
      <c r="AE393" t="str">
        <f>""</f>
        <v/>
      </c>
      <c r="AF393" t="str">
        <f>""</f>
        <v/>
      </c>
      <c r="AG393" t="str">
        <f>""</f>
        <v/>
      </c>
      <c r="AH393" t="str">
        <f>""</f>
        <v/>
      </c>
      <c r="AI393" t="str">
        <f>""</f>
        <v/>
      </c>
      <c r="AJ393" t="str">
        <f>""</f>
        <v/>
      </c>
      <c r="AK393" t="str">
        <f>""</f>
        <v/>
      </c>
      <c r="AL393" t="str">
        <f>""</f>
        <v/>
      </c>
      <c r="AM393" t="str">
        <f>""</f>
        <v/>
      </c>
      <c r="AN393" t="str">
        <f>""</f>
        <v/>
      </c>
      <c r="AO393" t="str">
        <f>""</f>
        <v/>
      </c>
      <c r="AP393" t="str">
        <f>""</f>
        <v/>
      </c>
      <c r="AQ393" t="str">
        <f>""</f>
        <v/>
      </c>
      <c r="AR393" t="str">
        <f>""</f>
        <v/>
      </c>
      <c r="AS393" t="str">
        <f>""</f>
        <v/>
      </c>
      <c r="AT393" t="str">
        <f>""</f>
        <v/>
      </c>
      <c r="AU393" t="str">
        <f>""</f>
        <v/>
      </c>
      <c r="AV393" t="str">
        <f>""</f>
        <v/>
      </c>
      <c r="AW393" t="str">
        <f>""</f>
        <v/>
      </c>
      <c r="AX393" t="str">
        <f>""</f>
        <v/>
      </c>
      <c r="AY393" t="str">
        <f>""</f>
        <v/>
      </c>
      <c r="AZ393" t="str">
        <f>""</f>
        <v/>
      </c>
      <c r="BA393" t="str">
        <f>""</f>
        <v/>
      </c>
      <c r="BB393" t="str">
        <f>"03/04/2023 13:34:29"</f>
        <v>03/04/2023 13:34:29</v>
      </c>
      <c r="BC393" t="str">
        <f>""</f>
        <v/>
      </c>
      <c r="BD393" t="str">
        <f>""</f>
        <v/>
      </c>
      <c r="BE393" t="str">
        <f>""</f>
        <v/>
      </c>
      <c r="BF393" t="str">
        <f t="shared" si="191"/>
        <v>A</v>
      </c>
      <c r="BG393" t="str">
        <f>""</f>
        <v/>
      </c>
      <c r="BH393" t="str">
        <f>""</f>
        <v/>
      </c>
      <c r="BI393" t="str">
        <f t="shared" si="172"/>
        <v>EVENTUAL</v>
      </c>
      <c r="BJ393" t="str">
        <f t="shared" si="192"/>
        <v>1</v>
      </c>
      <c r="BK393" t="str">
        <f t="shared" si="193"/>
        <v>Farmacia</v>
      </c>
      <c r="BL393" t="str">
        <f>""</f>
        <v/>
      </c>
      <c r="BM393" t="str">
        <f>""</f>
        <v/>
      </c>
      <c r="BN393" t="str">
        <f>""</f>
        <v/>
      </c>
      <c r="BO393" t="str">
        <f>""</f>
        <v/>
      </c>
      <c r="BP393" t="str">
        <f>""</f>
        <v/>
      </c>
      <c r="BQ393" t="str">
        <f>""</f>
        <v/>
      </c>
      <c r="BR393" t="str">
        <f>"03/04/2023"</f>
        <v>03/04/2023</v>
      </c>
      <c r="BS393" t="str">
        <f>""</f>
        <v/>
      </c>
      <c r="BT393" t="str">
        <f>""</f>
        <v/>
      </c>
      <c r="BU393" t="str">
        <f>""</f>
        <v/>
      </c>
      <c r="BV393" t="str">
        <f>""</f>
        <v/>
      </c>
      <c r="BW393" t="str">
        <f>"Não visitado"</f>
        <v>Não visitado</v>
      </c>
    </row>
    <row r="394" spans="1:75" x14ac:dyDescent="0.35">
      <c r="A394">
        <v>138198</v>
      </c>
      <c r="B394" t="str">
        <f t="shared" si="184"/>
        <v>A</v>
      </c>
      <c r="C394" t="str">
        <f t="shared" si="185"/>
        <v>80</v>
      </c>
      <c r="D394" t="str">
        <f t="shared" si="186"/>
        <v>11121001</v>
      </c>
      <c r="E394" t="str">
        <f t="shared" si="187"/>
        <v>121001</v>
      </c>
      <c r="F394" t="str">
        <f t="shared" si="188"/>
        <v>JENIFER SANTOS</v>
      </c>
      <c r="G394" t="str">
        <f>"25534956000102"</f>
        <v>25534956000102</v>
      </c>
      <c r="H394" t="str">
        <f t="shared" si="189"/>
        <v>0</v>
      </c>
      <c r="I394" t="str">
        <f t="shared" si="190"/>
        <v>CONTA OPTICA</v>
      </c>
      <c r="J394" t="str">
        <f>"PINHEIRO E CHINI LTDA ME"</f>
        <v>PINHEIRO E CHINI LTDA ME</v>
      </c>
      <c r="K394" t="str">
        <f>"OPTICA PINHEIRO (3355)"</f>
        <v>OPTICA PINHEIRO (3355)</v>
      </c>
      <c r="L394" t="str">
        <f>""</f>
        <v/>
      </c>
      <c r="M394" t="str">
        <f>""</f>
        <v/>
      </c>
      <c r="N394" t="str">
        <f>"opticapinheiro72@gmail.com"</f>
        <v>opticapinheiro72@gmail.com</v>
      </c>
      <c r="O394" t="str">
        <f>""</f>
        <v/>
      </c>
      <c r="P394" t="str">
        <f>"RUA ARTHUR MILANI"</f>
        <v>RUA ARTHUR MILANI</v>
      </c>
      <c r="Q394" t="str">
        <f>"791"</f>
        <v>791</v>
      </c>
      <c r="R394" t="str">
        <f>"SALA 02"</f>
        <v>SALA 02</v>
      </c>
      <c r="S394" t="str">
        <f>"1377"</f>
        <v>1377</v>
      </c>
      <c r="T394" t="str">
        <f>"98400000"</f>
        <v>98400000</v>
      </c>
      <c r="U394" t="str">
        <f>"CENTRO"</f>
        <v>CENTRO</v>
      </c>
      <c r="V394" t="str">
        <f>"FREDERICO WESTPHALEN"</f>
        <v>FREDERICO WESTPHALEN</v>
      </c>
      <c r="W394" t="str">
        <f>"RS"</f>
        <v>RS</v>
      </c>
      <c r="X394" t="str">
        <f>"55"</f>
        <v>55</v>
      </c>
      <c r="Y394" t="str">
        <f>"37444468"</f>
        <v>37444468</v>
      </c>
      <c r="Z394" t="str">
        <f>""</f>
        <v/>
      </c>
      <c r="AA394" t="str">
        <f>""</f>
        <v/>
      </c>
      <c r="AB394" t="str">
        <f>""</f>
        <v/>
      </c>
      <c r="AC394" t="str">
        <f>""</f>
        <v/>
      </c>
      <c r="AD394" t="str">
        <f>""</f>
        <v/>
      </c>
      <c r="AE394" t="str">
        <f>""</f>
        <v/>
      </c>
      <c r="AF394" t="str">
        <f>""</f>
        <v/>
      </c>
      <c r="AG394" t="str">
        <f>"S"</f>
        <v>S</v>
      </c>
      <c r="AH394" t="str">
        <f>""</f>
        <v/>
      </c>
      <c r="AI394" t="str">
        <f>""</f>
        <v/>
      </c>
      <c r="AJ394" t="str">
        <f>""</f>
        <v/>
      </c>
      <c r="AK394" t="str">
        <f>""</f>
        <v/>
      </c>
      <c r="AL394" t="str">
        <f>""</f>
        <v/>
      </c>
      <c r="AM394" t="str">
        <f>""</f>
        <v/>
      </c>
      <c r="AN394" t="str">
        <f>""</f>
        <v/>
      </c>
      <c r="AO394" t="str">
        <f>""</f>
        <v/>
      </c>
      <c r="AP394" t="str">
        <f>""</f>
        <v/>
      </c>
      <c r="AQ394" t="str">
        <f>"N"</f>
        <v>N</v>
      </c>
      <c r="AR394" t="str">
        <f>"N"</f>
        <v>N</v>
      </c>
      <c r="AS394" t="str">
        <f>"N"</f>
        <v>N</v>
      </c>
      <c r="AT394" t="str">
        <f>"N"</f>
        <v>N</v>
      </c>
      <c r="AU394" t="str">
        <f>"N"</f>
        <v>N</v>
      </c>
      <c r="AV394" t="str">
        <f>""</f>
        <v/>
      </c>
      <c r="AW394" t="str">
        <f>""</f>
        <v/>
      </c>
      <c r="AX394" t="str">
        <f>""</f>
        <v/>
      </c>
      <c r="AY394" t="str">
        <f>""</f>
        <v/>
      </c>
      <c r="AZ394" t="str">
        <f>""</f>
        <v/>
      </c>
      <c r="BA394" t="str">
        <f>""</f>
        <v/>
      </c>
      <c r="BB394" t="str">
        <f>"01/07/2021 13:53:04"</f>
        <v>01/07/2021 13:53:04</v>
      </c>
      <c r="BC394" t="str">
        <f>"14/03/2022 16:03:14"</f>
        <v>14/03/2022 16:03:14</v>
      </c>
      <c r="BD394" t="str">
        <f>""</f>
        <v/>
      </c>
      <c r="BE394" t="str">
        <f>""</f>
        <v/>
      </c>
      <c r="BF394" t="str">
        <f t="shared" si="191"/>
        <v>A</v>
      </c>
      <c r="BG394" t="str">
        <f>""</f>
        <v/>
      </c>
      <c r="BH394" t="str">
        <f>"0,00"</f>
        <v>0,00</v>
      </c>
      <c r="BI394" t="str">
        <f t="shared" si="172"/>
        <v>EVENTUAL</v>
      </c>
      <c r="BJ394" t="str">
        <f t="shared" si="192"/>
        <v>1</v>
      </c>
      <c r="BK394" t="str">
        <f t="shared" si="193"/>
        <v>Farmacia</v>
      </c>
      <c r="BL394" t="str">
        <f>""</f>
        <v/>
      </c>
      <c r="BM394" t="str">
        <f>"NÃO É VARILUX ESPECIALISTA"</f>
        <v>NÃO É VARILUX ESPECIALISTA</v>
      </c>
      <c r="BN394" t="str">
        <f>"NA"</f>
        <v>NA</v>
      </c>
      <c r="BO394" t="str">
        <f>"OUTROS"</f>
        <v>OUTROS</v>
      </c>
      <c r="BP394" t="str">
        <f>""</f>
        <v/>
      </c>
      <c r="BQ394" t="str">
        <f>""</f>
        <v/>
      </c>
      <c r="BR394" t="str">
        <f>"01/07/2021"</f>
        <v>01/07/2021</v>
      </c>
      <c r="BS394" t="str">
        <f>"14/03/2022"</f>
        <v>14/03/2022</v>
      </c>
      <c r="BT394" t="str">
        <f>""</f>
        <v/>
      </c>
      <c r="BU394" t="str">
        <f>""</f>
        <v/>
      </c>
      <c r="BV394" t="str">
        <f>""</f>
        <v/>
      </c>
      <c r="BW394" t="str">
        <f>"7"</f>
        <v>7</v>
      </c>
    </row>
    <row r="395" spans="1:75" x14ac:dyDescent="0.35">
      <c r="A395">
        <v>144440</v>
      </c>
      <c r="B395" t="str">
        <f t="shared" si="184"/>
        <v>A</v>
      </c>
      <c r="C395" t="str">
        <f t="shared" si="185"/>
        <v>80</v>
      </c>
      <c r="D395" t="str">
        <f t="shared" si="186"/>
        <v>11121001</v>
      </c>
      <c r="E395" t="str">
        <f t="shared" si="187"/>
        <v>121001</v>
      </c>
      <c r="F395" t="str">
        <f t="shared" si="188"/>
        <v>JENIFER SANTOS</v>
      </c>
      <c r="G395" t="str">
        <f>"10944203000190"</f>
        <v>10944203000190</v>
      </c>
      <c r="H395" t="str">
        <f>""</f>
        <v/>
      </c>
      <c r="I395" t="str">
        <f t="shared" si="190"/>
        <v>CONTA OPTICA</v>
      </c>
      <c r="J395" t="str">
        <f>"PONTO DA VISAO OTICA LTDA"</f>
        <v>PONTO DA VISAO OTICA LTDA</v>
      </c>
      <c r="K395" t="str">
        <f>"OTICA EVERSSON (1711)"</f>
        <v>OTICA EVERSSON (1711)</v>
      </c>
      <c r="L395" t="str">
        <f>""</f>
        <v/>
      </c>
      <c r="M395" t="str">
        <f>""</f>
        <v/>
      </c>
      <c r="N395" t="str">
        <f>"eversonalbano@yahoo.com.br"</f>
        <v>eversonalbano@yahoo.com.br</v>
      </c>
      <c r="O395" t="str">
        <f>""</f>
        <v/>
      </c>
      <c r="P395" t="str">
        <f>"RUA MONSENHOR GERCINO"</f>
        <v>RUA MONSENHOR GERCINO</v>
      </c>
      <c r="Q395" t="str">
        <f>"3792"</f>
        <v>3792</v>
      </c>
      <c r="R395" t="str">
        <f>"JARIVATUBA"</f>
        <v>JARIVATUBA</v>
      </c>
      <c r="S395" t="str">
        <f>"1279"</f>
        <v>1279</v>
      </c>
      <c r="T395" t="str">
        <f>"89230290"</f>
        <v>89230290</v>
      </c>
      <c r="U395" t="str">
        <f>"JARIVATUBA"</f>
        <v>JARIVATUBA</v>
      </c>
      <c r="V395" t="str">
        <f>"JOINVILLE"</f>
        <v>JOINVILLE</v>
      </c>
      <c r="W395" t="str">
        <f t="shared" ref="W395:W401" si="194">"SC"</f>
        <v>SC</v>
      </c>
      <c r="X395" t="str">
        <f>"47"</f>
        <v>47</v>
      </c>
      <c r="Y395" t="str">
        <f>"30266100"</f>
        <v>30266100</v>
      </c>
      <c r="Z395" t="str">
        <f>""</f>
        <v/>
      </c>
      <c r="AA395" t="str">
        <f>""</f>
        <v/>
      </c>
      <c r="AB395" t="str">
        <f>""</f>
        <v/>
      </c>
      <c r="AC395" t="str">
        <f>""</f>
        <v/>
      </c>
      <c r="AD395" t="str">
        <f>""</f>
        <v/>
      </c>
      <c r="AE395" t="str">
        <f>""</f>
        <v/>
      </c>
      <c r="AF395" t="str">
        <f>""</f>
        <v/>
      </c>
      <c r="AG395" t="str">
        <f>""</f>
        <v/>
      </c>
      <c r="AH395" t="str">
        <f>""</f>
        <v/>
      </c>
      <c r="AI395" t="str">
        <f>""</f>
        <v/>
      </c>
      <c r="AJ395" t="str">
        <f t="shared" ref="AJ395:AL396" si="195">"0"</f>
        <v>0</v>
      </c>
      <c r="AK395" t="str">
        <f t="shared" si="195"/>
        <v>0</v>
      </c>
      <c r="AL395" t="str">
        <f t="shared" si="195"/>
        <v>0</v>
      </c>
      <c r="AM395" t="str">
        <f>""</f>
        <v/>
      </c>
      <c r="AN395" t="str">
        <f>""</f>
        <v/>
      </c>
      <c r="AO395" t="str">
        <f>""</f>
        <v/>
      </c>
      <c r="AP395" t="str">
        <f>""</f>
        <v/>
      </c>
      <c r="AQ395" t="str">
        <f>""</f>
        <v/>
      </c>
      <c r="AR395" t="str">
        <f>""</f>
        <v/>
      </c>
      <c r="AS395" t="str">
        <f>""</f>
        <v/>
      </c>
      <c r="AT395" t="str">
        <f>""</f>
        <v/>
      </c>
      <c r="AU395" t="str">
        <f>""</f>
        <v/>
      </c>
      <c r="AV395" t="str">
        <f>""</f>
        <v/>
      </c>
      <c r="AW395" t="str">
        <f>""</f>
        <v/>
      </c>
      <c r="AX395" t="str">
        <f>""</f>
        <v/>
      </c>
      <c r="AY395" t="str">
        <f>""</f>
        <v/>
      </c>
      <c r="AZ395" t="str">
        <f>""</f>
        <v/>
      </c>
      <c r="BA395" t="str">
        <f>""</f>
        <v/>
      </c>
      <c r="BB395" t="str">
        <f>""</f>
        <v/>
      </c>
      <c r="BC395" t="str">
        <f>""</f>
        <v/>
      </c>
      <c r="BD395" t="str">
        <f>""</f>
        <v/>
      </c>
      <c r="BE395" t="str">
        <f>""</f>
        <v/>
      </c>
      <c r="BF395" t="str">
        <f t="shared" si="191"/>
        <v>A</v>
      </c>
      <c r="BG395" t="str">
        <f>"0,00"</f>
        <v>0,00</v>
      </c>
      <c r="BH395" t="str">
        <f>"0,00"</f>
        <v>0,00</v>
      </c>
      <c r="BI395" t="str">
        <f t="shared" si="172"/>
        <v>EVENTUAL</v>
      </c>
      <c r="BJ395" t="str">
        <f t="shared" si="192"/>
        <v>1</v>
      </c>
      <c r="BK395" t="str">
        <f t="shared" si="193"/>
        <v>Farmacia</v>
      </c>
      <c r="BL395" t="str">
        <f>""</f>
        <v/>
      </c>
      <c r="BM395" t="str">
        <f>"NÃO É VARILUX ESPECIALISTA"</f>
        <v>NÃO É VARILUX ESPECIALISTA</v>
      </c>
      <c r="BN395" t="str">
        <f>"EL360"</f>
        <v>EL360</v>
      </c>
      <c r="BO395" t="str">
        <f>"FOCO KODAK 1"</f>
        <v>FOCO KODAK 1</v>
      </c>
      <c r="BP395" t="str">
        <f>""</f>
        <v/>
      </c>
      <c r="BQ395" t="str">
        <f>""</f>
        <v/>
      </c>
      <c r="BR395" t="str">
        <f>""</f>
        <v/>
      </c>
      <c r="BS395" t="str">
        <f>""</f>
        <v/>
      </c>
      <c r="BT395" t="str">
        <f>""</f>
        <v/>
      </c>
      <c r="BU395" t="str">
        <f>""</f>
        <v/>
      </c>
      <c r="BV395" t="str">
        <f>"6"</f>
        <v>6</v>
      </c>
      <c r="BW395" t="str">
        <f>"100"</f>
        <v>100</v>
      </c>
    </row>
    <row r="396" spans="1:75" x14ac:dyDescent="0.35">
      <c r="A396">
        <v>120413</v>
      </c>
      <c r="B396" t="str">
        <f t="shared" si="184"/>
        <v>A</v>
      </c>
      <c r="C396" t="str">
        <f t="shared" si="185"/>
        <v>80</v>
      </c>
      <c r="D396" t="str">
        <f t="shared" si="186"/>
        <v>11121001</v>
      </c>
      <c r="E396" t="str">
        <f t="shared" si="187"/>
        <v>121001</v>
      </c>
      <c r="F396" t="str">
        <f t="shared" si="188"/>
        <v>JENIFER SANTOS</v>
      </c>
      <c r="G396" t="str">
        <f>"01612881000164"</f>
        <v>01612881000164</v>
      </c>
      <c r="H396" t="str">
        <f>"0"</f>
        <v>0</v>
      </c>
      <c r="I396" t="str">
        <f t="shared" si="190"/>
        <v>CONTA OPTICA</v>
      </c>
      <c r="J396" t="str">
        <f>"PRIMAR OTICA E RELOJOARIA"</f>
        <v>PRIMAR OTICA E RELOJOARIA</v>
      </c>
      <c r="K396" t="str">
        <f>"PRIMAR OTICA E RELOJOARIA (1011)"</f>
        <v>PRIMAR OTICA E RELOJOARIA (1011)</v>
      </c>
      <c r="L396" t="str">
        <f>""</f>
        <v/>
      </c>
      <c r="M396" t="str">
        <f>""</f>
        <v/>
      </c>
      <c r="N396" t="str">
        <f>"casa.dos.oculos@hotmail.com"</f>
        <v>casa.dos.oculos@hotmail.com</v>
      </c>
      <c r="O396" t="str">
        <f>""</f>
        <v/>
      </c>
      <c r="P396" t="str">
        <f>"RUA PORTO ALEGRE"</f>
        <v>RUA PORTO ALEGRE</v>
      </c>
      <c r="Q396" t="str">
        <f>"155"</f>
        <v>155</v>
      </c>
      <c r="R396" t="str">
        <f>"D"</f>
        <v>D</v>
      </c>
      <c r="S396" t="str">
        <f>"1287"</f>
        <v>1287</v>
      </c>
      <c r="T396" t="str">
        <f>"89802130"</f>
        <v>89802130</v>
      </c>
      <c r="U396" t="str">
        <f>"CENTRO"</f>
        <v>CENTRO</v>
      </c>
      <c r="V396" t="str">
        <f>"CHAPECÓ"</f>
        <v>CHAPECÓ</v>
      </c>
      <c r="W396" t="str">
        <f t="shared" si="194"/>
        <v>SC</v>
      </c>
      <c r="X396" t="str">
        <f>"49"</f>
        <v>49</v>
      </c>
      <c r="Y396" t="str">
        <f>"33220649"</f>
        <v>33220649</v>
      </c>
      <c r="Z396" t="str">
        <f>""</f>
        <v/>
      </c>
      <c r="AA396" t="str">
        <f>""</f>
        <v/>
      </c>
      <c r="AB396" t="str">
        <f>""</f>
        <v/>
      </c>
      <c r="AC396" t="str">
        <f>""</f>
        <v/>
      </c>
      <c r="AD396" t="str">
        <f>""</f>
        <v/>
      </c>
      <c r="AE396" t="str">
        <f>""</f>
        <v/>
      </c>
      <c r="AF396" t="str">
        <f>""</f>
        <v/>
      </c>
      <c r="AG396" t="str">
        <f>""</f>
        <v/>
      </c>
      <c r="AH396" t="str">
        <f>""</f>
        <v/>
      </c>
      <c r="AI396" t="str">
        <f>""</f>
        <v/>
      </c>
      <c r="AJ396" t="str">
        <f t="shared" si="195"/>
        <v>0</v>
      </c>
      <c r="AK396" t="str">
        <f t="shared" si="195"/>
        <v>0</v>
      </c>
      <c r="AL396" t="str">
        <f t="shared" si="195"/>
        <v>0</v>
      </c>
      <c r="AM396" t="str">
        <f>""</f>
        <v/>
      </c>
      <c r="AN396" t="str">
        <f>""</f>
        <v/>
      </c>
      <c r="AO396" t="str">
        <f>""</f>
        <v/>
      </c>
      <c r="AP396" t="str">
        <f>""</f>
        <v/>
      </c>
      <c r="AQ396" t="str">
        <f>""</f>
        <v/>
      </c>
      <c r="AR396" t="str">
        <f>""</f>
        <v/>
      </c>
      <c r="AS396" t="str">
        <f>""</f>
        <v/>
      </c>
      <c r="AT396" t="str">
        <f>""</f>
        <v/>
      </c>
      <c r="AU396" t="str">
        <f>""</f>
        <v/>
      </c>
      <c r="AV396" t="str">
        <f>""</f>
        <v/>
      </c>
      <c r="AW396" t="str">
        <f>""</f>
        <v/>
      </c>
      <c r="AX396" t="str">
        <f>""</f>
        <v/>
      </c>
      <c r="AY396" t="str">
        <f>""</f>
        <v/>
      </c>
      <c r="AZ396" t="str">
        <f>""</f>
        <v/>
      </c>
      <c r="BA396" t="str">
        <f>""</f>
        <v/>
      </c>
      <c r="BB396" t="str">
        <f>"18/09/2020 22:12:34"</f>
        <v>18/09/2020 22:12:34</v>
      </c>
      <c r="BC396" t="str">
        <f>""</f>
        <v/>
      </c>
      <c r="BD396" t="str">
        <f>""</f>
        <v/>
      </c>
      <c r="BE396" t="str">
        <f>""</f>
        <v/>
      </c>
      <c r="BF396" t="str">
        <f t="shared" si="191"/>
        <v>A</v>
      </c>
      <c r="BG396" t="str">
        <f>"0,00"</f>
        <v>0,00</v>
      </c>
      <c r="BH396" t="str">
        <f>"0,00"</f>
        <v>0,00</v>
      </c>
      <c r="BI396" t="str">
        <f t="shared" si="172"/>
        <v>EVENTUAL</v>
      </c>
      <c r="BJ396" t="str">
        <f t="shared" si="192"/>
        <v>1</v>
      </c>
      <c r="BK396" t="str">
        <f t="shared" si="193"/>
        <v>Farmacia</v>
      </c>
      <c r="BL396" t="str">
        <f>""</f>
        <v/>
      </c>
      <c r="BM396" t="str">
        <f>"NÃO É VARILUX ESPECIALISTA"</f>
        <v>NÃO É VARILUX ESPECIALISTA</v>
      </c>
      <c r="BN396" t="str">
        <f>"NA"</f>
        <v>NA</v>
      </c>
      <c r="BO396" t="str">
        <f>"OUTROS"</f>
        <v>OUTROS</v>
      </c>
      <c r="BP396" t="str">
        <f>""</f>
        <v/>
      </c>
      <c r="BQ396" t="str">
        <f>""</f>
        <v/>
      </c>
      <c r="BR396" t="str">
        <f>"18/09/2020"</f>
        <v>18/09/2020</v>
      </c>
      <c r="BS396" t="str">
        <f>""</f>
        <v/>
      </c>
      <c r="BT396" t="str">
        <f>""</f>
        <v/>
      </c>
      <c r="BU396" t="str">
        <f>""</f>
        <v/>
      </c>
      <c r="BV396" t="str">
        <f>"9"</f>
        <v>9</v>
      </c>
      <c r="BW396" t="str">
        <f>"Não visitado"</f>
        <v>Não visitado</v>
      </c>
    </row>
    <row r="397" spans="1:75" x14ac:dyDescent="0.35">
      <c r="A397">
        <v>156735</v>
      </c>
      <c r="B397" t="str">
        <f t="shared" si="184"/>
        <v>A</v>
      </c>
      <c r="C397" t="str">
        <f t="shared" si="185"/>
        <v>80</v>
      </c>
      <c r="D397" t="str">
        <f t="shared" si="186"/>
        <v>11121001</v>
      </c>
      <c r="E397" t="str">
        <f t="shared" si="187"/>
        <v>121001</v>
      </c>
      <c r="F397" t="str">
        <f t="shared" si="188"/>
        <v>JENIFER SANTOS</v>
      </c>
      <c r="G397" t="str">
        <f>"33932889000285"</f>
        <v>33932889000285</v>
      </c>
      <c r="H397" t="str">
        <f>"0"</f>
        <v>0</v>
      </c>
      <c r="I397" t="str">
        <f t="shared" si="190"/>
        <v>CONTA OPTICA</v>
      </c>
      <c r="J397" t="str">
        <f>"PRINCESA MODAS, RELOJOARIA E OTICA LTDA"</f>
        <v>PRINCESA MODAS, RELOJOARIA E OTICA LTDA</v>
      </c>
      <c r="K397" t="str">
        <f>"OTICA PRINCESA EVA (4712)"</f>
        <v>OTICA PRINCESA EVA (4712)</v>
      </c>
      <c r="L397" t="str">
        <f>""</f>
        <v/>
      </c>
      <c r="M397" t="str">
        <f>""</f>
        <v/>
      </c>
      <c r="N397" t="str">
        <f>"LEONI-OLIVEIA@HOTMAIL.COM"</f>
        <v>LEONI-OLIVEIA@HOTMAIL.COM</v>
      </c>
      <c r="O397" t="str">
        <f>""</f>
        <v/>
      </c>
      <c r="P397" t="str">
        <f>"RUA IRIRIU"</f>
        <v>RUA IRIRIU</v>
      </c>
      <c r="Q397" t="str">
        <f>"1080"</f>
        <v>1080</v>
      </c>
      <c r="R397" t="str">
        <f>"SALA 02"</f>
        <v>SALA 02</v>
      </c>
      <c r="S397" t="str">
        <f>"1279"</f>
        <v>1279</v>
      </c>
      <c r="T397" t="str">
        <f>"89227045"</f>
        <v>89227045</v>
      </c>
      <c r="U397" t="str">
        <f>"IRIRIU"</f>
        <v>IRIRIU</v>
      </c>
      <c r="V397" t="str">
        <f>"JOINVILLE"</f>
        <v>JOINVILLE</v>
      </c>
      <c r="W397" t="str">
        <f t="shared" si="194"/>
        <v>SC</v>
      </c>
      <c r="X397" t="str">
        <f>"47"</f>
        <v>47</v>
      </c>
      <c r="Y397" t="str">
        <f>"996375452"</f>
        <v>996375452</v>
      </c>
      <c r="Z397" t="str">
        <f>""</f>
        <v/>
      </c>
      <c r="AA397" t="str">
        <f>""</f>
        <v/>
      </c>
      <c r="AB397" t="str">
        <f>""</f>
        <v/>
      </c>
      <c r="AC397" t="str">
        <f>""</f>
        <v/>
      </c>
      <c r="AD397" t="str">
        <f>""</f>
        <v/>
      </c>
      <c r="AE397" t="str">
        <f>""</f>
        <v/>
      </c>
      <c r="AF397" t="str">
        <f>""</f>
        <v/>
      </c>
      <c r="AG397" t="str">
        <f>""</f>
        <v/>
      </c>
      <c r="AH397" t="str">
        <f>""</f>
        <v/>
      </c>
      <c r="AI397" t="str">
        <f>""</f>
        <v/>
      </c>
      <c r="AJ397" t="str">
        <f>""</f>
        <v/>
      </c>
      <c r="AK397" t="str">
        <f>""</f>
        <v/>
      </c>
      <c r="AL397" t="str">
        <f>""</f>
        <v/>
      </c>
      <c r="AM397" t="str">
        <f>""</f>
        <v/>
      </c>
      <c r="AN397" t="str">
        <f>""</f>
        <v/>
      </c>
      <c r="AO397" t="str">
        <f>""</f>
        <v/>
      </c>
      <c r="AP397" t="str">
        <f>""</f>
        <v/>
      </c>
      <c r="AQ397" t="str">
        <f>""</f>
        <v/>
      </c>
      <c r="AR397" t="str">
        <f>""</f>
        <v/>
      </c>
      <c r="AS397" t="str">
        <f>""</f>
        <v/>
      </c>
      <c r="AT397" t="str">
        <f>""</f>
        <v/>
      </c>
      <c r="AU397" t="str">
        <f>""</f>
        <v/>
      </c>
      <c r="AV397" t="str">
        <f>""</f>
        <v/>
      </c>
      <c r="AW397" t="str">
        <f>""</f>
        <v/>
      </c>
      <c r="AX397" t="str">
        <f>""</f>
        <v/>
      </c>
      <c r="AY397" t="str">
        <f>""</f>
        <v/>
      </c>
      <c r="AZ397" t="str">
        <f>""</f>
        <v/>
      </c>
      <c r="BA397" t="str">
        <f>""</f>
        <v/>
      </c>
      <c r="BB397" t="str">
        <f>"06/07/2023 12:07:48"</f>
        <v>06/07/2023 12:07:48</v>
      </c>
      <c r="BC397" t="str">
        <f>""</f>
        <v/>
      </c>
      <c r="BD397" t="str">
        <f>""</f>
        <v/>
      </c>
      <c r="BE397" t="str">
        <f>""</f>
        <v/>
      </c>
      <c r="BF397" t="str">
        <f t="shared" si="191"/>
        <v>A</v>
      </c>
      <c r="BG397" t="str">
        <f>""</f>
        <v/>
      </c>
      <c r="BH397" t="str">
        <f>""</f>
        <v/>
      </c>
      <c r="BI397" t="str">
        <f t="shared" si="172"/>
        <v>EVENTUAL</v>
      </c>
      <c r="BJ397" t="str">
        <f t="shared" si="192"/>
        <v>1</v>
      </c>
      <c r="BK397" t="str">
        <f t="shared" si="193"/>
        <v>Farmacia</v>
      </c>
      <c r="BL397" t="str">
        <f>""</f>
        <v/>
      </c>
      <c r="BM397" t="str">
        <f>""</f>
        <v/>
      </c>
      <c r="BN397" t="str">
        <f>""</f>
        <v/>
      </c>
      <c r="BO397" t="str">
        <f>""</f>
        <v/>
      </c>
      <c r="BP397" t="str">
        <f>""</f>
        <v/>
      </c>
      <c r="BQ397" t="str">
        <f>""</f>
        <v/>
      </c>
      <c r="BR397" t="str">
        <f>"06/07/2023"</f>
        <v>06/07/2023</v>
      </c>
      <c r="BS397" t="str">
        <f>""</f>
        <v/>
      </c>
      <c r="BT397" t="str">
        <f>""</f>
        <v/>
      </c>
      <c r="BU397" t="str">
        <f>""</f>
        <v/>
      </c>
      <c r="BV397" t="str">
        <f>""</f>
        <v/>
      </c>
      <c r="BW397" t="str">
        <f>"Não visitado"</f>
        <v>Não visitado</v>
      </c>
    </row>
    <row r="398" spans="1:75" x14ac:dyDescent="0.35">
      <c r="A398">
        <v>144454</v>
      </c>
      <c r="B398" t="str">
        <f t="shared" si="184"/>
        <v>A</v>
      </c>
      <c r="C398" t="str">
        <f t="shared" si="185"/>
        <v>80</v>
      </c>
      <c r="D398" t="str">
        <f t="shared" si="186"/>
        <v>11121001</v>
      </c>
      <c r="E398" t="str">
        <f t="shared" si="187"/>
        <v>121001</v>
      </c>
      <c r="F398" t="str">
        <f t="shared" si="188"/>
        <v>JENIFER SANTOS</v>
      </c>
      <c r="G398" t="str">
        <f>"24935450000134"</f>
        <v>24935450000134</v>
      </c>
      <c r="H398" t="str">
        <f>""</f>
        <v/>
      </c>
      <c r="I398" t="str">
        <f t="shared" si="190"/>
        <v>CONTA OPTICA</v>
      </c>
      <c r="J398" t="str">
        <f>"PRODUTOS OPTICOS CONTESTADOLTDA - ME"</f>
        <v>PRODUTOS OPTICOS CONTESTADOLTDA - ME</v>
      </c>
      <c r="K398" t="str">
        <f>"OTICA NOVA CONFIANCA (3329)"</f>
        <v>OTICA NOVA CONFIANCA (3329)</v>
      </c>
      <c r="L398" t="str">
        <f>""</f>
        <v/>
      </c>
      <c r="M398" t="str">
        <f>""</f>
        <v/>
      </c>
      <c r="N398" t="str">
        <f>"produtosoticoscontestado@gmail.com"</f>
        <v>produtosoticoscontestado@gmail.com</v>
      </c>
      <c r="O398" t="str">
        <f>""</f>
        <v/>
      </c>
      <c r="P398" t="str">
        <f>"RUA VIDAL RAMOS"</f>
        <v>RUA VIDAL RAMOS</v>
      </c>
      <c r="Q398" t="str">
        <f>"514"</f>
        <v>514</v>
      </c>
      <c r="R398" t="str">
        <f>"SALA 02"</f>
        <v>SALA 02</v>
      </c>
      <c r="S398" t="str">
        <f>"1283"</f>
        <v>1283</v>
      </c>
      <c r="T398" t="str">
        <f>"89460000"</f>
        <v>89460000</v>
      </c>
      <c r="U398" t="str">
        <f>"CENTRO"</f>
        <v>CENTRO</v>
      </c>
      <c r="V398" t="str">
        <f>"CANOINHAS"</f>
        <v>CANOINHAS</v>
      </c>
      <c r="W398" t="str">
        <f t="shared" si="194"/>
        <v>SC</v>
      </c>
      <c r="X398" t="str">
        <f>"47"</f>
        <v>47</v>
      </c>
      <c r="Y398" t="str">
        <f>"36222982"</f>
        <v>36222982</v>
      </c>
      <c r="Z398" t="str">
        <f>""</f>
        <v/>
      </c>
      <c r="AA398" t="str">
        <f>""</f>
        <v/>
      </c>
      <c r="AB398" t="str">
        <f>""</f>
        <v/>
      </c>
      <c r="AC398" t="str">
        <f>""</f>
        <v/>
      </c>
      <c r="AD398" t="str">
        <f>""</f>
        <v/>
      </c>
      <c r="AE398" t="str">
        <f>""</f>
        <v/>
      </c>
      <c r="AF398" t="str">
        <f>""</f>
        <v/>
      </c>
      <c r="AG398" t="str">
        <f>""</f>
        <v/>
      </c>
      <c r="AH398" t="str">
        <f>""</f>
        <v/>
      </c>
      <c r="AI398" t="str">
        <f>""</f>
        <v/>
      </c>
      <c r="AJ398" t="str">
        <f t="shared" ref="AJ398:AL400" si="196">"0"</f>
        <v>0</v>
      </c>
      <c r="AK398" t="str">
        <f t="shared" si="196"/>
        <v>0</v>
      </c>
      <c r="AL398" t="str">
        <f t="shared" si="196"/>
        <v>0</v>
      </c>
      <c r="AM398" t="str">
        <f>""</f>
        <v/>
      </c>
      <c r="AN398" t="str">
        <f>""</f>
        <v/>
      </c>
      <c r="AO398" t="str">
        <f>""</f>
        <v/>
      </c>
      <c r="AP398" t="str">
        <f>""</f>
        <v/>
      </c>
      <c r="AQ398" t="str">
        <f>""</f>
        <v/>
      </c>
      <c r="AR398" t="str">
        <f>""</f>
        <v/>
      </c>
      <c r="AS398" t="str">
        <f>""</f>
        <v/>
      </c>
      <c r="AT398" t="str">
        <f>""</f>
        <v/>
      </c>
      <c r="AU398" t="str">
        <f>""</f>
        <v/>
      </c>
      <c r="AV398" t="str">
        <f>""</f>
        <v/>
      </c>
      <c r="AW398" t="str">
        <f>""</f>
        <v/>
      </c>
      <c r="AX398" t="str">
        <f>""</f>
        <v/>
      </c>
      <c r="AY398" t="str">
        <f>""</f>
        <v/>
      </c>
      <c r="AZ398" t="str">
        <f>""</f>
        <v/>
      </c>
      <c r="BA398" t="str">
        <f>""</f>
        <v/>
      </c>
      <c r="BB398" t="str">
        <f>""</f>
        <v/>
      </c>
      <c r="BC398" t="str">
        <f>""</f>
        <v/>
      </c>
      <c r="BD398" t="str">
        <f>""</f>
        <v/>
      </c>
      <c r="BE398" t="str">
        <f>""</f>
        <v/>
      </c>
      <c r="BF398" t="str">
        <f t="shared" si="191"/>
        <v>A</v>
      </c>
      <c r="BG398" t="str">
        <f t="shared" ref="BG398:BH400" si="197">"0,00"</f>
        <v>0,00</v>
      </c>
      <c r="BH398" t="str">
        <f t="shared" si="197"/>
        <v>0,00</v>
      </c>
      <c r="BI398" t="str">
        <f t="shared" si="172"/>
        <v>EVENTUAL</v>
      </c>
      <c r="BJ398" t="str">
        <f t="shared" si="192"/>
        <v>1</v>
      </c>
      <c r="BK398" t="str">
        <f t="shared" si="193"/>
        <v>Farmacia</v>
      </c>
      <c r="BL398" t="str">
        <f>""</f>
        <v/>
      </c>
      <c r="BM398" t="str">
        <f>"NÃO É VARILUX ESPECIALISTA"</f>
        <v>NÃO É VARILUX ESPECIALISTA</v>
      </c>
      <c r="BN398" t="str">
        <f>"NA"</f>
        <v>NA</v>
      </c>
      <c r="BO398" t="str">
        <f>"FOCO VARILUX"</f>
        <v>FOCO VARILUX</v>
      </c>
      <c r="BP398" t="str">
        <f>""</f>
        <v/>
      </c>
      <c r="BQ398" t="str">
        <f>""</f>
        <v/>
      </c>
      <c r="BR398" t="str">
        <f>""</f>
        <v/>
      </c>
      <c r="BS398" t="str">
        <f>""</f>
        <v/>
      </c>
      <c r="BT398" t="str">
        <f>""</f>
        <v/>
      </c>
      <c r="BU398" t="str">
        <f>""</f>
        <v/>
      </c>
      <c r="BV398" t="str">
        <f>"9"</f>
        <v>9</v>
      </c>
      <c r="BW398" t="str">
        <f>"380"</f>
        <v>380</v>
      </c>
    </row>
    <row r="399" spans="1:75" x14ac:dyDescent="0.35">
      <c r="A399">
        <v>120394</v>
      </c>
      <c r="B399" t="str">
        <f t="shared" si="184"/>
        <v>A</v>
      </c>
      <c r="C399" t="str">
        <f t="shared" si="185"/>
        <v>80</v>
      </c>
      <c r="D399" t="str">
        <f t="shared" si="186"/>
        <v>11121001</v>
      </c>
      <c r="E399" t="str">
        <f t="shared" si="187"/>
        <v>121001</v>
      </c>
      <c r="F399" t="str">
        <f t="shared" si="188"/>
        <v>JENIFER SANTOS</v>
      </c>
      <c r="G399" t="str">
        <f>"03744492000118"</f>
        <v>03744492000118</v>
      </c>
      <c r="H399" t="str">
        <f>"0"</f>
        <v>0</v>
      </c>
      <c r="I399" t="str">
        <f t="shared" si="190"/>
        <v>CONTA OPTICA</v>
      </c>
      <c r="J399" t="str">
        <f>"PUPILA COMERCIO DE OCULOS LTDA ME"</f>
        <v>PUPILA COMERCIO DE OCULOS LTDA ME</v>
      </c>
      <c r="K399" t="str">
        <f>"PUPILA COMERCIO DE OCULOS LTDA ME (1311)"</f>
        <v>PUPILA COMERCIO DE OCULOS LTDA ME (1311)</v>
      </c>
      <c r="L399" t="str">
        <f>""</f>
        <v/>
      </c>
      <c r="M399" t="str">
        <f>""</f>
        <v/>
      </c>
      <c r="N399" t="str">
        <f>"oticapupilachapeco@hotmail.com"</f>
        <v>oticapupilachapeco@hotmail.com</v>
      </c>
      <c r="O399" t="str">
        <f>""</f>
        <v/>
      </c>
      <c r="P399" t="str">
        <f>"RUA GETULIO DORNELES VARGAS - S"</f>
        <v>RUA GETULIO DORNELES VARGAS - S</v>
      </c>
      <c r="Q399" t="str">
        <f>"680"</f>
        <v>680</v>
      </c>
      <c r="R399" t="str">
        <f>"S"</f>
        <v>S</v>
      </c>
      <c r="S399" t="str">
        <f>"1287"</f>
        <v>1287</v>
      </c>
      <c r="T399" t="str">
        <f>"89814000"</f>
        <v>89814000</v>
      </c>
      <c r="U399" t="str">
        <f>"CENTRO"</f>
        <v>CENTRO</v>
      </c>
      <c r="V399" t="str">
        <f>"CHAPECÓ"</f>
        <v>CHAPECÓ</v>
      </c>
      <c r="W399" t="str">
        <f t="shared" si="194"/>
        <v>SC</v>
      </c>
      <c r="X399" t="str">
        <f>"49"</f>
        <v>49</v>
      </c>
      <c r="Y399" t="str">
        <f>"33295466"</f>
        <v>33295466</v>
      </c>
      <c r="Z399" t="str">
        <f>""</f>
        <v/>
      </c>
      <c r="AA399" t="str">
        <f>""</f>
        <v/>
      </c>
      <c r="AB399" t="str">
        <f>""</f>
        <v/>
      </c>
      <c r="AC399" t="str">
        <f>""</f>
        <v/>
      </c>
      <c r="AD399" t="str">
        <f>""</f>
        <v/>
      </c>
      <c r="AE399" t="str">
        <f>""</f>
        <v/>
      </c>
      <c r="AF399" t="str">
        <f>""</f>
        <v/>
      </c>
      <c r="AG399" t="str">
        <f>"S"</f>
        <v>S</v>
      </c>
      <c r="AH399" t="str">
        <f>""</f>
        <v/>
      </c>
      <c r="AI399" t="str">
        <f>""</f>
        <v/>
      </c>
      <c r="AJ399" t="str">
        <f t="shared" si="196"/>
        <v>0</v>
      </c>
      <c r="AK399" t="str">
        <f t="shared" si="196"/>
        <v>0</v>
      </c>
      <c r="AL399" t="str">
        <f t="shared" si="196"/>
        <v>0</v>
      </c>
      <c r="AM399" t="str">
        <f>""</f>
        <v/>
      </c>
      <c r="AN399" t="str">
        <f>""</f>
        <v/>
      </c>
      <c r="AO399" t="str">
        <f>""</f>
        <v/>
      </c>
      <c r="AP399" t="str">
        <f>""</f>
        <v/>
      </c>
      <c r="AQ399" t="str">
        <f>"N"</f>
        <v>N</v>
      </c>
      <c r="AR399" t="str">
        <f>"N"</f>
        <v>N</v>
      </c>
      <c r="AS399" t="str">
        <f>"N"</f>
        <v>N</v>
      </c>
      <c r="AT399" t="str">
        <f>"N"</f>
        <v>N</v>
      </c>
      <c r="AU399" t="str">
        <f>"N"</f>
        <v>N</v>
      </c>
      <c r="AV399" t="str">
        <f>""</f>
        <v/>
      </c>
      <c r="AW399" t="str">
        <f>""</f>
        <v/>
      </c>
      <c r="AX399" t="str">
        <f>""</f>
        <v/>
      </c>
      <c r="AY399" t="str">
        <f>""</f>
        <v/>
      </c>
      <c r="AZ399" t="str">
        <f>""</f>
        <v/>
      </c>
      <c r="BA399" t="str">
        <f>""</f>
        <v/>
      </c>
      <c r="BB399" t="str">
        <f>"18/09/2020 22:12:34"</f>
        <v>18/09/2020 22:12:34</v>
      </c>
      <c r="BC399" t="str">
        <f>"12/07/2023 10:53:04"</f>
        <v>12/07/2023 10:53:04</v>
      </c>
      <c r="BD399" t="str">
        <f>""</f>
        <v/>
      </c>
      <c r="BE399" t="str">
        <f>""</f>
        <v/>
      </c>
      <c r="BF399" t="str">
        <f t="shared" si="191"/>
        <v>A</v>
      </c>
      <c r="BG399" t="str">
        <f t="shared" si="197"/>
        <v>0,00</v>
      </c>
      <c r="BH399" t="str">
        <f t="shared" si="197"/>
        <v>0,00</v>
      </c>
      <c r="BI399" t="str">
        <f>"MENSAL"</f>
        <v>MENSAL</v>
      </c>
      <c r="BJ399" t="str">
        <f t="shared" si="192"/>
        <v>1</v>
      </c>
      <c r="BK399" t="str">
        <f t="shared" si="193"/>
        <v>Farmacia</v>
      </c>
      <c r="BL399" t="str">
        <f>""</f>
        <v/>
      </c>
      <c r="BM399" t="str">
        <f>"VARILUX ESPECIALISTA SELECT"</f>
        <v>VARILUX ESPECIALISTA SELECT</v>
      </c>
      <c r="BN399" t="str">
        <f>""</f>
        <v/>
      </c>
      <c r="BO399" t="str">
        <f>"FOCO VARILUX"</f>
        <v>FOCO VARILUX</v>
      </c>
      <c r="BP399" t="str">
        <f>""</f>
        <v/>
      </c>
      <c r="BQ399" t="str">
        <f>""</f>
        <v/>
      </c>
      <c r="BR399" t="str">
        <f>"18/09/2020"</f>
        <v>18/09/2020</v>
      </c>
      <c r="BS399" t="str">
        <f>"12/07/2023"</f>
        <v>12/07/2023</v>
      </c>
      <c r="BT399" t="str">
        <f>""</f>
        <v/>
      </c>
      <c r="BU399" t="str">
        <f>""</f>
        <v/>
      </c>
      <c r="BV399" t="str">
        <f>"9"</f>
        <v>9</v>
      </c>
      <c r="BW399" t="str">
        <f>"129"</f>
        <v>129</v>
      </c>
    </row>
    <row r="400" spans="1:75" x14ac:dyDescent="0.35">
      <c r="A400">
        <v>915</v>
      </c>
      <c r="B400" t="str">
        <f t="shared" si="184"/>
        <v>A</v>
      </c>
      <c r="C400" t="str">
        <f t="shared" si="185"/>
        <v>80</v>
      </c>
      <c r="D400" t="str">
        <f t="shared" si="186"/>
        <v>11121001</v>
      </c>
      <c r="E400" t="str">
        <f t="shared" si="187"/>
        <v>121001</v>
      </c>
      <c r="F400" t="str">
        <f t="shared" si="188"/>
        <v>JENIFER SANTOS</v>
      </c>
      <c r="G400" t="str">
        <f>"07531028000102"</f>
        <v>07531028000102</v>
      </c>
      <c r="H400" t="str">
        <f>""</f>
        <v/>
      </c>
      <c r="I400" t="str">
        <f t="shared" si="190"/>
        <v>CONTA OPTICA</v>
      </c>
      <c r="J400" t="str">
        <f>"RAFAEL SOUZA ULIANO ME"</f>
        <v>RAFAEL SOUZA ULIANO ME</v>
      </c>
      <c r="K400" t="str">
        <f>"RAFAEL SOUZA ULIANO ME (870)"</f>
        <v>RAFAEL SOUZA ULIANO ME (870)</v>
      </c>
      <c r="L400" t="str">
        <f>""</f>
        <v/>
      </c>
      <c r="M400" t="str">
        <f>""</f>
        <v/>
      </c>
      <c r="N400" t="str">
        <f>"rafatime@me.com"</f>
        <v>rafatime@me.com</v>
      </c>
      <c r="O400" t="str">
        <f>""</f>
        <v/>
      </c>
      <c r="P400" t="str">
        <f>"AVENIDA AMANDIO CABRAL"</f>
        <v>AVENIDA AMANDIO CABRAL</v>
      </c>
      <c r="Q400" t="str">
        <f>"915"</f>
        <v>915</v>
      </c>
      <c r="R400" t="str">
        <f>""</f>
        <v/>
      </c>
      <c r="S400" t="str">
        <f>"1280"</f>
        <v>1280</v>
      </c>
      <c r="T400" t="str">
        <f>"89247000"</f>
        <v>89247000</v>
      </c>
      <c r="U400" t="str">
        <f>"CENTRO"</f>
        <v>CENTRO</v>
      </c>
      <c r="V400" t="str">
        <f>"BALNEÁRIO BARRA DO SUL"</f>
        <v>BALNEÁRIO BARRA DO SUL</v>
      </c>
      <c r="W400" t="str">
        <f t="shared" si="194"/>
        <v>SC</v>
      </c>
      <c r="X400" t="str">
        <f>"47"</f>
        <v>47</v>
      </c>
      <c r="Y400" t="str">
        <f>"34482805"</f>
        <v>34482805</v>
      </c>
      <c r="Z400" t="str">
        <f>""</f>
        <v/>
      </c>
      <c r="AA400" t="str">
        <f>""</f>
        <v/>
      </c>
      <c r="AB400" t="str">
        <f>""</f>
        <v/>
      </c>
      <c r="AC400" t="str">
        <f>""</f>
        <v/>
      </c>
      <c r="AD400" t="str">
        <f>""</f>
        <v/>
      </c>
      <c r="AE400" t="str">
        <f>""</f>
        <v/>
      </c>
      <c r="AF400" t="str">
        <f>""</f>
        <v/>
      </c>
      <c r="AG400" t="str">
        <f>""</f>
        <v/>
      </c>
      <c r="AH400" t="str">
        <f>""</f>
        <v/>
      </c>
      <c r="AI400" t="str">
        <f>""</f>
        <v/>
      </c>
      <c r="AJ400" t="str">
        <f t="shared" si="196"/>
        <v>0</v>
      </c>
      <c r="AK400" t="str">
        <f t="shared" si="196"/>
        <v>0</v>
      </c>
      <c r="AL400" t="str">
        <f t="shared" si="196"/>
        <v>0</v>
      </c>
      <c r="AM400" t="str">
        <f>""</f>
        <v/>
      </c>
      <c r="AN400" t="str">
        <f>""</f>
        <v/>
      </c>
      <c r="AO400" t="str">
        <f>""</f>
        <v/>
      </c>
      <c r="AP400" t="str">
        <f>""</f>
        <v/>
      </c>
      <c r="AQ400" t="str">
        <f>""</f>
        <v/>
      </c>
      <c r="AR400" t="str">
        <f>""</f>
        <v/>
      </c>
      <c r="AS400" t="str">
        <f>""</f>
        <v/>
      </c>
      <c r="AT400" t="str">
        <f>""</f>
        <v/>
      </c>
      <c r="AU400" t="str">
        <f>""</f>
        <v/>
      </c>
      <c r="AV400" t="str">
        <f>""</f>
        <v/>
      </c>
      <c r="AW400" t="str">
        <f>""</f>
        <v/>
      </c>
      <c r="AX400" t="str">
        <f>""</f>
        <v/>
      </c>
      <c r="AY400" t="str">
        <f>""</f>
        <v/>
      </c>
      <c r="AZ400" t="str">
        <f>""</f>
        <v/>
      </c>
      <c r="BA400" t="str">
        <f>""</f>
        <v/>
      </c>
      <c r="BB400" t="str">
        <f>"27/07/2018 09:25:54"</f>
        <v>27/07/2018 09:25:54</v>
      </c>
      <c r="BC400" t="str">
        <f>""</f>
        <v/>
      </c>
      <c r="BD400" t="str">
        <f>""</f>
        <v/>
      </c>
      <c r="BE400" t="str">
        <f>"915"</f>
        <v>915</v>
      </c>
      <c r="BF400" t="str">
        <f t="shared" si="191"/>
        <v>A</v>
      </c>
      <c r="BG400" t="str">
        <f t="shared" si="197"/>
        <v>0,00</v>
      </c>
      <c r="BH400" t="str">
        <f t="shared" si="197"/>
        <v>0,00</v>
      </c>
      <c r="BI400" t="str">
        <f t="shared" ref="BI400:BI431" si="198">"EVENTUAL"</f>
        <v>EVENTUAL</v>
      </c>
      <c r="BJ400" t="str">
        <f t="shared" si="192"/>
        <v>1</v>
      </c>
      <c r="BK400" t="str">
        <f t="shared" si="193"/>
        <v>Farmacia</v>
      </c>
      <c r="BL400" t="str">
        <f>""</f>
        <v/>
      </c>
      <c r="BM400" t="str">
        <f>"NÃO É VARILUX ESPECIALISTA"</f>
        <v>NÃO É VARILUX ESPECIALISTA</v>
      </c>
      <c r="BN400" t="str">
        <f>"NA"</f>
        <v>NA</v>
      </c>
      <c r="BO400" t="str">
        <f>"OUTROS"</f>
        <v>OUTROS</v>
      </c>
      <c r="BP400" t="str">
        <f>""</f>
        <v/>
      </c>
      <c r="BQ400" t="str">
        <f>""</f>
        <v/>
      </c>
      <c r="BR400" t="str">
        <f>"27/07/2018"</f>
        <v>27/07/2018</v>
      </c>
      <c r="BS400" t="str">
        <f>""</f>
        <v/>
      </c>
      <c r="BT400" t="str">
        <f>""</f>
        <v/>
      </c>
      <c r="BU400" t="str">
        <f>""</f>
        <v/>
      </c>
      <c r="BV400" t="str">
        <f>"5"</f>
        <v>5</v>
      </c>
      <c r="BW400" t="str">
        <f>"Não visitado"</f>
        <v>Não visitado</v>
      </c>
    </row>
    <row r="401" spans="1:75" x14ac:dyDescent="0.35">
      <c r="A401">
        <v>156737</v>
      </c>
      <c r="B401" t="str">
        <f t="shared" si="184"/>
        <v>A</v>
      </c>
      <c r="C401" t="str">
        <f t="shared" si="185"/>
        <v>80</v>
      </c>
      <c r="D401" t="str">
        <f t="shared" si="186"/>
        <v>11121001</v>
      </c>
      <c r="E401" t="str">
        <f t="shared" si="187"/>
        <v>121001</v>
      </c>
      <c r="F401" t="str">
        <f t="shared" si="188"/>
        <v>JENIFER SANTOS</v>
      </c>
      <c r="G401" t="str">
        <f>"13011810000195"</f>
        <v>13011810000195</v>
      </c>
      <c r="H401" t="str">
        <f>"0"</f>
        <v>0</v>
      </c>
      <c r="I401" t="str">
        <f t="shared" si="190"/>
        <v>CONTA OPTICA</v>
      </c>
      <c r="J401" t="str">
        <f>"RAMON PAIVA KLUG"</f>
        <v>RAMON PAIVA KLUG</v>
      </c>
      <c r="K401" t="str">
        <f>"OTICA REGIONAL (4703)"</f>
        <v>OTICA REGIONAL (4703)</v>
      </c>
      <c r="L401" t="str">
        <f>""</f>
        <v/>
      </c>
      <c r="M401" t="str">
        <f>""</f>
        <v/>
      </c>
      <c r="N401" t="str">
        <f>"REGIONALJLLE@GMAIL.COM"</f>
        <v>REGIONALJLLE@GMAIL.COM</v>
      </c>
      <c r="O401" t="str">
        <f>""</f>
        <v/>
      </c>
      <c r="P401" t="str">
        <f>"RUA ALBANO SCHMIDT"</f>
        <v>RUA ALBANO SCHMIDT</v>
      </c>
      <c r="Q401" t="str">
        <f>"4182"</f>
        <v>4182</v>
      </c>
      <c r="R401" t="str">
        <f>"SALA 01"</f>
        <v>SALA 01</v>
      </c>
      <c r="S401" t="str">
        <f>"1279"</f>
        <v>1279</v>
      </c>
      <c r="T401" t="str">
        <f>"89205101"</f>
        <v>89205101</v>
      </c>
      <c r="U401" t="str">
        <f>"BOA VISTA"</f>
        <v>BOA VISTA</v>
      </c>
      <c r="V401" t="str">
        <f>"JOINVILLE"</f>
        <v>JOINVILLE</v>
      </c>
      <c r="W401" t="str">
        <f t="shared" si="194"/>
        <v>SC</v>
      </c>
      <c r="X401" t="str">
        <f>"47"</f>
        <v>47</v>
      </c>
      <c r="Y401" t="str">
        <f>"32274598"</f>
        <v>32274598</v>
      </c>
      <c r="Z401" t="str">
        <f>""</f>
        <v/>
      </c>
      <c r="AA401" t="str">
        <f>""</f>
        <v/>
      </c>
      <c r="AB401" t="str">
        <f>""</f>
        <v/>
      </c>
      <c r="AC401" t="str">
        <f>""</f>
        <v/>
      </c>
      <c r="AD401" t="str">
        <f>""</f>
        <v/>
      </c>
      <c r="AE401" t="str">
        <f>""</f>
        <v/>
      </c>
      <c r="AF401" t="str">
        <f>""</f>
        <v/>
      </c>
      <c r="AG401" t="str">
        <f>""</f>
        <v/>
      </c>
      <c r="AH401" t="str">
        <f>""</f>
        <v/>
      </c>
      <c r="AI401" t="str">
        <f>""</f>
        <v/>
      </c>
      <c r="AJ401" t="str">
        <f>""</f>
        <v/>
      </c>
      <c r="AK401" t="str">
        <f>""</f>
        <v/>
      </c>
      <c r="AL401" t="str">
        <f>""</f>
        <v/>
      </c>
      <c r="AM401" t="str">
        <f>""</f>
        <v/>
      </c>
      <c r="AN401" t="str">
        <f>""</f>
        <v/>
      </c>
      <c r="AO401" t="str">
        <f>""</f>
        <v/>
      </c>
      <c r="AP401" t="str">
        <f>""</f>
        <v/>
      </c>
      <c r="AQ401" t="str">
        <f>""</f>
        <v/>
      </c>
      <c r="AR401" t="str">
        <f>""</f>
        <v/>
      </c>
      <c r="AS401" t="str">
        <f>""</f>
        <v/>
      </c>
      <c r="AT401" t="str">
        <f>""</f>
        <v/>
      </c>
      <c r="AU401" t="str">
        <f>""</f>
        <v/>
      </c>
      <c r="AV401" t="str">
        <f>""</f>
        <v/>
      </c>
      <c r="AW401" t="str">
        <f>""</f>
        <v/>
      </c>
      <c r="AX401" t="str">
        <f>""</f>
        <v/>
      </c>
      <c r="AY401" t="str">
        <f>""</f>
        <v/>
      </c>
      <c r="AZ401" t="str">
        <f>""</f>
        <v/>
      </c>
      <c r="BA401" t="str">
        <f>""</f>
        <v/>
      </c>
      <c r="BB401" t="str">
        <f>"06/07/2023 12:07:48"</f>
        <v>06/07/2023 12:07:48</v>
      </c>
      <c r="BC401" t="str">
        <f>""</f>
        <v/>
      </c>
      <c r="BD401" t="str">
        <f>""</f>
        <v/>
      </c>
      <c r="BE401" t="str">
        <f>""</f>
        <v/>
      </c>
      <c r="BF401" t="str">
        <f t="shared" si="191"/>
        <v>A</v>
      </c>
      <c r="BG401" t="str">
        <f>""</f>
        <v/>
      </c>
      <c r="BH401" t="str">
        <f>""</f>
        <v/>
      </c>
      <c r="BI401" t="str">
        <f t="shared" si="198"/>
        <v>EVENTUAL</v>
      </c>
      <c r="BJ401" t="str">
        <f t="shared" si="192"/>
        <v>1</v>
      </c>
      <c r="BK401" t="str">
        <f t="shared" si="193"/>
        <v>Farmacia</v>
      </c>
      <c r="BL401" t="str">
        <f>""</f>
        <v/>
      </c>
      <c r="BM401" t="str">
        <f>""</f>
        <v/>
      </c>
      <c r="BN401" t="str">
        <f>""</f>
        <v/>
      </c>
      <c r="BO401" t="str">
        <f>""</f>
        <v/>
      </c>
      <c r="BP401" t="str">
        <f>""</f>
        <v/>
      </c>
      <c r="BQ401" t="str">
        <f>""</f>
        <v/>
      </c>
      <c r="BR401" t="str">
        <f>"06/07/2023"</f>
        <v>06/07/2023</v>
      </c>
      <c r="BS401" t="str">
        <f>""</f>
        <v/>
      </c>
      <c r="BT401" t="str">
        <f>""</f>
        <v/>
      </c>
      <c r="BU401" t="str">
        <f>""</f>
        <v/>
      </c>
      <c r="BV401" t="str">
        <f>""</f>
        <v/>
      </c>
      <c r="BW401" t="str">
        <f>"16"</f>
        <v>16</v>
      </c>
    </row>
    <row r="402" spans="1:75" x14ac:dyDescent="0.35">
      <c r="A402">
        <v>138203</v>
      </c>
      <c r="B402" t="str">
        <f t="shared" si="184"/>
        <v>A</v>
      </c>
      <c r="C402" t="str">
        <f t="shared" si="185"/>
        <v>80</v>
      </c>
      <c r="D402" t="str">
        <f t="shared" si="186"/>
        <v>11121001</v>
      </c>
      <c r="E402" t="str">
        <f t="shared" si="187"/>
        <v>121001</v>
      </c>
      <c r="F402" t="str">
        <f t="shared" si="188"/>
        <v>JENIFER SANTOS</v>
      </c>
      <c r="G402" t="str">
        <f>"72528433000125"</f>
        <v>72528433000125</v>
      </c>
      <c r="H402" t="str">
        <f>"0"</f>
        <v>0</v>
      </c>
      <c r="I402" t="str">
        <f t="shared" si="190"/>
        <v>CONTA OPTICA</v>
      </c>
      <c r="J402" t="str">
        <f>"RAUL CESAR GHENO"</f>
        <v>RAUL CESAR GHENO</v>
      </c>
      <c r="K402" t="str">
        <f>"RAUL CESAR GHENO (1281)"</f>
        <v>RAUL CESAR GHENO (1281)</v>
      </c>
      <c r="L402" t="str">
        <f>""</f>
        <v/>
      </c>
      <c r="M402" t="str">
        <f>""</f>
        <v/>
      </c>
      <c r="N402" t="str">
        <f>"ghenooptica@hotmail.com"</f>
        <v>ghenooptica@hotmail.com</v>
      </c>
      <c r="O402" t="str">
        <f>""</f>
        <v/>
      </c>
      <c r="P402" t="str">
        <f>"RUA IRMAO GABRIEL LEAO"</f>
        <v>RUA IRMAO GABRIEL LEAO</v>
      </c>
      <c r="Q402" t="str">
        <f>"493"</f>
        <v>493</v>
      </c>
      <c r="R402" t="str">
        <f>"LOJA 01"</f>
        <v>LOJA 01</v>
      </c>
      <c r="S402" t="str">
        <f>"1391"</f>
        <v>1391</v>
      </c>
      <c r="T402" t="str">
        <f>"99900000"</f>
        <v>99900000</v>
      </c>
      <c r="U402" t="str">
        <f>"CENTRO"</f>
        <v>CENTRO</v>
      </c>
      <c r="V402" t="str">
        <f>"GETÚLIO VARGAS"</f>
        <v>GETÚLIO VARGAS</v>
      </c>
      <c r="W402" t="str">
        <f>"RS"</f>
        <v>RS</v>
      </c>
      <c r="X402" t="str">
        <f>"54"</f>
        <v>54</v>
      </c>
      <c r="Y402" t="str">
        <f>"33411072"</f>
        <v>33411072</v>
      </c>
      <c r="Z402" t="str">
        <f>""</f>
        <v/>
      </c>
      <c r="AA402" t="str">
        <f>""</f>
        <v/>
      </c>
      <c r="AB402" t="str">
        <f>""</f>
        <v/>
      </c>
      <c r="AC402" t="str">
        <f>""</f>
        <v/>
      </c>
      <c r="AD402" t="str">
        <f>""</f>
        <v/>
      </c>
      <c r="AE402" t="str">
        <f>""</f>
        <v/>
      </c>
      <c r="AF402" t="str">
        <f>""</f>
        <v/>
      </c>
      <c r="AG402" t="str">
        <f>"S"</f>
        <v>S</v>
      </c>
      <c r="AH402" t="str">
        <f>""</f>
        <v/>
      </c>
      <c r="AI402" t="str">
        <f>""</f>
        <v/>
      </c>
      <c r="AJ402" t="str">
        <f>""</f>
        <v/>
      </c>
      <c r="AK402" t="str">
        <f>""</f>
        <v/>
      </c>
      <c r="AL402" t="str">
        <f>""</f>
        <v/>
      </c>
      <c r="AM402" t="str">
        <f>""</f>
        <v/>
      </c>
      <c r="AN402" t="str">
        <f>""</f>
        <v/>
      </c>
      <c r="AO402" t="str">
        <f>""</f>
        <v/>
      </c>
      <c r="AP402" t="str">
        <f>""</f>
        <v/>
      </c>
      <c r="AQ402" t="str">
        <f t="shared" ref="AQ402:AU403" si="199">"N"</f>
        <v>N</v>
      </c>
      <c r="AR402" t="str">
        <f t="shared" si="199"/>
        <v>N</v>
      </c>
      <c r="AS402" t="str">
        <f t="shared" si="199"/>
        <v>N</v>
      </c>
      <c r="AT402" t="str">
        <f t="shared" si="199"/>
        <v>N</v>
      </c>
      <c r="AU402" t="str">
        <f t="shared" si="199"/>
        <v>N</v>
      </c>
      <c r="AV402" t="str">
        <f>""</f>
        <v/>
      </c>
      <c r="AW402" t="str">
        <f>""</f>
        <v/>
      </c>
      <c r="AX402" t="str">
        <f>""</f>
        <v/>
      </c>
      <c r="AY402" t="str">
        <f>""</f>
        <v/>
      </c>
      <c r="AZ402" t="str">
        <f>""</f>
        <v/>
      </c>
      <c r="BA402" t="str">
        <f>""</f>
        <v/>
      </c>
      <c r="BB402" t="str">
        <f>"01/07/2021 13:53:04"</f>
        <v>01/07/2021 13:53:04</v>
      </c>
      <c r="BC402" t="str">
        <f>"07/07/2022 10:54:20"</f>
        <v>07/07/2022 10:54:20</v>
      </c>
      <c r="BD402" t="str">
        <f>""</f>
        <v/>
      </c>
      <c r="BE402" t="str">
        <f>""</f>
        <v/>
      </c>
      <c r="BF402" t="str">
        <f t="shared" si="191"/>
        <v>A</v>
      </c>
      <c r="BG402" t="str">
        <f>""</f>
        <v/>
      </c>
      <c r="BH402" t="str">
        <f>"0,00"</f>
        <v>0,00</v>
      </c>
      <c r="BI402" t="str">
        <f t="shared" si="198"/>
        <v>EVENTUAL</v>
      </c>
      <c r="BJ402" t="str">
        <f t="shared" si="192"/>
        <v>1</v>
      </c>
      <c r="BK402" t="str">
        <f t="shared" si="193"/>
        <v>Farmacia</v>
      </c>
      <c r="BL402" t="str">
        <f>""</f>
        <v/>
      </c>
      <c r="BM402" t="str">
        <f>"VARILUX ESPECIALISTA PLATINE"</f>
        <v>VARILUX ESPECIALISTA PLATINE</v>
      </c>
      <c r="BN402" t="str">
        <f>"NA"</f>
        <v>NA</v>
      </c>
      <c r="BO402" t="str">
        <f>"FOCO VARILUX DIGITAL"</f>
        <v>FOCO VARILUX DIGITAL</v>
      </c>
      <c r="BP402" t="str">
        <f>""</f>
        <v/>
      </c>
      <c r="BQ402" t="str">
        <f>""</f>
        <v/>
      </c>
      <c r="BR402" t="str">
        <f>"01/07/2021"</f>
        <v>01/07/2021</v>
      </c>
      <c r="BS402" t="str">
        <f>"07/07/2022"</f>
        <v>07/07/2022</v>
      </c>
      <c r="BT402" t="str">
        <f>""</f>
        <v/>
      </c>
      <c r="BU402" t="str">
        <f>""</f>
        <v/>
      </c>
      <c r="BV402" t="str">
        <f>""</f>
        <v/>
      </c>
      <c r="BW402" t="str">
        <f>"4"</f>
        <v>4</v>
      </c>
    </row>
    <row r="403" spans="1:75" x14ac:dyDescent="0.35">
      <c r="A403">
        <v>138205</v>
      </c>
      <c r="B403" t="str">
        <f t="shared" si="184"/>
        <v>A</v>
      </c>
      <c r="C403" t="str">
        <f t="shared" si="185"/>
        <v>80</v>
      </c>
      <c r="D403" t="str">
        <f t="shared" si="186"/>
        <v>11121001</v>
      </c>
      <c r="E403" t="str">
        <f t="shared" si="187"/>
        <v>121001</v>
      </c>
      <c r="F403" t="str">
        <f t="shared" si="188"/>
        <v>JENIFER SANTOS</v>
      </c>
      <c r="G403" t="str">
        <f>"38170011000273"</f>
        <v>38170011000273</v>
      </c>
      <c r="H403" t="str">
        <f>"0"</f>
        <v>0</v>
      </c>
      <c r="I403" t="str">
        <f t="shared" si="190"/>
        <v>CONTA OPTICA</v>
      </c>
      <c r="J403" t="str">
        <f>"RECRIS FRANCHISING EIRELI"</f>
        <v>RECRIS FRANCHISING EIRELI</v>
      </c>
      <c r="K403" t="str">
        <f>"RECRIS (4299)"</f>
        <v>RECRIS (4299)</v>
      </c>
      <c r="L403" t="str">
        <f>""</f>
        <v/>
      </c>
      <c r="M403" t="str">
        <f>""</f>
        <v/>
      </c>
      <c r="N403" t="str">
        <f>"DALVA@OTICASRECRIS.COM"</f>
        <v>DALVA@OTICASRECRIS.COM</v>
      </c>
      <c r="O403" t="str">
        <f>""</f>
        <v/>
      </c>
      <c r="P403" t="str">
        <f>"AVENIDA PORTO ALEGRE"</f>
        <v>AVENIDA PORTO ALEGRE</v>
      </c>
      <c r="Q403" t="str">
        <f>"20"</f>
        <v>20</v>
      </c>
      <c r="R403" t="str">
        <f>"LETRA E SALA 01"</f>
        <v>LETRA E SALA 01</v>
      </c>
      <c r="S403" t="str">
        <f>"1287"</f>
        <v>1287</v>
      </c>
      <c r="T403" t="str">
        <f>"89802131"</f>
        <v>89802131</v>
      </c>
      <c r="U403" t="str">
        <f>"CENTRO"</f>
        <v>CENTRO</v>
      </c>
      <c r="V403" t="str">
        <f>"CHAPECÓ"</f>
        <v>CHAPECÓ</v>
      </c>
      <c r="W403" t="str">
        <f>"SC"</f>
        <v>SC</v>
      </c>
      <c r="X403" t="str">
        <f>"49"</f>
        <v>49</v>
      </c>
      <c r="Y403" t="str">
        <f>"33235054"</f>
        <v>33235054</v>
      </c>
      <c r="Z403" t="str">
        <f>""</f>
        <v/>
      </c>
      <c r="AA403" t="str">
        <f>""</f>
        <v/>
      </c>
      <c r="AB403" t="str">
        <f>""</f>
        <v/>
      </c>
      <c r="AC403" t="str">
        <f>""</f>
        <v/>
      </c>
      <c r="AD403" t="str">
        <f>""</f>
        <v/>
      </c>
      <c r="AE403" t="str">
        <f>""</f>
        <v/>
      </c>
      <c r="AF403" t="str">
        <f>""</f>
        <v/>
      </c>
      <c r="AG403" t="str">
        <f>"S"</f>
        <v>S</v>
      </c>
      <c r="AH403" t="str">
        <f>""</f>
        <v/>
      </c>
      <c r="AI403" t="str">
        <f>""</f>
        <v/>
      </c>
      <c r="AJ403" t="str">
        <f>""</f>
        <v/>
      </c>
      <c r="AK403" t="str">
        <f>""</f>
        <v/>
      </c>
      <c r="AL403" t="str">
        <f>""</f>
        <v/>
      </c>
      <c r="AM403" t="str">
        <f>""</f>
        <v/>
      </c>
      <c r="AN403" t="str">
        <f>""</f>
        <v/>
      </c>
      <c r="AO403" t="str">
        <f>""</f>
        <v/>
      </c>
      <c r="AP403" t="str">
        <f>""</f>
        <v/>
      </c>
      <c r="AQ403" t="str">
        <f t="shared" si="199"/>
        <v>N</v>
      </c>
      <c r="AR403" t="str">
        <f t="shared" si="199"/>
        <v>N</v>
      </c>
      <c r="AS403" t="str">
        <f t="shared" si="199"/>
        <v>N</v>
      </c>
      <c r="AT403" t="str">
        <f t="shared" si="199"/>
        <v>N</v>
      </c>
      <c r="AU403" t="str">
        <f t="shared" si="199"/>
        <v>N</v>
      </c>
      <c r="AV403" t="str">
        <f>""</f>
        <v/>
      </c>
      <c r="AW403" t="str">
        <f>""</f>
        <v/>
      </c>
      <c r="AX403" t="str">
        <f>""</f>
        <v/>
      </c>
      <c r="AY403" t="str">
        <f>""</f>
        <v/>
      </c>
      <c r="AZ403" t="str">
        <f>""</f>
        <v/>
      </c>
      <c r="BA403" t="str">
        <f>""</f>
        <v/>
      </c>
      <c r="BB403" t="str">
        <f>"01/07/2021 13:53:04"</f>
        <v>01/07/2021 13:53:04</v>
      </c>
      <c r="BC403" t="str">
        <f>"15/06/2022 11:35:58"</f>
        <v>15/06/2022 11:35:58</v>
      </c>
      <c r="BD403" t="str">
        <f>""</f>
        <v/>
      </c>
      <c r="BE403" t="str">
        <f>""</f>
        <v/>
      </c>
      <c r="BF403" t="str">
        <f t="shared" si="191"/>
        <v>A</v>
      </c>
      <c r="BG403" t="str">
        <f>""</f>
        <v/>
      </c>
      <c r="BH403" t="str">
        <f>"0,00"</f>
        <v>0,00</v>
      </c>
      <c r="BI403" t="str">
        <f t="shared" si="198"/>
        <v>EVENTUAL</v>
      </c>
      <c r="BJ403" t="str">
        <f t="shared" si="192"/>
        <v>1</v>
      </c>
      <c r="BK403" t="str">
        <f t="shared" si="193"/>
        <v>Farmacia</v>
      </c>
      <c r="BL403" t="str">
        <f>""</f>
        <v/>
      </c>
      <c r="BM403" t="str">
        <f>"VARILUX ESPECIALISTA PLATINE"</f>
        <v>VARILUX ESPECIALISTA PLATINE</v>
      </c>
      <c r="BN403" t="str">
        <f>"NA"</f>
        <v>NA</v>
      </c>
      <c r="BO403" t="str">
        <f>"FOCO VARILUX DIGITAL"</f>
        <v>FOCO VARILUX DIGITAL</v>
      </c>
      <c r="BP403" t="str">
        <f>""</f>
        <v/>
      </c>
      <c r="BQ403" t="str">
        <f>""</f>
        <v/>
      </c>
      <c r="BR403" t="str">
        <f>"01/07/2021"</f>
        <v>01/07/2021</v>
      </c>
      <c r="BS403" t="str">
        <f>"15/06/2022"</f>
        <v>15/06/2022</v>
      </c>
      <c r="BT403" t="str">
        <f>""</f>
        <v/>
      </c>
      <c r="BU403" t="str">
        <f>""</f>
        <v/>
      </c>
      <c r="BV403" t="str">
        <f>""</f>
        <v/>
      </c>
      <c r="BW403" t="str">
        <f>"74"</f>
        <v>74</v>
      </c>
    </row>
    <row r="404" spans="1:75" x14ac:dyDescent="0.35">
      <c r="A404">
        <v>156718</v>
      </c>
      <c r="B404" t="str">
        <f t="shared" si="184"/>
        <v>A</v>
      </c>
      <c r="C404" t="str">
        <f t="shared" si="185"/>
        <v>80</v>
      </c>
      <c r="D404" t="str">
        <f t="shared" si="186"/>
        <v>11121001</v>
      </c>
      <c r="E404" t="str">
        <f t="shared" si="187"/>
        <v>121001</v>
      </c>
      <c r="F404" t="str">
        <f t="shared" si="188"/>
        <v>JENIFER SANTOS</v>
      </c>
      <c r="G404" t="str">
        <f>"38170011000354"</f>
        <v>38170011000354</v>
      </c>
      <c r="H404" t="str">
        <f>"0"</f>
        <v>0</v>
      </c>
      <c r="I404" t="str">
        <f t="shared" si="190"/>
        <v>CONTA OPTICA</v>
      </c>
      <c r="J404" t="str">
        <f>"RECRIS FRANCHISING LTDA"</f>
        <v>RECRIS FRANCHISING LTDA</v>
      </c>
      <c r="K404" t="str">
        <f>"RECRIS (4624)"</f>
        <v>RECRIS (4624)</v>
      </c>
      <c r="L404" t="str">
        <f>""</f>
        <v/>
      </c>
      <c r="M404" t="str">
        <f>""</f>
        <v/>
      </c>
      <c r="N404" t="str">
        <f>"FINANCEIRO@OTICASRECRIS.COM"</f>
        <v>FINANCEIRO@OTICASRECRIS.COM</v>
      </c>
      <c r="O404" t="str">
        <f>""</f>
        <v/>
      </c>
      <c r="P404" t="str">
        <f>"RUA BRASIL OESTE"</f>
        <v>RUA BRASIL OESTE</v>
      </c>
      <c r="Q404" t="str">
        <f>"410"</f>
        <v>410</v>
      </c>
      <c r="R404" t="str">
        <f>""</f>
        <v/>
      </c>
      <c r="S404" t="str">
        <f>"1383"</f>
        <v>1383</v>
      </c>
      <c r="T404" t="str">
        <f>"99025000"</f>
        <v>99025000</v>
      </c>
      <c r="U404" t="str">
        <f>"CENTRO"</f>
        <v>CENTRO</v>
      </c>
      <c r="V404" t="str">
        <f>"PASSO FUNDO"</f>
        <v>PASSO FUNDO</v>
      </c>
      <c r="W404" t="str">
        <f>"RS"</f>
        <v>RS</v>
      </c>
      <c r="X404" t="str">
        <f>"49"</f>
        <v>49</v>
      </c>
      <c r="Y404" t="str">
        <f>"33235054"</f>
        <v>33235054</v>
      </c>
      <c r="Z404" t="str">
        <f>""</f>
        <v/>
      </c>
      <c r="AA404" t="str">
        <f>""</f>
        <v/>
      </c>
      <c r="AB404" t="str">
        <f>""</f>
        <v/>
      </c>
      <c r="AC404" t="str">
        <f>""</f>
        <v/>
      </c>
      <c r="AD404" t="str">
        <f>""</f>
        <v/>
      </c>
      <c r="AE404" t="str">
        <f>""</f>
        <v/>
      </c>
      <c r="AF404" t="str">
        <f>""</f>
        <v/>
      </c>
      <c r="AG404" t="str">
        <f>""</f>
        <v/>
      </c>
      <c r="AH404" t="str">
        <f>""</f>
        <v/>
      </c>
      <c r="AI404" t="str">
        <f>""</f>
        <v/>
      </c>
      <c r="AJ404" t="str">
        <f>""</f>
        <v/>
      </c>
      <c r="AK404" t="str">
        <f>""</f>
        <v/>
      </c>
      <c r="AL404" t="str">
        <f>""</f>
        <v/>
      </c>
      <c r="AM404" t="str">
        <f>""</f>
        <v/>
      </c>
      <c r="AN404" t="str">
        <f>""</f>
        <v/>
      </c>
      <c r="AO404" t="str">
        <f>""</f>
        <v/>
      </c>
      <c r="AP404" t="str">
        <f>""</f>
        <v/>
      </c>
      <c r="AQ404" t="str">
        <f>""</f>
        <v/>
      </c>
      <c r="AR404" t="str">
        <f>""</f>
        <v/>
      </c>
      <c r="AS404" t="str">
        <f>""</f>
        <v/>
      </c>
      <c r="AT404" t="str">
        <f>""</f>
        <v/>
      </c>
      <c r="AU404" t="str">
        <f>""</f>
        <v/>
      </c>
      <c r="AV404" t="str">
        <f>""</f>
        <v/>
      </c>
      <c r="AW404" t="str">
        <f>""</f>
        <v/>
      </c>
      <c r="AX404" t="str">
        <f>""</f>
        <v/>
      </c>
      <c r="AY404" t="str">
        <f>""</f>
        <v/>
      </c>
      <c r="AZ404" t="str">
        <f>""</f>
        <v/>
      </c>
      <c r="BA404" t="str">
        <f>""</f>
        <v/>
      </c>
      <c r="BB404" t="str">
        <f>"06/07/2023 12:07:48"</f>
        <v>06/07/2023 12:07:48</v>
      </c>
      <c r="BC404" t="str">
        <f>""</f>
        <v/>
      </c>
      <c r="BD404" t="str">
        <f>""</f>
        <v/>
      </c>
      <c r="BE404" t="str">
        <f>""</f>
        <v/>
      </c>
      <c r="BF404" t="str">
        <f t="shared" si="191"/>
        <v>A</v>
      </c>
      <c r="BG404" t="str">
        <f>""</f>
        <v/>
      </c>
      <c r="BH404" t="str">
        <f>""</f>
        <v/>
      </c>
      <c r="BI404" t="str">
        <f t="shared" si="198"/>
        <v>EVENTUAL</v>
      </c>
      <c r="BJ404" t="str">
        <f t="shared" si="192"/>
        <v>1</v>
      </c>
      <c r="BK404" t="str">
        <f t="shared" si="193"/>
        <v>Farmacia</v>
      </c>
      <c r="BL404" t="str">
        <f>""</f>
        <v/>
      </c>
      <c r="BM404" t="str">
        <f>""</f>
        <v/>
      </c>
      <c r="BN404" t="str">
        <f>""</f>
        <v/>
      </c>
      <c r="BO404" t="str">
        <f>""</f>
        <v/>
      </c>
      <c r="BP404" t="str">
        <f>""</f>
        <v/>
      </c>
      <c r="BQ404" t="str">
        <f>""</f>
        <v/>
      </c>
      <c r="BR404" t="str">
        <f>"06/07/2023"</f>
        <v>06/07/2023</v>
      </c>
      <c r="BS404" t="str">
        <f>""</f>
        <v/>
      </c>
      <c r="BT404" t="str">
        <f>""</f>
        <v/>
      </c>
      <c r="BU404" t="str">
        <f>""</f>
        <v/>
      </c>
      <c r="BV404" t="str">
        <f>""</f>
        <v/>
      </c>
      <c r="BW404" t="str">
        <f>"74"</f>
        <v>74</v>
      </c>
    </row>
    <row r="405" spans="1:75" x14ac:dyDescent="0.35">
      <c r="A405">
        <v>144577</v>
      </c>
      <c r="B405" t="str">
        <f t="shared" si="184"/>
        <v>A</v>
      </c>
      <c r="C405" t="str">
        <f t="shared" si="185"/>
        <v>80</v>
      </c>
      <c r="D405" t="str">
        <f t="shared" si="186"/>
        <v>11121001</v>
      </c>
      <c r="E405" t="str">
        <f t="shared" si="187"/>
        <v>121001</v>
      </c>
      <c r="F405" t="str">
        <f t="shared" si="188"/>
        <v>JENIFER SANTOS</v>
      </c>
      <c r="G405" t="str">
        <f>"95801304000164"</f>
        <v>95801304000164</v>
      </c>
      <c r="H405" t="str">
        <f>""</f>
        <v/>
      </c>
      <c r="I405" t="str">
        <f t="shared" si="190"/>
        <v>CONTA OPTICA</v>
      </c>
      <c r="J405" t="str">
        <f>"RELOJOARIA ADOLAR LTDA ME"</f>
        <v>RELOJOARIA ADOLAR LTDA ME</v>
      </c>
      <c r="K405" t="str">
        <f>"RELOJOARIA ADOLAR (595)"</f>
        <v>RELOJOARIA ADOLAR (595)</v>
      </c>
      <c r="L405" t="str">
        <f>""</f>
        <v/>
      </c>
      <c r="M405" t="str">
        <f>""</f>
        <v/>
      </c>
      <c r="N405" t="str">
        <f>"relojoariaadolar@hotmail.com"</f>
        <v>relojoariaadolar@hotmail.com</v>
      </c>
      <c r="O405" t="str">
        <f>""</f>
        <v/>
      </c>
      <c r="P405" t="str">
        <f>"RUA GERONIMO CORREIA"</f>
        <v>RUA GERONIMO CORREIA</v>
      </c>
      <c r="Q405" t="str">
        <f>"199"</f>
        <v>199</v>
      </c>
      <c r="R405" t="str">
        <f>""</f>
        <v/>
      </c>
      <c r="S405" t="str">
        <f>"1280"</f>
        <v>1280</v>
      </c>
      <c r="T405" t="str">
        <f>"89270000"</f>
        <v>89270000</v>
      </c>
      <c r="U405" t="str">
        <f>"CENTRO"</f>
        <v>CENTRO</v>
      </c>
      <c r="V405" t="str">
        <f>"GUARAMIRIM"</f>
        <v>GUARAMIRIM</v>
      </c>
      <c r="W405" t="str">
        <f t="shared" ref="W405:W428" si="200">"SC"</f>
        <v>SC</v>
      </c>
      <c r="X405" t="str">
        <f>"47"</f>
        <v>47</v>
      </c>
      <c r="Y405" t="str">
        <f>"33731864"</f>
        <v>33731864</v>
      </c>
      <c r="Z405" t="str">
        <f>""</f>
        <v/>
      </c>
      <c r="AA405" t="str">
        <f>""</f>
        <v/>
      </c>
      <c r="AB405" t="str">
        <f>""</f>
        <v/>
      </c>
      <c r="AC405" t="str">
        <f>""</f>
        <v/>
      </c>
      <c r="AD405" t="str">
        <f>""</f>
        <v/>
      </c>
      <c r="AE405" t="str">
        <f>""</f>
        <v/>
      </c>
      <c r="AF405" t="str">
        <f>""</f>
        <v/>
      </c>
      <c r="AG405" t="str">
        <f>""</f>
        <v/>
      </c>
      <c r="AH405" t="str">
        <f>""</f>
        <v/>
      </c>
      <c r="AI405" t="str">
        <f>""</f>
        <v/>
      </c>
      <c r="AJ405" t="str">
        <f>"0"</f>
        <v>0</v>
      </c>
      <c r="AK405" t="str">
        <f>"0"</f>
        <v>0</v>
      </c>
      <c r="AL405" t="str">
        <f>"0"</f>
        <v>0</v>
      </c>
      <c r="AM405" t="str">
        <f>""</f>
        <v/>
      </c>
      <c r="AN405" t="str">
        <f>""</f>
        <v/>
      </c>
      <c r="AO405" t="str">
        <f>""</f>
        <v/>
      </c>
      <c r="AP405" t="str">
        <f>""</f>
        <v/>
      </c>
      <c r="AQ405" t="str">
        <f>""</f>
        <v/>
      </c>
      <c r="AR405" t="str">
        <f>""</f>
        <v/>
      </c>
      <c r="AS405" t="str">
        <f>""</f>
        <v/>
      </c>
      <c r="AT405" t="str">
        <f>""</f>
        <v/>
      </c>
      <c r="AU405" t="str">
        <f>""</f>
        <v/>
      </c>
      <c r="AV405" t="str">
        <f>""</f>
        <v/>
      </c>
      <c r="AW405" t="str">
        <f>""</f>
        <v/>
      </c>
      <c r="AX405" t="str">
        <f>""</f>
        <v/>
      </c>
      <c r="AY405" t="str">
        <f>""</f>
        <v/>
      </c>
      <c r="AZ405" t="str">
        <f>""</f>
        <v/>
      </c>
      <c r="BA405" t="str">
        <f>""</f>
        <v/>
      </c>
      <c r="BB405" t="str">
        <f>""</f>
        <v/>
      </c>
      <c r="BC405" t="str">
        <f>""</f>
        <v/>
      </c>
      <c r="BD405" t="str">
        <f>""</f>
        <v/>
      </c>
      <c r="BE405" t="str">
        <f>""</f>
        <v/>
      </c>
      <c r="BF405" t="str">
        <f t="shared" si="191"/>
        <v>A</v>
      </c>
      <c r="BG405" t="str">
        <f>"0,00"</f>
        <v>0,00</v>
      </c>
      <c r="BH405" t="str">
        <f>"0,00"</f>
        <v>0,00</v>
      </c>
      <c r="BI405" t="str">
        <f t="shared" si="198"/>
        <v>EVENTUAL</v>
      </c>
      <c r="BJ405" t="str">
        <f t="shared" si="192"/>
        <v>1</v>
      </c>
      <c r="BK405" t="str">
        <f t="shared" si="193"/>
        <v>Farmacia</v>
      </c>
      <c r="BL405" t="str">
        <f>""</f>
        <v/>
      </c>
      <c r="BM405" t="str">
        <f>"NÃO É VARILUX ESPECIALISTA"</f>
        <v>NÃO É VARILUX ESPECIALISTA</v>
      </c>
      <c r="BN405" t="str">
        <f>"NA"</f>
        <v>NA</v>
      </c>
      <c r="BO405" t="str">
        <f>"OUTROS"</f>
        <v>OUTROS</v>
      </c>
      <c r="BP405" t="str">
        <f>""</f>
        <v/>
      </c>
      <c r="BQ405" t="str">
        <f>""</f>
        <v/>
      </c>
      <c r="BR405" t="str">
        <f>""</f>
        <v/>
      </c>
      <c r="BS405" t="str">
        <f>""</f>
        <v/>
      </c>
      <c r="BT405" t="str">
        <f>""</f>
        <v/>
      </c>
      <c r="BU405" t="str">
        <f>""</f>
        <v/>
      </c>
      <c r="BV405" t="str">
        <f>"8"</f>
        <v>8</v>
      </c>
      <c r="BW405" t="str">
        <f>"Não visitado"</f>
        <v>Não visitado</v>
      </c>
    </row>
    <row r="406" spans="1:75" x14ac:dyDescent="0.35">
      <c r="A406">
        <v>138207</v>
      </c>
      <c r="B406" t="str">
        <f t="shared" si="184"/>
        <v>A</v>
      </c>
      <c r="C406" t="str">
        <f t="shared" si="185"/>
        <v>80</v>
      </c>
      <c r="D406" t="str">
        <f t="shared" si="186"/>
        <v>11121001</v>
      </c>
      <c r="E406" t="str">
        <f t="shared" si="187"/>
        <v>121001</v>
      </c>
      <c r="F406" t="str">
        <f t="shared" si="188"/>
        <v>JENIFER SANTOS</v>
      </c>
      <c r="G406" t="str">
        <f>"83230938000125"</f>
        <v>83230938000125</v>
      </c>
      <c r="H406" t="str">
        <f>"0"</f>
        <v>0</v>
      </c>
      <c r="I406" t="str">
        <f t="shared" si="190"/>
        <v>CONTA OPTICA</v>
      </c>
      <c r="J406" t="str">
        <f>"RELOJOARIA CONFIANCA LTDA"</f>
        <v>RELOJOARIA CONFIANCA LTDA</v>
      </c>
      <c r="K406" t="str">
        <f>"RELOJOARIA CONFIANCA LTDA (1066)"</f>
        <v>RELOJOARIA CONFIANCA LTDA (1066)</v>
      </c>
      <c r="L406" t="str">
        <f>""</f>
        <v/>
      </c>
      <c r="M406" t="str">
        <f>""</f>
        <v/>
      </c>
      <c r="N406" t="str">
        <f>"levinokroetz@yahoo.com.br"</f>
        <v>levinokroetz@yahoo.com.br</v>
      </c>
      <c r="O406" t="str">
        <f>""</f>
        <v/>
      </c>
      <c r="P406" t="str">
        <f>"RUA DO COMERCIO"</f>
        <v>RUA DO COMERCIO</v>
      </c>
      <c r="Q406" t="str">
        <f>"381"</f>
        <v>381</v>
      </c>
      <c r="R406" t="str">
        <f>""</f>
        <v/>
      </c>
      <c r="S406" t="str">
        <f>"1288"</f>
        <v>1288</v>
      </c>
      <c r="T406" t="str">
        <f>"89896000"</f>
        <v>89896000</v>
      </c>
      <c r="U406" t="str">
        <f>"NAO INFORMADO"</f>
        <v>NAO INFORMADO</v>
      </c>
      <c r="V406" t="str">
        <f>"ITAPIRANGA"</f>
        <v>ITAPIRANGA</v>
      </c>
      <c r="W406" t="str">
        <f t="shared" si="200"/>
        <v>SC</v>
      </c>
      <c r="X406" t="str">
        <f>"49"</f>
        <v>49</v>
      </c>
      <c r="Y406" t="str">
        <f>"36770314"</f>
        <v>36770314</v>
      </c>
      <c r="Z406" t="str">
        <f>""</f>
        <v/>
      </c>
      <c r="AA406" t="str">
        <f>""</f>
        <v/>
      </c>
      <c r="AB406" t="str">
        <f>""</f>
        <v/>
      </c>
      <c r="AC406" t="str">
        <f>""</f>
        <v/>
      </c>
      <c r="AD406" t="str">
        <f>""</f>
        <v/>
      </c>
      <c r="AE406" t="str">
        <f>""</f>
        <v/>
      </c>
      <c r="AF406" t="str">
        <f>""</f>
        <v/>
      </c>
      <c r="AG406" t="str">
        <f>""</f>
        <v/>
      </c>
      <c r="AH406" t="str">
        <f>""</f>
        <v/>
      </c>
      <c r="AI406" t="str">
        <f>""</f>
        <v/>
      </c>
      <c r="AJ406" t="str">
        <f>""</f>
        <v/>
      </c>
      <c r="AK406" t="str">
        <f>""</f>
        <v/>
      </c>
      <c r="AL406" t="str">
        <f>""</f>
        <v/>
      </c>
      <c r="AM406" t="str">
        <f>""</f>
        <v/>
      </c>
      <c r="AN406" t="str">
        <f>""</f>
        <v/>
      </c>
      <c r="AO406" t="str">
        <f>""</f>
        <v/>
      </c>
      <c r="AP406" t="str">
        <f>""</f>
        <v/>
      </c>
      <c r="AQ406" t="str">
        <f>""</f>
        <v/>
      </c>
      <c r="AR406" t="str">
        <f>""</f>
        <v/>
      </c>
      <c r="AS406" t="str">
        <f>""</f>
        <v/>
      </c>
      <c r="AT406" t="str">
        <f>""</f>
        <v/>
      </c>
      <c r="AU406" t="str">
        <f>""</f>
        <v/>
      </c>
      <c r="AV406" t="str">
        <f>""</f>
        <v/>
      </c>
      <c r="AW406" t="str">
        <f>""</f>
        <v/>
      </c>
      <c r="AX406" t="str">
        <f>""</f>
        <v/>
      </c>
      <c r="AY406" t="str">
        <f>""</f>
        <v/>
      </c>
      <c r="AZ406" t="str">
        <f>""</f>
        <v/>
      </c>
      <c r="BA406" t="str">
        <f>""</f>
        <v/>
      </c>
      <c r="BB406" t="str">
        <f>"01/07/2021 13:53:04"</f>
        <v>01/07/2021 13:53:04</v>
      </c>
      <c r="BC406" t="str">
        <f>""</f>
        <v/>
      </c>
      <c r="BD406" t="str">
        <f>""</f>
        <v/>
      </c>
      <c r="BE406" t="str">
        <f>""</f>
        <v/>
      </c>
      <c r="BF406" t="str">
        <f t="shared" si="191"/>
        <v>A</v>
      </c>
      <c r="BG406" t="str">
        <f>""</f>
        <v/>
      </c>
      <c r="BH406" t="str">
        <f>""</f>
        <v/>
      </c>
      <c r="BI406" t="str">
        <f t="shared" si="198"/>
        <v>EVENTUAL</v>
      </c>
      <c r="BJ406" t="str">
        <f t="shared" si="192"/>
        <v>1</v>
      </c>
      <c r="BK406" t="str">
        <f t="shared" si="193"/>
        <v>Farmacia</v>
      </c>
      <c r="BL406" t="str">
        <f>""</f>
        <v/>
      </c>
      <c r="BM406" t="str">
        <f>"NÃO É VARILUX ESPECIALISTA"</f>
        <v>NÃO É VARILUX ESPECIALISTA</v>
      </c>
      <c r="BN406" t="str">
        <f>"NA"</f>
        <v>NA</v>
      </c>
      <c r="BO406" t="str">
        <f>"OUTROS"</f>
        <v>OUTROS</v>
      </c>
      <c r="BP406" t="str">
        <f>""</f>
        <v/>
      </c>
      <c r="BQ406" t="str">
        <f>""</f>
        <v/>
      </c>
      <c r="BR406" t="str">
        <f>"01/07/2021"</f>
        <v>01/07/2021</v>
      </c>
      <c r="BS406" t="str">
        <f>""</f>
        <v/>
      </c>
      <c r="BT406" t="str">
        <f>""</f>
        <v/>
      </c>
      <c r="BU406" t="str">
        <f>""</f>
        <v/>
      </c>
      <c r="BV406" t="str">
        <f>""</f>
        <v/>
      </c>
      <c r="BW406" t="str">
        <f>"112"</f>
        <v>112</v>
      </c>
    </row>
    <row r="407" spans="1:75" x14ac:dyDescent="0.35">
      <c r="A407">
        <v>144491</v>
      </c>
      <c r="B407" t="str">
        <f t="shared" si="184"/>
        <v>A</v>
      </c>
      <c r="C407" t="str">
        <f t="shared" si="185"/>
        <v>80</v>
      </c>
      <c r="D407" t="str">
        <f t="shared" si="186"/>
        <v>11121001</v>
      </c>
      <c r="E407" t="str">
        <f t="shared" si="187"/>
        <v>121001</v>
      </c>
      <c r="F407" t="str">
        <f t="shared" si="188"/>
        <v>JENIFER SANTOS</v>
      </c>
      <c r="G407" t="str">
        <f>"83488601000112"</f>
        <v>83488601000112</v>
      </c>
      <c r="H407" t="str">
        <f>""</f>
        <v/>
      </c>
      <c r="I407" t="str">
        <f t="shared" si="190"/>
        <v>CONTA OPTICA</v>
      </c>
      <c r="J407" t="str">
        <f>"RELOJOARIA E OPTICA AVENIDA LTDA EPP"</f>
        <v>RELOJOARIA E OPTICA AVENIDA LTDA EPP</v>
      </c>
      <c r="K407" t="str">
        <f>"RELOJOARIA E OPTICA AVENIDA (8)"</f>
        <v>RELOJOARIA E OPTICA AVENIDA (8)</v>
      </c>
      <c r="L407" t="str">
        <f>""</f>
        <v/>
      </c>
      <c r="M407" t="str">
        <f>""</f>
        <v/>
      </c>
      <c r="N407" t="str">
        <f>"financeiro@relojoariaavenida.com.br"</f>
        <v>financeiro@relojoariaavenida.com.br</v>
      </c>
      <c r="O407" t="str">
        <f>""</f>
        <v/>
      </c>
      <c r="P407" t="str">
        <f>"RUA MARECHAL DEODORO DA FONSECA"</f>
        <v>RUA MARECHAL DEODORO DA FONSECA</v>
      </c>
      <c r="Q407" t="str">
        <f>"443"</f>
        <v>443</v>
      </c>
      <c r="R407" t="str">
        <f>"S/04"</f>
        <v>S/04</v>
      </c>
      <c r="S407" t="str">
        <f>"1280"</f>
        <v>1280</v>
      </c>
      <c r="T407" t="str">
        <f>"89251701"</f>
        <v>89251701</v>
      </c>
      <c r="U407" t="str">
        <f>"CENTRO"</f>
        <v>CENTRO</v>
      </c>
      <c r="V407" t="str">
        <f>"JARAGUÁ DO SUL"</f>
        <v>JARAGUÁ DO SUL</v>
      </c>
      <c r="W407" t="str">
        <f t="shared" si="200"/>
        <v>SC</v>
      </c>
      <c r="X407" t="str">
        <f>"47"</f>
        <v>47</v>
      </c>
      <c r="Y407" t="str">
        <f>"33711562"</f>
        <v>33711562</v>
      </c>
      <c r="Z407" t="str">
        <f>""</f>
        <v/>
      </c>
      <c r="AA407" t="str">
        <f>""</f>
        <v/>
      </c>
      <c r="AB407" t="str">
        <f>""</f>
        <v/>
      </c>
      <c r="AC407" t="str">
        <f>""</f>
        <v/>
      </c>
      <c r="AD407" t="str">
        <f>""</f>
        <v/>
      </c>
      <c r="AE407" t="str">
        <f>""</f>
        <v/>
      </c>
      <c r="AF407" t="str">
        <f>""</f>
        <v/>
      </c>
      <c r="AG407" t="str">
        <f>""</f>
        <v/>
      </c>
      <c r="AH407" t="str">
        <f>""</f>
        <v/>
      </c>
      <c r="AI407" t="str">
        <f>""</f>
        <v/>
      </c>
      <c r="AJ407" t="str">
        <f t="shared" ref="AJ407:AL408" si="201">"0"</f>
        <v>0</v>
      </c>
      <c r="AK407" t="str">
        <f t="shared" si="201"/>
        <v>0</v>
      </c>
      <c r="AL407" t="str">
        <f t="shared" si="201"/>
        <v>0</v>
      </c>
      <c r="AM407" t="str">
        <f>""</f>
        <v/>
      </c>
      <c r="AN407" t="str">
        <f>""</f>
        <v/>
      </c>
      <c r="AO407" t="str">
        <f>""</f>
        <v/>
      </c>
      <c r="AP407" t="str">
        <f>""</f>
        <v/>
      </c>
      <c r="AQ407" t="str">
        <f>""</f>
        <v/>
      </c>
      <c r="AR407" t="str">
        <f>""</f>
        <v/>
      </c>
      <c r="AS407" t="str">
        <f>""</f>
        <v/>
      </c>
      <c r="AT407" t="str">
        <f>""</f>
        <v/>
      </c>
      <c r="AU407" t="str">
        <f>""</f>
        <v/>
      </c>
      <c r="AV407" t="str">
        <f>""</f>
        <v/>
      </c>
      <c r="AW407" t="str">
        <f>""</f>
        <v/>
      </c>
      <c r="AX407" t="str">
        <f>""</f>
        <v/>
      </c>
      <c r="AY407" t="str">
        <f>""</f>
        <v/>
      </c>
      <c r="AZ407" t="str">
        <f>""</f>
        <v/>
      </c>
      <c r="BA407" t="str">
        <f>""</f>
        <v/>
      </c>
      <c r="BB407" t="str">
        <f>""</f>
        <v/>
      </c>
      <c r="BC407" t="str">
        <f>""</f>
        <v/>
      </c>
      <c r="BD407" t="str">
        <f>""</f>
        <v/>
      </c>
      <c r="BE407" t="str">
        <f>""</f>
        <v/>
      </c>
      <c r="BF407" t="str">
        <f t="shared" si="191"/>
        <v>A</v>
      </c>
      <c r="BG407" t="str">
        <f>"0,00"</f>
        <v>0,00</v>
      </c>
      <c r="BH407" t="str">
        <f>"0,00"</f>
        <v>0,00</v>
      </c>
      <c r="BI407" t="str">
        <f t="shared" si="198"/>
        <v>EVENTUAL</v>
      </c>
      <c r="BJ407" t="str">
        <f t="shared" si="192"/>
        <v>1</v>
      </c>
      <c r="BK407" t="str">
        <f t="shared" si="193"/>
        <v>Farmacia</v>
      </c>
      <c r="BL407" t="str">
        <f>""</f>
        <v/>
      </c>
      <c r="BM407" t="str">
        <f>"VARILUX ESPECIALISTA SELECT"</f>
        <v>VARILUX ESPECIALISTA SELECT</v>
      </c>
      <c r="BN407" t="str">
        <f>"NA"</f>
        <v>NA</v>
      </c>
      <c r="BO407" t="str">
        <f>"FOCO VARILUX DIGITAL"</f>
        <v>FOCO VARILUX DIGITAL</v>
      </c>
      <c r="BP407" t="str">
        <f>""</f>
        <v/>
      </c>
      <c r="BQ407" t="str">
        <f>""</f>
        <v/>
      </c>
      <c r="BR407" t="str">
        <f>""</f>
        <v/>
      </c>
      <c r="BS407" t="str">
        <f>""</f>
        <v/>
      </c>
      <c r="BT407" t="str">
        <f>""</f>
        <v/>
      </c>
      <c r="BU407" t="str">
        <f>""</f>
        <v/>
      </c>
      <c r="BV407" t="str">
        <f>"1"</f>
        <v>1</v>
      </c>
      <c r="BW407" t="str">
        <f>"2"</f>
        <v>2</v>
      </c>
    </row>
    <row r="408" spans="1:75" x14ac:dyDescent="0.35">
      <c r="A408">
        <v>144461</v>
      </c>
      <c r="B408" t="str">
        <f t="shared" si="184"/>
        <v>A</v>
      </c>
      <c r="C408" t="str">
        <f t="shared" si="185"/>
        <v>80</v>
      </c>
      <c r="D408" t="str">
        <f t="shared" si="186"/>
        <v>11121001</v>
      </c>
      <c r="E408" t="str">
        <f t="shared" si="187"/>
        <v>121001</v>
      </c>
      <c r="F408" t="str">
        <f t="shared" si="188"/>
        <v>JENIFER SANTOS</v>
      </c>
      <c r="G408" t="str">
        <f>"79647210000126"</f>
        <v>79647210000126</v>
      </c>
      <c r="H408" t="str">
        <f>""</f>
        <v/>
      </c>
      <c r="I408" t="str">
        <f t="shared" si="190"/>
        <v>CONTA OPTICA</v>
      </c>
      <c r="J408" t="str">
        <f>"RELOJOARIA E OPTICA RELOTEC LTDA ME"</f>
        <v>RELOJOARIA E OPTICA RELOTEC LTDA ME</v>
      </c>
      <c r="K408" t="str">
        <f>"RELOJOARIA E OPTICA RELOTEC LTDA ME (463)"</f>
        <v>RELOJOARIA E OPTICA RELOTEC LTDA ME (463)</v>
      </c>
      <c r="L408" t="str">
        <f>""</f>
        <v/>
      </c>
      <c r="M408" t="str">
        <f>""</f>
        <v/>
      </c>
      <c r="N408" t="str">
        <f>"relojoariaeopticarelotec@hotmail.com"</f>
        <v>relojoariaeopticarelotec@hotmail.com</v>
      </c>
      <c r="O408" t="str">
        <f>""</f>
        <v/>
      </c>
      <c r="P408" t="str">
        <f>"RUA VISCONDE DE TAUNAY"</f>
        <v>RUA VISCONDE DE TAUNAY</v>
      </c>
      <c r="Q408" t="str">
        <f>"251"</f>
        <v>251</v>
      </c>
      <c r="R408" t="str">
        <f>""</f>
        <v/>
      </c>
      <c r="S408" t="str">
        <f>"1280"</f>
        <v>1280</v>
      </c>
      <c r="T408" t="str">
        <f>"89290000"</f>
        <v>89290000</v>
      </c>
      <c r="U408" t="str">
        <f>"CENTRO"</f>
        <v>CENTRO</v>
      </c>
      <c r="V408" t="str">
        <f>"SAO BENTO DO SUL"</f>
        <v>SAO BENTO DO SUL</v>
      </c>
      <c r="W408" t="str">
        <f t="shared" si="200"/>
        <v>SC</v>
      </c>
      <c r="X408" t="str">
        <f>"47"</f>
        <v>47</v>
      </c>
      <c r="Y408" t="str">
        <f>"36333357"</f>
        <v>36333357</v>
      </c>
      <c r="Z408" t="str">
        <f>""</f>
        <v/>
      </c>
      <c r="AA408" t="str">
        <f>""</f>
        <v/>
      </c>
      <c r="AB408" t="str">
        <f>""</f>
        <v/>
      </c>
      <c r="AC408" t="str">
        <f>""</f>
        <v/>
      </c>
      <c r="AD408" t="str">
        <f>""</f>
        <v/>
      </c>
      <c r="AE408" t="str">
        <f>""</f>
        <v/>
      </c>
      <c r="AF408" t="str">
        <f>""</f>
        <v/>
      </c>
      <c r="AG408" t="str">
        <f>""</f>
        <v/>
      </c>
      <c r="AH408" t="str">
        <f>""</f>
        <v/>
      </c>
      <c r="AI408" t="str">
        <f>""</f>
        <v/>
      </c>
      <c r="AJ408" t="str">
        <f t="shared" si="201"/>
        <v>0</v>
      </c>
      <c r="AK408" t="str">
        <f t="shared" si="201"/>
        <v>0</v>
      </c>
      <c r="AL408" t="str">
        <f t="shared" si="201"/>
        <v>0</v>
      </c>
      <c r="AM408" t="str">
        <f>""</f>
        <v/>
      </c>
      <c r="AN408" t="str">
        <f>""</f>
        <v/>
      </c>
      <c r="AO408" t="str">
        <f>""</f>
        <v/>
      </c>
      <c r="AP408" t="str">
        <f>""</f>
        <v/>
      </c>
      <c r="AQ408" t="str">
        <f>""</f>
        <v/>
      </c>
      <c r="AR408" t="str">
        <f>""</f>
        <v/>
      </c>
      <c r="AS408" t="str">
        <f>""</f>
        <v/>
      </c>
      <c r="AT408" t="str">
        <f>""</f>
        <v/>
      </c>
      <c r="AU408" t="str">
        <f>""</f>
        <v/>
      </c>
      <c r="AV408" t="str">
        <f>""</f>
        <v/>
      </c>
      <c r="AW408" t="str">
        <f>""</f>
        <v/>
      </c>
      <c r="AX408" t="str">
        <f>""</f>
        <v/>
      </c>
      <c r="AY408" t="str">
        <f>""</f>
        <v/>
      </c>
      <c r="AZ408" t="str">
        <f>""</f>
        <v/>
      </c>
      <c r="BA408" t="str">
        <f>""</f>
        <v/>
      </c>
      <c r="BB408" t="str">
        <f>""</f>
        <v/>
      </c>
      <c r="BC408" t="str">
        <f>""</f>
        <v/>
      </c>
      <c r="BD408" t="str">
        <f>""</f>
        <v/>
      </c>
      <c r="BE408" t="str">
        <f>""</f>
        <v/>
      </c>
      <c r="BF408" t="str">
        <f t="shared" si="191"/>
        <v>A</v>
      </c>
      <c r="BG408" t="str">
        <f>"0,00"</f>
        <v>0,00</v>
      </c>
      <c r="BH408" t="str">
        <f>"0,00"</f>
        <v>0,00</v>
      </c>
      <c r="BI408" t="str">
        <f t="shared" si="198"/>
        <v>EVENTUAL</v>
      </c>
      <c r="BJ408" t="str">
        <f t="shared" si="192"/>
        <v>1</v>
      </c>
      <c r="BK408" t="str">
        <f t="shared" si="193"/>
        <v>Farmacia</v>
      </c>
      <c r="BL408" t="str">
        <f>""</f>
        <v/>
      </c>
      <c r="BM408" t="str">
        <f>"NÃO É VARILUX ESPECIALISTA"</f>
        <v>NÃO É VARILUX ESPECIALISTA</v>
      </c>
      <c r="BN408" t="str">
        <f>"EL360"</f>
        <v>EL360</v>
      </c>
      <c r="BO408" t="str">
        <f>"FOCO KODAK 2"</f>
        <v>FOCO KODAK 2</v>
      </c>
      <c r="BP408" t="str">
        <f>""</f>
        <v/>
      </c>
      <c r="BQ408" t="str">
        <f>""</f>
        <v/>
      </c>
      <c r="BR408" t="str">
        <f>""</f>
        <v/>
      </c>
      <c r="BS408" t="str">
        <f>""</f>
        <v/>
      </c>
      <c r="BT408" t="str">
        <f>""</f>
        <v/>
      </c>
      <c r="BU408" t="str">
        <f>""</f>
        <v/>
      </c>
      <c r="BV408" t="str">
        <f>"6"</f>
        <v>6</v>
      </c>
      <c r="BW408" t="str">
        <f>"165"</f>
        <v>165</v>
      </c>
    </row>
    <row r="409" spans="1:75" x14ac:dyDescent="0.35">
      <c r="A409">
        <v>138208</v>
      </c>
      <c r="B409" t="str">
        <f t="shared" si="184"/>
        <v>A</v>
      </c>
      <c r="C409" t="str">
        <f t="shared" si="185"/>
        <v>80</v>
      </c>
      <c r="D409" t="str">
        <f t="shared" si="186"/>
        <v>11121001</v>
      </c>
      <c r="E409" t="str">
        <f t="shared" si="187"/>
        <v>121001</v>
      </c>
      <c r="F409" t="str">
        <f t="shared" si="188"/>
        <v>JENIFER SANTOS</v>
      </c>
      <c r="G409" t="str">
        <f>"20902377000143"</f>
        <v>20902377000143</v>
      </c>
      <c r="H409" t="str">
        <f>"0"</f>
        <v>0</v>
      </c>
      <c r="I409" t="str">
        <f t="shared" si="190"/>
        <v>CONTA OPTICA</v>
      </c>
      <c r="J409" t="str">
        <f>"RELOJOARIA E OPTICA TISSIANI LTDA ME"</f>
        <v>RELOJOARIA E OPTICA TISSIANI LTDA ME</v>
      </c>
      <c r="K409" t="str">
        <f>"RELOJOARIA E OPTICA TISSIANI (2270)"</f>
        <v>RELOJOARIA E OPTICA TISSIANI (2270)</v>
      </c>
      <c r="L409" t="str">
        <f>""</f>
        <v/>
      </c>
      <c r="M409" t="str">
        <f>""</f>
        <v/>
      </c>
      <c r="N409" t="str">
        <f>"oticatissiani@hotmail.com"</f>
        <v>oticatissiani@hotmail.com</v>
      </c>
      <c r="O409" t="str">
        <f>""</f>
        <v/>
      </c>
      <c r="P409" t="str">
        <f>"AVENIDA PLINIO ARLINDO DE NES"</f>
        <v>AVENIDA PLINIO ARLINDO DE NES</v>
      </c>
      <c r="Q409" t="str">
        <f>"989"</f>
        <v>989</v>
      </c>
      <c r="R409" t="str">
        <f>"SALA SALA"</f>
        <v>SALA SALA</v>
      </c>
      <c r="S409" t="str">
        <f>"1288"</f>
        <v>1288</v>
      </c>
      <c r="T409" t="str">
        <f>"89825000"</f>
        <v>89825000</v>
      </c>
      <c r="U409" t="str">
        <f>"CENTRO"</f>
        <v>CENTRO</v>
      </c>
      <c r="V409" t="str">
        <f>"XAXIM"</f>
        <v>XAXIM</v>
      </c>
      <c r="W409" t="str">
        <f t="shared" si="200"/>
        <v>SC</v>
      </c>
      <c r="X409" t="str">
        <f>"49"</f>
        <v>49</v>
      </c>
      <c r="Y409" t="str">
        <f>"33536051"</f>
        <v>33536051</v>
      </c>
      <c r="Z409" t="str">
        <f>""</f>
        <v/>
      </c>
      <c r="AA409" t="str">
        <f>""</f>
        <v/>
      </c>
      <c r="AB409" t="str">
        <f>""</f>
        <v/>
      </c>
      <c r="AC409" t="str">
        <f>""</f>
        <v/>
      </c>
      <c r="AD409" t="str">
        <f>""</f>
        <v/>
      </c>
      <c r="AE409" t="str">
        <f>""</f>
        <v/>
      </c>
      <c r="AF409" t="str">
        <f>""</f>
        <v/>
      </c>
      <c r="AG409" t="str">
        <f>"S"</f>
        <v>S</v>
      </c>
      <c r="AH409" t="str">
        <f>""</f>
        <v/>
      </c>
      <c r="AI409" t="str">
        <f>""</f>
        <v/>
      </c>
      <c r="AJ409" t="str">
        <f>""</f>
        <v/>
      </c>
      <c r="AK409" t="str">
        <f>""</f>
        <v/>
      </c>
      <c r="AL409" t="str">
        <f>""</f>
        <v/>
      </c>
      <c r="AM409" t="str">
        <f>""</f>
        <v/>
      </c>
      <c r="AN409" t="str">
        <f>""</f>
        <v/>
      </c>
      <c r="AO409" t="str">
        <f>""</f>
        <v/>
      </c>
      <c r="AP409" t="str">
        <f>""</f>
        <v/>
      </c>
      <c r="AQ409" t="str">
        <f>"N"</f>
        <v>N</v>
      </c>
      <c r="AR409" t="str">
        <f>"N"</f>
        <v>N</v>
      </c>
      <c r="AS409" t="str">
        <f>"N"</f>
        <v>N</v>
      </c>
      <c r="AT409" t="str">
        <f>"N"</f>
        <v>N</v>
      </c>
      <c r="AU409" t="str">
        <f>"N"</f>
        <v>N</v>
      </c>
      <c r="AV409" t="str">
        <f>""</f>
        <v/>
      </c>
      <c r="AW409" t="str">
        <f>""</f>
        <v/>
      </c>
      <c r="AX409" t="str">
        <f>""</f>
        <v/>
      </c>
      <c r="AY409" t="str">
        <f>""</f>
        <v/>
      </c>
      <c r="AZ409" t="str">
        <f>""</f>
        <v/>
      </c>
      <c r="BA409" t="str">
        <f>""</f>
        <v/>
      </c>
      <c r="BB409" t="str">
        <f>"01/07/2021 13:53:04"</f>
        <v>01/07/2021 13:53:04</v>
      </c>
      <c r="BC409" t="str">
        <f>"04/03/2022 09:43:40"</f>
        <v>04/03/2022 09:43:40</v>
      </c>
      <c r="BD409" t="str">
        <f>""</f>
        <v/>
      </c>
      <c r="BE409" t="str">
        <f>""</f>
        <v/>
      </c>
      <c r="BF409" t="str">
        <f t="shared" si="191"/>
        <v>A</v>
      </c>
      <c r="BG409" t="str">
        <f>""</f>
        <v/>
      </c>
      <c r="BH409" t="str">
        <f>"0,00"</f>
        <v>0,00</v>
      </c>
      <c r="BI409" t="str">
        <f t="shared" si="198"/>
        <v>EVENTUAL</v>
      </c>
      <c r="BJ409" t="str">
        <f t="shared" si="192"/>
        <v>1</v>
      </c>
      <c r="BK409" t="str">
        <f t="shared" si="193"/>
        <v>Farmacia</v>
      </c>
      <c r="BL409" t="str">
        <f>""</f>
        <v/>
      </c>
      <c r="BM409" t="str">
        <f>"NÃO É VARILUX ESPECIALISTA"</f>
        <v>NÃO É VARILUX ESPECIALISTA</v>
      </c>
      <c r="BN409" t="str">
        <f>"NA"</f>
        <v>NA</v>
      </c>
      <c r="BO409" t="str">
        <f>""</f>
        <v/>
      </c>
      <c r="BP409" t="str">
        <f>""</f>
        <v/>
      </c>
      <c r="BQ409" t="str">
        <f>""</f>
        <v/>
      </c>
      <c r="BR409" t="str">
        <f>"01/07/2021"</f>
        <v>01/07/2021</v>
      </c>
      <c r="BS409" t="str">
        <f>"04/03/2022"</f>
        <v>04/03/2022</v>
      </c>
      <c r="BT409" t="str">
        <f>""</f>
        <v/>
      </c>
      <c r="BU409" t="str">
        <f>""</f>
        <v/>
      </c>
      <c r="BV409" t="str">
        <f>""</f>
        <v/>
      </c>
      <c r="BW409" t="str">
        <f>"134"</f>
        <v>134</v>
      </c>
    </row>
    <row r="410" spans="1:75" x14ac:dyDescent="0.35">
      <c r="A410">
        <v>144489</v>
      </c>
      <c r="B410" t="str">
        <f t="shared" si="184"/>
        <v>A</v>
      </c>
      <c r="C410" t="str">
        <f t="shared" si="185"/>
        <v>80</v>
      </c>
      <c r="D410" t="str">
        <f t="shared" si="186"/>
        <v>11121001</v>
      </c>
      <c r="E410" t="str">
        <f t="shared" si="187"/>
        <v>121001</v>
      </c>
      <c r="F410" t="str">
        <f t="shared" si="188"/>
        <v>JENIFER SANTOS</v>
      </c>
      <c r="G410" t="str">
        <f>"80448558000173"</f>
        <v>80448558000173</v>
      </c>
      <c r="H410" t="str">
        <f>""</f>
        <v/>
      </c>
      <c r="I410" t="str">
        <f t="shared" si="190"/>
        <v>CONTA OPTICA</v>
      </c>
      <c r="J410" t="str">
        <f>"RELOJOARIA E OTICA DAGA LTDA ME"</f>
        <v>RELOJOARIA E OTICA DAGA LTDA ME</v>
      </c>
      <c r="K410" t="str">
        <f>"RELOJOARIA E OTICA DAGA LTDA ME (867)"</f>
        <v>RELOJOARIA E OTICA DAGA LTDA ME (867)</v>
      </c>
      <c r="L410" t="str">
        <f>""</f>
        <v/>
      </c>
      <c r="M410" t="str">
        <f>""</f>
        <v/>
      </c>
      <c r="N410" t="str">
        <f>"relojoariadaga@hotmail.com"</f>
        <v>relojoariadaga@hotmail.com</v>
      </c>
      <c r="O410" t="str">
        <f>""</f>
        <v/>
      </c>
      <c r="P410" t="str">
        <f>"AVENIDA PREFEITO WALDEMAR GRUBBA"</f>
        <v>AVENIDA PREFEITO WALDEMAR GRUBBA</v>
      </c>
      <c r="Q410" t="str">
        <f>"2001"</f>
        <v>2001</v>
      </c>
      <c r="R410" t="str">
        <f>"SALA 01"</f>
        <v>SALA 01</v>
      </c>
      <c r="S410" t="str">
        <f>"1280"</f>
        <v>1280</v>
      </c>
      <c r="T410" t="str">
        <f>"89256500"</f>
        <v>89256500</v>
      </c>
      <c r="U410" t="str">
        <f>"BAEPENDI"</f>
        <v>BAEPENDI</v>
      </c>
      <c r="V410" t="str">
        <f>"JARAGUA DO SUL"</f>
        <v>JARAGUA DO SUL</v>
      </c>
      <c r="W410" t="str">
        <f t="shared" si="200"/>
        <v>SC</v>
      </c>
      <c r="X410" t="str">
        <f t="shared" ref="X410:X416" si="202">"47"</f>
        <v>47</v>
      </c>
      <c r="Y410" t="str">
        <f>"33715157"</f>
        <v>33715157</v>
      </c>
      <c r="Z410" t="str">
        <f>""</f>
        <v/>
      </c>
      <c r="AA410" t="str">
        <f>""</f>
        <v/>
      </c>
      <c r="AB410" t="str">
        <f>""</f>
        <v/>
      </c>
      <c r="AC410" t="str">
        <f>""</f>
        <v/>
      </c>
      <c r="AD410" t="str">
        <f>""</f>
        <v/>
      </c>
      <c r="AE410" t="str">
        <f>""</f>
        <v/>
      </c>
      <c r="AF410" t="str">
        <f>""</f>
        <v/>
      </c>
      <c r="AG410" t="str">
        <f>""</f>
        <v/>
      </c>
      <c r="AH410" t="str">
        <f>""</f>
        <v/>
      </c>
      <c r="AI410" t="str">
        <f>""</f>
        <v/>
      </c>
      <c r="AJ410" t="str">
        <f t="shared" ref="AJ410:AL411" si="203">"0"</f>
        <v>0</v>
      </c>
      <c r="AK410" t="str">
        <f t="shared" si="203"/>
        <v>0</v>
      </c>
      <c r="AL410" t="str">
        <f t="shared" si="203"/>
        <v>0</v>
      </c>
      <c r="AM410" t="str">
        <f>""</f>
        <v/>
      </c>
      <c r="AN410" t="str">
        <f>""</f>
        <v/>
      </c>
      <c r="AO410" t="str">
        <f>""</f>
        <v/>
      </c>
      <c r="AP410" t="str">
        <f>""</f>
        <v/>
      </c>
      <c r="AQ410" t="str">
        <f>""</f>
        <v/>
      </c>
      <c r="AR410" t="str">
        <f>""</f>
        <v/>
      </c>
      <c r="AS410" t="str">
        <f>""</f>
        <v/>
      </c>
      <c r="AT410" t="str">
        <f>""</f>
        <v/>
      </c>
      <c r="AU410" t="str">
        <f>""</f>
        <v/>
      </c>
      <c r="AV410" t="str">
        <f>""</f>
        <v/>
      </c>
      <c r="AW410" t="str">
        <f>""</f>
        <v/>
      </c>
      <c r="AX410" t="str">
        <f>""</f>
        <v/>
      </c>
      <c r="AY410" t="str">
        <f>""</f>
        <v/>
      </c>
      <c r="AZ410" t="str">
        <f>""</f>
        <v/>
      </c>
      <c r="BA410" t="str">
        <f>""</f>
        <v/>
      </c>
      <c r="BB410" t="str">
        <f>""</f>
        <v/>
      </c>
      <c r="BC410" t="str">
        <f>""</f>
        <v/>
      </c>
      <c r="BD410" t="str">
        <f>""</f>
        <v/>
      </c>
      <c r="BE410" t="str">
        <f>""</f>
        <v/>
      </c>
      <c r="BF410" t="str">
        <f t="shared" si="191"/>
        <v>A</v>
      </c>
      <c r="BG410" t="str">
        <f>"0,00"</f>
        <v>0,00</v>
      </c>
      <c r="BH410" t="str">
        <f>"0,00"</f>
        <v>0,00</v>
      </c>
      <c r="BI410" t="str">
        <f t="shared" si="198"/>
        <v>EVENTUAL</v>
      </c>
      <c r="BJ410" t="str">
        <f t="shared" si="192"/>
        <v>1</v>
      </c>
      <c r="BK410" t="str">
        <f t="shared" si="193"/>
        <v>Farmacia</v>
      </c>
      <c r="BL410" t="str">
        <f>""</f>
        <v/>
      </c>
      <c r="BM410" t="str">
        <f>"NÃO É VARILUX ESPECIALISTA"</f>
        <v>NÃO É VARILUX ESPECIALISTA</v>
      </c>
      <c r="BN410" t="str">
        <f>"NA"</f>
        <v>NA</v>
      </c>
      <c r="BO410" t="str">
        <f>"OUTROS"</f>
        <v>OUTROS</v>
      </c>
      <c r="BP410" t="str">
        <f>""</f>
        <v/>
      </c>
      <c r="BQ410" t="str">
        <f>""</f>
        <v/>
      </c>
      <c r="BR410" t="str">
        <f>""</f>
        <v/>
      </c>
      <c r="BS410" t="str">
        <f>""</f>
        <v/>
      </c>
      <c r="BT410" t="str">
        <f>""</f>
        <v/>
      </c>
      <c r="BU410" t="str">
        <f>""</f>
        <v/>
      </c>
      <c r="BV410" t="str">
        <f>"9"</f>
        <v>9</v>
      </c>
      <c r="BW410" t="str">
        <f>"Não visitado"</f>
        <v>Não visitado</v>
      </c>
    </row>
    <row r="411" spans="1:75" x14ac:dyDescent="0.35">
      <c r="A411">
        <v>144728</v>
      </c>
      <c r="B411" t="str">
        <f t="shared" si="184"/>
        <v>A</v>
      </c>
      <c r="C411" t="str">
        <f t="shared" si="185"/>
        <v>80</v>
      </c>
      <c r="D411" t="str">
        <f t="shared" si="186"/>
        <v>11121001</v>
      </c>
      <c r="E411" t="str">
        <f t="shared" si="187"/>
        <v>121001</v>
      </c>
      <c r="F411" t="str">
        <f t="shared" si="188"/>
        <v>JENIFER SANTOS</v>
      </c>
      <c r="G411" t="str">
        <f>"13788446000174"</f>
        <v>13788446000174</v>
      </c>
      <c r="H411" t="str">
        <f>""</f>
        <v/>
      </c>
      <c r="I411" t="str">
        <f t="shared" si="190"/>
        <v>CONTA OPTICA</v>
      </c>
      <c r="J411" t="str">
        <f>"RELOJOARIA E OTICA PROVERA LTDA ME"</f>
        <v>RELOJOARIA E OTICA PROVERA LTDA ME</v>
      </c>
      <c r="K411" t="str">
        <f>"RELOJOARIA E OTICA SAO JOSE (2078)"</f>
        <v>RELOJOARIA E OTICA SAO JOSE (2078)</v>
      </c>
      <c r="L411" t="str">
        <f>""</f>
        <v/>
      </c>
      <c r="M411" t="str">
        <f>""</f>
        <v/>
      </c>
      <c r="N411" t="str">
        <f>"giseleoticasaojose@hotmail.com"</f>
        <v>giseleoticasaojose@hotmail.com</v>
      </c>
      <c r="O411" t="str">
        <f>""</f>
        <v/>
      </c>
      <c r="P411" t="str">
        <f>"RUA WILLY JUNG"</f>
        <v>RUA WILLY JUNG</v>
      </c>
      <c r="Q411" t="str">
        <f>"566"</f>
        <v>566</v>
      </c>
      <c r="R411" t="str">
        <f>""</f>
        <v/>
      </c>
      <c r="S411" t="str">
        <f>"1280"</f>
        <v>1280</v>
      </c>
      <c r="T411" t="str">
        <f>"89295000"</f>
        <v>89295000</v>
      </c>
      <c r="U411" t="str">
        <f>"CENTRO"</f>
        <v>CENTRO</v>
      </c>
      <c r="V411" t="str">
        <f>"RIO NEGRINHO"</f>
        <v>RIO NEGRINHO</v>
      </c>
      <c r="W411" t="str">
        <f t="shared" si="200"/>
        <v>SC</v>
      </c>
      <c r="X411" t="str">
        <f t="shared" si="202"/>
        <v>47</v>
      </c>
      <c r="Y411" t="str">
        <f>"36442742"</f>
        <v>36442742</v>
      </c>
      <c r="Z411" t="str">
        <f>""</f>
        <v/>
      </c>
      <c r="AA411" t="str">
        <f>""</f>
        <v/>
      </c>
      <c r="AB411" t="str">
        <f>""</f>
        <v/>
      </c>
      <c r="AC411" t="str">
        <f>""</f>
        <v/>
      </c>
      <c r="AD411" t="str">
        <f>""</f>
        <v/>
      </c>
      <c r="AE411" t="str">
        <f>""</f>
        <v/>
      </c>
      <c r="AF411" t="str">
        <f>""</f>
        <v/>
      </c>
      <c r="AG411" t="str">
        <f>""</f>
        <v/>
      </c>
      <c r="AH411" t="str">
        <f>""</f>
        <v/>
      </c>
      <c r="AI411" t="str">
        <f>""</f>
        <v/>
      </c>
      <c r="AJ411" t="str">
        <f t="shared" si="203"/>
        <v>0</v>
      </c>
      <c r="AK411" t="str">
        <f t="shared" si="203"/>
        <v>0</v>
      </c>
      <c r="AL411" t="str">
        <f t="shared" si="203"/>
        <v>0</v>
      </c>
      <c r="AM411" t="str">
        <f>""</f>
        <v/>
      </c>
      <c r="AN411" t="str">
        <f>""</f>
        <v/>
      </c>
      <c r="AO411" t="str">
        <f>""</f>
        <v/>
      </c>
      <c r="AP411" t="str">
        <f>""</f>
        <v/>
      </c>
      <c r="AQ411" t="str">
        <f>""</f>
        <v/>
      </c>
      <c r="AR411" t="str">
        <f>""</f>
        <v/>
      </c>
      <c r="AS411" t="str">
        <f>""</f>
        <v/>
      </c>
      <c r="AT411" t="str">
        <f>""</f>
        <v/>
      </c>
      <c r="AU411" t="str">
        <f>""</f>
        <v/>
      </c>
      <c r="AV411" t="str">
        <f>""</f>
        <v/>
      </c>
      <c r="AW411" t="str">
        <f>""</f>
        <v/>
      </c>
      <c r="AX411" t="str">
        <f>""</f>
        <v/>
      </c>
      <c r="AY411" t="str">
        <f>""</f>
        <v/>
      </c>
      <c r="AZ411" t="str">
        <f>""</f>
        <v/>
      </c>
      <c r="BA411" t="str">
        <f>""</f>
        <v/>
      </c>
      <c r="BB411" t="str">
        <f>""</f>
        <v/>
      </c>
      <c r="BC411" t="str">
        <f>""</f>
        <v/>
      </c>
      <c r="BD411" t="str">
        <f>""</f>
        <v/>
      </c>
      <c r="BE411" t="str">
        <f>""</f>
        <v/>
      </c>
      <c r="BF411" t="str">
        <f t="shared" si="191"/>
        <v>A</v>
      </c>
      <c r="BG411" t="str">
        <f>"0,00"</f>
        <v>0,00</v>
      </c>
      <c r="BH411" t="str">
        <f>"0,00"</f>
        <v>0,00</v>
      </c>
      <c r="BI411" t="str">
        <f t="shared" si="198"/>
        <v>EVENTUAL</v>
      </c>
      <c r="BJ411" t="str">
        <f t="shared" si="192"/>
        <v>1</v>
      </c>
      <c r="BK411" t="str">
        <f t="shared" si="193"/>
        <v>Farmacia</v>
      </c>
      <c r="BL411" t="str">
        <f>""</f>
        <v/>
      </c>
      <c r="BM411" t="str">
        <f>"NÃO É VARILUX ESPECIALISTA"</f>
        <v>NÃO É VARILUX ESPECIALISTA</v>
      </c>
      <c r="BN411" t="str">
        <f>"NA"</f>
        <v>NA</v>
      </c>
      <c r="BO411" t="str">
        <f>"OUTROS"</f>
        <v>OUTROS</v>
      </c>
      <c r="BP411" t="str">
        <f>""</f>
        <v/>
      </c>
      <c r="BQ411" t="str">
        <f>""</f>
        <v/>
      </c>
      <c r="BR411" t="str">
        <f>""</f>
        <v/>
      </c>
      <c r="BS411" t="str">
        <f>""</f>
        <v/>
      </c>
      <c r="BT411" t="str">
        <f>""</f>
        <v/>
      </c>
      <c r="BU411" t="str">
        <f>""</f>
        <v/>
      </c>
      <c r="BV411" t="str">
        <f>"6"</f>
        <v>6</v>
      </c>
      <c r="BW411" t="str">
        <f>"121"</f>
        <v>121</v>
      </c>
    </row>
    <row r="412" spans="1:75" x14ac:dyDescent="0.35">
      <c r="A412">
        <v>138845</v>
      </c>
      <c r="B412" t="str">
        <f t="shared" si="184"/>
        <v>A</v>
      </c>
      <c r="C412" t="str">
        <f t="shared" si="185"/>
        <v>80</v>
      </c>
      <c r="D412" t="str">
        <f t="shared" si="186"/>
        <v>11121001</v>
      </c>
      <c r="E412" t="str">
        <f t="shared" si="187"/>
        <v>121001</v>
      </c>
      <c r="F412" t="str">
        <f t="shared" si="188"/>
        <v>JENIFER SANTOS</v>
      </c>
      <c r="G412" t="str">
        <f>"03616188000195"</f>
        <v>03616188000195</v>
      </c>
      <c r="H412" t="str">
        <f>"0"</f>
        <v>0</v>
      </c>
      <c r="I412" t="str">
        <f t="shared" si="190"/>
        <v>CONTA OPTICA</v>
      </c>
      <c r="J412" t="str">
        <f>"RELOJOARIA E OTICA SANTOS"</f>
        <v>RELOJOARIA E OTICA SANTOS</v>
      </c>
      <c r="K412" t="str">
        <f>"RELOJOARIA E OTICA SANTOS (945)"</f>
        <v>RELOJOARIA E OTICA SANTOS (945)</v>
      </c>
      <c r="L412" t="str">
        <f>""</f>
        <v/>
      </c>
      <c r="M412" t="str">
        <f>""</f>
        <v/>
      </c>
      <c r="N412" t="str">
        <f>"relojoariaeoticasantos@hotmail.com"</f>
        <v>relojoariaeoticasantos@hotmail.com</v>
      </c>
      <c r="O412" t="str">
        <f>""</f>
        <v/>
      </c>
      <c r="P412" t="str">
        <f>"AVENIDA GETULIO VARGAS"</f>
        <v>AVENIDA GETULIO VARGAS</v>
      </c>
      <c r="Q412" t="str">
        <f>"1353"</f>
        <v>1353</v>
      </c>
      <c r="R412" t="str">
        <f>"SALA 01"</f>
        <v>SALA 01</v>
      </c>
      <c r="S412" t="str">
        <f>"1277"</f>
        <v>1277</v>
      </c>
      <c r="T412" t="str">
        <f>"89202205"</f>
        <v>89202205</v>
      </c>
      <c r="U412" t="str">
        <f>"BUCAREIN"</f>
        <v>BUCAREIN</v>
      </c>
      <c r="V412" t="str">
        <f>"JOINVILLE"</f>
        <v>JOINVILLE</v>
      </c>
      <c r="W412" t="str">
        <f t="shared" si="200"/>
        <v>SC</v>
      </c>
      <c r="X412" t="str">
        <f t="shared" si="202"/>
        <v>47</v>
      </c>
      <c r="Y412" t="str">
        <f>"34550414"</f>
        <v>34550414</v>
      </c>
      <c r="Z412" t="str">
        <f>""</f>
        <v/>
      </c>
      <c r="AA412" t="str">
        <f>""</f>
        <v/>
      </c>
      <c r="AB412" t="str">
        <f>""</f>
        <v/>
      </c>
      <c r="AC412" t="str">
        <f>""</f>
        <v/>
      </c>
      <c r="AD412" t="str">
        <f>""</f>
        <v/>
      </c>
      <c r="AE412" t="str">
        <f>""</f>
        <v/>
      </c>
      <c r="AF412" t="str">
        <f>""</f>
        <v/>
      </c>
      <c r="AG412" t="str">
        <f>""</f>
        <v/>
      </c>
      <c r="AH412" t="str">
        <f>""</f>
        <v/>
      </c>
      <c r="AI412" t="str">
        <f>""</f>
        <v/>
      </c>
      <c r="AJ412" t="str">
        <f>""</f>
        <v/>
      </c>
      <c r="AK412" t="str">
        <f>""</f>
        <v/>
      </c>
      <c r="AL412" t="str">
        <f>""</f>
        <v/>
      </c>
      <c r="AM412" t="str">
        <f>""</f>
        <v/>
      </c>
      <c r="AN412" t="str">
        <f>""</f>
        <v/>
      </c>
      <c r="AO412" t="str">
        <f>""</f>
        <v/>
      </c>
      <c r="AP412" t="str">
        <f>""</f>
        <v/>
      </c>
      <c r="AQ412" t="str">
        <f>""</f>
        <v/>
      </c>
      <c r="AR412" t="str">
        <f>""</f>
        <v/>
      </c>
      <c r="AS412" t="str">
        <f>""</f>
        <v/>
      </c>
      <c r="AT412" t="str">
        <f>""</f>
        <v/>
      </c>
      <c r="AU412" t="str">
        <f>""</f>
        <v/>
      </c>
      <c r="AV412" t="str">
        <f>""</f>
        <v/>
      </c>
      <c r="AW412" t="str">
        <f>""</f>
        <v/>
      </c>
      <c r="AX412" t="str">
        <f>""</f>
        <v/>
      </c>
      <c r="AY412" t="str">
        <f>""</f>
        <v/>
      </c>
      <c r="AZ412" t="str">
        <f>""</f>
        <v/>
      </c>
      <c r="BA412" t="str">
        <f>""</f>
        <v/>
      </c>
      <c r="BB412" t="str">
        <f>"15/07/2021 10:57:44"</f>
        <v>15/07/2021 10:57:44</v>
      </c>
      <c r="BC412" t="str">
        <f>""</f>
        <v/>
      </c>
      <c r="BD412" t="str">
        <f>""</f>
        <v/>
      </c>
      <c r="BE412" t="str">
        <f>""</f>
        <v/>
      </c>
      <c r="BF412" t="str">
        <f t="shared" si="191"/>
        <v>A</v>
      </c>
      <c r="BG412" t="str">
        <f>""</f>
        <v/>
      </c>
      <c r="BH412" t="str">
        <f>""</f>
        <v/>
      </c>
      <c r="BI412" t="str">
        <f t="shared" si="198"/>
        <v>EVENTUAL</v>
      </c>
      <c r="BJ412" t="str">
        <f t="shared" si="192"/>
        <v>1</v>
      </c>
      <c r="BK412" t="str">
        <f t="shared" si="193"/>
        <v>Farmacia</v>
      </c>
      <c r="BL412" t="str">
        <f>""</f>
        <v/>
      </c>
      <c r="BM412" t="str">
        <f>"NÃO É VARILUX ESPECIALISTA"</f>
        <v>NÃO É VARILUX ESPECIALISTA</v>
      </c>
      <c r="BN412" t="str">
        <f>"NA"</f>
        <v>NA</v>
      </c>
      <c r="BO412" t="str">
        <f>""</f>
        <v/>
      </c>
      <c r="BP412" t="str">
        <f>""</f>
        <v/>
      </c>
      <c r="BQ412" t="str">
        <f>""</f>
        <v/>
      </c>
      <c r="BR412" t="str">
        <f>"15/07/2021"</f>
        <v>15/07/2021</v>
      </c>
      <c r="BS412" t="str">
        <f>""</f>
        <v/>
      </c>
      <c r="BT412" t="str">
        <f>""</f>
        <v/>
      </c>
      <c r="BU412" t="str">
        <f>""</f>
        <v/>
      </c>
      <c r="BV412" t="str">
        <f>""</f>
        <v/>
      </c>
      <c r="BW412" t="str">
        <f>"Não visitado"</f>
        <v>Não visitado</v>
      </c>
    </row>
    <row r="413" spans="1:75" x14ac:dyDescent="0.35">
      <c r="A413">
        <v>156793</v>
      </c>
      <c r="B413" t="str">
        <f t="shared" si="184"/>
        <v>A</v>
      </c>
      <c r="C413" t="str">
        <f t="shared" si="185"/>
        <v>80</v>
      </c>
      <c r="D413" t="str">
        <f t="shared" si="186"/>
        <v>11121001</v>
      </c>
      <c r="E413" t="str">
        <f t="shared" si="187"/>
        <v>121001</v>
      </c>
      <c r="F413" t="str">
        <f t="shared" si="188"/>
        <v>JENIFER SANTOS</v>
      </c>
      <c r="G413" t="str">
        <f>"80664212000102"</f>
        <v>80664212000102</v>
      </c>
      <c r="H413" t="str">
        <f>"0"</f>
        <v>0</v>
      </c>
      <c r="I413" t="str">
        <f t="shared" si="190"/>
        <v>CONTA OPTICA</v>
      </c>
      <c r="J413" t="str">
        <f>"RELOJOARIA E OTICA SANTOS LTDA"</f>
        <v>RELOJOARIA E OTICA SANTOS LTDA</v>
      </c>
      <c r="K413" t="str">
        <f>"RELOJOARIA E OTICA SANTOS (1260)"</f>
        <v>RELOJOARIA E OTICA SANTOS (1260)</v>
      </c>
      <c r="L413" t="str">
        <f>""</f>
        <v/>
      </c>
      <c r="M413" t="str">
        <f>""</f>
        <v/>
      </c>
      <c r="N413" t="str">
        <f>"SANTOSRELOJOARIAEOTICA@HOTMAIL.COM"</f>
        <v>SANTOSRELOJOARIAEOTICA@HOTMAIL.COM</v>
      </c>
      <c r="O413" t="str">
        <f>""</f>
        <v/>
      </c>
      <c r="P413" t="str">
        <f>"RUA ALBANO SCHMIDT"</f>
        <v>RUA ALBANO SCHMIDT</v>
      </c>
      <c r="Q413" t="str">
        <f>"4913"</f>
        <v>4913</v>
      </c>
      <c r="R413" t="str">
        <f>""</f>
        <v/>
      </c>
      <c r="S413" t="str">
        <f>"1279"</f>
        <v>1279</v>
      </c>
      <c r="T413" t="str">
        <f>"89227701"</f>
        <v>89227701</v>
      </c>
      <c r="U413" t="str">
        <f>"IRIRIU"</f>
        <v>IRIRIU</v>
      </c>
      <c r="V413" t="str">
        <f>"JOINVILLE"</f>
        <v>JOINVILLE</v>
      </c>
      <c r="W413" t="str">
        <f t="shared" si="200"/>
        <v>SC</v>
      </c>
      <c r="X413" t="str">
        <f t="shared" si="202"/>
        <v>47</v>
      </c>
      <c r="Y413" t="str">
        <f>"34373731"</f>
        <v>34373731</v>
      </c>
      <c r="Z413" t="str">
        <f>""</f>
        <v/>
      </c>
      <c r="AA413" t="str">
        <f>""</f>
        <v/>
      </c>
      <c r="AB413" t="str">
        <f>""</f>
        <v/>
      </c>
      <c r="AC413" t="str">
        <f>""</f>
        <v/>
      </c>
      <c r="AD413" t="str">
        <f>""</f>
        <v/>
      </c>
      <c r="AE413" t="str">
        <f>""</f>
        <v/>
      </c>
      <c r="AF413" t="str">
        <f>""</f>
        <v/>
      </c>
      <c r="AG413" t="str">
        <f>""</f>
        <v/>
      </c>
      <c r="AH413" t="str">
        <f>""</f>
        <v/>
      </c>
      <c r="AI413" t="str">
        <f>""</f>
        <v/>
      </c>
      <c r="AJ413" t="str">
        <f>""</f>
        <v/>
      </c>
      <c r="AK413" t="str">
        <f>""</f>
        <v/>
      </c>
      <c r="AL413" t="str">
        <f>""</f>
        <v/>
      </c>
      <c r="AM413" t="str">
        <f>""</f>
        <v/>
      </c>
      <c r="AN413" t="str">
        <f>""</f>
        <v/>
      </c>
      <c r="AO413" t="str">
        <f>""</f>
        <v/>
      </c>
      <c r="AP413" t="str">
        <f>""</f>
        <v/>
      </c>
      <c r="AQ413" t="str">
        <f>""</f>
        <v/>
      </c>
      <c r="AR413" t="str">
        <f>""</f>
        <v/>
      </c>
      <c r="AS413" t="str">
        <f>""</f>
        <v/>
      </c>
      <c r="AT413" t="str">
        <f>""</f>
        <v/>
      </c>
      <c r="AU413" t="str">
        <f>""</f>
        <v/>
      </c>
      <c r="AV413" t="str">
        <f>""</f>
        <v/>
      </c>
      <c r="AW413" t="str">
        <f>""</f>
        <v/>
      </c>
      <c r="AX413" t="str">
        <f>""</f>
        <v/>
      </c>
      <c r="AY413" t="str">
        <f>""</f>
        <v/>
      </c>
      <c r="AZ413" t="str">
        <f>""</f>
        <v/>
      </c>
      <c r="BA413" t="str">
        <f>""</f>
        <v/>
      </c>
      <c r="BB413" t="str">
        <f>"06/07/2023 12:07:48"</f>
        <v>06/07/2023 12:07:48</v>
      </c>
      <c r="BC413" t="str">
        <f>""</f>
        <v/>
      </c>
      <c r="BD413" t="str">
        <f>""</f>
        <v/>
      </c>
      <c r="BE413" t="str">
        <f>""</f>
        <v/>
      </c>
      <c r="BF413" t="str">
        <f t="shared" si="191"/>
        <v>A</v>
      </c>
      <c r="BG413" t="str">
        <f>""</f>
        <v/>
      </c>
      <c r="BH413" t="str">
        <f>""</f>
        <v/>
      </c>
      <c r="BI413" t="str">
        <f t="shared" si="198"/>
        <v>EVENTUAL</v>
      </c>
      <c r="BJ413" t="str">
        <f t="shared" si="192"/>
        <v>1</v>
      </c>
      <c r="BK413" t="str">
        <f t="shared" si="193"/>
        <v>Farmacia</v>
      </c>
      <c r="BL413" t="str">
        <f>""</f>
        <v/>
      </c>
      <c r="BM413" t="str">
        <f>""</f>
        <v/>
      </c>
      <c r="BN413" t="str">
        <f>""</f>
        <v/>
      </c>
      <c r="BO413" t="str">
        <f>""</f>
        <v/>
      </c>
      <c r="BP413" t="str">
        <f>""</f>
        <v/>
      </c>
      <c r="BQ413" t="str">
        <f>""</f>
        <v/>
      </c>
      <c r="BR413" t="str">
        <f>"06/07/2023"</f>
        <v>06/07/2023</v>
      </c>
      <c r="BS413" t="str">
        <f>""</f>
        <v/>
      </c>
      <c r="BT413" t="str">
        <f>""</f>
        <v/>
      </c>
      <c r="BU413" t="str">
        <f>""</f>
        <v/>
      </c>
      <c r="BV413" t="str">
        <f>""</f>
        <v/>
      </c>
      <c r="BW413" t="str">
        <f>"72"</f>
        <v>72</v>
      </c>
    </row>
    <row r="414" spans="1:75" x14ac:dyDescent="0.35">
      <c r="A414">
        <v>156702</v>
      </c>
      <c r="B414" t="str">
        <f t="shared" si="184"/>
        <v>A</v>
      </c>
      <c r="C414" t="str">
        <f t="shared" si="185"/>
        <v>80</v>
      </c>
      <c r="D414" t="str">
        <f t="shared" si="186"/>
        <v>11121001</v>
      </c>
      <c r="E414" t="str">
        <f t="shared" si="187"/>
        <v>121001</v>
      </c>
      <c r="F414" t="str">
        <f t="shared" si="188"/>
        <v>JENIFER SANTOS</v>
      </c>
      <c r="G414" t="str">
        <f>"00818730000285"</f>
        <v>00818730000285</v>
      </c>
      <c r="H414" t="str">
        <f>"0"</f>
        <v>0</v>
      </c>
      <c r="I414" t="str">
        <f t="shared" si="190"/>
        <v>CONTA OPTICA</v>
      </c>
      <c r="J414" t="str">
        <f>"RELOJOARIA E OTICA SOLAR LTDA"</f>
        <v>RELOJOARIA E OTICA SOLAR LTDA</v>
      </c>
      <c r="K414" t="str">
        <f>"RELOJOARIA E OTICA SOLAR (2099)"</f>
        <v>RELOJOARIA E OTICA SOLAR (2099)</v>
      </c>
      <c r="L414" t="str">
        <f>""</f>
        <v/>
      </c>
      <c r="M414" t="str">
        <f>""</f>
        <v/>
      </c>
      <c r="N414" t="str">
        <f>"OTICA.SOLLAR@YAHOO.COM"</f>
        <v>OTICA.SOLLAR@YAHOO.COM</v>
      </c>
      <c r="O414" t="str">
        <f>""</f>
        <v/>
      </c>
      <c r="P414" t="str">
        <f>"RUA CAPITAO OSMAR ROMAO DA SILVA"</f>
        <v>RUA CAPITAO OSMAR ROMAO DA SILVA</v>
      </c>
      <c r="Q414" t="str">
        <f>"303"</f>
        <v>303</v>
      </c>
      <c r="R414" t="str">
        <f>"SALA 26"</f>
        <v>SALA 26</v>
      </c>
      <c r="S414" t="str">
        <f>"1280"</f>
        <v>1280</v>
      </c>
      <c r="T414" t="str">
        <f>"89295000"</f>
        <v>89295000</v>
      </c>
      <c r="U414" t="str">
        <f>"CENTRO"</f>
        <v>CENTRO</v>
      </c>
      <c r="V414" t="str">
        <f>"RIO NEGRINHO"</f>
        <v>RIO NEGRINHO</v>
      </c>
      <c r="W414" t="str">
        <f t="shared" si="200"/>
        <v>SC</v>
      </c>
      <c r="X414" t="str">
        <f t="shared" si="202"/>
        <v>47</v>
      </c>
      <c r="Y414" t="str">
        <f>"33072776"</f>
        <v>33072776</v>
      </c>
      <c r="Z414" t="str">
        <f>""</f>
        <v/>
      </c>
      <c r="AA414" t="str">
        <f>""</f>
        <v/>
      </c>
      <c r="AB414" t="str">
        <f>""</f>
        <v/>
      </c>
      <c r="AC414" t="str">
        <f>""</f>
        <v/>
      </c>
      <c r="AD414" t="str">
        <f>""</f>
        <v/>
      </c>
      <c r="AE414" t="str">
        <f>""</f>
        <v/>
      </c>
      <c r="AF414" t="str">
        <f>""</f>
        <v/>
      </c>
      <c r="AG414" t="str">
        <f>""</f>
        <v/>
      </c>
      <c r="AH414" t="str">
        <f>""</f>
        <v/>
      </c>
      <c r="AI414" t="str">
        <f>""</f>
        <v/>
      </c>
      <c r="AJ414" t="str">
        <f>""</f>
        <v/>
      </c>
      <c r="AK414" t="str">
        <f>""</f>
        <v/>
      </c>
      <c r="AL414" t="str">
        <f>""</f>
        <v/>
      </c>
      <c r="AM414" t="str">
        <f>""</f>
        <v/>
      </c>
      <c r="AN414" t="str">
        <f>""</f>
        <v/>
      </c>
      <c r="AO414" t="str">
        <f>""</f>
        <v/>
      </c>
      <c r="AP414" t="str">
        <f>""</f>
        <v/>
      </c>
      <c r="AQ414" t="str">
        <f>""</f>
        <v/>
      </c>
      <c r="AR414" t="str">
        <f>""</f>
        <v/>
      </c>
      <c r="AS414" t="str">
        <f>""</f>
        <v/>
      </c>
      <c r="AT414" t="str">
        <f>""</f>
        <v/>
      </c>
      <c r="AU414" t="str">
        <f>""</f>
        <v/>
      </c>
      <c r="AV414" t="str">
        <f>""</f>
        <v/>
      </c>
      <c r="AW414" t="str">
        <f>""</f>
        <v/>
      </c>
      <c r="AX414" t="str">
        <f>""</f>
        <v/>
      </c>
      <c r="AY414" t="str">
        <f>""</f>
        <v/>
      </c>
      <c r="AZ414" t="str">
        <f>""</f>
        <v/>
      </c>
      <c r="BA414" t="str">
        <f>""</f>
        <v/>
      </c>
      <c r="BB414" t="str">
        <f>"06/07/2023 11:06:18"</f>
        <v>06/07/2023 11:06:18</v>
      </c>
      <c r="BC414" t="str">
        <f>""</f>
        <v/>
      </c>
      <c r="BD414" t="str">
        <f>""</f>
        <v/>
      </c>
      <c r="BE414" t="str">
        <f>""</f>
        <v/>
      </c>
      <c r="BF414" t="str">
        <f t="shared" si="191"/>
        <v>A</v>
      </c>
      <c r="BG414" t="str">
        <f>""</f>
        <v/>
      </c>
      <c r="BH414" t="str">
        <f>""</f>
        <v/>
      </c>
      <c r="BI414" t="str">
        <f t="shared" si="198"/>
        <v>EVENTUAL</v>
      </c>
      <c r="BJ414" t="str">
        <f t="shared" si="192"/>
        <v>1</v>
      </c>
      <c r="BK414" t="str">
        <f t="shared" si="193"/>
        <v>Farmacia</v>
      </c>
      <c r="BL414" t="str">
        <f>""</f>
        <v/>
      </c>
      <c r="BM414" t="str">
        <f>""</f>
        <v/>
      </c>
      <c r="BN414" t="str">
        <f>""</f>
        <v/>
      </c>
      <c r="BO414" t="str">
        <f>""</f>
        <v/>
      </c>
      <c r="BP414" t="str">
        <f>""</f>
        <v/>
      </c>
      <c r="BQ414" t="str">
        <f>""</f>
        <v/>
      </c>
      <c r="BR414" t="str">
        <f>"06/07/2023"</f>
        <v>06/07/2023</v>
      </c>
      <c r="BS414" t="str">
        <f>""</f>
        <v/>
      </c>
      <c r="BT414" t="str">
        <f>""</f>
        <v/>
      </c>
      <c r="BU414" t="str">
        <f>""</f>
        <v/>
      </c>
      <c r="BV414" t="str">
        <f>""</f>
        <v/>
      </c>
      <c r="BW414" t="str">
        <f>"Não visitado"</f>
        <v>Não visitado</v>
      </c>
    </row>
    <row r="415" spans="1:75" x14ac:dyDescent="0.35">
      <c r="A415">
        <v>147400</v>
      </c>
      <c r="B415" t="str">
        <f t="shared" si="184"/>
        <v>A</v>
      </c>
      <c r="C415" t="str">
        <f t="shared" si="185"/>
        <v>80</v>
      </c>
      <c r="D415" t="str">
        <f t="shared" si="186"/>
        <v>11121001</v>
      </c>
      <c r="E415" t="str">
        <f t="shared" si="187"/>
        <v>121001</v>
      </c>
      <c r="F415" t="str">
        <f t="shared" si="188"/>
        <v>JENIFER SANTOS</v>
      </c>
      <c r="G415" t="str">
        <f>"00818730000366"</f>
        <v>00818730000366</v>
      </c>
      <c r="H415" t="str">
        <f>"0"</f>
        <v>0</v>
      </c>
      <c r="I415" t="str">
        <f t="shared" si="190"/>
        <v>CONTA OPTICA</v>
      </c>
      <c r="J415" t="str">
        <f>"RELOJOARIA E OTICA SOLAR LTDA"</f>
        <v>RELOJOARIA E OTICA SOLAR LTDA</v>
      </c>
      <c r="K415" t="str">
        <f>"RELOJOARIA E OTICA SOLAR (4524)"</f>
        <v>RELOJOARIA E OTICA SOLAR (4524)</v>
      </c>
      <c r="L415" t="str">
        <f>""</f>
        <v/>
      </c>
      <c r="M415" t="str">
        <f>""</f>
        <v/>
      </c>
      <c r="N415" t="str">
        <f>"OTICA.SOLLAR@YAHOO.COM"</f>
        <v>OTICA.SOLLAR@YAHOO.COM</v>
      </c>
      <c r="O415" t="str">
        <f>""</f>
        <v/>
      </c>
      <c r="P415" t="str">
        <f>"JOSE ZIPPERER"</f>
        <v>JOSE ZIPPERER</v>
      </c>
      <c r="Q415" t="str">
        <f>"41"</f>
        <v>41</v>
      </c>
      <c r="R415" t="str">
        <f>"SALA 01"</f>
        <v>SALA 01</v>
      </c>
      <c r="S415" t="str">
        <f>"1280"</f>
        <v>1280</v>
      </c>
      <c r="T415" t="str">
        <f>"89280352"</f>
        <v>89280352</v>
      </c>
      <c r="U415" t="str">
        <f>"CENTRO"</f>
        <v>CENTRO</v>
      </c>
      <c r="V415" t="str">
        <f>"SAO BENTO DO SUL"</f>
        <v>SAO BENTO DO SUL</v>
      </c>
      <c r="W415" t="str">
        <f t="shared" si="200"/>
        <v>SC</v>
      </c>
      <c r="X415" t="str">
        <f t="shared" si="202"/>
        <v>47</v>
      </c>
      <c r="Y415" t="str">
        <f>"36440054"</f>
        <v>36440054</v>
      </c>
      <c r="Z415" t="str">
        <f>""</f>
        <v/>
      </c>
      <c r="AA415" t="str">
        <f>""</f>
        <v/>
      </c>
      <c r="AB415" t="str">
        <f>""</f>
        <v/>
      </c>
      <c r="AC415" t="str">
        <f>""</f>
        <v/>
      </c>
      <c r="AD415" t="str">
        <f>""</f>
        <v/>
      </c>
      <c r="AE415" t="str">
        <f>""</f>
        <v/>
      </c>
      <c r="AF415" t="str">
        <f>""</f>
        <v/>
      </c>
      <c r="AG415" t="str">
        <f>""</f>
        <v/>
      </c>
      <c r="AH415" t="str">
        <f>""</f>
        <v/>
      </c>
      <c r="AI415" t="str">
        <f>""</f>
        <v/>
      </c>
      <c r="AJ415" t="str">
        <f>""</f>
        <v/>
      </c>
      <c r="AK415" t="str">
        <f>""</f>
        <v/>
      </c>
      <c r="AL415" t="str">
        <f>""</f>
        <v/>
      </c>
      <c r="AM415" t="str">
        <f>""</f>
        <v/>
      </c>
      <c r="AN415" t="str">
        <f>""</f>
        <v/>
      </c>
      <c r="AO415" t="str">
        <f>""</f>
        <v/>
      </c>
      <c r="AP415" t="str">
        <f>""</f>
        <v/>
      </c>
      <c r="AQ415" t="str">
        <f>""</f>
        <v/>
      </c>
      <c r="AR415" t="str">
        <f>""</f>
        <v/>
      </c>
      <c r="AS415" t="str">
        <f>""</f>
        <v/>
      </c>
      <c r="AT415" t="str">
        <f>""</f>
        <v/>
      </c>
      <c r="AU415" t="str">
        <f>""</f>
        <v/>
      </c>
      <c r="AV415" t="str">
        <f>""</f>
        <v/>
      </c>
      <c r="AW415" t="str">
        <f>""</f>
        <v/>
      </c>
      <c r="AX415" t="str">
        <f>""</f>
        <v/>
      </c>
      <c r="AY415" t="str">
        <f>""</f>
        <v/>
      </c>
      <c r="AZ415" t="str">
        <f>""</f>
        <v/>
      </c>
      <c r="BA415" t="str">
        <f>""</f>
        <v/>
      </c>
      <c r="BB415" t="str">
        <f>"21/06/2022 10:23:43"</f>
        <v>21/06/2022 10:23:43</v>
      </c>
      <c r="BC415" t="str">
        <f>""</f>
        <v/>
      </c>
      <c r="BD415" t="str">
        <f>""</f>
        <v/>
      </c>
      <c r="BE415" t="str">
        <f>""</f>
        <v/>
      </c>
      <c r="BF415" t="str">
        <f t="shared" si="191"/>
        <v>A</v>
      </c>
      <c r="BG415" t="str">
        <f>""</f>
        <v/>
      </c>
      <c r="BH415" t="str">
        <f>""</f>
        <v/>
      </c>
      <c r="BI415" t="str">
        <f t="shared" si="198"/>
        <v>EVENTUAL</v>
      </c>
      <c r="BJ415" t="str">
        <f t="shared" si="192"/>
        <v>1</v>
      </c>
      <c r="BK415" t="str">
        <f t="shared" si="193"/>
        <v>Farmacia</v>
      </c>
      <c r="BL415" t="str">
        <f>""</f>
        <v/>
      </c>
      <c r="BM415" t="str">
        <f>"NÃO É VARILUX ESPECIALISTA"</f>
        <v>NÃO É VARILUX ESPECIALISTA</v>
      </c>
      <c r="BN415" t="str">
        <f>""</f>
        <v/>
      </c>
      <c r="BO415" t="str">
        <f>""</f>
        <v/>
      </c>
      <c r="BP415" t="str">
        <f>""</f>
        <v/>
      </c>
      <c r="BQ415" t="str">
        <f>""</f>
        <v/>
      </c>
      <c r="BR415" t="str">
        <f>"21/06/2022"</f>
        <v>21/06/2022</v>
      </c>
      <c r="BS415" t="str">
        <f>""</f>
        <v/>
      </c>
      <c r="BT415" t="str">
        <f>""</f>
        <v/>
      </c>
      <c r="BU415" t="str">
        <f>""</f>
        <v/>
      </c>
      <c r="BV415" t="str">
        <f>""</f>
        <v/>
      </c>
      <c r="BW415" t="str">
        <f>"Não visitado"</f>
        <v>Não visitado</v>
      </c>
    </row>
    <row r="416" spans="1:75" x14ac:dyDescent="0.35">
      <c r="A416">
        <v>775</v>
      </c>
      <c r="B416" t="str">
        <f t="shared" si="184"/>
        <v>A</v>
      </c>
      <c r="C416" t="str">
        <f t="shared" si="185"/>
        <v>80</v>
      </c>
      <c r="D416" t="str">
        <f t="shared" si="186"/>
        <v>11121001</v>
      </c>
      <c r="E416" t="str">
        <f t="shared" si="187"/>
        <v>121001</v>
      </c>
      <c r="F416" t="str">
        <f t="shared" si="188"/>
        <v>JENIFER SANTOS</v>
      </c>
      <c r="G416" t="str">
        <f>"00818730000102"</f>
        <v>00818730000102</v>
      </c>
      <c r="H416" t="str">
        <f>""</f>
        <v/>
      </c>
      <c r="I416" t="str">
        <f t="shared" si="190"/>
        <v>CONTA OPTICA</v>
      </c>
      <c r="J416" t="str">
        <f>"RELOJOARIA E OTICA SOLAR LTDA ME"</f>
        <v>RELOJOARIA E OTICA SOLAR LTDA ME</v>
      </c>
      <c r="K416" t="str">
        <f>"RELOJOARIA E OTICA SOLAR LTDA ME (664)"</f>
        <v>RELOJOARIA E OTICA SOLAR LTDA ME (664)</v>
      </c>
      <c r="L416" t="str">
        <f>""</f>
        <v/>
      </c>
      <c r="M416" t="str">
        <f>""</f>
        <v/>
      </c>
      <c r="N416" t="str">
        <f>"oticasollar@yahoo.com.br"</f>
        <v>oticasollar@yahoo.com.br</v>
      </c>
      <c r="O416" t="str">
        <f>""</f>
        <v/>
      </c>
      <c r="P416" t="str">
        <f>"RUA JORGE ZIPPERER"</f>
        <v>RUA JORGE ZIPPERER</v>
      </c>
      <c r="Q416" t="str">
        <f>"158"</f>
        <v>158</v>
      </c>
      <c r="R416" t="str">
        <f>""</f>
        <v/>
      </c>
      <c r="S416" t="str">
        <f>"1280"</f>
        <v>1280</v>
      </c>
      <c r="T416" t="str">
        <f>"89295000"</f>
        <v>89295000</v>
      </c>
      <c r="U416" t="str">
        <f>"CENTRO"</f>
        <v>CENTRO</v>
      </c>
      <c r="V416" t="str">
        <f>"RIO NEGRINHO"</f>
        <v>RIO NEGRINHO</v>
      </c>
      <c r="W416" t="str">
        <f t="shared" si="200"/>
        <v>SC</v>
      </c>
      <c r="X416" t="str">
        <f t="shared" si="202"/>
        <v>47</v>
      </c>
      <c r="Y416" t="str">
        <f>"36449135"</f>
        <v>36449135</v>
      </c>
      <c r="Z416" t="str">
        <f>""</f>
        <v/>
      </c>
      <c r="AA416" t="str">
        <f>""</f>
        <v/>
      </c>
      <c r="AB416" t="str">
        <f>""</f>
        <v/>
      </c>
      <c r="AC416" t="str">
        <f>""</f>
        <v/>
      </c>
      <c r="AD416" t="str">
        <f>""</f>
        <v/>
      </c>
      <c r="AE416" t="str">
        <f>""</f>
        <v/>
      </c>
      <c r="AF416" t="str">
        <f>""</f>
        <v/>
      </c>
      <c r="AG416" t="str">
        <f>""</f>
        <v/>
      </c>
      <c r="AH416" t="str">
        <f>""</f>
        <v/>
      </c>
      <c r="AI416" t="str">
        <f>""</f>
        <v/>
      </c>
      <c r="AJ416" t="str">
        <f>"0"</f>
        <v>0</v>
      </c>
      <c r="AK416" t="str">
        <f>"0"</f>
        <v>0</v>
      </c>
      <c r="AL416" t="str">
        <f>"0"</f>
        <v>0</v>
      </c>
      <c r="AM416" t="str">
        <f>""</f>
        <v/>
      </c>
      <c r="AN416" t="str">
        <f>""</f>
        <v/>
      </c>
      <c r="AO416" t="str">
        <f>""</f>
        <v/>
      </c>
      <c r="AP416" t="str">
        <f>""</f>
        <v/>
      </c>
      <c r="AQ416" t="str">
        <f>""</f>
        <v/>
      </c>
      <c r="AR416" t="str">
        <f>""</f>
        <v/>
      </c>
      <c r="AS416" t="str">
        <f>""</f>
        <v/>
      </c>
      <c r="AT416" t="str">
        <f>""</f>
        <v/>
      </c>
      <c r="AU416" t="str">
        <f>""</f>
        <v/>
      </c>
      <c r="AV416" t="str">
        <f>""</f>
        <v/>
      </c>
      <c r="AW416" t="str">
        <f>""</f>
        <v/>
      </c>
      <c r="AX416" t="str">
        <f>""</f>
        <v/>
      </c>
      <c r="AY416" t="str">
        <f>""</f>
        <v/>
      </c>
      <c r="AZ416" t="str">
        <f>""</f>
        <v/>
      </c>
      <c r="BA416" t="str">
        <f>""</f>
        <v/>
      </c>
      <c r="BB416" t="str">
        <f>"27/07/2018 09:25:50"</f>
        <v>27/07/2018 09:25:50</v>
      </c>
      <c r="BC416" t="str">
        <f>""</f>
        <v/>
      </c>
      <c r="BD416" t="str">
        <f>""</f>
        <v/>
      </c>
      <c r="BE416" t="str">
        <f>"775"</f>
        <v>775</v>
      </c>
      <c r="BF416" t="str">
        <f t="shared" si="191"/>
        <v>A</v>
      </c>
      <c r="BG416" t="str">
        <f>"0,00"</f>
        <v>0,00</v>
      </c>
      <c r="BH416" t="str">
        <f>"0,00"</f>
        <v>0,00</v>
      </c>
      <c r="BI416" t="str">
        <f t="shared" si="198"/>
        <v>EVENTUAL</v>
      </c>
      <c r="BJ416" t="str">
        <f t="shared" si="192"/>
        <v>1</v>
      </c>
      <c r="BK416" t="str">
        <f t="shared" si="193"/>
        <v>Farmacia</v>
      </c>
      <c r="BL416" t="str">
        <f>""</f>
        <v/>
      </c>
      <c r="BM416" t="str">
        <f>"NÃO É VARILUX ESPECIALISTA"</f>
        <v>NÃO É VARILUX ESPECIALISTA</v>
      </c>
      <c r="BN416" t="str">
        <f>"NA"</f>
        <v>NA</v>
      </c>
      <c r="BO416" t="str">
        <f>"FOCO KODAK 2"</f>
        <v>FOCO KODAK 2</v>
      </c>
      <c r="BP416" t="str">
        <f>""</f>
        <v/>
      </c>
      <c r="BQ416" t="str">
        <f>""</f>
        <v/>
      </c>
      <c r="BR416" t="str">
        <f>"27/07/2018"</f>
        <v>27/07/2018</v>
      </c>
      <c r="BS416" t="str">
        <f>""</f>
        <v/>
      </c>
      <c r="BT416" t="str">
        <f>""</f>
        <v/>
      </c>
      <c r="BU416" t="str">
        <f>""</f>
        <v/>
      </c>
      <c r="BV416" t="str">
        <f>"6"</f>
        <v>6</v>
      </c>
      <c r="BW416" t="str">
        <f>"Não visitado"</f>
        <v>Não visitado</v>
      </c>
    </row>
    <row r="417" spans="1:75" x14ac:dyDescent="0.35">
      <c r="A417">
        <v>152738</v>
      </c>
      <c r="B417" t="str">
        <f t="shared" si="184"/>
        <v>A</v>
      </c>
      <c r="C417" t="str">
        <f t="shared" si="185"/>
        <v>80</v>
      </c>
      <c r="D417" t="str">
        <f t="shared" si="186"/>
        <v>11121001</v>
      </c>
      <c r="E417" t="str">
        <f t="shared" si="187"/>
        <v>121001</v>
      </c>
      <c r="F417" t="str">
        <f t="shared" si="188"/>
        <v>JENIFER SANTOS</v>
      </c>
      <c r="G417" t="str">
        <f>"14395675000191"</f>
        <v>14395675000191</v>
      </c>
      <c r="H417" t="str">
        <f>"0"</f>
        <v>0</v>
      </c>
      <c r="I417" t="str">
        <f t="shared" si="190"/>
        <v>CONTA OPTICA</v>
      </c>
      <c r="J417" t="str">
        <f>"RELOJOARIA E OTICA STEFFENS LTDA ME"</f>
        <v>RELOJOARIA E OTICA STEFFENS LTDA ME</v>
      </c>
      <c r="K417" t="str">
        <f>"RELOJOARIA E OTICA STEFFENS"</f>
        <v>RELOJOARIA E OTICA STEFFENS</v>
      </c>
      <c r="L417" t="str">
        <f>""</f>
        <v/>
      </c>
      <c r="M417" t="str">
        <f>""</f>
        <v/>
      </c>
      <c r="N417" t="str">
        <f>"steffens.otica@gmail.com"</f>
        <v>steffens.otica@gmail.com</v>
      </c>
      <c r="O417" t="str">
        <f>""</f>
        <v/>
      </c>
      <c r="P417" t="str">
        <f>"RUA VINTE E OITO DE AGOSTO"</f>
        <v>RUA VINTE E OITO DE AGOSTO</v>
      </c>
      <c r="Q417" t="str">
        <f>"1553"</f>
        <v>1553</v>
      </c>
      <c r="R417" t="str">
        <f>"SALA 01"</f>
        <v>SALA 01</v>
      </c>
      <c r="S417" t="str">
        <f>"1280"</f>
        <v>1280</v>
      </c>
      <c r="T417" t="str">
        <f>"89270000"</f>
        <v>89270000</v>
      </c>
      <c r="U417" t="str">
        <f>"CENTRO"</f>
        <v>CENTRO</v>
      </c>
      <c r="V417" t="str">
        <f>"GUARAMIRIM"</f>
        <v>GUARAMIRIM</v>
      </c>
      <c r="W417" t="str">
        <f t="shared" si="200"/>
        <v>SC</v>
      </c>
      <c r="X417" t="str">
        <f>""</f>
        <v/>
      </c>
      <c r="Y417" t="str">
        <f>""</f>
        <v/>
      </c>
      <c r="Z417" t="str">
        <f>""</f>
        <v/>
      </c>
      <c r="AA417" t="str">
        <f>""</f>
        <v/>
      </c>
      <c r="AB417" t="str">
        <f>""</f>
        <v/>
      </c>
      <c r="AC417" t="str">
        <f>""</f>
        <v/>
      </c>
      <c r="AD417" t="str">
        <f>""</f>
        <v/>
      </c>
      <c r="AE417" t="str">
        <f>""</f>
        <v/>
      </c>
      <c r="AF417" t="str">
        <f>""</f>
        <v/>
      </c>
      <c r="AG417" t="str">
        <f>""</f>
        <v/>
      </c>
      <c r="AH417" t="str">
        <f>""</f>
        <v/>
      </c>
      <c r="AI417" t="str">
        <f>""</f>
        <v/>
      </c>
      <c r="AJ417" t="str">
        <f>""</f>
        <v/>
      </c>
      <c r="AK417" t="str">
        <f>""</f>
        <v/>
      </c>
      <c r="AL417" t="str">
        <f>""</f>
        <v/>
      </c>
      <c r="AM417" t="str">
        <f>""</f>
        <v/>
      </c>
      <c r="AN417" t="str">
        <f>""</f>
        <v/>
      </c>
      <c r="AO417" t="str">
        <f>""</f>
        <v/>
      </c>
      <c r="AP417" t="str">
        <f>""</f>
        <v/>
      </c>
      <c r="AQ417" t="str">
        <f>""</f>
        <v/>
      </c>
      <c r="AR417" t="str">
        <f>""</f>
        <v/>
      </c>
      <c r="AS417" t="str">
        <f>""</f>
        <v/>
      </c>
      <c r="AT417" t="str">
        <f>""</f>
        <v/>
      </c>
      <c r="AU417" t="str">
        <f>""</f>
        <v/>
      </c>
      <c r="AV417" t="str">
        <f>""</f>
        <v/>
      </c>
      <c r="AW417" t="str">
        <f>""</f>
        <v/>
      </c>
      <c r="AX417" t="str">
        <f>""</f>
        <v/>
      </c>
      <c r="AY417" t="str">
        <f>""</f>
        <v/>
      </c>
      <c r="AZ417" t="str">
        <f>""</f>
        <v/>
      </c>
      <c r="BA417" t="str">
        <f>""</f>
        <v/>
      </c>
      <c r="BB417" t="str">
        <f>"03/04/2023 13:34:29"</f>
        <v>03/04/2023 13:34:29</v>
      </c>
      <c r="BC417" t="str">
        <f>""</f>
        <v/>
      </c>
      <c r="BD417" t="str">
        <f>""</f>
        <v/>
      </c>
      <c r="BE417" t="str">
        <f>""</f>
        <v/>
      </c>
      <c r="BF417" t="str">
        <f t="shared" si="191"/>
        <v>A</v>
      </c>
      <c r="BG417" t="str">
        <f>""</f>
        <v/>
      </c>
      <c r="BH417" t="str">
        <f>""</f>
        <v/>
      </c>
      <c r="BI417" t="str">
        <f t="shared" si="198"/>
        <v>EVENTUAL</v>
      </c>
      <c r="BJ417" t="str">
        <f t="shared" si="192"/>
        <v>1</v>
      </c>
      <c r="BK417" t="str">
        <f t="shared" si="193"/>
        <v>Farmacia</v>
      </c>
      <c r="BL417" t="str">
        <f>""</f>
        <v/>
      </c>
      <c r="BM417" t="str">
        <f>""</f>
        <v/>
      </c>
      <c r="BN417" t="str">
        <f>""</f>
        <v/>
      </c>
      <c r="BO417" t="str">
        <f>""</f>
        <v/>
      </c>
      <c r="BP417" t="str">
        <f>""</f>
        <v/>
      </c>
      <c r="BQ417" t="str">
        <f>""</f>
        <v/>
      </c>
      <c r="BR417" t="str">
        <f>"03/04/2023"</f>
        <v>03/04/2023</v>
      </c>
      <c r="BS417" t="str">
        <f>""</f>
        <v/>
      </c>
      <c r="BT417" t="str">
        <f>""</f>
        <v/>
      </c>
      <c r="BU417" t="str">
        <f>""</f>
        <v/>
      </c>
      <c r="BV417" t="str">
        <f>""</f>
        <v/>
      </c>
      <c r="BW417" t="str">
        <f>"137"</f>
        <v>137</v>
      </c>
    </row>
    <row r="418" spans="1:75" x14ac:dyDescent="0.35">
      <c r="A418">
        <v>144467</v>
      </c>
      <c r="B418" t="str">
        <f t="shared" si="184"/>
        <v>A</v>
      </c>
      <c r="C418" t="str">
        <f t="shared" si="185"/>
        <v>80</v>
      </c>
      <c r="D418" t="str">
        <f t="shared" si="186"/>
        <v>11121001</v>
      </c>
      <c r="E418" t="str">
        <f t="shared" si="187"/>
        <v>121001</v>
      </c>
      <c r="F418" t="str">
        <f t="shared" si="188"/>
        <v>JENIFER SANTOS</v>
      </c>
      <c r="G418" t="str">
        <f>"82886664000164"</f>
        <v>82886664000164</v>
      </c>
      <c r="H418" t="str">
        <f>""</f>
        <v/>
      </c>
      <c r="I418" t="str">
        <f t="shared" si="190"/>
        <v>CONTA OPTICA</v>
      </c>
      <c r="J418" t="str">
        <f>"RELOJOARIA E OTICA TIC TEM LTDA ME"</f>
        <v>RELOJOARIA E OTICA TIC TEM LTDA ME</v>
      </c>
      <c r="K418" t="str">
        <f>"RELOJOARIA E OTICA TIC TEM (1203)"</f>
        <v>RELOJOARIA E OTICA TIC TEM (1203)</v>
      </c>
      <c r="L418" t="str">
        <f>""</f>
        <v/>
      </c>
      <c r="M418" t="str">
        <f>""</f>
        <v/>
      </c>
      <c r="N418" t="str">
        <f>"rotictem.marli@hotmail.com"</f>
        <v>rotictem.marli@hotmail.com</v>
      </c>
      <c r="O418" t="str">
        <f>""</f>
        <v/>
      </c>
      <c r="P418" t="str">
        <f>"AVENIDA GETULIO VARGAS"</f>
        <v>AVENIDA GETULIO VARGAS</v>
      </c>
      <c r="Q418" t="str">
        <f>"1369"</f>
        <v>1369</v>
      </c>
      <c r="R418" t="str">
        <f>""</f>
        <v/>
      </c>
      <c r="S418" t="str">
        <f>"1277"</f>
        <v>1277</v>
      </c>
      <c r="T418" t="str">
        <f>"89202003"</f>
        <v>89202003</v>
      </c>
      <c r="U418" t="str">
        <f>"NAO INFORMADO"</f>
        <v>NAO INFORMADO</v>
      </c>
      <c r="V418" t="str">
        <f>"JOINVILLE"</f>
        <v>JOINVILLE</v>
      </c>
      <c r="W418" t="str">
        <f t="shared" si="200"/>
        <v>SC</v>
      </c>
      <c r="X418" t="str">
        <f>"47"</f>
        <v>47</v>
      </c>
      <c r="Y418" t="str">
        <f>"34550400"</f>
        <v>34550400</v>
      </c>
      <c r="Z418" t="str">
        <f>""</f>
        <v/>
      </c>
      <c r="AA418" t="str">
        <f>""</f>
        <v/>
      </c>
      <c r="AB418" t="str">
        <f>""</f>
        <v/>
      </c>
      <c r="AC418" t="str">
        <f>""</f>
        <v/>
      </c>
      <c r="AD418" t="str">
        <f>""</f>
        <v/>
      </c>
      <c r="AE418" t="str">
        <f>""</f>
        <v/>
      </c>
      <c r="AF418" t="str">
        <f>""</f>
        <v/>
      </c>
      <c r="AG418" t="str">
        <f>""</f>
        <v/>
      </c>
      <c r="AH418" t="str">
        <f>""</f>
        <v/>
      </c>
      <c r="AI418" t="str">
        <f>""</f>
        <v/>
      </c>
      <c r="AJ418" t="str">
        <f>"0"</f>
        <v>0</v>
      </c>
      <c r="AK418" t="str">
        <f>"0"</f>
        <v>0</v>
      </c>
      <c r="AL418" t="str">
        <f>"0"</f>
        <v>0</v>
      </c>
      <c r="AM418" t="str">
        <f>""</f>
        <v/>
      </c>
      <c r="AN418" t="str">
        <f>""</f>
        <v/>
      </c>
      <c r="AO418" t="str">
        <f>""</f>
        <v/>
      </c>
      <c r="AP418" t="str">
        <f>""</f>
        <v/>
      </c>
      <c r="AQ418" t="str">
        <f>""</f>
        <v/>
      </c>
      <c r="AR418" t="str">
        <f>""</f>
        <v/>
      </c>
      <c r="AS418" t="str">
        <f>""</f>
        <v/>
      </c>
      <c r="AT418" t="str">
        <f>""</f>
        <v/>
      </c>
      <c r="AU418" t="str">
        <f>""</f>
        <v/>
      </c>
      <c r="AV418" t="str">
        <f>""</f>
        <v/>
      </c>
      <c r="AW418" t="str">
        <f>""</f>
        <v/>
      </c>
      <c r="AX418" t="str">
        <f>""</f>
        <v/>
      </c>
      <c r="AY418" t="str">
        <f>""</f>
        <v/>
      </c>
      <c r="AZ418" t="str">
        <f>""</f>
        <v/>
      </c>
      <c r="BA418" t="str">
        <f>""</f>
        <v/>
      </c>
      <c r="BB418" t="str">
        <f>""</f>
        <v/>
      </c>
      <c r="BC418" t="str">
        <f>""</f>
        <v/>
      </c>
      <c r="BD418" t="str">
        <f>""</f>
        <v/>
      </c>
      <c r="BE418" t="str">
        <f>""</f>
        <v/>
      </c>
      <c r="BF418" t="str">
        <f t="shared" si="191"/>
        <v>A</v>
      </c>
      <c r="BG418" t="str">
        <f>"0,00"</f>
        <v>0,00</v>
      </c>
      <c r="BH418" t="str">
        <f>"0,00"</f>
        <v>0,00</v>
      </c>
      <c r="BI418" t="str">
        <f t="shared" si="198"/>
        <v>EVENTUAL</v>
      </c>
      <c r="BJ418" t="str">
        <f t="shared" si="192"/>
        <v>1</v>
      </c>
      <c r="BK418" t="str">
        <f t="shared" si="193"/>
        <v>Farmacia</v>
      </c>
      <c r="BL418" t="str">
        <f>""</f>
        <v/>
      </c>
      <c r="BM418" t="str">
        <f t="shared" ref="BM418:BM424" si="204">"NÃO É VARILUX ESPECIALISTA"</f>
        <v>NÃO É VARILUX ESPECIALISTA</v>
      </c>
      <c r="BN418" t="str">
        <f>"NA"</f>
        <v>NA</v>
      </c>
      <c r="BO418" t="str">
        <f>"OUTROS"</f>
        <v>OUTROS</v>
      </c>
      <c r="BP418" t="str">
        <f>""</f>
        <v/>
      </c>
      <c r="BQ418" t="str">
        <f>""</f>
        <v/>
      </c>
      <c r="BR418" t="str">
        <f>""</f>
        <v/>
      </c>
      <c r="BS418" t="str">
        <f>""</f>
        <v/>
      </c>
      <c r="BT418" t="str">
        <f>""</f>
        <v/>
      </c>
      <c r="BU418" t="str">
        <f>""</f>
        <v/>
      </c>
      <c r="BV418" t="str">
        <f>"9"</f>
        <v>9</v>
      </c>
      <c r="BW418" t="str">
        <f>"Não visitado"</f>
        <v>Não visitado</v>
      </c>
    </row>
    <row r="419" spans="1:75" x14ac:dyDescent="0.35">
      <c r="A419">
        <v>138212</v>
      </c>
      <c r="B419" t="str">
        <f t="shared" si="184"/>
        <v>A</v>
      </c>
      <c r="C419" t="str">
        <f t="shared" si="185"/>
        <v>80</v>
      </c>
      <c r="D419" t="str">
        <f t="shared" si="186"/>
        <v>11121001</v>
      </c>
      <c r="E419" t="str">
        <f t="shared" si="187"/>
        <v>121001</v>
      </c>
      <c r="F419" t="str">
        <f t="shared" si="188"/>
        <v>JENIFER SANTOS</v>
      </c>
      <c r="G419" t="str">
        <f>"14212358000192"</f>
        <v>14212358000192</v>
      </c>
      <c r="H419" t="str">
        <f>"0"</f>
        <v>0</v>
      </c>
      <c r="I419" t="str">
        <f t="shared" si="190"/>
        <v>CONTA OPTICA</v>
      </c>
      <c r="J419" t="str">
        <f>"RELOJOARIA E OTICA VISAO LTDA ME"</f>
        <v>RELOJOARIA E OTICA VISAO LTDA ME</v>
      </c>
      <c r="K419" t="str">
        <f>"RELOJOARIA E OTICA TIC TAC (1871)"</f>
        <v>RELOJOARIA E OTICA TIC TAC (1871)</v>
      </c>
      <c r="L419" t="str">
        <f>""</f>
        <v/>
      </c>
      <c r="M419" t="str">
        <f>""</f>
        <v/>
      </c>
      <c r="N419" t="str">
        <f>"oticatictac@gmail.com"</f>
        <v>oticatictac@gmail.com</v>
      </c>
      <c r="O419" t="str">
        <f>""</f>
        <v/>
      </c>
      <c r="P419" t="str">
        <f>"AVENIDA RENE FREY"</f>
        <v>AVENIDA RENE FREY</v>
      </c>
      <c r="Q419" t="str">
        <f>"428"</f>
        <v>428</v>
      </c>
      <c r="R419" t="str">
        <f>""</f>
        <v/>
      </c>
      <c r="S419" t="str">
        <f>"1284"</f>
        <v>1284</v>
      </c>
      <c r="T419" t="str">
        <f>"89580000"</f>
        <v>89580000</v>
      </c>
      <c r="U419" t="str">
        <f>"CENTRO"</f>
        <v>CENTRO</v>
      </c>
      <c r="V419" t="str">
        <f>"FRAIBURGO"</f>
        <v>FRAIBURGO</v>
      </c>
      <c r="W419" t="str">
        <f t="shared" si="200"/>
        <v>SC</v>
      </c>
      <c r="X419" t="str">
        <f>"49"</f>
        <v>49</v>
      </c>
      <c r="Y419" t="str">
        <f>"32462825"</f>
        <v>32462825</v>
      </c>
      <c r="Z419" t="str">
        <f>""</f>
        <v/>
      </c>
      <c r="AA419" t="str">
        <f>""</f>
        <v/>
      </c>
      <c r="AB419" t="str">
        <f>""</f>
        <v/>
      </c>
      <c r="AC419" t="str">
        <f>""</f>
        <v/>
      </c>
      <c r="AD419" t="str">
        <f>""</f>
        <v/>
      </c>
      <c r="AE419" t="str">
        <f>""</f>
        <v/>
      </c>
      <c r="AF419" t="str">
        <f>""</f>
        <v/>
      </c>
      <c r="AG419" t="str">
        <f>"S"</f>
        <v>S</v>
      </c>
      <c r="AH419" t="str">
        <f>""</f>
        <v/>
      </c>
      <c r="AI419" t="str">
        <f>""</f>
        <v/>
      </c>
      <c r="AJ419" t="str">
        <f>""</f>
        <v/>
      </c>
      <c r="AK419" t="str">
        <f>""</f>
        <v/>
      </c>
      <c r="AL419" t="str">
        <f>""</f>
        <v/>
      </c>
      <c r="AM419" t="str">
        <f>""</f>
        <v/>
      </c>
      <c r="AN419" t="str">
        <f>""</f>
        <v/>
      </c>
      <c r="AO419" t="str">
        <f>""</f>
        <v/>
      </c>
      <c r="AP419" t="str">
        <f>""</f>
        <v/>
      </c>
      <c r="AQ419" t="str">
        <f t="shared" ref="AQ419:AU420" si="205">"N"</f>
        <v>N</v>
      </c>
      <c r="AR419" t="str">
        <f t="shared" si="205"/>
        <v>N</v>
      </c>
      <c r="AS419" t="str">
        <f t="shared" si="205"/>
        <v>N</v>
      </c>
      <c r="AT419" t="str">
        <f t="shared" si="205"/>
        <v>N</v>
      </c>
      <c r="AU419" t="str">
        <f t="shared" si="205"/>
        <v>N</v>
      </c>
      <c r="AV419" t="str">
        <f>""</f>
        <v/>
      </c>
      <c r="AW419" t="str">
        <f>""</f>
        <v/>
      </c>
      <c r="AX419" t="str">
        <f>""</f>
        <v/>
      </c>
      <c r="AY419" t="str">
        <f>""</f>
        <v/>
      </c>
      <c r="AZ419" t="str">
        <f>""</f>
        <v/>
      </c>
      <c r="BA419" t="str">
        <f>""</f>
        <v/>
      </c>
      <c r="BB419" t="str">
        <f>"01/07/2021 13:53:04"</f>
        <v>01/07/2021 13:53:04</v>
      </c>
      <c r="BC419" t="str">
        <f>"24/03/2022 11:00:22"</f>
        <v>24/03/2022 11:00:22</v>
      </c>
      <c r="BD419" t="str">
        <f>""</f>
        <v/>
      </c>
      <c r="BE419" t="str">
        <f>""</f>
        <v/>
      </c>
      <c r="BF419" t="str">
        <f t="shared" si="191"/>
        <v>A</v>
      </c>
      <c r="BG419" t="str">
        <f>""</f>
        <v/>
      </c>
      <c r="BH419" t="str">
        <f t="shared" ref="BH419:BH424" si="206">"0,00"</f>
        <v>0,00</v>
      </c>
      <c r="BI419" t="str">
        <f t="shared" si="198"/>
        <v>EVENTUAL</v>
      </c>
      <c r="BJ419" t="str">
        <f t="shared" si="192"/>
        <v>1</v>
      </c>
      <c r="BK419" t="str">
        <f t="shared" si="193"/>
        <v>Farmacia</v>
      </c>
      <c r="BL419" t="str">
        <f>""</f>
        <v/>
      </c>
      <c r="BM419" t="str">
        <f t="shared" si="204"/>
        <v>NÃO É VARILUX ESPECIALISTA</v>
      </c>
      <c r="BN419" t="str">
        <f>"EL360"</f>
        <v>EL360</v>
      </c>
      <c r="BO419" t="str">
        <f>""</f>
        <v/>
      </c>
      <c r="BP419" t="str">
        <f>""</f>
        <v/>
      </c>
      <c r="BQ419" t="str">
        <f>""</f>
        <v/>
      </c>
      <c r="BR419" t="str">
        <f>"01/07/2021"</f>
        <v>01/07/2021</v>
      </c>
      <c r="BS419" t="str">
        <f>"24/03/2022"</f>
        <v>24/03/2022</v>
      </c>
      <c r="BT419" t="str">
        <f>""</f>
        <v/>
      </c>
      <c r="BU419" t="str">
        <f>""</f>
        <v/>
      </c>
      <c r="BV419" t="str">
        <f>""</f>
        <v/>
      </c>
      <c r="BW419" t="str">
        <f>"31"</f>
        <v>31</v>
      </c>
    </row>
    <row r="420" spans="1:75" x14ac:dyDescent="0.35">
      <c r="A420">
        <v>144460</v>
      </c>
      <c r="B420" t="str">
        <f t="shared" si="184"/>
        <v>A</v>
      </c>
      <c r="C420" t="str">
        <f t="shared" si="185"/>
        <v>80</v>
      </c>
      <c r="D420" t="str">
        <f t="shared" si="186"/>
        <v>11121001</v>
      </c>
      <c r="E420" t="str">
        <f t="shared" si="187"/>
        <v>121001</v>
      </c>
      <c r="F420" t="str">
        <f t="shared" si="188"/>
        <v>JENIFER SANTOS</v>
      </c>
      <c r="G420" t="str">
        <f>"78888195000226"</f>
        <v>78888195000226</v>
      </c>
      <c r="H420" t="str">
        <f>""</f>
        <v/>
      </c>
      <c r="I420" t="str">
        <f t="shared" si="190"/>
        <v>CONTA OPTICA</v>
      </c>
      <c r="J420" t="str">
        <f>"RELOJOARIA E OTICA VISUAL LTDA"</f>
        <v>RELOJOARIA E OTICA VISUAL LTDA</v>
      </c>
      <c r="K420" t="str">
        <f>"RELOJOARIA E OTICA VISUAL (403)"</f>
        <v>RELOJOARIA E OTICA VISUAL (403)</v>
      </c>
      <c r="L420" t="str">
        <f>""</f>
        <v/>
      </c>
      <c r="M420" t="str">
        <f>""</f>
        <v/>
      </c>
      <c r="N420" t="str">
        <f>"dani@oticavisual.com"</f>
        <v>dani@oticavisual.com</v>
      </c>
      <c r="O420" t="str">
        <f>""</f>
        <v/>
      </c>
      <c r="P420" t="str">
        <f>"1ª RUA RUA VISCONDE DE TAUNAY 205"</f>
        <v>1ª RUA RUA VISCONDE DE TAUNAY 205</v>
      </c>
      <c r="Q420" t="str">
        <f>"152"</f>
        <v>152</v>
      </c>
      <c r="R420" t="str">
        <f>""</f>
        <v/>
      </c>
      <c r="S420" t="str">
        <f>""</f>
        <v/>
      </c>
      <c r="T420" t="str">
        <f>"89280970"</f>
        <v>89280970</v>
      </c>
      <c r="U420" t="str">
        <f>"CENTRO"</f>
        <v>CENTRO</v>
      </c>
      <c r="V420" t="str">
        <f>"SÃO BENTO DO SUL"</f>
        <v>SÃO BENTO DO SUL</v>
      </c>
      <c r="W420" t="str">
        <f t="shared" si="200"/>
        <v>SC</v>
      </c>
      <c r="X420" t="str">
        <f t="shared" ref="X420:X425" si="207">"47"</f>
        <v>47</v>
      </c>
      <c r="Y420" t="str">
        <f>"36335703"</f>
        <v>36335703</v>
      </c>
      <c r="Z420" t="str">
        <f>""</f>
        <v/>
      </c>
      <c r="AA420" t="str">
        <f>""</f>
        <v/>
      </c>
      <c r="AB420" t="str">
        <f>""</f>
        <v/>
      </c>
      <c r="AC420" t="str">
        <f>""</f>
        <v/>
      </c>
      <c r="AD420" t="str">
        <f>""</f>
        <v/>
      </c>
      <c r="AE420" t="str">
        <f>""</f>
        <v/>
      </c>
      <c r="AF420" t="str">
        <f>""</f>
        <v/>
      </c>
      <c r="AG420" t="str">
        <f>"S"</f>
        <v>S</v>
      </c>
      <c r="AH420" t="str">
        <f>""</f>
        <v/>
      </c>
      <c r="AI420" t="str">
        <f>""</f>
        <v/>
      </c>
      <c r="AJ420" t="str">
        <f t="shared" ref="AJ420:AL424" si="208">"0"</f>
        <v>0</v>
      </c>
      <c r="AK420" t="str">
        <f t="shared" si="208"/>
        <v>0</v>
      </c>
      <c r="AL420" t="str">
        <f t="shared" si="208"/>
        <v>0</v>
      </c>
      <c r="AM420" t="str">
        <f>""</f>
        <v/>
      </c>
      <c r="AN420" t="str">
        <f>""</f>
        <v/>
      </c>
      <c r="AO420" t="str">
        <f>""</f>
        <v/>
      </c>
      <c r="AP420" t="str">
        <f>""</f>
        <v/>
      </c>
      <c r="AQ420" t="str">
        <f t="shared" si="205"/>
        <v>N</v>
      </c>
      <c r="AR420" t="str">
        <f t="shared" si="205"/>
        <v>N</v>
      </c>
      <c r="AS420" t="str">
        <f t="shared" si="205"/>
        <v>N</v>
      </c>
      <c r="AT420" t="str">
        <f t="shared" si="205"/>
        <v>N</v>
      </c>
      <c r="AU420" t="str">
        <f t="shared" si="205"/>
        <v>N</v>
      </c>
      <c r="AV420" t="str">
        <f>""</f>
        <v/>
      </c>
      <c r="AW420" t="str">
        <f>""</f>
        <v/>
      </c>
      <c r="AX420" t="str">
        <f>""</f>
        <v/>
      </c>
      <c r="AY420" t="str">
        <f>""</f>
        <v/>
      </c>
      <c r="AZ420" t="str">
        <f>""</f>
        <v/>
      </c>
      <c r="BA420" t="str">
        <f>""</f>
        <v/>
      </c>
      <c r="BB420" t="str">
        <f>""</f>
        <v/>
      </c>
      <c r="BC420" t="str">
        <f>"11/01/2022 12:12:28"</f>
        <v>11/01/2022 12:12:28</v>
      </c>
      <c r="BD420" t="str">
        <f>""</f>
        <v/>
      </c>
      <c r="BE420" t="str">
        <f>""</f>
        <v/>
      </c>
      <c r="BF420" t="str">
        <f t="shared" si="191"/>
        <v>A</v>
      </c>
      <c r="BG420" t="str">
        <f>"0,00"</f>
        <v>0,00</v>
      </c>
      <c r="BH420" t="str">
        <f t="shared" si="206"/>
        <v>0,00</v>
      </c>
      <c r="BI420" t="str">
        <f t="shared" si="198"/>
        <v>EVENTUAL</v>
      </c>
      <c r="BJ420" t="str">
        <f t="shared" si="192"/>
        <v>1</v>
      </c>
      <c r="BK420" t="str">
        <f t="shared" si="193"/>
        <v>Farmacia</v>
      </c>
      <c r="BL420" t="str">
        <f>""</f>
        <v/>
      </c>
      <c r="BM420" t="str">
        <f t="shared" si="204"/>
        <v>NÃO É VARILUX ESPECIALISTA</v>
      </c>
      <c r="BN420" t="str">
        <f>"EL360"</f>
        <v>EL360</v>
      </c>
      <c r="BO420" t="str">
        <f>"FOCO KODAK 2"</f>
        <v>FOCO KODAK 2</v>
      </c>
      <c r="BP420" t="str">
        <f>""</f>
        <v/>
      </c>
      <c r="BQ420" t="str">
        <f>""</f>
        <v/>
      </c>
      <c r="BR420" t="str">
        <f>""</f>
        <v/>
      </c>
      <c r="BS420" t="str">
        <f>"11/01/2022"</f>
        <v>11/01/2022</v>
      </c>
      <c r="BT420" t="str">
        <f>""</f>
        <v/>
      </c>
      <c r="BU420" t="str">
        <f>""</f>
        <v/>
      </c>
      <c r="BV420" t="str">
        <f>"4"</f>
        <v>4</v>
      </c>
      <c r="BW420" t="str">
        <f>"24"</f>
        <v>24</v>
      </c>
    </row>
    <row r="421" spans="1:75" x14ac:dyDescent="0.35">
      <c r="A421">
        <v>144735</v>
      </c>
      <c r="B421" t="str">
        <f t="shared" si="184"/>
        <v>A</v>
      </c>
      <c r="C421" t="str">
        <f t="shared" si="185"/>
        <v>80</v>
      </c>
      <c r="D421" t="str">
        <f t="shared" si="186"/>
        <v>11121001</v>
      </c>
      <c r="E421" t="str">
        <f t="shared" si="187"/>
        <v>121001</v>
      </c>
      <c r="F421" t="str">
        <f t="shared" si="188"/>
        <v>JENIFER SANTOS</v>
      </c>
      <c r="G421" t="str">
        <f>"78888195000145"</f>
        <v>78888195000145</v>
      </c>
      <c r="H421" t="str">
        <f>""</f>
        <v/>
      </c>
      <c r="I421" t="str">
        <f t="shared" si="190"/>
        <v>CONTA OPTICA</v>
      </c>
      <c r="J421" t="str">
        <f>"RELOJOARIA E OTICA VISUAL LTDA"</f>
        <v>RELOJOARIA E OTICA VISUAL LTDA</v>
      </c>
      <c r="K421" t="str">
        <f>"RELOJOARIA E OTICA VISUAL (402)"</f>
        <v>RELOJOARIA E OTICA VISUAL (402)</v>
      </c>
      <c r="L421" t="str">
        <f>""</f>
        <v/>
      </c>
      <c r="M421" t="str">
        <f>""</f>
        <v/>
      </c>
      <c r="N421" t="str">
        <f>"comercial@oticavisual.com"</f>
        <v>comercial@oticavisual.com</v>
      </c>
      <c r="O421" t="str">
        <f>""</f>
        <v/>
      </c>
      <c r="P421" t="str">
        <f>"RUA JORGE ZIPPERER"</f>
        <v>RUA JORGE ZIPPERER</v>
      </c>
      <c r="Q421" t="str">
        <f>"95"</f>
        <v>95</v>
      </c>
      <c r="R421" t="str">
        <f>""</f>
        <v/>
      </c>
      <c r="S421" t="str">
        <f>"1280"</f>
        <v>1280</v>
      </c>
      <c r="T421" t="str">
        <f>"89295000"</f>
        <v>89295000</v>
      </c>
      <c r="U421" t="str">
        <f>"CENTRO"</f>
        <v>CENTRO</v>
      </c>
      <c r="V421" t="str">
        <f>"RIO NEGRINHO"</f>
        <v>RIO NEGRINHO</v>
      </c>
      <c r="W421" t="str">
        <f t="shared" si="200"/>
        <v>SC</v>
      </c>
      <c r="X421" t="str">
        <f t="shared" si="207"/>
        <v>47</v>
      </c>
      <c r="Y421" t="str">
        <f>"36335703"</f>
        <v>36335703</v>
      </c>
      <c r="Z421" t="str">
        <f>""</f>
        <v/>
      </c>
      <c r="AA421" t="str">
        <f>""</f>
        <v/>
      </c>
      <c r="AB421" t="str">
        <f>""</f>
        <v/>
      </c>
      <c r="AC421" t="str">
        <f>""</f>
        <v/>
      </c>
      <c r="AD421" t="str">
        <f>""</f>
        <v/>
      </c>
      <c r="AE421" t="str">
        <f>""</f>
        <v/>
      </c>
      <c r="AF421" t="str">
        <f>""</f>
        <v/>
      </c>
      <c r="AG421" t="str">
        <f>""</f>
        <v/>
      </c>
      <c r="AH421" t="str">
        <f>""</f>
        <v/>
      </c>
      <c r="AI421" t="str">
        <f>""</f>
        <v/>
      </c>
      <c r="AJ421" t="str">
        <f t="shared" si="208"/>
        <v>0</v>
      </c>
      <c r="AK421" t="str">
        <f t="shared" si="208"/>
        <v>0</v>
      </c>
      <c r="AL421" t="str">
        <f t="shared" si="208"/>
        <v>0</v>
      </c>
      <c r="AM421" t="str">
        <f>""</f>
        <v/>
      </c>
      <c r="AN421" t="str">
        <f>""</f>
        <v/>
      </c>
      <c r="AO421" t="str">
        <f>""</f>
        <v/>
      </c>
      <c r="AP421" t="str">
        <f>""</f>
        <v/>
      </c>
      <c r="AQ421" t="str">
        <f>""</f>
        <v/>
      </c>
      <c r="AR421" t="str">
        <f>""</f>
        <v/>
      </c>
      <c r="AS421" t="str">
        <f>""</f>
        <v/>
      </c>
      <c r="AT421" t="str">
        <f>""</f>
        <v/>
      </c>
      <c r="AU421" t="str">
        <f>""</f>
        <v/>
      </c>
      <c r="AV421" t="str">
        <f>""</f>
        <v/>
      </c>
      <c r="AW421" t="str">
        <f>""</f>
        <v/>
      </c>
      <c r="AX421" t="str">
        <f>""</f>
        <v/>
      </c>
      <c r="AY421" t="str">
        <f>""</f>
        <v/>
      </c>
      <c r="AZ421" t="str">
        <f>""</f>
        <v/>
      </c>
      <c r="BA421" t="str">
        <f>""</f>
        <v/>
      </c>
      <c r="BB421" t="str">
        <f>""</f>
        <v/>
      </c>
      <c r="BC421" t="str">
        <f>""</f>
        <v/>
      </c>
      <c r="BD421" t="str">
        <f>""</f>
        <v/>
      </c>
      <c r="BE421" t="str">
        <f>""</f>
        <v/>
      </c>
      <c r="BF421" t="str">
        <f t="shared" si="191"/>
        <v>A</v>
      </c>
      <c r="BG421" t="str">
        <f>"0,00"</f>
        <v>0,00</v>
      </c>
      <c r="BH421" t="str">
        <f t="shared" si="206"/>
        <v>0,00</v>
      </c>
      <c r="BI421" t="str">
        <f t="shared" si="198"/>
        <v>EVENTUAL</v>
      </c>
      <c r="BJ421" t="str">
        <f t="shared" si="192"/>
        <v>1</v>
      </c>
      <c r="BK421" t="str">
        <f t="shared" si="193"/>
        <v>Farmacia</v>
      </c>
      <c r="BL421" t="str">
        <f>""</f>
        <v/>
      </c>
      <c r="BM421" t="str">
        <f t="shared" si="204"/>
        <v>NÃO É VARILUX ESPECIALISTA</v>
      </c>
      <c r="BN421" t="str">
        <f>"EL360"</f>
        <v>EL360</v>
      </c>
      <c r="BO421" t="str">
        <f>"OUTROS"</f>
        <v>OUTROS</v>
      </c>
      <c r="BP421" t="str">
        <f>""</f>
        <v/>
      </c>
      <c r="BQ421" t="str">
        <f>""</f>
        <v/>
      </c>
      <c r="BR421" t="str">
        <f>""</f>
        <v/>
      </c>
      <c r="BS421" t="str">
        <f>""</f>
        <v/>
      </c>
      <c r="BT421" t="str">
        <f>""</f>
        <v/>
      </c>
      <c r="BU421" t="str">
        <f>""</f>
        <v/>
      </c>
      <c r="BV421" t="str">
        <f>"8"</f>
        <v>8</v>
      </c>
      <c r="BW421" t="str">
        <f>"24"</f>
        <v>24</v>
      </c>
    </row>
    <row r="422" spans="1:75" x14ac:dyDescent="0.35">
      <c r="A422">
        <v>865</v>
      </c>
      <c r="B422" t="str">
        <f t="shared" si="184"/>
        <v>A</v>
      </c>
      <c r="C422" t="str">
        <f t="shared" si="185"/>
        <v>80</v>
      </c>
      <c r="D422" t="str">
        <f t="shared" si="186"/>
        <v>11121001</v>
      </c>
      <c r="E422" t="str">
        <f t="shared" si="187"/>
        <v>121001</v>
      </c>
      <c r="F422" t="str">
        <f t="shared" si="188"/>
        <v>JENIFER SANTOS</v>
      </c>
      <c r="G422" t="str">
        <f>"05034471000134"</f>
        <v>05034471000134</v>
      </c>
      <c r="H422" t="str">
        <f>""</f>
        <v/>
      </c>
      <c r="I422" t="str">
        <f t="shared" si="190"/>
        <v>CONTA OPTICA</v>
      </c>
      <c r="J422" t="str">
        <f>"RELOJOARIA GARUVENSE LTDA EPP"</f>
        <v>RELOJOARIA GARUVENSE LTDA EPP</v>
      </c>
      <c r="K422" t="str">
        <f>"MAGNIFY RELOJOARIA  E OTICA (1970)"</f>
        <v>MAGNIFY RELOJOARIA  E OTICA (1970)</v>
      </c>
      <c r="L422" t="str">
        <f>""</f>
        <v/>
      </c>
      <c r="M422" t="str">
        <f>""</f>
        <v/>
      </c>
      <c r="N422" t="str">
        <f>"magnifyotica@live.com"</f>
        <v>magnifyotica@live.com</v>
      </c>
      <c r="O422" t="str">
        <f>""</f>
        <v/>
      </c>
      <c r="P422" t="str">
        <f>"AVENIDA CELSO RAMOS"</f>
        <v>AVENIDA CELSO RAMOS</v>
      </c>
      <c r="Q422" t="str">
        <f>"1237"</f>
        <v>1237</v>
      </c>
      <c r="R422" t="str">
        <f>"SALA F"</f>
        <v>SALA F</v>
      </c>
      <c r="S422" t="str">
        <f>"1280"</f>
        <v>1280</v>
      </c>
      <c r="T422" t="str">
        <f>"89248000"</f>
        <v>89248000</v>
      </c>
      <c r="U422" t="str">
        <f>"CENTRO"</f>
        <v>CENTRO</v>
      </c>
      <c r="V422" t="str">
        <f>"GARUVA"</f>
        <v>GARUVA</v>
      </c>
      <c r="W422" t="str">
        <f t="shared" si="200"/>
        <v>SC</v>
      </c>
      <c r="X422" t="str">
        <f t="shared" si="207"/>
        <v>47</v>
      </c>
      <c r="Y422" t="str">
        <f>"34453902"</f>
        <v>34453902</v>
      </c>
      <c r="Z422" t="str">
        <f>""</f>
        <v/>
      </c>
      <c r="AA422" t="str">
        <f>""</f>
        <v/>
      </c>
      <c r="AB422" t="str">
        <f>""</f>
        <v/>
      </c>
      <c r="AC422" t="str">
        <f>""</f>
        <v/>
      </c>
      <c r="AD422" t="str">
        <f>""</f>
        <v/>
      </c>
      <c r="AE422" t="str">
        <f>""</f>
        <v/>
      </c>
      <c r="AF422" t="str">
        <f>""</f>
        <v/>
      </c>
      <c r="AG422" t="str">
        <f>""</f>
        <v/>
      </c>
      <c r="AH422" t="str">
        <f>""</f>
        <v/>
      </c>
      <c r="AI422" t="str">
        <f>""</f>
        <v/>
      </c>
      <c r="AJ422" t="str">
        <f t="shared" si="208"/>
        <v>0</v>
      </c>
      <c r="AK422" t="str">
        <f t="shared" si="208"/>
        <v>0</v>
      </c>
      <c r="AL422" t="str">
        <f t="shared" si="208"/>
        <v>0</v>
      </c>
      <c r="AM422" t="str">
        <f>""</f>
        <v/>
      </c>
      <c r="AN422" t="str">
        <f>""</f>
        <v/>
      </c>
      <c r="AO422" t="str">
        <f>""</f>
        <v/>
      </c>
      <c r="AP422" t="str">
        <f>""</f>
        <v/>
      </c>
      <c r="AQ422" t="str">
        <f>""</f>
        <v/>
      </c>
      <c r="AR422" t="str">
        <f>""</f>
        <v/>
      </c>
      <c r="AS422" t="str">
        <f>""</f>
        <v/>
      </c>
      <c r="AT422" t="str">
        <f>""</f>
        <v/>
      </c>
      <c r="AU422" t="str">
        <f>""</f>
        <v/>
      </c>
      <c r="AV422" t="str">
        <f>""</f>
        <v/>
      </c>
      <c r="AW422" t="str">
        <f>""</f>
        <v/>
      </c>
      <c r="AX422" t="str">
        <f>""</f>
        <v/>
      </c>
      <c r="AY422" t="str">
        <f>""</f>
        <v/>
      </c>
      <c r="AZ422" t="str">
        <f>""</f>
        <v/>
      </c>
      <c r="BA422" t="str">
        <f>""</f>
        <v/>
      </c>
      <c r="BB422" t="str">
        <f>"27/07/2018 09:25:53"</f>
        <v>27/07/2018 09:25:53</v>
      </c>
      <c r="BC422" t="str">
        <f>""</f>
        <v/>
      </c>
      <c r="BD422" t="str">
        <f>""</f>
        <v/>
      </c>
      <c r="BE422" t="str">
        <f>"865"</f>
        <v>865</v>
      </c>
      <c r="BF422" t="str">
        <f t="shared" si="191"/>
        <v>A</v>
      </c>
      <c r="BG422" t="str">
        <f>"0,00"</f>
        <v>0,00</v>
      </c>
      <c r="BH422" t="str">
        <f t="shared" si="206"/>
        <v>0,00</v>
      </c>
      <c r="BI422" t="str">
        <f t="shared" si="198"/>
        <v>EVENTUAL</v>
      </c>
      <c r="BJ422" t="str">
        <f t="shared" si="192"/>
        <v>1</v>
      </c>
      <c r="BK422" t="str">
        <f t="shared" si="193"/>
        <v>Farmacia</v>
      </c>
      <c r="BL422" t="str">
        <f>""</f>
        <v/>
      </c>
      <c r="BM422" t="str">
        <f t="shared" si="204"/>
        <v>NÃO É VARILUX ESPECIALISTA</v>
      </c>
      <c r="BN422" t="str">
        <f>"NA"</f>
        <v>NA</v>
      </c>
      <c r="BO422" t="str">
        <f>"FOCO KODAK 2"</f>
        <v>FOCO KODAK 2</v>
      </c>
      <c r="BP422" t="str">
        <f>""</f>
        <v/>
      </c>
      <c r="BQ422" t="str">
        <f>""</f>
        <v/>
      </c>
      <c r="BR422" t="str">
        <f>"27/07/2018"</f>
        <v>27/07/2018</v>
      </c>
      <c r="BS422" t="str">
        <f>""</f>
        <v/>
      </c>
      <c r="BT422" t="str">
        <f>""</f>
        <v/>
      </c>
      <c r="BU422" t="str">
        <f>""</f>
        <v/>
      </c>
      <c r="BV422" t="str">
        <f>"6"</f>
        <v>6</v>
      </c>
      <c r="BW422" t="str">
        <f>"Não visitado"</f>
        <v>Não visitado</v>
      </c>
    </row>
    <row r="423" spans="1:75" x14ac:dyDescent="0.35">
      <c r="A423">
        <v>144572</v>
      </c>
      <c r="B423" t="str">
        <f t="shared" si="184"/>
        <v>A</v>
      </c>
      <c r="C423" t="str">
        <f t="shared" si="185"/>
        <v>80</v>
      </c>
      <c r="D423" t="str">
        <f t="shared" si="186"/>
        <v>11121001</v>
      </c>
      <c r="E423" t="str">
        <f t="shared" si="187"/>
        <v>121001</v>
      </c>
      <c r="F423" t="str">
        <f t="shared" si="188"/>
        <v>JENIFER SANTOS</v>
      </c>
      <c r="G423" t="str">
        <f>"73959728000119"</f>
        <v>73959728000119</v>
      </c>
      <c r="H423" t="str">
        <f>""</f>
        <v/>
      </c>
      <c r="I423" t="str">
        <f t="shared" si="190"/>
        <v>CONTA OPTICA</v>
      </c>
      <c r="J423" t="str">
        <f>"RELOJOARIA JB LTDA"</f>
        <v>RELOJOARIA JB LTDA</v>
      </c>
      <c r="K423" t="str">
        <f>"RELOJOARIA JB LTDA (635)"</f>
        <v>RELOJOARIA JB LTDA (635)</v>
      </c>
      <c r="L423" t="str">
        <f>""</f>
        <v/>
      </c>
      <c r="M423" t="str">
        <f>""</f>
        <v/>
      </c>
      <c r="N423" t="str">
        <f>"relojoariaeoticajb@uol.com.br"</f>
        <v>relojoariaeoticajb@uol.com.br</v>
      </c>
      <c r="O423" t="str">
        <f>""</f>
        <v/>
      </c>
      <c r="P423" t="str">
        <f>"AVENIDA ARGOLO"</f>
        <v>AVENIDA ARGOLO</v>
      </c>
      <c r="Q423" t="str">
        <f>"119"</f>
        <v>119</v>
      </c>
      <c r="R423" t="str">
        <f>""</f>
        <v/>
      </c>
      <c r="S423" t="str">
        <f>"1280"</f>
        <v>1280</v>
      </c>
      <c r="T423" t="str">
        <f>"89290000"</f>
        <v>89290000</v>
      </c>
      <c r="U423" t="str">
        <f>"CENTRO"</f>
        <v>CENTRO</v>
      </c>
      <c r="V423" t="str">
        <f>"SAO BENTO DO SUL"</f>
        <v>SAO BENTO DO SUL</v>
      </c>
      <c r="W423" t="str">
        <f t="shared" si="200"/>
        <v>SC</v>
      </c>
      <c r="X423" t="str">
        <f t="shared" si="207"/>
        <v>47</v>
      </c>
      <c r="Y423" t="str">
        <f>"36332613"</f>
        <v>36332613</v>
      </c>
      <c r="Z423" t="str">
        <f>""</f>
        <v/>
      </c>
      <c r="AA423" t="str">
        <f>""</f>
        <v/>
      </c>
      <c r="AB423" t="str">
        <f>""</f>
        <v/>
      </c>
      <c r="AC423" t="str">
        <f>""</f>
        <v/>
      </c>
      <c r="AD423" t="str">
        <f>""</f>
        <v/>
      </c>
      <c r="AE423" t="str">
        <f>""</f>
        <v/>
      </c>
      <c r="AF423" t="str">
        <f>""</f>
        <v/>
      </c>
      <c r="AG423" t="str">
        <f>""</f>
        <v/>
      </c>
      <c r="AH423" t="str">
        <f>""</f>
        <v/>
      </c>
      <c r="AI423" t="str">
        <f>""</f>
        <v/>
      </c>
      <c r="AJ423" t="str">
        <f t="shared" si="208"/>
        <v>0</v>
      </c>
      <c r="AK423" t="str">
        <f t="shared" si="208"/>
        <v>0</v>
      </c>
      <c r="AL423" t="str">
        <f t="shared" si="208"/>
        <v>0</v>
      </c>
      <c r="AM423" t="str">
        <f>""</f>
        <v/>
      </c>
      <c r="AN423" t="str">
        <f>""</f>
        <v/>
      </c>
      <c r="AO423" t="str">
        <f>""</f>
        <v/>
      </c>
      <c r="AP423" t="str">
        <f>""</f>
        <v/>
      </c>
      <c r="AQ423" t="str">
        <f>""</f>
        <v/>
      </c>
      <c r="AR423" t="str">
        <f>""</f>
        <v/>
      </c>
      <c r="AS423" t="str">
        <f>""</f>
        <v/>
      </c>
      <c r="AT423" t="str">
        <f>""</f>
        <v/>
      </c>
      <c r="AU423" t="str">
        <f>""</f>
        <v/>
      </c>
      <c r="AV423" t="str">
        <f>""</f>
        <v/>
      </c>
      <c r="AW423" t="str">
        <f>""</f>
        <v/>
      </c>
      <c r="AX423" t="str">
        <f>""</f>
        <v/>
      </c>
      <c r="AY423" t="str">
        <f>""</f>
        <v/>
      </c>
      <c r="AZ423" t="str">
        <f>""</f>
        <v/>
      </c>
      <c r="BA423" t="str">
        <f>""</f>
        <v/>
      </c>
      <c r="BB423" t="str">
        <f>""</f>
        <v/>
      </c>
      <c r="BC423" t="str">
        <f>""</f>
        <v/>
      </c>
      <c r="BD423" t="str">
        <f>""</f>
        <v/>
      </c>
      <c r="BE423" t="str">
        <f>""</f>
        <v/>
      </c>
      <c r="BF423" t="str">
        <f t="shared" si="191"/>
        <v>A</v>
      </c>
      <c r="BG423" t="str">
        <f>"0,00"</f>
        <v>0,00</v>
      </c>
      <c r="BH423" t="str">
        <f t="shared" si="206"/>
        <v>0,00</v>
      </c>
      <c r="BI423" t="str">
        <f t="shared" si="198"/>
        <v>EVENTUAL</v>
      </c>
      <c r="BJ423" t="str">
        <f t="shared" si="192"/>
        <v>1</v>
      </c>
      <c r="BK423" t="str">
        <f t="shared" si="193"/>
        <v>Farmacia</v>
      </c>
      <c r="BL423" t="str">
        <f>""</f>
        <v/>
      </c>
      <c r="BM423" t="str">
        <f t="shared" si="204"/>
        <v>NÃO É VARILUX ESPECIALISTA</v>
      </c>
      <c r="BN423" t="str">
        <f>"NA"</f>
        <v>NA</v>
      </c>
      <c r="BO423" t="str">
        <f>"OUTROS"</f>
        <v>OUTROS</v>
      </c>
      <c r="BP423" t="str">
        <f>""</f>
        <v/>
      </c>
      <c r="BQ423" t="str">
        <f>""</f>
        <v/>
      </c>
      <c r="BR423" t="str">
        <f>""</f>
        <v/>
      </c>
      <c r="BS423" t="str">
        <f>""</f>
        <v/>
      </c>
      <c r="BT423" t="str">
        <f>""</f>
        <v/>
      </c>
      <c r="BU423" t="str">
        <f>""</f>
        <v/>
      </c>
      <c r="BV423" t="str">
        <f>"8"</f>
        <v>8</v>
      </c>
      <c r="BW423" t="str">
        <f>"66"</f>
        <v>66</v>
      </c>
    </row>
    <row r="424" spans="1:75" x14ac:dyDescent="0.35">
      <c r="A424">
        <v>144469</v>
      </c>
      <c r="B424" t="str">
        <f t="shared" si="184"/>
        <v>A</v>
      </c>
      <c r="C424" t="str">
        <f t="shared" si="185"/>
        <v>80</v>
      </c>
      <c r="D424" t="str">
        <f t="shared" si="186"/>
        <v>11121001</v>
      </c>
      <c r="E424" t="str">
        <f t="shared" si="187"/>
        <v>121001</v>
      </c>
      <c r="F424" t="str">
        <f t="shared" si="188"/>
        <v>JENIFER SANTOS</v>
      </c>
      <c r="G424" t="str">
        <f>"83108126000101"</f>
        <v>83108126000101</v>
      </c>
      <c r="H424" t="str">
        <f>""</f>
        <v/>
      </c>
      <c r="I424" t="str">
        <f t="shared" si="190"/>
        <v>CONTA OPTICA</v>
      </c>
      <c r="J424" t="str">
        <f>"RELOJOARIA PEROLA LTDA"</f>
        <v>RELOJOARIA PEROLA LTDA</v>
      </c>
      <c r="K424" t="str">
        <f>"RELOJOARIA PEROLA PRINCIPE (408)"</f>
        <v>RELOJOARIA PEROLA PRINCIPE (408)</v>
      </c>
      <c r="L424" t="str">
        <f>""</f>
        <v/>
      </c>
      <c r="M424" t="str">
        <f>""</f>
        <v/>
      </c>
      <c r="N424" t="str">
        <f>"loja.perola@cdljoinville.com.br"</f>
        <v>loja.perola@cdljoinville.com.br</v>
      </c>
      <c r="O424" t="str">
        <f>""</f>
        <v/>
      </c>
      <c r="P424" t="str">
        <f>"RUA DO PRINCIPE"</f>
        <v>RUA DO PRINCIPE</v>
      </c>
      <c r="Q424" t="str">
        <f>"330"</f>
        <v>330</v>
      </c>
      <c r="R424" t="str">
        <f>"SALA 10"</f>
        <v>SALA 10</v>
      </c>
      <c r="S424" t="str">
        <f>"1278"</f>
        <v>1278</v>
      </c>
      <c r="T424" t="str">
        <f>"89204000"</f>
        <v>89204000</v>
      </c>
      <c r="U424" t="str">
        <f>"AMERICA"</f>
        <v>AMERICA</v>
      </c>
      <c r="V424" t="str">
        <f>"JOINVILLE"</f>
        <v>JOINVILLE</v>
      </c>
      <c r="W424" t="str">
        <f t="shared" si="200"/>
        <v>SC</v>
      </c>
      <c r="X424" t="str">
        <f t="shared" si="207"/>
        <v>47</v>
      </c>
      <c r="Y424" t="str">
        <f>"30262460"</f>
        <v>30262460</v>
      </c>
      <c r="Z424" t="str">
        <f>""</f>
        <v/>
      </c>
      <c r="AA424" t="str">
        <f>""</f>
        <v/>
      </c>
      <c r="AB424" t="str">
        <f>""</f>
        <v/>
      </c>
      <c r="AC424" t="str">
        <f>""</f>
        <v/>
      </c>
      <c r="AD424" t="str">
        <f>""</f>
        <v/>
      </c>
      <c r="AE424" t="str">
        <f>""</f>
        <v/>
      </c>
      <c r="AF424" t="str">
        <f>""</f>
        <v/>
      </c>
      <c r="AG424" t="str">
        <f>""</f>
        <v/>
      </c>
      <c r="AH424" t="str">
        <f>""</f>
        <v/>
      </c>
      <c r="AI424" t="str">
        <f>""</f>
        <v/>
      </c>
      <c r="AJ424" t="str">
        <f t="shared" si="208"/>
        <v>0</v>
      </c>
      <c r="AK424" t="str">
        <f t="shared" si="208"/>
        <v>0</v>
      </c>
      <c r="AL424" t="str">
        <f t="shared" si="208"/>
        <v>0</v>
      </c>
      <c r="AM424" t="str">
        <f>""</f>
        <v/>
      </c>
      <c r="AN424" t="str">
        <f>""</f>
        <v/>
      </c>
      <c r="AO424" t="str">
        <f>""</f>
        <v/>
      </c>
      <c r="AP424" t="str">
        <f>""</f>
        <v/>
      </c>
      <c r="AQ424" t="str">
        <f>""</f>
        <v/>
      </c>
      <c r="AR424" t="str">
        <f>""</f>
        <v/>
      </c>
      <c r="AS424" t="str">
        <f>""</f>
        <v/>
      </c>
      <c r="AT424" t="str">
        <f>""</f>
        <v/>
      </c>
      <c r="AU424" t="str">
        <f>""</f>
        <v/>
      </c>
      <c r="AV424" t="str">
        <f>""</f>
        <v/>
      </c>
      <c r="AW424" t="str">
        <f>""</f>
        <v/>
      </c>
      <c r="AX424" t="str">
        <f>""</f>
        <v/>
      </c>
      <c r="AY424" t="str">
        <f>""</f>
        <v/>
      </c>
      <c r="AZ424" t="str">
        <f>""</f>
        <v/>
      </c>
      <c r="BA424" t="str">
        <f>""</f>
        <v/>
      </c>
      <c r="BB424" t="str">
        <f>""</f>
        <v/>
      </c>
      <c r="BC424" t="str">
        <f>""</f>
        <v/>
      </c>
      <c r="BD424" t="str">
        <f>""</f>
        <v/>
      </c>
      <c r="BE424" t="str">
        <f>""</f>
        <v/>
      </c>
      <c r="BF424" t="str">
        <f t="shared" si="191"/>
        <v>A</v>
      </c>
      <c r="BG424" t="str">
        <f>"0,00"</f>
        <v>0,00</v>
      </c>
      <c r="BH424" t="str">
        <f t="shared" si="206"/>
        <v>0,00</v>
      </c>
      <c r="BI424" t="str">
        <f t="shared" si="198"/>
        <v>EVENTUAL</v>
      </c>
      <c r="BJ424" t="str">
        <f t="shared" si="192"/>
        <v>1</v>
      </c>
      <c r="BK424" t="str">
        <f t="shared" si="193"/>
        <v>Farmacia</v>
      </c>
      <c r="BL424" t="str">
        <f>""</f>
        <v/>
      </c>
      <c r="BM424" t="str">
        <f t="shared" si="204"/>
        <v>NÃO É VARILUX ESPECIALISTA</v>
      </c>
      <c r="BN424" t="str">
        <f>"EL360"</f>
        <v>EL360</v>
      </c>
      <c r="BO424" t="str">
        <f>"FOCO VARILUX DIGITAL"</f>
        <v>FOCO VARILUX DIGITAL</v>
      </c>
      <c r="BP424" t="str">
        <f>""</f>
        <v/>
      </c>
      <c r="BQ424" t="str">
        <f>""</f>
        <v/>
      </c>
      <c r="BR424" t="str">
        <f>""</f>
        <v/>
      </c>
      <c r="BS424" t="str">
        <f>""</f>
        <v/>
      </c>
      <c r="BT424" t="str">
        <f>""</f>
        <v/>
      </c>
      <c r="BU424" t="str">
        <f>""</f>
        <v/>
      </c>
      <c r="BV424" t="str">
        <f>"1"</f>
        <v>1</v>
      </c>
      <c r="BW424" t="str">
        <f>"Não visitado"</f>
        <v>Não visitado</v>
      </c>
    </row>
    <row r="425" spans="1:75" x14ac:dyDescent="0.35">
      <c r="A425">
        <v>156756</v>
      </c>
      <c r="B425" t="str">
        <f t="shared" si="184"/>
        <v>A</v>
      </c>
      <c r="C425" t="str">
        <f t="shared" si="185"/>
        <v>80</v>
      </c>
      <c r="D425" t="str">
        <f t="shared" si="186"/>
        <v>11121001</v>
      </c>
      <c r="E425" t="str">
        <f t="shared" si="187"/>
        <v>121001</v>
      </c>
      <c r="F425" t="str">
        <f t="shared" si="188"/>
        <v>JENIFER SANTOS</v>
      </c>
      <c r="G425" t="str">
        <f>"34356198000162"</f>
        <v>34356198000162</v>
      </c>
      <c r="H425" t="str">
        <f t="shared" ref="H425:H431" si="209">"0"</f>
        <v>0</v>
      </c>
      <c r="I425" t="str">
        <f t="shared" si="190"/>
        <v>CONTA OPTICA</v>
      </c>
      <c r="J425" t="str">
        <f>"RELOJOARIA WILLE LTDA"</f>
        <v>RELOJOARIA WILLE LTDA</v>
      </c>
      <c r="K425" t="str">
        <f>"RELOJOARIA WILLE (4518)"</f>
        <v>RELOJOARIA WILLE (4518)</v>
      </c>
      <c r="L425" t="str">
        <f>""</f>
        <v/>
      </c>
      <c r="M425" t="str">
        <f>""</f>
        <v/>
      </c>
      <c r="N425" t="str">
        <f>"RELOJOARIAWILLE@GMAIL.COM"</f>
        <v>RELOJOARIAWILLE@GMAIL.COM</v>
      </c>
      <c r="O425" t="str">
        <f>""</f>
        <v/>
      </c>
      <c r="P425" t="str">
        <f>"RUA DOS GINASTICOS"</f>
        <v>RUA DOS GINASTICOS</v>
      </c>
      <c r="Q425" t="str">
        <f>"26"</f>
        <v>26</v>
      </c>
      <c r="R425" t="str">
        <f>"SALA 01"</f>
        <v>SALA 01</v>
      </c>
      <c r="S425" t="str">
        <f>""</f>
        <v/>
      </c>
      <c r="T425" t="str">
        <f>"89201310"</f>
        <v>89201310</v>
      </c>
      <c r="U425" t="str">
        <f t="shared" ref="U425:U431" si="210">"CENTRO"</f>
        <v>CENTRO</v>
      </c>
      <c r="V425" t="str">
        <f>"JOINVILLE"</f>
        <v>JOINVILLE</v>
      </c>
      <c r="W425" t="str">
        <f t="shared" si="200"/>
        <v>SC</v>
      </c>
      <c r="X425" t="str">
        <f t="shared" si="207"/>
        <v>47</v>
      </c>
      <c r="Y425" t="str">
        <f>"34330960"</f>
        <v>34330960</v>
      </c>
      <c r="Z425" t="str">
        <f>""</f>
        <v/>
      </c>
      <c r="AA425" t="str">
        <f>""</f>
        <v/>
      </c>
      <c r="AB425" t="str">
        <f>""</f>
        <v/>
      </c>
      <c r="AC425" t="str">
        <f>""</f>
        <v/>
      </c>
      <c r="AD425" t="str">
        <f>""</f>
        <v/>
      </c>
      <c r="AE425" t="str">
        <f>""</f>
        <v/>
      </c>
      <c r="AF425" t="str">
        <f>""</f>
        <v/>
      </c>
      <c r="AG425" t="str">
        <f>""</f>
        <v/>
      </c>
      <c r="AH425" t="str">
        <f>""</f>
        <v/>
      </c>
      <c r="AI425" t="str">
        <f>""</f>
        <v/>
      </c>
      <c r="AJ425" t="str">
        <f>""</f>
        <v/>
      </c>
      <c r="AK425" t="str">
        <f>""</f>
        <v/>
      </c>
      <c r="AL425" t="str">
        <f>""</f>
        <v/>
      </c>
      <c r="AM425" t="str">
        <f>""</f>
        <v/>
      </c>
      <c r="AN425" t="str">
        <f>""</f>
        <v/>
      </c>
      <c r="AO425" t="str">
        <f>""</f>
        <v/>
      </c>
      <c r="AP425" t="str">
        <f>""</f>
        <v/>
      </c>
      <c r="AQ425" t="str">
        <f>""</f>
        <v/>
      </c>
      <c r="AR425" t="str">
        <f>""</f>
        <v/>
      </c>
      <c r="AS425" t="str">
        <f>""</f>
        <v/>
      </c>
      <c r="AT425" t="str">
        <f>""</f>
        <v/>
      </c>
      <c r="AU425" t="str">
        <f>""</f>
        <v/>
      </c>
      <c r="AV425" t="str">
        <f>""</f>
        <v/>
      </c>
      <c r="AW425" t="str">
        <f>""</f>
        <v/>
      </c>
      <c r="AX425" t="str">
        <f>""</f>
        <v/>
      </c>
      <c r="AY425" t="str">
        <f>""</f>
        <v/>
      </c>
      <c r="AZ425" t="str">
        <f>""</f>
        <v/>
      </c>
      <c r="BA425" t="str">
        <f>""</f>
        <v/>
      </c>
      <c r="BB425" t="str">
        <f>"06/07/2023 12:07:48"</f>
        <v>06/07/2023 12:07:48</v>
      </c>
      <c r="BC425" t="str">
        <f>""</f>
        <v/>
      </c>
      <c r="BD425" t="str">
        <f>""</f>
        <v/>
      </c>
      <c r="BE425" t="str">
        <f>""</f>
        <v/>
      </c>
      <c r="BF425" t="str">
        <f t="shared" si="191"/>
        <v>A</v>
      </c>
      <c r="BG425" t="str">
        <f>""</f>
        <v/>
      </c>
      <c r="BH425" t="str">
        <f>""</f>
        <v/>
      </c>
      <c r="BI425" t="str">
        <f t="shared" si="198"/>
        <v>EVENTUAL</v>
      </c>
      <c r="BJ425" t="str">
        <f t="shared" si="192"/>
        <v>1</v>
      </c>
      <c r="BK425" t="str">
        <f t="shared" si="193"/>
        <v>Farmacia</v>
      </c>
      <c r="BL425" t="str">
        <f>""</f>
        <v/>
      </c>
      <c r="BM425" t="str">
        <f>""</f>
        <v/>
      </c>
      <c r="BN425" t="str">
        <f>""</f>
        <v/>
      </c>
      <c r="BO425" t="str">
        <f>""</f>
        <v/>
      </c>
      <c r="BP425" t="str">
        <f>""</f>
        <v/>
      </c>
      <c r="BQ425" t="str">
        <f>""</f>
        <v/>
      </c>
      <c r="BR425" t="str">
        <f>"06/07/2023"</f>
        <v>06/07/2023</v>
      </c>
      <c r="BS425" t="str">
        <f>""</f>
        <v/>
      </c>
      <c r="BT425" t="str">
        <f>""</f>
        <v/>
      </c>
      <c r="BU425" t="str">
        <f>""</f>
        <v/>
      </c>
      <c r="BV425" t="str">
        <f>""</f>
        <v/>
      </c>
      <c r="BW425" t="str">
        <f>"Não visitado"</f>
        <v>Não visitado</v>
      </c>
    </row>
    <row r="426" spans="1:75" x14ac:dyDescent="0.35">
      <c r="A426">
        <v>138217</v>
      </c>
      <c r="B426" t="str">
        <f t="shared" si="184"/>
        <v>A</v>
      </c>
      <c r="C426" t="str">
        <f t="shared" si="185"/>
        <v>80</v>
      </c>
      <c r="D426" t="str">
        <f t="shared" si="186"/>
        <v>11121001</v>
      </c>
      <c r="E426" t="str">
        <f t="shared" si="187"/>
        <v>121001</v>
      </c>
      <c r="F426" t="str">
        <f t="shared" si="188"/>
        <v>JENIFER SANTOS</v>
      </c>
      <c r="G426" t="str">
        <f>"75547505000170"</f>
        <v>75547505000170</v>
      </c>
      <c r="H426" t="str">
        <f t="shared" si="209"/>
        <v>0</v>
      </c>
      <c r="I426" t="str">
        <f t="shared" si="190"/>
        <v>CONTA OPTICA</v>
      </c>
      <c r="J426" t="str">
        <f>"RELOJOTICA CIRIMAR LTDA EPP"</f>
        <v>RELOJOTICA CIRIMAR LTDA EPP</v>
      </c>
      <c r="K426" t="str">
        <f>"RELOJOTICA CIRIMAR (993)"</f>
        <v>RELOJOTICA CIRIMAR (993)</v>
      </c>
      <c r="L426" t="str">
        <f>""</f>
        <v/>
      </c>
      <c r="M426" t="str">
        <f>""</f>
        <v/>
      </c>
      <c r="N426" t="str">
        <f>"relojoticacirimar@yahoo.com.br"</f>
        <v>relojoticacirimar@yahoo.com.br</v>
      </c>
      <c r="O426" t="str">
        <f>""</f>
        <v/>
      </c>
      <c r="P426" t="str">
        <f>"AVENIDA GUSTAVO FETTER"</f>
        <v>AVENIDA GUSTAVO FETTER</v>
      </c>
      <c r="Q426" t="str">
        <f>"1230"</f>
        <v>1230</v>
      </c>
      <c r="R426" t="str">
        <f>""</f>
        <v/>
      </c>
      <c r="S426" t="str">
        <f>"1288"</f>
        <v>1288</v>
      </c>
      <c r="T426" t="str">
        <f>"89899000"</f>
        <v>89899000</v>
      </c>
      <c r="U426" t="str">
        <f t="shared" si="210"/>
        <v>CENTRO</v>
      </c>
      <c r="V426" t="str">
        <f>"IPORÃ DO OESTE"</f>
        <v>IPORÃ DO OESTE</v>
      </c>
      <c r="W426" t="str">
        <f t="shared" si="200"/>
        <v>SC</v>
      </c>
      <c r="X426" t="str">
        <f>"49"</f>
        <v>49</v>
      </c>
      <c r="Y426" t="str">
        <f>"36341143"</f>
        <v>36341143</v>
      </c>
      <c r="Z426" t="str">
        <f>""</f>
        <v/>
      </c>
      <c r="AA426" t="str">
        <f>""</f>
        <v/>
      </c>
      <c r="AB426" t="str">
        <f>""</f>
        <v/>
      </c>
      <c r="AC426" t="str">
        <f>""</f>
        <v/>
      </c>
      <c r="AD426" t="str">
        <f>""</f>
        <v/>
      </c>
      <c r="AE426" t="str">
        <f>""</f>
        <v/>
      </c>
      <c r="AF426" t="str">
        <f>""</f>
        <v/>
      </c>
      <c r="AG426" t="str">
        <f>"S"</f>
        <v>S</v>
      </c>
      <c r="AH426" t="str">
        <f>""</f>
        <v/>
      </c>
      <c r="AI426" t="str">
        <f>""</f>
        <v/>
      </c>
      <c r="AJ426" t="str">
        <f>""</f>
        <v/>
      </c>
      <c r="AK426" t="str">
        <f>""</f>
        <v/>
      </c>
      <c r="AL426" t="str">
        <f>""</f>
        <v/>
      </c>
      <c r="AM426" t="str">
        <f>""</f>
        <v/>
      </c>
      <c r="AN426" t="str">
        <f>""</f>
        <v/>
      </c>
      <c r="AO426" t="str">
        <f>""</f>
        <v/>
      </c>
      <c r="AP426" t="str">
        <f>""</f>
        <v/>
      </c>
      <c r="AQ426" t="str">
        <f>"N"</f>
        <v>N</v>
      </c>
      <c r="AR426" t="str">
        <f>"N"</f>
        <v>N</v>
      </c>
      <c r="AS426" t="str">
        <f>"N"</f>
        <v>N</v>
      </c>
      <c r="AT426" t="str">
        <f>"N"</f>
        <v>N</v>
      </c>
      <c r="AU426" t="str">
        <f>"N"</f>
        <v>N</v>
      </c>
      <c r="AV426" t="str">
        <f>""</f>
        <v/>
      </c>
      <c r="AW426" t="str">
        <f>""</f>
        <v/>
      </c>
      <c r="AX426" t="str">
        <f>""</f>
        <v/>
      </c>
      <c r="AY426" t="str">
        <f>""</f>
        <v/>
      </c>
      <c r="AZ426" t="str">
        <f>""</f>
        <v/>
      </c>
      <c r="BA426" t="str">
        <f>""</f>
        <v/>
      </c>
      <c r="BB426" t="str">
        <f>"01/07/2021 13:53:04"</f>
        <v>01/07/2021 13:53:04</v>
      </c>
      <c r="BC426" t="str">
        <f>"09/03/2022 14:59:50"</f>
        <v>09/03/2022 14:59:50</v>
      </c>
      <c r="BD426" t="str">
        <f>""</f>
        <v/>
      </c>
      <c r="BE426" t="str">
        <f>""</f>
        <v/>
      </c>
      <c r="BF426" t="str">
        <f t="shared" si="191"/>
        <v>A</v>
      </c>
      <c r="BG426" t="str">
        <f>""</f>
        <v/>
      </c>
      <c r="BH426" t="str">
        <f>"0,00"</f>
        <v>0,00</v>
      </c>
      <c r="BI426" t="str">
        <f t="shared" si="198"/>
        <v>EVENTUAL</v>
      </c>
      <c r="BJ426" t="str">
        <f t="shared" si="192"/>
        <v>1</v>
      </c>
      <c r="BK426" t="str">
        <f t="shared" si="193"/>
        <v>Farmacia</v>
      </c>
      <c r="BL426" t="str">
        <f>""</f>
        <v/>
      </c>
      <c r="BM426" t="str">
        <f>"NÃO É VARILUX ESPECIALISTA"</f>
        <v>NÃO É VARILUX ESPECIALISTA</v>
      </c>
      <c r="BN426" t="str">
        <f>"NA"</f>
        <v>NA</v>
      </c>
      <c r="BO426" t="str">
        <f>"OUTROS"</f>
        <v>OUTROS</v>
      </c>
      <c r="BP426" t="str">
        <f>""</f>
        <v/>
      </c>
      <c r="BQ426" t="str">
        <f>""</f>
        <v/>
      </c>
      <c r="BR426" t="str">
        <f>"01/07/2021"</f>
        <v>01/07/2021</v>
      </c>
      <c r="BS426" t="str">
        <f>"09/03/2022"</f>
        <v>09/03/2022</v>
      </c>
      <c r="BT426" t="str">
        <f>""</f>
        <v/>
      </c>
      <c r="BU426" t="str">
        <f>""</f>
        <v/>
      </c>
      <c r="BV426" t="str">
        <f>""</f>
        <v/>
      </c>
      <c r="BW426" t="str">
        <f>"7"</f>
        <v>7</v>
      </c>
    </row>
    <row r="427" spans="1:75" x14ac:dyDescent="0.35">
      <c r="A427">
        <v>157501</v>
      </c>
      <c r="B427" t="str">
        <f t="shared" si="184"/>
        <v>A</v>
      </c>
      <c r="C427" t="str">
        <f t="shared" si="185"/>
        <v>80</v>
      </c>
      <c r="D427" t="str">
        <f t="shared" si="186"/>
        <v>11121001</v>
      </c>
      <c r="E427" t="str">
        <f t="shared" si="187"/>
        <v>121001</v>
      </c>
      <c r="F427" t="str">
        <f t="shared" si="188"/>
        <v>JENIFER SANTOS</v>
      </c>
      <c r="G427" t="str">
        <f>"07653311000107"</f>
        <v>07653311000107</v>
      </c>
      <c r="H427" t="str">
        <f t="shared" si="209"/>
        <v>0</v>
      </c>
      <c r="I427" t="str">
        <f t="shared" si="190"/>
        <v>CONTA OPTICA</v>
      </c>
      <c r="J427" t="str">
        <f>"RIOS E GUEDES LTDA"</f>
        <v>RIOS E GUEDES LTDA</v>
      </c>
      <c r="K427" t="str">
        <f>"FABRICA DE OCULOS (1921)"</f>
        <v>FABRICA DE OCULOS (1921)</v>
      </c>
      <c r="L427" t="str">
        <f>""</f>
        <v/>
      </c>
      <c r="M427" t="str">
        <f>""</f>
        <v/>
      </c>
      <c r="N427" t="str">
        <f>"FABRICADEOCULOSESCRITORIO@GMAIL.COM"</f>
        <v>FABRICADEOCULOSESCRITORIO@GMAIL.COM</v>
      </c>
      <c r="O427" t="str">
        <f>""</f>
        <v/>
      </c>
      <c r="P427" t="str">
        <f>"RUA BARAO DO RIO BRANCO"</f>
        <v>RUA BARAO DO RIO BRANCO</v>
      </c>
      <c r="Q427" t="str">
        <f>"200"</f>
        <v>200</v>
      </c>
      <c r="R427" t="str">
        <f>"LETRA E"</f>
        <v>LETRA E</v>
      </c>
      <c r="S427" t="str">
        <f>"1287"</f>
        <v>1287</v>
      </c>
      <c r="T427" t="str">
        <f>"89802100"</f>
        <v>89802100</v>
      </c>
      <c r="U427" t="str">
        <f t="shared" si="210"/>
        <v>CENTRO</v>
      </c>
      <c r="V427" t="str">
        <f>"CHAPECO"</f>
        <v>CHAPECO</v>
      </c>
      <c r="W427" t="str">
        <f t="shared" si="200"/>
        <v>SC</v>
      </c>
      <c r="X427" t="str">
        <f>"49"</f>
        <v>49</v>
      </c>
      <c r="Y427" t="str">
        <f>"33242898"</f>
        <v>33242898</v>
      </c>
      <c r="Z427" t="str">
        <f>""</f>
        <v/>
      </c>
      <c r="AA427" t="str">
        <f>""</f>
        <v/>
      </c>
      <c r="AB427" t="str">
        <f>""</f>
        <v/>
      </c>
      <c r="AC427" t="str">
        <f>""</f>
        <v/>
      </c>
      <c r="AD427" t="str">
        <f>""</f>
        <v/>
      </c>
      <c r="AE427" t="str">
        <f>""</f>
        <v/>
      </c>
      <c r="AF427" t="str">
        <f>""</f>
        <v/>
      </c>
      <c r="AG427" t="str">
        <f>""</f>
        <v/>
      </c>
      <c r="AH427" t="str">
        <f>""</f>
        <v/>
      </c>
      <c r="AI427" t="str">
        <f>""</f>
        <v/>
      </c>
      <c r="AJ427" t="str">
        <f>""</f>
        <v/>
      </c>
      <c r="AK427" t="str">
        <f>""</f>
        <v/>
      </c>
      <c r="AL427" t="str">
        <f>""</f>
        <v/>
      </c>
      <c r="AM427" t="str">
        <f>""</f>
        <v/>
      </c>
      <c r="AN427" t="str">
        <f>""</f>
        <v/>
      </c>
      <c r="AO427" t="str">
        <f>""</f>
        <v/>
      </c>
      <c r="AP427" t="str">
        <f>""</f>
        <v/>
      </c>
      <c r="AQ427" t="str">
        <f>""</f>
        <v/>
      </c>
      <c r="AR427" t="str">
        <f>""</f>
        <v/>
      </c>
      <c r="AS427" t="str">
        <f>""</f>
        <v/>
      </c>
      <c r="AT427" t="str">
        <f>""</f>
        <v/>
      </c>
      <c r="AU427" t="str">
        <f>""</f>
        <v/>
      </c>
      <c r="AV427" t="str">
        <f>""</f>
        <v/>
      </c>
      <c r="AW427" t="str">
        <f>""</f>
        <v/>
      </c>
      <c r="AX427" t="str">
        <f>""</f>
        <v/>
      </c>
      <c r="AY427" t="str">
        <f>""</f>
        <v/>
      </c>
      <c r="AZ427" t="str">
        <f>""</f>
        <v/>
      </c>
      <c r="BA427" t="str">
        <f>""</f>
        <v/>
      </c>
      <c r="BB427" t="str">
        <f>"11/07/2023 02:14:29"</f>
        <v>11/07/2023 02:14:29</v>
      </c>
      <c r="BC427" t="str">
        <f>""</f>
        <v/>
      </c>
      <c r="BD427" t="str">
        <f>""</f>
        <v/>
      </c>
      <c r="BE427" t="str">
        <f>""</f>
        <v/>
      </c>
      <c r="BF427" t="str">
        <f t="shared" si="191"/>
        <v>A</v>
      </c>
      <c r="BG427" t="str">
        <f>""</f>
        <v/>
      </c>
      <c r="BH427" t="str">
        <f>""</f>
        <v/>
      </c>
      <c r="BI427" t="str">
        <f t="shared" si="198"/>
        <v>EVENTUAL</v>
      </c>
      <c r="BJ427" t="str">
        <f t="shared" si="192"/>
        <v>1</v>
      </c>
      <c r="BK427" t="str">
        <f t="shared" si="193"/>
        <v>Farmacia</v>
      </c>
      <c r="BL427" t="str">
        <f>""</f>
        <v/>
      </c>
      <c r="BM427" t="str">
        <f>""</f>
        <v/>
      </c>
      <c r="BN427" t="str">
        <f>""</f>
        <v/>
      </c>
      <c r="BO427" t="str">
        <f>""</f>
        <v/>
      </c>
      <c r="BP427" t="str">
        <f>""</f>
        <v/>
      </c>
      <c r="BQ427" t="str">
        <f>""</f>
        <v/>
      </c>
      <c r="BR427" t="str">
        <f>"11/07/2023"</f>
        <v>11/07/2023</v>
      </c>
      <c r="BS427" t="str">
        <f>""</f>
        <v/>
      </c>
      <c r="BT427" t="str">
        <f>""</f>
        <v/>
      </c>
      <c r="BU427" t="str">
        <f>""</f>
        <v/>
      </c>
      <c r="BV427" t="str">
        <f>""</f>
        <v/>
      </c>
      <c r="BW427" t="str">
        <f>"24"</f>
        <v>24</v>
      </c>
    </row>
    <row r="428" spans="1:75" x14ac:dyDescent="0.35">
      <c r="A428">
        <v>138220</v>
      </c>
      <c r="B428" t="str">
        <f t="shared" si="184"/>
        <v>A</v>
      </c>
      <c r="C428" t="str">
        <f t="shared" si="185"/>
        <v>80</v>
      </c>
      <c r="D428" t="str">
        <f t="shared" si="186"/>
        <v>11121001</v>
      </c>
      <c r="E428" t="str">
        <f t="shared" si="187"/>
        <v>121001</v>
      </c>
      <c r="F428" t="str">
        <f t="shared" si="188"/>
        <v>JENIFER SANTOS</v>
      </c>
      <c r="G428" t="str">
        <f>"42169179000155"</f>
        <v>42169179000155</v>
      </c>
      <c r="H428" t="str">
        <f t="shared" si="209"/>
        <v>0</v>
      </c>
      <c r="I428" t="str">
        <f t="shared" si="190"/>
        <v>CONTA OPTICA</v>
      </c>
      <c r="J428" t="str">
        <f>"RL OTICA LTDA"</f>
        <v>RL OTICA LTDA</v>
      </c>
      <c r="K428" t="str">
        <f>"OTICA VISAO (4332)"</f>
        <v>OTICA VISAO (4332)</v>
      </c>
      <c r="L428" t="str">
        <f>""</f>
        <v/>
      </c>
      <c r="M428" t="str">
        <f>""</f>
        <v/>
      </c>
      <c r="N428" t="str">
        <f>"DOPRADOCRISTIANE@GMAIL.COM"</f>
        <v>DOPRADOCRISTIANE@GMAIL.COM</v>
      </c>
      <c r="O428" t="str">
        <f>""</f>
        <v/>
      </c>
      <c r="P428" t="str">
        <f>"AVENIDA FERNANDO MACHADO"</f>
        <v>AVENIDA FERNANDO MACHADO</v>
      </c>
      <c r="Q428" t="str">
        <f>"536"</f>
        <v>536</v>
      </c>
      <c r="R428" t="str">
        <f>"D SALA 01"</f>
        <v>D SALA 01</v>
      </c>
      <c r="S428" t="str">
        <f>"1287"</f>
        <v>1287</v>
      </c>
      <c r="T428" t="str">
        <f>"89805203"</f>
        <v>89805203</v>
      </c>
      <c r="U428" t="str">
        <f t="shared" si="210"/>
        <v>CENTRO</v>
      </c>
      <c r="V428" t="str">
        <f>"CHAPECÓ"</f>
        <v>CHAPECÓ</v>
      </c>
      <c r="W428" t="str">
        <f t="shared" si="200"/>
        <v>SC</v>
      </c>
      <c r="X428" t="str">
        <f>"49"</f>
        <v>49</v>
      </c>
      <c r="Y428" t="str">
        <f>"33234818"</f>
        <v>33234818</v>
      </c>
      <c r="Z428" t="str">
        <f>""</f>
        <v/>
      </c>
      <c r="AA428" t="str">
        <f>""</f>
        <v/>
      </c>
      <c r="AB428" t="str">
        <f>""</f>
        <v/>
      </c>
      <c r="AC428" t="str">
        <f>""</f>
        <v/>
      </c>
      <c r="AD428" t="str">
        <f>""</f>
        <v/>
      </c>
      <c r="AE428" t="str">
        <f>""</f>
        <v/>
      </c>
      <c r="AF428" t="str">
        <f>""</f>
        <v/>
      </c>
      <c r="AG428" t="str">
        <f>"S"</f>
        <v>S</v>
      </c>
      <c r="AH428" t="str">
        <f>""</f>
        <v/>
      </c>
      <c r="AI428" t="str">
        <f>""</f>
        <v/>
      </c>
      <c r="AJ428" t="str">
        <f>""</f>
        <v/>
      </c>
      <c r="AK428" t="str">
        <f>""</f>
        <v/>
      </c>
      <c r="AL428" t="str">
        <f>""</f>
        <v/>
      </c>
      <c r="AM428" t="str">
        <f>""</f>
        <v/>
      </c>
      <c r="AN428" t="str">
        <f>""</f>
        <v/>
      </c>
      <c r="AO428" t="str">
        <f>""</f>
        <v/>
      </c>
      <c r="AP428" t="str">
        <f>""</f>
        <v/>
      </c>
      <c r="AQ428" t="str">
        <f>"N"</f>
        <v>N</v>
      </c>
      <c r="AR428" t="str">
        <f>"N"</f>
        <v>N</v>
      </c>
      <c r="AS428" t="str">
        <f>"N"</f>
        <v>N</v>
      </c>
      <c r="AT428" t="str">
        <f>"N"</f>
        <v>N</v>
      </c>
      <c r="AU428" t="str">
        <f>"N"</f>
        <v>N</v>
      </c>
      <c r="AV428" t="str">
        <f>""</f>
        <v/>
      </c>
      <c r="AW428" t="str">
        <f>""</f>
        <v/>
      </c>
      <c r="AX428" t="str">
        <f>""</f>
        <v/>
      </c>
      <c r="AY428" t="str">
        <f>""</f>
        <v/>
      </c>
      <c r="AZ428" t="str">
        <f>""</f>
        <v/>
      </c>
      <c r="BA428" t="str">
        <f>""</f>
        <v/>
      </c>
      <c r="BB428" t="str">
        <f>"01/07/2021 13:53:04"</f>
        <v>01/07/2021 13:53:04</v>
      </c>
      <c r="BC428" t="str">
        <f>"01/07/2022 10:54:53"</f>
        <v>01/07/2022 10:54:53</v>
      </c>
      <c r="BD428" t="str">
        <f>""</f>
        <v/>
      </c>
      <c r="BE428" t="str">
        <f>""</f>
        <v/>
      </c>
      <c r="BF428" t="str">
        <f t="shared" si="191"/>
        <v>A</v>
      </c>
      <c r="BG428" t="str">
        <f>""</f>
        <v/>
      </c>
      <c r="BH428" t="str">
        <f>"0,00"</f>
        <v>0,00</v>
      </c>
      <c r="BI428" t="str">
        <f t="shared" si="198"/>
        <v>EVENTUAL</v>
      </c>
      <c r="BJ428" t="str">
        <f t="shared" si="192"/>
        <v>1</v>
      </c>
      <c r="BK428" t="str">
        <f t="shared" si="193"/>
        <v>Farmacia</v>
      </c>
      <c r="BL428" t="str">
        <f>""</f>
        <v/>
      </c>
      <c r="BM428" t="str">
        <f>"NÃO É VARILUX ESPECIALISTA"</f>
        <v>NÃO É VARILUX ESPECIALISTA</v>
      </c>
      <c r="BN428" t="str">
        <f>"NA"</f>
        <v>NA</v>
      </c>
      <c r="BO428" t="str">
        <f>"FOCO VARILUX"</f>
        <v>FOCO VARILUX</v>
      </c>
      <c r="BP428" t="str">
        <f>""</f>
        <v/>
      </c>
      <c r="BQ428" t="str">
        <f>""</f>
        <v/>
      </c>
      <c r="BR428" t="str">
        <f>"01/07/2021"</f>
        <v>01/07/2021</v>
      </c>
      <c r="BS428" t="str">
        <f>"01/07/2022"</f>
        <v>01/07/2022</v>
      </c>
      <c r="BT428" t="str">
        <f>""</f>
        <v/>
      </c>
      <c r="BU428" t="str">
        <f>""</f>
        <v/>
      </c>
      <c r="BV428" t="str">
        <f>""</f>
        <v/>
      </c>
      <c r="BW428" t="str">
        <f>"301"</f>
        <v>301</v>
      </c>
    </row>
    <row r="429" spans="1:75" x14ac:dyDescent="0.35">
      <c r="A429">
        <v>120424</v>
      </c>
      <c r="B429" t="str">
        <f t="shared" si="184"/>
        <v>A</v>
      </c>
      <c r="C429" t="str">
        <f t="shared" si="185"/>
        <v>80</v>
      </c>
      <c r="D429" t="str">
        <f t="shared" si="186"/>
        <v>11121001</v>
      </c>
      <c r="E429" t="str">
        <f t="shared" si="187"/>
        <v>121001</v>
      </c>
      <c r="F429" t="str">
        <f t="shared" si="188"/>
        <v>JENIFER SANTOS</v>
      </c>
      <c r="G429" t="str">
        <f>"04536221000130"</f>
        <v>04536221000130</v>
      </c>
      <c r="H429" t="str">
        <f t="shared" si="209"/>
        <v>0</v>
      </c>
      <c r="I429" t="str">
        <f t="shared" si="190"/>
        <v>CONTA OPTICA</v>
      </c>
      <c r="J429" t="str">
        <f>"ROBINSON ROGERIO MARTINS"</f>
        <v>ROBINSON ROGERIO MARTINS</v>
      </c>
      <c r="K429" t="str">
        <f>"OTICA MARTINS (707)"</f>
        <v>OTICA MARTINS (707)</v>
      </c>
      <c r="L429" t="str">
        <f>""</f>
        <v/>
      </c>
      <c r="M429" t="str">
        <f>""</f>
        <v/>
      </c>
      <c r="N429" t="str">
        <f>"oticamartins@hotmail.com"</f>
        <v>oticamartins@hotmail.com</v>
      </c>
      <c r="O429" t="str">
        <f>""</f>
        <v/>
      </c>
      <c r="P429" t="str">
        <f>"AVENIDA JULIO DE CASTILHOS"</f>
        <v>AVENIDA JULIO DE CASTILHOS</v>
      </c>
      <c r="Q429" t="str">
        <f>"721"</f>
        <v>721</v>
      </c>
      <c r="R429" t="str">
        <f>""</f>
        <v/>
      </c>
      <c r="S429" t="str">
        <f>"1379"</f>
        <v>1379</v>
      </c>
      <c r="T429" t="str">
        <f>"98600000"</f>
        <v>98600000</v>
      </c>
      <c r="U429" t="str">
        <f t="shared" si="210"/>
        <v>CENTRO</v>
      </c>
      <c r="V429" t="str">
        <f>"TRES PASSOS"</f>
        <v>TRES PASSOS</v>
      </c>
      <c r="W429" t="str">
        <f>"RS"</f>
        <v>RS</v>
      </c>
      <c r="X429" t="str">
        <f>"55"</f>
        <v>55</v>
      </c>
      <c r="Y429" t="str">
        <f>"35222646"</f>
        <v>35222646</v>
      </c>
      <c r="Z429" t="str">
        <f>""</f>
        <v/>
      </c>
      <c r="AA429" t="str">
        <f>""</f>
        <v/>
      </c>
      <c r="AB429" t="str">
        <f>""</f>
        <v/>
      </c>
      <c r="AC429" t="str">
        <f>""</f>
        <v/>
      </c>
      <c r="AD429" t="str">
        <f>""</f>
        <v/>
      </c>
      <c r="AE429" t="str">
        <f>""</f>
        <v/>
      </c>
      <c r="AF429" t="str">
        <f>""</f>
        <v/>
      </c>
      <c r="AG429" t="str">
        <f>""</f>
        <v/>
      </c>
      <c r="AH429" t="str">
        <f>""</f>
        <v/>
      </c>
      <c r="AI429" t="str">
        <f>""</f>
        <v/>
      </c>
      <c r="AJ429" t="str">
        <f>""</f>
        <v/>
      </c>
      <c r="AK429" t="str">
        <f>""</f>
        <v/>
      </c>
      <c r="AL429" t="str">
        <f>""</f>
        <v/>
      </c>
      <c r="AM429" t="str">
        <f>""</f>
        <v/>
      </c>
      <c r="AN429" t="str">
        <f>""</f>
        <v/>
      </c>
      <c r="AO429" t="str">
        <f>""</f>
        <v/>
      </c>
      <c r="AP429" t="str">
        <f>""</f>
        <v/>
      </c>
      <c r="AQ429" t="str">
        <f>""</f>
        <v/>
      </c>
      <c r="AR429" t="str">
        <f>""</f>
        <v/>
      </c>
      <c r="AS429" t="str">
        <f>""</f>
        <v/>
      </c>
      <c r="AT429" t="str">
        <f>""</f>
        <v/>
      </c>
      <c r="AU429" t="str">
        <f>""</f>
        <v/>
      </c>
      <c r="AV429" t="str">
        <f>""</f>
        <v/>
      </c>
      <c r="AW429" t="str">
        <f>""</f>
        <v/>
      </c>
      <c r="AX429" t="str">
        <f>""</f>
        <v/>
      </c>
      <c r="AY429" t="str">
        <f>""</f>
        <v/>
      </c>
      <c r="AZ429" t="str">
        <f>""</f>
        <v/>
      </c>
      <c r="BA429" t="str">
        <f>""</f>
        <v/>
      </c>
      <c r="BB429" t="str">
        <f>"18/09/2020 22:12:34"</f>
        <v>18/09/2020 22:12:34</v>
      </c>
      <c r="BC429" t="str">
        <f>""</f>
        <v/>
      </c>
      <c r="BD429" t="str">
        <f>""</f>
        <v/>
      </c>
      <c r="BE429" t="str">
        <f>""</f>
        <v/>
      </c>
      <c r="BF429" t="str">
        <f t="shared" si="191"/>
        <v>A</v>
      </c>
      <c r="BG429" t="str">
        <f>""</f>
        <v/>
      </c>
      <c r="BH429" t="str">
        <f>""</f>
        <v/>
      </c>
      <c r="BI429" t="str">
        <f t="shared" si="198"/>
        <v>EVENTUAL</v>
      </c>
      <c r="BJ429" t="str">
        <f t="shared" si="192"/>
        <v>1</v>
      </c>
      <c r="BK429" t="str">
        <f t="shared" si="193"/>
        <v>Farmacia</v>
      </c>
      <c r="BL429" t="str">
        <f>""</f>
        <v/>
      </c>
      <c r="BM429" t="str">
        <f>"NÃO É VARILUX ESPECIALISTA"</f>
        <v>NÃO É VARILUX ESPECIALISTA</v>
      </c>
      <c r="BN429" t="str">
        <f>"NA"</f>
        <v>NA</v>
      </c>
      <c r="BO429" t="str">
        <f>"FOCO VARILUX DIGITAL"</f>
        <v>FOCO VARILUX DIGITAL</v>
      </c>
      <c r="BP429" t="str">
        <f>""</f>
        <v/>
      </c>
      <c r="BQ429" t="str">
        <f>""</f>
        <v/>
      </c>
      <c r="BR429" t="str">
        <f>"18/09/2020"</f>
        <v>18/09/2020</v>
      </c>
      <c r="BS429" t="str">
        <f>""</f>
        <v/>
      </c>
      <c r="BT429" t="str">
        <f>""</f>
        <v/>
      </c>
      <c r="BU429" t="str">
        <f>""</f>
        <v/>
      </c>
      <c r="BV429" t="str">
        <f>"9"</f>
        <v>9</v>
      </c>
      <c r="BW429" t="str">
        <f>"29"</f>
        <v>29</v>
      </c>
    </row>
    <row r="430" spans="1:75" x14ac:dyDescent="0.35">
      <c r="A430">
        <v>120435</v>
      </c>
      <c r="B430" t="str">
        <f t="shared" si="184"/>
        <v>A</v>
      </c>
      <c r="C430" t="str">
        <f t="shared" si="185"/>
        <v>80</v>
      </c>
      <c r="D430" t="str">
        <f t="shared" si="186"/>
        <v>11121001</v>
      </c>
      <c r="E430" t="str">
        <f t="shared" si="187"/>
        <v>121001</v>
      </c>
      <c r="F430" t="str">
        <f t="shared" si="188"/>
        <v>JENIFER SANTOS</v>
      </c>
      <c r="G430" t="str">
        <f>"07190129000159"</f>
        <v>07190129000159</v>
      </c>
      <c r="H430" t="str">
        <f t="shared" si="209"/>
        <v>0</v>
      </c>
      <c r="I430" t="str">
        <f t="shared" si="190"/>
        <v>CONTA OPTICA</v>
      </c>
      <c r="J430" t="str">
        <f>"ROBSON ANDRE MENUNCIN E CIA LTDA"</f>
        <v>ROBSON ANDRE MENUNCIN E CIA LTDA</v>
      </c>
      <c r="K430" t="str">
        <f>"OTICA PONTUAL (686)"</f>
        <v>OTICA PONTUAL (686)</v>
      </c>
      <c r="L430" t="str">
        <f>""</f>
        <v/>
      </c>
      <c r="M430" t="str">
        <f>""</f>
        <v/>
      </c>
      <c r="N430" t="str">
        <f>"pontual_otica@hotmail.com"</f>
        <v>pontual_otica@hotmail.com</v>
      </c>
      <c r="O430" t="str">
        <f>""</f>
        <v/>
      </c>
      <c r="P430" t="str">
        <f>"RUA MOURA BRASIL"</f>
        <v>RUA MOURA BRASIL</v>
      </c>
      <c r="Q430" t="str">
        <f>"1343"</f>
        <v>1343</v>
      </c>
      <c r="R430" t="str">
        <f>"SALA 02"</f>
        <v>SALA 02</v>
      </c>
      <c r="S430" t="str">
        <f>"1288"</f>
        <v>1288</v>
      </c>
      <c r="T430" t="str">
        <f>"89890000"</f>
        <v>89890000</v>
      </c>
      <c r="U430" t="str">
        <f t="shared" si="210"/>
        <v>CENTRO</v>
      </c>
      <c r="V430" t="str">
        <f>"CUNHA PORA"</f>
        <v>CUNHA PORA</v>
      </c>
      <c r="W430" t="str">
        <f t="shared" ref="W430:W438" si="211">"SC"</f>
        <v>SC</v>
      </c>
      <c r="X430" t="str">
        <f>"49"</f>
        <v>49</v>
      </c>
      <c r="Y430" t="str">
        <f>"36460823"</f>
        <v>36460823</v>
      </c>
      <c r="Z430" t="str">
        <f>""</f>
        <v/>
      </c>
      <c r="AA430" t="str">
        <f>""</f>
        <v/>
      </c>
      <c r="AB430" t="str">
        <f>""</f>
        <v/>
      </c>
      <c r="AC430" t="str">
        <f>""</f>
        <v/>
      </c>
      <c r="AD430" t="str">
        <f>""</f>
        <v/>
      </c>
      <c r="AE430" t="str">
        <f>""</f>
        <v/>
      </c>
      <c r="AF430" t="str">
        <f>""</f>
        <v/>
      </c>
      <c r="AG430" t="str">
        <f>""</f>
        <v/>
      </c>
      <c r="AH430" t="str">
        <f>""</f>
        <v/>
      </c>
      <c r="AI430" t="str">
        <f>""</f>
        <v/>
      </c>
      <c r="AJ430" t="str">
        <f>""</f>
        <v/>
      </c>
      <c r="AK430" t="str">
        <f>""</f>
        <v/>
      </c>
      <c r="AL430" t="str">
        <f>""</f>
        <v/>
      </c>
      <c r="AM430" t="str">
        <f>""</f>
        <v/>
      </c>
      <c r="AN430" t="str">
        <f>""</f>
        <v/>
      </c>
      <c r="AO430" t="str">
        <f>""</f>
        <v/>
      </c>
      <c r="AP430" t="str">
        <f>""</f>
        <v/>
      </c>
      <c r="AQ430" t="str">
        <f>""</f>
        <v/>
      </c>
      <c r="AR430" t="str">
        <f>""</f>
        <v/>
      </c>
      <c r="AS430" t="str">
        <f>""</f>
        <v/>
      </c>
      <c r="AT430" t="str">
        <f>""</f>
        <v/>
      </c>
      <c r="AU430" t="str">
        <f>""</f>
        <v/>
      </c>
      <c r="AV430" t="str">
        <f>""</f>
        <v/>
      </c>
      <c r="AW430" t="str">
        <f>""</f>
        <v/>
      </c>
      <c r="AX430" t="str">
        <f>""</f>
        <v/>
      </c>
      <c r="AY430" t="str">
        <f>""</f>
        <v/>
      </c>
      <c r="AZ430" t="str">
        <f>""</f>
        <v/>
      </c>
      <c r="BA430" t="str">
        <f>""</f>
        <v/>
      </c>
      <c r="BB430" t="str">
        <f>"18/09/2020 22:12:34"</f>
        <v>18/09/2020 22:12:34</v>
      </c>
      <c r="BC430" t="str">
        <f>""</f>
        <v/>
      </c>
      <c r="BD430" t="str">
        <f>""</f>
        <v/>
      </c>
      <c r="BE430" t="str">
        <f>""</f>
        <v/>
      </c>
      <c r="BF430" t="str">
        <f t="shared" si="191"/>
        <v>A</v>
      </c>
      <c r="BG430" t="str">
        <f>""</f>
        <v/>
      </c>
      <c r="BH430" t="str">
        <f>""</f>
        <v/>
      </c>
      <c r="BI430" t="str">
        <f t="shared" si="198"/>
        <v>EVENTUAL</v>
      </c>
      <c r="BJ430" t="str">
        <f t="shared" si="192"/>
        <v>1</v>
      </c>
      <c r="BK430" t="str">
        <f t="shared" si="193"/>
        <v>Farmacia</v>
      </c>
      <c r="BL430" t="str">
        <f>""</f>
        <v/>
      </c>
      <c r="BM430" t="str">
        <f>"VARILUX ESPECIALISTA SELECT"</f>
        <v>VARILUX ESPECIALISTA SELECT</v>
      </c>
      <c r="BN430" t="str">
        <f>"NA"</f>
        <v>NA</v>
      </c>
      <c r="BO430" t="str">
        <f>"FOCO KODAK 2"</f>
        <v>FOCO KODAK 2</v>
      </c>
      <c r="BP430" t="str">
        <f>""</f>
        <v/>
      </c>
      <c r="BQ430" t="str">
        <f>""</f>
        <v/>
      </c>
      <c r="BR430" t="str">
        <f>"18/09/2020"</f>
        <v>18/09/2020</v>
      </c>
      <c r="BS430" t="str">
        <f>""</f>
        <v/>
      </c>
      <c r="BT430" t="str">
        <f>""</f>
        <v/>
      </c>
      <c r="BU430" t="str">
        <f>""</f>
        <v/>
      </c>
      <c r="BV430" t="str">
        <f>"6"</f>
        <v>6</v>
      </c>
      <c r="BW430" t="str">
        <f>"8"</f>
        <v>8</v>
      </c>
    </row>
    <row r="431" spans="1:75" x14ac:dyDescent="0.35">
      <c r="A431">
        <v>157558</v>
      </c>
      <c r="B431" t="str">
        <f t="shared" si="184"/>
        <v>A</v>
      </c>
      <c r="C431" t="str">
        <f t="shared" si="185"/>
        <v>80</v>
      </c>
      <c r="D431" t="str">
        <f t="shared" si="186"/>
        <v>11121001</v>
      </c>
      <c r="E431" t="str">
        <f t="shared" si="187"/>
        <v>121001</v>
      </c>
      <c r="F431" t="str">
        <f t="shared" si="188"/>
        <v>JENIFER SANTOS</v>
      </c>
      <c r="G431" t="str">
        <f>"83570721000164"</f>
        <v>83570721000164</v>
      </c>
      <c r="H431" t="str">
        <f t="shared" si="209"/>
        <v>0</v>
      </c>
      <c r="I431" t="str">
        <f t="shared" si="190"/>
        <v>CONTA OPTICA</v>
      </c>
      <c r="J431" t="str">
        <f>"RORATO JOALHERIA E OTICA LTDA"</f>
        <v>RORATO JOALHERIA E OTICA LTDA</v>
      </c>
      <c r="K431" t="str">
        <f>"RORATO JOALHERIA E OTICA LTDA (425)"</f>
        <v>RORATO JOALHERIA E OTICA LTDA (425)</v>
      </c>
      <c r="L431" t="str">
        <f>""</f>
        <v/>
      </c>
      <c r="M431" t="str">
        <f>""</f>
        <v/>
      </c>
      <c r="N431" t="str">
        <f>"RORATO@NETCON.COM.BR"</f>
        <v>RORATO@NETCON.COM.BR</v>
      </c>
      <c r="O431" t="str">
        <f>""</f>
        <v/>
      </c>
      <c r="P431" t="str">
        <f>"RUA DO COMERCIO"</f>
        <v>RUA DO COMERCIO</v>
      </c>
      <c r="Q431" t="str">
        <f>"373"</f>
        <v>373</v>
      </c>
      <c r="R431" t="str">
        <f>"SALA 2"</f>
        <v>SALA 2</v>
      </c>
      <c r="S431" t="str">
        <f>"1286"</f>
        <v>1286</v>
      </c>
      <c r="T431" t="str">
        <f>"89700089"</f>
        <v>89700089</v>
      </c>
      <c r="U431" t="str">
        <f t="shared" si="210"/>
        <v>CENTRO</v>
      </c>
      <c r="V431" t="str">
        <f>"CONCORDIA"</f>
        <v>CONCORDIA</v>
      </c>
      <c r="W431" t="str">
        <f t="shared" si="211"/>
        <v>SC</v>
      </c>
      <c r="X431" t="str">
        <f>"49"</f>
        <v>49</v>
      </c>
      <c r="Y431" t="str">
        <f>"34420448"</f>
        <v>34420448</v>
      </c>
      <c r="Z431" t="str">
        <f>""</f>
        <v/>
      </c>
      <c r="AA431" t="str">
        <f>""</f>
        <v/>
      </c>
      <c r="AB431" t="str">
        <f>""</f>
        <v/>
      </c>
      <c r="AC431" t="str">
        <f>""</f>
        <v/>
      </c>
      <c r="AD431" t="str">
        <f>""</f>
        <v/>
      </c>
      <c r="AE431" t="str">
        <f>""</f>
        <v/>
      </c>
      <c r="AF431" t="str">
        <f>""</f>
        <v/>
      </c>
      <c r="AG431" t="str">
        <f>""</f>
        <v/>
      </c>
      <c r="AH431" t="str">
        <f>""</f>
        <v/>
      </c>
      <c r="AI431" t="str">
        <f>""</f>
        <v/>
      </c>
      <c r="AJ431" t="str">
        <f>""</f>
        <v/>
      </c>
      <c r="AK431" t="str">
        <f>""</f>
        <v/>
      </c>
      <c r="AL431" t="str">
        <f>""</f>
        <v/>
      </c>
      <c r="AM431" t="str">
        <f>""</f>
        <v/>
      </c>
      <c r="AN431" t="str">
        <f>""</f>
        <v/>
      </c>
      <c r="AO431" t="str">
        <f>""</f>
        <v/>
      </c>
      <c r="AP431" t="str">
        <f>""</f>
        <v/>
      </c>
      <c r="AQ431" t="str">
        <f>""</f>
        <v/>
      </c>
      <c r="AR431" t="str">
        <f>""</f>
        <v/>
      </c>
      <c r="AS431" t="str">
        <f>""</f>
        <v/>
      </c>
      <c r="AT431" t="str">
        <f>""</f>
        <v/>
      </c>
      <c r="AU431" t="str">
        <f>""</f>
        <v/>
      </c>
      <c r="AV431" t="str">
        <f>""</f>
        <v/>
      </c>
      <c r="AW431" t="str">
        <f>""</f>
        <v/>
      </c>
      <c r="AX431" t="str">
        <f>""</f>
        <v/>
      </c>
      <c r="AY431" t="str">
        <f>""</f>
        <v/>
      </c>
      <c r="AZ431" t="str">
        <f>""</f>
        <v/>
      </c>
      <c r="BA431" t="str">
        <f>""</f>
        <v/>
      </c>
      <c r="BB431" t="str">
        <f>"11/07/2023 02:14:29"</f>
        <v>11/07/2023 02:14:29</v>
      </c>
      <c r="BC431" t="str">
        <f>""</f>
        <v/>
      </c>
      <c r="BD431" t="str">
        <f>""</f>
        <v/>
      </c>
      <c r="BE431" t="str">
        <f>""</f>
        <v/>
      </c>
      <c r="BF431" t="str">
        <f t="shared" si="191"/>
        <v>A</v>
      </c>
      <c r="BG431" t="str">
        <f>""</f>
        <v/>
      </c>
      <c r="BH431" t="str">
        <f>""</f>
        <v/>
      </c>
      <c r="BI431" t="str">
        <f t="shared" si="198"/>
        <v>EVENTUAL</v>
      </c>
      <c r="BJ431" t="str">
        <f t="shared" si="192"/>
        <v>1</v>
      </c>
      <c r="BK431" t="str">
        <f t="shared" si="193"/>
        <v>Farmacia</v>
      </c>
      <c r="BL431" t="str">
        <f>""</f>
        <v/>
      </c>
      <c r="BM431" t="str">
        <f>""</f>
        <v/>
      </c>
      <c r="BN431" t="str">
        <f>""</f>
        <v/>
      </c>
      <c r="BO431" t="str">
        <f>""</f>
        <v/>
      </c>
      <c r="BP431" t="str">
        <f>""</f>
        <v/>
      </c>
      <c r="BQ431" t="str">
        <f>""</f>
        <v/>
      </c>
      <c r="BR431" t="str">
        <f>"11/07/2023"</f>
        <v>11/07/2023</v>
      </c>
      <c r="BS431" t="str">
        <f>""</f>
        <v/>
      </c>
      <c r="BT431" t="str">
        <f>""</f>
        <v/>
      </c>
      <c r="BU431" t="str">
        <f>""</f>
        <v/>
      </c>
      <c r="BV431" t="str">
        <f>""</f>
        <v/>
      </c>
      <c r="BW431" t="str">
        <f>"Não visitado"</f>
        <v>Não visitado</v>
      </c>
    </row>
    <row r="432" spans="1:75" x14ac:dyDescent="0.35">
      <c r="A432">
        <v>144815</v>
      </c>
      <c r="B432" t="str">
        <f t="shared" si="184"/>
        <v>A</v>
      </c>
      <c r="C432" t="str">
        <f t="shared" si="185"/>
        <v>80</v>
      </c>
      <c r="D432" t="str">
        <f t="shared" si="186"/>
        <v>11121001</v>
      </c>
      <c r="E432" t="str">
        <f t="shared" si="187"/>
        <v>121001</v>
      </c>
      <c r="F432" t="str">
        <f t="shared" si="188"/>
        <v>JENIFER SANTOS</v>
      </c>
      <c r="G432" t="str">
        <f>"41641286000171"</f>
        <v>41641286000171</v>
      </c>
      <c r="H432" t="str">
        <f>""</f>
        <v/>
      </c>
      <c r="I432" t="str">
        <f t="shared" si="190"/>
        <v>CONTA OPTICA</v>
      </c>
      <c r="J432" t="str">
        <f>"ROSEMEIRE ORTUNIO ANZOATEGUI 67418619987"</f>
        <v>ROSEMEIRE ORTUNIO ANZOATEGUI 67418619987</v>
      </c>
      <c r="K432" t="str">
        <f>"OTICA MARIA (4334)"</f>
        <v>OTICA MARIA (4334)</v>
      </c>
      <c r="L432" t="str">
        <f>""</f>
        <v/>
      </c>
      <c r="M432" t="str">
        <f>""</f>
        <v/>
      </c>
      <c r="N432" t="str">
        <f>"rosemeireortunio@gmail.com"</f>
        <v>rosemeireortunio@gmail.com</v>
      </c>
      <c r="O432" t="str">
        <f>""</f>
        <v/>
      </c>
      <c r="P432" t="str">
        <f>"RUA 10 R RIO TOCANTINS"</f>
        <v>RUA 10 R RIO TOCANTINS</v>
      </c>
      <c r="Q432" t="str">
        <f>"455"</f>
        <v>455</v>
      </c>
      <c r="R432" t="str">
        <f>"SALA 07"</f>
        <v>SALA 07</v>
      </c>
      <c r="S432" t="str">
        <f>"1280"</f>
        <v>1280</v>
      </c>
      <c r="T432" t="str">
        <f>"89245000"</f>
        <v>89245000</v>
      </c>
      <c r="U432" t="str">
        <f>"ITINGA"</f>
        <v>ITINGA</v>
      </c>
      <c r="V432" t="str">
        <f>"ARAQUARI"</f>
        <v>ARAQUARI</v>
      </c>
      <c r="W432" t="str">
        <f t="shared" si="211"/>
        <v>SC</v>
      </c>
      <c r="X432" t="str">
        <f>"47"</f>
        <v>47</v>
      </c>
      <c r="Y432" t="str">
        <f>"33078005"</f>
        <v>33078005</v>
      </c>
      <c r="Z432" t="str">
        <f>""</f>
        <v/>
      </c>
      <c r="AA432" t="str">
        <f>""</f>
        <v/>
      </c>
      <c r="AB432" t="str">
        <f>""</f>
        <v/>
      </c>
      <c r="AC432" t="str">
        <f>""</f>
        <v/>
      </c>
      <c r="AD432" t="str">
        <f>""</f>
        <v/>
      </c>
      <c r="AE432" t="str">
        <f>""</f>
        <v/>
      </c>
      <c r="AF432" t="str">
        <f>""</f>
        <v/>
      </c>
      <c r="AG432" t="str">
        <f>""</f>
        <v/>
      </c>
      <c r="AH432" t="str">
        <f>""</f>
        <v/>
      </c>
      <c r="AI432" t="str">
        <f>""</f>
        <v/>
      </c>
      <c r="AJ432" t="str">
        <f t="shared" ref="AJ432:AL434" si="212">"0"</f>
        <v>0</v>
      </c>
      <c r="AK432" t="str">
        <f t="shared" si="212"/>
        <v>0</v>
      </c>
      <c r="AL432" t="str">
        <f t="shared" si="212"/>
        <v>0</v>
      </c>
      <c r="AM432" t="str">
        <f>""</f>
        <v/>
      </c>
      <c r="AN432" t="str">
        <f>""</f>
        <v/>
      </c>
      <c r="AO432" t="str">
        <f>""</f>
        <v/>
      </c>
      <c r="AP432" t="str">
        <f>""</f>
        <v/>
      </c>
      <c r="AQ432" t="str">
        <f>""</f>
        <v/>
      </c>
      <c r="AR432" t="str">
        <f>""</f>
        <v/>
      </c>
      <c r="AS432" t="str">
        <f>""</f>
        <v/>
      </c>
      <c r="AT432" t="str">
        <f>""</f>
        <v/>
      </c>
      <c r="AU432" t="str">
        <f>""</f>
        <v/>
      </c>
      <c r="AV432" t="str">
        <f>""</f>
        <v/>
      </c>
      <c r="AW432" t="str">
        <f>""</f>
        <v/>
      </c>
      <c r="AX432" t="str">
        <f>""</f>
        <v/>
      </c>
      <c r="AY432" t="str">
        <f>""</f>
        <v/>
      </c>
      <c r="AZ432" t="str">
        <f>""</f>
        <v/>
      </c>
      <c r="BA432" t="str">
        <f>""</f>
        <v/>
      </c>
      <c r="BB432" t="str">
        <f>""</f>
        <v/>
      </c>
      <c r="BC432" t="str">
        <f>""</f>
        <v/>
      </c>
      <c r="BD432" t="str">
        <f>""</f>
        <v/>
      </c>
      <c r="BE432" t="str">
        <f>""</f>
        <v/>
      </c>
      <c r="BF432" t="str">
        <f t="shared" si="191"/>
        <v>A</v>
      </c>
      <c r="BG432" t="str">
        <f t="shared" ref="BG432:BH434" si="213">"0,00"</f>
        <v>0,00</v>
      </c>
      <c r="BH432" t="str">
        <f t="shared" si="213"/>
        <v>0,00</v>
      </c>
      <c r="BI432" t="str">
        <f t="shared" ref="BI432:BI463" si="214">"EVENTUAL"</f>
        <v>EVENTUAL</v>
      </c>
      <c r="BJ432" t="str">
        <f t="shared" si="192"/>
        <v>1</v>
      </c>
      <c r="BK432" t="str">
        <f t="shared" si="193"/>
        <v>Farmacia</v>
      </c>
      <c r="BL432" t="str">
        <f>""</f>
        <v/>
      </c>
      <c r="BM432" t="str">
        <f>"NÃO É VARILUX ESPECIALISTA"</f>
        <v>NÃO É VARILUX ESPECIALISTA</v>
      </c>
      <c r="BN432" t="str">
        <f t="shared" ref="BN432:BN442" si="215">"NA"</f>
        <v>NA</v>
      </c>
      <c r="BO432" t="str">
        <f>""</f>
        <v/>
      </c>
      <c r="BP432" t="str">
        <f>""</f>
        <v/>
      </c>
      <c r="BQ432" t="str">
        <f>""</f>
        <v/>
      </c>
      <c r="BR432" t="str">
        <f>""</f>
        <v/>
      </c>
      <c r="BS432" t="str">
        <f>""</f>
        <v/>
      </c>
      <c r="BT432" t="str">
        <f>""</f>
        <v/>
      </c>
      <c r="BU432" t="str">
        <f>""</f>
        <v/>
      </c>
      <c r="BV432" t="str">
        <f>""</f>
        <v/>
      </c>
      <c r="BW432" t="str">
        <f>"46"</f>
        <v>46</v>
      </c>
    </row>
    <row r="433" spans="1:75" x14ac:dyDescent="0.35">
      <c r="A433">
        <v>133756</v>
      </c>
      <c r="B433" t="str">
        <f t="shared" si="184"/>
        <v>A</v>
      </c>
      <c r="C433" t="str">
        <f t="shared" si="185"/>
        <v>80</v>
      </c>
      <c r="D433" t="str">
        <f t="shared" si="186"/>
        <v>11121001</v>
      </c>
      <c r="E433" t="str">
        <f t="shared" si="187"/>
        <v>121001</v>
      </c>
      <c r="F433" t="str">
        <f t="shared" si="188"/>
        <v>JENIFER SANTOS</v>
      </c>
      <c r="G433" t="str">
        <f>"07194114000240"</f>
        <v>07194114000240</v>
      </c>
      <c r="H433" t="str">
        <f>"0"</f>
        <v>0</v>
      </c>
      <c r="I433" t="str">
        <f t="shared" si="190"/>
        <v>CONTA OPTICA</v>
      </c>
      <c r="J433" t="str">
        <f>"RT OTICA LTDA"</f>
        <v>RT OTICA LTDA</v>
      </c>
      <c r="K433" t="str">
        <f>"ARMAZEM DO OCULOS - FILIAL (4248)"</f>
        <v>ARMAZEM DO OCULOS - FILIAL (4248)</v>
      </c>
      <c r="L433" t="str">
        <f>""</f>
        <v/>
      </c>
      <c r="M433" t="str">
        <f>""</f>
        <v/>
      </c>
      <c r="N433" t="str">
        <f>"vendas2@armazemdooculos.com.br"</f>
        <v>vendas2@armazemdooculos.com.br</v>
      </c>
      <c r="O433" t="str">
        <f>""</f>
        <v/>
      </c>
      <c r="P433" t="str">
        <f>"AVENIDA PORTO ALEGRE D"</f>
        <v>AVENIDA PORTO ALEGRE D</v>
      </c>
      <c r="Q433" t="str">
        <f>"454"</f>
        <v>454</v>
      </c>
      <c r="R433" t="str">
        <f>"D"</f>
        <v>D</v>
      </c>
      <c r="S433" t="str">
        <f>"1287"</f>
        <v>1287</v>
      </c>
      <c r="T433" t="str">
        <f>"89802130"</f>
        <v>89802130</v>
      </c>
      <c r="U433" t="str">
        <f>"CENTRO"</f>
        <v>CENTRO</v>
      </c>
      <c r="V433" t="str">
        <f>"CHAPECÓ"</f>
        <v>CHAPECÓ</v>
      </c>
      <c r="W433" t="str">
        <f t="shared" si="211"/>
        <v>SC</v>
      </c>
      <c r="X433" t="str">
        <f>"49"</f>
        <v>49</v>
      </c>
      <c r="Y433" t="str">
        <f>"33400715"</f>
        <v>33400715</v>
      </c>
      <c r="Z433" t="str">
        <f>""</f>
        <v/>
      </c>
      <c r="AA433" t="str">
        <f>""</f>
        <v/>
      </c>
      <c r="AB433" t="str">
        <f>""</f>
        <v/>
      </c>
      <c r="AC433" t="str">
        <f>""</f>
        <v/>
      </c>
      <c r="AD433" t="str">
        <f>""</f>
        <v/>
      </c>
      <c r="AE433" t="str">
        <f>""</f>
        <v/>
      </c>
      <c r="AF433" t="str">
        <f>""</f>
        <v/>
      </c>
      <c r="AG433" t="str">
        <f>""</f>
        <v/>
      </c>
      <c r="AH433" t="str">
        <f>""</f>
        <v/>
      </c>
      <c r="AI433" t="str">
        <f>""</f>
        <v/>
      </c>
      <c r="AJ433" t="str">
        <f t="shared" si="212"/>
        <v>0</v>
      </c>
      <c r="AK433" t="str">
        <f t="shared" si="212"/>
        <v>0</v>
      </c>
      <c r="AL433" t="str">
        <f t="shared" si="212"/>
        <v>0</v>
      </c>
      <c r="AM433" t="str">
        <f>""</f>
        <v/>
      </c>
      <c r="AN433" t="str">
        <f>""</f>
        <v/>
      </c>
      <c r="AO433" t="str">
        <f>""</f>
        <v/>
      </c>
      <c r="AP433" t="str">
        <f>""</f>
        <v/>
      </c>
      <c r="AQ433" t="str">
        <f>""</f>
        <v/>
      </c>
      <c r="AR433" t="str">
        <f>""</f>
        <v/>
      </c>
      <c r="AS433" t="str">
        <f>""</f>
        <v/>
      </c>
      <c r="AT433" t="str">
        <f>""</f>
        <v/>
      </c>
      <c r="AU433" t="str">
        <f>""</f>
        <v/>
      </c>
      <c r="AV433" t="str">
        <f>""</f>
        <v/>
      </c>
      <c r="AW433" t="str">
        <f>""</f>
        <v/>
      </c>
      <c r="AX433" t="str">
        <f>""</f>
        <v/>
      </c>
      <c r="AY433" t="str">
        <f>""</f>
        <v/>
      </c>
      <c r="AZ433" t="str">
        <f>""</f>
        <v/>
      </c>
      <c r="BA433" t="str">
        <f>""</f>
        <v/>
      </c>
      <c r="BB433" t="str">
        <f>"19/02/2021 10:15:59"</f>
        <v>19/02/2021 10:15:59</v>
      </c>
      <c r="BC433" t="str">
        <f>""</f>
        <v/>
      </c>
      <c r="BD433" t="str">
        <f>""</f>
        <v/>
      </c>
      <c r="BE433" t="str">
        <f>""</f>
        <v/>
      </c>
      <c r="BF433" t="str">
        <f t="shared" si="191"/>
        <v>A</v>
      </c>
      <c r="BG433" t="str">
        <f t="shared" si="213"/>
        <v>0,00</v>
      </c>
      <c r="BH433" t="str">
        <f t="shared" si="213"/>
        <v>0,00</v>
      </c>
      <c r="BI433" t="str">
        <f t="shared" si="214"/>
        <v>EVENTUAL</v>
      </c>
      <c r="BJ433" t="str">
        <f t="shared" si="192"/>
        <v>1</v>
      </c>
      <c r="BK433" t="str">
        <f t="shared" si="193"/>
        <v>Farmacia</v>
      </c>
      <c r="BL433" t="str">
        <f>""</f>
        <v/>
      </c>
      <c r="BM433" t="str">
        <f>"NÃO É VARILUX ESPECIALISTA"</f>
        <v>NÃO É VARILUX ESPECIALISTA</v>
      </c>
      <c r="BN433" t="str">
        <f t="shared" si="215"/>
        <v>NA</v>
      </c>
      <c r="BO433" t="str">
        <f>"FOCO KODAK 2"</f>
        <v>FOCO KODAK 2</v>
      </c>
      <c r="BP433" t="str">
        <f>""</f>
        <v/>
      </c>
      <c r="BQ433" t="str">
        <f>""</f>
        <v/>
      </c>
      <c r="BR433" t="str">
        <f>"19/02/2021"</f>
        <v>19/02/2021</v>
      </c>
      <c r="BS433" t="str">
        <f>""</f>
        <v/>
      </c>
      <c r="BT433" t="str">
        <f>""</f>
        <v/>
      </c>
      <c r="BU433" t="str">
        <f>""</f>
        <v/>
      </c>
      <c r="BV433" t="str">
        <f>"5"</f>
        <v>5</v>
      </c>
      <c r="BW433" t="str">
        <f>"4"</f>
        <v>4</v>
      </c>
    </row>
    <row r="434" spans="1:75" x14ac:dyDescent="0.35">
      <c r="A434">
        <v>120289</v>
      </c>
      <c r="B434" t="str">
        <f t="shared" si="184"/>
        <v>A</v>
      </c>
      <c r="C434" t="str">
        <f t="shared" si="185"/>
        <v>80</v>
      </c>
      <c r="D434" t="str">
        <f t="shared" si="186"/>
        <v>11121001</v>
      </c>
      <c r="E434" t="str">
        <f t="shared" si="187"/>
        <v>121001</v>
      </c>
      <c r="F434" t="str">
        <f t="shared" si="188"/>
        <v>JENIFER SANTOS</v>
      </c>
      <c r="G434" t="str">
        <f>"07194114000169"</f>
        <v>07194114000169</v>
      </c>
      <c r="H434" t="str">
        <f>"0"</f>
        <v>0</v>
      </c>
      <c r="I434" t="str">
        <f t="shared" si="190"/>
        <v>CONTA OPTICA</v>
      </c>
      <c r="J434" t="str">
        <f>"RT OTICA LTDA"</f>
        <v>RT OTICA LTDA</v>
      </c>
      <c r="K434" t="str">
        <f>"ARMAZEM DO OCULOS (2251)"</f>
        <v>ARMAZEM DO OCULOS (2251)</v>
      </c>
      <c r="L434" t="str">
        <f>""</f>
        <v/>
      </c>
      <c r="M434" t="str">
        <f>""</f>
        <v/>
      </c>
      <c r="N434" t="str">
        <f>"vendas@armazemdooculos.com.br"</f>
        <v>vendas@armazemdooculos.com.br</v>
      </c>
      <c r="O434" t="str">
        <f>""</f>
        <v/>
      </c>
      <c r="P434" t="str">
        <f>"RUA BARAO DO RIO BRANCO - E"</f>
        <v>RUA BARAO DO RIO BRANCO - E</v>
      </c>
      <c r="Q434" t="str">
        <f>"403"</f>
        <v>403</v>
      </c>
      <c r="R434" t="str">
        <f>"QUIOSQUE FRENTE"</f>
        <v>QUIOSQUE FRENTE</v>
      </c>
      <c r="S434" t="str">
        <f>"1287"</f>
        <v>1287</v>
      </c>
      <c r="T434" t="str">
        <f>"89802100"</f>
        <v>89802100</v>
      </c>
      <c r="U434" t="str">
        <f>"CENTRO"</f>
        <v>CENTRO</v>
      </c>
      <c r="V434" t="str">
        <f>"CHAPECÓ"</f>
        <v>CHAPECÓ</v>
      </c>
      <c r="W434" t="str">
        <f t="shared" si="211"/>
        <v>SC</v>
      </c>
      <c r="X434" t="str">
        <f>"49"</f>
        <v>49</v>
      </c>
      <c r="Y434" t="str">
        <f>"33046120"</f>
        <v>33046120</v>
      </c>
      <c r="Z434" t="str">
        <f>""</f>
        <v/>
      </c>
      <c r="AA434" t="str">
        <f>""</f>
        <v/>
      </c>
      <c r="AB434" t="str">
        <f>""</f>
        <v/>
      </c>
      <c r="AC434" t="str">
        <f>""</f>
        <v/>
      </c>
      <c r="AD434" t="str">
        <f>""</f>
        <v/>
      </c>
      <c r="AE434" t="str">
        <f>""</f>
        <v/>
      </c>
      <c r="AF434" t="str">
        <f>""</f>
        <v/>
      </c>
      <c r="AG434" t="str">
        <f>""</f>
        <v/>
      </c>
      <c r="AH434" t="str">
        <f>""</f>
        <v/>
      </c>
      <c r="AI434" t="str">
        <f>""</f>
        <v/>
      </c>
      <c r="AJ434" t="str">
        <f t="shared" si="212"/>
        <v>0</v>
      </c>
      <c r="AK434" t="str">
        <f t="shared" si="212"/>
        <v>0</v>
      </c>
      <c r="AL434" t="str">
        <f t="shared" si="212"/>
        <v>0</v>
      </c>
      <c r="AM434" t="str">
        <f>""</f>
        <v/>
      </c>
      <c r="AN434" t="str">
        <f>""</f>
        <v/>
      </c>
      <c r="AO434" t="str">
        <f>""</f>
        <v/>
      </c>
      <c r="AP434" t="str">
        <f>""</f>
        <v/>
      </c>
      <c r="AQ434" t="str">
        <f>""</f>
        <v/>
      </c>
      <c r="AR434" t="str">
        <f>""</f>
        <v/>
      </c>
      <c r="AS434" t="str">
        <f>""</f>
        <v/>
      </c>
      <c r="AT434" t="str">
        <f>""</f>
        <v/>
      </c>
      <c r="AU434" t="str">
        <f>""</f>
        <v/>
      </c>
      <c r="AV434" t="str">
        <f>""</f>
        <v/>
      </c>
      <c r="AW434" t="str">
        <f>""</f>
        <v/>
      </c>
      <c r="AX434" t="str">
        <f>""</f>
        <v/>
      </c>
      <c r="AY434" t="str">
        <f>""</f>
        <v/>
      </c>
      <c r="AZ434" t="str">
        <f>""</f>
        <v/>
      </c>
      <c r="BA434" t="str">
        <f>""</f>
        <v/>
      </c>
      <c r="BB434" t="str">
        <f>"18/09/2020 22:12:34"</f>
        <v>18/09/2020 22:12:34</v>
      </c>
      <c r="BC434" t="str">
        <f>""</f>
        <v/>
      </c>
      <c r="BD434" t="str">
        <f>""</f>
        <v/>
      </c>
      <c r="BE434" t="str">
        <f>""</f>
        <v/>
      </c>
      <c r="BF434" t="str">
        <f t="shared" si="191"/>
        <v>A</v>
      </c>
      <c r="BG434" t="str">
        <f t="shared" si="213"/>
        <v>0,00</v>
      </c>
      <c r="BH434" t="str">
        <f t="shared" si="213"/>
        <v>0,00</v>
      </c>
      <c r="BI434" t="str">
        <f t="shared" si="214"/>
        <v>EVENTUAL</v>
      </c>
      <c r="BJ434" t="str">
        <f t="shared" si="192"/>
        <v>1</v>
      </c>
      <c r="BK434" t="str">
        <f t="shared" si="193"/>
        <v>Farmacia</v>
      </c>
      <c r="BL434" t="str">
        <f>""</f>
        <v/>
      </c>
      <c r="BM434" t="str">
        <f>"VARILUX ESPECIALISTA SELECT"</f>
        <v>VARILUX ESPECIALISTA SELECT</v>
      </c>
      <c r="BN434" t="str">
        <f t="shared" si="215"/>
        <v>NA</v>
      </c>
      <c r="BO434" t="str">
        <f>"FOCO VARILUX DIGITAL"</f>
        <v>FOCO VARILUX DIGITAL</v>
      </c>
      <c r="BP434" t="str">
        <f>""</f>
        <v/>
      </c>
      <c r="BQ434" t="str">
        <f>""</f>
        <v/>
      </c>
      <c r="BR434" t="str">
        <f>"18/09/2020"</f>
        <v>18/09/2020</v>
      </c>
      <c r="BS434" t="str">
        <f>""</f>
        <v/>
      </c>
      <c r="BT434" t="str">
        <f>""</f>
        <v/>
      </c>
      <c r="BU434" t="str">
        <f>""</f>
        <v/>
      </c>
      <c r="BV434" t="str">
        <f>"3"</f>
        <v>3</v>
      </c>
      <c r="BW434" t="str">
        <f>"4"</f>
        <v>4</v>
      </c>
    </row>
    <row r="435" spans="1:75" x14ac:dyDescent="0.35">
      <c r="A435">
        <v>137906</v>
      </c>
      <c r="B435" t="str">
        <f t="shared" si="184"/>
        <v>A</v>
      </c>
      <c r="C435" t="str">
        <f t="shared" si="185"/>
        <v>80</v>
      </c>
      <c r="D435" t="str">
        <f t="shared" si="186"/>
        <v>11121001</v>
      </c>
      <c r="E435" t="str">
        <f t="shared" si="187"/>
        <v>121001</v>
      </c>
      <c r="F435" t="str">
        <f t="shared" si="188"/>
        <v>JENIFER SANTOS</v>
      </c>
      <c r="G435" t="str">
        <f>"77893238000118"</f>
        <v>77893238000118</v>
      </c>
      <c r="H435" t="str">
        <f>"0"</f>
        <v>0</v>
      </c>
      <c r="I435" t="str">
        <f t="shared" si="190"/>
        <v>CONTA OPTICA</v>
      </c>
      <c r="J435" t="str">
        <f>"RUDOLF WALTER BAUMGARTEN ME"</f>
        <v>RUDOLF WALTER BAUMGARTEN ME</v>
      </c>
      <c r="K435" t="str">
        <f>"RUDOLF WALTER BAUMGARTEN ME (427)"</f>
        <v>RUDOLF WALTER BAUMGARTEN ME (427)</v>
      </c>
      <c r="L435" t="str">
        <f>""</f>
        <v/>
      </c>
      <c r="M435" t="str">
        <f>""</f>
        <v/>
      </c>
      <c r="N435" t="str">
        <f>"nfelojabaumgarten@terra.com.br"</f>
        <v>nfelojabaumgarten@terra.com.br</v>
      </c>
      <c r="O435" t="str">
        <f>""</f>
        <v/>
      </c>
      <c r="P435" t="str">
        <f>"RUA 11 DE NOVEMBRO"</f>
        <v>RUA 11 DE NOVEMBRO</v>
      </c>
      <c r="Q435" t="str">
        <f>"2450"</f>
        <v>2450</v>
      </c>
      <c r="R435" t="str">
        <f>""</f>
        <v/>
      </c>
      <c r="S435" t="str">
        <f>"1274"</f>
        <v>1274</v>
      </c>
      <c r="T435" t="str">
        <f>"89108000"</f>
        <v>89108000</v>
      </c>
      <c r="U435" t="str">
        <f>"CENTRO"</f>
        <v>CENTRO</v>
      </c>
      <c r="V435" t="str">
        <f>"MASSARANDUBA"</f>
        <v>MASSARANDUBA</v>
      </c>
      <c r="W435" t="str">
        <f t="shared" si="211"/>
        <v>SC</v>
      </c>
      <c r="X435" t="str">
        <f>"47"</f>
        <v>47</v>
      </c>
      <c r="Y435" t="str">
        <f>"33792020"</f>
        <v>33792020</v>
      </c>
      <c r="Z435" t="str">
        <f>""</f>
        <v/>
      </c>
      <c r="AA435" t="str">
        <f>""</f>
        <v/>
      </c>
      <c r="AB435" t="str">
        <f>""</f>
        <v/>
      </c>
      <c r="AC435" t="str">
        <f>""</f>
        <v/>
      </c>
      <c r="AD435" t="str">
        <f>""</f>
        <v/>
      </c>
      <c r="AE435" t="str">
        <f>""</f>
        <v/>
      </c>
      <c r="AF435" t="str">
        <f>""</f>
        <v/>
      </c>
      <c r="AG435" t="str">
        <f>"S"</f>
        <v>S</v>
      </c>
      <c r="AH435" t="str">
        <f>""</f>
        <v/>
      </c>
      <c r="AI435" t="str">
        <f>""</f>
        <v/>
      </c>
      <c r="AJ435" t="str">
        <f>""</f>
        <v/>
      </c>
      <c r="AK435" t="str">
        <f>""</f>
        <v/>
      </c>
      <c r="AL435" t="str">
        <f>""</f>
        <v/>
      </c>
      <c r="AM435" t="str">
        <f>""</f>
        <v/>
      </c>
      <c r="AN435" t="str">
        <f>""</f>
        <v/>
      </c>
      <c r="AO435" t="str">
        <f>""</f>
        <v/>
      </c>
      <c r="AP435" t="str">
        <f>""</f>
        <v/>
      </c>
      <c r="AQ435" t="str">
        <f>"N"</f>
        <v>N</v>
      </c>
      <c r="AR435" t="str">
        <f>"N"</f>
        <v>N</v>
      </c>
      <c r="AS435" t="str">
        <f>"N"</f>
        <v>N</v>
      </c>
      <c r="AT435" t="str">
        <f>"N"</f>
        <v>N</v>
      </c>
      <c r="AU435" t="str">
        <f>"N"</f>
        <v>N</v>
      </c>
      <c r="AV435" t="str">
        <f>""</f>
        <v/>
      </c>
      <c r="AW435" t="str">
        <f>""</f>
        <v/>
      </c>
      <c r="AX435" t="str">
        <f>""</f>
        <v/>
      </c>
      <c r="AY435" t="str">
        <f>""</f>
        <v/>
      </c>
      <c r="AZ435" t="str">
        <f>""</f>
        <v/>
      </c>
      <c r="BA435" t="str">
        <f>""</f>
        <v/>
      </c>
      <c r="BB435" t="str">
        <f>"01/07/2021 13:53:04"</f>
        <v>01/07/2021 13:53:04</v>
      </c>
      <c r="BC435" t="str">
        <f>"11/03/2022 16:43:06"</f>
        <v>11/03/2022 16:43:06</v>
      </c>
      <c r="BD435" t="str">
        <f>""</f>
        <v/>
      </c>
      <c r="BE435" t="str">
        <f>""</f>
        <v/>
      </c>
      <c r="BF435" t="str">
        <f t="shared" si="191"/>
        <v>A</v>
      </c>
      <c r="BG435" t="str">
        <f>""</f>
        <v/>
      </c>
      <c r="BH435" t="str">
        <f>"0,00"</f>
        <v>0,00</v>
      </c>
      <c r="BI435" t="str">
        <f t="shared" si="214"/>
        <v>EVENTUAL</v>
      </c>
      <c r="BJ435" t="str">
        <f t="shared" si="192"/>
        <v>1</v>
      </c>
      <c r="BK435" t="str">
        <f t="shared" si="193"/>
        <v>Farmacia</v>
      </c>
      <c r="BL435" t="str">
        <f>""</f>
        <v/>
      </c>
      <c r="BM435" t="str">
        <f>"VARILUX ESPECIALISTA SELECT"</f>
        <v>VARILUX ESPECIALISTA SELECT</v>
      </c>
      <c r="BN435" t="str">
        <f t="shared" si="215"/>
        <v>NA</v>
      </c>
      <c r="BO435" t="str">
        <f>"FOCO VARILUX DIGITAL"</f>
        <v>FOCO VARILUX DIGITAL</v>
      </c>
      <c r="BP435" t="str">
        <f>""</f>
        <v/>
      </c>
      <c r="BQ435" t="str">
        <f>""</f>
        <v/>
      </c>
      <c r="BR435" t="str">
        <f>"01/07/2021"</f>
        <v>01/07/2021</v>
      </c>
      <c r="BS435" t="str">
        <f>"11/03/2022"</f>
        <v>11/03/2022</v>
      </c>
      <c r="BT435" t="str">
        <f>""</f>
        <v/>
      </c>
      <c r="BU435" t="str">
        <f>""</f>
        <v/>
      </c>
      <c r="BV435" t="str">
        <f>""</f>
        <v/>
      </c>
      <c r="BW435" t="str">
        <f>"1"</f>
        <v>1</v>
      </c>
    </row>
    <row r="436" spans="1:75" x14ac:dyDescent="0.35">
      <c r="A436">
        <v>120456</v>
      </c>
      <c r="B436" t="str">
        <f t="shared" si="184"/>
        <v>A</v>
      </c>
      <c r="C436" t="str">
        <f t="shared" si="185"/>
        <v>80</v>
      </c>
      <c r="D436" t="str">
        <f t="shared" si="186"/>
        <v>11121001</v>
      </c>
      <c r="E436" t="str">
        <f t="shared" si="187"/>
        <v>121001</v>
      </c>
      <c r="F436" t="str">
        <f t="shared" si="188"/>
        <v>JENIFER SANTOS</v>
      </c>
      <c r="G436" t="str">
        <f>"03012401000150"</f>
        <v>03012401000150</v>
      </c>
      <c r="H436" t="str">
        <f>"0"</f>
        <v>0</v>
      </c>
      <c r="I436" t="str">
        <f t="shared" si="190"/>
        <v>CONTA OPTICA</v>
      </c>
      <c r="J436" t="str">
        <f>"S &amp; K OPTICA E RELOJOARIA LTDA ME"</f>
        <v>S &amp; K OPTICA E RELOJOARIA LTDA ME</v>
      </c>
      <c r="K436" t="str">
        <f>"GUENO JOIAS OPTICA (433)"</f>
        <v>GUENO JOIAS OPTICA (433)</v>
      </c>
      <c r="L436" t="str">
        <f>""</f>
        <v/>
      </c>
      <c r="M436" t="str">
        <f>""</f>
        <v/>
      </c>
      <c r="N436" t="str">
        <f>"sekoptica@outlook.com"</f>
        <v>sekoptica@outlook.com</v>
      </c>
      <c r="O436" t="str">
        <f>""</f>
        <v/>
      </c>
      <c r="P436" t="str">
        <f>"RUA HERCULANO H. ZANUZZO"</f>
        <v>RUA HERCULANO H. ZANUZZO</v>
      </c>
      <c r="Q436" t="str">
        <f>"416"</f>
        <v>416</v>
      </c>
      <c r="R436" t="str">
        <f>""</f>
        <v/>
      </c>
      <c r="S436" t="str">
        <f>"1286"</f>
        <v>1286</v>
      </c>
      <c r="T436" t="str">
        <f>"89770000"</f>
        <v>89770000</v>
      </c>
      <c r="U436" t="str">
        <f>"CENTRO"</f>
        <v>CENTRO</v>
      </c>
      <c r="V436" t="str">
        <f>"SEARA"</f>
        <v>SEARA</v>
      </c>
      <c r="W436" t="str">
        <f t="shared" si="211"/>
        <v>SC</v>
      </c>
      <c r="X436" t="str">
        <f>"49"</f>
        <v>49</v>
      </c>
      <c r="Y436" t="str">
        <f>"34521701"</f>
        <v>34521701</v>
      </c>
      <c r="Z436" t="str">
        <f>""</f>
        <v/>
      </c>
      <c r="AA436" t="str">
        <f>""</f>
        <v/>
      </c>
      <c r="AB436" t="str">
        <f>""</f>
        <v/>
      </c>
      <c r="AC436" t="str">
        <f>""</f>
        <v/>
      </c>
      <c r="AD436" t="str">
        <f>""</f>
        <v/>
      </c>
      <c r="AE436" t="str">
        <f>""</f>
        <v/>
      </c>
      <c r="AF436" t="str">
        <f>""</f>
        <v/>
      </c>
      <c r="AG436" t="str">
        <f>""</f>
        <v/>
      </c>
      <c r="AH436" t="str">
        <f>""</f>
        <v/>
      </c>
      <c r="AI436" t="str">
        <f>""</f>
        <v/>
      </c>
      <c r="AJ436" t="str">
        <f>""</f>
        <v/>
      </c>
      <c r="AK436" t="str">
        <f>""</f>
        <v/>
      </c>
      <c r="AL436" t="str">
        <f>""</f>
        <v/>
      </c>
      <c r="AM436" t="str">
        <f>""</f>
        <v/>
      </c>
      <c r="AN436" t="str">
        <f>""</f>
        <v/>
      </c>
      <c r="AO436" t="str">
        <f>""</f>
        <v/>
      </c>
      <c r="AP436" t="str">
        <f>""</f>
        <v/>
      </c>
      <c r="AQ436" t="str">
        <f>""</f>
        <v/>
      </c>
      <c r="AR436" t="str">
        <f>""</f>
        <v/>
      </c>
      <c r="AS436" t="str">
        <f>""</f>
        <v/>
      </c>
      <c r="AT436" t="str">
        <f>""</f>
        <v/>
      </c>
      <c r="AU436" t="str">
        <f>""</f>
        <v/>
      </c>
      <c r="AV436" t="str">
        <f>""</f>
        <v/>
      </c>
      <c r="AW436" t="str">
        <f>""</f>
        <v/>
      </c>
      <c r="AX436" t="str">
        <f>""</f>
        <v/>
      </c>
      <c r="AY436" t="str">
        <f>""</f>
        <v/>
      </c>
      <c r="AZ436" t="str">
        <f>""</f>
        <v/>
      </c>
      <c r="BA436" t="str">
        <f>""</f>
        <v/>
      </c>
      <c r="BB436" t="str">
        <f>"18/09/2020 22:12:34"</f>
        <v>18/09/2020 22:12:34</v>
      </c>
      <c r="BC436" t="str">
        <f>""</f>
        <v/>
      </c>
      <c r="BD436" t="str">
        <f>""</f>
        <v/>
      </c>
      <c r="BE436" t="str">
        <f>""</f>
        <v/>
      </c>
      <c r="BF436" t="str">
        <f t="shared" si="191"/>
        <v>A</v>
      </c>
      <c r="BG436" t="str">
        <f>""</f>
        <v/>
      </c>
      <c r="BH436" t="str">
        <f>""</f>
        <v/>
      </c>
      <c r="BI436" t="str">
        <f t="shared" si="214"/>
        <v>EVENTUAL</v>
      </c>
      <c r="BJ436" t="str">
        <f t="shared" si="192"/>
        <v>1</v>
      </c>
      <c r="BK436" t="str">
        <f t="shared" si="193"/>
        <v>Farmacia</v>
      </c>
      <c r="BL436" t="str">
        <f>""</f>
        <v/>
      </c>
      <c r="BM436" t="str">
        <f>"NÃO É VARILUX ESPECIALISTA"</f>
        <v>NÃO É VARILUX ESPECIALISTA</v>
      </c>
      <c r="BN436" t="str">
        <f t="shared" si="215"/>
        <v>NA</v>
      </c>
      <c r="BO436" t="str">
        <f>"OUTROS"</f>
        <v>OUTROS</v>
      </c>
      <c r="BP436" t="str">
        <f>""</f>
        <v/>
      </c>
      <c r="BQ436" t="str">
        <f>""</f>
        <v/>
      </c>
      <c r="BR436" t="str">
        <f>"18/09/2020"</f>
        <v>18/09/2020</v>
      </c>
      <c r="BS436" t="str">
        <f>""</f>
        <v/>
      </c>
      <c r="BT436" t="str">
        <f>""</f>
        <v/>
      </c>
      <c r="BU436" t="str">
        <f>""</f>
        <v/>
      </c>
      <c r="BV436" t="str">
        <f>"9"</f>
        <v>9</v>
      </c>
      <c r="BW436" t="str">
        <f>"107"</f>
        <v>107</v>
      </c>
    </row>
    <row r="437" spans="1:75" x14ac:dyDescent="0.35">
      <c r="A437">
        <v>138232</v>
      </c>
      <c r="B437" t="str">
        <f t="shared" si="184"/>
        <v>A</v>
      </c>
      <c r="C437" t="str">
        <f t="shared" si="185"/>
        <v>80</v>
      </c>
      <c r="D437" t="str">
        <f t="shared" si="186"/>
        <v>11121001</v>
      </c>
      <c r="E437" t="str">
        <f t="shared" si="187"/>
        <v>121001</v>
      </c>
      <c r="F437" t="str">
        <f t="shared" si="188"/>
        <v>JENIFER SANTOS</v>
      </c>
      <c r="G437" t="str">
        <f>"40617312000163"</f>
        <v>40617312000163</v>
      </c>
      <c r="H437" t="str">
        <f>"0"</f>
        <v>0</v>
      </c>
      <c r="I437" t="str">
        <f t="shared" si="190"/>
        <v>CONTA OPTICA</v>
      </c>
      <c r="J437" t="str">
        <f>"S&amp;L ACESSORIOS DE MODA LTDA"</f>
        <v>S&amp;L ACESSORIOS DE MODA LTDA</v>
      </c>
      <c r="K437" t="str">
        <f>"CHILLI BEANS AVENIDA (4284)"</f>
        <v>CHILLI BEANS AVENIDA (4284)</v>
      </c>
      <c r="L437" t="str">
        <f>""</f>
        <v/>
      </c>
      <c r="M437" t="str">
        <f>""</f>
        <v/>
      </c>
      <c r="N437" t="str">
        <f>"CHILLIBEANS@BELLEISALVADOR.COM.BR"</f>
        <v>CHILLIBEANS@BELLEISALVADOR.COM.BR</v>
      </c>
      <c r="O437" t="str">
        <f>""</f>
        <v/>
      </c>
      <c r="P437" t="str">
        <f>"AVENIDA GETULIO DORNELES VARGAS"</f>
        <v>AVENIDA GETULIO DORNELES VARGAS</v>
      </c>
      <c r="Q437" t="str">
        <f>"227"</f>
        <v>227</v>
      </c>
      <c r="R437" t="str">
        <f>"LETRA N SALA 10"</f>
        <v>LETRA N SALA 10</v>
      </c>
      <c r="S437" t="str">
        <f>"1287"</f>
        <v>1287</v>
      </c>
      <c r="T437" t="str">
        <f>"89802000"</f>
        <v>89802000</v>
      </c>
      <c r="U437" t="str">
        <f>"CENTRO"</f>
        <v>CENTRO</v>
      </c>
      <c r="V437" t="str">
        <f>"CHAPECÓ"</f>
        <v>CHAPECÓ</v>
      </c>
      <c r="W437" t="str">
        <f t="shared" si="211"/>
        <v>SC</v>
      </c>
      <c r="X437" t="str">
        <f>"49"</f>
        <v>49</v>
      </c>
      <c r="Y437" t="str">
        <f>"999169973"</f>
        <v>999169973</v>
      </c>
      <c r="Z437" t="str">
        <f>""</f>
        <v/>
      </c>
      <c r="AA437" t="str">
        <f>""</f>
        <v/>
      </c>
      <c r="AB437" t="str">
        <f>""</f>
        <v/>
      </c>
      <c r="AC437" t="str">
        <f>""</f>
        <v/>
      </c>
      <c r="AD437" t="str">
        <f>""</f>
        <v/>
      </c>
      <c r="AE437" t="str">
        <f>""</f>
        <v/>
      </c>
      <c r="AF437" t="str">
        <f>""</f>
        <v/>
      </c>
      <c r="AG437" t="str">
        <f>"S"</f>
        <v>S</v>
      </c>
      <c r="AH437" t="str">
        <f>""</f>
        <v/>
      </c>
      <c r="AI437" t="str">
        <f>""</f>
        <v/>
      </c>
      <c r="AJ437" t="str">
        <f>""</f>
        <v/>
      </c>
      <c r="AK437" t="str">
        <f>""</f>
        <v/>
      </c>
      <c r="AL437" t="str">
        <f>""</f>
        <v/>
      </c>
      <c r="AM437" t="str">
        <f>""</f>
        <v/>
      </c>
      <c r="AN437" t="str">
        <f>""</f>
        <v/>
      </c>
      <c r="AO437" t="str">
        <f>""</f>
        <v/>
      </c>
      <c r="AP437" t="str">
        <f>""</f>
        <v/>
      </c>
      <c r="AQ437" t="str">
        <f>"N"</f>
        <v>N</v>
      </c>
      <c r="AR437" t="str">
        <f>"N"</f>
        <v>N</v>
      </c>
      <c r="AS437" t="str">
        <f>"N"</f>
        <v>N</v>
      </c>
      <c r="AT437" t="str">
        <f>"N"</f>
        <v>N</v>
      </c>
      <c r="AU437" t="str">
        <f>"N"</f>
        <v>N</v>
      </c>
      <c r="AV437" t="str">
        <f>""</f>
        <v/>
      </c>
      <c r="AW437" t="str">
        <f>""</f>
        <v/>
      </c>
      <c r="AX437" t="str">
        <f>""</f>
        <v/>
      </c>
      <c r="AY437" t="str">
        <f>""</f>
        <v/>
      </c>
      <c r="AZ437" t="str">
        <f>""</f>
        <v/>
      </c>
      <c r="BA437" t="str">
        <f>""</f>
        <v/>
      </c>
      <c r="BB437" t="str">
        <f>"01/07/2021 13:53:04"</f>
        <v>01/07/2021 13:53:04</v>
      </c>
      <c r="BC437" t="str">
        <f>"21/02/2022 13:32:09"</f>
        <v>21/02/2022 13:32:09</v>
      </c>
      <c r="BD437" t="str">
        <f>""</f>
        <v/>
      </c>
      <c r="BE437" t="str">
        <f>""</f>
        <v/>
      </c>
      <c r="BF437" t="str">
        <f t="shared" si="191"/>
        <v>A</v>
      </c>
      <c r="BG437" t="str">
        <f>""</f>
        <v/>
      </c>
      <c r="BH437" t="str">
        <f t="shared" ref="BH437:BH442" si="216">"0,00"</f>
        <v>0,00</v>
      </c>
      <c r="BI437" t="str">
        <f t="shared" si="214"/>
        <v>EVENTUAL</v>
      </c>
      <c r="BJ437" t="str">
        <f t="shared" si="192"/>
        <v>1</v>
      </c>
      <c r="BK437" t="str">
        <f t="shared" si="193"/>
        <v>Farmacia</v>
      </c>
      <c r="BL437" t="str">
        <f>""</f>
        <v/>
      </c>
      <c r="BM437" t="str">
        <f>"NÃO É VARILUX ESPECIALISTA"</f>
        <v>NÃO É VARILUX ESPECIALISTA</v>
      </c>
      <c r="BN437" t="str">
        <f t="shared" si="215"/>
        <v>NA</v>
      </c>
      <c r="BO437" t="str">
        <f>"FOCO VARILUX"</f>
        <v>FOCO VARILUX</v>
      </c>
      <c r="BP437" t="str">
        <f>""</f>
        <v/>
      </c>
      <c r="BQ437" t="str">
        <f>""</f>
        <v/>
      </c>
      <c r="BR437" t="str">
        <f>"01/07/2021"</f>
        <v>01/07/2021</v>
      </c>
      <c r="BS437" t="str">
        <f>"21/02/2022"</f>
        <v>21/02/2022</v>
      </c>
      <c r="BT437" t="str">
        <f>""</f>
        <v/>
      </c>
      <c r="BU437" t="str">
        <f>""</f>
        <v/>
      </c>
      <c r="BV437" t="str">
        <f>""</f>
        <v/>
      </c>
      <c r="BW437" t="str">
        <f>"77"</f>
        <v>77</v>
      </c>
    </row>
    <row r="438" spans="1:75" x14ac:dyDescent="0.35">
      <c r="A438">
        <v>846</v>
      </c>
      <c r="B438" t="str">
        <f t="shared" si="184"/>
        <v>A</v>
      </c>
      <c r="C438" t="str">
        <f t="shared" si="185"/>
        <v>80</v>
      </c>
      <c r="D438" t="str">
        <f t="shared" si="186"/>
        <v>11121001</v>
      </c>
      <c r="E438" t="str">
        <f t="shared" si="187"/>
        <v>121001</v>
      </c>
      <c r="F438" t="str">
        <f t="shared" si="188"/>
        <v>JENIFER SANTOS</v>
      </c>
      <c r="G438" t="str">
        <f>"04313397000122"</f>
        <v>04313397000122</v>
      </c>
      <c r="H438" t="str">
        <f>""</f>
        <v/>
      </c>
      <c r="I438" t="str">
        <f t="shared" si="190"/>
        <v>CONTA OPTICA</v>
      </c>
      <c r="J438" t="str">
        <f>"S.M.S. OTICA LTDA ME"</f>
        <v>S.M.S. OTICA LTDA ME</v>
      </c>
      <c r="K438" t="str">
        <f>"OTICAS BEATRIZ (244)"</f>
        <v>OTICAS BEATRIZ (244)</v>
      </c>
      <c r="L438" t="str">
        <f>""</f>
        <v/>
      </c>
      <c r="M438" t="str">
        <f>""</f>
        <v/>
      </c>
      <c r="N438" t="str">
        <f>"simonesantossc@gmail.com"</f>
        <v>simonesantossc@gmail.com</v>
      </c>
      <c r="O438" t="str">
        <f>""</f>
        <v/>
      </c>
      <c r="P438" t="str">
        <f>"AVENIDA AMANDIO CABRAL"</f>
        <v>AVENIDA AMANDIO CABRAL</v>
      </c>
      <c r="Q438" t="str">
        <f>"1147"</f>
        <v>1147</v>
      </c>
      <c r="R438" t="str">
        <f>""</f>
        <v/>
      </c>
      <c r="S438" t="str">
        <f>"1280"</f>
        <v>1280</v>
      </c>
      <c r="T438" t="str">
        <f>"89247000"</f>
        <v>89247000</v>
      </c>
      <c r="U438" t="str">
        <f>"NAO INFORMADO"</f>
        <v>NAO INFORMADO</v>
      </c>
      <c r="V438" t="str">
        <f>"BALNEÁRIO BARRA DO SUL"</f>
        <v>BALNEÁRIO BARRA DO SUL</v>
      </c>
      <c r="W438" t="str">
        <f t="shared" si="211"/>
        <v>SC</v>
      </c>
      <c r="X438" t="str">
        <f>"47"</f>
        <v>47</v>
      </c>
      <c r="Y438" t="str">
        <f>"34482271"</f>
        <v>34482271</v>
      </c>
      <c r="Z438" t="str">
        <f>""</f>
        <v/>
      </c>
      <c r="AA438" t="str">
        <f>""</f>
        <v/>
      </c>
      <c r="AB438" t="str">
        <f>""</f>
        <v/>
      </c>
      <c r="AC438" t="str">
        <f>""</f>
        <v/>
      </c>
      <c r="AD438" t="str">
        <f>""</f>
        <v/>
      </c>
      <c r="AE438" t="str">
        <f>""</f>
        <v/>
      </c>
      <c r="AF438" t="str">
        <f>""</f>
        <v/>
      </c>
      <c r="AG438" t="str">
        <f>""</f>
        <v/>
      </c>
      <c r="AH438" t="str">
        <f>""</f>
        <v/>
      </c>
      <c r="AI438" t="str">
        <f>""</f>
        <v/>
      </c>
      <c r="AJ438" t="str">
        <f t="shared" ref="AJ438:AL439" si="217">"0"</f>
        <v>0</v>
      </c>
      <c r="AK438" t="str">
        <f t="shared" si="217"/>
        <v>0</v>
      </c>
      <c r="AL438" t="str">
        <f t="shared" si="217"/>
        <v>0</v>
      </c>
      <c r="AM438" t="str">
        <f>""</f>
        <v/>
      </c>
      <c r="AN438" t="str">
        <f>""</f>
        <v/>
      </c>
      <c r="AO438" t="str">
        <f>""</f>
        <v/>
      </c>
      <c r="AP438" t="str">
        <f>""</f>
        <v/>
      </c>
      <c r="AQ438" t="str">
        <f>""</f>
        <v/>
      </c>
      <c r="AR438" t="str">
        <f>""</f>
        <v/>
      </c>
      <c r="AS438" t="str">
        <f>""</f>
        <v/>
      </c>
      <c r="AT438" t="str">
        <f>""</f>
        <v/>
      </c>
      <c r="AU438" t="str">
        <f>""</f>
        <v/>
      </c>
      <c r="AV438" t="str">
        <f>""</f>
        <v/>
      </c>
      <c r="AW438" t="str">
        <f>""</f>
        <v/>
      </c>
      <c r="AX438" t="str">
        <f>""</f>
        <v/>
      </c>
      <c r="AY438" t="str">
        <f>""</f>
        <v/>
      </c>
      <c r="AZ438" t="str">
        <f>""</f>
        <v/>
      </c>
      <c r="BA438" t="str">
        <f>""</f>
        <v/>
      </c>
      <c r="BB438" t="str">
        <f>"27/07/2018 09:25:52"</f>
        <v>27/07/2018 09:25:52</v>
      </c>
      <c r="BC438" t="str">
        <f>""</f>
        <v/>
      </c>
      <c r="BD438" t="str">
        <f>""</f>
        <v/>
      </c>
      <c r="BE438" t="str">
        <f>"846"</f>
        <v>846</v>
      </c>
      <c r="BF438" t="str">
        <f t="shared" si="191"/>
        <v>A</v>
      </c>
      <c r="BG438" t="str">
        <f>"0,00"</f>
        <v>0,00</v>
      </c>
      <c r="BH438" t="str">
        <f t="shared" si="216"/>
        <v>0,00</v>
      </c>
      <c r="BI438" t="str">
        <f t="shared" si="214"/>
        <v>EVENTUAL</v>
      </c>
      <c r="BJ438" t="str">
        <f t="shared" si="192"/>
        <v>1</v>
      </c>
      <c r="BK438" t="str">
        <f t="shared" si="193"/>
        <v>Farmacia</v>
      </c>
      <c r="BL438" t="str">
        <f>""</f>
        <v/>
      </c>
      <c r="BM438" t="str">
        <f>"NÃO É VARILUX ESPECIALISTA"</f>
        <v>NÃO É VARILUX ESPECIALISTA</v>
      </c>
      <c r="BN438" t="str">
        <f t="shared" si="215"/>
        <v>NA</v>
      </c>
      <c r="BO438" t="str">
        <f>"OUTROS"</f>
        <v>OUTROS</v>
      </c>
      <c r="BP438" t="str">
        <f>""</f>
        <v/>
      </c>
      <c r="BQ438" t="str">
        <f>""</f>
        <v/>
      </c>
      <c r="BR438" t="str">
        <f>"27/07/2018"</f>
        <v>27/07/2018</v>
      </c>
      <c r="BS438" t="str">
        <f>""</f>
        <v/>
      </c>
      <c r="BT438" t="str">
        <f>""</f>
        <v/>
      </c>
      <c r="BU438" t="str">
        <f>""</f>
        <v/>
      </c>
      <c r="BV438" t="str">
        <f>"9"</f>
        <v>9</v>
      </c>
      <c r="BW438" t="str">
        <f>"Não visitado"</f>
        <v>Não visitado</v>
      </c>
    </row>
    <row r="439" spans="1:75" x14ac:dyDescent="0.35">
      <c r="A439">
        <v>120429</v>
      </c>
      <c r="B439" t="str">
        <f t="shared" si="184"/>
        <v>A</v>
      </c>
      <c r="C439" t="str">
        <f t="shared" si="185"/>
        <v>80</v>
      </c>
      <c r="D439" t="str">
        <f t="shared" si="186"/>
        <v>11121001</v>
      </c>
      <c r="E439" t="str">
        <f t="shared" si="187"/>
        <v>121001</v>
      </c>
      <c r="F439" t="str">
        <f t="shared" si="188"/>
        <v>JENIFER SANTOS</v>
      </c>
      <c r="G439" t="str">
        <f>"01506555000172"</f>
        <v>01506555000172</v>
      </c>
      <c r="H439" t="str">
        <f>"0"</f>
        <v>0</v>
      </c>
      <c r="I439" t="str">
        <f t="shared" si="190"/>
        <v>CONTA OPTICA</v>
      </c>
      <c r="J439" t="str">
        <f>"SADI ANTONIO GETELINA E IRMAO LTDA"</f>
        <v>SADI ANTONIO GETELINA E IRMAO LTDA</v>
      </c>
      <c r="K439" t="str">
        <f>"SADI ANTONIO GETELINA E IRMAO LTDA (778)"</f>
        <v>SADI ANTONIO GETELINA E IRMAO LTDA (778)</v>
      </c>
      <c r="L439" t="str">
        <f>""</f>
        <v/>
      </c>
      <c r="M439" t="str">
        <f>""</f>
        <v/>
      </c>
      <c r="N439" t="str">
        <f>"oticaamerica@hotmail.com"</f>
        <v>oticaamerica@hotmail.com</v>
      </c>
      <c r="O439" t="str">
        <f>""</f>
        <v/>
      </c>
      <c r="P439" t="str">
        <f>"RUA DO COMERCIO"</f>
        <v>RUA DO COMERCIO</v>
      </c>
      <c r="Q439" t="str">
        <f>"829"</f>
        <v>829</v>
      </c>
      <c r="R439" t="str">
        <f>""</f>
        <v/>
      </c>
      <c r="S439" t="str">
        <f>"1377"</f>
        <v>1377</v>
      </c>
      <c r="T439" t="str">
        <f>"98400000"</f>
        <v>98400000</v>
      </c>
      <c r="U439" t="str">
        <f>"CENTRO"</f>
        <v>CENTRO</v>
      </c>
      <c r="V439" t="str">
        <f>"FREDERICO WESTPHALEN"</f>
        <v>FREDERICO WESTPHALEN</v>
      </c>
      <c r="W439" t="str">
        <f>"RS"</f>
        <v>RS</v>
      </c>
      <c r="X439" t="str">
        <f>"55"</f>
        <v>55</v>
      </c>
      <c r="Y439" t="str">
        <f>"37444958"</f>
        <v>37444958</v>
      </c>
      <c r="Z439" t="str">
        <f>""</f>
        <v/>
      </c>
      <c r="AA439" t="str">
        <f>""</f>
        <v/>
      </c>
      <c r="AB439" t="str">
        <f>""</f>
        <v/>
      </c>
      <c r="AC439" t="str">
        <f>""</f>
        <v/>
      </c>
      <c r="AD439" t="str">
        <f>""</f>
        <v/>
      </c>
      <c r="AE439" t="str">
        <f>""</f>
        <v/>
      </c>
      <c r="AF439" t="str">
        <f>""</f>
        <v/>
      </c>
      <c r="AG439" t="str">
        <f>""</f>
        <v/>
      </c>
      <c r="AH439" t="str">
        <f>""</f>
        <v/>
      </c>
      <c r="AI439" t="str">
        <f>""</f>
        <v/>
      </c>
      <c r="AJ439" t="str">
        <f t="shared" si="217"/>
        <v>0</v>
      </c>
      <c r="AK439" t="str">
        <f t="shared" si="217"/>
        <v>0</v>
      </c>
      <c r="AL439" t="str">
        <f t="shared" si="217"/>
        <v>0</v>
      </c>
      <c r="AM439" t="str">
        <f>""</f>
        <v/>
      </c>
      <c r="AN439" t="str">
        <f>""</f>
        <v/>
      </c>
      <c r="AO439" t="str">
        <f>""</f>
        <v/>
      </c>
      <c r="AP439" t="str">
        <f>""</f>
        <v/>
      </c>
      <c r="AQ439" t="str">
        <f>""</f>
        <v/>
      </c>
      <c r="AR439" t="str">
        <f>""</f>
        <v/>
      </c>
      <c r="AS439" t="str">
        <f>""</f>
        <v/>
      </c>
      <c r="AT439" t="str">
        <f>""</f>
        <v/>
      </c>
      <c r="AU439" t="str">
        <f>""</f>
        <v/>
      </c>
      <c r="AV439" t="str">
        <f>""</f>
        <v/>
      </c>
      <c r="AW439" t="str">
        <f>""</f>
        <v/>
      </c>
      <c r="AX439" t="str">
        <f>""</f>
        <v/>
      </c>
      <c r="AY439" t="str">
        <f>""</f>
        <v/>
      </c>
      <c r="AZ439" t="str">
        <f>""</f>
        <v/>
      </c>
      <c r="BA439" t="str">
        <f>""</f>
        <v/>
      </c>
      <c r="BB439" t="str">
        <f>"18/09/2020 22:12:34"</f>
        <v>18/09/2020 22:12:34</v>
      </c>
      <c r="BC439" t="str">
        <f>""</f>
        <v/>
      </c>
      <c r="BD439" t="str">
        <f>""</f>
        <v/>
      </c>
      <c r="BE439" t="str">
        <f>""</f>
        <v/>
      </c>
      <c r="BF439" t="str">
        <f t="shared" si="191"/>
        <v>A</v>
      </c>
      <c r="BG439" t="str">
        <f>"0,00"</f>
        <v>0,00</v>
      </c>
      <c r="BH439" t="str">
        <f t="shared" si="216"/>
        <v>0,00</v>
      </c>
      <c r="BI439" t="str">
        <f t="shared" si="214"/>
        <v>EVENTUAL</v>
      </c>
      <c r="BJ439" t="str">
        <f t="shared" si="192"/>
        <v>1</v>
      </c>
      <c r="BK439" t="str">
        <f t="shared" si="193"/>
        <v>Farmacia</v>
      </c>
      <c r="BL439" t="str">
        <f>""</f>
        <v/>
      </c>
      <c r="BM439" t="str">
        <f>"VARILUX ESPECIALISTA PLATINE"</f>
        <v>VARILUX ESPECIALISTA PLATINE</v>
      </c>
      <c r="BN439" t="str">
        <f t="shared" si="215"/>
        <v>NA</v>
      </c>
      <c r="BO439" t="str">
        <f>"FOCO VARILUX DIGITAL"</f>
        <v>FOCO VARILUX DIGITAL</v>
      </c>
      <c r="BP439" t="str">
        <f>""</f>
        <v/>
      </c>
      <c r="BQ439" t="str">
        <f>""</f>
        <v/>
      </c>
      <c r="BR439" t="str">
        <f>"18/09/2020"</f>
        <v>18/09/2020</v>
      </c>
      <c r="BS439" t="str">
        <f>""</f>
        <v/>
      </c>
      <c r="BT439" t="str">
        <f>""</f>
        <v/>
      </c>
      <c r="BU439" t="str">
        <f>""</f>
        <v/>
      </c>
      <c r="BV439" t="str">
        <f>"9"</f>
        <v>9</v>
      </c>
      <c r="BW439" t="str">
        <f>"0"</f>
        <v>0</v>
      </c>
    </row>
    <row r="440" spans="1:75" x14ac:dyDescent="0.35">
      <c r="A440">
        <v>138237</v>
      </c>
      <c r="B440" t="str">
        <f t="shared" si="184"/>
        <v>A</v>
      </c>
      <c r="C440" t="str">
        <f t="shared" si="185"/>
        <v>80</v>
      </c>
      <c r="D440" t="str">
        <f t="shared" si="186"/>
        <v>11121001</v>
      </c>
      <c r="E440" t="str">
        <f t="shared" si="187"/>
        <v>121001</v>
      </c>
      <c r="F440" t="str">
        <f t="shared" si="188"/>
        <v>JENIFER SANTOS</v>
      </c>
      <c r="G440" t="str">
        <f>"79449591000481"</f>
        <v>79449591000481</v>
      </c>
      <c r="H440" t="str">
        <f>"0"</f>
        <v>0</v>
      </c>
      <c r="I440" t="str">
        <f t="shared" si="190"/>
        <v>CONTA OPTICA</v>
      </c>
      <c r="J440" t="str">
        <f>"SCHMIDT DA SILVEIRA E CIA LTDA"</f>
        <v>SCHMIDT DA SILVEIRA E CIA LTDA</v>
      </c>
      <c r="K440" t="str">
        <f>"RELOOTICA SAO JOSE (1343)"</f>
        <v>RELOOTICA SAO JOSE (1343)</v>
      </c>
      <c r="L440" t="str">
        <f>""</f>
        <v/>
      </c>
      <c r="M440" t="str">
        <f>""</f>
        <v/>
      </c>
      <c r="N440" t="str">
        <f>"financeiro35330101@gmail.com"</f>
        <v>financeiro35330101@gmail.com</v>
      </c>
      <c r="O440" t="str">
        <f>""</f>
        <v/>
      </c>
      <c r="P440" t="str">
        <f>"RUA XV DE NOVEMBRO"</f>
        <v>RUA XV DE NOVEMBRO</v>
      </c>
      <c r="Q440" t="str">
        <f>"328"</f>
        <v>328</v>
      </c>
      <c r="R440" t="str">
        <f>""</f>
        <v/>
      </c>
      <c r="S440" t="str">
        <f>""</f>
        <v/>
      </c>
      <c r="T440" t="str">
        <f>"89560196"</f>
        <v>89560196</v>
      </c>
      <c r="U440" t="str">
        <f>"CENTRO"</f>
        <v>CENTRO</v>
      </c>
      <c r="V440" t="str">
        <f>"VIDEIRA"</f>
        <v>VIDEIRA</v>
      </c>
      <c r="W440" t="str">
        <f t="shared" ref="W440:W451" si="218">"SC"</f>
        <v>SC</v>
      </c>
      <c r="X440" t="str">
        <f>"49"</f>
        <v>49</v>
      </c>
      <c r="Y440" t="str">
        <f>"35330101"</f>
        <v>35330101</v>
      </c>
      <c r="Z440" t="str">
        <f>""</f>
        <v/>
      </c>
      <c r="AA440" t="str">
        <f>""</f>
        <v/>
      </c>
      <c r="AB440" t="str">
        <f>""</f>
        <v/>
      </c>
      <c r="AC440" t="str">
        <f>""</f>
        <v/>
      </c>
      <c r="AD440" t="str">
        <f>""</f>
        <v/>
      </c>
      <c r="AE440" t="str">
        <f>""</f>
        <v/>
      </c>
      <c r="AF440" t="str">
        <f>""</f>
        <v/>
      </c>
      <c r="AG440" t="str">
        <f>"S"</f>
        <v>S</v>
      </c>
      <c r="AH440" t="str">
        <f>""</f>
        <v/>
      </c>
      <c r="AI440" t="str">
        <f>""</f>
        <v/>
      </c>
      <c r="AJ440" t="str">
        <f>""</f>
        <v/>
      </c>
      <c r="AK440" t="str">
        <f>""</f>
        <v/>
      </c>
      <c r="AL440" t="str">
        <f>""</f>
        <v/>
      </c>
      <c r="AM440" t="str">
        <f>""</f>
        <v/>
      </c>
      <c r="AN440" t="str">
        <f>""</f>
        <v/>
      </c>
      <c r="AO440" t="str">
        <f>""</f>
        <v/>
      </c>
      <c r="AP440" t="str">
        <f>""</f>
        <v/>
      </c>
      <c r="AQ440" t="str">
        <f>"N"</f>
        <v>N</v>
      </c>
      <c r="AR440" t="str">
        <f>"N"</f>
        <v>N</v>
      </c>
      <c r="AS440" t="str">
        <f>"N"</f>
        <v>N</v>
      </c>
      <c r="AT440" t="str">
        <f>"N"</f>
        <v>N</v>
      </c>
      <c r="AU440" t="str">
        <f>"N"</f>
        <v>N</v>
      </c>
      <c r="AV440" t="str">
        <f>""</f>
        <v/>
      </c>
      <c r="AW440" t="str">
        <f>""</f>
        <v/>
      </c>
      <c r="AX440" t="str">
        <f>""</f>
        <v/>
      </c>
      <c r="AY440" t="str">
        <f>""</f>
        <v/>
      </c>
      <c r="AZ440" t="str">
        <f>""</f>
        <v/>
      </c>
      <c r="BA440" t="str">
        <f>""</f>
        <v/>
      </c>
      <c r="BB440" t="str">
        <f>"01/07/2021 13:53:04"</f>
        <v>01/07/2021 13:53:04</v>
      </c>
      <c r="BC440" t="str">
        <f>"13/06/2022 10:04:22"</f>
        <v>13/06/2022 10:04:22</v>
      </c>
      <c r="BD440" t="str">
        <f>""</f>
        <v/>
      </c>
      <c r="BE440" t="str">
        <f>""</f>
        <v/>
      </c>
      <c r="BF440" t="str">
        <f t="shared" si="191"/>
        <v>A</v>
      </c>
      <c r="BG440" t="str">
        <f>""</f>
        <v/>
      </c>
      <c r="BH440" t="str">
        <f t="shared" si="216"/>
        <v>0,00</v>
      </c>
      <c r="BI440" t="str">
        <f t="shared" si="214"/>
        <v>EVENTUAL</v>
      </c>
      <c r="BJ440" t="str">
        <f t="shared" si="192"/>
        <v>1</v>
      </c>
      <c r="BK440" t="str">
        <f t="shared" si="193"/>
        <v>Farmacia</v>
      </c>
      <c r="BL440" t="str">
        <f>""</f>
        <v/>
      </c>
      <c r="BM440" t="str">
        <f>"VARILUX ESPECIALISTA PLATINE"</f>
        <v>VARILUX ESPECIALISTA PLATINE</v>
      </c>
      <c r="BN440" t="str">
        <f t="shared" si="215"/>
        <v>NA</v>
      </c>
      <c r="BO440" t="str">
        <f>"FOCO VARILUX DIGITAL"</f>
        <v>FOCO VARILUX DIGITAL</v>
      </c>
      <c r="BP440" t="str">
        <f>""</f>
        <v/>
      </c>
      <c r="BQ440" t="str">
        <f>""</f>
        <v/>
      </c>
      <c r="BR440" t="str">
        <f>"01/07/2021"</f>
        <v>01/07/2021</v>
      </c>
      <c r="BS440" t="str">
        <f>"13/06/2022"</f>
        <v>13/06/2022</v>
      </c>
      <c r="BT440" t="str">
        <f>""</f>
        <v/>
      </c>
      <c r="BU440" t="str">
        <f>""</f>
        <v/>
      </c>
      <c r="BV440" t="str">
        <f>""</f>
        <v/>
      </c>
      <c r="BW440" t="str">
        <f>"80"</f>
        <v>80</v>
      </c>
    </row>
    <row r="441" spans="1:75" x14ac:dyDescent="0.35">
      <c r="A441">
        <v>144522</v>
      </c>
      <c r="B441" t="str">
        <f t="shared" si="184"/>
        <v>A</v>
      </c>
      <c r="C441" t="str">
        <f t="shared" si="185"/>
        <v>80</v>
      </c>
      <c r="D441" t="str">
        <f t="shared" si="186"/>
        <v>11121001</v>
      </c>
      <c r="E441" t="str">
        <f t="shared" si="187"/>
        <v>121001</v>
      </c>
      <c r="F441" t="str">
        <f t="shared" si="188"/>
        <v>JENIFER SANTOS</v>
      </c>
      <c r="G441" t="str">
        <f>"17082290000243"</f>
        <v>17082290000243</v>
      </c>
      <c r="H441" t="str">
        <f>""</f>
        <v/>
      </c>
      <c r="I441" t="str">
        <f t="shared" si="190"/>
        <v>CONTA OPTICA</v>
      </c>
      <c r="J441" t="str">
        <f>"SEIFERT OPTICA EIRELI"</f>
        <v>SEIFERT OPTICA EIRELI</v>
      </c>
      <c r="K441" t="str">
        <f>"SEIFERT OPTICA (4057)"</f>
        <v>SEIFERT OPTICA (4057)</v>
      </c>
      <c r="L441" t="str">
        <f>""</f>
        <v/>
      </c>
      <c r="M441" t="str">
        <f>""</f>
        <v/>
      </c>
      <c r="N441" t="str">
        <f>"assistencia@seifert.com.br"</f>
        <v>assistencia@seifert.com.br</v>
      </c>
      <c r="O441" t="str">
        <f>""</f>
        <v/>
      </c>
      <c r="P441" t="str">
        <f>"RUA ANGELO RUBINI"</f>
        <v>RUA ANGELO RUBINI</v>
      </c>
      <c r="Q441" t="str">
        <f>"914"</f>
        <v>914</v>
      </c>
      <c r="R441" t="str">
        <f>"SALA 02"</f>
        <v>SALA 02</v>
      </c>
      <c r="S441" t="str">
        <f>"1280"</f>
        <v>1280</v>
      </c>
      <c r="T441" t="str">
        <f>"89260155"</f>
        <v>89260155</v>
      </c>
      <c r="U441" t="str">
        <f>"BARRA DO RIO CERRO"</f>
        <v>BARRA DO RIO CERRO</v>
      </c>
      <c r="V441" t="str">
        <f>"JARAGUÁ DO SUL"</f>
        <v>JARAGUÁ DO SUL</v>
      </c>
      <c r="W441" t="str">
        <f t="shared" si="218"/>
        <v>SC</v>
      </c>
      <c r="X441" t="str">
        <f>"47"</f>
        <v>47</v>
      </c>
      <c r="Y441" t="str">
        <f>"33711911"</f>
        <v>33711911</v>
      </c>
      <c r="Z441" t="str">
        <f>""</f>
        <v/>
      </c>
      <c r="AA441" t="str">
        <f>""</f>
        <v/>
      </c>
      <c r="AB441" t="str">
        <f>""</f>
        <v/>
      </c>
      <c r="AC441" t="str">
        <f>""</f>
        <v/>
      </c>
      <c r="AD441" t="str">
        <f>""</f>
        <v/>
      </c>
      <c r="AE441" t="str">
        <f>""</f>
        <v/>
      </c>
      <c r="AF441" t="str">
        <f>""</f>
        <v/>
      </c>
      <c r="AG441" t="str">
        <f>""</f>
        <v/>
      </c>
      <c r="AH441" t="str">
        <f>""</f>
        <v/>
      </c>
      <c r="AI441" t="str">
        <f>""</f>
        <v/>
      </c>
      <c r="AJ441" t="str">
        <f t="shared" ref="AJ441:AL442" si="219">"0"</f>
        <v>0</v>
      </c>
      <c r="AK441" t="str">
        <f t="shared" si="219"/>
        <v>0</v>
      </c>
      <c r="AL441" t="str">
        <f t="shared" si="219"/>
        <v>0</v>
      </c>
      <c r="AM441" t="str">
        <f>""</f>
        <v/>
      </c>
      <c r="AN441" t="str">
        <f>""</f>
        <v/>
      </c>
      <c r="AO441" t="str">
        <f>""</f>
        <v/>
      </c>
      <c r="AP441" t="str">
        <f>""</f>
        <v/>
      </c>
      <c r="AQ441" t="str">
        <f>""</f>
        <v/>
      </c>
      <c r="AR441" t="str">
        <f>""</f>
        <v/>
      </c>
      <c r="AS441" t="str">
        <f>""</f>
        <v/>
      </c>
      <c r="AT441" t="str">
        <f>""</f>
        <v/>
      </c>
      <c r="AU441" t="str">
        <f>""</f>
        <v/>
      </c>
      <c r="AV441" t="str">
        <f>""</f>
        <v/>
      </c>
      <c r="AW441" t="str">
        <f>""</f>
        <v/>
      </c>
      <c r="AX441" t="str">
        <f>""</f>
        <v/>
      </c>
      <c r="AY441" t="str">
        <f>""</f>
        <v/>
      </c>
      <c r="AZ441" t="str">
        <f>""</f>
        <v/>
      </c>
      <c r="BA441" t="str">
        <f>""</f>
        <v/>
      </c>
      <c r="BB441" t="str">
        <f>""</f>
        <v/>
      </c>
      <c r="BC441" t="str">
        <f>""</f>
        <v/>
      </c>
      <c r="BD441" t="str">
        <f>""</f>
        <v/>
      </c>
      <c r="BE441" t="str">
        <f>""</f>
        <v/>
      </c>
      <c r="BF441" t="str">
        <f t="shared" si="191"/>
        <v>A</v>
      </c>
      <c r="BG441" t="str">
        <f>"0,00"</f>
        <v>0,00</v>
      </c>
      <c r="BH441" t="str">
        <f t="shared" si="216"/>
        <v>0,00</v>
      </c>
      <c r="BI441" t="str">
        <f t="shared" si="214"/>
        <v>EVENTUAL</v>
      </c>
      <c r="BJ441" t="str">
        <f t="shared" si="192"/>
        <v>1</v>
      </c>
      <c r="BK441" t="str">
        <f t="shared" si="193"/>
        <v>Farmacia</v>
      </c>
      <c r="BL441" t="str">
        <f>""</f>
        <v/>
      </c>
      <c r="BM441" t="str">
        <f>"NÃO É VARILUX ESPECIALISTA"</f>
        <v>NÃO É VARILUX ESPECIALISTA</v>
      </c>
      <c r="BN441" t="str">
        <f t="shared" si="215"/>
        <v>NA</v>
      </c>
      <c r="BO441" t="str">
        <f>"FOCO VARILUX"</f>
        <v>FOCO VARILUX</v>
      </c>
      <c r="BP441" t="str">
        <f>""</f>
        <v/>
      </c>
      <c r="BQ441" t="str">
        <f>""</f>
        <v/>
      </c>
      <c r="BR441" t="str">
        <f>""</f>
        <v/>
      </c>
      <c r="BS441" t="str">
        <f>""</f>
        <v/>
      </c>
      <c r="BT441" t="str">
        <f>""</f>
        <v/>
      </c>
      <c r="BU441" t="str">
        <f>""</f>
        <v/>
      </c>
      <c r="BV441" t="str">
        <f>"9"</f>
        <v>9</v>
      </c>
      <c r="BW441" t="str">
        <f>"18"</f>
        <v>18</v>
      </c>
    </row>
    <row r="442" spans="1:75" x14ac:dyDescent="0.35">
      <c r="A442">
        <v>144484</v>
      </c>
      <c r="B442" t="str">
        <f t="shared" si="184"/>
        <v>A</v>
      </c>
      <c r="C442" t="str">
        <f t="shared" si="185"/>
        <v>80</v>
      </c>
      <c r="D442" t="str">
        <f t="shared" si="186"/>
        <v>11121001</v>
      </c>
      <c r="E442" t="str">
        <f t="shared" si="187"/>
        <v>121001</v>
      </c>
      <c r="F442" t="str">
        <f t="shared" si="188"/>
        <v>JENIFER SANTOS</v>
      </c>
      <c r="G442" t="str">
        <f>"17082290000162"</f>
        <v>17082290000162</v>
      </c>
      <c r="H442" t="str">
        <f>""</f>
        <v/>
      </c>
      <c r="I442" t="str">
        <f t="shared" si="190"/>
        <v>CONTA OPTICA</v>
      </c>
      <c r="J442" t="str">
        <f>"SEIFERT OPTICA LTDA  ME"</f>
        <v>SEIFERT OPTICA LTDA  ME</v>
      </c>
      <c r="K442" t="str">
        <f>"SEIFERT OPTICA LTDA - ME (1979)"</f>
        <v>SEIFERT OPTICA LTDA - ME (1979)</v>
      </c>
      <c r="L442" t="str">
        <f>""</f>
        <v/>
      </c>
      <c r="M442" t="str">
        <f>""</f>
        <v/>
      </c>
      <c r="N442" t="str">
        <f>"financeiro@seifert.com.br"</f>
        <v>financeiro@seifert.com.br</v>
      </c>
      <c r="O442" t="str">
        <f>""</f>
        <v/>
      </c>
      <c r="P442" t="str">
        <f>"RUA MARECHAL DEODORO DA FONSECA"</f>
        <v>RUA MARECHAL DEODORO DA FONSECA</v>
      </c>
      <c r="Q442" t="str">
        <f>"226"</f>
        <v>226</v>
      </c>
      <c r="R442" t="str">
        <f>"SALA 02"</f>
        <v>SALA 02</v>
      </c>
      <c r="S442" t="str">
        <f>"1280"</f>
        <v>1280</v>
      </c>
      <c r="T442" t="str">
        <f>"89251700"</f>
        <v>89251700</v>
      </c>
      <c r="U442" t="str">
        <f>"CENTRO"</f>
        <v>CENTRO</v>
      </c>
      <c r="V442" t="str">
        <f>"JARAGUÁ DO SUL"</f>
        <v>JARAGUÁ DO SUL</v>
      </c>
      <c r="W442" t="str">
        <f t="shared" si="218"/>
        <v>SC</v>
      </c>
      <c r="X442" t="str">
        <f>"47"</f>
        <v>47</v>
      </c>
      <c r="Y442" t="str">
        <f>"30540066"</f>
        <v>30540066</v>
      </c>
      <c r="Z442" t="str">
        <f>""</f>
        <v/>
      </c>
      <c r="AA442" t="str">
        <f>""</f>
        <v/>
      </c>
      <c r="AB442" t="str">
        <f>""</f>
        <v/>
      </c>
      <c r="AC442" t="str">
        <f>""</f>
        <v/>
      </c>
      <c r="AD442" t="str">
        <f>""</f>
        <v/>
      </c>
      <c r="AE442" t="str">
        <f>""</f>
        <v/>
      </c>
      <c r="AF442" t="str">
        <f>""</f>
        <v/>
      </c>
      <c r="AG442" t="str">
        <f>""</f>
        <v/>
      </c>
      <c r="AH442" t="str">
        <f>""</f>
        <v/>
      </c>
      <c r="AI442" t="str">
        <f>""</f>
        <v/>
      </c>
      <c r="AJ442" t="str">
        <f t="shared" si="219"/>
        <v>0</v>
      </c>
      <c r="AK442" t="str">
        <f t="shared" si="219"/>
        <v>0</v>
      </c>
      <c r="AL442" t="str">
        <f t="shared" si="219"/>
        <v>0</v>
      </c>
      <c r="AM442" t="str">
        <f>""</f>
        <v/>
      </c>
      <c r="AN442" t="str">
        <f>""</f>
        <v/>
      </c>
      <c r="AO442" t="str">
        <f>""</f>
        <v/>
      </c>
      <c r="AP442" t="str">
        <f>""</f>
        <v/>
      </c>
      <c r="AQ442" t="str">
        <f>""</f>
        <v/>
      </c>
      <c r="AR442" t="str">
        <f>""</f>
        <v/>
      </c>
      <c r="AS442" t="str">
        <f>""</f>
        <v/>
      </c>
      <c r="AT442" t="str">
        <f>""</f>
        <v/>
      </c>
      <c r="AU442" t="str">
        <f>""</f>
        <v/>
      </c>
      <c r="AV442" t="str">
        <f>""</f>
        <v/>
      </c>
      <c r="AW442" t="str">
        <f>""</f>
        <v/>
      </c>
      <c r="AX442" t="str">
        <f>""</f>
        <v/>
      </c>
      <c r="AY442" t="str">
        <f>""</f>
        <v/>
      </c>
      <c r="AZ442" t="str">
        <f>""</f>
        <v/>
      </c>
      <c r="BA442" t="str">
        <f>""</f>
        <v/>
      </c>
      <c r="BB442" t="str">
        <f>""</f>
        <v/>
      </c>
      <c r="BC442" t="str">
        <f>""</f>
        <v/>
      </c>
      <c r="BD442" t="str">
        <f>""</f>
        <v/>
      </c>
      <c r="BE442" t="str">
        <f>""</f>
        <v/>
      </c>
      <c r="BF442" t="str">
        <f t="shared" si="191"/>
        <v>A</v>
      </c>
      <c r="BG442" t="str">
        <f>"0,00"</f>
        <v>0,00</v>
      </c>
      <c r="BH442" t="str">
        <f t="shared" si="216"/>
        <v>0,00</v>
      </c>
      <c r="BI442" t="str">
        <f t="shared" si="214"/>
        <v>EVENTUAL</v>
      </c>
      <c r="BJ442" t="str">
        <f t="shared" si="192"/>
        <v>1</v>
      </c>
      <c r="BK442" t="str">
        <f t="shared" si="193"/>
        <v>Farmacia</v>
      </c>
      <c r="BL442" t="str">
        <f>""</f>
        <v/>
      </c>
      <c r="BM442" t="str">
        <f>"NÃO É VARILUX ESPECIALISTA"</f>
        <v>NÃO É VARILUX ESPECIALISTA</v>
      </c>
      <c r="BN442" t="str">
        <f t="shared" si="215"/>
        <v>NA</v>
      </c>
      <c r="BO442" t="str">
        <f>"FOCO VARILUX DIGITAL"</f>
        <v>FOCO VARILUX DIGITAL</v>
      </c>
      <c r="BP442" t="str">
        <f>""</f>
        <v/>
      </c>
      <c r="BQ442" t="str">
        <f>""</f>
        <v/>
      </c>
      <c r="BR442" t="str">
        <f>""</f>
        <v/>
      </c>
      <c r="BS442" t="str">
        <f>""</f>
        <v/>
      </c>
      <c r="BT442" t="str">
        <f>""</f>
        <v/>
      </c>
      <c r="BU442" t="str">
        <f>""</f>
        <v/>
      </c>
      <c r="BV442" t="str">
        <f>"5"</f>
        <v>5</v>
      </c>
      <c r="BW442" t="str">
        <f>"18"</f>
        <v>18</v>
      </c>
    </row>
    <row r="443" spans="1:75" x14ac:dyDescent="0.35">
      <c r="A443">
        <v>157515</v>
      </c>
      <c r="B443" t="str">
        <f t="shared" si="184"/>
        <v>A</v>
      </c>
      <c r="C443" t="str">
        <f t="shared" si="185"/>
        <v>80</v>
      </c>
      <c r="D443" t="str">
        <f t="shared" si="186"/>
        <v>11121001</v>
      </c>
      <c r="E443" t="str">
        <f t="shared" si="187"/>
        <v>121001</v>
      </c>
      <c r="F443" t="str">
        <f t="shared" si="188"/>
        <v>JENIFER SANTOS</v>
      </c>
      <c r="G443" t="str">
        <f>"09449306000102"</f>
        <v>09449306000102</v>
      </c>
      <c r="H443" t="str">
        <f>"0"</f>
        <v>0</v>
      </c>
      <c r="I443" t="str">
        <f t="shared" si="190"/>
        <v>CONTA OPTICA</v>
      </c>
      <c r="J443" t="str">
        <f>"SETAPI TECN EM SIST DE SEGURANÇA ELETR LTDA"</f>
        <v>SETAPI TECN EM SIST DE SEGURANÇA ELETR LTDA</v>
      </c>
      <c r="K443" t="str">
        <f>"SETAPI TECN EM SIST DE SEGURANÇA ELETR LTDA (11434)"</f>
        <v>SETAPI TECN EM SIST DE SEGURANÇA ELETR LTDA (11434)</v>
      </c>
      <c r="L443" t="str">
        <f>""</f>
        <v/>
      </c>
      <c r="M443" t="str">
        <f>""</f>
        <v/>
      </c>
      <c r="N443" t="str">
        <f>""</f>
        <v/>
      </c>
      <c r="O443" t="str">
        <f>""</f>
        <v/>
      </c>
      <c r="P443" t="str">
        <f>"RUA CRISTO REDENTOR"</f>
        <v>RUA CRISTO REDENTOR</v>
      </c>
      <c r="Q443" t="str">
        <f>"699"</f>
        <v>699</v>
      </c>
      <c r="R443" t="str">
        <f>""</f>
        <v/>
      </c>
      <c r="S443" t="str">
        <f>"1287"</f>
        <v>1287</v>
      </c>
      <c r="T443" t="str">
        <f>"89803150"</f>
        <v>89803150</v>
      </c>
      <c r="U443" t="str">
        <f>"SAO CRISTOVAO"</f>
        <v>SAO CRISTOVAO</v>
      </c>
      <c r="V443" t="str">
        <f>"CHAPECO"</f>
        <v>CHAPECO</v>
      </c>
      <c r="W443" t="str">
        <f t="shared" si="218"/>
        <v>SC</v>
      </c>
      <c r="X443" t="str">
        <f>"49"</f>
        <v>49</v>
      </c>
      <c r="Y443" t="str">
        <f>"34445047"</f>
        <v>34445047</v>
      </c>
      <c r="Z443" t="str">
        <f>""</f>
        <v/>
      </c>
      <c r="AA443" t="str">
        <f>""</f>
        <v/>
      </c>
      <c r="AB443" t="str">
        <f>""</f>
        <v/>
      </c>
      <c r="AC443" t="str">
        <f>""</f>
        <v/>
      </c>
      <c r="AD443" t="str">
        <f>""</f>
        <v/>
      </c>
      <c r="AE443" t="str">
        <f>""</f>
        <v/>
      </c>
      <c r="AF443" t="str">
        <f>""</f>
        <v/>
      </c>
      <c r="AG443" t="str">
        <f>""</f>
        <v/>
      </c>
      <c r="AH443" t="str">
        <f>""</f>
        <v/>
      </c>
      <c r="AI443" t="str">
        <f>""</f>
        <v/>
      </c>
      <c r="AJ443" t="str">
        <f>""</f>
        <v/>
      </c>
      <c r="AK443" t="str">
        <f>""</f>
        <v/>
      </c>
      <c r="AL443" t="str">
        <f>""</f>
        <v/>
      </c>
      <c r="AM443" t="str">
        <f>""</f>
        <v/>
      </c>
      <c r="AN443" t="str">
        <f>""</f>
        <v/>
      </c>
      <c r="AO443" t="str">
        <f>""</f>
        <v/>
      </c>
      <c r="AP443" t="str">
        <f>""</f>
        <v/>
      </c>
      <c r="AQ443" t="str">
        <f>""</f>
        <v/>
      </c>
      <c r="AR443" t="str">
        <f>""</f>
        <v/>
      </c>
      <c r="AS443" t="str">
        <f>""</f>
        <v/>
      </c>
      <c r="AT443" t="str">
        <f>""</f>
        <v/>
      </c>
      <c r="AU443" t="str">
        <f>""</f>
        <v/>
      </c>
      <c r="AV443" t="str">
        <f>""</f>
        <v/>
      </c>
      <c r="AW443" t="str">
        <f>""</f>
        <v/>
      </c>
      <c r="AX443" t="str">
        <f>""</f>
        <v/>
      </c>
      <c r="AY443" t="str">
        <f>""</f>
        <v/>
      </c>
      <c r="AZ443" t="str">
        <f>""</f>
        <v/>
      </c>
      <c r="BA443" t="str">
        <f>""</f>
        <v/>
      </c>
      <c r="BB443" t="str">
        <f>"11/07/2023 02:14:29"</f>
        <v>11/07/2023 02:14:29</v>
      </c>
      <c r="BC443" t="str">
        <f>""</f>
        <v/>
      </c>
      <c r="BD443" t="str">
        <f>""</f>
        <v/>
      </c>
      <c r="BE443" t="str">
        <f>""</f>
        <v/>
      </c>
      <c r="BF443" t="str">
        <f t="shared" si="191"/>
        <v>A</v>
      </c>
      <c r="BG443" t="str">
        <f>""</f>
        <v/>
      </c>
      <c r="BH443" t="str">
        <f>""</f>
        <v/>
      </c>
      <c r="BI443" t="str">
        <f t="shared" si="214"/>
        <v>EVENTUAL</v>
      </c>
      <c r="BJ443" t="str">
        <f t="shared" si="192"/>
        <v>1</v>
      </c>
      <c r="BK443" t="str">
        <f t="shared" si="193"/>
        <v>Farmacia</v>
      </c>
      <c r="BL443" t="str">
        <f>""</f>
        <v/>
      </c>
      <c r="BM443" t="str">
        <f>""</f>
        <v/>
      </c>
      <c r="BN443" t="str">
        <f>""</f>
        <v/>
      </c>
      <c r="BO443" t="str">
        <f>""</f>
        <v/>
      </c>
      <c r="BP443" t="str">
        <f>""</f>
        <v/>
      </c>
      <c r="BQ443" t="str">
        <f>""</f>
        <v/>
      </c>
      <c r="BR443" t="str">
        <f>"11/07/2023"</f>
        <v>11/07/2023</v>
      </c>
      <c r="BS443" t="str">
        <f>""</f>
        <v/>
      </c>
      <c r="BT443" t="str">
        <f>""</f>
        <v/>
      </c>
      <c r="BU443" t="str">
        <f>""</f>
        <v/>
      </c>
      <c r="BV443" t="str">
        <f>""</f>
        <v/>
      </c>
      <c r="BW443" t="str">
        <f>"Não visitado"</f>
        <v>Não visitado</v>
      </c>
    </row>
    <row r="444" spans="1:75" x14ac:dyDescent="0.35">
      <c r="A444">
        <v>141567</v>
      </c>
      <c r="B444" t="str">
        <f t="shared" si="184"/>
        <v>A</v>
      </c>
      <c r="C444" t="str">
        <f t="shared" si="185"/>
        <v>80</v>
      </c>
      <c r="D444" t="str">
        <f t="shared" si="186"/>
        <v>11121001</v>
      </c>
      <c r="E444" t="str">
        <f t="shared" si="187"/>
        <v>121001</v>
      </c>
      <c r="F444" t="str">
        <f t="shared" si="188"/>
        <v>JENIFER SANTOS</v>
      </c>
      <c r="G444" t="str">
        <f>"42968848000159"</f>
        <v>42968848000159</v>
      </c>
      <c r="H444" t="str">
        <f>"0"</f>
        <v>0</v>
      </c>
      <c r="I444" t="str">
        <f t="shared" si="190"/>
        <v>CONTA OPTICA</v>
      </c>
      <c r="J444" t="str">
        <f>"SHAQUILLENTES E ARMACOES LTDA"</f>
        <v>SHAQUILLENTES E ARMACOES LTDA</v>
      </c>
      <c r="K444" t="str">
        <f>"OTICA CHILLI BEANS (4395)"</f>
        <v>OTICA CHILLI BEANS (4395)</v>
      </c>
      <c r="L444" t="str">
        <f>""</f>
        <v/>
      </c>
      <c r="M444" t="str">
        <f>""</f>
        <v/>
      </c>
      <c r="N444" t="str">
        <f>"PEDROBELLEIS@GMAIL.COM"</f>
        <v>PEDROBELLEIS@GMAIL.COM</v>
      </c>
      <c r="O444" t="str">
        <f>""</f>
        <v/>
      </c>
      <c r="P444" t="str">
        <f>"AVENIDA FERNANDO MACHADO"</f>
        <v>AVENIDA FERNANDO MACHADO</v>
      </c>
      <c r="Q444" t="str">
        <f>"4000"</f>
        <v>4000</v>
      </c>
      <c r="R444" t="str">
        <f>"LETRA D LOJA 22"</f>
        <v>LETRA D LOJA 22</v>
      </c>
      <c r="S444" t="str">
        <f>"1287"</f>
        <v>1287</v>
      </c>
      <c r="T444" t="str">
        <f>"89805203"</f>
        <v>89805203</v>
      </c>
      <c r="U444" t="str">
        <f>"LIDER"</f>
        <v>LIDER</v>
      </c>
      <c r="V444" t="str">
        <f>"CHAPECÓ"</f>
        <v>CHAPECÓ</v>
      </c>
      <c r="W444" t="str">
        <f t="shared" si="218"/>
        <v>SC</v>
      </c>
      <c r="X444" t="str">
        <f>"49"</f>
        <v>49</v>
      </c>
      <c r="Y444" t="str">
        <f>"33232717"</f>
        <v>33232717</v>
      </c>
      <c r="Z444" t="str">
        <f>""</f>
        <v/>
      </c>
      <c r="AA444" t="str">
        <f>""</f>
        <v/>
      </c>
      <c r="AB444" t="str">
        <f>""</f>
        <v/>
      </c>
      <c r="AC444" t="str">
        <f>""</f>
        <v/>
      </c>
      <c r="AD444" t="str">
        <f>""</f>
        <v/>
      </c>
      <c r="AE444" t="str">
        <f>""</f>
        <v/>
      </c>
      <c r="AF444" t="str">
        <f>""</f>
        <v/>
      </c>
      <c r="AG444" t="str">
        <f>"S"</f>
        <v>S</v>
      </c>
      <c r="AH444" t="str">
        <f>""</f>
        <v/>
      </c>
      <c r="AI444" t="str">
        <f>""</f>
        <v/>
      </c>
      <c r="AJ444" t="str">
        <f>""</f>
        <v/>
      </c>
      <c r="AK444" t="str">
        <f>""</f>
        <v/>
      </c>
      <c r="AL444" t="str">
        <f>""</f>
        <v/>
      </c>
      <c r="AM444" t="str">
        <f>""</f>
        <v/>
      </c>
      <c r="AN444" t="str">
        <f>""</f>
        <v/>
      </c>
      <c r="AO444" t="str">
        <f>""</f>
        <v/>
      </c>
      <c r="AP444" t="str">
        <f>""</f>
        <v/>
      </c>
      <c r="AQ444" t="str">
        <f>"N"</f>
        <v>N</v>
      </c>
      <c r="AR444" t="str">
        <f>"N"</f>
        <v>N</v>
      </c>
      <c r="AS444" t="str">
        <f>"N"</f>
        <v>N</v>
      </c>
      <c r="AT444" t="str">
        <f>"N"</f>
        <v>N</v>
      </c>
      <c r="AU444" t="str">
        <f>"N"</f>
        <v>N</v>
      </c>
      <c r="AV444" t="str">
        <f>""</f>
        <v/>
      </c>
      <c r="AW444" t="str">
        <f>""</f>
        <v/>
      </c>
      <c r="AX444" t="str">
        <f>""</f>
        <v/>
      </c>
      <c r="AY444" t="str">
        <f>""</f>
        <v/>
      </c>
      <c r="AZ444" t="str">
        <f>""</f>
        <v/>
      </c>
      <c r="BA444" t="str">
        <f>""</f>
        <v/>
      </c>
      <c r="BB444" t="str">
        <f>"11/10/2021 14:55:00"</f>
        <v>11/10/2021 14:55:00</v>
      </c>
      <c r="BC444" t="str">
        <f>"22/03/2022 17:00:32"</f>
        <v>22/03/2022 17:00:32</v>
      </c>
      <c r="BD444" t="str">
        <f>""</f>
        <v/>
      </c>
      <c r="BE444" t="str">
        <f>""</f>
        <v/>
      </c>
      <c r="BF444" t="str">
        <f t="shared" si="191"/>
        <v>A</v>
      </c>
      <c r="BG444" t="str">
        <f>""</f>
        <v/>
      </c>
      <c r="BH444" t="str">
        <f>"0,00"</f>
        <v>0,00</v>
      </c>
      <c r="BI444" t="str">
        <f t="shared" si="214"/>
        <v>EVENTUAL</v>
      </c>
      <c r="BJ444" t="str">
        <f t="shared" si="192"/>
        <v>1</v>
      </c>
      <c r="BK444" t="str">
        <f t="shared" si="193"/>
        <v>Farmacia</v>
      </c>
      <c r="BL444" t="str">
        <f>""</f>
        <v/>
      </c>
      <c r="BM444" t="str">
        <f>""</f>
        <v/>
      </c>
      <c r="BN444" t="str">
        <f>""</f>
        <v/>
      </c>
      <c r="BO444" t="str">
        <f>"FOCO VARILUX"</f>
        <v>FOCO VARILUX</v>
      </c>
      <c r="BP444" t="str">
        <f>""</f>
        <v/>
      </c>
      <c r="BQ444" t="str">
        <f>""</f>
        <v/>
      </c>
      <c r="BR444" t="str">
        <f>"11/10/2021"</f>
        <v>11/10/2021</v>
      </c>
      <c r="BS444" t="str">
        <f>"22/03/2022"</f>
        <v>22/03/2022</v>
      </c>
      <c r="BT444" t="str">
        <f>""</f>
        <v/>
      </c>
      <c r="BU444" t="str">
        <f>""</f>
        <v/>
      </c>
      <c r="BV444" t="str">
        <f>""</f>
        <v/>
      </c>
      <c r="BW444" t="str">
        <f>"77"</f>
        <v>77</v>
      </c>
    </row>
    <row r="445" spans="1:75" x14ac:dyDescent="0.35">
      <c r="A445">
        <v>787</v>
      </c>
      <c r="B445" t="str">
        <f t="shared" si="184"/>
        <v>A</v>
      </c>
      <c r="C445" t="str">
        <f t="shared" si="185"/>
        <v>80</v>
      </c>
      <c r="D445" t="str">
        <f t="shared" si="186"/>
        <v>11121001</v>
      </c>
      <c r="E445" t="str">
        <f t="shared" si="187"/>
        <v>121001</v>
      </c>
      <c r="F445" t="str">
        <f t="shared" si="188"/>
        <v>JENIFER SANTOS</v>
      </c>
      <c r="G445" t="str">
        <f>"01709839000166"</f>
        <v>01709839000166</v>
      </c>
      <c r="H445" t="str">
        <f>""</f>
        <v/>
      </c>
      <c r="I445" t="str">
        <f t="shared" si="190"/>
        <v>CONTA OPTICA</v>
      </c>
      <c r="J445" t="str">
        <f>"SIDY JOIAS E RELOGIOS LTDA ME"</f>
        <v>SIDY JOIAS E RELOGIOS LTDA ME</v>
      </c>
      <c r="K445" t="str">
        <f>"SIDY JOIAS E RELOGIOS (1389)"</f>
        <v>SIDY JOIAS E RELOGIOS (1389)</v>
      </c>
      <c r="L445" t="str">
        <f>""</f>
        <v/>
      </c>
      <c r="M445" t="str">
        <f>""</f>
        <v/>
      </c>
      <c r="N445" t="str">
        <f>"contato@sidyrelojoariaeotica.com.br"</f>
        <v>contato@sidyrelojoariaeotica.com.br</v>
      </c>
      <c r="O445" t="str">
        <f>""</f>
        <v/>
      </c>
      <c r="P445" t="str">
        <f>"RUA GETULIO VARGAS"</f>
        <v>RUA GETULIO VARGAS</v>
      </c>
      <c r="Q445" t="str">
        <f>"594"</f>
        <v>594</v>
      </c>
      <c r="R445" t="str">
        <f>""</f>
        <v/>
      </c>
      <c r="S445" t="str">
        <f>"1277"</f>
        <v>1277</v>
      </c>
      <c r="T445" t="str">
        <f>"89202000"</f>
        <v>89202000</v>
      </c>
      <c r="U445" t="str">
        <f>"ANITA GARIBALDI"</f>
        <v>ANITA GARIBALDI</v>
      </c>
      <c r="V445" t="str">
        <f>"JOINVILLE"</f>
        <v>JOINVILLE</v>
      </c>
      <c r="W445" t="str">
        <f t="shared" si="218"/>
        <v>SC</v>
      </c>
      <c r="X445" t="str">
        <f>"47"</f>
        <v>47</v>
      </c>
      <c r="Y445" t="str">
        <f>"30256592"</f>
        <v>30256592</v>
      </c>
      <c r="Z445" t="str">
        <f>""</f>
        <v/>
      </c>
      <c r="AA445" t="str">
        <f>""</f>
        <v/>
      </c>
      <c r="AB445" t="str">
        <f>""</f>
        <v/>
      </c>
      <c r="AC445" t="str">
        <f>""</f>
        <v/>
      </c>
      <c r="AD445" t="str">
        <f>""</f>
        <v/>
      </c>
      <c r="AE445" t="str">
        <f>""</f>
        <v/>
      </c>
      <c r="AF445" t="str">
        <f>""</f>
        <v/>
      </c>
      <c r="AG445" t="str">
        <f>""</f>
        <v/>
      </c>
      <c r="AH445" t="str">
        <f>""</f>
        <v/>
      </c>
      <c r="AI445" t="str">
        <f>""</f>
        <v/>
      </c>
      <c r="AJ445" t="str">
        <f>"0"</f>
        <v>0</v>
      </c>
      <c r="AK445" t="str">
        <f>"0"</f>
        <v>0</v>
      </c>
      <c r="AL445" t="str">
        <f>"0"</f>
        <v>0</v>
      </c>
      <c r="AM445" t="str">
        <f>""</f>
        <v/>
      </c>
      <c r="AN445" t="str">
        <f>""</f>
        <v/>
      </c>
      <c r="AO445" t="str">
        <f>""</f>
        <v/>
      </c>
      <c r="AP445" t="str">
        <f>""</f>
        <v/>
      </c>
      <c r="AQ445" t="str">
        <f>""</f>
        <v/>
      </c>
      <c r="AR445" t="str">
        <f>""</f>
        <v/>
      </c>
      <c r="AS445" t="str">
        <f>""</f>
        <v/>
      </c>
      <c r="AT445" t="str">
        <f>""</f>
        <v/>
      </c>
      <c r="AU445" t="str">
        <f>""</f>
        <v/>
      </c>
      <c r="AV445" t="str">
        <f>""</f>
        <v/>
      </c>
      <c r="AW445" t="str">
        <f>""</f>
        <v/>
      </c>
      <c r="AX445" t="str">
        <f>""</f>
        <v/>
      </c>
      <c r="AY445" t="str">
        <f>""</f>
        <v/>
      </c>
      <c r="AZ445" t="str">
        <f>""</f>
        <v/>
      </c>
      <c r="BA445" t="str">
        <f>""</f>
        <v/>
      </c>
      <c r="BB445" t="str">
        <f>"27/07/2018 09:25:51"</f>
        <v>27/07/2018 09:25:51</v>
      </c>
      <c r="BC445" t="str">
        <f>""</f>
        <v/>
      </c>
      <c r="BD445" t="str">
        <f>""</f>
        <v/>
      </c>
      <c r="BE445" t="str">
        <f>"787"</f>
        <v>787</v>
      </c>
      <c r="BF445" t="str">
        <f t="shared" si="191"/>
        <v>A</v>
      </c>
      <c r="BG445" t="str">
        <f>"0,00"</f>
        <v>0,00</v>
      </c>
      <c r="BH445" t="str">
        <f>"0,00"</f>
        <v>0,00</v>
      </c>
      <c r="BI445" t="str">
        <f t="shared" si="214"/>
        <v>EVENTUAL</v>
      </c>
      <c r="BJ445" t="str">
        <f t="shared" si="192"/>
        <v>1</v>
      </c>
      <c r="BK445" t="str">
        <f t="shared" si="193"/>
        <v>Farmacia</v>
      </c>
      <c r="BL445" t="str">
        <f>""</f>
        <v/>
      </c>
      <c r="BM445" t="str">
        <f>"VARILUX ESPECIALISTA SELECT"</f>
        <v>VARILUX ESPECIALISTA SELECT</v>
      </c>
      <c r="BN445" t="str">
        <f t="shared" ref="BN445:BN451" si="220">"NA"</f>
        <v>NA</v>
      </c>
      <c r="BO445" t="str">
        <f>"FOCO VARILUX"</f>
        <v>FOCO VARILUX</v>
      </c>
      <c r="BP445" t="str">
        <f>""</f>
        <v/>
      </c>
      <c r="BQ445" t="str">
        <f>""</f>
        <v/>
      </c>
      <c r="BR445" t="str">
        <f>"27/07/2018"</f>
        <v>27/07/2018</v>
      </c>
      <c r="BS445" t="str">
        <f>""</f>
        <v/>
      </c>
      <c r="BT445" t="str">
        <f>""</f>
        <v/>
      </c>
      <c r="BU445" t="str">
        <f>""</f>
        <v/>
      </c>
      <c r="BV445" t="str">
        <f>"5"</f>
        <v>5</v>
      </c>
      <c r="BW445" t="str">
        <f>"Não visitado"</f>
        <v>Não visitado</v>
      </c>
    </row>
    <row r="446" spans="1:75" x14ac:dyDescent="0.35">
      <c r="A446">
        <v>127545</v>
      </c>
      <c r="B446" t="str">
        <f t="shared" si="184"/>
        <v>A</v>
      </c>
      <c r="C446" t="str">
        <f t="shared" si="185"/>
        <v>80</v>
      </c>
      <c r="D446" t="str">
        <f t="shared" si="186"/>
        <v>11121001</v>
      </c>
      <c r="E446" t="str">
        <f t="shared" si="187"/>
        <v>121001</v>
      </c>
      <c r="F446" t="str">
        <f t="shared" si="188"/>
        <v>JENIFER SANTOS</v>
      </c>
      <c r="G446" t="str">
        <f>"00624169000112"</f>
        <v>00624169000112</v>
      </c>
      <c r="H446" t="str">
        <f>"0"</f>
        <v>0</v>
      </c>
      <c r="I446" t="str">
        <f t="shared" si="190"/>
        <v>CONTA OPTICA</v>
      </c>
      <c r="J446" t="str">
        <f>"SILVANDRO DO ROSARIO ME"</f>
        <v>SILVANDRO DO ROSARIO ME</v>
      </c>
      <c r="K446" t="str">
        <f>"RELOJOARIA E OTICA SILVANDRO (2081)"</f>
        <v>RELOJOARIA E OTICA SILVANDRO (2081)</v>
      </c>
      <c r="L446" t="str">
        <f>""</f>
        <v/>
      </c>
      <c r="M446" t="str">
        <f>""</f>
        <v/>
      </c>
      <c r="N446" t="str">
        <f>"silvandro_relojoariaeotica@hotmail.com"</f>
        <v>silvandro_relojoariaeotica@hotmail.com</v>
      </c>
      <c r="O446" t="str">
        <f>""</f>
        <v/>
      </c>
      <c r="P446" t="str">
        <f>"RUA DOUTOR NORBERTO BACHMANN"</f>
        <v>RUA DOUTOR NORBERTO BACHMANN</v>
      </c>
      <c r="Q446" t="str">
        <f>"134"</f>
        <v>134</v>
      </c>
      <c r="R446" t="str">
        <f>"SALA 1"</f>
        <v>SALA 1</v>
      </c>
      <c r="S446" t="str">
        <f>"1277"</f>
        <v>1277</v>
      </c>
      <c r="T446" t="str">
        <f>"89201070"</f>
        <v>89201070</v>
      </c>
      <c r="U446" t="str">
        <f>"CENTRO"</f>
        <v>CENTRO</v>
      </c>
      <c r="V446" t="str">
        <f>"JOINVILLE"</f>
        <v>JOINVILLE</v>
      </c>
      <c r="W446" t="str">
        <f t="shared" si="218"/>
        <v>SC</v>
      </c>
      <c r="X446" t="str">
        <f>"47"</f>
        <v>47</v>
      </c>
      <c r="Y446" t="str">
        <f>"30267390"</f>
        <v>30267390</v>
      </c>
      <c r="Z446" t="str">
        <f>""</f>
        <v/>
      </c>
      <c r="AA446" t="str">
        <f>""</f>
        <v/>
      </c>
      <c r="AB446" t="str">
        <f>""</f>
        <v/>
      </c>
      <c r="AC446" t="str">
        <f>""</f>
        <v/>
      </c>
      <c r="AD446" t="str">
        <f>""</f>
        <v/>
      </c>
      <c r="AE446" t="str">
        <f>""</f>
        <v/>
      </c>
      <c r="AF446" t="str">
        <f>""</f>
        <v/>
      </c>
      <c r="AG446" t="str">
        <f>""</f>
        <v/>
      </c>
      <c r="AH446" t="str">
        <f>""</f>
        <v/>
      </c>
      <c r="AI446" t="str">
        <f>""</f>
        <v/>
      </c>
      <c r="AJ446" t="str">
        <f>""</f>
        <v/>
      </c>
      <c r="AK446" t="str">
        <f>""</f>
        <v/>
      </c>
      <c r="AL446" t="str">
        <f>""</f>
        <v/>
      </c>
      <c r="AM446" t="str">
        <f>""</f>
        <v/>
      </c>
      <c r="AN446" t="str">
        <f>""</f>
        <v/>
      </c>
      <c r="AO446" t="str">
        <f>""</f>
        <v/>
      </c>
      <c r="AP446" t="str">
        <f>""</f>
        <v/>
      </c>
      <c r="AQ446" t="str">
        <f>""</f>
        <v/>
      </c>
      <c r="AR446" t="str">
        <f>""</f>
        <v/>
      </c>
      <c r="AS446" t="str">
        <f>""</f>
        <v/>
      </c>
      <c r="AT446" t="str">
        <f>""</f>
        <v/>
      </c>
      <c r="AU446" t="str">
        <f>""</f>
        <v/>
      </c>
      <c r="AV446" t="str">
        <f>""</f>
        <v/>
      </c>
      <c r="AW446" t="str">
        <f>""</f>
        <v/>
      </c>
      <c r="AX446" t="str">
        <f>""</f>
        <v/>
      </c>
      <c r="AY446" t="str">
        <f>""</f>
        <v/>
      </c>
      <c r="AZ446" t="str">
        <f>""</f>
        <v/>
      </c>
      <c r="BA446" t="str">
        <f>""</f>
        <v/>
      </c>
      <c r="BB446" t="str">
        <f>"07/10/2020 09:08:38"</f>
        <v>07/10/2020 09:08:38</v>
      </c>
      <c r="BC446" t="str">
        <f>""</f>
        <v/>
      </c>
      <c r="BD446" t="str">
        <f>""</f>
        <v/>
      </c>
      <c r="BE446" t="str">
        <f>""</f>
        <v/>
      </c>
      <c r="BF446" t="str">
        <f t="shared" si="191"/>
        <v>A</v>
      </c>
      <c r="BG446" t="str">
        <f>""</f>
        <v/>
      </c>
      <c r="BH446" t="str">
        <f>""</f>
        <v/>
      </c>
      <c r="BI446" t="str">
        <f t="shared" si="214"/>
        <v>EVENTUAL</v>
      </c>
      <c r="BJ446" t="str">
        <f t="shared" si="192"/>
        <v>1</v>
      </c>
      <c r="BK446" t="str">
        <f t="shared" si="193"/>
        <v>Farmacia</v>
      </c>
      <c r="BL446" t="str">
        <f>""</f>
        <v/>
      </c>
      <c r="BM446" t="str">
        <f>"NÃO É VARILUX ESPECIALISTA"</f>
        <v>NÃO É VARILUX ESPECIALISTA</v>
      </c>
      <c r="BN446" t="str">
        <f t="shared" si="220"/>
        <v>NA</v>
      </c>
      <c r="BO446" t="str">
        <f>"OUTROS"</f>
        <v>OUTROS</v>
      </c>
      <c r="BP446" t="str">
        <f>""</f>
        <v/>
      </c>
      <c r="BQ446" t="str">
        <f>""</f>
        <v/>
      </c>
      <c r="BR446" t="str">
        <f>"07/10/2020"</f>
        <v>07/10/2020</v>
      </c>
      <c r="BS446" t="str">
        <f>""</f>
        <v/>
      </c>
      <c r="BT446" t="str">
        <f>""</f>
        <v/>
      </c>
      <c r="BU446" t="str">
        <f>""</f>
        <v/>
      </c>
      <c r="BV446" t="str">
        <f>"9"</f>
        <v>9</v>
      </c>
      <c r="BW446" t="str">
        <f>"Não visitado"</f>
        <v>Não visitado</v>
      </c>
    </row>
    <row r="447" spans="1:75" x14ac:dyDescent="0.35">
      <c r="A447">
        <v>144459</v>
      </c>
      <c r="B447" t="str">
        <f t="shared" si="184"/>
        <v>A</v>
      </c>
      <c r="C447" t="str">
        <f t="shared" si="185"/>
        <v>80</v>
      </c>
      <c r="D447" t="str">
        <f t="shared" si="186"/>
        <v>11121001</v>
      </c>
      <c r="E447" t="str">
        <f t="shared" si="187"/>
        <v>121001</v>
      </c>
      <c r="F447" t="str">
        <f t="shared" si="188"/>
        <v>JENIFER SANTOS</v>
      </c>
      <c r="G447" t="str">
        <f>"75893735000190"</f>
        <v>75893735000190</v>
      </c>
      <c r="H447" t="str">
        <f>""</f>
        <v/>
      </c>
      <c r="I447" t="str">
        <f t="shared" si="190"/>
        <v>CONTA OPTICA</v>
      </c>
      <c r="J447" t="str">
        <f>"SOLARY JOAIS LTDA ME"</f>
        <v>SOLARY JOAIS LTDA ME</v>
      </c>
      <c r="K447" t="str">
        <f>"SOLARY JOAIS LTDA ME (1946)"</f>
        <v>SOLARY JOAIS LTDA ME (1946)</v>
      </c>
      <c r="L447" t="str">
        <f>""</f>
        <v/>
      </c>
      <c r="M447" t="str">
        <f>""</f>
        <v/>
      </c>
      <c r="N447" t="str">
        <f>"contato@solaryjoias.com.br"</f>
        <v>contato@solaryjoias.com.br</v>
      </c>
      <c r="O447" t="str">
        <f>""</f>
        <v/>
      </c>
      <c r="P447" t="str">
        <f>"RUA NOVE DE MARCO"</f>
        <v>RUA NOVE DE MARCO</v>
      </c>
      <c r="Q447" t="str">
        <f>"774"</f>
        <v>774</v>
      </c>
      <c r="R447" t="str">
        <f>"LOJA 20"</f>
        <v>LOJA 20</v>
      </c>
      <c r="S447" t="str">
        <f>"1277"</f>
        <v>1277</v>
      </c>
      <c r="T447" t="str">
        <f>"89201400"</f>
        <v>89201400</v>
      </c>
      <c r="U447" t="str">
        <f>"CENTRO"</f>
        <v>CENTRO</v>
      </c>
      <c r="V447" t="str">
        <f>"JOINVILLE"</f>
        <v>JOINVILLE</v>
      </c>
      <c r="W447" t="str">
        <f t="shared" si="218"/>
        <v>SC</v>
      </c>
      <c r="X447" t="str">
        <f>"47"</f>
        <v>47</v>
      </c>
      <c r="Y447" t="str">
        <f>"34336358"</f>
        <v>34336358</v>
      </c>
      <c r="Z447" t="str">
        <f>""</f>
        <v/>
      </c>
      <c r="AA447" t="str">
        <f>""</f>
        <v/>
      </c>
      <c r="AB447" t="str">
        <f>""</f>
        <v/>
      </c>
      <c r="AC447" t="str">
        <f>""</f>
        <v/>
      </c>
      <c r="AD447" t="str">
        <f>""</f>
        <v/>
      </c>
      <c r="AE447" t="str">
        <f>""</f>
        <v/>
      </c>
      <c r="AF447" t="str">
        <f>""</f>
        <v/>
      </c>
      <c r="AG447" t="str">
        <f>""</f>
        <v/>
      </c>
      <c r="AH447" t="str">
        <f>""</f>
        <v/>
      </c>
      <c r="AI447" t="str">
        <f>""</f>
        <v/>
      </c>
      <c r="AJ447" t="str">
        <f t="shared" ref="AJ447:AL448" si="221">"0"</f>
        <v>0</v>
      </c>
      <c r="AK447" t="str">
        <f t="shared" si="221"/>
        <v>0</v>
      </c>
      <c r="AL447" t="str">
        <f t="shared" si="221"/>
        <v>0</v>
      </c>
      <c r="AM447" t="str">
        <f>""</f>
        <v/>
      </c>
      <c r="AN447" t="str">
        <f>""</f>
        <v/>
      </c>
      <c r="AO447" t="str">
        <f>""</f>
        <v/>
      </c>
      <c r="AP447" t="str">
        <f>""</f>
        <v/>
      </c>
      <c r="AQ447" t="str">
        <f>""</f>
        <v/>
      </c>
      <c r="AR447" t="str">
        <f>""</f>
        <v/>
      </c>
      <c r="AS447" t="str">
        <f>""</f>
        <v/>
      </c>
      <c r="AT447" t="str">
        <f>""</f>
        <v/>
      </c>
      <c r="AU447" t="str">
        <f>""</f>
        <v/>
      </c>
      <c r="AV447" t="str">
        <f>""</f>
        <v/>
      </c>
      <c r="AW447" t="str">
        <f>""</f>
        <v/>
      </c>
      <c r="AX447" t="str">
        <f>""</f>
        <v/>
      </c>
      <c r="AY447" t="str">
        <f>""</f>
        <v/>
      </c>
      <c r="AZ447" t="str">
        <f>""</f>
        <v/>
      </c>
      <c r="BA447" t="str">
        <f>""</f>
        <v/>
      </c>
      <c r="BB447" t="str">
        <f>""</f>
        <v/>
      </c>
      <c r="BC447" t="str">
        <f>""</f>
        <v/>
      </c>
      <c r="BD447" t="str">
        <f>""</f>
        <v/>
      </c>
      <c r="BE447" t="str">
        <f>""</f>
        <v/>
      </c>
      <c r="BF447" t="str">
        <f t="shared" si="191"/>
        <v>A</v>
      </c>
      <c r="BG447" t="str">
        <f>"0,00"</f>
        <v>0,00</v>
      </c>
      <c r="BH447" t="str">
        <f>"0,00"</f>
        <v>0,00</v>
      </c>
      <c r="BI447" t="str">
        <f t="shared" si="214"/>
        <v>EVENTUAL</v>
      </c>
      <c r="BJ447" t="str">
        <f t="shared" si="192"/>
        <v>1</v>
      </c>
      <c r="BK447" t="str">
        <f t="shared" si="193"/>
        <v>Farmacia</v>
      </c>
      <c r="BL447" t="str">
        <f>""</f>
        <v/>
      </c>
      <c r="BM447" t="str">
        <f>"NÃO É VARILUX ESPECIALISTA"</f>
        <v>NÃO É VARILUX ESPECIALISTA</v>
      </c>
      <c r="BN447" t="str">
        <f t="shared" si="220"/>
        <v>NA</v>
      </c>
      <c r="BO447" t="str">
        <f>"FOCO VARILUX"</f>
        <v>FOCO VARILUX</v>
      </c>
      <c r="BP447" t="str">
        <f>""</f>
        <v/>
      </c>
      <c r="BQ447" t="str">
        <f>""</f>
        <v/>
      </c>
      <c r="BR447" t="str">
        <f>""</f>
        <v/>
      </c>
      <c r="BS447" t="str">
        <f>""</f>
        <v/>
      </c>
      <c r="BT447" t="str">
        <f>""</f>
        <v/>
      </c>
      <c r="BU447" t="str">
        <f>""</f>
        <v/>
      </c>
      <c r="BV447" t="str">
        <f>"5"</f>
        <v>5</v>
      </c>
      <c r="BW447" t="str">
        <f>"31"</f>
        <v>31</v>
      </c>
    </row>
    <row r="448" spans="1:75" x14ac:dyDescent="0.35">
      <c r="A448">
        <v>144462</v>
      </c>
      <c r="B448" t="str">
        <f t="shared" si="184"/>
        <v>A</v>
      </c>
      <c r="C448" t="str">
        <f t="shared" si="185"/>
        <v>80</v>
      </c>
      <c r="D448" t="str">
        <f t="shared" si="186"/>
        <v>11121001</v>
      </c>
      <c r="E448" t="str">
        <f t="shared" si="187"/>
        <v>121001</v>
      </c>
      <c r="F448" t="str">
        <f t="shared" si="188"/>
        <v>JENIFER SANTOS</v>
      </c>
      <c r="G448" t="str">
        <f>"80162985000190"</f>
        <v>80162985000190</v>
      </c>
      <c r="H448" t="str">
        <f>""</f>
        <v/>
      </c>
      <c r="I448" t="str">
        <f t="shared" si="190"/>
        <v>CONTA OPTICA</v>
      </c>
      <c r="J448" t="str">
        <f>"SONIA APARECIDA SCHARNOSKI E CIA LTDA"</f>
        <v>SONIA APARECIDA SCHARNOSKI E CIA LTDA</v>
      </c>
      <c r="K448" t="str">
        <f>"OTICA A ESPECIALISTA EM OCULOS LENTES E ARMACOES (436)"</f>
        <v>OTICA A ESPECIALISTA EM OCULOS LENTES E ARMACOES (436)</v>
      </c>
      <c r="L448" t="str">
        <f>""</f>
        <v/>
      </c>
      <c r="M448" t="str">
        <f>""</f>
        <v/>
      </c>
      <c r="N448" t="str">
        <f>"soniaotic@yahoo.com.br"</f>
        <v>soniaotic@yahoo.com.br</v>
      </c>
      <c r="O448" t="str">
        <f>""</f>
        <v/>
      </c>
      <c r="P448" t="str">
        <f>"RUA PRUDENTE DE MORAIS"</f>
        <v>RUA PRUDENTE DE MORAIS</v>
      </c>
      <c r="Q448" t="str">
        <f>"160"</f>
        <v>160</v>
      </c>
      <c r="R448" t="str">
        <f>""</f>
        <v/>
      </c>
      <c r="S448" t="str">
        <f>"1282"</f>
        <v>1282</v>
      </c>
      <c r="T448" t="str">
        <f>"89400000"</f>
        <v>89400000</v>
      </c>
      <c r="U448" t="str">
        <f>"CENTRO"</f>
        <v>CENTRO</v>
      </c>
      <c r="V448" t="str">
        <f>"PORTO UNIÃO"</f>
        <v>PORTO UNIÃO</v>
      </c>
      <c r="W448" t="str">
        <f t="shared" si="218"/>
        <v>SC</v>
      </c>
      <c r="X448" t="str">
        <f>"42"</f>
        <v>42</v>
      </c>
      <c r="Y448" t="str">
        <f>"35224816"</f>
        <v>35224816</v>
      </c>
      <c r="Z448" t="str">
        <f>""</f>
        <v/>
      </c>
      <c r="AA448" t="str">
        <f>""</f>
        <v/>
      </c>
      <c r="AB448" t="str">
        <f>""</f>
        <v/>
      </c>
      <c r="AC448" t="str">
        <f>""</f>
        <v/>
      </c>
      <c r="AD448" t="str">
        <f>""</f>
        <v/>
      </c>
      <c r="AE448" t="str">
        <f>""</f>
        <v/>
      </c>
      <c r="AF448" t="str">
        <f>""</f>
        <v/>
      </c>
      <c r="AG448" t="str">
        <f>""</f>
        <v/>
      </c>
      <c r="AH448" t="str">
        <f>""</f>
        <v/>
      </c>
      <c r="AI448" t="str">
        <f>""</f>
        <v/>
      </c>
      <c r="AJ448" t="str">
        <f t="shared" si="221"/>
        <v>0</v>
      </c>
      <c r="AK448" t="str">
        <f t="shared" si="221"/>
        <v>0</v>
      </c>
      <c r="AL448" t="str">
        <f t="shared" si="221"/>
        <v>0</v>
      </c>
      <c r="AM448" t="str">
        <f>""</f>
        <v/>
      </c>
      <c r="AN448" t="str">
        <f>""</f>
        <v/>
      </c>
      <c r="AO448" t="str">
        <f>""</f>
        <v/>
      </c>
      <c r="AP448" t="str">
        <f>""</f>
        <v/>
      </c>
      <c r="AQ448" t="str">
        <f>""</f>
        <v/>
      </c>
      <c r="AR448" t="str">
        <f>""</f>
        <v/>
      </c>
      <c r="AS448" t="str">
        <f>""</f>
        <v/>
      </c>
      <c r="AT448" t="str">
        <f>""</f>
        <v/>
      </c>
      <c r="AU448" t="str">
        <f>""</f>
        <v/>
      </c>
      <c r="AV448" t="str">
        <f>""</f>
        <v/>
      </c>
      <c r="AW448" t="str">
        <f>""</f>
        <v/>
      </c>
      <c r="AX448" t="str">
        <f>""</f>
        <v/>
      </c>
      <c r="AY448" t="str">
        <f>""</f>
        <v/>
      </c>
      <c r="AZ448" t="str">
        <f>""</f>
        <v/>
      </c>
      <c r="BA448" t="str">
        <f>""</f>
        <v/>
      </c>
      <c r="BB448" t="str">
        <f>""</f>
        <v/>
      </c>
      <c r="BC448" t="str">
        <f>""</f>
        <v/>
      </c>
      <c r="BD448" t="str">
        <f>""</f>
        <v/>
      </c>
      <c r="BE448" t="str">
        <f>""</f>
        <v/>
      </c>
      <c r="BF448" t="str">
        <f t="shared" si="191"/>
        <v>A</v>
      </c>
      <c r="BG448" t="str">
        <f>"0,00"</f>
        <v>0,00</v>
      </c>
      <c r="BH448" t="str">
        <f>"0,00"</f>
        <v>0,00</v>
      </c>
      <c r="BI448" t="str">
        <f t="shared" si="214"/>
        <v>EVENTUAL</v>
      </c>
      <c r="BJ448" t="str">
        <f t="shared" si="192"/>
        <v>1</v>
      </c>
      <c r="BK448" t="str">
        <f t="shared" si="193"/>
        <v>Farmacia</v>
      </c>
      <c r="BL448" t="str">
        <f>""</f>
        <v/>
      </c>
      <c r="BM448" t="str">
        <f>"NÃO É VARILUX ESPECIALISTA"</f>
        <v>NÃO É VARILUX ESPECIALISTA</v>
      </c>
      <c r="BN448" t="str">
        <f t="shared" si="220"/>
        <v>NA</v>
      </c>
      <c r="BO448" t="str">
        <f>"FOCO VARILUX DIGITAL"</f>
        <v>FOCO VARILUX DIGITAL</v>
      </c>
      <c r="BP448" t="str">
        <f>""</f>
        <v/>
      </c>
      <c r="BQ448" t="str">
        <f>""</f>
        <v/>
      </c>
      <c r="BR448" t="str">
        <f>""</f>
        <v/>
      </c>
      <c r="BS448" t="str">
        <f>""</f>
        <v/>
      </c>
      <c r="BT448" t="str">
        <f>""</f>
        <v/>
      </c>
      <c r="BU448" t="str">
        <f>""</f>
        <v/>
      </c>
      <c r="BV448" t="str">
        <f>"5"</f>
        <v>5</v>
      </c>
      <c r="BW448" t="str">
        <f>"2"</f>
        <v>2</v>
      </c>
    </row>
    <row r="449" spans="1:75" x14ac:dyDescent="0.35">
      <c r="A449">
        <v>138242</v>
      </c>
      <c r="B449" t="str">
        <f t="shared" si="184"/>
        <v>A</v>
      </c>
      <c r="C449" t="str">
        <f t="shared" si="185"/>
        <v>80</v>
      </c>
      <c r="D449" t="str">
        <f t="shared" si="186"/>
        <v>11121001</v>
      </c>
      <c r="E449" t="str">
        <f t="shared" si="187"/>
        <v>121001</v>
      </c>
      <c r="F449" t="str">
        <f t="shared" si="188"/>
        <v>JENIFER SANTOS</v>
      </c>
      <c r="G449" t="str">
        <f>"13371693000332"</f>
        <v>13371693000332</v>
      </c>
      <c r="H449" t="str">
        <f>"0"</f>
        <v>0</v>
      </c>
      <c r="I449" t="str">
        <f t="shared" si="190"/>
        <v>CONTA OPTICA</v>
      </c>
      <c r="J449" t="str">
        <f>"SR GUEDES OTICA LTDA"</f>
        <v>SR GUEDES OTICA LTDA</v>
      </c>
      <c r="K449" t="str">
        <f>"FABRICA DE OCULOS (4099)"</f>
        <v>FABRICA DE OCULOS (4099)</v>
      </c>
      <c r="L449" t="str">
        <f>""</f>
        <v/>
      </c>
      <c r="M449" t="str">
        <f>""</f>
        <v/>
      </c>
      <c r="N449" t="str">
        <f>"fabricadeoculosescritorio@gmail.com"</f>
        <v>fabricadeoculosescritorio@gmail.com</v>
      </c>
      <c r="O449" t="str">
        <f>""</f>
        <v/>
      </c>
      <c r="P449" t="str">
        <f>"RUA GETULIO DORNELES VARGAS - N"</f>
        <v>RUA GETULIO DORNELES VARGAS - N</v>
      </c>
      <c r="Q449" t="str">
        <f>"336"</f>
        <v>336</v>
      </c>
      <c r="R449" t="str">
        <f>"LETRA N"</f>
        <v>LETRA N</v>
      </c>
      <c r="S449" t="str">
        <f>"1287"</f>
        <v>1287</v>
      </c>
      <c r="T449" t="str">
        <f>"89801000"</f>
        <v>89801000</v>
      </c>
      <c r="U449" t="str">
        <f>"CENTRO"</f>
        <v>CENTRO</v>
      </c>
      <c r="V449" t="str">
        <f>"CHAPECÓ"</f>
        <v>CHAPECÓ</v>
      </c>
      <c r="W449" t="str">
        <f t="shared" si="218"/>
        <v>SC</v>
      </c>
      <c r="X449" t="str">
        <f>"49"</f>
        <v>49</v>
      </c>
      <c r="Y449" t="str">
        <f>"33164901"</f>
        <v>33164901</v>
      </c>
      <c r="Z449" t="str">
        <f>""</f>
        <v/>
      </c>
      <c r="AA449" t="str">
        <f>""</f>
        <v/>
      </c>
      <c r="AB449" t="str">
        <f>""</f>
        <v/>
      </c>
      <c r="AC449" t="str">
        <f>""</f>
        <v/>
      </c>
      <c r="AD449" t="str">
        <f>""</f>
        <v/>
      </c>
      <c r="AE449" t="str">
        <f>""</f>
        <v/>
      </c>
      <c r="AF449" t="str">
        <f>""</f>
        <v/>
      </c>
      <c r="AG449" t="str">
        <f>"S"</f>
        <v>S</v>
      </c>
      <c r="AH449" t="str">
        <f>""</f>
        <v/>
      </c>
      <c r="AI449" t="str">
        <f>""</f>
        <v/>
      </c>
      <c r="AJ449" t="str">
        <f>""</f>
        <v/>
      </c>
      <c r="AK449" t="str">
        <f>""</f>
        <v/>
      </c>
      <c r="AL449" t="str">
        <f>""</f>
        <v/>
      </c>
      <c r="AM449" t="str">
        <f>""</f>
        <v/>
      </c>
      <c r="AN449" t="str">
        <f>""</f>
        <v/>
      </c>
      <c r="AO449" t="str">
        <f>""</f>
        <v/>
      </c>
      <c r="AP449" t="str">
        <f>""</f>
        <v/>
      </c>
      <c r="AQ449" t="str">
        <f t="shared" ref="AQ449:AU450" si="222">"N"</f>
        <v>N</v>
      </c>
      <c r="AR449" t="str">
        <f t="shared" si="222"/>
        <v>N</v>
      </c>
      <c r="AS449" t="str">
        <f t="shared" si="222"/>
        <v>N</v>
      </c>
      <c r="AT449" t="str">
        <f t="shared" si="222"/>
        <v>N</v>
      </c>
      <c r="AU449" t="str">
        <f t="shared" si="222"/>
        <v>N</v>
      </c>
      <c r="AV449" t="str">
        <f>""</f>
        <v/>
      </c>
      <c r="AW449" t="str">
        <f>""</f>
        <v/>
      </c>
      <c r="AX449" t="str">
        <f>""</f>
        <v/>
      </c>
      <c r="AY449" t="str">
        <f>""</f>
        <v/>
      </c>
      <c r="AZ449" t="str">
        <f>""</f>
        <v/>
      </c>
      <c r="BA449" t="str">
        <f>""</f>
        <v/>
      </c>
      <c r="BB449" t="str">
        <f>"01/07/2021 13:53:04"</f>
        <v>01/07/2021 13:53:04</v>
      </c>
      <c r="BC449" t="str">
        <f>"18/05/2022 14:45:56"</f>
        <v>18/05/2022 14:45:56</v>
      </c>
      <c r="BD449" t="str">
        <f>""</f>
        <v/>
      </c>
      <c r="BE449" t="str">
        <f>""</f>
        <v/>
      </c>
      <c r="BF449" t="str">
        <f t="shared" si="191"/>
        <v>A</v>
      </c>
      <c r="BG449" t="str">
        <f>""</f>
        <v/>
      </c>
      <c r="BH449" t="str">
        <f>"0,00"</f>
        <v>0,00</v>
      </c>
      <c r="BI449" t="str">
        <f t="shared" si="214"/>
        <v>EVENTUAL</v>
      </c>
      <c r="BJ449" t="str">
        <f t="shared" si="192"/>
        <v>1</v>
      </c>
      <c r="BK449" t="str">
        <f t="shared" si="193"/>
        <v>Farmacia</v>
      </c>
      <c r="BL449" t="str">
        <f>""</f>
        <v/>
      </c>
      <c r="BM449" t="str">
        <f>"CREDENCIADO VARILUX"</f>
        <v>CREDENCIADO VARILUX</v>
      </c>
      <c r="BN449" t="str">
        <f t="shared" si="220"/>
        <v>NA</v>
      </c>
      <c r="BO449" t="str">
        <f>"FOCO VARILUX DIGITAL"</f>
        <v>FOCO VARILUX DIGITAL</v>
      </c>
      <c r="BP449" t="str">
        <f>""</f>
        <v/>
      </c>
      <c r="BQ449" t="str">
        <f>""</f>
        <v/>
      </c>
      <c r="BR449" t="str">
        <f>"01/07/2021"</f>
        <v>01/07/2021</v>
      </c>
      <c r="BS449" t="str">
        <f>"18/05/2022"</f>
        <v>18/05/2022</v>
      </c>
      <c r="BT449" t="str">
        <f>""</f>
        <v/>
      </c>
      <c r="BU449" t="str">
        <f>""</f>
        <v/>
      </c>
      <c r="BV449" t="str">
        <f>""</f>
        <v/>
      </c>
      <c r="BW449" t="str">
        <f>"24"</f>
        <v>24</v>
      </c>
    </row>
    <row r="450" spans="1:75" x14ac:dyDescent="0.35">
      <c r="A450">
        <v>138243</v>
      </c>
      <c r="B450" t="str">
        <f t="shared" ref="B450:B513" si="223">"A"</f>
        <v>A</v>
      </c>
      <c r="C450" t="str">
        <f t="shared" ref="C450:C513" si="224">"80"</f>
        <v>80</v>
      </c>
      <c r="D450" t="str">
        <f t="shared" ref="D450:D499" si="225">"11121001"</f>
        <v>11121001</v>
      </c>
      <c r="E450" t="str">
        <f t="shared" ref="E450:E499" si="226">"121001"</f>
        <v>121001</v>
      </c>
      <c r="F450" t="str">
        <f t="shared" ref="F450:F499" si="227">"JENIFER SANTOS"</f>
        <v>JENIFER SANTOS</v>
      </c>
      <c r="G450" t="str">
        <f>"13371693000170"</f>
        <v>13371693000170</v>
      </c>
      <c r="H450" t="str">
        <f>"0"</f>
        <v>0</v>
      </c>
      <c r="I450" t="str">
        <f t="shared" ref="I450:I513" si="228">"CONTA OPTICA"</f>
        <v>CONTA OPTICA</v>
      </c>
      <c r="J450" t="str">
        <f>"SR GUEDES OTICA LTDA EPP"</f>
        <v>SR GUEDES OTICA LTDA EPP</v>
      </c>
      <c r="K450" t="str">
        <f>"FABRICA DOS OCULOS (1832)"</f>
        <v>FABRICA DOS OCULOS (1832)</v>
      </c>
      <c r="L450" t="str">
        <f>""</f>
        <v/>
      </c>
      <c r="M450" t="str">
        <f>""</f>
        <v/>
      </c>
      <c r="N450" t="str">
        <f>"fabricadeoculosescritorio@gmail.com"</f>
        <v>fabricadeoculosescritorio@gmail.com</v>
      </c>
      <c r="O450" t="str">
        <f>""</f>
        <v/>
      </c>
      <c r="P450" t="str">
        <f>"RUA GETULIO DORNELES VARGAS"</f>
        <v>RUA GETULIO DORNELES VARGAS</v>
      </c>
      <c r="Q450" t="str">
        <f>"615"</f>
        <v>615</v>
      </c>
      <c r="R450" t="str">
        <f>"S SL02 E IMPERA"</f>
        <v>S SL02 E IMPERA</v>
      </c>
      <c r="S450" t="str">
        <f>"1287"</f>
        <v>1287</v>
      </c>
      <c r="T450" t="str">
        <f>"89814000"</f>
        <v>89814000</v>
      </c>
      <c r="U450" t="str">
        <f>"CENTRO"</f>
        <v>CENTRO</v>
      </c>
      <c r="V450" t="str">
        <f>"CHAPECÓ"</f>
        <v>CHAPECÓ</v>
      </c>
      <c r="W450" t="str">
        <f t="shared" si="218"/>
        <v>SC</v>
      </c>
      <c r="X450" t="str">
        <f>"47"</f>
        <v>47</v>
      </c>
      <c r="Y450" t="str">
        <f>"33607704"</f>
        <v>33607704</v>
      </c>
      <c r="Z450" t="str">
        <f>""</f>
        <v/>
      </c>
      <c r="AA450" t="str">
        <f>""</f>
        <v/>
      </c>
      <c r="AB450" t="str">
        <f>""</f>
        <v/>
      </c>
      <c r="AC450" t="str">
        <f>""</f>
        <v/>
      </c>
      <c r="AD450" t="str">
        <f>""</f>
        <v/>
      </c>
      <c r="AE450" t="str">
        <f>""</f>
        <v/>
      </c>
      <c r="AF450" t="str">
        <f>""</f>
        <v/>
      </c>
      <c r="AG450" t="str">
        <f>"S"</f>
        <v>S</v>
      </c>
      <c r="AH450" t="str">
        <f>""</f>
        <v/>
      </c>
      <c r="AI450" t="str">
        <f>""</f>
        <v/>
      </c>
      <c r="AJ450" t="str">
        <f>""</f>
        <v/>
      </c>
      <c r="AK450" t="str">
        <f>""</f>
        <v/>
      </c>
      <c r="AL450" t="str">
        <f>""</f>
        <v/>
      </c>
      <c r="AM450" t="str">
        <f>""</f>
        <v/>
      </c>
      <c r="AN450" t="str">
        <f>""</f>
        <v/>
      </c>
      <c r="AO450" t="str">
        <f>""</f>
        <v/>
      </c>
      <c r="AP450" t="str">
        <f>""</f>
        <v/>
      </c>
      <c r="AQ450" t="str">
        <f t="shared" si="222"/>
        <v>N</v>
      </c>
      <c r="AR450" t="str">
        <f t="shared" si="222"/>
        <v>N</v>
      </c>
      <c r="AS450" t="str">
        <f t="shared" si="222"/>
        <v>N</v>
      </c>
      <c r="AT450" t="str">
        <f t="shared" si="222"/>
        <v>N</v>
      </c>
      <c r="AU450" t="str">
        <f t="shared" si="222"/>
        <v>N</v>
      </c>
      <c r="AV450" t="str">
        <f>""</f>
        <v/>
      </c>
      <c r="AW450" t="str">
        <f>""</f>
        <v/>
      </c>
      <c r="AX450" t="str">
        <f>""</f>
        <v/>
      </c>
      <c r="AY450" t="str">
        <f>""</f>
        <v/>
      </c>
      <c r="AZ450" t="str">
        <f>""</f>
        <v/>
      </c>
      <c r="BA450" t="str">
        <f>""</f>
        <v/>
      </c>
      <c r="BB450" t="str">
        <f>"01/07/2021 13:53:04"</f>
        <v>01/07/2021 13:53:04</v>
      </c>
      <c r="BC450" t="str">
        <f>"24/05/2023 14:35:02"</f>
        <v>24/05/2023 14:35:02</v>
      </c>
      <c r="BD450" t="str">
        <f>""</f>
        <v/>
      </c>
      <c r="BE450" t="str">
        <f>""</f>
        <v/>
      </c>
      <c r="BF450" t="str">
        <f t="shared" ref="BF450:BF513" si="229">"A"</f>
        <v>A</v>
      </c>
      <c r="BG450" t="str">
        <f>""</f>
        <v/>
      </c>
      <c r="BH450" t="str">
        <f>"0,00"</f>
        <v>0,00</v>
      </c>
      <c r="BI450" t="str">
        <f t="shared" si="214"/>
        <v>EVENTUAL</v>
      </c>
      <c r="BJ450" t="str">
        <f t="shared" ref="BJ450:BJ513" si="230">"1"</f>
        <v>1</v>
      </c>
      <c r="BK450" t="str">
        <f t="shared" ref="BK450:BK513" si="231">"Farmacia"</f>
        <v>Farmacia</v>
      </c>
      <c r="BL450" t="str">
        <f>""</f>
        <v/>
      </c>
      <c r="BM450" t="str">
        <f>"NÃO É VARILUX ESPECIALISTA"</f>
        <v>NÃO É VARILUX ESPECIALISTA</v>
      </c>
      <c r="BN450" t="str">
        <f t="shared" si="220"/>
        <v>NA</v>
      </c>
      <c r="BO450" t="str">
        <f>"FOCO VARILUX"</f>
        <v>FOCO VARILUX</v>
      </c>
      <c r="BP450" t="str">
        <f>""</f>
        <v/>
      </c>
      <c r="BQ450" t="str">
        <f>""</f>
        <v/>
      </c>
      <c r="BR450" t="str">
        <f>"01/07/2021"</f>
        <v>01/07/2021</v>
      </c>
      <c r="BS450" t="str">
        <f>"24/05/2023"</f>
        <v>24/05/2023</v>
      </c>
      <c r="BT450" t="str">
        <f>""</f>
        <v/>
      </c>
      <c r="BU450" t="str">
        <f>""</f>
        <v/>
      </c>
      <c r="BV450" t="str">
        <f>""</f>
        <v/>
      </c>
      <c r="BW450" t="str">
        <f>"24"</f>
        <v>24</v>
      </c>
    </row>
    <row r="451" spans="1:75" x14ac:dyDescent="0.35">
      <c r="A451">
        <v>144590</v>
      </c>
      <c r="B451" t="str">
        <f t="shared" si="223"/>
        <v>A</v>
      </c>
      <c r="C451" t="str">
        <f t="shared" si="224"/>
        <v>80</v>
      </c>
      <c r="D451" t="str">
        <f t="shared" si="225"/>
        <v>11121001</v>
      </c>
      <c r="E451" t="str">
        <f t="shared" si="226"/>
        <v>121001</v>
      </c>
      <c r="F451" t="str">
        <f t="shared" si="227"/>
        <v>JENIFER SANTOS</v>
      </c>
      <c r="G451" t="str">
        <f>"33471739000130"</f>
        <v>33471739000130</v>
      </c>
      <c r="H451" t="str">
        <f>""</f>
        <v/>
      </c>
      <c r="I451" t="str">
        <f t="shared" si="228"/>
        <v>CONTA OPTICA</v>
      </c>
      <c r="J451" t="str">
        <f>"SUA VISAO COMERCIO VAREJISTA DE ARTIGOS DE OPTICA LTDA"</f>
        <v>SUA VISAO COMERCIO VAREJISTA DE ARTIGOS DE OPTICA LTDA</v>
      </c>
      <c r="K451" t="str">
        <f>"OTICA SUA VISAO (4109)"</f>
        <v>OTICA SUA VISAO (4109)</v>
      </c>
      <c r="L451" t="str">
        <f>""</f>
        <v/>
      </c>
      <c r="M451" t="str">
        <f>""</f>
        <v/>
      </c>
      <c r="N451" t="str">
        <f>"oticasuavisao.comercial@gmail.com"</f>
        <v>oticasuavisao.comercial@gmail.com</v>
      </c>
      <c r="O451" t="str">
        <f>""</f>
        <v/>
      </c>
      <c r="P451" t="str">
        <f>"RUA RUA FELIPE SCHMIDT"</f>
        <v>RUA RUA FELIPE SCHMIDT</v>
      </c>
      <c r="Q451" t="str">
        <f>"1217"</f>
        <v>1217</v>
      </c>
      <c r="R451" t="str">
        <f>"SALA 1"</f>
        <v>SALA 1</v>
      </c>
      <c r="S451" t="str">
        <f>""</f>
        <v/>
      </c>
      <c r="T451" t="str">
        <f>"89300074"</f>
        <v>89300074</v>
      </c>
      <c r="U451" t="str">
        <f>"CENTRO II ALTO DE MAFRA"</f>
        <v>CENTRO II ALTO DE MAFRA</v>
      </c>
      <c r="V451" t="str">
        <f>"MAFRA"</f>
        <v>MAFRA</v>
      </c>
      <c r="W451" t="str">
        <f t="shared" si="218"/>
        <v>SC</v>
      </c>
      <c r="X451" t="str">
        <f>"47"</f>
        <v>47</v>
      </c>
      <c r="Y451" t="str">
        <f>"36429194"</f>
        <v>36429194</v>
      </c>
      <c r="Z451" t="str">
        <f>""</f>
        <v/>
      </c>
      <c r="AA451" t="str">
        <f>""</f>
        <v/>
      </c>
      <c r="AB451" t="str">
        <f>""</f>
        <v/>
      </c>
      <c r="AC451" t="str">
        <f>""</f>
        <v/>
      </c>
      <c r="AD451" t="str">
        <f>""</f>
        <v/>
      </c>
      <c r="AE451" t="str">
        <f>""</f>
        <v/>
      </c>
      <c r="AF451" t="str">
        <f>""</f>
        <v/>
      </c>
      <c r="AG451" t="str">
        <f>""</f>
        <v/>
      </c>
      <c r="AH451" t="str">
        <f>""</f>
        <v/>
      </c>
      <c r="AI451" t="str">
        <f>""</f>
        <v/>
      </c>
      <c r="AJ451" t="str">
        <f>""</f>
        <v/>
      </c>
      <c r="AK451" t="str">
        <f>""</f>
        <v/>
      </c>
      <c r="AL451" t="str">
        <f>""</f>
        <v/>
      </c>
      <c r="AM451" t="str">
        <f>""</f>
        <v/>
      </c>
      <c r="AN451" t="str">
        <f>""</f>
        <v/>
      </c>
      <c r="AO451" t="str">
        <f>""</f>
        <v/>
      </c>
      <c r="AP451" t="str">
        <f>""</f>
        <v/>
      </c>
      <c r="AQ451" t="str">
        <f>""</f>
        <v/>
      </c>
      <c r="AR451" t="str">
        <f>""</f>
        <v/>
      </c>
      <c r="AS451" t="str">
        <f>""</f>
        <v/>
      </c>
      <c r="AT451" t="str">
        <f>""</f>
        <v/>
      </c>
      <c r="AU451" t="str">
        <f>""</f>
        <v/>
      </c>
      <c r="AV451" t="str">
        <f>""</f>
        <v/>
      </c>
      <c r="AW451" t="str">
        <f>""</f>
        <v/>
      </c>
      <c r="AX451" t="str">
        <f>""</f>
        <v/>
      </c>
      <c r="AY451" t="str">
        <f>""</f>
        <v/>
      </c>
      <c r="AZ451" t="str">
        <f>""</f>
        <v/>
      </c>
      <c r="BA451" t="str">
        <f>""</f>
        <v/>
      </c>
      <c r="BB451" t="str">
        <f>""</f>
        <v/>
      </c>
      <c r="BC451" t="str">
        <f>""</f>
        <v/>
      </c>
      <c r="BD451" t="str">
        <f>""</f>
        <v/>
      </c>
      <c r="BE451" t="str">
        <f>""</f>
        <v/>
      </c>
      <c r="BF451" t="str">
        <f t="shared" si="229"/>
        <v>A</v>
      </c>
      <c r="BG451" t="str">
        <f>""</f>
        <v/>
      </c>
      <c r="BH451" t="str">
        <f>""</f>
        <v/>
      </c>
      <c r="BI451" t="str">
        <f t="shared" si="214"/>
        <v>EVENTUAL</v>
      </c>
      <c r="BJ451" t="str">
        <f t="shared" si="230"/>
        <v>1</v>
      </c>
      <c r="BK451" t="str">
        <f t="shared" si="231"/>
        <v>Farmacia</v>
      </c>
      <c r="BL451" t="str">
        <f>""</f>
        <v/>
      </c>
      <c r="BM451" t="str">
        <f>"NÃO É VARILUX ESPECIALISTA"</f>
        <v>NÃO É VARILUX ESPECIALISTA</v>
      </c>
      <c r="BN451" t="str">
        <f t="shared" si="220"/>
        <v>NA</v>
      </c>
      <c r="BO451" t="str">
        <f>"OUTROS"</f>
        <v>OUTROS</v>
      </c>
      <c r="BP451" t="str">
        <f>""</f>
        <v/>
      </c>
      <c r="BQ451" t="str">
        <f>""</f>
        <v/>
      </c>
      <c r="BR451" t="str">
        <f>""</f>
        <v/>
      </c>
      <c r="BS451" t="str">
        <f>""</f>
        <v/>
      </c>
      <c r="BT451" t="str">
        <f>""</f>
        <v/>
      </c>
      <c r="BU451" t="str">
        <f>""</f>
        <v/>
      </c>
      <c r="BV451" t="str">
        <f>"9"</f>
        <v>9</v>
      </c>
      <c r="BW451" t="str">
        <f>"291"</f>
        <v>291</v>
      </c>
    </row>
    <row r="452" spans="1:75" x14ac:dyDescent="0.35">
      <c r="A452">
        <v>157555</v>
      </c>
      <c r="B452" t="str">
        <f t="shared" si="223"/>
        <v>A</v>
      </c>
      <c r="C452" t="str">
        <f t="shared" si="224"/>
        <v>80</v>
      </c>
      <c r="D452" t="str">
        <f t="shared" si="225"/>
        <v>11121001</v>
      </c>
      <c r="E452" t="str">
        <f t="shared" si="226"/>
        <v>121001</v>
      </c>
      <c r="F452" t="str">
        <f t="shared" si="227"/>
        <v>JENIFER SANTOS</v>
      </c>
      <c r="G452" t="str">
        <f>"00579279000100"</f>
        <v>00579279000100</v>
      </c>
      <c r="H452" t="str">
        <f>"0"</f>
        <v>0</v>
      </c>
      <c r="I452" t="str">
        <f t="shared" si="228"/>
        <v>CONTA OPTICA</v>
      </c>
      <c r="J452" t="str">
        <f>"SUDMERCO COMERCIO E INDUSTRIA DE OTICA LTDA - ME"</f>
        <v>SUDMERCO COMERCIO E INDUSTRIA DE OTICA LTDA - ME</v>
      </c>
      <c r="K452" t="str">
        <f>"BRASOPTICA (1350)"</f>
        <v>BRASOPTICA (1350)</v>
      </c>
      <c r="L452" t="str">
        <f>""</f>
        <v/>
      </c>
      <c r="M452" t="str">
        <f>""</f>
        <v/>
      </c>
      <c r="N452" t="str">
        <f>"GUSTAVO@BRASOPTICA.COM.BR"</f>
        <v>GUSTAVO@BRASOPTICA.COM.BR</v>
      </c>
      <c r="O452" t="str">
        <f>""</f>
        <v/>
      </c>
      <c r="P452" t="str">
        <f>"ANGELO MACALOS"</f>
        <v>ANGELO MACALOS</v>
      </c>
      <c r="Q452" t="str">
        <f>"256"</f>
        <v>256</v>
      </c>
      <c r="R452" t="str">
        <f>"SALA A"</f>
        <v>SALA A</v>
      </c>
      <c r="S452" t="str">
        <f>"1387"</f>
        <v>1387</v>
      </c>
      <c r="T452" t="str">
        <f>"99400000"</f>
        <v>99400000</v>
      </c>
      <c r="U452" t="str">
        <f>"CENTRO"</f>
        <v>CENTRO</v>
      </c>
      <c r="V452" t="str">
        <f>"ESPUMOSO"</f>
        <v>ESPUMOSO</v>
      </c>
      <c r="W452" t="str">
        <f>"RS"</f>
        <v>RS</v>
      </c>
      <c r="X452" t="str">
        <f>"54"</f>
        <v>54</v>
      </c>
      <c r="Y452" t="str">
        <f>"30455259"</f>
        <v>30455259</v>
      </c>
      <c r="Z452" t="str">
        <f>""</f>
        <v/>
      </c>
      <c r="AA452" t="str">
        <f>""</f>
        <v/>
      </c>
      <c r="AB452" t="str">
        <f>""</f>
        <v/>
      </c>
      <c r="AC452" t="str">
        <f>""</f>
        <v/>
      </c>
      <c r="AD452" t="str">
        <f>""</f>
        <v/>
      </c>
      <c r="AE452" t="str">
        <f>""</f>
        <v/>
      </c>
      <c r="AF452" t="str">
        <f>""</f>
        <v/>
      </c>
      <c r="AG452" t="str">
        <f>""</f>
        <v/>
      </c>
      <c r="AH452" t="str">
        <f>""</f>
        <v/>
      </c>
      <c r="AI452" t="str">
        <f>""</f>
        <v/>
      </c>
      <c r="AJ452" t="str">
        <f>""</f>
        <v/>
      </c>
      <c r="AK452" t="str">
        <f>""</f>
        <v/>
      </c>
      <c r="AL452" t="str">
        <f>""</f>
        <v/>
      </c>
      <c r="AM452" t="str">
        <f>""</f>
        <v/>
      </c>
      <c r="AN452" t="str">
        <f>""</f>
        <v/>
      </c>
      <c r="AO452" t="str">
        <f>""</f>
        <v/>
      </c>
      <c r="AP452" t="str">
        <f>""</f>
        <v/>
      </c>
      <c r="AQ452" t="str">
        <f>""</f>
        <v/>
      </c>
      <c r="AR452" t="str">
        <f>""</f>
        <v/>
      </c>
      <c r="AS452" t="str">
        <f>""</f>
        <v/>
      </c>
      <c r="AT452" t="str">
        <f>""</f>
        <v/>
      </c>
      <c r="AU452" t="str">
        <f>""</f>
        <v/>
      </c>
      <c r="AV452" t="str">
        <f>""</f>
        <v/>
      </c>
      <c r="AW452" t="str">
        <f>""</f>
        <v/>
      </c>
      <c r="AX452" t="str">
        <f>""</f>
        <v/>
      </c>
      <c r="AY452" t="str">
        <f>""</f>
        <v/>
      </c>
      <c r="AZ452" t="str">
        <f>""</f>
        <v/>
      </c>
      <c r="BA452" t="str">
        <f>""</f>
        <v/>
      </c>
      <c r="BB452" t="str">
        <f>"11/07/2023 02:14:29"</f>
        <v>11/07/2023 02:14:29</v>
      </c>
      <c r="BC452" t="str">
        <f>""</f>
        <v/>
      </c>
      <c r="BD452" t="str">
        <f>""</f>
        <v/>
      </c>
      <c r="BE452" t="str">
        <f>""</f>
        <v/>
      </c>
      <c r="BF452" t="str">
        <f t="shared" si="229"/>
        <v>A</v>
      </c>
      <c r="BG452" t="str">
        <f>""</f>
        <v/>
      </c>
      <c r="BH452" t="str">
        <f>""</f>
        <v/>
      </c>
      <c r="BI452" t="str">
        <f t="shared" si="214"/>
        <v>EVENTUAL</v>
      </c>
      <c r="BJ452" t="str">
        <f t="shared" si="230"/>
        <v>1</v>
      </c>
      <c r="BK452" t="str">
        <f t="shared" si="231"/>
        <v>Farmacia</v>
      </c>
      <c r="BL452" t="str">
        <f>""</f>
        <v/>
      </c>
      <c r="BM452" t="str">
        <f>""</f>
        <v/>
      </c>
      <c r="BN452" t="str">
        <f>""</f>
        <v/>
      </c>
      <c r="BO452" t="str">
        <f>""</f>
        <v/>
      </c>
      <c r="BP452" t="str">
        <f>""</f>
        <v/>
      </c>
      <c r="BQ452" t="str">
        <f>""</f>
        <v/>
      </c>
      <c r="BR452" t="str">
        <f>"11/07/2023"</f>
        <v>11/07/2023</v>
      </c>
      <c r="BS452" t="str">
        <f>""</f>
        <v/>
      </c>
      <c r="BT452" t="str">
        <f>""</f>
        <v/>
      </c>
      <c r="BU452" t="str">
        <f>""</f>
        <v/>
      </c>
      <c r="BV452" t="str">
        <f>""</f>
        <v/>
      </c>
      <c r="BW452" t="str">
        <f>"Não visitado"</f>
        <v>Não visitado</v>
      </c>
    </row>
    <row r="453" spans="1:75" x14ac:dyDescent="0.35">
      <c r="A453">
        <v>156751</v>
      </c>
      <c r="B453" t="str">
        <f t="shared" si="223"/>
        <v>A</v>
      </c>
      <c r="C453" t="str">
        <f t="shared" si="224"/>
        <v>80</v>
      </c>
      <c r="D453" t="str">
        <f t="shared" si="225"/>
        <v>11121001</v>
      </c>
      <c r="E453" t="str">
        <f t="shared" si="226"/>
        <v>121001</v>
      </c>
      <c r="F453" t="str">
        <f t="shared" si="227"/>
        <v>JENIFER SANTOS</v>
      </c>
      <c r="G453" t="str">
        <f>"43820236000187"</f>
        <v>43820236000187</v>
      </c>
      <c r="H453" t="str">
        <f>"0"</f>
        <v>0</v>
      </c>
      <c r="I453" t="str">
        <f t="shared" si="228"/>
        <v>CONTA OPTICA</v>
      </c>
      <c r="J453" t="str">
        <f>"SUELI BATISTA DA SILVA 06388369804"</f>
        <v>SUELI BATISTA DA SILVA 06388369804</v>
      </c>
      <c r="K453" t="str">
        <f>"OTICA ALTO OLHAR (4595)"</f>
        <v>OTICA ALTO OLHAR (4595)</v>
      </c>
      <c r="L453" t="str">
        <f>""</f>
        <v/>
      </c>
      <c r="M453" t="str">
        <f>""</f>
        <v/>
      </c>
      <c r="N453" t="str">
        <f>"OTICAALTOOLHAR@HOTMAIL.COM"</f>
        <v>OTICAALTOOLHAR@HOTMAIL.COM</v>
      </c>
      <c r="O453" t="str">
        <f>""</f>
        <v/>
      </c>
      <c r="P453" t="str">
        <f>"RUA JOSE NARLOCH"</f>
        <v>RUA JOSE NARLOCH</v>
      </c>
      <c r="Q453" t="str">
        <f>"2015"</f>
        <v>2015</v>
      </c>
      <c r="R453" t="str">
        <f>"LOTE 230 - LOJA"</f>
        <v>LOTE 230 - LOJA</v>
      </c>
      <c r="S453" t="str">
        <f>""</f>
        <v/>
      </c>
      <c r="T453" t="str">
        <f>"89253789"</f>
        <v>89253789</v>
      </c>
      <c r="U453" t="str">
        <f>"TIFA MARTINS"</f>
        <v>TIFA MARTINS</v>
      </c>
      <c r="V453" t="str">
        <f>"JARAGUA DO SUL"</f>
        <v>JARAGUA DO SUL</v>
      </c>
      <c r="W453" t="str">
        <f t="shared" ref="W453:W474" si="232">"SC"</f>
        <v>SC</v>
      </c>
      <c r="X453" t="str">
        <f>"47"</f>
        <v>47</v>
      </c>
      <c r="Y453" t="str">
        <f>"999586388"</f>
        <v>999586388</v>
      </c>
      <c r="Z453" t="str">
        <f>""</f>
        <v/>
      </c>
      <c r="AA453" t="str">
        <f>""</f>
        <v/>
      </c>
      <c r="AB453" t="str">
        <f>""</f>
        <v/>
      </c>
      <c r="AC453" t="str">
        <f>""</f>
        <v/>
      </c>
      <c r="AD453" t="str">
        <f>""</f>
        <v/>
      </c>
      <c r="AE453" t="str">
        <f>""</f>
        <v/>
      </c>
      <c r="AF453" t="str">
        <f>""</f>
        <v/>
      </c>
      <c r="AG453" t="str">
        <f>""</f>
        <v/>
      </c>
      <c r="AH453" t="str">
        <f>""</f>
        <v/>
      </c>
      <c r="AI453" t="str">
        <f>""</f>
        <v/>
      </c>
      <c r="AJ453" t="str">
        <f>""</f>
        <v/>
      </c>
      <c r="AK453" t="str">
        <f>""</f>
        <v/>
      </c>
      <c r="AL453" t="str">
        <f>""</f>
        <v/>
      </c>
      <c r="AM453" t="str">
        <f>""</f>
        <v/>
      </c>
      <c r="AN453" t="str">
        <f>""</f>
        <v/>
      </c>
      <c r="AO453" t="str">
        <f>""</f>
        <v/>
      </c>
      <c r="AP453" t="str">
        <f>""</f>
        <v/>
      </c>
      <c r="AQ453" t="str">
        <f>""</f>
        <v/>
      </c>
      <c r="AR453" t="str">
        <f>""</f>
        <v/>
      </c>
      <c r="AS453" t="str">
        <f>""</f>
        <v/>
      </c>
      <c r="AT453" t="str">
        <f>""</f>
        <v/>
      </c>
      <c r="AU453" t="str">
        <f>""</f>
        <v/>
      </c>
      <c r="AV453" t="str">
        <f>""</f>
        <v/>
      </c>
      <c r="AW453" t="str">
        <f>""</f>
        <v/>
      </c>
      <c r="AX453" t="str">
        <f>""</f>
        <v/>
      </c>
      <c r="AY453" t="str">
        <f>""</f>
        <v/>
      </c>
      <c r="AZ453" t="str">
        <f>""</f>
        <v/>
      </c>
      <c r="BA453" t="str">
        <f>""</f>
        <v/>
      </c>
      <c r="BB453" t="str">
        <f>"06/07/2023 12:07:48"</f>
        <v>06/07/2023 12:07:48</v>
      </c>
      <c r="BC453" t="str">
        <f>""</f>
        <v/>
      </c>
      <c r="BD453" t="str">
        <f>""</f>
        <v/>
      </c>
      <c r="BE453" t="str">
        <f>""</f>
        <v/>
      </c>
      <c r="BF453" t="str">
        <f t="shared" si="229"/>
        <v>A</v>
      </c>
      <c r="BG453" t="str">
        <f>""</f>
        <v/>
      </c>
      <c r="BH453" t="str">
        <f>""</f>
        <v/>
      </c>
      <c r="BI453" t="str">
        <f t="shared" si="214"/>
        <v>EVENTUAL</v>
      </c>
      <c r="BJ453" t="str">
        <f t="shared" si="230"/>
        <v>1</v>
      </c>
      <c r="BK453" t="str">
        <f t="shared" si="231"/>
        <v>Farmacia</v>
      </c>
      <c r="BL453" t="str">
        <f>""</f>
        <v/>
      </c>
      <c r="BM453" t="str">
        <f>""</f>
        <v/>
      </c>
      <c r="BN453" t="str">
        <f>""</f>
        <v/>
      </c>
      <c r="BO453" t="str">
        <f>""</f>
        <v/>
      </c>
      <c r="BP453" t="str">
        <f>""</f>
        <v/>
      </c>
      <c r="BQ453" t="str">
        <f>""</f>
        <v/>
      </c>
      <c r="BR453" t="str">
        <f>"06/07/2023"</f>
        <v>06/07/2023</v>
      </c>
      <c r="BS453" t="str">
        <f>""</f>
        <v/>
      </c>
      <c r="BT453" t="str">
        <f>""</f>
        <v/>
      </c>
      <c r="BU453" t="str">
        <f>""</f>
        <v/>
      </c>
      <c r="BV453" t="str">
        <f>""</f>
        <v/>
      </c>
      <c r="BW453" t="str">
        <f>"Não visitado"</f>
        <v>Não visitado</v>
      </c>
    </row>
    <row r="454" spans="1:75" x14ac:dyDescent="0.35">
      <c r="A454">
        <v>138244</v>
      </c>
      <c r="B454" t="str">
        <f t="shared" si="223"/>
        <v>A</v>
      </c>
      <c r="C454" t="str">
        <f t="shared" si="224"/>
        <v>80</v>
      </c>
      <c r="D454" t="str">
        <f t="shared" si="225"/>
        <v>11121001</v>
      </c>
      <c r="E454" t="str">
        <f t="shared" si="226"/>
        <v>121001</v>
      </c>
      <c r="F454" t="str">
        <f t="shared" si="227"/>
        <v>JENIFER SANTOS</v>
      </c>
      <c r="G454" t="str">
        <f>"81861049000130"</f>
        <v>81861049000130</v>
      </c>
      <c r="H454" t="str">
        <f>"0"</f>
        <v>0</v>
      </c>
      <c r="I454" t="str">
        <f t="shared" si="228"/>
        <v>CONTA OPTICA</v>
      </c>
      <c r="J454" t="str">
        <f>"SULZBACH PRESENTES LTDA"</f>
        <v>SULZBACH PRESENTES LTDA</v>
      </c>
      <c r="K454" t="str">
        <f>"SULZBACH PRESENTES LTDA (1216)"</f>
        <v>SULZBACH PRESENTES LTDA (1216)</v>
      </c>
      <c r="L454" t="str">
        <f>""</f>
        <v/>
      </c>
      <c r="M454" t="str">
        <f>""</f>
        <v/>
      </c>
      <c r="N454" t="str">
        <f>"jejeferreir@hotmail.com"</f>
        <v>jejeferreir@hotmail.com</v>
      </c>
      <c r="O454" t="str">
        <f>""</f>
        <v/>
      </c>
      <c r="P454" t="str">
        <f>"AVENIDA SALOMAO C. DE ALMEIDA"</f>
        <v>AVENIDA SALOMAO C. DE ALMEIDA</v>
      </c>
      <c r="Q454" t="str">
        <f>"609"</f>
        <v>609</v>
      </c>
      <c r="R454" t="str">
        <f>""</f>
        <v/>
      </c>
      <c r="S454" t="str">
        <f>"1284"</f>
        <v>1284</v>
      </c>
      <c r="T454" t="str">
        <f>"89520000"</f>
        <v>89520000</v>
      </c>
      <c r="U454" t="str">
        <f>"NAO INFORMADO"</f>
        <v>NAO INFORMADO</v>
      </c>
      <c r="V454" t="str">
        <f>"CURITIBANOS"</f>
        <v>CURITIBANOS</v>
      </c>
      <c r="W454" t="str">
        <f t="shared" si="232"/>
        <v>SC</v>
      </c>
      <c r="X454" t="str">
        <f>"49"</f>
        <v>49</v>
      </c>
      <c r="Y454" t="str">
        <f>"32451364"</f>
        <v>32451364</v>
      </c>
      <c r="Z454" t="str">
        <f>""</f>
        <v/>
      </c>
      <c r="AA454" t="str">
        <f>""</f>
        <v/>
      </c>
      <c r="AB454" t="str">
        <f>""</f>
        <v/>
      </c>
      <c r="AC454" t="str">
        <f>""</f>
        <v/>
      </c>
      <c r="AD454" t="str">
        <f>""</f>
        <v/>
      </c>
      <c r="AE454" t="str">
        <f>""</f>
        <v/>
      </c>
      <c r="AF454" t="str">
        <f>""</f>
        <v/>
      </c>
      <c r="AG454" t="str">
        <f>"S"</f>
        <v>S</v>
      </c>
      <c r="AH454" t="str">
        <f>""</f>
        <v/>
      </c>
      <c r="AI454" t="str">
        <f>""</f>
        <v/>
      </c>
      <c r="AJ454" t="str">
        <f>""</f>
        <v/>
      </c>
      <c r="AK454" t="str">
        <f>""</f>
        <v/>
      </c>
      <c r="AL454" t="str">
        <f>""</f>
        <v/>
      </c>
      <c r="AM454" t="str">
        <f>""</f>
        <v/>
      </c>
      <c r="AN454" t="str">
        <f>""</f>
        <v/>
      </c>
      <c r="AO454" t="str">
        <f>""</f>
        <v/>
      </c>
      <c r="AP454" t="str">
        <f>""</f>
        <v/>
      </c>
      <c r="AQ454" t="str">
        <f>"N"</f>
        <v>N</v>
      </c>
      <c r="AR454" t="str">
        <f>"N"</f>
        <v>N</v>
      </c>
      <c r="AS454" t="str">
        <f>"N"</f>
        <v>N</v>
      </c>
      <c r="AT454" t="str">
        <f>"N"</f>
        <v>N</v>
      </c>
      <c r="AU454" t="str">
        <f>"N"</f>
        <v>N</v>
      </c>
      <c r="AV454" t="str">
        <f>""</f>
        <v/>
      </c>
      <c r="AW454" t="str">
        <f>""</f>
        <v/>
      </c>
      <c r="AX454" t="str">
        <f>""</f>
        <v/>
      </c>
      <c r="AY454" t="str">
        <f>""</f>
        <v/>
      </c>
      <c r="AZ454" t="str">
        <f>""</f>
        <v/>
      </c>
      <c r="BA454" t="str">
        <f>""</f>
        <v/>
      </c>
      <c r="BB454" t="str">
        <f>"01/07/2021 13:53:04"</f>
        <v>01/07/2021 13:53:04</v>
      </c>
      <c r="BC454" t="str">
        <f>"02/05/2022 11:56:42"</f>
        <v>02/05/2022 11:56:42</v>
      </c>
      <c r="BD454" t="str">
        <f>""</f>
        <v/>
      </c>
      <c r="BE454" t="str">
        <f>""</f>
        <v/>
      </c>
      <c r="BF454" t="str">
        <f t="shared" si="229"/>
        <v>A</v>
      </c>
      <c r="BG454" t="str">
        <f>""</f>
        <v/>
      </c>
      <c r="BH454" t="str">
        <f>"0,00"</f>
        <v>0,00</v>
      </c>
      <c r="BI454" t="str">
        <f t="shared" si="214"/>
        <v>EVENTUAL</v>
      </c>
      <c r="BJ454" t="str">
        <f t="shared" si="230"/>
        <v>1</v>
      </c>
      <c r="BK454" t="str">
        <f t="shared" si="231"/>
        <v>Farmacia</v>
      </c>
      <c r="BL454" t="str">
        <f>""</f>
        <v/>
      </c>
      <c r="BM454" t="str">
        <f>"VARILUX ESPECIALISTA PLATINE"</f>
        <v>VARILUX ESPECIALISTA PLATINE</v>
      </c>
      <c r="BN454" t="str">
        <f>"NA"</f>
        <v>NA</v>
      </c>
      <c r="BO454" t="str">
        <f>"FOCO VARILUX DIGITAL"</f>
        <v>FOCO VARILUX DIGITAL</v>
      </c>
      <c r="BP454" t="str">
        <f>""</f>
        <v/>
      </c>
      <c r="BQ454" t="str">
        <f>""</f>
        <v/>
      </c>
      <c r="BR454" t="str">
        <f>"01/07/2021"</f>
        <v>01/07/2021</v>
      </c>
      <c r="BS454" t="str">
        <f>"02/05/2022"</f>
        <v>02/05/2022</v>
      </c>
      <c r="BT454" t="str">
        <f>""</f>
        <v/>
      </c>
      <c r="BU454" t="str">
        <f>""</f>
        <v/>
      </c>
      <c r="BV454" t="str">
        <f>""</f>
        <v/>
      </c>
      <c r="BW454" t="str">
        <f>"8"</f>
        <v>8</v>
      </c>
    </row>
    <row r="455" spans="1:75" x14ac:dyDescent="0.35">
      <c r="A455">
        <v>158726</v>
      </c>
      <c r="B455" t="str">
        <f t="shared" si="223"/>
        <v>A</v>
      </c>
      <c r="C455" t="str">
        <f t="shared" si="224"/>
        <v>80</v>
      </c>
      <c r="D455" t="str">
        <f t="shared" si="225"/>
        <v>11121001</v>
      </c>
      <c r="E455" t="str">
        <f t="shared" si="226"/>
        <v>121001</v>
      </c>
      <c r="F455" t="str">
        <f t="shared" si="227"/>
        <v>JENIFER SANTOS</v>
      </c>
      <c r="G455" t="str">
        <f>"07522711000175"</f>
        <v>07522711000175</v>
      </c>
      <c r="H455" t="str">
        <f>""</f>
        <v/>
      </c>
      <c r="I455" t="str">
        <f t="shared" si="228"/>
        <v>CONTA OPTICA</v>
      </c>
      <c r="J455" t="str">
        <f>"SWELL OCULOS E ARMACOES LTDA"</f>
        <v>SWELL OCULOS E ARMACOES LTDA</v>
      </c>
      <c r="K455" t="str">
        <f>"SWELL (4734)"</f>
        <v>SWELL (4734)</v>
      </c>
      <c r="L455" t="str">
        <f>""</f>
        <v/>
      </c>
      <c r="M455" t="str">
        <f>""</f>
        <v/>
      </c>
      <c r="N455" t="str">
        <f>"SWELLOPTICA@HOTMAIL.COM"</f>
        <v>SWELLOPTICA@HOTMAIL.COM</v>
      </c>
      <c r="O455" t="str">
        <f>""</f>
        <v/>
      </c>
      <c r="P455" t="str">
        <f>"RUA WALDEMAR RANGRAB"</f>
        <v>RUA WALDEMAR RANGRAB</v>
      </c>
      <c r="Q455" t="str">
        <f>"1390"</f>
        <v>1390</v>
      </c>
      <c r="R455" t="str">
        <f>"SALA 08"</f>
        <v>SALA 08</v>
      </c>
      <c r="S455" t="str">
        <f>"1289"</f>
        <v>1289</v>
      </c>
      <c r="T455" t="str">
        <f>"89920000"</f>
        <v>89920000</v>
      </c>
      <c r="U455" t="str">
        <f>"JARDIM PEPERI"</f>
        <v>JARDIM PEPERI</v>
      </c>
      <c r="V455" t="str">
        <f>"SAO MIGUEL DO OESTE"</f>
        <v>SAO MIGUEL DO OESTE</v>
      </c>
      <c r="W455" t="str">
        <f t="shared" si="232"/>
        <v>SC</v>
      </c>
      <c r="X455" t="str">
        <f>"49"</f>
        <v>49</v>
      </c>
      <c r="Y455" t="str">
        <f>"36213507"</f>
        <v>36213507</v>
      </c>
      <c r="Z455" t="str">
        <f>""</f>
        <v/>
      </c>
      <c r="AA455" t="str">
        <f>""</f>
        <v/>
      </c>
      <c r="AB455" t="str">
        <f>""</f>
        <v/>
      </c>
      <c r="AC455" t="str">
        <f>""</f>
        <v/>
      </c>
      <c r="AD455" t="str">
        <f>""</f>
        <v/>
      </c>
      <c r="AE455" t="str">
        <f>""</f>
        <v/>
      </c>
      <c r="AF455" t="str">
        <f>""</f>
        <v/>
      </c>
      <c r="AG455" t="str">
        <f>""</f>
        <v/>
      </c>
      <c r="AH455" t="str">
        <f>""</f>
        <v/>
      </c>
      <c r="AI455" t="str">
        <f>""</f>
        <v/>
      </c>
      <c r="AJ455" t="str">
        <f>""</f>
        <v/>
      </c>
      <c r="AK455" t="str">
        <f>""</f>
        <v/>
      </c>
      <c r="AL455" t="str">
        <f>""</f>
        <v/>
      </c>
      <c r="AM455" t="str">
        <f>""</f>
        <v/>
      </c>
      <c r="AN455" t="str">
        <f>""</f>
        <v/>
      </c>
      <c r="AO455" t="str">
        <f>""</f>
        <v/>
      </c>
      <c r="AP455" t="str">
        <f>""</f>
        <v/>
      </c>
      <c r="AQ455" t="str">
        <f>""</f>
        <v/>
      </c>
      <c r="AR455" t="str">
        <f>""</f>
        <v/>
      </c>
      <c r="AS455" t="str">
        <f>""</f>
        <v/>
      </c>
      <c r="AT455" t="str">
        <f>""</f>
        <v/>
      </c>
      <c r="AU455" t="str">
        <f>""</f>
        <v/>
      </c>
      <c r="AV455" t="str">
        <f>""</f>
        <v/>
      </c>
      <c r="AW455" t="str">
        <f>""</f>
        <v/>
      </c>
      <c r="AX455" t="str">
        <f>""</f>
        <v/>
      </c>
      <c r="AY455" t="str">
        <f>""</f>
        <v/>
      </c>
      <c r="AZ455" t="str">
        <f>""</f>
        <v/>
      </c>
      <c r="BA455" t="str">
        <f>""</f>
        <v/>
      </c>
      <c r="BB455" t="str">
        <f>"17/08/2023 16:48:06"</f>
        <v>17/08/2023 16:48:06</v>
      </c>
      <c r="BC455" t="str">
        <f>""</f>
        <v/>
      </c>
      <c r="BD455" t="str">
        <f>""</f>
        <v/>
      </c>
      <c r="BE455" t="str">
        <f>""</f>
        <v/>
      </c>
      <c r="BF455" t="str">
        <f t="shared" si="229"/>
        <v>A</v>
      </c>
      <c r="BG455" t="str">
        <f>""</f>
        <v/>
      </c>
      <c r="BH455" t="str">
        <f>""</f>
        <v/>
      </c>
      <c r="BI455" t="str">
        <f t="shared" si="214"/>
        <v>EVENTUAL</v>
      </c>
      <c r="BJ455" t="str">
        <f t="shared" si="230"/>
        <v>1</v>
      </c>
      <c r="BK455" t="str">
        <f t="shared" si="231"/>
        <v>Farmacia</v>
      </c>
      <c r="BL455" t="str">
        <f>""</f>
        <v/>
      </c>
      <c r="BM455" t="str">
        <f>""</f>
        <v/>
      </c>
      <c r="BN455" t="str">
        <f>""</f>
        <v/>
      </c>
      <c r="BO455" t="str">
        <f>""</f>
        <v/>
      </c>
      <c r="BP455" t="str">
        <f>""</f>
        <v/>
      </c>
      <c r="BQ455" t="str">
        <f>""</f>
        <v/>
      </c>
      <c r="BR455" t="str">
        <f>"17/08/2023"</f>
        <v>17/08/2023</v>
      </c>
      <c r="BS455" t="str">
        <f>""</f>
        <v/>
      </c>
      <c r="BT455" t="str">
        <f>""</f>
        <v/>
      </c>
      <c r="BU455" t="str">
        <f>""</f>
        <v/>
      </c>
      <c r="BV455" t="str">
        <f>""</f>
        <v/>
      </c>
      <c r="BW455" t="str">
        <f>"1"</f>
        <v>1</v>
      </c>
    </row>
    <row r="456" spans="1:75" x14ac:dyDescent="0.35">
      <c r="A456">
        <v>120292</v>
      </c>
      <c r="B456" t="str">
        <f t="shared" si="223"/>
        <v>A</v>
      </c>
      <c r="C456" t="str">
        <f t="shared" si="224"/>
        <v>80</v>
      </c>
      <c r="D456" t="str">
        <f t="shared" si="225"/>
        <v>11121001</v>
      </c>
      <c r="E456" t="str">
        <f t="shared" si="226"/>
        <v>121001</v>
      </c>
      <c r="F456" t="str">
        <f t="shared" si="227"/>
        <v>JENIFER SANTOS</v>
      </c>
      <c r="G456" t="str">
        <f>"07716144000350"</f>
        <v>07716144000350</v>
      </c>
      <c r="H456" t="str">
        <f>"0"</f>
        <v>0</v>
      </c>
      <c r="I456" t="str">
        <f t="shared" si="228"/>
        <v>CONTA OPTICA</v>
      </c>
      <c r="J456" t="str">
        <f>"SWELL STORE OPTICA E JOALHERIA EIRELI"</f>
        <v>SWELL STORE OPTICA E JOALHERIA EIRELI</v>
      </c>
      <c r="K456" t="str">
        <f>"SWELL STORE OPTICA E JOALHERIA (2220)"</f>
        <v>SWELL STORE OPTICA E JOALHERIA (2220)</v>
      </c>
      <c r="L456" t="str">
        <f>""</f>
        <v/>
      </c>
      <c r="M456" t="str">
        <f>""</f>
        <v/>
      </c>
      <c r="N456" t="str">
        <f>"joalheriaeoticasofia@gmail.com"</f>
        <v>joalheriaeoticasofia@gmail.com</v>
      </c>
      <c r="O456" t="str">
        <f>""</f>
        <v/>
      </c>
      <c r="P456" t="str">
        <f>"RUA WALDEMAR RANGRAB"</f>
        <v>RUA WALDEMAR RANGRAB</v>
      </c>
      <c r="Q456" t="str">
        <f>"1390"</f>
        <v>1390</v>
      </c>
      <c r="R456" t="str">
        <f>"SALSALA 08A 08"</f>
        <v>SALSALA 08A 08</v>
      </c>
      <c r="S456" t="str">
        <f>"1289"</f>
        <v>1289</v>
      </c>
      <c r="T456" t="str">
        <f>"89900000"</f>
        <v>89900000</v>
      </c>
      <c r="U456" t="str">
        <f>"CENTRO"</f>
        <v>CENTRO</v>
      </c>
      <c r="V456" t="str">
        <f>"SÃO MIGUEL DO OESTE"</f>
        <v>SÃO MIGUEL DO OESTE</v>
      </c>
      <c r="W456" t="str">
        <f t="shared" si="232"/>
        <v>SC</v>
      </c>
      <c r="X456" t="str">
        <f>"49"</f>
        <v>49</v>
      </c>
      <c r="Y456" t="str">
        <f>"36211562"</f>
        <v>36211562</v>
      </c>
      <c r="Z456" t="str">
        <f>""</f>
        <v/>
      </c>
      <c r="AA456" t="str">
        <f>""</f>
        <v/>
      </c>
      <c r="AB456" t="str">
        <f>""</f>
        <v/>
      </c>
      <c r="AC456" t="str">
        <f>""</f>
        <v/>
      </c>
      <c r="AD456" t="str">
        <f>""</f>
        <v/>
      </c>
      <c r="AE456" t="str">
        <f>""</f>
        <v/>
      </c>
      <c r="AF456" t="str">
        <f>""</f>
        <v/>
      </c>
      <c r="AG456" t="str">
        <f>""</f>
        <v/>
      </c>
      <c r="AH456" t="str">
        <f>""</f>
        <v/>
      </c>
      <c r="AI456" t="str">
        <f>""</f>
        <v/>
      </c>
      <c r="AJ456" t="str">
        <f t="shared" ref="AJ456:AL458" si="233">"0"</f>
        <v>0</v>
      </c>
      <c r="AK456" t="str">
        <f t="shared" si="233"/>
        <v>0</v>
      </c>
      <c r="AL456" t="str">
        <f t="shared" si="233"/>
        <v>0</v>
      </c>
      <c r="AM456" t="str">
        <f>""</f>
        <v/>
      </c>
      <c r="AN456" t="str">
        <f>""</f>
        <v/>
      </c>
      <c r="AO456" t="str">
        <f>""</f>
        <v/>
      </c>
      <c r="AP456" t="str">
        <f>""</f>
        <v/>
      </c>
      <c r="AQ456" t="str">
        <f>""</f>
        <v/>
      </c>
      <c r="AR456" t="str">
        <f>""</f>
        <v/>
      </c>
      <c r="AS456" t="str">
        <f>""</f>
        <v/>
      </c>
      <c r="AT456" t="str">
        <f>""</f>
        <v/>
      </c>
      <c r="AU456" t="str">
        <f>""</f>
        <v/>
      </c>
      <c r="AV456" t="str">
        <f>""</f>
        <v/>
      </c>
      <c r="AW456" t="str">
        <f>""</f>
        <v/>
      </c>
      <c r="AX456" t="str">
        <f>""</f>
        <v/>
      </c>
      <c r="AY456" t="str">
        <f>""</f>
        <v/>
      </c>
      <c r="AZ456" t="str">
        <f>""</f>
        <v/>
      </c>
      <c r="BA456" t="str">
        <f>""</f>
        <v/>
      </c>
      <c r="BB456" t="str">
        <f>"18/09/2020 22:12:34"</f>
        <v>18/09/2020 22:12:34</v>
      </c>
      <c r="BC456" t="str">
        <f>""</f>
        <v/>
      </c>
      <c r="BD456" t="str">
        <f>""</f>
        <v/>
      </c>
      <c r="BE456" t="str">
        <f>""</f>
        <v/>
      </c>
      <c r="BF456" t="str">
        <f t="shared" si="229"/>
        <v>A</v>
      </c>
      <c r="BG456" t="str">
        <f t="shared" ref="BG456:BH458" si="234">"0,00"</f>
        <v>0,00</v>
      </c>
      <c r="BH456" t="str">
        <f t="shared" si="234"/>
        <v>0,00</v>
      </c>
      <c r="BI456" t="str">
        <f t="shared" si="214"/>
        <v>EVENTUAL</v>
      </c>
      <c r="BJ456" t="str">
        <f t="shared" si="230"/>
        <v>1</v>
      </c>
      <c r="BK456" t="str">
        <f t="shared" si="231"/>
        <v>Farmacia</v>
      </c>
      <c r="BL456" t="str">
        <f>""</f>
        <v/>
      </c>
      <c r="BM456" t="str">
        <f>"VARILUX ESPECIALISTA SELECT"</f>
        <v>VARILUX ESPECIALISTA SELECT</v>
      </c>
      <c r="BN456" t="str">
        <f>"NA"</f>
        <v>NA</v>
      </c>
      <c r="BO456" t="str">
        <f>"FOCO KODAK 2"</f>
        <v>FOCO KODAK 2</v>
      </c>
      <c r="BP456" t="str">
        <f>""</f>
        <v/>
      </c>
      <c r="BQ456" t="str">
        <f>""</f>
        <v/>
      </c>
      <c r="BR456" t="str">
        <f>"18/09/2020"</f>
        <v>18/09/2020</v>
      </c>
      <c r="BS456" t="str">
        <f>""</f>
        <v/>
      </c>
      <c r="BT456" t="str">
        <f>""</f>
        <v/>
      </c>
      <c r="BU456" t="str">
        <f>""</f>
        <v/>
      </c>
      <c r="BV456" t="str">
        <f>"9"</f>
        <v>9</v>
      </c>
      <c r="BW456" t="str">
        <f>"1"</f>
        <v>1</v>
      </c>
    </row>
    <row r="457" spans="1:75" x14ac:dyDescent="0.35">
      <c r="A457">
        <v>120288</v>
      </c>
      <c r="B457" t="str">
        <f t="shared" si="223"/>
        <v>A</v>
      </c>
      <c r="C457" t="str">
        <f t="shared" si="224"/>
        <v>80</v>
      </c>
      <c r="D457" t="str">
        <f t="shared" si="225"/>
        <v>11121001</v>
      </c>
      <c r="E457" t="str">
        <f t="shared" si="226"/>
        <v>121001</v>
      </c>
      <c r="F457" t="str">
        <f t="shared" si="227"/>
        <v>JENIFER SANTOS</v>
      </c>
      <c r="G457" t="str">
        <f>"07716144000279"</f>
        <v>07716144000279</v>
      </c>
      <c r="H457" t="str">
        <f>"0"</f>
        <v>0</v>
      </c>
      <c r="I457" t="str">
        <f t="shared" si="228"/>
        <v>CONTA OPTICA</v>
      </c>
      <c r="J457" t="str">
        <f>"SWELL STORE OPTICA E JOALHERIA EIRELI - ME"</f>
        <v>SWELL STORE OPTICA E JOALHERIA EIRELI - ME</v>
      </c>
      <c r="K457" t="str">
        <f>"SWELL STORE OPTICA E JOALHERIA EIRELI - ME (2263)"</f>
        <v>SWELL STORE OPTICA E JOALHERIA EIRELI - ME (2263)</v>
      </c>
      <c r="L457" t="str">
        <f>""</f>
        <v/>
      </c>
      <c r="M457" t="str">
        <f>""</f>
        <v/>
      </c>
      <c r="N457" t="str">
        <f>"joalheriaeoticasofia@gmail.com"</f>
        <v>joalheriaeoticasofia@gmail.com</v>
      </c>
      <c r="O457" t="str">
        <f>""</f>
        <v/>
      </c>
      <c r="P457" t="str">
        <f>"RUA 15 DE NOVEMBRO"</f>
        <v>RUA 15 DE NOVEMBRO</v>
      </c>
      <c r="Q457" t="str">
        <f>"427"</f>
        <v>427</v>
      </c>
      <c r="R457" t="str">
        <f>""</f>
        <v/>
      </c>
      <c r="S457" t="str">
        <f>"1289"</f>
        <v>1289</v>
      </c>
      <c r="T457" t="str">
        <f>"89900000"</f>
        <v>89900000</v>
      </c>
      <c r="U457" t="str">
        <f>"CENTRO"</f>
        <v>CENTRO</v>
      </c>
      <c r="V457" t="str">
        <f>"SÃO MIGUEL DO OESTE"</f>
        <v>SÃO MIGUEL DO OESTE</v>
      </c>
      <c r="W457" t="str">
        <f t="shared" si="232"/>
        <v>SC</v>
      </c>
      <c r="X457" t="str">
        <f>"49"</f>
        <v>49</v>
      </c>
      <c r="Y457" t="str">
        <f>"36228286"</f>
        <v>36228286</v>
      </c>
      <c r="Z457" t="str">
        <f>""</f>
        <v/>
      </c>
      <c r="AA457" t="str">
        <f>""</f>
        <v/>
      </c>
      <c r="AB457" t="str">
        <f>""</f>
        <v/>
      </c>
      <c r="AC457" t="str">
        <f>""</f>
        <v/>
      </c>
      <c r="AD457" t="str">
        <f>""</f>
        <v/>
      </c>
      <c r="AE457" t="str">
        <f>""</f>
        <v/>
      </c>
      <c r="AF457" t="str">
        <f>""</f>
        <v/>
      </c>
      <c r="AG457" t="str">
        <f>""</f>
        <v/>
      </c>
      <c r="AH457" t="str">
        <f>""</f>
        <v/>
      </c>
      <c r="AI457" t="str">
        <f>""</f>
        <v/>
      </c>
      <c r="AJ457" t="str">
        <f t="shared" si="233"/>
        <v>0</v>
      </c>
      <c r="AK457" t="str">
        <f t="shared" si="233"/>
        <v>0</v>
      </c>
      <c r="AL457" t="str">
        <f t="shared" si="233"/>
        <v>0</v>
      </c>
      <c r="AM457" t="str">
        <f>""</f>
        <v/>
      </c>
      <c r="AN457" t="str">
        <f>""</f>
        <v/>
      </c>
      <c r="AO457" t="str">
        <f>""</f>
        <v/>
      </c>
      <c r="AP457" t="str">
        <f>""</f>
        <v/>
      </c>
      <c r="AQ457" t="str">
        <f>""</f>
        <v/>
      </c>
      <c r="AR457" t="str">
        <f>""</f>
        <v/>
      </c>
      <c r="AS457" t="str">
        <f>""</f>
        <v/>
      </c>
      <c r="AT457" t="str">
        <f>""</f>
        <v/>
      </c>
      <c r="AU457" t="str">
        <f>""</f>
        <v/>
      </c>
      <c r="AV457" t="str">
        <f>""</f>
        <v/>
      </c>
      <c r="AW457" t="str">
        <f>""</f>
        <v/>
      </c>
      <c r="AX457" t="str">
        <f>""</f>
        <v/>
      </c>
      <c r="AY457" t="str">
        <f>""</f>
        <v/>
      </c>
      <c r="AZ457" t="str">
        <f>""</f>
        <v/>
      </c>
      <c r="BA457" t="str">
        <f>""</f>
        <v/>
      </c>
      <c r="BB457" t="str">
        <f>"18/09/2020 22:12:34"</f>
        <v>18/09/2020 22:12:34</v>
      </c>
      <c r="BC457" t="str">
        <f>""</f>
        <v/>
      </c>
      <c r="BD457" t="str">
        <f>""</f>
        <v/>
      </c>
      <c r="BE457" t="str">
        <f>""</f>
        <v/>
      </c>
      <c r="BF457" t="str">
        <f t="shared" si="229"/>
        <v>A</v>
      </c>
      <c r="BG457" t="str">
        <f t="shared" si="234"/>
        <v>0,00</v>
      </c>
      <c r="BH457" t="str">
        <f t="shared" si="234"/>
        <v>0,00</v>
      </c>
      <c r="BI457" t="str">
        <f t="shared" si="214"/>
        <v>EVENTUAL</v>
      </c>
      <c r="BJ457" t="str">
        <f t="shared" si="230"/>
        <v>1</v>
      </c>
      <c r="BK457" t="str">
        <f t="shared" si="231"/>
        <v>Farmacia</v>
      </c>
      <c r="BL457" t="str">
        <f>""</f>
        <v/>
      </c>
      <c r="BM457" t="str">
        <f>"VARILUX ESPECIALISTA PLATINE"</f>
        <v>VARILUX ESPECIALISTA PLATINE</v>
      </c>
      <c r="BN457" t="str">
        <f>"NA"</f>
        <v>NA</v>
      </c>
      <c r="BO457" t="str">
        <f>"FOCO VARILUX DIGITAL"</f>
        <v>FOCO VARILUX DIGITAL</v>
      </c>
      <c r="BP457" t="str">
        <f>""</f>
        <v/>
      </c>
      <c r="BQ457" t="str">
        <f>""</f>
        <v/>
      </c>
      <c r="BR457" t="str">
        <f>"18/09/2020"</f>
        <v>18/09/2020</v>
      </c>
      <c r="BS457" t="str">
        <f>""</f>
        <v/>
      </c>
      <c r="BT457" t="str">
        <f>""</f>
        <v/>
      </c>
      <c r="BU457" t="str">
        <f>""</f>
        <v/>
      </c>
      <c r="BV457" t="str">
        <f>"1"</f>
        <v>1</v>
      </c>
      <c r="BW457" t="str">
        <f>"1"</f>
        <v>1</v>
      </c>
    </row>
    <row r="458" spans="1:75" x14ac:dyDescent="0.35">
      <c r="A458">
        <v>120419</v>
      </c>
      <c r="B458" t="str">
        <f t="shared" si="223"/>
        <v>A</v>
      </c>
      <c r="C458" t="str">
        <f t="shared" si="224"/>
        <v>80</v>
      </c>
      <c r="D458" t="str">
        <f t="shared" si="225"/>
        <v>11121001</v>
      </c>
      <c r="E458" t="str">
        <f t="shared" si="226"/>
        <v>121001</v>
      </c>
      <c r="F458" t="str">
        <f t="shared" si="227"/>
        <v>JENIFER SANTOS</v>
      </c>
      <c r="G458" t="str">
        <f>"07716144000198"</f>
        <v>07716144000198</v>
      </c>
      <c r="H458" t="str">
        <f>"0"</f>
        <v>0</v>
      </c>
      <c r="I458" t="str">
        <f t="shared" si="228"/>
        <v>CONTA OPTICA</v>
      </c>
      <c r="J458" t="str">
        <f>"SWELL STORE OPTICA E JOALHERIA EIRELLI ME"</f>
        <v>SWELL STORE OPTICA E JOALHERIA EIRELLI ME</v>
      </c>
      <c r="K458" t="str">
        <f>"JOALHERIA E OTICA SOFIA (839)"</f>
        <v>JOALHERIA E OTICA SOFIA (839)</v>
      </c>
      <c r="L458" t="str">
        <f>""</f>
        <v/>
      </c>
      <c r="M458" t="str">
        <f>""</f>
        <v/>
      </c>
      <c r="N458" t="str">
        <f>"joalheriaeoticasofia@gmail.com"</f>
        <v>joalheriaeoticasofia@gmail.com</v>
      </c>
      <c r="O458" t="str">
        <f>""</f>
        <v/>
      </c>
      <c r="P458" t="str">
        <f>"RUA DUQUE DE CAXIAS"</f>
        <v>RUA DUQUE DE CAXIAS</v>
      </c>
      <c r="Q458" t="str">
        <f>"1206"</f>
        <v>1206</v>
      </c>
      <c r="R458" t="str">
        <f>"SALA 01"</f>
        <v>SALA 01</v>
      </c>
      <c r="S458" t="str">
        <f>"1289"</f>
        <v>1289</v>
      </c>
      <c r="T458" t="str">
        <f>"89900000"</f>
        <v>89900000</v>
      </c>
      <c r="U458" t="str">
        <f>"ESTRELA"</f>
        <v>ESTRELA</v>
      </c>
      <c r="V458" t="str">
        <f>"SÃO MIGUEL DO OESTE"</f>
        <v>SÃO MIGUEL DO OESTE</v>
      </c>
      <c r="W458" t="str">
        <f t="shared" si="232"/>
        <v>SC</v>
      </c>
      <c r="X458" t="str">
        <f>"49"</f>
        <v>49</v>
      </c>
      <c r="Y458" t="str">
        <f>"36224528"</f>
        <v>36224528</v>
      </c>
      <c r="Z458" t="str">
        <f>""</f>
        <v/>
      </c>
      <c r="AA458" t="str">
        <f>""</f>
        <v/>
      </c>
      <c r="AB458" t="str">
        <f>""</f>
        <v/>
      </c>
      <c r="AC458" t="str">
        <f>""</f>
        <v/>
      </c>
      <c r="AD458" t="str">
        <f>""</f>
        <v/>
      </c>
      <c r="AE458" t="str">
        <f>""</f>
        <v/>
      </c>
      <c r="AF458" t="str">
        <f>""</f>
        <v/>
      </c>
      <c r="AG458" t="str">
        <f>""</f>
        <v/>
      </c>
      <c r="AH458" t="str">
        <f>""</f>
        <v/>
      </c>
      <c r="AI458" t="str">
        <f>""</f>
        <v/>
      </c>
      <c r="AJ458" t="str">
        <f t="shared" si="233"/>
        <v>0</v>
      </c>
      <c r="AK458" t="str">
        <f t="shared" si="233"/>
        <v>0</v>
      </c>
      <c r="AL458" t="str">
        <f t="shared" si="233"/>
        <v>0</v>
      </c>
      <c r="AM458" t="str">
        <f>""</f>
        <v/>
      </c>
      <c r="AN458" t="str">
        <f>""</f>
        <v/>
      </c>
      <c r="AO458" t="str">
        <f>""</f>
        <v/>
      </c>
      <c r="AP458" t="str">
        <f>""</f>
        <v/>
      </c>
      <c r="AQ458" t="str">
        <f>""</f>
        <v/>
      </c>
      <c r="AR458" t="str">
        <f>""</f>
        <v/>
      </c>
      <c r="AS458" t="str">
        <f>""</f>
        <v/>
      </c>
      <c r="AT458" t="str">
        <f>""</f>
        <v/>
      </c>
      <c r="AU458" t="str">
        <f>""</f>
        <v/>
      </c>
      <c r="AV458" t="str">
        <f>""</f>
        <v/>
      </c>
      <c r="AW458" t="str">
        <f>""</f>
        <v/>
      </c>
      <c r="AX458" t="str">
        <f>""</f>
        <v/>
      </c>
      <c r="AY458" t="str">
        <f>""</f>
        <v/>
      </c>
      <c r="AZ458" t="str">
        <f>""</f>
        <v/>
      </c>
      <c r="BA458" t="str">
        <f>""</f>
        <v/>
      </c>
      <c r="BB458" t="str">
        <f>"18/09/2020 22:12:34"</f>
        <v>18/09/2020 22:12:34</v>
      </c>
      <c r="BC458" t="str">
        <f>""</f>
        <v/>
      </c>
      <c r="BD458" t="str">
        <f>""</f>
        <v/>
      </c>
      <c r="BE458" t="str">
        <f>""</f>
        <v/>
      </c>
      <c r="BF458" t="str">
        <f t="shared" si="229"/>
        <v>A</v>
      </c>
      <c r="BG458" t="str">
        <f t="shared" si="234"/>
        <v>0,00</v>
      </c>
      <c r="BH458" t="str">
        <f t="shared" si="234"/>
        <v>0,00</v>
      </c>
      <c r="BI458" t="str">
        <f t="shared" si="214"/>
        <v>EVENTUAL</v>
      </c>
      <c r="BJ458" t="str">
        <f t="shared" si="230"/>
        <v>1</v>
      </c>
      <c r="BK458" t="str">
        <f t="shared" si="231"/>
        <v>Farmacia</v>
      </c>
      <c r="BL458" t="str">
        <f>""</f>
        <v/>
      </c>
      <c r="BM458" t="str">
        <f>"VARILUX ESPECIALISTA PLATINE"</f>
        <v>VARILUX ESPECIALISTA PLATINE</v>
      </c>
      <c r="BN458" t="str">
        <f>"NA"</f>
        <v>NA</v>
      </c>
      <c r="BO458" t="str">
        <f>"FOCO VARILUX DIGITAL"</f>
        <v>FOCO VARILUX DIGITAL</v>
      </c>
      <c r="BP458" t="str">
        <f>""</f>
        <v/>
      </c>
      <c r="BQ458" t="str">
        <f>""</f>
        <v/>
      </c>
      <c r="BR458" t="str">
        <f>"18/09/2020"</f>
        <v>18/09/2020</v>
      </c>
      <c r="BS458" t="str">
        <f>""</f>
        <v/>
      </c>
      <c r="BT458" t="str">
        <f>""</f>
        <v/>
      </c>
      <c r="BU458" t="str">
        <f>""</f>
        <v/>
      </c>
      <c r="BV458" t="str">
        <f>"1"</f>
        <v>1</v>
      </c>
      <c r="BW458" t="str">
        <f>"1"</f>
        <v>1</v>
      </c>
    </row>
    <row r="459" spans="1:75" x14ac:dyDescent="0.35">
      <c r="A459">
        <v>157571</v>
      </c>
      <c r="B459" t="str">
        <f t="shared" si="223"/>
        <v>A</v>
      </c>
      <c r="C459" t="str">
        <f t="shared" si="224"/>
        <v>80</v>
      </c>
      <c r="D459" t="str">
        <f t="shared" si="225"/>
        <v>11121001</v>
      </c>
      <c r="E459" t="str">
        <f t="shared" si="226"/>
        <v>121001</v>
      </c>
      <c r="F459" t="str">
        <f t="shared" si="227"/>
        <v>JENIFER SANTOS</v>
      </c>
      <c r="G459" t="str">
        <f>"28324447000135"</f>
        <v>28324447000135</v>
      </c>
      <c r="H459" t="str">
        <f>"0"</f>
        <v>0</v>
      </c>
      <c r="I459" t="str">
        <f t="shared" si="228"/>
        <v>CONTA OPTICA</v>
      </c>
      <c r="J459" t="str">
        <f>"TANIA DA SILVA DAS NEVES ME"</f>
        <v>TANIA DA SILVA DAS NEVES ME</v>
      </c>
      <c r="K459" t="str">
        <f>"OTICA FOGAS  (3944)"</f>
        <v>OTICA FOGAS  (3944)</v>
      </c>
      <c r="L459" t="str">
        <f>""</f>
        <v/>
      </c>
      <c r="M459" t="str">
        <f>""</f>
        <v/>
      </c>
      <c r="N459" t="str">
        <f>"OTICA-FOGAS@HOTMAIL.COM"</f>
        <v>OTICA-FOGAS@HOTMAIL.COM</v>
      </c>
      <c r="O459" t="str">
        <f>""</f>
        <v/>
      </c>
      <c r="P459" t="str">
        <f>"RUA IRIRIU"</f>
        <v>RUA IRIRIU</v>
      </c>
      <c r="Q459" t="str">
        <f>"1080"</f>
        <v>1080</v>
      </c>
      <c r="R459" t="str">
        <f>"SALA 2"</f>
        <v>SALA 2</v>
      </c>
      <c r="S459" t="str">
        <f>"1279"</f>
        <v>1279</v>
      </c>
      <c r="T459" t="str">
        <f>"89227045"</f>
        <v>89227045</v>
      </c>
      <c r="U459" t="str">
        <f>"IRIRIU"</f>
        <v>IRIRIU</v>
      </c>
      <c r="V459" t="str">
        <f>"JOINVILLE"</f>
        <v>JOINVILLE</v>
      </c>
      <c r="W459" t="str">
        <f t="shared" si="232"/>
        <v>SC</v>
      </c>
      <c r="X459" t="str">
        <f>"47"</f>
        <v>47</v>
      </c>
      <c r="Y459" t="str">
        <f>"34637588"</f>
        <v>34637588</v>
      </c>
      <c r="Z459" t="str">
        <f>""</f>
        <v/>
      </c>
      <c r="AA459" t="str">
        <f>""</f>
        <v/>
      </c>
      <c r="AB459" t="str">
        <f>""</f>
        <v/>
      </c>
      <c r="AC459" t="str">
        <f>""</f>
        <v/>
      </c>
      <c r="AD459" t="str">
        <f>""</f>
        <v/>
      </c>
      <c r="AE459" t="str">
        <f>""</f>
        <v/>
      </c>
      <c r="AF459" t="str">
        <f>""</f>
        <v/>
      </c>
      <c r="AG459" t="str">
        <f>""</f>
        <v/>
      </c>
      <c r="AH459" t="str">
        <f>""</f>
        <v/>
      </c>
      <c r="AI459" t="str">
        <f>""</f>
        <v/>
      </c>
      <c r="AJ459" t="str">
        <f>""</f>
        <v/>
      </c>
      <c r="AK459" t="str">
        <f>""</f>
        <v/>
      </c>
      <c r="AL459" t="str">
        <f>""</f>
        <v/>
      </c>
      <c r="AM459" t="str">
        <f>""</f>
        <v/>
      </c>
      <c r="AN459" t="str">
        <f>""</f>
        <v/>
      </c>
      <c r="AO459" t="str">
        <f>""</f>
        <v/>
      </c>
      <c r="AP459" t="str">
        <f>""</f>
        <v/>
      </c>
      <c r="AQ459" t="str">
        <f>""</f>
        <v/>
      </c>
      <c r="AR459" t="str">
        <f>""</f>
        <v/>
      </c>
      <c r="AS459" t="str">
        <f>""</f>
        <v/>
      </c>
      <c r="AT459" t="str">
        <f>""</f>
        <v/>
      </c>
      <c r="AU459" t="str">
        <f>""</f>
        <v/>
      </c>
      <c r="AV459" t="str">
        <f>""</f>
        <v/>
      </c>
      <c r="AW459" t="str">
        <f>""</f>
        <v/>
      </c>
      <c r="AX459" t="str">
        <f>""</f>
        <v/>
      </c>
      <c r="AY459" t="str">
        <f>""</f>
        <v/>
      </c>
      <c r="AZ459" t="str">
        <f>""</f>
        <v/>
      </c>
      <c r="BA459" t="str">
        <f>""</f>
        <v/>
      </c>
      <c r="BB459" t="str">
        <f>"11/07/2023 02:14:29"</f>
        <v>11/07/2023 02:14:29</v>
      </c>
      <c r="BC459" t="str">
        <f>""</f>
        <v/>
      </c>
      <c r="BD459" t="str">
        <f>""</f>
        <v/>
      </c>
      <c r="BE459" t="str">
        <f>""</f>
        <v/>
      </c>
      <c r="BF459" t="str">
        <f t="shared" si="229"/>
        <v>A</v>
      </c>
      <c r="BG459" t="str">
        <f>""</f>
        <v/>
      </c>
      <c r="BH459" t="str">
        <f>""</f>
        <v/>
      </c>
      <c r="BI459" t="str">
        <f t="shared" si="214"/>
        <v>EVENTUAL</v>
      </c>
      <c r="BJ459" t="str">
        <f t="shared" si="230"/>
        <v>1</v>
      </c>
      <c r="BK459" t="str">
        <f t="shared" si="231"/>
        <v>Farmacia</v>
      </c>
      <c r="BL459" t="str">
        <f>""</f>
        <v/>
      </c>
      <c r="BM459" t="str">
        <f>""</f>
        <v/>
      </c>
      <c r="BN459" t="str">
        <f>""</f>
        <v/>
      </c>
      <c r="BO459" t="str">
        <f>""</f>
        <v/>
      </c>
      <c r="BP459" t="str">
        <f>""</f>
        <v/>
      </c>
      <c r="BQ459" t="str">
        <f>""</f>
        <v/>
      </c>
      <c r="BR459" t="str">
        <f>"11/07/2023"</f>
        <v>11/07/2023</v>
      </c>
      <c r="BS459" t="str">
        <f>""</f>
        <v/>
      </c>
      <c r="BT459" t="str">
        <f>""</f>
        <v/>
      </c>
      <c r="BU459" t="str">
        <f>""</f>
        <v/>
      </c>
      <c r="BV459" t="str">
        <f>""</f>
        <v/>
      </c>
      <c r="BW459" t="str">
        <f>"Não visitado"</f>
        <v>Não visitado</v>
      </c>
    </row>
    <row r="460" spans="1:75" x14ac:dyDescent="0.35">
      <c r="A460">
        <v>157519</v>
      </c>
      <c r="B460" t="str">
        <f t="shared" si="223"/>
        <v>A</v>
      </c>
      <c r="C460" t="str">
        <f t="shared" si="224"/>
        <v>80</v>
      </c>
      <c r="D460" t="str">
        <f t="shared" si="225"/>
        <v>11121001</v>
      </c>
      <c r="E460" t="str">
        <f t="shared" si="226"/>
        <v>121001</v>
      </c>
      <c r="F460" t="str">
        <f t="shared" si="227"/>
        <v>JENIFER SANTOS</v>
      </c>
      <c r="G460" t="str">
        <f>"38233627000165"</f>
        <v>38233627000165</v>
      </c>
      <c r="H460" t="str">
        <f>"0"</f>
        <v>0</v>
      </c>
      <c r="I460" t="str">
        <f t="shared" si="228"/>
        <v>CONTA OPTICA</v>
      </c>
      <c r="J460" t="str">
        <f>"TAYNA DETONI EIRELI"</f>
        <v>TAYNA DETONI EIRELI</v>
      </c>
      <c r="K460" t="str">
        <f>"REDE DE OTICAS MERCADAO DOS OCULOS XAXIM-SC (4261)"</f>
        <v>REDE DE OTICAS MERCADAO DOS OCULOS XAXIM-SC (4261)</v>
      </c>
      <c r="L460" t="str">
        <f>""</f>
        <v/>
      </c>
      <c r="M460" t="str">
        <f>""</f>
        <v/>
      </c>
      <c r="N460" t="str">
        <f>"TAYNASLO033@GMAIL.COM"</f>
        <v>TAYNASLO033@GMAIL.COM</v>
      </c>
      <c r="O460" t="str">
        <f>""</f>
        <v/>
      </c>
      <c r="P460" t="str">
        <f>"PLINIO ARLINDO DE NES"</f>
        <v>PLINIO ARLINDO DE NES</v>
      </c>
      <c r="Q460" t="str">
        <f>"828"</f>
        <v>828</v>
      </c>
      <c r="R460" t="str">
        <f>"SALA B"</f>
        <v>SALA B</v>
      </c>
      <c r="S460" t="str">
        <f>"1288"</f>
        <v>1288</v>
      </c>
      <c r="T460" t="str">
        <f>"89825000"</f>
        <v>89825000</v>
      </c>
      <c r="U460" t="str">
        <f>"CENTRO"</f>
        <v>CENTRO</v>
      </c>
      <c r="V460" t="str">
        <f>"XAXIM"</f>
        <v>XAXIM</v>
      </c>
      <c r="W460" t="str">
        <f t="shared" si="232"/>
        <v>SC</v>
      </c>
      <c r="X460" t="str">
        <f>"49"</f>
        <v>49</v>
      </c>
      <c r="Y460" t="str">
        <f>"999510315"</f>
        <v>999510315</v>
      </c>
      <c r="Z460" t="str">
        <f>""</f>
        <v/>
      </c>
      <c r="AA460" t="str">
        <f>""</f>
        <v/>
      </c>
      <c r="AB460" t="str">
        <f>""</f>
        <v/>
      </c>
      <c r="AC460" t="str">
        <f>""</f>
        <v/>
      </c>
      <c r="AD460" t="str">
        <f>""</f>
        <v/>
      </c>
      <c r="AE460" t="str">
        <f>""</f>
        <v/>
      </c>
      <c r="AF460" t="str">
        <f>""</f>
        <v/>
      </c>
      <c r="AG460" t="str">
        <f>""</f>
        <v/>
      </c>
      <c r="AH460" t="str">
        <f>""</f>
        <v/>
      </c>
      <c r="AI460" t="str">
        <f>""</f>
        <v/>
      </c>
      <c r="AJ460" t="str">
        <f>""</f>
        <v/>
      </c>
      <c r="AK460" t="str">
        <f>""</f>
        <v/>
      </c>
      <c r="AL460" t="str">
        <f>""</f>
        <v/>
      </c>
      <c r="AM460" t="str">
        <f>""</f>
        <v/>
      </c>
      <c r="AN460" t="str">
        <f>""</f>
        <v/>
      </c>
      <c r="AO460" t="str">
        <f>""</f>
        <v/>
      </c>
      <c r="AP460" t="str">
        <f>""</f>
        <v/>
      </c>
      <c r="AQ460" t="str">
        <f>""</f>
        <v/>
      </c>
      <c r="AR460" t="str">
        <f>""</f>
        <v/>
      </c>
      <c r="AS460" t="str">
        <f>""</f>
        <v/>
      </c>
      <c r="AT460" t="str">
        <f>""</f>
        <v/>
      </c>
      <c r="AU460" t="str">
        <f>""</f>
        <v/>
      </c>
      <c r="AV460" t="str">
        <f>""</f>
        <v/>
      </c>
      <c r="AW460" t="str">
        <f>""</f>
        <v/>
      </c>
      <c r="AX460" t="str">
        <f>""</f>
        <v/>
      </c>
      <c r="AY460" t="str">
        <f>""</f>
        <v/>
      </c>
      <c r="AZ460" t="str">
        <f>""</f>
        <v/>
      </c>
      <c r="BA460" t="str">
        <f>""</f>
        <v/>
      </c>
      <c r="BB460" t="str">
        <f>"11/07/2023 02:14:29"</f>
        <v>11/07/2023 02:14:29</v>
      </c>
      <c r="BC460" t="str">
        <f>""</f>
        <v/>
      </c>
      <c r="BD460" t="str">
        <f>""</f>
        <v/>
      </c>
      <c r="BE460" t="str">
        <f>""</f>
        <v/>
      </c>
      <c r="BF460" t="str">
        <f t="shared" si="229"/>
        <v>A</v>
      </c>
      <c r="BG460" t="str">
        <f>""</f>
        <v/>
      </c>
      <c r="BH460" t="str">
        <f>""</f>
        <v/>
      </c>
      <c r="BI460" t="str">
        <f t="shared" si="214"/>
        <v>EVENTUAL</v>
      </c>
      <c r="BJ460" t="str">
        <f t="shared" si="230"/>
        <v>1</v>
      </c>
      <c r="BK460" t="str">
        <f t="shared" si="231"/>
        <v>Farmacia</v>
      </c>
      <c r="BL460" t="str">
        <f>""</f>
        <v/>
      </c>
      <c r="BM460" t="str">
        <f>""</f>
        <v/>
      </c>
      <c r="BN460" t="str">
        <f>""</f>
        <v/>
      </c>
      <c r="BO460" t="str">
        <f>""</f>
        <v/>
      </c>
      <c r="BP460" t="str">
        <f>""</f>
        <v/>
      </c>
      <c r="BQ460" t="str">
        <f>""</f>
        <v/>
      </c>
      <c r="BR460" t="str">
        <f>"11/07/2023"</f>
        <v>11/07/2023</v>
      </c>
      <c r="BS460" t="str">
        <f>""</f>
        <v/>
      </c>
      <c r="BT460" t="str">
        <f>""</f>
        <v/>
      </c>
      <c r="BU460" t="str">
        <f>""</f>
        <v/>
      </c>
      <c r="BV460" t="str">
        <f>""</f>
        <v/>
      </c>
      <c r="BW460" t="str">
        <f>"Não visitado"</f>
        <v>Não visitado</v>
      </c>
    </row>
    <row r="461" spans="1:75" x14ac:dyDescent="0.35">
      <c r="A461">
        <v>144635</v>
      </c>
      <c r="B461" t="str">
        <f t="shared" si="223"/>
        <v>A</v>
      </c>
      <c r="C461" t="str">
        <f t="shared" si="224"/>
        <v>80</v>
      </c>
      <c r="D461" t="str">
        <f t="shared" si="225"/>
        <v>11121001</v>
      </c>
      <c r="E461" t="str">
        <f t="shared" si="226"/>
        <v>121001</v>
      </c>
      <c r="F461" t="str">
        <f t="shared" si="227"/>
        <v>JENIFER SANTOS</v>
      </c>
      <c r="G461" t="str">
        <f>"31024384000106"</f>
        <v>31024384000106</v>
      </c>
      <c r="H461" t="str">
        <f>""</f>
        <v/>
      </c>
      <c r="I461" t="str">
        <f t="shared" si="228"/>
        <v>CONTA OPTICA</v>
      </c>
      <c r="J461" t="str">
        <f>"THIAGO ANACLETO"</f>
        <v>THIAGO ANACLETO</v>
      </c>
      <c r="K461" t="str">
        <f>"OTICA SAO MIGUEL (4075)"</f>
        <v>OTICA SAO MIGUEL (4075)</v>
      </c>
      <c r="L461" t="str">
        <f>""</f>
        <v/>
      </c>
      <c r="M461" t="str">
        <f>""</f>
        <v/>
      </c>
      <c r="N461" t="str">
        <f>"oticasaomigueladm@gmail.com"</f>
        <v>oticasaomigueladm@gmail.com</v>
      </c>
      <c r="O461" t="str">
        <f>""</f>
        <v/>
      </c>
      <c r="P461" t="str">
        <f>"RODOVIA 280 A"</f>
        <v>RODOVIA 280 A</v>
      </c>
      <c r="Q461" t="str">
        <f>"6777"</f>
        <v>6777</v>
      </c>
      <c r="R461" t="str">
        <f>"SALA 1C"</f>
        <v>SALA 1C</v>
      </c>
      <c r="S461" t="str">
        <f>"1280"</f>
        <v>1280</v>
      </c>
      <c r="T461" t="str">
        <f>"89245000"</f>
        <v>89245000</v>
      </c>
      <c r="U461" t="str">
        <f>"ITINGA"</f>
        <v>ITINGA</v>
      </c>
      <c r="V461" t="str">
        <f>"ARAQUARI"</f>
        <v>ARAQUARI</v>
      </c>
      <c r="W461" t="str">
        <f t="shared" si="232"/>
        <v>SC</v>
      </c>
      <c r="X461" t="str">
        <f>"47"</f>
        <v>47</v>
      </c>
      <c r="Y461" t="str">
        <f>"34292153"</f>
        <v>34292153</v>
      </c>
      <c r="Z461" t="str">
        <f>""</f>
        <v/>
      </c>
      <c r="AA461" t="str">
        <f>""</f>
        <v/>
      </c>
      <c r="AB461" t="str">
        <f>""</f>
        <v/>
      </c>
      <c r="AC461" t="str">
        <f>""</f>
        <v/>
      </c>
      <c r="AD461" t="str">
        <f>""</f>
        <v/>
      </c>
      <c r="AE461" t="str">
        <f>""</f>
        <v/>
      </c>
      <c r="AF461" t="str">
        <f>""</f>
        <v/>
      </c>
      <c r="AG461" t="str">
        <f>""</f>
        <v/>
      </c>
      <c r="AH461" t="str">
        <f>""</f>
        <v/>
      </c>
      <c r="AI461" t="str">
        <f>""</f>
        <v/>
      </c>
      <c r="AJ461" t="str">
        <f t="shared" ref="AJ461:AL462" si="235">"0"</f>
        <v>0</v>
      </c>
      <c r="AK461" t="str">
        <f t="shared" si="235"/>
        <v>0</v>
      </c>
      <c r="AL461" t="str">
        <f t="shared" si="235"/>
        <v>0</v>
      </c>
      <c r="AM461" t="str">
        <f>""</f>
        <v/>
      </c>
      <c r="AN461" t="str">
        <f>""</f>
        <v/>
      </c>
      <c r="AO461" t="str">
        <f>""</f>
        <v/>
      </c>
      <c r="AP461" t="str">
        <f>""</f>
        <v/>
      </c>
      <c r="AQ461" t="str">
        <f>""</f>
        <v/>
      </c>
      <c r="AR461" t="str">
        <f>""</f>
        <v/>
      </c>
      <c r="AS461" t="str">
        <f>""</f>
        <v/>
      </c>
      <c r="AT461" t="str">
        <f>""</f>
        <v/>
      </c>
      <c r="AU461" t="str">
        <f>""</f>
        <v/>
      </c>
      <c r="AV461" t="str">
        <f>""</f>
        <v/>
      </c>
      <c r="AW461" t="str">
        <f>""</f>
        <v/>
      </c>
      <c r="AX461" t="str">
        <f>""</f>
        <v/>
      </c>
      <c r="AY461" t="str">
        <f>""</f>
        <v/>
      </c>
      <c r="AZ461" t="str">
        <f>""</f>
        <v/>
      </c>
      <c r="BA461" t="str">
        <f>""</f>
        <v/>
      </c>
      <c r="BB461" t="str">
        <f>""</f>
        <v/>
      </c>
      <c r="BC461" t="str">
        <f>""</f>
        <v/>
      </c>
      <c r="BD461" t="str">
        <f>""</f>
        <v/>
      </c>
      <c r="BE461" t="str">
        <f>""</f>
        <v/>
      </c>
      <c r="BF461" t="str">
        <f t="shared" si="229"/>
        <v>A</v>
      </c>
      <c r="BG461" t="str">
        <f>"0,00"</f>
        <v>0,00</v>
      </c>
      <c r="BH461" t="str">
        <f>"0,00"</f>
        <v>0,00</v>
      </c>
      <c r="BI461" t="str">
        <f t="shared" si="214"/>
        <v>EVENTUAL</v>
      </c>
      <c r="BJ461" t="str">
        <f t="shared" si="230"/>
        <v>1</v>
      </c>
      <c r="BK461" t="str">
        <f t="shared" si="231"/>
        <v>Farmacia</v>
      </c>
      <c r="BL461" t="str">
        <f>""</f>
        <v/>
      </c>
      <c r="BM461" t="str">
        <f>"NÃO É VARILUX ESPECIALISTA"</f>
        <v>NÃO É VARILUX ESPECIALISTA</v>
      </c>
      <c r="BN461" t="str">
        <f>"NA"</f>
        <v>NA</v>
      </c>
      <c r="BO461" t="str">
        <f>"OUTROS"</f>
        <v>OUTROS</v>
      </c>
      <c r="BP461" t="str">
        <f>""</f>
        <v/>
      </c>
      <c r="BQ461" t="str">
        <f>""</f>
        <v/>
      </c>
      <c r="BR461" t="str">
        <f>""</f>
        <v/>
      </c>
      <c r="BS461" t="str">
        <f>""</f>
        <v/>
      </c>
      <c r="BT461" t="str">
        <f>""</f>
        <v/>
      </c>
      <c r="BU461" t="str">
        <f>""</f>
        <v/>
      </c>
      <c r="BV461" t="str">
        <f>"9"</f>
        <v>9</v>
      </c>
      <c r="BW461" t="str">
        <f>"283"</f>
        <v>283</v>
      </c>
    </row>
    <row r="462" spans="1:75" x14ac:dyDescent="0.35">
      <c r="A462">
        <v>127758</v>
      </c>
      <c r="B462" t="str">
        <f t="shared" si="223"/>
        <v>A</v>
      </c>
      <c r="C462" t="str">
        <f t="shared" si="224"/>
        <v>80</v>
      </c>
      <c r="D462" t="str">
        <f t="shared" si="225"/>
        <v>11121001</v>
      </c>
      <c r="E462" t="str">
        <f t="shared" si="226"/>
        <v>121001</v>
      </c>
      <c r="F462" t="str">
        <f t="shared" si="227"/>
        <v>JENIFER SANTOS</v>
      </c>
      <c r="G462" t="str">
        <f>"04559223000144"</f>
        <v>04559223000144</v>
      </c>
      <c r="H462" t="str">
        <f t="shared" ref="H462:H468" si="236">"0"</f>
        <v>0</v>
      </c>
      <c r="I462" t="str">
        <f t="shared" si="228"/>
        <v>CONTA OPTICA</v>
      </c>
      <c r="J462" t="str">
        <f>"THIAGO CENEDESI ME"</f>
        <v>THIAGO CENEDESI ME</v>
      </c>
      <c r="K462" t="str">
        <f>"THIAGO CENEDESI ME (84)"</f>
        <v>THIAGO CENEDESI ME (84)</v>
      </c>
      <c r="L462" t="str">
        <f>""</f>
        <v/>
      </c>
      <c r="M462" t="str">
        <f>""</f>
        <v/>
      </c>
      <c r="N462" t="str">
        <f>"thiago_cenedesi01@hotmail.com"</f>
        <v>thiago_cenedesi01@hotmail.com</v>
      </c>
      <c r="O462" t="str">
        <f>""</f>
        <v/>
      </c>
      <c r="P462" t="str">
        <f>"RUA BARAO DO RIO BRANCO"</f>
        <v>RUA BARAO DO RIO BRANCO</v>
      </c>
      <c r="Q462" t="str">
        <f>"659"</f>
        <v>659</v>
      </c>
      <c r="R462" t="str">
        <f>"SALA 02"</f>
        <v>SALA 02</v>
      </c>
      <c r="S462" t="str">
        <f>"1280"</f>
        <v>1280</v>
      </c>
      <c r="T462" t="str">
        <f>"89240000"</f>
        <v>89240000</v>
      </c>
      <c r="U462" t="str">
        <f t="shared" ref="U462:U467" si="237">"CENTRO"</f>
        <v>CENTRO</v>
      </c>
      <c r="V462" t="str">
        <f>"SÃO FRANCISCO DO SUL"</f>
        <v>SÃO FRANCISCO DO SUL</v>
      </c>
      <c r="W462" t="str">
        <f t="shared" si="232"/>
        <v>SC</v>
      </c>
      <c r="X462" t="str">
        <f>"47"</f>
        <v>47</v>
      </c>
      <c r="Y462" t="str">
        <f>"34445282"</f>
        <v>34445282</v>
      </c>
      <c r="Z462" t="str">
        <f>""</f>
        <v/>
      </c>
      <c r="AA462" t="str">
        <f>""</f>
        <v/>
      </c>
      <c r="AB462" t="str">
        <f>""</f>
        <v/>
      </c>
      <c r="AC462" t="str">
        <f>""</f>
        <v/>
      </c>
      <c r="AD462" t="str">
        <f>""</f>
        <v/>
      </c>
      <c r="AE462" t="str">
        <f>""</f>
        <v/>
      </c>
      <c r="AF462" t="str">
        <f>""</f>
        <v/>
      </c>
      <c r="AG462" t="str">
        <f>""</f>
        <v/>
      </c>
      <c r="AH462" t="str">
        <f>""</f>
        <v/>
      </c>
      <c r="AI462" t="str">
        <f>""</f>
        <v/>
      </c>
      <c r="AJ462" t="str">
        <f t="shared" si="235"/>
        <v>0</v>
      </c>
      <c r="AK462" t="str">
        <f t="shared" si="235"/>
        <v>0</v>
      </c>
      <c r="AL462" t="str">
        <f t="shared" si="235"/>
        <v>0</v>
      </c>
      <c r="AM462" t="str">
        <f>""</f>
        <v/>
      </c>
      <c r="AN462" t="str">
        <f>""</f>
        <v/>
      </c>
      <c r="AO462" t="str">
        <f>""</f>
        <v/>
      </c>
      <c r="AP462" t="str">
        <f>""</f>
        <v/>
      </c>
      <c r="AQ462" t="str">
        <f>""</f>
        <v/>
      </c>
      <c r="AR462" t="str">
        <f>""</f>
        <v/>
      </c>
      <c r="AS462" t="str">
        <f>""</f>
        <v/>
      </c>
      <c r="AT462" t="str">
        <f>""</f>
        <v/>
      </c>
      <c r="AU462" t="str">
        <f>""</f>
        <v/>
      </c>
      <c r="AV462" t="str">
        <f>""</f>
        <v/>
      </c>
      <c r="AW462" t="str">
        <f>""</f>
        <v/>
      </c>
      <c r="AX462" t="str">
        <f>""</f>
        <v/>
      </c>
      <c r="AY462" t="str">
        <f>""</f>
        <v/>
      </c>
      <c r="AZ462" t="str">
        <f>""</f>
        <v/>
      </c>
      <c r="BA462" t="str">
        <f>""</f>
        <v/>
      </c>
      <c r="BB462" t="str">
        <f>"07/10/2020 09:08:38"</f>
        <v>07/10/2020 09:08:38</v>
      </c>
      <c r="BC462" t="str">
        <f>""</f>
        <v/>
      </c>
      <c r="BD462" t="str">
        <f>""</f>
        <v/>
      </c>
      <c r="BE462" t="str">
        <f>""</f>
        <v/>
      </c>
      <c r="BF462" t="str">
        <f t="shared" si="229"/>
        <v>A</v>
      </c>
      <c r="BG462" t="str">
        <f>"0,00"</f>
        <v>0,00</v>
      </c>
      <c r="BH462" t="str">
        <f>"0,00"</f>
        <v>0,00</v>
      </c>
      <c r="BI462" t="str">
        <f t="shared" si="214"/>
        <v>EVENTUAL</v>
      </c>
      <c r="BJ462" t="str">
        <f t="shared" si="230"/>
        <v>1</v>
      </c>
      <c r="BK462" t="str">
        <f t="shared" si="231"/>
        <v>Farmacia</v>
      </c>
      <c r="BL462" t="str">
        <f>""</f>
        <v/>
      </c>
      <c r="BM462" t="str">
        <f>"NÃO É VARILUX ESPECIALISTA"</f>
        <v>NÃO É VARILUX ESPECIALISTA</v>
      </c>
      <c r="BN462" t="str">
        <f>"NA"</f>
        <v>NA</v>
      </c>
      <c r="BO462" t="str">
        <f>"OUTROS"</f>
        <v>OUTROS</v>
      </c>
      <c r="BP462" t="str">
        <f>""</f>
        <v/>
      </c>
      <c r="BQ462" t="str">
        <f>""</f>
        <v/>
      </c>
      <c r="BR462" t="str">
        <f>"07/10/2020"</f>
        <v>07/10/2020</v>
      </c>
      <c r="BS462" t="str">
        <f>""</f>
        <v/>
      </c>
      <c r="BT462" t="str">
        <f>""</f>
        <v/>
      </c>
      <c r="BU462" t="str">
        <f>""</f>
        <v/>
      </c>
      <c r="BV462" t="str">
        <f>"9"</f>
        <v>9</v>
      </c>
      <c r="BW462" t="str">
        <f>"Não visitado"</f>
        <v>Não visitado</v>
      </c>
    </row>
    <row r="463" spans="1:75" x14ac:dyDescent="0.35">
      <c r="A463">
        <v>138251</v>
      </c>
      <c r="B463" t="str">
        <f t="shared" si="223"/>
        <v>A</v>
      </c>
      <c r="C463" t="str">
        <f t="shared" si="224"/>
        <v>80</v>
      </c>
      <c r="D463" t="str">
        <f t="shared" si="225"/>
        <v>11121001</v>
      </c>
      <c r="E463" t="str">
        <f t="shared" si="226"/>
        <v>121001</v>
      </c>
      <c r="F463" t="str">
        <f t="shared" si="227"/>
        <v>JENIFER SANTOS</v>
      </c>
      <c r="G463" t="str">
        <f>"79290060000146"</f>
        <v>79290060000146</v>
      </c>
      <c r="H463" t="str">
        <f t="shared" si="236"/>
        <v>0</v>
      </c>
      <c r="I463" t="str">
        <f t="shared" si="228"/>
        <v>CONTA OPTICA</v>
      </c>
      <c r="J463" t="str">
        <f>"TIEPPO E TIEPPO LTDA"</f>
        <v>TIEPPO E TIEPPO LTDA</v>
      </c>
      <c r="K463" t="str">
        <f>"TIEPPO E TIEPPO (450)"</f>
        <v>TIEPPO E TIEPPO (450)</v>
      </c>
      <c r="L463" t="str">
        <f>""</f>
        <v/>
      </c>
      <c r="M463" t="str">
        <f>""</f>
        <v/>
      </c>
      <c r="N463" t="str">
        <f>"oticaprecisao@hbinfo.com.br"</f>
        <v>oticaprecisao@hbinfo.com.br</v>
      </c>
      <c r="O463" t="str">
        <f>""</f>
        <v/>
      </c>
      <c r="P463" t="str">
        <f>"RUA NEREU RAMOS"</f>
        <v>RUA NEREU RAMOS</v>
      </c>
      <c r="Q463" t="str">
        <f>"867"</f>
        <v>867</v>
      </c>
      <c r="R463" t="str">
        <f>""</f>
        <v/>
      </c>
      <c r="S463" t="str">
        <f>"1284"</f>
        <v>1284</v>
      </c>
      <c r="T463" t="str">
        <f>"89580000"</f>
        <v>89580000</v>
      </c>
      <c r="U463" t="str">
        <f t="shared" si="237"/>
        <v>CENTRO</v>
      </c>
      <c r="V463" t="str">
        <f>"FRAIBURGO"</f>
        <v>FRAIBURGO</v>
      </c>
      <c r="W463" t="str">
        <f t="shared" si="232"/>
        <v>SC</v>
      </c>
      <c r="X463" t="str">
        <f>"49"</f>
        <v>49</v>
      </c>
      <c r="Y463" t="str">
        <f>"32462981"</f>
        <v>32462981</v>
      </c>
      <c r="Z463" t="str">
        <f>""</f>
        <v/>
      </c>
      <c r="AA463" t="str">
        <f>""</f>
        <v/>
      </c>
      <c r="AB463" t="str">
        <f>""</f>
        <v/>
      </c>
      <c r="AC463" t="str">
        <f>""</f>
        <v/>
      </c>
      <c r="AD463" t="str">
        <f>""</f>
        <v/>
      </c>
      <c r="AE463" t="str">
        <f>""</f>
        <v/>
      </c>
      <c r="AF463" t="str">
        <f>""</f>
        <v/>
      </c>
      <c r="AG463" t="str">
        <f>"S"</f>
        <v>S</v>
      </c>
      <c r="AH463" t="str">
        <f>""</f>
        <v/>
      </c>
      <c r="AI463" t="str">
        <f>""</f>
        <v/>
      </c>
      <c r="AJ463" t="str">
        <f>""</f>
        <v/>
      </c>
      <c r="AK463" t="str">
        <f>""</f>
        <v/>
      </c>
      <c r="AL463" t="str">
        <f>""</f>
        <v/>
      </c>
      <c r="AM463" t="str">
        <f>""</f>
        <v/>
      </c>
      <c r="AN463" t="str">
        <f>""</f>
        <v/>
      </c>
      <c r="AO463" t="str">
        <f>""</f>
        <v/>
      </c>
      <c r="AP463" t="str">
        <f>""</f>
        <v/>
      </c>
      <c r="AQ463" t="str">
        <f>"N"</f>
        <v>N</v>
      </c>
      <c r="AR463" t="str">
        <f>"N"</f>
        <v>N</v>
      </c>
      <c r="AS463" t="str">
        <f>"N"</f>
        <v>N</v>
      </c>
      <c r="AT463" t="str">
        <f>"N"</f>
        <v>N</v>
      </c>
      <c r="AU463" t="str">
        <f>"N"</f>
        <v>N</v>
      </c>
      <c r="AV463" t="str">
        <f>""</f>
        <v/>
      </c>
      <c r="AW463" t="str">
        <f>""</f>
        <v/>
      </c>
      <c r="AX463" t="str">
        <f>""</f>
        <v/>
      </c>
      <c r="AY463" t="str">
        <f>""</f>
        <v/>
      </c>
      <c r="AZ463" t="str">
        <f>""</f>
        <v/>
      </c>
      <c r="BA463" t="str">
        <f>""</f>
        <v/>
      </c>
      <c r="BB463" t="str">
        <f>"01/07/2021 13:53:04"</f>
        <v>01/07/2021 13:53:04</v>
      </c>
      <c r="BC463" t="str">
        <f>"08/06/2022 16:56:50"</f>
        <v>08/06/2022 16:56:50</v>
      </c>
      <c r="BD463" t="str">
        <f>""</f>
        <v/>
      </c>
      <c r="BE463" t="str">
        <f>""</f>
        <v/>
      </c>
      <c r="BF463" t="str">
        <f t="shared" si="229"/>
        <v>A</v>
      </c>
      <c r="BG463" t="str">
        <f>""</f>
        <v/>
      </c>
      <c r="BH463" t="str">
        <f>"0,00"</f>
        <v>0,00</v>
      </c>
      <c r="BI463" t="str">
        <f t="shared" si="214"/>
        <v>EVENTUAL</v>
      </c>
      <c r="BJ463" t="str">
        <f t="shared" si="230"/>
        <v>1</v>
      </c>
      <c r="BK463" t="str">
        <f t="shared" si="231"/>
        <v>Farmacia</v>
      </c>
      <c r="BL463" t="str">
        <f>""</f>
        <v/>
      </c>
      <c r="BM463" t="str">
        <f>"VARILUX ESPECIALISTA PLATINE"</f>
        <v>VARILUX ESPECIALISTA PLATINE</v>
      </c>
      <c r="BN463" t="str">
        <f>"NA"</f>
        <v>NA</v>
      </c>
      <c r="BO463" t="str">
        <f>"FOCO VARILUX DIGITAL"</f>
        <v>FOCO VARILUX DIGITAL</v>
      </c>
      <c r="BP463" t="str">
        <f>""</f>
        <v/>
      </c>
      <c r="BQ463" t="str">
        <f>""</f>
        <v/>
      </c>
      <c r="BR463" t="str">
        <f>"01/07/2021"</f>
        <v>01/07/2021</v>
      </c>
      <c r="BS463" t="str">
        <f>"08/06/2022"</f>
        <v>08/06/2022</v>
      </c>
      <c r="BT463" t="str">
        <f>""</f>
        <v/>
      </c>
      <c r="BU463" t="str">
        <f>""</f>
        <v/>
      </c>
      <c r="BV463" t="str">
        <f>""</f>
        <v/>
      </c>
      <c r="BW463" t="str">
        <f>"1"</f>
        <v>1</v>
      </c>
    </row>
    <row r="464" spans="1:75" x14ac:dyDescent="0.35">
      <c r="A464">
        <v>157508</v>
      </c>
      <c r="B464" t="str">
        <f t="shared" si="223"/>
        <v>A</v>
      </c>
      <c r="C464" t="str">
        <f t="shared" si="224"/>
        <v>80</v>
      </c>
      <c r="D464" t="str">
        <f t="shared" si="225"/>
        <v>11121001</v>
      </c>
      <c r="E464" t="str">
        <f t="shared" si="226"/>
        <v>121001</v>
      </c>
      <c r="F464" t="str">
        <f t="shared" si="227"/>
        <v>JENIFER SANTOS</v>
      </c>
      <c r="G464" t="str">
        <f>"08692302000180"</f>
        <v>08692302000180</v>
      </c>
      <c r="H464" t="str">
        <f t="shared" si="236"/>
        <v>0</v>
      </c>
      <c r="I464" t="str">
        <f t="shared" si="228"/>
        <v>CONTA OPTICA</v>
      </c>
      <c r="J464" t="str">
        <f>"TONNY OPTICA LTDA"</f>
        <v>TONNY OPTICA LTDA</v>
      </c>
      <c r="K464" t="str">
        <f>"TONNY OPTICA LTDA (1072)"</f>
        <v>TONNY OPTICA LTDA (1072)</v>
      </c>
      <c r="L464" t="str">
        <f>""</f>
        <v/>
      </c>
      <c r="M464" t="str">
        <f>""</f>
        <v/>
      </c>
      <c r="N464" t="str">
        <f>"tonnyoptica@yahoo.com.br"</f>
        <v>tonnyoptica@yahoo.com.br</v>
      </c>
      <c r="O464" t="str">
        <f>""</f>
        <v/>
      </c>
      <c r="P464" t="str">
        <f>"MARECHAL DEODORO DA FONSECA"</f>
        <v>MARECHAL DEODORO DA FONSECA</v>
      </c>
      <c r="Q464" t="str">
        <f>"930"</f>
        <v>930</v>
      </c>
      <c r="R464" t="str">
        <f>"SALA 01"</f>
        <v>SALA 01</v>
      </c>
      <c r="S464" t="str">
        <f>"1280"</f>
        <v>1280</v>
      </c>
      <c r="T464" t="str">
        <f>"89251700"</f>
        <v>89251700</v>
      </c>
      <c r="U464" t="str">
        <f t="shared" si="237"/>
        <v>CENTRO</v>
      </c>
      <c r="V464" t="str">
        <f>"JARAGUA DO SUL"</f>
        <v>JARAGUA DO SUL</v>
      </c>
      <c r="W464" t="str">
        <f t="shared" si="232"/>
        <v>SC</v>
      </c>
      <c r="X464" t="str">
        <f>"47"</f>
        <v>47</v>
      </c>
      <c r="Y464" t="str">
        <f>"30550020"</f>
        <v>30550020</v>
      </c>
      <c r="Z464" t="str">
        <f>""</f>
        <v/>
      </c>
      <c r="AA464" t="str">
        <f>""</f>
        <v/>
      </c>
      <c r="AB464" t="str">
        <f>""</f>
        <v/>
      </c>
      <c r="AC464" t="str">
        <f>""</f>
        <v/>
      </c>
      <c r="AD464" t="str">
        <f>""</f>
        <v/>
      </c>
      <c r="AE464" t="str">
        <f>""</f>
        <v/>
      </c>
      <c r="AF464" t="str">
        <f>""</f>
        <v/>
      </c>
      <c r="AG464" t="str">
        <f>""</f>
        <v/>
      </c>
      <c r="AH464" t="str">
        <f>""</f>
        <v/>
      </c>
      <c r="AI464" t="str">
        <f>""</f>
        <v/>
      </c>
      <c r="AJ464" t="str">
        <f>""</f>
        <v/>
      </c>
      <c r="AK464" t="str">
        <f>""</f>
        <v/>
      </c>
      <c r="AL464" t="str">
        <f>""</f>
        <v/>
      </c>
      <c r="AM464" t="str">
        <f>""</f>
        <v/>
      </c>
      <c r="AN464" t="str">
        <f>""</f>
        <v/>
      </c>
      <c r="AO464" t="str">
        <f>""</f>
        <v/>
      </c>
      <c r="AP464" t="str">
        <f>""</f>
        <v/>
      </c>
      <c r="AQ464" t="str">
        <f>""</f>
        <v/>
      </c>
      <c r="AR464" t="str">
        <f>""</f>
        <v/>
      </c>
      <c r="AS464" t="str">
        <f>""</f>
        <v/>
      </c>
      <c r="AT464" t="str">
        <f>""</f>
        <v/>
      </c>
      <c r="AU464" t="str">
        <f>""</f>
        <v/>
      </c>
      <c r="AV464" t="str">
        <f>""</f>
        <v/>
      </c>
      <c r="AW464" t="str">
        <f>""</f>
        <v/>
      </c>
      <c r="AX464" t="str">
        <f>""</f>
        <v/>
      </c>
      <c r="AY464" t="str">
        <f>""</f>
        <v/>
      </c>
      <c r="AZ464" t="str">
        <f>""</f>
        <v/>
      </c>
      <c r="BA464" t="str">
        <f>""</f>
        <v/>
      </c>
      <c r="BB464" t="str">
        <f>"11/07/2023 02:14:29"</f>
        <v>11/07/2023 02:14:29</v>
      </c>
      <c r="BC464" t="str">
        <f>""</f>
        <v/>
      </c>
      <c r="BD464" t="str">
        <f>""</f>
        <v/>
      </c>
      <c r="BE464" t="str">
        <f>""</f>
        <v/>
      </c>
      <c r="BF464" t="str">
        <f t="shared" si="229"/>
        <v>A</v>
      </c>
      <c r="BG464" t="str">
        <f>""</f>
        <v/>
      </c>
      <c r="BH464" t="str">
        <f>""</f>
        <v/>
      </c>
      <c r="BI464" t="str">
        <f t="shared" ref="BI464:BI495" si="238">"EVENTUAL"</f>
        <v>EVENTUAL</v>
      </c>
      <c r="BJ464" t="str">
        <f t="shared" si="230"/>
        <v>1</v>
      </c>
      <c r="BK464" t="str">
        <f t="shared" si="231"/>
        <v>Farmacia</v>
      </c>
      <c r="BL464" t="str">
        <f>""</f>
        <v/>
      </c>
      <c r="BM464" t="str">
        <f>""</f>
        <v/>
      </c>
      <c r="BN464" t="str">
        <f>""</f>
        <v/>
      </c>
      <c r="BO464" t="str">
        <f>""</f>
        <v/>
      </c>
      <c r="BP464" t="str">
        <f>""</f>
        <v/>
      </c>
      <c r="BQ464" t="str">
        <f>""</f>
        <v/>
      </c>
      <c r="BR464" t="str">
        <f>"11/07/2023"</f>
        <v>11/07/2023</v>
      </c>
      <c r="BS464" t="str">
        <f>""</f>
        <v/>
      </c>
      <c r="BT464" t="str">
        <f>""</f>
        <v/>
      </c>
      <c r="BU464" t="str">
        <f>""</f>
        <v/>
      </c>
      <c r="BV464" t="str">
        <f>""</f>
        <v/>
      </c>
      <c r="BW464" t="str">
        <f>"31"</f>
        <v>31</v>
      </c>
    </row>
    <row r="465" spans="1:75" x14ac:dyDescent="0.35">
      <c r="A465">
        <v>157535</v>
      </c>
      <c r="B465" t="str">
        <f t="shared" si="223"/>
        <v>A</v>
      </c>
      <c r="C465" t="str">
        <f t="shared" si="224"/>
        <v>80</v>
      </c>
      <c r="D465" t="str">
        <f t="shared" si="225"/>
        <v>11121001</v>
      </c>
      <c r="E465" t="str">
        <f t="shared" si="226"/>
        <v>121001</v>
      </c>
      <c r="F465" t="str">
        <f t="shared" si="227"/>
        <v>JENIFER SANTOS</v>
      </c>
      <c r="G465" t="str">
        <f>"21561009000222"</f>
        <v>21561009000222</v>
      </c>
      <c r="H465" t="str">
        <f t="shared" si="236"/>
        <v>0</v>
      </c>
      <c r="I465" t="str">
        <f t="shared" si="228"/>
        <v>CONTA OPTICA</v>
      </c>
      <c r="J465" t="str">
        <f>"TRANSPARENT OPTICA LTDA"</f>
        <v>TRANSPARENT OPTICA LTDA</v>
      </c>
      <c r="K465" t="str">
        <f>"OTICAS CAROL (3317)"</f>
        <v>OTICAS CAROL (3317)</v>
      </c>
      <c r="L465" t="str">
        <f>""</f>
        <v/>
      </c>
      <c r="M465" t="str">
        <f>""</f>
        <v/>
      </c>
      <c r="N465" t="str">
        <f>"LOJA1219@OTICASCAROL.COM.BR"</f>
        <v>LOJA1219@OTICASCAROL.COM.BR</v>
      </c>
      <c r="O465" t="str">
        <f>""</f>
        <v/>
      </c>
      <c r="P465" t="str">
        <f>"RUA MARECHAL DEODORO DA FONSECA"</f>
        <v>RUA MARECHAL DEODORO DA FONSECA</v>
      </c>
      <c r="Q465" t="str">
        <f>"308"</f>
        <v>308</v>
      </c>
      <c r="R465" t="str">
        <f>"LETRA E"</f>
        <v>LETRA E</v>
      </c>
      <c r="S465" t="str">
        <f>"1287"</f>
        <v>1287</v>
      </c>
      <c r="T465" t="str">
        <f>"89805203"</f>
        <v>89805203</v>
      </c>
      <c r="U465" t="str">
        <f t="shared" si="237"/>
        <v>CENTRO</v>
      </c>
      <c r="V465" t="str">
        <f>"CHAPECO"</f>
        <v>CHAPECO</v>
      </c>
      <c r="W465" t="str">
        <f t="shared" si="232"/>
        <v>SC</v>
      </c>
      <c r="X465" t="str">
        <f>"49"</f>
        <v>49</v>
      </c>
      <c r="Y465" t="str">
        <f>"333123663"</f>
        <v>333123663</v>
      </c>
      <c r="Z465" t="str">
        <f>""</f>
        <v/>
      </c>
      <c r="AA465" t="str">
        <f>""</f>
        <v/>
      </c>
      <c r="AB465" t="str">
        <f>""</f>
        <v/>
      </c>
      <c r="AC465" t="str">
        <f>""</f>
        <v/>
      </c>
      <c r="AD465" t="str">
        <f>""</f>
        <v/>
      </c>
      <c r="AE465" t="str">
        <f>""</f>
        <v/>
      </c>
      <c r="AF465" t="str">
        <f>""</f>
        <v/>
      </c>
      <c r="AG465" t="str">
        <f>""</f>
        <v/>
      </c>
      <c r="AH465" t="str">
        <f>""</f>
        <v/>
      </c>
      <c r="AI465" t="str">
        <f>""</f>
        <v/>
      </c>
      <c r="AJ465" t="str">
        <f>""</f>
        <v/>
      </c>
      <c r="AK465" t="str">
        <f>""</f>
        <v/>
      </c>
      <c r="AL465" t="str">
        <f>""</f>
        <v/>
      </c>
      <c r="AM465" t="str">
        <f>""</f>
        <v/>
      </c>
      <c r="AN465" t="str">
        <f>""</f>
        <v/>
      </c>
      <c r="AO465" t="str">
        <f>""</f>
        <v/>
      </c>
      <c r="AP465" t="str">
        <f>""</f>
        <v/>
      </c>
      <c r="AQ465" t="str">
        <f>""</f>
        <v/>
      </c>
      <c r="AR465" t="str">
        <f>""</f>
        <v/>
      </c>
      <c r="AS465" t="str">
        <f>""</f>
        <v/>
      </c>
      <c r="AT465" t="str">
        <f>""</f>
        <v/>
      </c>
      <c r="AU465" t="str">
        <f>""</f>
        <v/>
      </c>
      <c r="AV465" t="str">
        <f>""</f>
        <v/>
      </c>
      <c r="AW465" t="str">
        <f>""</f>
        <v/>
      </c>
      <c r="AX465" t="str">
        <f>""</f>
        <v/>
      </c>
      <c r="AY465" t="str">
        <f>""</f>
        <v/>
      </c>
      <c r="AZ465" t="str">
        <f>""</f>
        <v/>
      </c>
      <c r="BA465" t="str">
        <f>""</f>
        <v/>
      </c>
      <c r="BB465" t="str">
        <f>"11/07/2023 02:14:29"</f>
        <v>11/07/2023 02:14:29</v>
      </c>
      <c r="BC465" t="str">
        <f>""</f>
        <v/>
      </c>
      <c r="BD465" t="str">
        <f>""</f>
        <v/>
      </c>
      <c r="BE465" t="str">
        <f>""</f>
        <v/>
      </c>
      <c r="BF465" t="str">
        <f t="shared" si="229"/>
        <v>A</v>
      </c>
      <c r="BG465" t="str">
        <f>""</f>
        <v/>
      </c>
      <c r="BH465" t="str">
        <f>""</f>
        <v/>
      </c>
      <c r="BI465" t="str">
        <f t="shared" si="238"/>
        <v>EVENTUAL</v>
      </c>
      <c r="BJ465" t="str">
        <f t="shared" si="230"/>
        <v>1</v>
      </c>
      <c r="BK465" t="str">
        <f t="shared" si="231"/>
        <v>Farmacia</v>
      </c>
      <c r="BL465" t="str">
        <f>""</f>
        <v/>
      </c>
      <c r="BM465" t="str">
        <f>""</f>
        <v/>
      </c>
      <c r="BN465" t="str">
        <f>""</f>
        <v/>
      </c>
      <c r="BO465" t="str">
        <f>""</f>
        <v/>
      </c>
      <c r="BP465" t="str">
        <f>""</f>
        <v/>
      </c>
      <c r="BQ465" t="str">
        <f>""</f>
        <v/>
      </c>
      <c r="BR465" t="str">
        <f>"11/07/2023"</f>
        <v>11/07/2023</v>
      </c>
      <c r="BS465" t="str">
        <f>""</f>
        <v/>
      </c>
      <c r="BT465" t="str">
        <f>""</f>
        <v/>
      </c>
      <c r="BU465" t="str">
        <f>""</f>
        <v/>
      </c>
      <c r="BV465" t="str">
        <f>""</f>
        <v/>
      </c>
      <c r="BW465" t="str">
        <f>"Não visitado"</f>
        <v>Não visitado</v>
      </c>
    </row>
    <row r="466" spans="1:75" x14ac:dyDescent="0.35">
      <c r="A466">
        <v>138254</v>
      </c>
      <c r="B466" t="str">
        <f t="shared" si="223"/>
        <v>A</v>
      </c>
      <c r="C466" t="str">
        <f t="shared" si="224"/>
        <v>80</v>
      </c>
      <c r="D466" t="str">
        <f t="shared" si="225"/>
        <v>11121001</v>
      </c>
      <c r="E466" t="str">
        <f t="shared" si="226"/>
        <v>121001</v>
      </c>
      <c r="F466" t="str">
        <f t="shared" si="227"/>
        <v>JENIFER SANTOS</v>
      </c>
      <c r="G466" t="str">
        <f>"21561009000303"</f>
        <v>21561009000303</v>
      </c>
      <c r="H466" t="str">
        <f t="shared" si="236"/>
        <v>0</v>
      </c>
      <c r="I466" t="str">
        <f t="shared" si="228"/>
        <v>CONTA OPTICA</v>
      </c>
      <c r="J466" t="str">
        <f>"TRANSPARENT OPTICA LTDA"</f>
        <v>TRANSPARENT OPTICA LTDA</v>
      </c>
      <c r="K466" t="str">
        <f>"OTICAS CAROL (3935)"</f>
        <v>OTICAS CAROL (3935)</v>
      </c>
      <c r="L466" t="str">
        <f>""</f>
        <v/>
      </c>
      <c r="M466" t="str">
        <f>""</f>
        <v/>
      </c>
      <c r="N466" t="str">
        <f>"loja1734@oticascarol.com.br"</f>
        <v>loja1734@oticascarol.com.br</v>
      </c>
      <c r="O466" t="str">
        <f>""</f>
        <v/>
      </c>
      <c r="P466" t="str">
        <f>"RUA ALMIRANTE TAMANDARE"</f>
        <v>RUA ALMIRANTE TAMANDARE</v>
      </c>
      <c r="Q466" t="str">
        <f>"660"</f>
        <v>660</v>
      </c>
      <c r="R466" t="str">
        <f>"S 1 E PIOVESAN"</f>
        <v>S 1 E PIOVESAN</v>
      </c>
      <c r="S466" t="str">
        <f>"1289"</f>
        <v>1289</v>
      </c>
      <c r="T466" t="str">
        <f>"89900000"</f>
        <v>89900000</v>
      </c>
      <c r="U466" t="str">
        <f t="shared" si="237"/>
        <v>CENTRO</v>
      </c>
      <c r="V466" t="str">
        <f>"SÃO MIGUEL DO OESTE"</f>
        <v>SÃO MIGUEL DO OESTE</v>
      </c>
      <c r="W466" t="str">
        <f t="shared" si="232"/>
        <v>SC</v>
      </c>
      <c r="X466" t="str">
        <f>"49"</f>
        <v>49</v>
      </c>
      <c r="Y466" t="str">
        <f>"36213740"</f>
        <v>36213740</v>
      </c>
      <c r="Z466" t="str">
        <f>""</f>
        <v/>
      </c>
      <c r="AA466" t="str">
        <f>""</f>
        <v/>
      </c>
      <c r="AB466" t="str">
        <f>""</f>
        <v/>
      </c>
      <c r="AC466" t="str">
        <f>""</f>
        <v/>
      </c>
      <c r="AD466" t="str">
        <f>""</f>
        <v/>
      </c>
      <c r="AE466" t="str">
        <f>""</f>
        <v/>
      </c>
      <c r="AF466" t="str">
        <f>""</f>
        <v/>
      </c>
      <c r="AG466" t="str">
        <f>"S"</f>
        <v>S</v>
      </c>
      <c r="AH466" t="str">
        <f>""</f>
        <v/>
      </c>
      <c r="AI466" t="str">
        <f>""</f>
        <v/>
      </c>
      <c r="AJ466" t="str">
        <f>""</f>
        <v/>
      </c>
      <c r="AK466" t="str">
        <f>""</f>
        <v/>
      </c>
      <c r="AL466" t="str">
        <f>""</f>
        <v/>
      </c>
      <c r="AM466" t="str">
        <f>""</f>
        <v/>
      </c>
      <c r="AN466" t="str">
        <f>""</f>
        <v/>
      </c>
      <c r="AO466" t="str">
        <f>""</f>
        <v/>
      </c>
      <c r="AP466" t="str">
        <f>""</f>
        <v/>
      </c>
      <c r="AQ466" t="str">
        <f t="shared" ref="AQ466:AU467" si="239">"N"</f>
        <v>N</v>
      </c>
      <c r="AR466" t="str">
        <f t="shared" si="239"/>
        <v>N</v>
      </c>
      <c r="AS466" t="str">
        <f t="shared" si="239"/>
        <v>N</v>
      </c>
      <c r="AT466" t="str">
        <f t="shared" si="239"/>
        <v>N</v>
      </c>
      <c r="AU466" t="str">
        <f t="shared" si="239"/>
        <v>N</v>
      </c>
      <c r="AV466" t="str">
        <f>""</f>
        <v/>
      </c>
      <c r="AW466" t="str">
        <f>""</f>
        <v/>
      </c>
      <c r="AX466" t="str">
        <f>""</f>
        <v/>
      </c>
      <c r="AY466" t="str">
        <f>""</f>
        <v/>
      </c>
      <c r="AZ466" t="str">
        <f>""</f>
        <v/>
      </c>
      <c r="BA466" t="str">
        <f>""</f>
        <v/>
      </c>
      <c r="BB466" t="str">
        <f>"01/07/2021 13:53:04"</f>
        <v>01/07/2021 13:53:04</v>
      </c>
      <c r="BC466" t="str">
        <f>"19/04/2022 15:03:10"</f>
        <v>19/04/2022 15:03:10</v>
      </c>
      <c r="BD466" t="str">
        <f>""</f>
        <v/>
      </c>
      <c r="BE466" t="str">
        <f>""</f>
        <v/>
      </c>
      <c r="BF466" t="str">
        <f t="shared" si="229"/>
        <v>A</v>
      </c>
      <c r="BG466" t="str">
        <f>""</f>
        <v/>
      </c>
      <c r="BH466" t="str">
        <f>"0,00"</f>
        <v>0,00</v>
      </c>
      <c r="BI466" t="str">
        <f t="shared" si="238"/>
        <v>EVENTUAL</v>
      </c>
      <c r="BJ466" t="str">
        <f t="shared" si="230"/>
        <v>1</v>
      </c>
      <c r="BK466" t="str">
        <f t="shared" si="231"/>
        <v>Farmacia</v>
      </c>
      <c r="BL466" t="str">
        <f>""</f>
        <v/>
      </c>
      <c r="BM466" t="str">
        <f>"NÃO É VARILUX ESPECIALISTA"</f>
        <v>NÃO É VARILUX ESPECIALISTA</v>
      </c>
      <c r="BN466" t="str">
        <f>"NA"</f>
        <v>NA</v>
      </c>
      <c r="BO466" t="str">
        <f>"FOCO VARILUX DIGITAL"</f>
        <v>FOCO VARILUX DIGITAL</v>
      </c>
      <c r="BP466" t="str">
        <f>""</f>
        <v/>
      </c>
      <c r="BQ466" t="str">
        <f>""</f>
        <v/>
      </c>
      <c r="BR466" t="str">
        <f>"01/07/2021"</f>
        <v>01/07/2021</v>
      </c>
      <c r="BS466" t="str">
        <f>"19/04/2022"</f>
        <v>19/04/2022</v>
      </c>
      <c r="BT466" t="str">
        <f>""</f>
        <v/>
      </c>
      <c r="BU466" t="str">
        <f>""</f>
        <v/>
      </c>
      <c r="BV466" t="str">
        <f>""</f>
        <v/>
      </c>
      <c r="BW466" t="str">
        <f>"Não visitado"</f>
        <v>Não visitado</v>
      </c>
    </row>
    <row r="467" spans="1:75" x14ac:dyDescent="0.35">
      <c r="A467">
        <v>138255</v>
      </c>
      <c r="B467" t="str">
        <f t="shared" si="223"/>
        <v>A</v>
      </c>
      <c r="C467" t="str">
        <f t="shared" si="224"/>
        <v>80</v>
      </c>
      <c r="D467" t="str">
        <f t="shared" si="225"/>
        <v>11121001</v>
      </c>
      <c r="E467" t="str">
        <f t="shared" si="226"/>
        <v>121001</v>
      </c>
      <c r="F467" t="str">
        <f t="shared" si="227"/>
        <v>JENIFER SANTOS</v>
      </c>
      <c r="G467" t="str">
        <f>"21561009000141"</f>
        <v>21561009000141</v>
      </c>
      <c r="H467" t="str">
        <f t="shared" si="236"/>
        <v>0</v>
      </c>
      <c r="I467" t="str">
        <f t="shared" si="228"/>
        <v>CONTA OPTICA</v>
      </c>
      <c r="J467" t="str">
        <f>"TRANSPARENT OPTICA LTDA ME"</f>
        <v>TRANSPARENT OPTICA LTDA ME</v>
      </c>
      <c r="K467" t="str">
        <f>"OTICAS CAROL (2185)"</f>
        <v>OTICAS CAROL (2185)</v>
      </c>
      <c r="L467" t="str">
        <f>""</f>
        <v/>
      </c>
      <c r="M467" t="str">
        <f>""</f>
        <v/>
      </c>
      <c r="N467" t="str">
        <f>"loja977@oticascarol.com.br"</f>
        <v>loja977@oticascarol.com.br</v>
      </c>
      <c r="O467" t="str">
        <f>""</f>
        <v/>
      </c>
      <c r="P467" t="str">
        <f>"RUA MARECHAL JOSE BORMANN"</f>
        <v>RUA MARECHAL JOSE BORMANN</v>
      </c>
      <c r="Q467" t="str">
        <f>"180 E"</f>
        <v>180 E</v>
      </c>
      <c r="R467" t="str">
        <f>""</f>
        <v/>
      </c>
      <c r="S467" t="str">
        <f>"1287"</f>
        <v>1287</v>
      </c>
      <c r="T467" t="str">
        <f>"89802200"</f>
        <v>89802200</v>
      </c>
      <c r="U467" t="str">
        <f t="shared" si="237"/>
        <v>CENTRO</v>
      </c>
      <c r="V467" t="str">
        <f>"CHAPECÓ"</f>
        <v>CHAPECÓ</v>
      </c>
      <c r="W467" t="str">
        <f t="shared" si="232"/>
        <v>SC</v>
      </c>
      <c r="X467" t="str">
        <f>"49"</f>
        <v>49</v>
      </c>
      <c r="Y467" t="str">
        <f>"30254688"</f>
        <v>30254688</v>
      </c>
      <c r="Z467" t="str">
        <f>""</f>
        <v/>
      </c>
      <c r="AA467" t="str">
        <f>""</f>
        <v/>
      </c>
      <c r="AB467" t="str">
        <f>""</f>
        <v/>
      </c>
      <c r="AC467" t="str">
        <f>""</f>
        <v/>
      </c>
      <c r="AD467" t="str">
        <f>""</f>
        <v/>
      </c>
      <c r="AE467" t="str">
        <f>""</f>
        <v/>
      </c>
      <c r="AF467" t="str">
        <f>""</f>
        <v/>
      </c>
      <c r="AG467" t="str">
        <f>"S"</f>
        <v>S</v>
      </c>
      <c r="AH467" t="str">
        <f>""</f>
        <v/>
      </c>
      <c r="AI467" t="str">
        <f>""</f>
        <v/>
      </c>
      <c r="AJ467" t="str">
        <f>""</f>
        <v/>
      </c>
      <c r="AK467" t="str">
        <f>""</f>
        <v/>
      </c>
      <c r="AL467" t="str">
        <f>""</f>
        <v/>
      </c>
      <c r="AM467" t="str">
        <f>""</f>
        <v/>
      </c>
      <c r="AN467" t="str">
        <f>""</f>
        <v/>
      </c>
      <c r="AO467" t="str">
        <f>""</f>
        <v/>
      </c>
      <c r="AP467" t="str">
        <f>""</f>
        <v/>
      </c>
      <c r="AQ467" t="str">
        <f t="shared" si="239"/>
        <v>N</v>
      </c>
      <c r="AR467" t="str">
        <f t="shared" si="239"/>
        <v>N</v>
      </c>
      <c r="AS467" t="str">
        <f t="shared" si="239"/>
        <v>N</v>
      </c>
      <c r="AT467" t="str">
        <f t="shared" si="239"/>
        <v>N</v>
      </c>
      <c r="AU467" t="str">
        <f t="shared" si="239"/>
        <v>N</v>
      </c>
      <c r="AV467" t="str">
        <f>""</f>
        <v/>
      </c>
      <c r="AW467" t="str">
        <f>""</f>
        <v/>
      </c>
      <c r="AX467" t="str">
        <f>""</f>
        <v/>
      </c>
      <c r="AY467" t="str">
        <f>""</f>
        <v/>
      </c>
      <c r="AZ467" t="str">
        <f>""</f>
        <v/>
      </c>
      <c r="BA467" t="str">
        <f>""</f>
        <v/>
      </c>
      <c r="BB467" t="str">
        <f>"01/07/2021 13:53:04"</f>
        <v>01/07/2021 13:53:04</v>
      </c>
      <c r="BC467" t="str">
        <f>"17/03/2022 10:43:28"</f>
        <v>17/03/2022 10:43:28</v>
      </c>
      <c r="BD467" t="str">
        <f>""</f>
        <v/>
      </c>
      <c r="BE467" t="str">
        <f>""</f>
        <v/>
      </c>
      <c r="BF467" t="str">
        <f t="shared" si="229"/>
        <v>A</v>
      </c>
      <c r="BG467" t="str">
        <f>""</f>
        <v/>
      </c>
      <c r="BH467" t="str">
        <f>"0,00"</f>
        <v>0,00</v>
      </c>
      <c r="BI467" t="str">
        <f t="shared" si="238"/>
        <v>EVENTUAL</v>
      </c>
      <c r="BJ467" t="str">
        <f t="shared" si="230"/>
        <v>1</v>
      </c>
      <c r="BK467" t="str">
        <f t="shared" si="231"/>
        <v>Farmacia</v>
      </c>
      <c r="BL467" t="str">
        <f>""</f>
        <v/>
      </c>
      <c r="BM467" t="str">
        <f>"NÃO É VARILUX ESPECIALISTA"</f>
        <v>NÃO É VARILUX ESPECIALISTA</v>
      </c>
      <c r="BN467" t="str">
        <f>"NA"</f>
        <v>NA</v>
      </c>
      <c r="BO467" t="str">
        <f>"FOCO VARILUX"</f>
        <v>FOCO VARILUX</v>
      </c>
      <c r="BP467" t="str">
        <f>""</f>
        <v/>
      </c>
      <c r="BQ467" t="str">
        <f>""</f>
        <v/>
      </c>
      <c r="BR467" t="str">
        <f>"01/07/2021"</f>
        <v>01/07/2021</v>
      </c>
      <c r="BS467" t="str">
        <f>"17/03/2022"</f>
        <v>17/03/2022</v>
      </c>
      <c r="BT467" t="str">
        <f>""</f>
        <v/>
      </c>
      <c r="BU467" t="str">
        <f>""</f>
        <v/>
      </c>
      <c r="BV467" t="str">
        <f>""</f>
        <v/>
      </c>
      <c r="BW467" t="str">
        <f>"Não visitado"</f>
        <v>Não visitado</v>
      </c>
    </row>
    <row r="468" spans="1:75" x14ac:dyDescent="0.35">
      <c r="A468">
        <v>157514</v>
      </c>
      <c r="B468" t="str">
        <f t="shared" si="223"/>
        <v>A</v>
      </c>
      <c r="C468" t="str">
        <f t="shared" si="224"/>
        <v>80</v>
      </c>
      <c r="D468" t="str">
        <f t="shared" si="225"/>
        <v>11121001</v>
      </c>
      <c r="E468" t="str">
        <f t="shared" si="226"/>
        <v>121001</v>
      </c>
      <c r="F468" t="str">
        <f t="shared" si="227"/>
        <v>JENIFER SANTOS</v>
      </c>
      <c r="G468" t="str">
        <f>"18291169000103"</f>
        <v>18291169000103</v>
      </c>
      <c r="H468" t="str">
        <f t="shared" si="236"/>
        <v>0</v>
      </c>
      <c r="I468" t="str">
        <f t="shared" si="228"/>
        <v>CONTA OPTICA</v>
      </c>
      <c r="J468" t="str">
        <f>"TRANSPORTES FREIDER LTDA"</f>
        <v>TRANSPORTES FREIDER LTDA</v>
      </c>
      <c r="K468" t="str">
        <f>"TRANSPORTES FREIDER LTDA (11497)"</f>
        <v>TRANSPORTES FREIDER LTDA (11497)</v>
      </c>
      <c r="L468" t="str">
        <f>""</f>
        <v/>
      </c>
      <c r="M468" t="str">
        <f>""</f>
        <v/>
      </c>
      <c r="N468" t="str">
        <f>"comunicacao@repro.com.br"</f>
        <v>comunicacao@repro.com.br</v>
      </c>
      <c r="O468" t="str">
        <f>""</f>
        <v/>
      </c>
      <c r="P468" t="str">
        <f>"RUA CUNHA PORA - E"</f>
        <v>RUA CUNHA PORA - E</v>
      </c>
      <c r="Q468" t="str">
        <f>"186"</f>
        <v>186</v>
      </c>
      <c r="R468" t="str">
        <f>""</f>
        <v/>
      </c>
      <c r="S468" t="str">
        <f>"1287"</f>
        <v>1287</v>
      </c>
      <c r="T468" t="str">
        <f>"89809500"</f>
        <v>89809500</v>
      </c>
      <c r="U468" t="str">
        <f>"EFAPI"</f>
        <v>EFAPI</v>
      </c>
      <c r="V468" t="str">
        <f>"CHAPECO"</f>
        <v>CHAPECO</v>
      </c>
      <c r="W468" t="str">
        <f t="shared" si="232"/>
        <v>SC</v>
      </c>
      <c r="X468" t="str">
        <f>"49"</f>
        <v>49</v>
      </c>
      <c r="Y468" t="str">
        <f>"91351067"</f>
        <v>91351067</v>
      </c>
      <c r="Z468" t="str">
        <f>""</f>
        <v/>
      </c>
      <c r="AA468" t="str">
        <f>""</f>
        <v/>
      </c>
      <c r="AB468" t="str">
        <f>""</f>
        <v/>
      </c>
      <c r="AC468" t="str">
        <f>""</f>
        <v/>
      </c>
      <c r="AD468" t="str">
        <f>""</f>
        <v/>
      </c>
      <c r="AE468" t="str">
        <f>""</f>
        <v/>
      </c>
      <c r="AF468" t="str">
        <f>""</f>
        <v/>
      </c>
      <c r="AG468" t="str">
        <f>""</f>
        <v/>
      </c>
      <c r="AH468" t="str">
        <f>""</f>
        <v/>
      </c>
      <c r="AI468" t="str">
        <f>""</f>
        <v/>
      </c>
      <c r="AJ468" t="str">
        <f>""</f>
        <v/>
      </c>
      <c r="AK468" t="str">
        <f>""</f>
        <v/>
      </c>
      <c r="AL468" t="str">
        <f>""</f>
        <v/>
      </c>
      <c r="AM468" t="str">
        <f>""</f>
        <v/>
      </c>
      <c r="AN468" t="str">
        <f>""</f>
        <v/>
      </c>
      <c r="AO468" t="str">
        <f>""</f>
        <v/>
      </c>
      <c r="AP468" t="str">
        <f>""</f>
        <v/>
      </c>
      <c r="AQ468" t="str">
        <f>""</f>
        <v/>
      </c>
      <c r="AR468" t="str">
        <f>""</f>
        <v/>
      </c>
      <c r="AS468" t="str">
        <f>""</f>
        <v/>
      </c>
      <c r="AT468" t="str">
        <f>""</f>
        <v/>
      </c>
      <c r="AU468" t="str">
        <f>""</f>
        <v/>
      </c>
      <c r="AV468" t="str">
        <f>""</f>
        <v/>
      </c>
      <c r="AW468" t="str">
        <f>""</f>
        <v/>
      </c>
      <c r="AX468" t="str">
        <f>""</f>
        <v/>
      </c>
      <c r="AY468" t="str">
        <f>""</f>
        <v/>
      </c>
      <c r="AZ468" t="str">
        <f>""</f>
        <v/>
      </c>
      <c r="BA468" t="str">
        <f>""</f>
        <v/>
      </c>
      <c r="BB468" t="str">
        <f>"11/07/2023 02:14:29"</f>
        <v>11/07/2023 02:14:29</v>
      </c>
      <c r="BC468" t="str">
        <f>""</f>
        <v/>
      </c>
      <c r="BD468" t="str">
        <f>""</f>
        <v/>
      </c>
      <c r="BE468" t="str">
        <f>""</f>
        <v/>
      </c>
      <c r="BF468" t="str">
        <f t="shared" si="229"/>
        <v>A</v>
      </c>
      <c r="BG468" t="str">
        <f>""</f>
        <v/>
      </c>
      <c r="BH468" t="str">
        <f>""</f>
        <v/>
      </c>
      <c r="BI468" t="str">
        <f t="shared" si="238"/>
        <v>EVENTUAL</v>
      </c>
      <c r="BJ468" t="str">
        <f t="shared" si="230"/>
        <v>1</v>
      </c>
      <c r="BK468" t="str">
        <f t="shared" si="231"/>
        <v>Farmacia</v>
      </c>
      <c r="BL468" t="str">
        <f>""</f>
        <v/>
      </c>
      <c r="BM468" t="str">
        <f>""</f>
        <v/>
      </c>
      <c r="BN468" t="str">
        <f>""</f>
        <v/>
      </c>
      <c r="BO468" t="str">
        <f>""</f>
        <v/>
      </c>
      <c r="BP468" t="str">
        <f>""</f>
        <v/>
      </c>
      <c r="BQ468" t="str">
        <f>""</f>
        <v/>
      </c>
      <c r="BR468" t="str">
        <f>"11/07/2023"</f>
        <v>11/07/2023</v>
      </c>
      <c r="BS468" t="str">
        <f>""</f>
        <v/>
      </c>
      <c r="BT468" t="str">
        <f>""</f>
        <v/>
      </c>
      <c r="BU468" t="str">
        <f>""</f>
        <v/>
      </c>
      <c r="BV468" t="str">
        <f>""</f>
        <v/>
      </c>
      <c r="BW468" t="str">
        <f>"Não visitado"</f>
        <v>Não visitado</v>
      </c>
    </row>
    <row r="469" spans="1:75" x14ac:dyDescent="0.35">
      <c r="A469">
        <v>144774</v>
      </c>
      <c r="B469" t="str">
        <f t="shared" si="223"/>
        <v>A</v>
      </c>
      <c r="C469" t="str">
        <f t="shared" si="224"/>
        <v>80</v>
      </c>
      <c r="D469" t="str">
        <f t="shared" si="225"/>
        <v>11121001</v>
      </c>
      <c r="E469" t="str">
        <f t="shared" si="226"/>
        <v>121001</v>
      </c>
      <c r="F469" t="str">
        <f t="shared" si="227"/>
        <v>JENIFER SANTOS</v>
      </c>
      <c r="G469" t="str">
        <f>"17380578000113"</f>
        <v>17380578000113</v>
      </c>
      <c r="H469" t="str">
        <f>""</f>
        <v/>
      </c>
      <c r="I469" t="str">
        <f t="shared" si="228"/>
        <v>CONTA OPTICA</v>
      </c>
      <c r="J469" t="str">
        <f>"V+ OPTICA LTDA ME"</f>
        <v>V+ OPTICA LTDA ME</v>
      </c>
      <c r="K469" t="str">
        <f>"OPTIMA PRESENTES E OPTICA (1992)"</f>
        <v>OPTIMA PRESENTES E OPTICA (1992)</v>
      </c>
      <c r="L469" t="str">
        <f>""</f>
        <v/>
      </c>
      <c r="M469" t="str">
        <f>""</f>
        <v/>
      </c>
      <c r="N469" t="str">
        <f>"gabriele16pfeiffer@gmail.com"</f>
        <v>gabriele16pfeiffer@gmail.com</v>
      </c>
      <c r="O469" t="str">
        <f>""</f>
        <v/>
      </c>
      <c r="P469" t="str">
        <f>"AVENIDA DOM PEDRO II"</f>
        <v>AVENIDA DOM PEDRO II</v>
      </c>
      <c r="Q469" t="str">
        <f>"406"</f>
        <v>406</v>
      </c>
      <c r="R469" t="str">
        <f>"SALA 1"</f>
        <v>SALA 1</v>
      </c>
      <c r="S469" t="str">
        <f>"1280"</f>
        <v>1280</v>
      </c>
      <c r="T469" t="str">
        <f>"89280139"</f>
        <v>89280139</v>
      </c>
      <c r="U469" t="str">
        <f t="shared" ref="U469:U475" si="240">"CENTRO"</f>
        <v>CENTRO</v>
      </c>
      <c r="V469" t="str">
        <f>"SAO BENTO DO SUL"</f>
        <v>SAO BENTO DO SUL</v>
      </c>
      <c r="W469" t="str">
        <f t="shared" si="232"/>
        <v>SC</v>
      </c>
      <c r="X469" t="str">
        <f>"47"</f>
        <v>47</v>
      </c>
      <c r="Y469" t="str">
        <f>"36335201"</f>
        <v>36335201</v>
      </c>
      <c r="Z469" t="str">
        <f>""</f>
        <v/>
      </c>
      <c r="AA469" t="str">
        <f>""</f>
        <v/>
      </c>
      <c r="AB469" t="str">
        <f>""</f>
        <v/>
      </c>
      <c r="AC469" t="str">
        <f>""</f>
        <v/>
      </c>
      <c r="AD469" t="str">
        <f>""</f>
        <v/>
      </c>
      <c r="AE469" t="str">
        <f>""</f>
        <v/>
      </c>
      <c r="AF469" t="str">
        <f>""</f>
        <v/>
      </c>
      <c r="AG469" t="str">
        <f>""</f>
        <v/>
      </c>
      <c r="AH469" t="str">
        <f>""</f>
        <v/>
      </c>
      <c r="AI469" t="str">
        <f>""</f>
        <v/>
      </c>
      <c r="AJ469" t="str">
        <f>"0"</f>
        <v>0</v>
      </c>
      <c r="AK469" t="str">
        <f>"0"</f>
        <v>0</v>
      </c>
      <c r="AL469" t="str">
        <f>"0"</f>
        <v>0</v>
      </c>
      <c r="AM469" t="str">
        <f>""</f>
        <v/>
      </c>
      <c r="AN469" t="str">
        <f>""</f>
        <v/>
      </c>
      <c r="AO469" t="str">
        <f>""</f>
        <v/>
      </c>
      <c r="AP469" t="str">
        <f>""</f>
        <v/>
      </c>
      <c r="AQ469" t="str">
        <f>""</f>
        <v/>
      </c>
      <c r="AR469" t="str">
        <f>""</f>
        <v/>
      </c>
      <c r="AS469" t="str">
        <f>""</f>
        <v/>
      </c>
      <c r="AT469" t="str">
        <f>""</f>
        <v/>
      </c>
      <c r="AU469" t="str">
        <f>""</f>
        <v/>
      </c>
      <c r="AV469" t="str">
        <f>""</f>
        <v/>
      </c>
      <c r="AW469" t="str">
        <f>""</f>
        <v/>
      </c>
      <c r="AX469" t="str">
        <f>""</f>
        <v/>
      </c>
      <c r="AY469" t="str">
        <f>""</f>
        <v/>
      </c>
      <c r="AZ469" t="str">
        <f>""</f>
        <v/>
      </c>
      <c r="BA469" t="str">
        <f>""</f>
        <v/>
      </c>
      <c r="BB469" t="str">
        <f>""</f>
        <v/>
      </c>
      <c r="BC469" t="str">
        <f>""</f>
        <v/>
      </c>
      <c r="BD469" t="str">
        <f>""</f>
        <v/>
      </c>
      <c r="BE469" t="str">
        <f>""</f>
        <v/>
      </c>
      <c r="BF469" t="str">
        <f t="shared" si="229"/>
        <v>A</v>
      </c>
      <c r="BG469" t="str">
        <f>"0,00"</f>
        <v>0,00</v>
      </c>
      <c r="BH469" t="str">
        <f>"0,00"</f>
        <v>0,00</v>
      </c>
      <c r="BI469" t="str">
        <f t="shared" si="238"/>
        <v>EVENTUAL</v>
      </c>
      <c r="BJ469" t="str">
        <f t="shared" si="230"/>
        <v>1</v>
      </c>
      <c r="BK469" t="str">
        <f t="shared" si="231"/>
        <v>Farmacia</v>
      </c>
      <c r="BL469" t="str">
        <f>""</f>
        <v/>
      </c>
      <c r="BM469" t="str">
        <f>"NÃO É VARILUX ESPECIALISTA"</f>
        <v>NÃO É VARILUX ESPECIALISTA</v>
      </c>
      <c r="BN469" t="str">
        <f>"NA"</f>
        <v>NA</v>
      </c>
      <c r="BO469" t="str">
        <f>"OUTROS"</f>
        <v>OUTROS</v>
      </c>
      <c r="BP469" t="str">
        <f>""</f>
        <v/>
      </c>
      <c r="BQ469" t="str">
        <f>""</f>
        <v/>
      </c>
      <c r="BR469" t="str">
        <f>""</f>
        <v/>
      </c>
      <c r="BS469" t="str">
        <f>""</f>
        <v/>
      </c>
      <c r="BT469" t="str">
        <f>""</f>
        <v/>
      </c>
      <c r="BU469" t="str">
        <f>""</f>
        <v/>
      </c>
      <c r="BV469" t="str">
        <f>"6"</f>
        <v>6</v>
      </c>
      <c r="BW469" t="str">
        <f>"Não visitado"</f>
        <v>Não visitado</v>
      </c>
    </row>
    <row r="470" spans="1:75" x14ac:dyDescent="0.35">
      <c r="A470">
        <v>138258</v>
      </c>
      <c r="B470" t="str">
        <f t="shared" si="223"/>
        <v>A</v>
      </c>
      <c r="C470" t="str">
        <f t="shared" si="224"/>
        <v>80</v>
      </c>
      <c r="D470" t="str">
        <f t="shared" si="225"/>
        <v>11121001</v>
      </c>
      <c r="E470" t="str">
        <f t="shared" si="226"/>
        <v>121001</v>
      </c>
      <c r="F470" t="str">
        <f t="shared" si="227"/>
        <v>JENIFER SANTOS</v>
      </c>
      <c r="G470" t="str">
        <f>"83685628000103"</f>
        <v>83685628000103</v>
      </c>
      <c r="H470" t="str">
        <f>"0"</f>
        <v>0</v>
      </c>
      <c r="I470" t="str">
        <f t="shared" si="228"/>
        <v>CONTA OPTICA</v>
      </c>
      <c r="J470" t="str">
        <f>"VALDAMERI E CIA LTDA ME"</f>
        <v>VALDAMERI E CIA LTDA ME</v>
      </c>
      <c r="K470" t="str">
        <f>"OTICAS CAROL (453)"</f>
        <v>OTICAS CAROL (453)</v>
      </c>
      <c r="L470" t="str">
        <f>""</f>
        <v/>
      </c>
      <c r="M470" t="str">
        <f>""</f>
        <v/>
      </c>
      <c r="N470" t="str">
        <f>"oticacarolnfe@uol.com.br"</f>
        <v>oticacarolnfe@uol.com.br</v>
      </c>
      <c r="O470" t="str">
        <f>""</f>
        <v/>
      </c>
      <c r="P470" t="str">
        <f>"RUA SAUL BRANDALISE"</f>
        <v>RUA SAUL BRANDALISE</v>
      </c>
      <c r="Q470" t="str">
        <f>"132"</f>
        <v>132</v>
      </c>
      <c r="R470" t="str">
        <f>""</f>
        <v/>
      </c>
      <c r="S470" t="str">
        <f>""</f>
        <v/>
      </c>
      <c r="T470" t="str">
        <f>"89560196"</f>
        <v>89560196</v>
      </c>
      <c r="U470" t="str">
        <f t="shared" si="240"/>
        <v>CENTRO</v>
      </c>
      <c r="V470" t="str">
        <f>"VIDEIRA"</f>
        <v>VIDEIRA</v>
      </c>
      <c r="W470" t="str">
        <f t="shared" si="232"/>
        <v>SC</v>
      </c>
      <c r="X470" t="str">
        <f>"49"</f>
        <v>49</v>
      </c>
      <c r="Y470" t="str">
        <f>"35660680"</f>
        <v>35660680</v>
      </c>
      <c r="Z470" t="str">
        <f>""</f>
        <v/>
      </c>
      <c r="AA470" t="str">
        <f>""</f>
        <v/>
      </c>
      <c r="AB470" t="str">
        <f>""</f>
        <v/>
      </c>
      <c r="AC470" t="str">
        <f>""</f>
        <v/>
      </c>
      <c r="AD470" t="str">
        <f>""</f>
        <v/>
      </c>
      <c r="AE470" t="str">
        <f>""</f>
        <v/>
      </c>
      <c r="AF470" t="str">
        <f>""</f>
        <v/>
      </c>
      <c r="AG470" t="str">
        <f>"S"</f>
        <v>S</v>
      </c>
      <c r="AH470" t="str">
        <f>""</f>
        <v/>
      </c>
      <c r="AI470" t="str">
        <f>""</f>
        <v/>
      </c>
      <c r="AJ470" t="str">
        <f>""</f>
        <v/>
      </c>
      <c r="AK470" t="str">
        <f>""</f>
        <v/>
      </c>
      <c r="AL470" t="str">
        <f>""</f>
        <v/>
      </c>
      <c r="AM470" t="str">
        <f>""</f>
        <v/>
      </c>
      <c r="AN470" t="str">
        <f>""</f>
        <v/>
      </c>
      <c r="AO470" t="str">
        <f>""</f>
        <v/>
      </c>
      <c r="AP470" t="str">
        <f>""</f>
        <v/>
      </c>
      <c r="AQ470" t="str">
        <f>"N"</f>
        <v>N</v>
      </c>
      <c r="AR470" t="str">
        <f>"N"</f>
        <v>N</v>
      </c>
      <c r="AS470" t="str">
        <f>"N"</f>
        <v>N</v>
      </c>
      <c r="AT470" t="str">
        <f>"N"</f>
        <v>N</v>
      </c>
      <c r="AU470" t="str">
        <f>"N"</f>
        <v>N</v>
      </c>
      <c r="AV470" t="str">
        <f>""</f>
        <v/>
      </c>
      <c r="AW470" t="str">
        <f>""</f>
        <v/>
      </c>
      <c r="AX470" t="str">
        <f>""</f>
        <v/>
      </c>
      <c r="AY470" t="str">
        <f>""</f>
        <v/>
      </c>
      <c r="AZ470" t="str">
        <f>""</f>
        <v/>
      </c>
      <c r="BA470" t="str">
        <f>""</f>
        <v/>
      </c>
      <c r="BB470" t="str">
        <f>"01/07/2021 13:53:04"</f>
        <v>01/07/2021 13:53:04</v>
      </c>
      <c r="BC470" t="str">
        <f>"16/05/2022 14:34:12"</f>
        <v>16/05/2022 14:34:12</v>
      </c>
      <c r="BD470" t="str">
        <f>""</f>
        <v/>
      </c>
      <c r="BE470" t="str">
        <f>""</f>
        <v/>
      </c>
      <c r="BF470" t="str">
        <f t="shared" si="229"/>
        <v>A</v>
      </c>
      <c r="BG470" t="str">
        <f>""</f>
        <v/>
      </c>
      <c r="BH470" t="str">
        <f>"0,00"</f>
        <v>0,00</v>
      </c>
      <c r="BI470" t="str">
        <f t="shared" si="238"/>
        <v>EVENTUAL</v>
      </c>
      <c r="BJ470" t="str">
        <f t="shared" si="230"/>
        <v>1</v>
      </c>
      <c r="BK470" t="str">
        <f t="shared" si="231"/>
        <v>Farmacia</v>
      </c>
      <c r="BL470" t="str">
        <f>""</f>
        <v/>
      </c>
      <c r="BM470" t="str">
        <f>"VARILUX ESPECIALISTA PLATINE"</f>
        <v>VARILUX ESPECIALISTA PLATINE</v>
      </c>
      <c r="BN470" t="str">
        <f>"NA"</f>
        <v>NA</v>
      </c>
      <c r="BO470" t="str">
        <f>"FOCO VARILUX DIGITAL"</f>
        <v>FOCO VARILUX DIGITAL</v>
      </c>
      <c r="BP470" t="str">
        <f>""</f>
        <v/>
      </c>
      <c r="BQ470" t="str">
        <f>""</f>
        <v/>
      </c>
      <c r="BR470" t="str">
        <f>"01/07/2021"</f>
        <v>01/07/2021</v>
      </c>
      <c r="BS470" t="str">
        <f>"16/05/2022"</f>
        <v>16/05/2022</v>
      </c>
      <c r="BT470" t="str">
        <f>""</f>
        <v/>
      </c>
      <c r="BU470" t="str">
        <f>""</f>
        <v/>
      </c>
      <c r="BV470" t="str">
        <f>""</f>
        <v/>
      </c>
      <c r="BW470" t="str">
        <f>"23"</f>
        <v>23</v>
      </c>
    </row>
    <row r="471" spans="1:75" x14ac:dyDescent="0.35">
      <c r="A471">
        <v>144812</v>
      </c>
      <c r="B471" t="str">
        <f t="shared" si="223"/>
        <v>A</v>
      </c>
      <c r="C471" t="str">
        <f t="shared" si="224"/>
        <v>80</v>
      </c>
      <c r="D471" t="str">
        <f t="shared" si="225"/>
        <v>11121001</v>
      </c>
      <c r="E471" t="str">
        <f t="shared" si="226"/>
        <v>121001</v>
      </c>
      <c r="F471" t="str">
        <f t="shared" si="227"/>
        <v>JENIFER SANTOS</v>
      </c>
      <c r="G471" t="str">
        <f>"37659659000164"</f>
        <v>37659659000164</v>
      </c>
      <c r="H471" t="str">
        <f>""</f>
        <v/>
      </c>
      <c r="I471" t="str">
        <f t="shared" si="228"/>
        <v>CONTA OPTICA</v>
      </c>
      <c r="J471" t="str">
        <f>"VALERIA FERREIRA GALLO VANUNCCI COMERCIO E ARTIGOS OTICOS LT"</f>
        <v>VALERIA FERREIRA GALLO VANUNCCI COMERCIO E ARTIGOS OTICOS LT</v>
      </c>
      <c r="K471" t="str">
        <f>"OTICAS PETRY (4297)"</f>
        <v>OTICAS PETRY (4297)</v>
      </c>
      <c r="L471" t="str">
        <f>""</f>
        <v/>
      </c>
      <c r="M471" t="str">
        <f>""</f>
        <v/>
      </c>
      <c r="N471" t="str">
        <f>"OTICASPETRY@OUTLOOK.COM"</f>
        <v>OTICASPETRY@OUTLOOK.COM</v>
      </c>
      <c r="O471" t="str">
        <f>""</f>
        <v/>
      </c>
      <c r="P471" t="str">
        <f>"RUA LAGES"</f>
        <v>RUA LAGES</v>
      </c>
      <c r="Q471" t="str">
        <f>"457"</f>
        <v>457</v>
      </c>
      <c r="R471" t="str">
        <f>"SALA 02"</f>
        <v>SALA 02</v>
      </c>
      <c r="S471" t="str">
        <f>"1278"</f>
        <v>1278</v>
      </c>
      <c r="T471" t="str">
        <f>"89204010"</f>
        <v>89204010</v>
      </c>
      <c r="U471" t="str">
        <f t="shared" si="240"/>
        <v>CENTRO</v>
      </c>
      <c r="V471" t="str">
        <f>"JOINVILLE"</f>
        <v>JOINVILLE</v>
      </c>
      <c r="W471" t="str">
        <f t="shared" si="232"/>
        <v>SC</v>
      </c>
      <c r="X471" t="str">
        <f>"47"</f>
        <v>47</v>
      </c>
      <c r="Y471" t="str">
        <f>"30277899"</f>
        <v>30277899</v>
      </c>
      <c r="Z471" t="str">
        <f>""</f>
        <v/>
      </c>
      <c r="AA471" t="str">
        <f>""</f>
        <v/>
      </c>
      <c r="AB471" t="str">
        <f>""</f>
        <v/>
      </c>
      <c r="AC471" t="str">
        <f>""</f>
        <v/>
      </c>
      <c r="AD471" t="str">
        <f>""</f>
        <v/>
      </c>
      <c r="AE471" t="str">
        <f>""</f>
        <v/>
      </c>
      <c r="AF471" t="str">
        <f>""</f>
        <v/>
      </c>
      <c r="AG471" t="str">
        <f>""</f>
        <v/>
      </c>
      <c r="AH471" t="str">
        <f>""</f>
        <v/>
      </c>
      <c r="AI471" t="str">
        <f>""</f>
        <v/>
      </c>
      <c r="AJ471" t="str">
        <f>""</f>
        <v/>
      </c>
      <c r="AK471" t="str">
        <f>""</f>
        <v/>
      </c>
      <c r="AL471" t="str">
        <f>""</f>
        <v/>
      </c>
      <c r="AM471" t="str">
        <f>""</f>
        <v/>
      </c>
      <c r="AN471" t="str">
        <f>""</f>
        <v/>
      </c>
      <c r="AO471" t="str">
        <f>""</f>
        <v/>
      </c>
      <c r="AP471" t="str">
        <f>""</f>
        <v/>
      </c>
      <c r="AQ471" t="str">
        <f>""</f>
        <v/>
      </c>
      <c r="AR471" t="str">
        <f>""</f>
        <v/>
      </c>
      <c r="AS471" t="str">
        <f>""</f>
        <v/>
      </c>
      <c r="AT471" t="str">
        <f>""</f>
        <v/>
      </c>
      <c r="AU471" t="str">
        <f>""</f>
        <v/>
      </c>
      <c r="AV471" t="str">
        <f>""</f>
        <v/>
      </c>
      <c r="AW471" t="str">
        <f>""</f>
        <v/>
      </c>
      <c r="AX471" t="str">
        <f>""</f>
        <v/>
      </c>
      <c r="AY471" t="str">
        <f>""</f>
        <v/>
      </c>
      <c r="AZ471" t="str">
        <f>""</f>
        <v/>
      </c>
      <c r="BA471" t="str">
        <f>""</f>
        <v/>
      </c>
      <c r="BB471" t="str">
        <f>""</f>
        <v/>
      </c>
      <c r="BC471" t="str">
        <f>""</f>
        <v/>
      </c>
      <c r="BD471" t="str">
        <f>""</f>
        <v/>
      </c>
      <c r="BE471" t="str">
        <f>""</f>
        <v/>
      </c>
      <c r="BF471" t="str">
        <f t="shared" si="229"/>
        <v>A</v>
      </c>
      <c r="BG471" t="str">
        <f>""</f>
        <v/>
      </c>
      <c r="BH471" t="str">
        <f>""</f>
        <v/>
      </c>
      <c r="BI471" t="str">
        <f t="shared" si="238"/>
        <v>EVENTUAL</v>
      </c>
      <c r="BJ471" t="str">
        <f t="shared" si="230"/>
        <v>1</v>
      </c>
      <c r="BK471" t="str">
        <f t="shared" si="231"/>
        <v>Farmacia</v>
      </c>
      <c r="BL471" t="str">
        <f>""</f>
        <v/>
      </c>
      <c r="BM471" t="str">
        <f>"NÃO É VARILUX ESPECIALISTA"</f>
        <v>NÃO É VARILUX ESPECIALISTA</v>
      </c>
      <c r="BN471" t="str">
        <f>"NA"</f>
        <v>NA</v>
      </c>
      <c r="BO471" t="str">
        <f>"OUTROS"</f>
        <v>OUTROS</v>
      </c>
      <c r="BP471" t="str">
        <f>""</f>
        <v/>
      </c>
      <c r="BQ471" t="str">
        <f>""</f>
        <v/>
      </c>
      <c r="BR471" t="str">
        <f>""</f>
        <v/>
      </c>
      <c r="BS471" t="str">
        <f>""</f>
        <v/>
      </c>
      <c r="BT471" t="str">
        <f>""</f>
        <v/>
      </c>
      <c r="BU471" t="str">
        <f>""</f>
        <v/>
      </c>
      <c r="BV471" t="str">
        <f>""</f>
        <v/>
      </c>
      <c r="BW471" t="str">
        <f>"Não visitado"</f>
        <v>Não visitado</v>
      </c>
    </row>
    <row r="472" spans="1:75" x14ac:dyDescent="0.35">
      <c r="A472">
        <v>138261</v>
      </c>
      <c r="B472" t="str">
        <f t="shared" si="223"/>
        <v>A</v>
      </c>
      <c r="C472" t="str">
        <f t="shared" si="224"/>
        <v>80</v>
      </c>
      <c r="D472" t="str">
        <f t="shared" si="225"/>
        <v>11121001</v>
      </c>
      <c r="E472" t="str">
        <f t="shared" si="226"/>
        <v>121001</v>
      </c>
      <c r="F472" t="str">
        <f t="shared" si="227"/>
        <v>JENIFER SANTOS</v>
      </c>
      <c r="G472" t="str">
        <f>"83054460000120"</f>
        <v>83054460000120</v>
      </c>
      <c r="H472" t="str">
        <f t="shared" ref="H472:H477" si="241">"0"</f>
        <v>0</v>
      </c>
      <c r="I472" t="str">
        <f t="shared" si="228"/>
        <v>CONTA OPTICA</v>
      </c>
      <c r="J472" t="str">
        <f>"VANDERLEI AHLERT ME"</f>
        <v>VANDERLEI AHLERT ME</v>
      </c>
      <c r="K472" t="str">
        <f>"OTICA REALCE (268)"</f>
        <v>OTICA REALCE (268)</v>
      </c>
      <c r="L472" t="str">
        <f>""</f>
        <v/>
      </c>
      <c r="M472" t="str">
        <f>""</f>
        <v/>
      </c>
      <c r="N472" t="str">
        <f>"oticarealce91@gmail.com"</f>
        <v>oticarealce91@gmail.com</v>
      </c>
      <c r="O472" t="str">
        <f>""</f>
        <v/>
      </c>
      <c r="P472" t="str">
        <f>"RUA EUCLIDES DA CUNHA"</f>
        <v>RUA EUCLIDES DA CUNHA</v>
      </c>
      <c r="Q472" t="str">
        <f>"7"</f>
        <v>7</v>
      </c>
      <c r="R472" t="str">
        <f>"SALA 1"</f>
        <v>SALA 1</v>
      </c>
      <c r="S472" t="str">
        <f>"1288"</f>
        <v>1288</v>
      </c>
      <c r="T472" t="str">
        <f>"89890000"</f>
        <v>89890000</v>
      </c>
      <c r="U472" t="str">
        <f t="shared" si="240"/>
        <v>CENTRO</v>
      </c>
      <c r="V472" t="str">
        <f>"CUNHA PORÃ"</f>
        <v>CUNHA PORÃ</v>
      </c>
      <c r="W472" t="str">
        <f t="shared" si="232"/>
        <v>SC</v>
      </c>
      <c r="X472" t="str">
        <f>"49"</f>
        <v>49</v>
      </c>
      <c r="Y472" t="str">
        <f>"36460521"</f>
        <v>36460521</v>
      </c>
      <c r="Z472" t="str">
        <f>""</f>
        <v/>
      </c>
      <c r="AA472" t="str">
        <f>""</f>
        <v/>
      </c>
      <c r="AB472" t="str">
        <f>""</f>
        <v/>
      </c>
      <c r="AC472" t="str">
        <f>""</f>
        <v/>
      </c>
      <c r="AD472" t="str">
        <f>""</f>
        <v/>
      </c>
      <c r="AE472" t="str">
        <f>""</f>
        <v/>
      </c>
      <c r="AF472" t="str">
        <f>""</f>
        <v/>
      </c>
      <c r="AG472" t="str">
        <f>"S"</f>
        <v>S</v>
      </c>
      <c r="AH472" t="str">
        <f>""</f>
        <v/>
      </c>
      <c r="AI472" t="str">
        <f>""</f>
        <v/>
      </c>
      <c r="AJ472" t="str">
        <f>""</f>
        <v/>
      </c>
      <c r="AK472" t="str">
        <f>""</f>
        <v/>
      </c>
      <c r="AL472" t="str">
        <f>""</f>
        <v/>
      </c>
      <c r="AM472" t="str">
        <f>""</f>
        <v/>
      </c>
      <c r="AN472" t="str">
        <f>""</f>
        <v/>
      </c>
      <c r="AO472" t="str">
        <f>""</f>
        <v/>
      </c>
      <c r="AP472" t="str">
        <f>""</f>
        <v/>
      </c>
      <c r="AQ472" t="str">
        <f>"N"</f>
        <v>N</v>
      </c>
      <c r="AR472" t="str">
        <f>"N"</f>
        <v>N</v>
      </c>
      <c r="AS472" t="str">
        <f>"N"</f>
        <v>N</v>
      </c>
      <c r="AT472" t="str">
        <f>"N"</f>
        <v>N</v>
      </c>
      <c r="AU472" t="str">
        <f>"N"</f>
        <v>N</v>
      </c>
      <c r="AV472" t="str">
        <f>""</f>
        <v/>
      </c>
      <c r="AW472" t="str">
        <f>""</f>
        <v/>
      </c>
      <c r="AX472" t="str">
        <f>""</f>
        <v/>
      </c>
      <c r="AY472" t="str">
        <f>""</f>
        <v/>
      </c>
      <c r="AZ472" t="str">
        <f>""</f>
        <v/>
      </c>
      <c r="BA472" t="str">
        <f>""</f>
        <v/>
      </c>
      <c r="BB472" t="str">
        <f>"01/07/2021 13:53:04"</f>
        <v>01/07/2021 13:53:04</v>
      </c>
      <c r="BC472" t="str">
        <f>"08/06/2022 10:55:04"</f>
        <v>08/06/2022 10:55:04</v>
      </c>
      <c r="BD472" t="str">
        <f>""</f>
        <v/>
      </c>
      <c r="BE472" t="str">
        <f>""</f>
        <v/>
      </c>
      <c r="BF472" t="str">
        <f t="shared" si="229"/>
        <v>A</v>
      </c>
      <c r="BG472" t="str">
        <f>""</f>
        <v/>
      </c>
      <c r="BH472" t="str">
        <f>"0,00"</f>
        <v>0,00</v>
      </c>
      <c r="BI472" t="str">
        <f t="shared" si="238"/>
        <v>EVENTUAL</v>
      </c>
      <c r="BJ472" t="str">
        <f t="shared" si="230"/>
        <v>1</v>
      </c>
      <c r="BK472" t="str">
        <f t="shared" si="231"/>
        <v>Farmacia</v>
      </c>
      <c r="BL472" t="str">
        <f>""</f>
        <v/>
      </c>
      <c r="BM472" t="str">
        <f>"NÃO É VARILUX ESPECIALISTA"</f>
        <v>NÃO É VARILUX ESPECIALISTA</v>
      </c>
      <c r="BN472" t="str">
        <f>"NA"</f>
        <v>NA</v>
      </c>
      <c r="BO472" t="str">
        <f>"FOCO VARILUX"</f>
        <v>FOCO VARILUX</v>
      </c>
      <c r="BP472" t="str">
        <f>""</f>
        <v/>
      </c>
      <c r="BQ472" t="str">
        <f>""</f>
        <v/>
      </c>
      <c r="BR472" t="str">
        <f>"01/07/2021"</f>
        <v>01/07/2021</v>
      </c>
      <c r="BS472" t="str">
        <f>"08/06/2022"</f>
        <v>08/06/2022</v>
      </c>
      <c r="BT472" t="str">
        <f>""</f>
        <v/>
      </c>
      <c r="BU472" t="str">
        <f>""</f>
        <v/>
      </c>
      <c r="BV472" t="str">
        <f>""</f>
        <v/>
      </c>
      <c r="BW472" t="str">
        <f>"8"</f>
        <v>8</v>
      </c>
    </row>
    <row r="473" spans="1:75" x14ac:dyDescent="0.35">
      <c r="A473">
        <v>151776</v>
      </c>
      <c r="B473" t="str">
        <f t="shared" si="223"/>
        <v>A</v>
      </c>
      <c r="C473" t="str">
        <f t="shared" si="224"/>
        <v>80</v>
      </c>
      <c r="D473" t="str">
        <f t="shared" si="225"/>
        <v>11121001</v>
      </c>
      <c r="E473" t="str">
        <f t="shared" si="226"/>
        <v>121001</v>
      </c>
      <c r="F473" t="str">
        <f t="shared" si="227"/>
        <v>JENIFER SANTOS</v>
      </c>
      <c r="G473" t="str">
        <f>"09070703000160"</f>
        <v>09070703000160</v>
      </c>
      <c r="H473" t="str">
        <f t="shared" si="241"/>
        <v>0</v>
      </c>
      <c r="I473" t="str">
        <f t="shared" si="228"/>
        <v>CONTA OPTICA</v>
      </c>
      <c r="J473" t="str">
        <f>"VERELIZ CILENE WEIMER"</f>
        <v>VERELIZ CILENE WEIMER</v>
      </c>
      <c r="K473" t="str">
        <f>"OTICA REALCE (4590)"</f>
        <v>OTICA REALCE (4590)</v>
      </c>
      <c r="L473" t="str">
        <f>""</f>
        <v/>
      </c>
      <c r="M473" t="str">
        <f>""</f>
        <v/>
      </c>
      <c r="N473" t="str">
        <f>"OTICAREALCESAUDADE@OUTLOOK.COM"</f>
        <v>OTICAREALCESAUDADE@OUTLOOK.COM</v>
      </c>
      <c r="O473" t="str">
        <f>""</f>
        <v/>
      </c>
      <c r="P473" t="str">
        <f>"BRASIL"</f>
        <v>BRASIL</v>
      </c>
      <c r="Q473" t="str">
        <f>"721"</f>
        <v>721</v>
      </c>
      <c r="R473" t="str">
        <f>"SALA"</f>
        <v>SALA</v>
      </c>
      <c r="S473" t="str">
        <f>""</f>
        <v/>
      </c>
      <c r="T473" t="str">
        <f>"89868000"</f>
        <v>89868000</v>
      </c>
      <c r="U473" t="str">
        <f t="shared" si="240"/>
        <v>CENTRO</v>
      </c>
      <c r="V473" t="str">
        <f>"SAUDADES"</f>
        <v>SAUDADES</v>
      </c>
      <c r="W473" t="str">
        <f t="shared" si="232"/>
        <v>SC</v>
      </c>
      <c r="X473" t="str">
        <f>"49"</f>
        <v>49</v>
      </c>
      <c r="Y473" t="str">
        <f>"33340502"</f>
        <v>33340502</v>
      </c>
      <c r="Z473" t="str">
        <f>""</f>
        <v/>
      </c>
      <c r="AA473" t="str">
        <f>""</f>
        <v/>
      </c>
      <c r="AB473" t="str">
        <f>""</f>
        <v/>
      </c>
      <c r="AC473" t="str">
        <f>""</f>
        <v/>
      </c>
      <c r="AD473" t="str">
        <f>""</f>
        <v/>
      </c>
      <c r="AE473" t="str">
        <f>""</f>
        <v/>
      </c>
      <c r="AF473" t="str">
        <f>""</f>
        <v/>
      </c>
      <c r="AG473" t="str">
        <f>""</f>
        <v/>
      </c>
      <c r="AH473" t="str">
        <f>""</f>
        <v/>
      </c>
      <c r="AI473" t="str">
        <f>""</f>
        <v/>
      </c>
      <c r="AJ473" t="str">
        <f>""</f>
        <v/>
      </c>
      <c r="AK473" t="str">
        <f>""</f>
        <v/>
      </c>
      <c r="AL473" t="str">
        <f>""</f>
        <v/>
      </c>
      <c r="AM473" t="str">
        <f>""</f>
        <v/>
      </c>
      <c r="AN473" t="str">
        <f>""</f>
        <v/>
      </c>
      <c r="AO473" t="str">
        <f>""</f>
        <v/>
      </c>
      <c r="AP473" t="str">
        <f>""</f>
        <v/>
      </c>
      <c r="AQ473" t="str">
        <f>""</f>
        <v/>
      </c>
      <c r="AR473" t="str">
        <f>""</f>
        <v/>
      </c>
      <c r="AS473" t="str">
        <f>""</f>
        <v/>
      </c>
      <c r="AT473" t="str">
        <f>""</f>
        <v/>
      </c>
      <c r="AU473" t="str">
        <f>""</f>
        <v/>
      </c>
      <c r="AV473" t="str">
        <f>""</f>
        <v/>
      </c>
      <c r="AW473" t="str">
        <f>""</f>
        <v/>
      </c>
      <c r="AX473" t="str">
        <f>""</f>
        <v/>
      </c>
      <c r="AY473" t="str">
        <f>""</f>
        <v/>
      </c>
      <c r="AZ473" t="str">
        <f>""</f>
        <v/>
      </c>
      <c r="BA473" t="str">
        <f>""</f>
        <v/>
      </c>
      <c r="BB473" t="str">
        <f>"26/01/2023 14:29:33"</f>
        <v>26/01/2023 14:29:33</v>
      </c>
      <c r="BC473" t="str">
        <f>""</f>
        <v/>
      </c>
      <c r="BD473" t="str">
        <f>""</f>
        <v/>
      </c>
      <c r="BE473" t="str">
        <f>""</f>
        <v/>
      </c>
      <c r="BF473" t="str">
        <f t="shared" si="229"/>
        <v>A</v>
      </c>
      <c r="BG473" t="str">
        <f>""</f>
        <v/>
      </c>
      <c r="BH473" t="str">
        <f>""</f>
        <v/>
      </c>
      <c r="BI473" t="str">
        <f t="shared" si="238"/>
        <v>EVENTUAL</v>
      </c>
      <c r="BJ473" t="str">
        <f t="shared" si="230"/>
        <v>1</v>
      </c>
      <c r="BK473" t="str">
        <f t="shared" si="231"/>
        <v>Farmacia</v>
      </c>
      <c r="BL473" t="str">
        <f>""</f>
        <v/>
      </c>
      <c r="BM473" t="str">
        <f>"NÃO É VARILUX ESPECIALISTA"</f>
        <v>NÃO É VARILUX ESPECIALISTA</v>
      </c>
      <c r="BN473" t="str">
        <f>""</f>
        <v/>
      </c>
      <c r="BO473" t="str">
        <f>""</f>
        <v/>
      </c>
      <c r="BP473" t="str">
        <f>""</f>
        <v/>
      </c>
      <c r="BQ473" t="str">
        <f>""</f>
        <v/>
      </c>
      <c r="BR473" t="str">
        <f>"26/01/2023"</f>
        <v>26/01/2023</v>
      </c>
      <c r="BS473" t="str">
        <f>""</f>
        <v/>
      </c>
      <c r="BT473" t="str">
        <f>""</f>
        <v/>
      </c>
      <c r="BU473" t="str">
        <f>""</f>
        <v/>
      </c>
      <c r="BV473" t="str">
        <f>""</f>
        <v/>
      </c>
      <c r="BW473" t="str">
        <f>"8"</f>
        <v>8</v>
      </c>
    </row>
    <row r="474" spans="1:75" x14ac:dyDescent="0.35">
      <c r="A474">
        <v>157502</v>
      </c>
      <c r="B474" t="str">
        <f t="shared" si="223"/>
        <v>A</v>
      </c>
      <c r="C474" t="str">
        <f t="shared" si="224"/>
        <v>80</v>
      </c>
      <c r="D474" t="str">
        <f t="shared" si="225"/>
        <v>11121001</v>
      </c>
      <c r="E474" t="str">
        <f t="shared" si="226"/>
        <v>121001</v>
      </c>
      <c r="F474" t="str">
        <f t="shared" si="227"/>
        <v>JENIFER SANTOS</v>
      </c>
      <c r="G474" t="str">
        <f>"08689020000123"</f>
        <v>08689020000123</v>
      </c>
      <c r="H474" t="str">
        <f t="shared" si="241"/>
        <v>0</v>
      </c>
      <c r="I474" t="str">
        <f t="shared" si="228"/>
        <v>CONTA OPTICA</v>
      </c>
      <c r="J474" t="str">
        <f>"VG OTICA LTDA ME"</f>
        <v>VG OTICA LTDA ME</v>
      </c>
      <c r="K474" t="str">
        <f>"OTICA VOLPATO (1291)"</f>
        <v>OTICA VOLPATO (1291)</v>
      </c>
      <c r="L474" t="str">
        <f>""</f>
        <v/>
      </c>
      <c r="M474" t="str">
        <f>""</f>
        <v/>
      </c>
      <c r="N474" t="str">
        <f>""</f>
        <v/>
      </c>
      <c r="O474" t="str">
        <f>""</f>
        <v/>
      </c>
      <c r="P474" t="str">
        <f>"RUA MARECHAL JOSE B. BORMANN - E"</f>
        <v>RUA MARECHAL JOSE B. BORMANN - E</v>
      </c>
      <c r="Q474" t="str">
        <f>"263"</f>
        <v>263</v>
      </c>
      <c r="R474" t="str">
        <f>""</f>
        <v/>
      </c>
      <c r="S474" t="str">
        <f>"1287"</f>
        <v>1287</v>
      </c>
      <c r="T474" t="str">
        <f>"89802120"</f>
        <v>89802120</v>
      </c>
      <c r="U474" t="str">
        <f t="shared" si="240"/>
        <v>CENTRO</v>
      </c>
      <c r="V474" t="str">
        <f>"CHAPECO"</f>
        <v>CHAPECO</v>
      </c>
      <c r="W474" t="str">
        <f t="shared" si="232"/>
        <v>SC</v>
      </c>
      <c r="X474" t="str">
        <f>"49"</f>
        <v>49</v>
      </c>
      <c r="Y474" t="str">
        <f>"33291916"</f>
        <v>33291916</v>
      </c>
      <c r="Z474" t="str">
        <f>""</f>
        <v/>
      </c>
      <c r="AA474" t="str">
        <f>""</f>
        <v/>
      </c>
      <c r="AB474" t="str">
        <f>""</f>
        <v/>
      </c>
      <c r="AC474" t="str">
        <f>""</f>
        <v/>
      </c>
      <c r="AD474" t="str">
        <f>""</f>
        <v/>
      </c>
      <c r="AE474" t="str">
        <f>""</f>
        <v/>
      </c>
      <c r="AF474" t="str">
        <f>""</f>
        <v/>
      </c>
      <c r="AG474" t="str">
        <f>""</f>
        <v/>
      </c>
      <c r="AH474" t="str">
        <f>""</f>
        <v/>
      </c>
      <c r="AI474" t="str">
        <f>""</f>
        <v/>
      </c>
      <c r="AJ474" t="str">
        <f>""</f>
        <v/>
      </c>
      <c r="AK474" t="str">
        <f>""</f>
        <v/>
      </c>
      <c r="AL474" t="str">
        <f>""</f>
        <v/>
      </c>
      <c r="AM474" t="str">
        <f>""</f>
        <v/>
      </c>
      <c r="AN474" t="str">
        <f>""</f>
        <v/>
      </c>
      <c r="AO474" t="str">
        <f>""</f>
        <v/>
      </c>
      <c r="AP474" t="str">
        <f>""</f>
        <v/>
      </c>
      <c r="AQ474" t="str">
        <f>""</f>
        <v/>
      </c>
      <c r="AR474" t="str">
        <f>""</f>
        <v/>
      </c>
      <c r="AS474" t="str">
        <f>""</f>
        <v/>
      </c>
      <c r="AT474" t="str">
        <f>""</f>
        <v/>
      </c>
      <c r="AU474" t="str">
        <f>""</f>
        <v/>
      </c>
      <c r="AV474" t="str">
        <f>""</f>
        <v/>
      </c>
      <c r="AW474" t="str">
        <f>""</f>
        <v/>
      </c>
      <c r="AX474" t="str">
        <f>""</f>
        <v/>
      </c>
      <c r="AY474" t="str">
        <f>""</f>
        <v/>
      </c>
      <c r="AZ474" t="str">
        <f>""</f>
        <v/>
      </c>
      <c r="BA474" t="str">
        <f>""</f>
        <v/>
      </c>
      <c r="BB474" t="str">
        <f>"11/07/2023 02:14:29"</f>
        <v>11/07/2023 02:14:29</v>
      </c>
      <c r="BC474" t="str">
        <f>""</f>
        <v/>
      </c>
      <c r="BD474" t="str">
        <f>""</f>
        <v/>
      </c>
      <c r="BE474" t="str">
        <f>""</f>
        <v/>
      </c>
      <c r="BF474" t="str">
        <f t="shared" si="229"/>
        <v>A</v>
      </c>
      <c r="BG474" t="str">
        <f>""</f>
        <v/>
      </c>
      <c r="BH474" t="str">
        <f>""</f>
        <v/>
      </c>
      <c r="BI474" t="str">
        <f t="shared" si="238"/>
        <v>EVENTUAL</v>
      </c>
      <c r="BJ474" t="str">
        <f t="shared" si="230"/>
        <v>1</v>
      </c>
      <c r="BK474" t="str">
        <f t="shared" si="231"/>
        <v>Farmacia</v>
      </c>
      <c r="BL474" t="str">
        <f>""</f>
        <v/>
      </c>
      <c r="BM474" t="str">
        <f>""</f>
        <v/>
      </c>
      <c r="BN474" t="str">
        <f>""</f>
        <v/>
      </c>
      <c r="BO474" t="str">
        <f>""</f>
        <v/>
      </c>
      <c r="BP474" t="str">
        <f>""</f>
        <v/>
      </c>
      <c r="BQ474" t="str">
        <f>""</f>
        <v/>
      </c>
      <c r="BR474" t="str">
        <f>"11/07/2023"</f>
        <v>11/07/2023</v>
      </c>
      <c r="BS474" t="str">
        <f>""</f>
        <v/>
      </c>
      <c r="BT474" t="str">
        <f>""</f>
        <v/>
      </c>
      <c r="BU474" t="str">
        <f>""</f>
        <v/>
      </c>
      <c r="BV474" t="str">
        <f>""</f>
        <v/>
      </c>
      <c r="BW474" t="str">
        <f>"Não visitado"</f>
        <v>Não visitado</v>
      </c>
    </row>
    <row r="475" spans="1:75" x14ac:dyDescent="0.35">
      <c r="A475">
        <v>138264</v>
      </c>
      <c r="B475" t="str">
        <f t="shared" si="223"/>
        <v>A</v>
      </c>
      <c r="C475" t="str">
        <f t="shared" si="224"/>
        <v>80</v>
      </c>
      <c r="D475" t="str">
        <f t="shared" si="225"/>
        <v>11121001</v>
      </c>
      <c r="E475" t="str">
        <f t="shared" si="226"/>
        <v>121001</v>
      </c>
      <c r="F475" t="str">
        <f t="shared" si="227"/>
        <v>JENIFER SANTOS</v>
      </c>
      <c r="G475" t="str">
        <f>"34051799000167"</f>
        <v>34051799000167</v>
      </c>
      <c r="H475" t="str">
        <f t="shared" si="241"/>
        <v>0</v>
      </c>
      <c r="I475" t="str">
        <f t="shared" si="228"/>
        <v>CONTA OPTICA</v>
      </c>
      <c r="J475" t="str">
        <f>"VIA BRASIL OPTICA E JOALHERIA LTDA"</f>
        <v>VIA BRASIL OPTICA E JOALHERIA LTDA</v>
      </c>
      <c r="K475" t="str">
        <f>"VIA BRASIL (4228)"</f>
        <v>VIA BRASIL (4228)</v>
      </c>
      <c r="L475" t="str">
        <f>""</f>
        <v/>
      </c>
      <c r="M475" t="str">
        <f>""</f>
        <v/>
      </c>
      <c r="N475" t="str">
        <f>"viabrasil.optica@gmail.com"</f>
        <v>viabrasil.optica@gmail.com</v>
      </c>
      <c r="O475" t="str">
        <f>""</f>
        <v/>
      </c>
      <c r="P475" t="str">
        <f>"AVENIDA BRASIL OESTE"</f>
        <v>AVENIDA BRASIL OESTE</v>
      </c>
      <c r="Q475" t="str">
        <f>"253"</f>
        <v>253</v>
      </c>
      <c r="R475" t="str">
        <f>"SALA 02"</f>
        <v>SALA 02</v>
      </c>
      <c r="S475" t="str">
        <f>"1383"</f>
        <v>1383</v>
      </c>
      <c r="T475" t="str">
        <f>"99025001"</f>
        <v>99025001</v>
      </c>
      <c r="U475" t="str">
        <f t="shared" si="240"/>
        <v>CENTRO</v>
      </c>
      <c r="V475" t="str">
        <f>"PASSO FUNDO"</f>
        <v>PASSO FUNDO</v>
      </c>
      <c r="W475" t="str">
        <f>"RS"</f>
        <v>RS</v>
      </c>
      <c r="X475" t="str">
        <f>"54"</f>
        <v>54</v>
      </c>
      <c r="Y475" t="str">
        <f>"30460221"</f>
        <v>30460221</v>
      </c>
      <c r="Z475" t="str">
        <f>""</f>
        <v/>
      </c>
      <c r="AA475" t="str">
        <f>""</f>
        <v/>
      </c>
      <c r="AB475" t="str">
        <f>""</f>
        <v/>
      </c>
      <c r="AC475" t="str">
        <f>""</f>
        <v/>
      </c>
      <c r="AD475" t="str">
        <f>""</f>
        <v/>
      </c>
      <c r="AE475" t="str">
        <f>""</f>
        <v/>
      </c>
      <c r="AF475" t="str">
        <f>""</f>
        <v/>
      </c>
      <c r="AG475" t="str">
        <f>"S"</f>
        <v>S</v>
      </c>
      <c r="AH475" t="str">
        <f>""</f>
        <v/>
      </c>
      <c r="AI475" t="str">
        <f>""</f>
        <v/>
      </c>
      <c r="AJ475" t="str">
        <f>""</f>
        <v/>
      </c>
      <c r="AK475" t="str">
        <f>""</f>
        <v/>
      </c>
      <c r="AL475" t="str">
        <f>""</f>
        <v/>
      </c>
      <c r="AM475" t="str">
        <f>""</f>
        <v/>
      </c>
      <c r="AN475" t="str">
        <f>""</f>
        <v/>
      </c>
      <c r="AO475" t="str">
        <f>""</f>
        <v/>
      </c>
      <c r="AP475" t="str">
        <f>""</f>
        <v/>
      </c>
      <c r="AQ475" t="str">
        <f>"N"</f>
        <v>N</v>
      </c>
      <c r="AR475" t="str">
        <f>"N"</f>
        <v>N</v>
      </c>
      <c r="AS475" t="str">
        <f>"N"</f>
        <v>N</v>
      </c>
      <c r="AT475" t="str">
        <f>"N"</f>
        <v>N</v>
      </c>
      <c r="AU475" t="str">
        <f>"N"</f>
        <v>N</v>
      </c>
      <c r="AV475" t="str">
        <f>""</f>
        <v/>
      </c>
      <c r="AW475" t="str">
        <f>""</f>
        <v/>
      </c>
      <c r="AX475" t="str">
        <f>""</f>
        <v/>
      </c>
      <c r="AY475" t="str">
        <f>""</f>
        <v/>
      </c>
      <c r="AZ475" t="str">
        <f>""</f>
        <v/>
      </c>
      <c r="BA475" t="str">
        <f>""</f>
        <v/>
      </c>
      <c r="BB475" t="str">
        <f>"01/07/2021 13:53:04"</f>
        <v>01/07/2021 13:53:04</v>
      </c>
      <c r="BC475" t="str">
        <f>"01/04/2022 11:53:51"</f>
        <v>01/04/2022 11:53:51</v>
      </c>
      <c r="BD475" t="str">
        <f>""</f>
        <v/>
      </c>
      <c r="BE475" t="str">
        <f>""</f>
        <v/>
      </c>
      <c r="BF475" t="str">
        <f t="shared" si="229"/>
        <v>A</v>
      </c>
      <c r="BG475" t="str">
        <f>""</f>
        <v/>
      </c>
      <c r="BH475" t="str">
        <f>"0,00"</f>
        <v>0,00</v>
      </c>
      <c r="BI475" t="str">
        <f t="shared" si="238"/>
        <v>EVENTUAL</v>
      </c>
      <c r="BJ475" t="str">
        <f t="shared" si="230"/>
        <v>1</v>
      </c>
      <c r="BK475" t="str">
        <f t="shared" si="231"/>
        <v>Farmacia</v>
      </c>
      <c r="BL475" t="str">
        <f>""</f>
        <v/>
      </c>
      <c r="BM475" t="str">
        <f>"NÃO É VARILUX ESPECIALISTA"</f>
        <v>NÃO É VARILUX ESPECIALISTA</v>
      </c>
      <c r="BN475" t="str">
        <f>"NA"</f>
        <v>NA</v>
      </c>
      <c r="BO475" t="str">
        <f>"FOCO KODAK 2"</f>
        <v>FOCO KODAK 2</v>
      </c>
      <c r="BP475" t="str">
        <f>""</f>
        <v/>
      </c>
      <c r="BQ475" t="str">
        <f>""</f>
        <v/>
      </c>
      <c r="BR475" t="str">
        <f>"01/07/2021"</f>
        <v>01/07/2021</v>
      </c>
      <c r="BS475" t="str">
        <f>"01/04/2022"</f>
        <v>01/04/2022</v>
      </c>
      <c r="BT475" t="str">
        <f>""</f>
        <v/>
      </c>
      <c r="BU475" t="str">
        <f>""</f>
        <v/>
      </c>
      <c r="BV475" t="str">
        <f>""</f>
        <v/>
      </c>
      <c r="BW475" t="str">
        <f>"7"</f>
        <v>7</v>
      </c>
    </row>
    <row r="476" spans="1:75" x14ac:dyDescent="0.35">
      <c r="A476">
        <v>156759</v>
      </c>
      <c r="B476" t="str">
        <f t="shared" si="223"/>
        <v>A</v>
      </c>
      <c r="C476" t="str">
        <f t="shared" si="224"/>
        <v>80</v>
      </c>
      <c r="D476" t="str">
        <f t="shared" si="225"/>
        <v>11121001</v>
      </c>
      <c r="E476" t="str">
        <f t="shared" si="226"/>
        <v>121001</v>
      </c>
      <c r="F476" t="str">
        <f t="shared" si="227"/>
        <v>JENIFER SANTOS</v>
      </c>
      <c r="G476" t="str">
        <f>"23516802000154"</f>
        <v>23516802000154</v>
      </c>
      <c r="H476" t="str">
        <f t="shared" si="241"/>
        <v>0</v>
      </c>
      <c r="I476" t="str">
        <f t="shared" si="228"/>
        <v>CONTA OPTICA</v>
      </c>
      <c r="J476" t="str">
        <f>"VIA OCULOS LTDA"</f>
        <v>VIA OCULOS LTDA</v>
      </c>
      <c r="K476" t="str">
        <f>"VIA OCULOS (4501)"</f>
        <v>VIA OCULOS (4501)</v>
      </c>
      <c r="L476" t="str">
        <f>""</f>
        <v/>
      </c>
      <c r="M476" t="str">
        <f>""</f>
        <v/>
      </c>
      <c r="N476" t="str">
        <f>"VIAOCULOSOPTICA@OUTLOOK.COM"</f>
        <v>VIAOCULOSOPTICA@OUTLOOK.COM</v>
      </c>
      <c r="O476" t="str">
        <f>""</f>
        <v/>
      </c>
      <c r="P476" t="str">
        <f>"RUA TENENTE ANTONIO JOAO"</f>
        <v>RUA TENENTE ANTONIO JOAO</v>
      </c>
      <c r="Q476" t="str">
        <f>"1301"</f>
        <v>1301</v>
      </c>
      <c r="R476" t="str">
        <f>""</f>
        <v/>
      </c>
      <c r="S476" t="str">
        <f>""</f>
        <v/>
      </c>
      <c r="T476" t="str">
        <f>"89222401"</f>
        <v>89222401</v>
      </c>
      <c r="U476" t="str">
        <f>"BOM RETIRO"</f>
        <v>BOM RETIRO</v>
      </c>
      <c r="V476" t="str">
        <f>"JOINVILLE"</f>
        <v>JOINVILLE</v>
      </c>
      <c r="W476" t="str">
        <f>"SC"</f>
        <v>SC</v>
      </c>
      <c r="X476" t="str">
        <f>"47"</f>
        <v>47</v>
      </c>
      <c r="Y476" t="str">
        <f>"991710147"</f>
        <v>991710147</v>
      </c>
      <c r="Z476" t="str">
        <f>""</f>
        <v/>
      </c>
      <c r="AA476" t="str">
        <f>""</f>
        <v/>
      </c>
      <c r="AB476" t="str">
        <f>""</f>
        <v/>
      </c>
      <c r="AC476" t="str">
        <f>""</f>
        <v/>
      </c>
      <c r="AD476" t="str">
        <f>""</f>
        <v/>
      </c>
      <c r="AE476" t="str">
        <f>""</f>
        <v/>
      </c>
      <c r="AF476" t="str">
        <f>""</f>
        <v/>
      </c>
      <c r="AG476" t="str">
        <f>""</f>
        <v/>
      </c>
      <c r="AH476" t="str">
        <f>""</f>
        <v/>
      </c>
      <c r="AI476" t="str">
        <f>""</f>
        <v/>
      </c>
      <c r="AJ476" t="str">
        <f>""</f>
        <v/>
      </c>
      <c r="AK476" t="str">
        <f>""</f>
        <v/>
      </c>
      <c r="AL476" t="str">
        <f>""</f>
        <v/>
      </c>
      <c r="AM476" t="str">
        <f>""</f>
        <v/>
      </c>
      <c r="AN476" t="str">
        <f>""</f>
        <v/>
      </c>
      <c r="AO476" t="str">
        <f>""</f>
        <v/>
      </c>
      <c r="AP476" t="str">
        <f>""</f>
        <v/>
      </c>
      <c r="AQ476" t="str">
        <f>""</f>
        <v/>
      </c>
      <c r="AR476" t="str">
        <f>""</f>
        <v/>
      </c>
      <c r="AS476" t="str">
        <f>""</f>
        <v/>
      </c>
      <c r="AT476" t="str">
        <f>""</f>
        <v/>
      </c>
      <c r="AU476" t="str">
        <f>""</f>
        <v/>
      </c>
      <c r="AV476" t="str">
        <f>""</f>
        <v/>
      </c>
      <c r="AW476" t="str">
        <f>""</f>
        <v/>
      </c>
      <c r="AX476" t="str">
        <f>""</f>
        <v/>
      </c>
      <c r="AY476" t="str">
        <f>""</f>
        <v/>
      </c>
      <c r="AZ476" t="str">
        <f>""</f>
        <v/>
      </c>
      <c r="BA476" t="str">
        <f>""</f>
        <v/>
      </c>
      <c r="BB476" t="str">
        <f>"06/07/2023 12:07:48"</f>
        <v>06/07/2023 12:07:48</v>
      </c>
      <c r="BC476" t="str">
        <f>""</f>
        <v/>
      </c>
      <c r="BD476" t="str">
        <f>""</f>
        <v/>
      </c>
      <c r="BE476" t="str">
        <f>""</f>
        <v/>
      </c>
      <c r="BF476" t="str">
        <f t="shared" si="229"/>
        <v>A</v>
      </c>
      <c r="BG476" t="str">
        <f>""</f>
        <v/>
      </c>
      <c r="BH476" t="str">
        <f>""</f>
        <v/>
      </c>
      <c r="BI476" t="str">
        <f t="shared" si="238"/>
        <v>EVENTUAL</v>
      </c>
      <c r="BJ476" t="str">
        <f t="shared" si="230"/>
        <v>1</v>
      </c>
      <c r="BK476" t="str">
        <f t="shared" si="231"/>
        <v>Farmacia</v>
      </c>
      <c r="BL476" t="str">
        <f>""</f>
        <v/>
      </c>
      <c r="BM476" t="str">
        <f>""</f>
        <v/>
      </c>
      <c r="BN476" t="str">
        <f>""</f>
        <v/>
      </c>
      <c r="BO476" t="str">
        <f>""</f>
        <v/>
      </c>
      <c r="BP476" t="str">
        <f>""</f>
        <v/>
      </c>
      <c r="BQ476" t="str">
        <f>""</f>
        <v/>
      </c>
      <c r="BR476" t="str">
        <f>"06/07/2023"</f>
        <v>06/07/2023</v>
      </c>
      <c r="BS476" t="str">
        <f>""</f>
        <v/>
      </c>
      <c r="BT476" t="str">
        <f>""</f>
        <v/>
      </c>
      <c r="BU476" t="str">
        <f>""</f>
        <v/>
      </c>
      <c r="BV476" t="str">
        <f>""</f>
        <v/>
      </c>
      <c r="BW476" t="str">
        <f>"52"</f>
        <v>52</v>
      </c>
    </row>
    <row r="477" spans="1:75" x14ac:dyDescent="0.35">
      <c r="A477">
        <v>157528</v>
      </c>
      <c r="B477" t="str">
        <f t="shared" si="223"/>
        <v>A</v>
      </c>
      <c r="C477" t="str">
        <f t="shared" si="224"/>
        <v>80</v>
      </c>
      <c r="D477" t="str">
        <f t="shared" si="225"/>
        <v>11121001</v>
      </c>
      <c r="E477" t="str">
        <f t="shared" si="226"/>
        <v>121001</v>
      </c>
      <c r="F477" t="str">
        <f t="shared" si="227"/>
        <v>JENIFER SANTOS</v>
      </c>
      <c r="G477" t="str">
        <f>"10929502000155"</f>
        <v>10929502000155</v>
      </c>
      <c r="H477" t="str">
        <f t="shared" si="241"/>
        <v>0</v>
      </c>
      <c r="I477" t="str">
        <f t="shared" si="228"/>
        <v>CONTA OPTICA</v>
      </c>
      <c r="J477" t="str">
        <f>"VICTORIO BONFANTE NETO"</f>
        <v>VICTORIO BONFANTE NETO</v>
      </c>
      <c r="K477" t="str">
        <f>"VISION OPTICA (3897)"</f>
        <v>VISION OPTICA (3897)</v>
      </c>
      <c r="L477" t="str">
        <f>""</f>
        <v/>
      </c>
      <c r="M477" t="str">
        <f>""</f>
        <v/>
      </c>
      <c r="N477" t="str">
        <f>"MYLAN.ADM@HOTMAIL.COM"</f>
        <v>MYLAN.ADM@HOTMAIL.COM</v>
      </c>
      <c r="O477" t="str">
        <f>""</f>
        <v/>
      </c>
      <c r="P477" t="str">
        <f>"RUA MARECHAL DEODORO DA FONSECA"</f>
        <v>RUA MARECHAL DEODORO DA FONSECA</v>
      </c>
      <c r="Q477" t="str">
        <f>"254"</f>
        <v>254</v>
      </c>
      <c r="R477" t="str">
        <f>"E"</f>
        <v>E</v>
      </c>
      <c r="S477" t="str">
        <f>"1287"</f>
        <v>1287</v>
      </c>
      <c r="T477" t="str">
        <f>"89802140"</f>
        <v>89802140</v>
      </c>
      <c r="U477" t="str">
        <f>"CENTRO"</f>
        <v>CENTRO</v>
      </c>
      <c r="V477" t="str">
        <f>"CHAPECO"</f>
        <v>CHAPECO</v>
      </c>
      <c r="W477" t="str">
        <f>"SC"</f>
        <v>SC</v>
      </c>
      <c r="X477" t="str">
        <f>"49"</f>
        <v>49</v>
      </c>
      <c r="Y477" t="str">
        <f>"31992941"</f>
        <v>31992941</v>
      </c>
      <c r="Z477" t="str">
        <f>""</f>
        <v/>
      </c>
      <c r="AA477" t="str">
        <f>""</f>
        <v/>
      </c>
      <c r="AB477" t="str">
        <f>""</f>
        <v/>
      </c>
      <c r="AC477" t="str">
        <f>""</f>
        <v/>
      </c>
      <c r="AD477" t="str">
        <f>""</f>
        <v/>
      </c>
      <c r="AE477" t="str">
        <f>""</f>
        <v/>
      </c>
      <c r="AF477" t="str">
        <f>""</f>
        <v/>
      </c>
      <c r="AG477" t="str">
        <f>""</f>
        <v/>
      </c>
      <c r="AH477" t="str">
        <f>""</f>
        <v/>
      </c>
      <c r="AI477" t="str">
        <f>""</f>
        <v/>
      </c>
      <c r="AJ477" t="str">
        <f>""</f>
        <v/>
      </c>
      <c r="AK477" t="str">
        <f>""</f>
        <v/>
      </c>
      <c r="AL477" t="str">
        <f>""</f>
        <v/>
      </c>
      <c r="AM477" t="str">
        <f>""</f>
        <v/>
      </c>
      <c r="AN477" t="str">
        <f>""</f>
        <v/>
      </c>
      <c r="AO477" t="str">
        <f>""</f>
        <v/>
      </c>
      <c r="AP477" t="str">
        <f>""</f>
        <v/>
      </c>
      <c r="AQ477" t="str">
        <f>""</f>
        <v/>
      </c>
      <c r="AR477" t="str">
        <f>""</f>
        <v/>
      </c>
      <c r="AS477" t="str">
        <f>""</f>
        <v/>
      </c>
      <c r="AT477" t="str">
        <f>""</f>
        <v/>
      </c>
      <c r="AU477" t="str">
        <f>""</f>
        <v/>
      </c>
      <c r="AV477" t="str">
        <f>""</f>
        <v/>
      </c>
      <c r="AW477" t="str">
        <f>""</f>
        <v/>
      </c>
      <c r="AX477" t="str">
        <f>""</f>
        <v/>
      </c>
      <c r="AY477" t="str">
        <f>""</f>
        <v/>
      </c>
      <c r="AZ477" t="str">
        <f>""</f>
        <v/>
      </c>
      <c r="BA477" t="str">
        <f>""</f>
        <v/>
      </c>
      <c r="BB477" t="str">
        <f>"11/07/2023 02:14:29"</f>
        <v>11/07/2023 02:14:29</v>
      </c>
      <c r="BC477" t="str">
        <f>""</f>
        <v/>
      </c>
      <c r="BD477" t="str">
        <f>""</f>
        <v/>
      </c>
      <c r="BE477" t="str">
        <f>""</f>
        <v/>
      </c>
      <c r="BF477" t="str">
        <f t="shared" si="229"/>
        <v>A</v>
      </c>
      <c r="BG477" t="str">
        <f>""</f>
        <v/>
      </c>
      <c r="BH477" t="str">
        <f>""</f>
        <v/>
      </c>
      <c r="BI477" t="str">
        <f t="shared" si="238"/>
        <v>EVENTUAL</v>
      </c>
      <c r="BJ477" t="str">
        <f t="shared" si="230"/>
        <v>1</v>
      </c>
      <c r="BK477" t="str">
        <f t="shared" si="231"/>
        <v>Farmacia</v>
      </c>
      <c r="BL477" t="str">
        <f>""</f>
        <v/>
      </c>
      <c r="BM477" t="str">
        <f>""</f>
        <v/>
      </c>
      <c r="BN477" t="str">
        <f>""</f>
        <v/>
      </c>
      <c r="BO477" t="str">
        <f>""</f>
        <v/>
      </c>
      <c r="BP477" t="str">
        <f>""</f>
        <v/>
      </c>
      <c r="BQ477" t="str">
        <f>""</f>
        <v/>
      </c>
      <c r="BR477" t="str">
        <f>"11/07/2023"</f>
        <v>11/07/2023</v>
      </c>
      <c r="BS477" t="str">
        <f>""</f>
        <v/>
      </c>
      <c r="BT477" t="str">
        <f>""</f>
        <v/>
      </c>
      <c r="BU477" t="str">
        <f>""</f>
        <v/>
      </c>
      <c r="BV477" t="str">
        <f>""</f>
        <v/>
      </c>
      <c r="BW477" t="str">
        <f>"Não visitado"</f>
        <v>Não visitado</v>
      </c>
    </row>
    <row r="478" spans="1:75" x14ac:dyDescent="0.35">
      <c r="A478">
        <v>144650</v>
      </c>
      <c r="B478" t="str">
        <f t="shared" si="223"/>
        <v>A</v>
      </c>
      <c r="C478" t="str">
        <f t="shared" si="224"/>
        <v>80</v>
      </c>
      <c r="D478" t="str">
        <f t="shared" si="225"/>
        <v>11121001</v>
      </c>
      <c r="E478" t="str">
        <f t="shared" si="226"/>
        <v>121001</v>
      </c>
      <c r="F478" t="str">
        <f t="shared" si="227"/>
        <v>JENIFER SANTOS</v>
      </c>
      <c r="G478" t="str">
        <f>"37527143000166"</f>
        <v>37527143000166</v>
      </c>
      <c r="H478" t="str">
        <f>""</f>
        <v/>
      </c>
      <c r="I478" t="str">
        <f t="shared" si="228"/>
        <v>CONTA OPTICA</v>
      </c>
      <c r="J478" t="str">
        <f>"VILLING OTICA UPP LTDA"</f>
        <v>VILLING OTICA UPP LTDA</v>
      </c>
      <c r="K478" t="str">
        <f>"OTICAS CAROL (4144)"</f>
        <v>OTICAS CAROL (4144)</v>
      </c>
      <c r="L478" t="str">
        <f>""</f>
        <v/>
      </c>
      <c r="M478" t="str">
        <f>""</f>
        <v/>
      </c>
      <c r="N478" t="str">
        <f>"produtosc@oticascarol.com.br"</f>
        <v>produtosc@oticascarol.com.br</v>
      </c>
      <c r="O478" t="str">
        <f>""</f>
        <v/>
      </c>
      <c r="P478" t="str">
        <f>"AVENIDA ROLF WIEST"</f>
        <v>AVENIDA ROLF WIEST</v>
      </c>
      <c r="Q478" t="str">
        <f>"333"</f>
        <v>333</v>
      </c>
      <c r="R478" t="str">
        <f>"GARTEN SALA L32"</f>
        <v>GARTEN SALA L32</v>
      </c>
      <c r="S478" t="str">
        <f>"1279"</f>
        <v>1279</v>
      </c>
      <c r="T478" t="str">
        <f>"89223005"</f>
        <v>89223005</v>
      </c>
      <c r="U478" t="str">
        <f>"BOM RETIRO"</f>
        <v>BOM RETIRO</v>
      </c>
      <c r="V478" t="str">
        <f>"JOINVILLE"</f>
        <v>JOINVILLE</v>
      </c>
      <c r="W478" t="str">
        <f>"SC"</f>
        <v>SC</v>
      </c>
      <c r="X478" t="str">
        <f>"48"</f>
        <v>48</v>
      </c>
      <c r="Y478" t="str">
        <f>"32259791"</f>
        <v>32259791</v>
      </c>
      <c r="Z478" t="str">
        <f>""</f>
        <v/>
      </c>
      <c r="AA478" t="str">
        <f>""</f>
        <v/>
      </c>
      <c r="AB478" t="str">
        <f>""</f>
        <v/>
      </c>
      <c r="AC478" t="str">
        <f>""</f>
        <v/>
      </c>
      <c r="AD478" t="str">
        <f>""</f>
        <v/>
      </c>
      <c r="AE478" t="str">
        <f>""</f>
        <v/>
      </c>
      <c r="AF478" t="str">
        <f>""</f>
        <v/>
      </c>
      <c r="AG478" t="str">
        <f>""</f>
        <v/>
      </c>
      <c r="AH478" t="str">
        <f>""</f>
        <v/>
      </c>
      <c r="AI478" t="str">
        <f>""</f>
        <v/>
      </c>
      <c r="AJ478" t="str">
        <f>"0"</f>
        <v>0</v>
      </c>
      <c r="AK478" t="str">
        <f>"0"</f>
        <v>0</v>
      </c>
      <c r="AL478" t="str">
        <f>"0"</f>
        <v>0</v>
      </c>
      <c r="AM478" t="str">
        <f>""</f>
        <v/>
      </c>
      <c r="AN478" t="str">
        <f>""</f>
        <v/>
      </c>
      <c r="AO478" t="str">
        <f>""</f>
        <v/>
      </c>
      <c r="AP478" t="str">
        <f>""</f>
        <v/>
      </c>
      <c r="AQ478" t="str">
        <f>""</f>
        <v/>
      </c>
      <c r="AR478" t="str">
        <f>""</f>
        <v/>
      </c>
      <c r="AS478" t="str">
        <f>""</f>
        <v/>
      </c>
      <c r="AT478" t="str">
        <f>""</f>
        <v/>
      </c>
      <c r="AU478" t="str">
        <f>""</f>
        <v/>
      </c>
      <c r="AV478" t="str">
        <f>""</f>
        <v/>
      </c>
      <c r="AW478" t="str">
        <f>""</f>
        <v/>
      </c>
      <c r="AX478" t="str">
        <f>""</f>
        <v/>
      </c>
      <c r="AY478" t="str">
        <f>""</f>
        <v/>
      </c>
      <c r="AZ478" t="str">
        <f>""</f>
        <v/>
      </c>
      <c r="BA478" t="str">
        <f>""</f>
        <v/>
      </c>
      <c r="BB478" t="str">
        <f>""</f>
        <v/>
      </c>
      <c r="BC478" t="str">
        <f>""</f>
        <v/>
      </c>
      <c r="BD478" t="str">
        <f>""</f>
        <v/>
      </c>
      <c r="BE478" t="str">
        <f>""</f>
        <v/>
      </c>
      <c r="BF478" t="str">
        <f t="shared" si="229"/>
        <v>A</v>
      </c>
      <c r="BG478" t="str">
        <f>"0,00"</f>
        <v>0,00</v>
      </c>
      <c r="BH478" t="str">
        <f>"0,00"</f>
        <v>0,00</v>
      </c>
      <c r="BI478" t="str">
        <f t="shared" si="238"/>
        <v>EVENTUAL</v>
      </c>
      <c r="BJ478" t="str">
        <f t="shared" si="230"/>
        <v>1</v>
      </c>
      <c r="BK478" t="str">
        <f t="shared" si="231"/>
        <v>Farmacia</v>
      </c>
      <c r="BL478" t="str">
        <f>""</f>
        <v/>
      </c>
      <c r="BM478" t="str">
        <f>"VARILUX ESPECIALISTA PLATINE"</f>
        <v>VARILUX ESPECIALISTA PLATINE</v>
      </c>
      <c r="BN478" t="str">
        <f>"NA"</f>
        <v>NA</v>
      </c>
      <c r="BO478" t="str">
        <f>"FOCO VARILUX DIGITAL"</f>
        <v>FOCO VARILUX DIGITAL</v>
      </c>
      <c r="BP478" t="str">
        <f>""</f>
        <v/>
      </c>
      <c r="BQ478" t="str">
        <f>""</f>
        <v/>
      </c>
      <c r="BR478" t="str">
        <f>""</f>
        <v/>
      </c>
      <c r="BS478" t="str">
        <f>""</f>
        <v/>
      </c>
      <c r="BT478" t="str">
        <f>""</f>
        <v/>
      </c>
      <c r="BU478" t="str">
        <f>""</f>
        <v/>
      </c>
      <c r="BV478" t="str">
        <f>"1"</f>
        <v>1</v>
      </c>
      <c r="BW478" t="str">
        <f>"170"</f>
        <v>170</v>
      </c>
    </row>
    <row r="479" spans="1:75" x14ac:dyDescent="0.35">
      <c r="A479">
        <v>156724</v>
      </c>
      <c r="B479" t="str">
        <f t="shared" si="223"/>
        <v>A</v>
      </c>
      <c r="C479" t="str">
        <f t="shared" si="224"/>
        <v>80</v>
      </c>
      <c r="D479" t="str">
        <f t="shared" si="225"/>
        <v>11121001</v>
      </c>
      <c r="E479" t="str">
        <f t="shared" si="226"/>
        <v>121001</v>
      </c>
      <c r="F479" t="str">
        <f t="shared" si="227"/>
        <v>JENIFER SANTOS</v>
      </c>
      <c r="G479" t="str">
        <f>"43533367000183"</f>
        <v>43533367000183</v>
      </c>
      <c r="H479" t="str">
        <f>"0"</f>
        <v>0</v>
      </c>
      <c r="I479" t="str">
        <f t="shared" si="228"/>
        <v>CONTA OPTICA</v>
      </c>
      <c r="J479" t="str">
        <f>"VILSON AIRES PIANA 13479350020"</f>
        <v>VILSON AIRES PIANA 13479350020</v>
      </c>
      <c r="K479" t="str">
        <f>"OTICA E RELOJOARIA PIANA (4400)"</f>
        <v>OTICA E RELOJOARIA PIANA (4400)</v>
      </c>
      <c r="L479" t="str">
        <f>""</f>
        <v/>
      </c>
      <c r="M479" t="str">
        <f>""</f>
        <v/>
      </c>
      <c r="N479" t="str">
        <f>"OTICAPIANA@OUTLOOK.COM"</f>
        <v>OTICAPIANA@OUTLOOK.COM</v>
      </c>
      <c r="O479" t="str">
        <f>""</f>
        <v/>
      </c>
      <c r="P479" t="str">
        <f>"RUA SANTO BERGAMIN"</f>
        <v>RUA SANTO BERGAMIN</v>
      </c>
      <c r="Q479" t="str">
        <f>"82"</f>
        <v>82</v>
      </c>
      <c r="R479" t="str">
        <f>""</f>
        <v/>
      </c>
      <c r="S479" t="str">
        <f>""</f>
        <v/>
      </c>
      <c r="T479" t="str">
        <f>"99725000"</f>
        <v>99725000</v>
      </c>
      <c r="U479" t="str">
        <f>"CENTRO"</f>
        <v>CENTRO</v>
      </c>
      <c r="V479" t="str">
        <f>"TRES ARROIOS"</f>
        <v>TRES ARROIOS</v>
      </c>
      <c r="W479" t="str">
        <f>"RS"</f>
        <v>RS</v>
      </c>
      <c r="X479" t="str">
        <f>"54"</f>
        <v>54</v>
      </c>
      <c r="Y479" t="str">
        <f>"996768960"</f>
        <v>996768960</v>
      </c>
      <c r="Z479" t="str">
        <f>""</f>
        <v/>
      </c>
      <c r="AA479" t="str">
        <f>""</f>
        <v/>
      </c>
      <c r="AB479" t="str">
        <f>""</f>
        <v/>
      </c>
      <c r="AC479" t="str">
        <f>""</f>
        <v/>
      </c>
      <c r="AD479" t="str">
        <f>""</f>
        <v/>
      </c>
      <c r="AE479" t="str">
        <f>""</f>
        <v/>
      </c>
      <c r="AF479" t="str">
        <f>""</f>
        <v/>
      </c>
      <c r="AG479" t="str">
        <f>""</f>
        <v/>
      </c>
      <c r="AH479" t="str">
        <f>""</f>
        <v/>
      </c>
      <c r="AI479" t="str">
        <f>""</f>
        <v/>
      </c>
      <c r="AJ479" t="str">
        <f>""</f>
        <v/>
      </c>
      <c r="AK479" t="str">
        <f>""</f>
        <v/>
      </c>
      <c r="AL479" t="str">
        <f>""</f>
        <v/>
      </c>
      <c r="AM479" t="str">
        <f>""</f>
        <v/>
      </c>
      <c r="AN479" t="str">
        <f>""</f>
        <v/>
      </c>
      <c r="AO479" t="str">
        <f>""</f>
        <v/>
      </c>
      <c r="AP479" t="str">
        <f>""</f>
        <v/>
      </c>
      <c r="AQ479" t="str">
        <f>""</f>
        <v/>
      </c>
      <c r="AR479" t="str">
        <f>""</f>
        <v/>
      </c>
      <c r="AS479" t="str">
        <f>""</f>
        <v/>
      </c>
      <c r="AT479" t="str">
        <f>""</f>
        <v/>
      </c>
      <c r="AU479" t="str">
        <f>""</f>
        <v/>
      </c>
      <c r="AV479" t="str">
        <f>""</f>
        <v/>
      </c>
      <c r="AW479" t="str">
        <f>""</f>
        <v/>
      </c>
      <c r="AX479" t="str">
        <f>""</f>
        <v/>
      </c>
      <c r="AY479" t="str">
        <f>""</f>
        <v/>
      </c>
      <c r="AZ479" t="str">
        <f>""</f>
        <v/>
      </c>
      <c r="BA479" t="str">
        <f>""</f>
        <v/>
      </c>
      <c r="BB479" t="str">
        <f>"06/07/2023 12:07:48"</f>
        <v>06/07/2023 12:07:48</v>
      </c>
      <c r="BC479" t="str">
        <f>""</f>
        <v/>
      </c>
      <c r="BD479" t="str">
        <f>""</f>
        <v/>
      </c>
      <c r="BE479" t="str">
        <f>""</f>
        <v/>
      </c>
      <c r="BF479" t="str">
        <f t="shared" si="229"/>
        <v>A</v>
      </c>
      <c r="BG479" t="str">
        <f>""</f>
        <v/>
      </c>
      <c r="BH479" t="str">
        <f>""</f>
        <v/>
      </c>
      <c r="BI479" t="str">
        <f t="shared" si="238"/>
        <v>EVENTUAL</v>
      </c>
      <c r="BJ479" t="str">
        <f t="shared" si="230"/>
        <v>1</v>
      </c>
      <c r="BK479" t="str">
        <f t="shared" si="231"/>
        <v>Farmacia</v>
      </c>
      <c r="BL479" t="str">
        <f>""</f>
        <v/>
      </c>
      <c r="BM479" t="str">
        <f>""</f>
        <v/>
      </c>
      <c r="BN479" t="str">
        <f>""</f>
        <v/>
      </c>
      <c r="BO479" t="str">
        <f>""</f>
        <v/>
      </c>
      <c r="BP479" t="str">
        <f>""</f>
        <v/>
      </c>
      <c r="BQ479" t="str">
        <f>""</f>
        <v/>
      </c>
      <c r="BR479" t="str">
        <f>"06/07/2023"</f>
        <v>06/07/2023</v>
      </c>
      <c r="BS479" t="str">
        <f>""</f>
        <v/>
      </c>
      <c r="BT479" t="str">
        <f>""</f>
        <v/>
      </c>
      <c r="BU479" t="str">
        <f>""</f>
        <v/>
      </c>
      <c r="BV479" t="str">
        <f>""</f>
        <v/>
      </c>
      <c r="BW479" t="str">
        <f>"Não visitado"</f>
        <v>Não visitado</v>
      </c>
    </row>
    <row r="480" spans="1:75" x14ac:dyDescent="0.35">
      <c r="A480">
        <v>144646</v>
      </c>
      <c r="B480" t="str">
        <f t="shared" si="223"/>
        <v>A</v>
      </c>
      <c r="C480" t="str">
        <f t="shared" si="224"/>
        <v>80</v>
      </c>
      <c r="D480" t="str">
        <f t="shared" si="225"/>
        <v>11121001</v>
      </c>
      <c r="E480" t="str">
        <f t="shared" si="226"/>
        <v>121001</v>
      </c>
      <c r="F480" t="str">
        <f t="shared" si="227"/>
        <v>JENIFER SANTOS</v>
      </c>
      <c r="G480" t="str">
        <f>"34795082000120"</f>
        <v>34795082000120</v>
      </c>
      <c r="H480" t="str">
        <f>""</f>
        <v/>
      </c>
      <c r="I480" t="str">
        <f t="shared" si="228"/>
        <v>CONTA OPTICA</v>
      </c>
      <c r="J480" t="str">
        <f>"VINICIUS ROBERTO MOREIRA MACOPPI 10840658940"</f>
        <v>VINICIUS ROBERTO MOREIRA MACOPPI 10840658940</v>
      </c>
      <c r="K480" t="str">
        <f>"FRONT VISION OPTICA SC (4059)"</f>
        <v>FRONT VISION OPTICA SC (4059)</v>
      </c>
      <c r="L480" t="str">
        <f>""</f>
        <v/>
      </c>
      <c r="M480" t="str">
        <f>""</f>
        <v/>
      </c>
      <c r="N480" t="str">
        <f>"macoppi8897@gmail.com"</f>
        <v>macoppi8897@gmail.com</v>
      </c>
      <c r="O480" t="str">
        <f>""</f>
        <v/>
      </c>
      <c r="P480" t="str">
        <f>"RUA MARCELINO ZANELLA"</f>
        <v>RUA MARCELINO ZANELLA</v>
      </c>
      <c r="Q480" t="str">
        <f>"88"</f>
        <v>88</v>
      </c>
      <c r="R480" t="str">
        <f>""</f>
        <v/>
      </c>
      <c r="S480" t="str">
        <f>""</f>
        <v/>
      </c>
      <c r="T480" t="str">
        <f>"89211485"</f>
        <v>89211485</v>
      </c>
      <c r="U480" t="str">
        <f>"FLORESTA"</f>
        <v>FLORESTA</v>
      </c>
      <c r="V480" t="str">
        <f t="shared" ref="V480:V485" si="242">"JOINVILLE"</f>
        <v>JOINVILLE</v>
      </c>
      <c r="W480" t="str">
        <f t="shared" ref="W480:W495" si="243">"SC"</f>
        <v>SC</v>
      </c>
      <c r="X480" t="str">
        <f>"47"</f>
        <v>47</v>
      </c>
      <c r="Y480" t="str">
        <f>"34262578"</f>
        <v>34262578</v>
      </c>
      <c r="Z480" t="str">
        <f>""</f>
        <v/>
      </c>
      <c r="AA480" t="str">
        <f>""</f>
        <v/>
      </c>
      <c r="AB480" t="str">
        <f>""</f>
        <v/>
      </c>
      <c r="AC480" t="str">
        <f>""</f>
        <v/>
      </c>
      <c r="AD480" t="str">
        <f>""</f>
        <v/>
      </c>
      <c r="AE480" t="str">
        <f>""</f>
        <v/>
      </c>
      <c r="AF480" t="str">
        <f>""</f>
        <v/>
      </c>
      <c r="AG480" t="str">
        <f>""</f>
        <v/>
      </c>
      <c r="AH480" t="str">
        <f>""</f>
        <v/>
      </c>
      <c r="AI480" t="str">
        <f>""</f>
        <v/>
      </c>
      <c r="AJ480" t="str">
        <f>""</f>
        <v/>
      </c>
      <c r="AK480" t="str">
        <f>""</f>
        <v/>
      </c>
      <c r="AL480" t="str">
        <f>""</f>
        <v/>
      </c>
      <c r="AM480" t="str">
        <f>""</f>
        <v/>
      </c>
      <c r="AN480" t="str">
        <f>""</f>
        <v/>
      </c>
      <c r="AO480" t="str">
        <f>""</f>
        <v/>
      </c>
      <c r="AP480" t="str">
        <f>""</f>
        <v/>
      </c>
      <c r="AQ480" t="str">
        <f>""</f>
        <v/>
      </c>
      <c r="AR480" t="str">
        <f>""</f>
        <v/>
      </c>
      <c r="AS480" t="str">
        <f>""</f>
        <v/>
      </c>
      <c r="AT480" t="str">
        <f>""</f>
        <v/>
      </c>
      <c r="AU480" t="str">
        <f>""</f>
        <v/>
      </c>
      <c r="AV480" t="str">
        <f>""</f>
        <v/>
      </c>
      <c r="AW480" t="str">
        <f>""</f>
        <v/>
      </c>
      <c r="AX480" t="str">
        <f>""</f>
        <v/>
      </c>
      <c r="AY480" t="str">
        <f>""</f>
        <v/>
      </c>
      <c r="AZ480" t="str">
        <f>""</f>
        <v/>
      </c>
      <c r="BA480" t="str">
        <f>""</f>
        <v/>
      </c>
      <c r="BB480" t="str">
        <f>""</f>
        <v/>
      </c>
      <c r="BC480" t="str">
        <f>""</f>
        <v/>
      </c>
      <c r="BD480" t="str">
        <f>""</f>
        <v/>
      </c>
      <c r="BE480" t="str">
        <f>""</f>
        <v/>
      </c>
      <c r="BF480" t="str">
        <f t="shared" si="229"/>
        <v>A</v>
      </c>
      <c r="BG480" t="str">
        <f>""</f>
        <v/>
      </c>
      <c r="BH480" t="str">
        <f>""</f>
        <v/>
      </c>
      <c r="BI480" t="str">
        <f t="shared" si="238"/>
        <v>EVENTUAL</v>
      </c>
      <c r="BJ480" t="str">
        <f t="shared" si="230"/>
        <v>1</v>
      </c>
      <c r="BK480" t="str">
        <f t="shared" si="231"/>
        <v>Farmacia</v>
      </c>
      <c r="BL480" t="str">
        <f>""</f>
        <v/>
      </c>
      <c r="BM480" t="str">
        <f>"NÃO É VARILUX ESPECIALISTA"</f>
        <v>NÃO É VARILUX ESPECIALISTA</v>
      </c>
      <c r="BN480" t="str">
        <f>"NA"</f>
        <v>NA</v>
      </c>
      <c r="BO480" t="str">
        <f>"OUTROS"</f>
        <v>OUTROS</v>
      </c>
      <c r="BP480" t="str">
        <f>""</f>
        <v/>
      </c>
      <c r="BQ480" t="str">
        <f>""</f>
        <v/>
      </c>
      <c r="BR480" t="str">
        <f>""</f>
        <v/>
      </c>
      <c r="BS480" t="str">
        <f>""</f>
        <v/>
      </c>
      <c r="BT480" t="str">
        <f>""</f>
        <v/>
      </c>
      <c r="BU480" t="str">
        <f>""</f>
        <v/>
      </c>
      <c r="BV480" t="str">
        <f>"9"</f>
        <v>9</v>
      </c>
      <c r="BW480" t="str">
        <f>"175"</f>
        <v>175</v>
      </c>
    </row>
    <row r="481" spans="1:75" x14ac:dyDescent="0.35">
      <c r="A481">
        <v>127562</v>
      </c>
      <c r="B481" t="str">
        <f t="shared" si="223"/>
        <v>A</v>
      </c>
      <c r="C481" t="str">
        <f t="shared" si="224"/>
        <v>80</v>
      </c>
      <c r="D481" t="str">
        <f t="shared" si="225"/>
        <v>11121001</v>
      </c>
      <c r="E481" t="str">
        <f t="shared" si="226"/>
        <v>121001</v>
      </c>
      <c r="F481" t="str">
        <f t="shared" si="227"/>
        <v>JENIFER SANTOS</v>
      </c>
      <c r="G481" t="str">
        <f>"05470651000401"</f>
        <v>05470651000401</v>
      </c>
      <c r="H481" t="str">
        <f>"0"</f>
        <v>0</v>
      </c>
      <c r="I481" t="str">
        <f t="shared" si="228"/>
        <v>CONTA OPTICA</v>
      </c>
      <c r="J481" t="str">
        <f>"VISIONCARD BRASIL OTICA LTDA"</f>
        <v>VISIONCARD BRASIL OTICA LTDA</v>
      </c>
      <c r="K481" t="str">
        <f>"SUPER OPTICA SAO JOSE (2117)"</f>
        <v>SUPER OPTICA SAO JOSE (2117)</v>
      </c>
      <c r="L481" t="str">
        <f>""</f>
        <v/>
      </c>
      <c r="M481" t="str">
        <f>""</f>
        <v/>
      </c>
      <c r="N481" t="str">
        <f>""</f>
        <v/>
      </c>
      <c r="O481" t="str">
        <f>""</f>
        <v/>
      </c>
      <c r="P481" t="str">
        <f>"RUA VISCONDE DE TAUNAY"</f>
        <v>RUA VISCONDE DE TAUNAY</v>
      </c>
      <c r="Q481" t="str">
        <f>"235"</f>
        <v>235</v>
      </c>
      <c r="R481" t="str">
        <f>"LJ 16 1 PISO SH"</f>
        <v>LJ 16 1 PISO SH</v>
      </c>
      <c r="S481" t="str">
        <f>"1277"</f>
        <v>1277</v>
      </c>
      <c r="T481" t="str">
        <f>"89201420"</f>
        <v>89201420</v>
      </c>
      <c r="U481" t="str">
        <f>"CENTRO"</f>
        <v>CENTRO</v>
      </c>
      <c r="V481" t="str">
        <f t="shared" si="242"/>
        <v>JOINVILLE</v>
      </c>
      <c r="W481" t="str">
        <f t="shared" si="243"/>
        <v>SC</v>
      </c>
      <c r="X481" t="str">
        <f>"47"</f>
        <v>47</v>
      </c>
      <c r="Y481" t="str">
        <f>"30274512"</f>
        <v>30274512</v>
      </c>
      <c r="Z481" t="str">
        <f>""</f>
        <v/>
      </c>
      <c r="AA481" t="str">
        <f>""</f>
        <v/>
      </c>
      <c r="AB481" t="str">
        <f>""</f>
        <v/>
      </c>
      <c r="AC481" t="str">
        <f>""</f>
        <v/>
      </c>
      <c r="AD481" t="str">
        <f>""</f>
        <v/>
      </c>
      <c r="AE481" t="str">
        <f>""</f>
        <v/>
      </c>
      <c r="AF481" t="str">
        <f>""</f>
        <v/>
      </c>
      <c r="AG481" t="str">
        <f>""</f>
        <v/>
      </c>
      <c r="AH481" t="str">
        <f>""</f>
        <v/>
      </c>
      <c r="AI481" t="str">
        <f>""</f>
        <v/>
      </c>
      <c r="AJ481" t="str">
        <f>""</f>
        <v/>
      </c>
      <c r="AK481" t="str">
        <f>""</f>
        <v/>
      </c>
      <c r="AL481" t="str">
        <f>""</f>
        <v/>
      </c>
      <c r="AM481" t="str">
        <f>""</f>
        <v/>
      </c>
      <c r="AN481" t="str">
        <f>""</f>
        <v/>
      </c>
      <c r="AO481" t="str">
        <f>""</f>
        <v/>
      </c>
      <c r="AP481" t="str">
        <f>""</f>
        <v/>
      </c>
      <c r="AQ481" t="str">
        <f>""</f>
        <v/>
      </c>
      <c r="AR481" t="str">
        <f>""</f>
        <v/>
      </c>
      <c r="AS481" t="str">
        <f>""</f>
        <v/>
      </c>
      <c r="AT481" t="str">
        <f>""</f>
        <v/>
      </c>
      <c r="AU481" t="str">
        <f>""</f>
        <v/>
      </c>
      <c r="AV481" t="str">
        <f>""</f>
        <v/>
      </c>
      <c r="AW481" t="str">
        <f>""</f>
        <v/>
      </c>
      <c r="AX481" t="str">
        <f>""</f>
        <v/>
      </c>
      <c r="AY481" t="str">
        <f>""</f>
        <v/>
      </c>
      <c r="AZ481" t="str">
        <f>""</f>
        <v/>
      </c>
      <c r="BA481" t="str">
        <f>""</f>
        <v/>
      </c>
      <c r="BB481" t="str">
        <f>"07/10/2020 09:08:38"</f>
        <v>07/10/2020 09:08:38</v>
      </c>
      <c r="BC481" t="str">
        <f>""</f>
        <v/>
      </c>
      <c r="BD481" t="str">
        <f>""</f>
        <v/>
      </c>
      <c r="BE481" t="str">
        <f>""</f>
        <v/>
      </c>
      <c r="BF481" t="str">
        <f t="shared" si="229"/>
        <v>A</v>
      </c>
      <c r="BG481" t="str">
        <f>""</f>
        <v/>
      </c>
      <c r="BH481" t="str">
        <f>""</f>
        <v/>
      </c>
      <c r="BI481" t="str">
        <f t="shared" si="238"/>
        <v>EVENTUAL</v>
      </c>
      <c r="BJ481" t="str">
        <f t="shared" si="230"/>
        <v>1</v>
      </c>
      <c r="BK481" t="str">
        <f t="shared" si="231"/>
        <v>Farmacia</v>
      </c>
      <c r="BL481" t="str">
        <f>""</f>
        <v/>
      </c>
      <c r="BM481" t="str">
        <f>"NÃO É VARILUX ESPECIALISTA"</f>
        <v>NÃO É VARILUX ESPECIALISTA</v>
      </c>
      <c r="BN481" t="str">
        <f>"NA"</f>
        <v>NA</v>
      </c>
      <c r="BO481" t="str">
        <f>"FOCO VARILUX DIGITAL"</f>
        <v>FOCO VARILUX DIGITAL</v>
      </c>
      <c r="BP481" t="str">
        <f>""</f>
        <v/>
      </c>
      <c r="BQ481" t="str">
        <f>""</f>
        <v/>
      </c>
      <c r="BR481" t="str">
        <f>"07/10/2020"</f>
        <v>07/10/2020</v>
      </c>
      <c r="BS481" t="str">
        <f>""</f>
        <v/>
      </c>
      <c r="BT481" t="str">
        <f>""</f>
        <v/>
      </c>
      <c r="BU481" t="str">
        <f>""</f>
        <v/>
      </c>
      <c r="BV481" t="str">
        <f>"3"</f>
        <v>3</v>
      </c>
      <c r="BW481" t="str">
        <f>"Não visitado"</f>
        <v>Não visitado</v>
      </c>
    </row>
    <row r="482" spans="1:75" x14ac:dyDescent="0.35">
      <c r="A482">
        <v>157578</v>
      </c>
      <c r="B482" t="str">
        <f t="shared" si="223"/>
        <v>A</v>
      </c>
      <c r="C482" t="str">
        <f t="shared" si="224"/>
        <v>80</v>
      </c>
      <c r="D482" t="str">
        <f t="shared" si="225"/>
        <v>11121001</v>
      </c>
      <c r="E482" t="str">
        <f t="shared" si="226"/>
        <v>121001</v>
      </c>
      <c r="F482" t="str">
        <f t="shared" si="227"/>
        <v>JENIFER SANTOS</v>
      </c>
      <c r="G482" t="str">
        <f>"05470651000240"</f>
        <v>05470651000240</v>
      </c>
      <c r="H482" t="str">
        <f>"0"</f>
        <v>0</v>
      </c>
      <c r="I482" t="str">
        <f t="shared" si="228"/>
        <v>CONTA OPTICA</v>
      </c>
      <c r="J482" t="str">
        <f>"VISIONCARD BRASIL OTICA LTDA"</f>
        <v>VISIONCARD BRASIL OTICA LTDA</v>
      </c>
      <c r="K482" t="str">
        <f>"SUPER OPTICA SAO JOSE (2116)"</f>
        <v>SUPER OPTICA SAO JOSE (2116)</v>
      </c>
      <c r="L482" t="str">
        <f>""</f>
        <v/>
      </c>
      <c r="M482" t="str">
        <f>""</f>
        <v/>
      </c>
      <c r="N482" t="str">
        <f>""</f>
        <v/>
      </c>
      <c r="O482" t="str">
        <f>""</f>
        <v/>
      </c>
      <c r="P482" t="str">
        <f>"RUA ORESTES GUIMARAES"</f>
        <v>RUA ORESTES GUIMARAES</v>
      </c>
      <c r="Q482" t="str">
        <f>"720"</f>
        <v>720</v>
      </c>
      <c r="R482" t="str">
        <f>"SALA 20"</f>
        <v>SALA 20</v>
      </c>
      <c r="S482" t="str">
        <f>"1278"</f>
        <v>1278</v>
      </c>
      <c r="T482" t="str">
        <f>"89204060"</f>
        <v>89204060</v>
      </c>
      <c r="U482" t="str">
        <f>"AMERICA"</f>
        <v>AMERICA</v>
      </c>
      <c r="V482" t="str">
        <f t="shared" si="242"/>
        <v>JOINVILLE</v>
      </c>
      <c r="W482" t="str">
        <f t="shared" si="243"/>
        <v>SC</v>
      </c>
      <c r="X482" t="str">
        <f>"47"</f>
        <v>47</v>
      </c>
      <c r="Y482" t="str">
        <f>"30273425"</f>
        <v>30273425</v>
      </c>
      <c r="Z482" t="str">
        <f>""</f>
        <v/>
      </c>
      <c r="AA482" t="str">
        <f>""</f>
        <v/>
      </c>
      <c r="AB482" t="str">
        <f>""</f>
        <v/>
      </c>
      <c r="AC482" t="str">
        <f>""</f>
        <v/>
      </c>
      <c r="AD482" t="str">
        <f>""</f>
        <v/>
      </c>
      <c r="AE482" t="str">
        <f>""</f>
        <v/>
      </c>
      <c r="AF482" t="str">
        <f>""</f>
        <v/>
      </c>
      <c r="AG482" t="str">
        <f>""</f>
        <v/>
      </c>
      <c r="AH482" t="str">
        <f>""</f>
        <v/>
      </c>
      <c r="AI482" t="str">
        <f>""</f>
        <v/>
      </c>
      <c r="AJ482" t="str">
        <f>""</f>
        <v/>
      </c>
      <c r="AK482" t="str">
        <f>""</f>
        <v/>
      </c>
      <c r="AL482" t="str">
        <f>""</f>
        <v/>
      </c>
      <c r="AM482" t="str">
        <f>""</f>
        <v/>
      </c>
      <c r="AN482" t="str">
        <f>""</f>
        <v/>
      </c>
      <c r="AO482" t="str">
        <f>""</f>
        <v/>
      </c>
      <c r="AP482" t="str">
        <f>""</f>
        <v/>
      </c>
      <c r="AQ482" t="str">
        <f>""</f>
        <v/>
      </c>
      <c r="AR482" t="str">
        <f>""</f>
        <v/>
      </c>
      <c r="AS482" t="str">
        <f>""</f>
        <v/>
      </c>
      <c r="AT482" t="str">
        <f>""</f>
        <v/>
      </c>
      <c r="AU482" t="str">
        <f>""</f>
        <v/>
      </c>
      <c r="AV482" t="str">
        <f>""</f>
        <v/>
      </c>
      <c r="AW482" t="str">
        <f>""</f>
        <v/>
      </c>
      <c r="AX482" t="str">
        <f>""</f>
        <v/>
      </c>
      <c r="AY482" t="str">
        <f>""</f>
        <v/>
      </c>
      <c r="AZ482" t="str">
        <f>""</f>
        <v/>
      </c>
      <c r="BA482" t="str">
        <f>""</f>
        <v/>
      </c>
      <c r="BB482" t="str">
        <f>"11/07/2023 02:14:29"</f>
        <v>11/07/2023 02:14:29</v>
      </c>
      <c r="BC482" t="str">
        <f>""</f>
        <v/>
      </c>
      <c r="BD482" t="str">
        <f>""</f>
        <v/>
      </c>
      <c r="BE482" t="str">
        <f>""</f>
        <v/>
      </c>
      <c r="BF482" t="str">
        <f t="shared" si="229"/>
        <v>A</v>
      </c>
      <c r="BG482" t="str">
        <f>""</f>
        <v/>
      </c>
      <c r="BH482" t="str">
        <f>""</f>
        <v/>
      </c>
      <c r="BI482" t="str">
        <f t="shared" si="238"/>
        <v>EVENTUAL</v>
      </c>
      <c r="BJ482" t="str">
        <f t="shared" si="230"/>
        <v>1</v>
      </c>
      <c r="BK482" t="str">
        <f t="shared" si="231"/>
        <v>Farmacia</v>
      </c>
      <c r="BL482" t="str">
        <f>""</f>
        <v/>
      </c>
      <c r="BM482" t="str">
        <f>""</f>
        <v/>
      </c>
      <c r="BN482" t="str">
        <f>""</f>
        <v/>
      </c>
      <c r="BO482" t="str">
        <f>""</f>
        <v/>
      </c>
      <c r="BP482" t="str">
        <f>""</f>
        <v/>
      </c>
      <c r="BQ482" t="str">
        <f>""</f>
        <v/>
      </c>
      <c r="BR482" t="str">
        <f>"11/07/2023"</f>
        <v>11/07/2023</v>
      </c>
      <c r="BS482" t="str">
        <f>""</f>
        <v/>
      </c>
      <c r="BT482" t="str">
        <f>""</f>
        <v/>
      </c>
      <c r="BU482" t="str">
        <f>""</f>
        <v/>
      </c>
      <c r="BV482" t="str">
        <f>""</f>
        <v/>
      </c>
      <c r="BW482" t="str">
        <f>"Não visitado"</f>
        <v>Não visitado</v>
      </c>
    </row>
    <row r="483" spans="1:75" x14ac:dyDescent="0.35">
      <c r="A483">
        <v>157579</v>
      </c>
      <c r="B483" t="str">
        <f t="shared" si="223"/>
        <v>A</v>
      </c>
      <c r="C483" t="str">
        <f t="shared" si="224"/>
        <v>80</v>
      </c>
      <c r="D483" t="str">
        <f t="shared" si="225"/>
        <v>11121001</v>
      </c>
      <c r="E483" t="str">
        <f t="shared" si="226"/>
        <v>121001</v>
      </c>
      <c r="F483" t="str">
        <f t="shared" si="227"/>
        <v>JENIFER SANTOS</v>
      </c>
      <c r="G483" t="str">
        <f>"05470651000169"</f>
        <v>05470651000169</v>
      </c>
      <c r="H483" t="str">
        <f>"0"</f>
        <v>0</v>
      </c>
      <c r="I483" t="str">
        <f t="shared" si="228"/>
        <v>CONTA OPTICA</v>
      </c>
      <c r="J483" t="str">
        <f>"VISIONCARD BRASIL OTICA LTDA"</f>
        <v>VISIONCARD BRASIL OTICA LTDA</v>
      </c>
      <c r="K483" t="str">
        <f>"SUPER OPTICA SAO JOSE (2115)"</f>
        <v>SUPER OPTICA SAO JOSE (2115)</v>
      </c>
      <c r="L483" t="str">
        <f>""</f>
        <v/>
      </c>
      <c r="M483" t="str">
        <f>""</f>
        <v/>
      </c>
      <c r="N483" t="str">
        <f>""</f>
        <v/>
      </c>
      <c r="O483" t="str">
        <f>""</f>
        <v/>
      </c>
      <c r="P483" t="str">
        <f>"RUA NOVE DE MARCO"</f>
        <v>RUA NOVE DE MARCO</v>
      </c>
      <c r="Q483" t="str">
        <f>"525"</f>
        <v>525</v>
      </c>
      <c r="R483" t="str">
        <f>""</f>
        <v/>
      </c>
      <c r="S483" t="str">
        <f>"1277"</f>
        <v>1277</v>
      </c>
      <c r="T483" t="str">
        <f>"89201400"</f>
        <v>89201400</v>
      </c>
      <c r="U483" t="str">
        <f>"CENTRO"</f>
        <v>CENTRO</v>
      </c>
      <c r="V483" t="str">
        <f t="shared" si="242"/>
        <v>JOINVILLE</v>
      </c>
      <c r="W483" t="str">
        <f t="shared" si="243"/>
        <v>SC</v>
      </c>
      <c r="X483" t="str">
        <f>"48"</f>
        <v>48</v>
      </c>
      <c r="Y483" t="str">
        <f>"30273426"</f>
        <v>30273426</v>
      </c>
      <c r="Z483" t="str">
        <f>""</f>
        <v/>
      </c>
      <c r="AA483" t="str">
        <f>""</f>
        <v/>
      </c>
      <c r="AB483" t="str">
        <f>""</f>
        <v/>
      </c>
      <c r="AC483" t="str">
        <f>""</f>
        <v/>
      </c>
      <c r="AD483" t="str">
        <f>""</f>
        <v/>
      </c>
      <c r="AE483" t="str">
        <f>""</f>
        <v/>
      </c>
      <c r="AF483" t="str">
        <f>""</f>
        <v/>
      </c>
      <c r="AG483" t="str">
        <f>""</f>
        <v/>
      </c>
      <c r="AH483" t="str">
        <f>""</f>
        <v/>
      </c>
      <c r="AI483" t="str">
        <f>""</f>
        <v/>
      </c>
      <c r="AJ483" t="str">
        <f>""</f>
        <v/>
      </c>
      <c r="AK483" t="str">
        <f>""</f>
        <v/>
      </c>
      <c r="AL483" t="str">
        <f>""</f>
        <v/>
      </c>
      <c r="AM483" t="str">
        <f>""</f>
        <v/>
      </c>
      <c r="AN483" t="str">
        <f>""</f>
        <v/>
      </c>
      <c r="AO483" t="str">
        <f>""</f>
        <v/>
      </c>
      <c r="AP483" t="str">
        <f>""</f>
        <v/>
      </c>
      <c r="AQ483" t="str">
        <f>""</f>
        <v/>
      </c>
      <c r="AR483" t="str">
        <f>""</f>
        <v/>
      </c>
      <c r="AS483" t="str">
        <f>""</f>
        <v/>
      </c>
      <c r="AT483" t="str">
        <f>""</f>
        <v/>
      </c>
      <c r="AU483" t="str">
        <f>""</f>
        <v/>
      </c>
      <c r="AV483" t="str">
        <f>""</f>
        <v/>
      </c>
      <c r="AW483" t="str">
        <f>""</f>
        <v/>
      </c>
      <c r="AX483" t="str">
        <f>""</f>
        <v/>
      </c>
      <c r="AY483" t="str">
        <f>""</f>
        <v/>
      </c>
      <c r="AZ483" t="str">
        <f>""</f>
        <v/>
      </c>
      <c r="BA483" t="str">
        <f>""</f>
        <v/>
      </c>
      <c r="BB483" t="str">
        <f>"11/07/2023 02:14:29"</f>
        <v>11/07/2023 02:14:29</v>
      </c>
      <c r="BC483" t="str">
        <f>""</f>
        <v/>
      </c>
      <c r="BD483" t="str">
        <f>""</f>
        <v/>
      </c>
      <c r="BE483" t="str">
        <f>""</f>
        <v/>
      </c>
      <c r="BF483" t="str">
        <f t="shared" si="229"/>
        <v>A</v>
      </c>
      <c r="BG483" t="str">
        <f>""</f>
        <v/>
      </c>
      <c r="BH483" t="str">
        <f>""</f>
        <v/>
      </c>
      <c r="BI483" t="str">
        <f t="shared" si="238"/>
        <v>EVENTUAL</v>
      </c>
      <c r="BJ483" t="str">
        <f t="shared" si="230"/>
        <v>1</v>
      </c>
      <c r="BK483" t="str">
        <f t="shared" si="231"/>
        <v>Farmacia</v>
      </c>
      <c r="BL483" t="str">
        <f>""</f>
        <v/>
      </c>
      <c r="BM483" t="str">
        <f>""</f>
        <v/>
      </c>
      <c r="BN483" t="str">
        <f>""</f>
        <v/>
      </c>
      <c r="BO483" t="str">
        <f>""</f>
        <v/>
      </c>
      <c r="BP483" t="str">
        <f>""</f>
        <v/>
      </c>
      <c r="BQ483" t="str">
        <f>""</f>
        <v/>
      </c>
      <c r="BR483" t="str">
        <f>"11/07/2023"</f>
        <v>11/07/2023</v>
      </c>
      <c r="BS483" t="str">
        <f>""</f>
        <v/>
      </c>
      <c r="BT483" t="str">
        <f>""</f>
        <v/>
      </c>
      <c r="BU483" t="str">
        <f>""</f>
        <v/>
      </c>
      <c r="BV483" t="str">
        <f>""</f>
        <v/>
      </c>
      <c r="BW483" t="str">
        <f>"Não visitado"</f>
        <v>Não visitado</v>
      </c>
    </row>
    <row r="484" spans="1:75" x14ac:dyDescent="0.35">
      <c r="A484">
        <v>769</v>
      </c>
      <c r="B484" t="str">
        <f t="shared" si="223"/>
        <v>A</v>
      </c>
      <c r="C484" t="str">
        <f t="shared" si="224"/>
        <v>80</v>
      </c>
      <c r="D484" t="str">
        <f t="shared" si="225"/>
        <v>11121001</v>
      </c>
      <c r="E484" t="str">
        <f t="shared" si="226"/>
        <v>121001</v>
      </c>
      <c r="F484" t="str">
        <f t="shared" si="227"/>
        <v>JENIFER SANTOS</v>
      </c>
      <c r="G484" t="str">
        <f>"00508765000218"</f>
        <v>00508765000218</v>
      </c>
      <c r="H484" t="str">
        <f>""</f>
        <v/>
      </c>
      <c r="I484" t="str">
        <f t="shared" si="228"/>
        <v>CONTA OPTICA</v>
      </c>
      <c r="J484" t="str">
        <f>"VISOLUX - OTICA E RELOJOARIA LTDA - ME"</f>
        <v>VISOLUX - OTICA E RELOJOARIA LTDA - ME</v>
      </c>
      <c r="K484" t="str">
        <f>"CRAFTS (933)"</f>
        <v>CRAFTS (933)</v>
      </c>
      <c r="L484" t="str">
        <f>""</f>
        <v/>
      </c>
      <c r="M484" t="str">
        <f>""</f>
        <v/>
      </c>
      <c r="N484" t="str">
        <f>"crafts_ass@yahoo.com.br"</f>
        <v>crafts_ass@yahoo.com.br</v>
      </c>
      <c r="O484" t="str">
        <f>""</f>
        <v/>
      </c>
      <c r="P484" t="str">
        <f>"RUA MARIO LOBO"</f>
        <v>RUA MARIO LOBO</v>
      </c>
      <c r="Q484" t="str">
        <f>"106"</f>
        <v>106</v>
      </c>
      <c r="R484" t="str">
        <f>"SHOP. BX 59"</f>
        <v>SHOP. BX 59</v>
      </c>
      <c r="S484" t="str">
        <f>"1277"</f>
        <v>1277</v>
      </c>
      <c r="T484" t="str">
        <f>"89201330"</f>
        <v>89201330</v>
      </c>
      <c r="U484" t="str">
        <f>"CENTRO"</f>
        <v>CENTRO</v>
      </c>
      <c r="V484" t="str">
        <f t="shared" si="242"/>
        <v>JOINVILLE</v>
      </c>
      <c r="W484" t="str">
        <f t="shared" si="243"/>
        <v>SC</v>
      </c>
      <c r="X484" t="str">
        <f t="shared" ref="X484:X490" si="244">"47"</f>
        <v>47</v>
      </c>
      <c r="Y484" t="str">
        <f>"30255477"</f>
        <v>30255477</v>
      </c>
      <c r="Z484" t="str">
        <f>""</f>
        <v/>
      </c>
      <c r="AA484" t="str">
        <f>""</f>
        <v/>
      </c>
      <c r="AB484" t="str">
        <f>""</f>
        <v/>
      </c>
      <c r="AC484" t="str">
        <f>""</f>
        <v/>
      </c>
      <c r="AD484" t="str">
        <f>""</f>
        <v/>
      </c>
      <c r="AE484" t="str">
        <f>""</f>
        <v/>
      </c>
      <c r="AF484" t="str">
        <f>""</f>
        <v/>
      </c>
      <c r="AG484" t="str">
        <f>""</f>
        <v/>
      </c>
      <c r="AH484" t="str">
        <f>""</f>
        <v/>
      </c>
      <c r="AI484" t="str">
        <f>""</f>
        <v/>
      </c>
      <c r="AJ484" t="str">
        <f t="shared" ref="AJ484:AL485" si="245">"0"</f>
        <v>0</v>
      </c>
      <c r="AK484" t="str">
        <f t="shared" si="245"/>
        <v>0</v>
      </c>
      <c r="AL484" t="str">
        <f t="shared" si="245"/>
        <v>0</v>
      </c>
      <c r="AM484" t="str">
        <f>""</f>
        <v/>
      </c>
      <c r="AN484" t="str">
        <f>""</f>
        <v/>
      </c>
      <c r="AO484" t="str">
        <f>""</f>
        <v/>
      </c>
      <c r="AP484" t="str">
        <f>""</f>
        <v/>
      </c>
      <c r="AQ484" t="str">
        <f>""</f>
        <v/>
      </c>
      <c r="AR484" t="str">
        <f>""</f>
        <v/>
      </c>
      <c r="AS484" t="str">
        <f>""</f>
        <v/>
      </c>
      <c r="AT484" t="str">
        <f>""</f>
        <v/>
      </c>
      <c r="AU484" t="str">
        <f>""</f>
        <v/>
      </c>
      <c r="AV484" t="str">
        <f>""</f>
        <v/>
      </c>
      <c r="AW484" t="str">
        <f>""</f>
        <v/>
      </c>
      <c r="AX484" t="str">
        <f>""</f>
        <v/>
      </c>
      <c r="AY484" t="str">
        <f>""</f>
        <v/>
      </c>
      <c r="AZ484" t="str">
        <f>""</f>
        <v/>
      </c>
      <c r="BA484" t="str">
        <f>""</f>
        <v/>
      </c>
      <c r="BB484" t="str">
        <f>"27/07/2018 09:25:50"</f>
        <v>27/07/2018 09:25:50</v>
      </c>
      <c r="BC484" t="str">
        <f>""</f>
        <v/>
      </c>
      <c r="BD484" t="str">
        <f>""</f>
        <v/>
      </c>
      <c r="BE484" t="str">
        <f>"769"</f>
        <v>769</v>
      </c>
      <c r="BF484" t="str">
        <f t="shared" si="229"/>
        <v>A</v>
      </c>
      <c r="BG484" t="str">
        <f>"0,00"</f>
        <v>0,00</v>
      </c>
      <c r="BH484" t="str">
        <f>"0,00"</f>
        <v>0,00</v>
      </c>
      <c r="BI484" t="str">
        <f t="shared" si="238"/>
        <v>EVENTUAL</v>
      </c>
      <c r="BJ484" t="str">
        <f t="shared" si="230"/>
        <v>1</v>
      </c>
      <c r="BK484" t="str">
        <f t="shared" si="231"/>
        <v>Farmacia</v>
      </c>
      <c r="BL484" t="str">
        <f>""</f>
        <v/>
      </c>
      <c r="BM484" t="str">
        <f>"NÃO É VARILUX ESPECIALISTA"</f>
        <v>NÃO É VARILUX ESPECIALISTA</v>
      </c>
      <c r="BN484" t="str">
        <f>"NA"</f>
        <v>NA</v>
      </c>
      <c r="BO484" t="str">
        <f>"FOCO VARILUX"</f>
        <v>FOCO VARILUX</v>
      </c>
      <c r="BP484" t="str">
        <f>""</f>
        <v/>
      </c>
      <c r="BQ484" t="str">
        <f>""</f>
        <v/>
      </c>
      <c r="BR484" t="str">
        <f>"27/07/2018"</f>
        <v>27/07/2018</v>
      </c>
      <c r="BS484" t="str">
        <f>""</f>
        <v/>
      </c>
      <c r="BT484" t="str">
        <f>""</f>
        <v/>
      </c>
      <c r="BU484" t="str">
        <f>""</f>
        <v/>
      </c>
      <c r="BV484" t="str">
        <f>"3"</f>
        <v>3</v>
      </c>
      <c r="BW484" t="str">
        <f>"8"</f>
        <v>8</v>
      </c>
    </row>
    <row r="485" spans="1:75" x14ac:dyDescent="0.35">
      <c r="A485">
        <v>144573</v>
      </c>
      <c r="B485" t="str">
        <f t="shared" si="223"/>
        <v>A</v>
      </c>
      <c r="C485" t="str">
        <f t="shared" si="224"/>
        <v>80</v>
      </c>
      <c r="D485" t="str">
        <f t="shared" si="225"/>
        <v>11121001</v>
      </c>
      <c r="E485" t="str">
        <f t="shared" si="226"/>
        <v>121001</v>
      </c>
      <c r="F485" t="str">
        <f t="shared" si="227"/>
        <v>JENIFER SANTOS</v>
      </c>
      <c r="G485" t="str">
        <f>"81010803000129"</f>
        <v>81010803000129</v>
      </c>
      <c r="H485" t="str">
        <f>""</f>
        <v/>
      </c>
      <c r="I485" t="str">
        <f t="shared" si="228"/>
        <v>CONTA OPTICA</v>
      </c>
      <c r="J485" t="str">
        <f>"VISUAL JOALHERIA E OTICA LTDA"</f>
        <v>VISUAL JOALHERIA E OTICA LTDA</v>
      </c>
      <c r="K485" t="str">
        <f>"VISUAL JOALHERIA E OTICA LTDA (462)"</f>
        <v>VISUAL JOALHERIA E OTICA LTDA (462)</v>
      </c>
      <c r="L485" t="str">
        <f>""</f>
        <v/>
      </c>
      <c r="M485" t="str">
        <f>""</f>
        <v/>
      </c>
      <c r="N485" t="str">
        <f>"visualgarcia.garcia@gmail.com"</f>
        <v>visualgarcia.garcia@gmail.com</v>
      </c>
      <c r="O485" t="str">
        <f>""</f>
        <v/>
      </c>
      <c r="P485" t="str">
        <f>"RUA ABDON BATISTA"</f>
        <v>RUA ABDON BATISTA</v>
      </c>
      <c r="Q485" t="str">
        <f>"76"</f>
        <v>76</v>
      </c>
      <c r="R485" t="str">
        <f>""</f>
        <v/>
      </c>
      <c r="S485" t="str">
        <f>"1277"</f>
        <v>1277</v>
      </c>
      <c r="T485" t="str">
        <f>"89201010"</f>
        <v>89201010</v>
      </c>
      <c r="U485" t="str">
        <f>"CENTRO"</f>
        <v>CENTRO</v>
      </c>
      <c r="V485" t="str">
        <f t="shared" si="242"/>
        <v>JOINVILLE</v>
      </c>
      <c r="W485" t="str">
        <f t="shared" si="243"/>
        <v>SC</v>
      </c>
      <c r="X485" t="str">
        <f t="shared" si="244"/>
        <v>47</v>
      </c>
      <c r="Y485" t="str">
        <f>"38045120"</f>
        <v>38045120</v>
      </c>
      <c r="Z485" t="str">
        <f>""</f>
        <v/>
      </c>
      <c r="AA485" t="str">
        <f>""</f>
        <v/>
      </c>
      <c r="AB485" t="str">
        <f>""</f>
        <v/>
      </c>
      <c r="AC485" t="str">
        <f>""</f>
        <v/>
      </c>
      <c r="AD485" t="str">
        <f>""</f>
        <v/>
      </c>
      <c r="AE485" t="str">
        <f>""</f>
        <v/>
      </c>
      <c r="AF485" t="str">
        <f>""</f>
        <v/>
      </c>
      <c r="AG485" t="str">
        <f>""</f>
        <v/>
      </c>
      <c r="AH485" t="str">
        <f>""</f>
        <v/>
      </c>
      <c r="AI485" t="str">
        <f>""</f>
        <v/>
      </c>
      <c r="AJ485" t="str">
        <f t="shared" si="245"/>
        <v>0</v>
      </c>
      <c r="AK485" t="str">
        <f t="shared" si="245"/>
        <v>0</v>
      </c>
      <c r="AL485" t="str">
        <f t="shared" si="245"/>
        <v>0</v>
      </c>
      <c r="AM485" t="str">
        <f>""</f>
        <v/>
      </c>
      <c r="AN485" t="str">
        <f>""</f>
        <v/>
      </c>
      <c r="AO485" t="str">
        <f>""</f>
        <v/>
      </c>
      <c r="AP485" t="str">
        <f>""</f>
        <v/>
      </c>
      <c r="AQ485" t="str">
        <f>""</f>
        <v/>
      </c>
      <c r="AR485" t="str">
        <f>""</f>
        <v/>
      </c>
      <c r="AS485" t="str">
        <f>""</f>
        <v/>
      </c>
      <c r="AT485" t="str">
        <f>""</f>
        <v/>
      </c>
      <c r="AU485" t="str">
        <f>""</f>
        <v/>
      </c>
      <c r="AV485" t="str">
        <f>""</f>
        <v/>
      </c>
      <c r="AW485" t="str">
        <f>""</f>
        <v/>
      </c>
      <c r="AX485" t="str">
        <f>""</f>
        <v/>
      </c>
      <c r="AY485" t="str">
        <f>""</f>
        <v/>
      </c>
      <c r="AZ485" t="str">
        <f>""</f>
        <v/>
      </c>
      <c r="BA485" t="str">
        <f>""</f>
        <v/>
      </c>
      <c r="BB485" t="str">
        <f>""</f>
        <v/>
      </c>
      <c r="BC485" t="str">
        <f>""</f>
        <v/>
      </c>
      <c r="BD485" t="str">
        <f>""</f>
        <v/>
      </c>
      <c r="BE485" t="str">
        <f>""</f>
        <v/>
      </c>
      <c r="BF485" t="str">
        <f t="shared" si="229"/>
        <v>A</v>
      </c>
      <c r="BG485" t="str">
        <f>"0,00"</f>
        <v>0,00</v>
      </c>
      <c r="BH485" t="str">
        <f>"0,00"</f>
        <v>0,00</v>
      </c>
      <c r="BI485" t="str">
        <f t="shared" si="238"/>
        <v>EVENTUAL</v>
      </c>
      <c r="BJ485" t="str">
        <f t="shared" si="230"/>
        <v>1</v>
      </c>
      <c r="BK485" t="str">
        <f t="shared" si="231"/>
        <v>Farmacia</v>
      </c>
      <c r="BL485" t="str">
        <f>""</f>
        <v/>
      </c>
      <c r="BM485" t="str">
        <f>"NÃO É VARILUX ESPECIALISTA"</f>
        <v>NÃO É VARILUX ESPECIALISTA</v>
      </c>
      <c r="BN485" t="str">
        <f>"NA"</f>
        <v>NA</v>
      </c>
      <c r="BO485" t="str">
        <f>"FOCO VARILUX"</f>
        <v>FOCO VARILUX</v>
      </c>
      <c r="BP485" t="str">
        <f>""</f>
        <v/>
      </c>
      <c r="BQ485" t="str">
        <f>""</f>
        <v/>
      </c>
      <c r="BR485" t="str">
        <f>""</f>
        <v/>
      </c>
      <c r="BS485" t="str">
        <f>""</f>
        <v/>
      </c>
      <c r="BT485" t="str">
        <f>""</f>
        <v/>
      </c>
      <c r="BU485" t="str">
        <f>""</f>
        <v/>
      </c>
      <c r="BV485" t="str">
        <f>"7"</f>
        <v>7</v>
      </c>
      <c r="BW485" t="str">
        <f>"3"</f>
        <v>3</v>
      </c>
    </row>
    <row r="486" spans="1:75" x14ac:dyDescent="0.35">
      <c r="A486">
        <v>156769</v>
      </c>
      <c r="B486" t="str">
        <f t="shared" si="223"/>
        <v>A</v>
      </c>
      <c r="C486" t="str">
        <f t="shared" si="224"/>
        <v>80</v>
      </c>
      <c r="D486" t="str">
        <f t="shared" si="225"/>
        <v>11121001</v>
      </c>
      <c r="E486" t="str">
        <f t="shared" si="226"/>
        <v>121001</v>
      </c>
      <c r="F486" t="str">
        <f t="shared" si="227"/>
        <v>JENIFER SANTOS</v>
      </c>
      <c r="G486" t="str">
        <f>"28210997000123"</f>
        <v>28210997000123</v>
      </c>
      <c r="H486" t="str">
        <f>"0"</f>
        <v>0</v>
      </c>
      <c r="I486" t="str">
        <f t="shared" si="228"/>
        <v>CONTA OPTICA</v>
      </c>
      <c r="J486" t="str">
        <f>"VITORIA SEMI JOIAS E OTICA LTDA - ME"</f>
        <v>VITORIA SEMI JOIAS E OTICA LTDA - ME</v>
      </c>
      <c r="K486" t="str">
        <f>"VITORIA SEMI JOIAS E OTICA (3822)"</f>
        <v>VITORIA SEMI JOIAS E OTICA (3822)</v>
      </c>
      <c r="L486" t="str">
        <f>""</f>
        <v/>
      </c>
      <c r="M486" t="str">
        <f>""</f>
        <v/>
      </c>
      <c r="N486" t="str">
        <f>"GERENCIA@VITORIASEMIJOIASEOTICA.COM.BR"</f>
        <v>GERENCIA@VITORIASEMIJOIASEOTICA.COM.BR</v>
      </c>
      <c r="O486" t="str">
        <f>""</f>
        <v/>
      </c>
      <c r="P486" t="str">
        <f>"RUA 28 DE AGOSTO"</f>
        <v>RUA 28 DE AGOSTO</v>
      </c>
      <c r="Q486" t="str">
        <f>"2093"</f>
        <v>2093</v>
      </c>
      <c r="R486" t="str">
        <f>"SL2"</f>
        <v>SL2</v>
      </c>
      <c r="S486" t="str">
        <f>"1280"</f>
        <v>1280</v>
      </c>
      <c r="T486" t="str">
        <f>"89270000"</f>
        <v>89270000</v>
      </c>
      <c r="U486" t="str">
        <f>"CENTRO"</f>
        <v>CENTRO</v>
      </c>
      <c r="V486" t="str">
        <f>"GUARAMIRIM"</f>
        <v>GUARAMIRIM</v>
      </c>
      <c r="W486" t="str">
        <f t="shared" si="243"/>
        <v>SC</v>
      </c>
      <c r="X486" t="str">
        <f t="shared" si="244"/>
        <v>47</v>
      </c>
      <c r="Y486" t="str">
        <f>"33734023"</f>
        <v>33734023</v>
      </c>
      <c r="Z486" t="str">
        <f>""</f>
        <v/>
      </c>
      <c r="AA486" t="str">
        <f>""</f>
        <v/>
      </c>
      <c r="AB486" t="str">
        <f>""</f>
        <v/>
      </c>
      <c r="AC486" t="str">
        <f>""</f>
        <v/>
      </c>
      <c r="AD486" t="str">
        <f>""</f>
        <v/>
      </c>
      <c r="AE486" t="str">
        <f>""</f>
        <v/>
      </c>
      <c r="AF486" t="str">
        <f>""</f>
        <v/>
      </c>
      <c r="AG486" t="str">
        <f>""</f>
        <v/>
      </c>
      <c r="AH486" t="str">
        <f>""</f>
        <v/>
      </c>
      <c r="AI486" t="str">
        <f>""</f>
        <v/>
      </c>
      <c r="AJ486" t="str">
        <f>""</f>
        <v/>
      </c>
      <c r="AK486" t="str">
        <f>""</f>
        <v/>
      </c>
      <c r="AL486" t="str">
        <f>""</f>
        <v/>
      </c>
      <c r="AM486" t="str">
        <f>""</f>
        <v/>
      </c>
      <c r="AN486" t="str">
        <f>""</f>
        <v/>
      </c>
      <c r="AO486" t="str">
        <f>""</f>
        <v/>
      </c>
      <c r="AP486" t="str">
        <f>""</f>
        <v/>
      </c>
      <c r="AQ486" t="str">
        <f>""</f>
        <v/>
      </c>
      <c r="AR486" t="str">
        <f>""</f>
        <v/>
      </c>
      <c r="AS486" t="str">
        <f>""</f>
        <v/>
      </c>
      <c r="AT486" t="str">
        <f>""</f>
        <v/>
      </c>
      <c r="AU486" t="str">
        <f>""</f>
        <v/>
      </c>
      <c r="AV486" t="str">
        <f>""</f>
        <v/>
      </c>
      <c r="AW486" t="str">
        <f>""</f>
        <v/>
      </c>
      <c r="AX486" t="str">
        <f>""</f>
        <v/>
      </c>
      <c r="AY486" t="str">
        <f>""</f>
        <v/>
      </c>
      <c r="AZ486" t="str">
        <f>""</f>
        <v/>
      </c>
      <c r="BA486" t="str">
        <f>""</f>
        <v/>
      </c>
      <c r="BB486" t="str">
        <f>"06/07/2023 12:07:48"</f>
        <v>06/07/2023 12:07:48</v>
      </c>
      <c r="BC486" t="str">
        <f>""</f>
        <v/>
      </c>
      <c r="BD486" t="str">
        <f>""</f>
        <v/>
      </c>
      <c r="BE486" t="str">
        <f>""</f>
        <v/>
      </c>
      <c r="BF486" t="str">
        <f t="shared" si="229"/>
        <v>A</v>
      </c>
      <c r="BG486" t="str">
        <f>""</f>
        <v/>
      </c>
      <c r="BH486" t="str">
        <f>""</f>
        <v/>
      </c>
      <c r="BI486" t="str">
        <f t="shared" si="238"/>
        <v>EVENTUAL</v>
      </c>
      <c r="BJ486" t="str">
        <f t="shared" si="230"/>
        <v>1</v>
      </c>
      <c r="BK486" t="str">
        <f t="shared" si="231"/>
        <v>Farmacia</v>
      </c>
      <c r="BL486" t="str">
        <f>""</f>
        <v/>
      </c>
      <c r="BM486" t="str">
        <f>""</f>
        <v/>
      </c>
      <c r="BN486" t="str">
        <f>""</f>
        <v/>
      </c>
      <c r="BO486" t="str">
        <f>""</f>
        <v/>
      </c>
      <c r="BP486" t="str">
        <f>""</f>
        <v/>
      </c>
      <c r="BQ486" t="str">
        <f>""</f>
        <v/>
      </c>
      <c r="BR486" t="str">
        <f>"06/07/2023"</f>
        <v>06/07/2023</v>
      </c>
      <c r="BS486" t="str">
        <f>""</f>
        <v/>
      </c>
      <c r="BT486" t="str">
        <f>""</f>
        <v/>
      </c>
      <c r="BU486" t="str">
        <f>""</f>
        <v/>
      </c>
      <c r="BV486" t="str">
        <f>""</f>
        <v/>
      </c>
      <c r="BW486" t="str">
        <f>"Não visitado"</f>
        <v>Não visitado</v>
      </c>
    </row>
    <row r="487" spans="1:75" x14ac:dyDescent="0.35">
      <c r="A487">
        <v>127631</v>
      </c>
      <c r="B487" t="str">
        <f t="shared" si="223"/>
        <v>A</v>
      </c>
      <c r="C487" t="str">
        <f t="shared" si="224"/>
        <v>80</v>
      </c>
      <c r="D487" t="str">
        <f t="shared" si="225"/>
        <v>11121001</v>
      </c>
      <c r="E487" t="str">
        <f t="shared" si="226"/>
        <v>121001</v>
      </c>
      <c r="F487" t="str">
        <f t="shared" si="227"/>
        <v>JENIFER SANTOS</v>
      </c>
      <c r="G487" t="str">
        <f>"05624146000393"</f>
        <v>05624146000393</v>
      </c>
      <c r="H487" t="str">
        <f>"0"</f>
        <v>0</v>
      </c>
      <c r="I487" t="str">
        <f t="shared" si="228"/>
        <v>CONTA OPTICA</v>
      </c>
      <c r="J487" t="str">
        <f>"VIVA COMERCIO LTDA ME"</f>
        <v>VIVA COMERCIO LTDA ME</v>
      </c>
      <c r="K487" t="str">
        <f>"VIVA SEMIJOIAS E OTICA (1360)"</f>
        <v>VIVA SEMIJOIAS E OTICA (1360)</v>
      </c>
      <c r="L487" t="str">
        <f>""</f>
        <v/>
      </c>
      <c r="M487" t="str">
        <f>""</f>
        <v/>
      </c>
      <c r="N487" t="str">
        <f>"vivaotica@terra.com"</f>
        <v>vivaotica@terra.com</v>
      </c>
      <c r="O487" t="str">
        <f>""</f>
        <v/>
      </c>
      <c r="P487" t="str">
        <f>"RUA MARECHAL CASTELO BRANCO"</f>
        <v>RUA MARECHAL CASTELO BRANCO</v>
      </c>
      <c r="Q487" t="str">
        <f>"3507"</f>
        <v>3507</v>
      </c>
      <c r="R487" t="str">
        <f>"SL 7"</f>
        <v>SL 7</v>
      </c>
      <c r="S487" t="str">
        <f>"1280"</f>
        <v>1280</v>
      </c>
      <c r="T487" t="str">
        <f>"89275000"</f>
        <v>89275000</v>
      </c>
      <c r="U487" t="str">
        <f>"CENTRO"</f>
        <v>CENTRO</v>
      </c>
      <c r="V487" t="str">
        <f>"SCHROEDER"</f>
        <v>SCHROEDER</v>
      </c>
      <c r="W487" t="str">
        <f t="shared" si="243"/>
        <v>SC</v>
      </c>
      <c r="X487" t="str">
        <f t="shared" si="244"/>
        <v>47</v>
      </c>
      <c r="Y487" t="str">
        <f>"991758293"</f>
        <v>991758293</v>
      </c>
      <c r="Z487" t="str">
        <f>""</f>
        <v/>
      </c>
      <c r="AA487" t="str">
        <f>""</f>
        <v/>
      </c>
      <c r="AB487" t="str">
        <f>""</f>
        <v/>
      </c>
      <c r="AC487" t="str">
        <f>""</f>
        <v/>
      </c>
      <c r="AD487" t="str">
        <f>""</f>
        <v/>
      </c>
      <c r="AE487" t="str">
        <f>""</f>
        <v/>
      </c>
      <c r="AF487" t="str">
        <f>""</f>
        <v/>
      </c>
      <c r="AG487" t="str">
        <f>""</f>
        <v/>
      </c>
      <c r="AH487" t="str">
        <f>""</f>
        <v/>
      </c>
      <c r="AI487" t="str">
        <f>""</f>
        <v/>
      </c>
      <c r="AJ487" t="str">
        <f t="shared" ref="AJ487:AL490" si="246">"0"</f>
        <v>0</v>
      </c>
      <c r="AK487" t="str">
        <f t="shared" si="246"/>
        <v>0</v>
      </c>
      <c r="AL487" t="str">
        <f t="shared" si="246"/>
        <v>0</v>
      </c>
      <c r="AM487" t="str">
        <f>""</f>
        <v/>
      </c>
      <c r="AN487" t="str">
        <f>""</f>
        <v/>
      </c>
      <c r="AO487" t="str">
        <f>""</f>
        <v/>
      </c>
      <c r="AP487" t="str">
        <f>""</f>
        <v/>
      </c>
      <c r="AQ487" t="str">
        <f>""</f>
        <v/>
      </c>
      <c r="AR487" t="str">
        <f>""</f>
        <v/>
      </c>
      <c r="AS487" t="str">
        <f>""</f>
        <v/>
      </c>
      <c r="AT487" t="str">
        <f>""</f>
        <v/>
      </c>
      <c r="AU487" t="str">
        <f>""</f>
        <v/>
      </c>
      <c r="AV487" t="str">
        <f>""</f>
        <v/>
      </c>
      <c r="AW487" t="str">
        <f>""</f>
        <v/>
      </c>
      <c r="AX487" t="str">
        <f>""</f>
        <v/>
      </c>
      <c r="AY487" t="str">
        <f>""</f>
        <v/>
      </c>
      <c r="AZ487" t="str">
        <f>""</f>
        <v/>
      </c>
      <c r="BA487" t="str">
        <f>""</f>
        <v/>
      </c>
      <c r="BB487" t="str">
        <f>"07/10/2020 09:08:38"</f>
        <v>07/10/2020 09:08:38</v>
      </c>
      <c r="BC487" t="str">
        <f>""</f>
        <v/>
      </c>
      <c r="BD487" t="str">
        <f>""</f>
        <v/>
      </c>
      <c r="BE487" t="str">
        <f>""</f>
        <v/>
      </c>
      <c r="BF487" t="str">
        <f t="shared" si="229"/>
        <v>A</v>
      </c>
      <c r="BG487" t="str">
        <f t="shared" ref="BG487:BH490" si="247">"0,00"</f>
        <v>0,00</v>
      </c>
      <c r="BH487" t="str">
        <f t="shared" si="247"/>
        <v>0,00</v>
      </c>
      <c r="BI487" t="str">
        <f t="shared" si="238"/>
        <v>EVENTUAL</v>
      </c>
      <c r="BJ487" t="str">
        <f t="shared" si="230"/>
        <v>1</v>
      </c>
      <c r="BK487" t="str">
        <f t="shared" si="231"/>
        <v>Farmacia</v>
      </c>
      <c r="BL487" t="str">
        <f>""</f>
        <v/>
      </c>
      <c r="BM487" t="str">
        <f>"CREDENCIADO VARILUX"</f>
        <v>CREDENCIADO VARILUX</v>
      </c>
      <c r="BN487" t="str">
        <f>"NA"</f>
        <v>NA</v>
      </c>
      <c r="BO487" t="str">
        <f>"FOCO KODAK 2"</f>
        <v>FOCO KODAK 2</v>
      </c>
      <c r="BP487" t="str">
        <f>""</f>
        <v/>
      </c>
      <c r="BQ487" t="str">
        <f>""</f>
        <v/>
      </c>
      <c r="BR487" t="str">
        <f>"07/10/2020"</f>
        <v>07/10/2020</v>
      </c>
      <c r="BS487" t="str">
        <f>""</f>
        <v/>
      </c>
      <c r="BT487" t="str">
        <f>""</f>
        <v/>
      </c>
      <c r="BU487" t="str">
        <f>""</f>
        <v/>
      </c>
      <c r="BV487" t="str">
        <f>"9"</f>
        <v>9</v>
      </c>
      <c r="BW487" t="str">
        <f>"2"</f>
        <v>2</v>
      </c>
    </row>
    <row r="488" spans="1:75" x14ac:dyDescent="0.35">
      <c r="A488">
        <v>118740</v>
      </c>
      <c r="B488" t="str">
        <f t="shared" si="223"/>
        <v>A</v>
      </c>
      <c r="C488" t="str">
        <f t="shared" si="224"/>
        <v>80</v>
      </c>
      <c r="D488" t="str">
        <f t="shared" si="225"/>
        <v>11121001</v>
      </c>
      <c r="E488" t="str">
        <f t="shared" si="226"/>
        <v>121001</v>
      </c>
      <c r="F488" t="str">
        <f t="shared" si="227"/>
        <v>JENIFER SANTOS</v>
      </c>
      <c r="G488" t="str">
        <f>"05624146000202"</f>
        <v>05624146000202</v>
      </c>
      <c r="H488" t="str">
        <f>""</f>
        <v/>
      </c>
      <c r="I488" t="str">
        <f t="shared" si="228"/>
        <v>CONTA OPTICA</v>
      </c>
      <c r="J488" t="str">
        <f>"VIVA COMERCIO LTDA ME"</f>
        <v>VIVA COMERCIO LTDA ME</v>
      </c>
      <c r="K488" t="str">
        <f>"VIVA COMERCIO LTDA ME (905)"</f>
        <v>VIVA COMERCIO LTDA ME (905)</v>
      </c>
      <c r="L488" t="str">
        <f>""</f>
        <v/>
      </c>
      <c r="M488" t="str">
        <f>""</f>
        <v/>
      </c>
      <c r="N488" t="str">
        <f>"vivaotica@terra.com.br"</f>
        <v>vivaotica@terra.com.br</v>
      </c>
      <c r="O488" t="str">
        <f>""</f>
        <v/>
      </c>
      <c r="P488" t="str">
        <f>"AVENIDA ANGELO RUBINI"</f>
        <v>AVENIDA ANGELO RUBINI</v>
      </c>
      <c r="Q488" t="str">
        <f>"1005"</f>
        <v>1005</v>
      </c>
      <c r="R488" t="str">
        <f>"SALA 02"</f>
        <v>SALA 02</v>
      </c>
      <c r="S488" t="str">
        <f>"1280"</f>
        <v>1280</v>
      </c>
      <c r="T488" t="str">
        <f>"89260155"</f>
        <v>89260155</v>
      </c>
      <c r="U488" t="str">
        <f>"BARRA DO RIO CERRO"</f>
        <v>BARRA DO RIO CERRO</v>
      </c>
      <c r="V488" t="str">
        <f>"JARAGUÁ DO SUL"</f>
        <v>JARAGUÁ DO SUL</v>
      </c>
      <c r="W488" t="str">
        <f t="shared" si="243"/>
        <v>SC</v>
      </c>
      <c r="X488" t="str">
        <f t="shared" si="244"/>
        <v>47</v>
      </c>
      <c r="Y488" t="str">
        <f>"30552011"</f>
        <v>30552011</v>
      </c>
      <c r="Z488" t="str">
        <f>""</f>
        <v/>
      </c>
      <c r="AA488" t="str">
        <f>""</f>
        <v/>
      </c>
      <c r="AB488" t="str">
        <f>""</f>
        <v/>
      </c>
      <c r="AC488" t="str">
        <f>""</f>
        <v/>
      </c>
      <c r="AD488" t="str">
        <f>""</f>
        <v/>
      </c>
      <c r="AE488" t="str">
        <f>""</f>
        <v/>
      </c>
      <c r="AF488" t="str">
        <f>""</f>
        <v/>
      </c>
      <c r="AG488" t="str">
        <f>""</f>
        <v/>
      </c>
      <c r="AH488" t="str">
        <f>""</f>
        <v/>
      </c>
      <c r="AI488" t="str">
        <f>""</f>
        <v/>
      </c>
      <c r="AJ488" t="str">
        <f t="shared" si="246"/>
        <v>0</v>
      </c>
      <c r="AK488" t="str">
        <f t="shared" si="246"/>
        <v>0</v>
      </c>
      <c r="AL488" t="str">
        <f t="shared" si="246"/>
        <v>0</v>
      </c>
      <c r="AM488" t="str">
        <f>""</f>
        <v/>
      </c>
      <c r="AN488" t="str">
        <f>""</f>
        <v/>
      </c>
      <c r="AO488" t="str">
        <f>""</f>
        <v/>
      </c>
      <c r="AP488" t="str">
        <f>""</f>
        <v/>
      </c>
      <c r="AQ488" t="str">
        <f>""</f>
        <v/>
      </c>
      <c r="AR488" t="str">
        <f>""</f>
        <v/>
      </c>
      <c r="AS488" t="str">
        <f>""</f>
        <v/>
      </c>
      <c r="AT488" t="str">
        <f>""</f>
        <v/>
      </c>
      <c r="AU488" t="str">
        <f>""</f>
        <v/>
      </c>
      <c r="AV488" t="str">
        <f>""</f>
        <v/>
      </c>
      <c r="AW488" t="str">
        <f>""</f>
        <v/>
      </c>
      <c r="AX488" t="str">
        <f>""</f>
        <v/>
      </c>
      <c r="AY488" t="str">
        <f>""</f>
        <v/>
      </c>
      <c r="AZ488" t="str">
        <f>""</f>
        <v/>
      </c>
      <c r="BA488" t="str">
        <f>""</f>
        <v/>
      </c>
      <c r="BB488" t="str">
        <f>""</f>
        <v/>
      </c>
      <c r="BC488" t="str">
        <f>""</f>
        <v/>
      </c>
      <c r="BD488" t="str">
        <f>""</f>
        <v/>
      </c>
      <c r="BE488" t="str">
        <f>""</f>
        <v/>
      </c>
      <c r="BF488" t="str">
        <f t="shared" si="229"/>
        <v>A</v>
      </c>
      <c r="BG488" t="str">
        <f t="shared" si="247"/>
        <v>0,00</v>
      </c>
      <c r="BH488" t="str">
        <f t="shared" si="247"/>
        <v>0,00</v>
      </c>
      <c r="BI488" t="str">
        <f t="shared" si="238"/>
        <v>EVENTUAL</v>
      </c>
      <c r="BJ488" t="str">
        <f t="shared" si="230"/>
        <v>1</v>
      </c>
      <c r="BK488" t="str">
        <f t="shared" si="231"/>
        <v>Farmacia</v>
      </c>
      <c r="BL488" t="str">
        <f>""</f>
        <v/>
      </c>
      <c r="BM488" t="str">
        <f>"VARILUX ESPECIALISTA PLATINE"</f>
        <v>VARILUX ESPECIALISTA PLATINE</v>
      </c>
      <c r="BN488" t="str">
        <f>"NA"</f>
        <v>NA</v>
      </c>
      <c r="BO488" t="str">
        <f>"FOCO VARILUX DIGITAL"</f>
        <v>FOCO VARILUX DIGITAL</v>
      </c>
      <c r="BP488" t="str">
        <f>""</f>
        <v/>
      </c>
      <c r="BQ488" t="str">
        <f>""</f>
        <v/>
      </c>
      <c r="BR488" t="str">
        <f>""</f>
        <v/>
      </c>
      <c r="BS488" t="str">
        <f>""</f>
        <v/>
      </c>
      <c r="BT488" t="str">
        <f>""</f>
        <v/>
      </c>
      <c r="BU488" t="str">
        <f>""</f>
        <v/>
      </c>
      <c r="BV488" t="str">
        <f>"7"</f>
        <v>7</v>
      </c>
      <c r="BW488" t="str">
        <f>"2"</f>
        <v>2</v>
      </c>
    </row>
    <row r="489" spans="1:75" x14ac:dyDescent="0.35">
      <c r="A489">
        <v>1278</v>
      </c>
      <c r="B489" t="str">
        <f t="shared" si="223"/>
        <v>A</v>
      </c>
      <c r="C489" t="str">
        <f t="shared" si="224"/>
        <v>80</v>
      </c>
      <c r="D489" t="str">
        <f t="shared" si="225"/>
        <v>11121001</v>
      </c>
      <c r="E489" t="str">
        <f t="shared" si="226"/>
        <v>121001</v>
      </c>
      <c r="F489" t="str">
        <f t="shared" si="227"/>
        <v>JENIFER SANTOS</v>
      </c>
      <c r="G489" t="str">
        <f>"05624146000121"</f>
        <v>05624146000121</v>
      </c>
      <c r="H489" t="str">
        <f>""</f>
        <v/>
      </c>
      <c r="I489" t="str">
        <f t="shared" si="228"/>
        <v>CONTA OPTICA</v>
      </c>
      <c r="J489" t="str">
        <f>"VIVA COMERCIO LTDA ME"</f>
        <v>VIVA COMERCIO LTDA ME</v>
      </c>
      <c r="K489" t="str">
        <f>"VIVA COMERCIO LTDA ME (647)"</f>
        <v>VIVA COMERCIO LTDA ME (647)</v>
      </c>
      <c r="L489" t="str">
        <f>""</f>
        <v/>
      </c>
      <c r="M489" t="str">
        <f>""</f>
        <v/>
      </c>
      <c r="N489" t="str">
        <f>"viva@vivaotica.com"</f>
        <v>viva@vivaotica.com</v>
      </c>
      <c r="O489" t="str">
        <f>""</f>
        <v/>
      </c>
      <c r="P489" t="str">
        <f>"AVENIDA GETULIO VARGAS"</f>
        <v>AVENIDA GETULIO VARGAS</v>
      </c>
      <c r="Q489" t="str">
        <f>"158"</f>
        <v>158</v>
      </c>
      <c r="R489" t="str">
        <f>"SALA 04"</f>
        <v>SALA 04</v>
      </c>
      <c r="S489" t="str">
        <f>"1280"</f>
        <v>1280</v>
      </c>
      <c r="T489" t="str">
        <f>"89251000"</f>
        <v>89251000</v>
      </c>
      <c r="U489" t="str">
        <f>"CENTRO"</f>
        <v>CENTRO</v>
      </c>
      <c r="V489" t="str">
        <f>"JARAGUÁ DO SUL"</f>
        <v>JARAGUÁ DO SUL</v>
      </c>
      <c r="W489" t="str">
        <f t="shared" si="243"/>
        <v>SC</v>
      </c>
      <c r="X489" t="str">
        <f t="shared" si="244"/>
        <v>47</v>
      </c>
      <c r="Y489" t="str">
        <f>"30552010"</f>
        <v>30552010</v>
      </c>
      <c r="Z489" t="str">
        <f>""</f>
        <v/>
      </c>
      <c r="AA489" t="str">
        <f>""</f>
        <v/>
      </c>
      <c r="AB489" t="str">
        <f>""</f>
        <v/>
      </c>
      <c r="AC489" t="str">
        <f>""</f>
        <v/>
      </c>
      <c r="AD489" t="str">
        <f>""</f>
        <v/>
      </c>
      <c r="AE489" t="str">
        <f>""</f>
        <v/>
      </c>
      <c r="AF489" t="str">
        <f>""</f>
        <v/>
      </c>
      <c r="AG489" t="str">
        <f>"S"</f>
        <v>S</v>
      </c>
      <c r="AH489" t="str">
        <f>""</f>
        <v/>
      </c>
      <c r="AI489" t="str">
        <f>""</f>
        <v/>
      </c>
      <c r="AJ489" t="str">
        <f t="shared" si="246"/>
        <v>0</v>
      </c>
      <c r="AK489" t="str">
        <f t="shared" si="246"/>
        <v>0</v>
      </c>
      <c r="AL489" t="str">
        <f t="shared" si="246"/>
        <v>0</v>
      </c>
      <c r="AM489" t="str">
        <f>""</f>
        <v/>
      </c>
      <c r="AN489" t="str">
        <f>""</f>
        <v/>
      </c>
      <c r="AO489" t="str">
        <f>""</f>
        <v/>
      </c>
      <c r="AP489" t="str">
        <f>""</f>
        <v/>
      </c>
      <c r="AQ489" t="str">
        <f>"N"</f>
        <v>N</v>
      </c>
      <c r="AR489" t="str">
        <f>"N"</f>
        <v>N</v>
      </c>
      <c r="AS489" t="str">
        <f>"N"</f>
        <v>N</v>
      </c>
      <c r="AT489" t="str">
        <f>"N"</f>
        <v>N</v>
      </c>
      <c r="AU489" t="str">
        <f>"N"</f>
        <v>N</v>
      </c>
      <c r="AV489" t="str">
        <f>""</f>
        <v/>
      </c>
      <c r="AW489" t="str">
        <f>""</f>
        <v/>
      </c>
      <c r="AX489" t="str">
        <f>""</f>
        <v/>
      </c>
      <c r="AY489" t="str">
        <f>""</f>
        <v/>
      </c>
      <c r="AZ489" t="str">
        <f>""</f>
        <v/>
      </c>
      <c r="BA489" t="str">
        <f>""</f>
        <v/>
      </c>
      <c r="BB489" t="str">
        <f>"27/07/2018 09:26:12"</f>
        <v>27/07/2018 09:26:12</v>
      </c>
      <c r="BC489" t="str">
        <f>""</f>
        <v/>
      </c>
      <c r="BD489" t="str">
        <f>""</f>
        <v/>
      </c>
      <c r="BE489" t="str">
        <f>"1278"</f>
        <v>1278</v>
      </c>
      <c r="BF489" t="str">
        <f t="shared" si="229"/>
        <v>A</v>
      </c>
      <c r="BG489" t="str">
        <f t="shared" si="247"/>
        <v>0,00</v>
      </c>
      <c r="BH489" t="str">
        <f t="shared" si="247"/>
        <v>0,00</v>
      </c>
      <c r="BI489" t="str">
        <f t="shared" si="238"/>
        <v>EVENTUAL</v>
      </c>
      <c r="BJ489" t="str">
        <f t="shared" si="230"/>
        <v>1</v>
      </c>
      <c r="BK489" t="str">
        <f t="shared" si="231"/>
        <v>Farmacia</v>
      </c>
      <c r="BL489" t="str">
        <f>""</f>
        <v/>
      </c>
      <c r="BM489" t="str">
        <f>"NÃO É VARILUX ESPECIALISTA"</f>
        <v>NÃO É VARILUX ESPECIALISTA</v>
      </c>
      <c r="BN489" t="str">
        <f>"NA"</f>
        <v>NA</v>
      </c>
      <c r="BO489" t="str">
        <f>"FOCO VARILUX DIGITAL"</f>
        <v>FOCO VARILUX DIGITAL</v>
      </c>
      <c r="BP489" t="str">
        <f>""</f>
        <v/>
      </c>
      <c r="BQ489" t="str">
        <f>""</f>
        <v/>
      </c>
      <c r="BR489" t="str">
        <f>"27/07/2018"</f>
        <v>27/07/2018</v>
      </c>
      <c r="BS489" t="str">
        <f>""</f>
        <v/>
      </c>
      <c r="BT489" t="str">
        <f>""</f>
        <v/>
      </c>
      <c r="BU489" t="str">
        <f>""</f>
        <v/>
      </c>
      <c r="BV489" t="str">
        <f>"5"</f>
        <v>5</v>
      </c>
      <c r="BW489" t="str">
        <f>"2"</f>
        <v>2</v>
      </c>
    </row>
    <row r="490" spans="1:75" x14ac:dyDescent="0.35">
      <c r="A490">
        <v>1281</v>
      </c>
      <c r="B490" t="str">
        <f t="shared" si="223"/>
        <v>A</v>
      </c>
      <c r="C490" t="str">
        <f t="shared" si="224"/>
        <v>80</v>
      </c>
      <c r="D490" t="str">
        <f t="shared" si="225"/>
        <v>11121001</v>
      </c>
      <c r="E490" t="str">
        <f t="shared" si="226"/>
        <v>121001</v>
      </c>
      <c r="F490" t="str">
        <f t="shared" si="227"/>
        <v>JENIFER SANTOS</v>
      </c>
      <c r="G490" t="str">
        <f>"05624146000474"</f>
        <v>05624146000474</v>
      </c>
      <c r="H490" t="str">
        <f>""</f>
        <v/>
      </c>
      <c r="I490" t="str">
        <f t="shared" si="228"/>
        <v>CONTA OPTICA</v>
      </c>
      <c r="J490" t="str">
        <f>"VIVA COMERCIO LTDA ME"</f>
        <v>VIVA COMERCIO LTDA ME</v>
      </c>
      <c r="K490" t="str">
        <f>"VIVA COMERCIO LTDA ME (2148)"</f>
        <v>VIVA COMERCIO LTDA ME (2148)</v>
      </c>
      <c r="L490" t="str">
        <f>""</f>
        <v/>
      </c>
      <c r="M490" t="str">
        <f>""</f>
        <v/>
      </c>
      <c r="N490" t="str">
        <f>"vivaotica@terra.com.br"</f>
        <v>vivaotica@terra.com.br</v>
      </c>
      <c r="O490" t="str">
        <f>""</f>
        <v/>
      </c>
      <c r="P490" t="str">
        <f>"AVENIDA MARECHAL DEODORO DA FONSECA"</f>
        <v>AVENIDA MARECHAL DEODORO DA FONSECA</v>
      </c>
      <c r="Q490" t="str">
        <f>"141"</f>
        <v>141</v>
      </c>
      <c r="R490" t="str">
        <f>"SALA 02"</f>
        <v>SALA 02</v>
      </c>
      <c r="S490" t="str">
        <f>"1280"</f>
        <v>1280</v>
      </c>
      <c r="T490" t="str">
        <f>"89251701"</f>
        <v>89251701</v>
      </c>
      <c r="U490" t="str">
        <f>"CENTRO"</f>
        <v>CENTRO</v>
      </c>
      <c r="V490" t="str">
        <f>"JARAGUÁ DO SUL"</f>
        <v>JARAGUÁ DO SUL</v>
      </c>
      <c r="W490" t="str">
        <f t="shared" si="243"/>
        <v>SC</v>
      </c>
      <c r="X490" t="str">
        <f t="shared" si="244"/>
        <v>47</v>
      </c>
      <c r="Y490" t="str">
        <f>"30541212"</f>
        <v>30541212</v>
      </c>
      <c r="Z490" t="str">
        <f>""</f>
        <v/>
      </c>
      <c r="AA490" t="str">
        <f>""</f>
        <v/>
      </c>
      <c r="AB490" t="str">
        <f>""</f>
        <v/>
      </c>
      <c r="AC490" t="str">
        <f>""</f>
        <v/>
      </c>
      <c r="AD490" t="str">
        <f>""</f>
        <v/>
      </c>
      <c r="AE490" t="str">
        <f>""</f>
        <v/>
      </c>
      <c r="AF490" t="str">
        <f>""</f>
        <v/>
      </c>
      <c r="AG490" t="str">
        <f>""</f>
        <v/>
      </c>
      <c r="AH490" t="str">
        <f>""</f>
        <v/>
      </c>
      <c r="AI490" t="str">
        <f>""</f>
        <v/>
      </c>
      <c r="AJ490" t="str">
        <f t="shared" si="246"/>
        <v>0</v>
      </c>
      <c r="AK490" t="str">
        <f t="shared" si="246"/>
        <v>0</v>
      </c>
      <c r="AL490" t="str">
        <f t="shared" si="246"/>
        <v>0</v>
      </c>
      <c r="AM490" t="str">
        <f>""</f>
        <v/>
      </c>
      <c r="AN490" t="str">
        <f>""</f>
        <v/>
      </c>
      <c r="AO490" t="str">
        <f>""</f>
        <v/>
      </c>
      <c r="AP490" t="str">
        <f>""</f>
        <v/>
      </c>
      <c r="AQ490" t="str">
        <f>""</f>
        <v/>
      </c>
      <c r="AR490" t="str">
        <f>""</f>
        <v/>
      </c>
      <c r="AS490" t="str">
        <f>""</f>
        <v/>
      </c>
      <c r="AT490" t="str">
        <f>""</f>
        <v/>
      </c>
      <c r="AU490" t="str">
        <f>""</f>
        <v/>
      </c>
      <c r="AV490" t="str">
        <f>""</f>
        <v/>
      </c>
      <c r="AW490" t="str">
        <f>""</f>
        <v/>
      </c>
      <c r="AX490" t="str">
        <f>""</f>
        <v/>
      </c>
      <c r="AY490" t="str">
        <f>""</f>
        <v/>
      </c>
      <c r="AZ490" t="str">
        <f>""</f>
        <v/>
      </c>
      <c r="BA490" t="str">
        <f>""</f>
        <v/>
      </c>
      <c r="BB490" t="str">
        <f>"27/07/2018 09:26:13"</f>
        <v>27/07/2018 09:26:13</v>
      </c>
      <c r="BC490" t="str">
        <f>""</f>
        <v/>
      </c>
      <c r="BD490" t="str">
        <f>""</f>
        <v/>
      </c>
      <c r="BE490" t="str">
        <f>"1281"</f>
        <v>1281</v>
      </c>
      <c r="BF490" t="str">
        <f t="shared" si="229"/>
        <v>A</v>
      </c>
      <c r="BG490" t="str">
        <f t="shared" si="247"/>
        <v>0,00</v>
      </c>
      <c r="BH490" t="str">
        <f t="shared" si="247"/>
        <v>0,00</v>
      </c>
      <c r="BI490" t="str">
        <f t="shared" si="238"/>
        <v>EVENTUAL</v>
      </c>
      <c r="BJ490" t="str">
        <f t="shared" si="230"/>
        <v>1</v>
      </c>
      <c r="BK490" t="str">
        <f t="shared" si="231"/>
        <v>Farmacia</v>
      </c>
      <c r="BL490" t="str">
        <f>""</f>
        <v/>
      </c>
      <c r="BM490" t="str">
        <f>"NÃO É VARILUX ESPECIALISTA"</f>
        <v>NÃO É VARILUX ESPECIALISTA</v>
      </c>
      <c r="BN490" t="str">
        <f>"NA"</f>
        <v>NA</v>
      </c>
      <c r="BO490" t="str">
        <f>"FOCO VARILUX DIGITAL"</f>
        <v>FOCO VARILUX DIGITAL</v>
      </c>
      <c r="BP490" t="str">
        <f>""</f>
        <v/>
      </c>
      <c r="BQ490" t="str">
        <f>""</f>
        <v/>
      </c>
      <c r="BR490" t="str">
        <f>"27/07/2018"</f>
        <v>27/07/2018</v>
      </c>
      <c r="BS490" t="str">
        <f>""</f>
        <v/>
      </c>
      <c r="BT490" t="str">
        <f>""</f>
        <v/>
      </c>
      <c r="BU490" t="str">
        <f>""</f>
        <v/>
      </c>
      <c r="BV490" t="str">
        <f>"3"</f>
        <v>3</v>
      </c>
      <c r="BW490" t="str">
        <f>"2"</f>
        <v>2</v>
      </c>
    </row>
    <row r="491" spans="1:75" x14ac:dyDescent="0.35">
      <c r="A491">
        <v>152737</v>
      </c>
      <c r="B491" t="str">
        <f t="shared" si="223"/>
        <v>A</v>
      </c>
      <c r="C491" t="str">
        <f t="shared" si="224"/>
        <v>80</v>
      </c>
      <c r="D491" t="str">
        <f t="shared" si="225"/>
        <v>11121001</v>
      </c>
      <c r="E491" t="str">
        <f t="shared" si="226"/>
        <v>121001</v>
      </c>
      <c r="F491" t="str">
        <f t="shared" si="227"/>
        <v>JENIFER SANTOS</v>
      </c>
      <c r="G491" t="str">
        <f>"15685891000134"</f>
        <v>15685891000134</v>
      </c>
      <c r="H491" t="str">
        <f>"0"</f>
        <v>0</v>
      </c>
      <c r="I491" t="str">
        <f t="shared" si="228"/>
        <v>CONTA OPTICA</v>
      </c>
      <c r="J491" t="str">
        <f>"VOIGT PRODUTOS OPTICOS LTDA"</f>
        <v>VOIGT PRODUTOS OPTICOS LTDA</v>
      </c>
      <c r="K491" t="str">
        <f>"OTICA VOSS"</f>
        <v>OTICA VOSS</v>
      </c>
      <c r="L491" t="str">
        <f>""</f>
        <v/>
      </c>
      <c r="M491" t="str">
        <f>""</f>
        <v/>
      </c>
      <c r="N491" t="str">
        <f>"oticavoss@gmail.com"</f>
        <v>oticavoss@gmail.com</v>
      </c>
      <c r="O491" t="str">
        <f>""</f>
        <v/>
      </c>
      <c r="P491" t="str">
        <f>"RUA QUINZE DE NOVEMBRO"</f>
        <v>RUA QUINZE DE NOVEMBRO</v>
      </c>
      <c r="Q491" t="str">
        <f>"7273"</f>
        <v>7273</v>
      </c>
      <c r="R491" t="str">
        <f>"SALA 1"</f>
        <v>SALA 1</v>
      </c>
      <c r="S491" t="str">
        <f>""</f>
        <v/>
      </c>
      <c r="T491" t="str">
        <f>"89237003"</f>
        <v>89237003</v>
      </c>
      <c r="U491" t="str">
        <f>"VILA NOVA"</f>
        <v>VILA NOVA</v>
      </c>
      <c r="V491" t="str">
        <f>"JOINVILLE"</f>
        <v>JOINVILLE</v>
      </c>
      <c r="W491" t="str">
        <f t="shared" si="243"/>
        <v>SC</v>
      </c>
      <c r="X491" t="str">
        <f>""</f>
        <v/>
      </c>
      <c r="Y491" t="str">
        <f>""</f>
        <v/>
      </c>
      <c r="Z491" t="str">
        <f>""</f>
        <v/>
      </c>
      <c r="AA491" t="str">
        <f>""</f>
        <v/>
      </c>
      <c r="AB491" t="str">
        <f>""</f>
        <v/>
      </c>
      <c r="AC491" t="str">
        <f>""</f>
        <v/>
      </c>
      <c r="AD491" t="str">
        <f>""</f>
        <v/>
      </c>
      <c r="AE491" t="str">
        <f>""</f>
        <v/>
      </c>
      <c r="AF491" t="str">
        <f>""</f>
        <v/>
      </c>
      <c r="AG491" t="str">
        <f>""</f>
        <v/>
      </c>
      <c r="AH491" t="str">
        <f>""</f>
        <v/>
      </c>
      <c r="AI491" t="str">
        <f>""</f>
        <v/>
      </c>
      <c r="AJ491" t="str">
        <f>""</f>
        <v/>
      </c>
      <c r="AK491" t="str">
        <f>""</f>
        <v/>
      </c>
      <c r="AL491" t="str">
        <f>""</f>
        <v/>
      </c>
      <c r="AM491" t="str">
        <f>""</f>
        <v/>
      </c>
      <c r="AN491" t="str">
        <f>""</f>
        <v/>
      </c>
      <c r="AO491" t="str">
        <f>""</f>
        <v/>
      </c>
      <c r="AP491" t="str">
        <f>""</f>
        <v/>
      </c>
      <c r="AQ491" t="str">
        <f>""</f>
        <v/>
      </c>
      <c r="AR491" t="str">
        <f>""</f>
        <v/>
      </c>
      <c r="AS491" t="str">
        <f>""</f>
        <v/>
      </c>
      <c r="AT491" t="str">
        <f>""</f>
        <v/>
      </c>
      <c r="AU491" t="str">
        <f>""</f>
        <v/>
      </c>
      <c r="AV491" t="str">
        <f>""</f>
        <v/>
      </c>
      <c r="AW491" t="str">
        <f>""</f>
        <v/>
      </c>
      <c r="AX491" t="str">
        <f>""</f>
        <v/>
      </c>
      <c r="AY491" t="str">
        <f>""</f>
        <v/>
      </c>
      <c r="AZ491" t="str">
        <f>""</f>
        <v/>
      </c>
      <c r="BA491" t="str">
        <f>""</f>
        <v/>
      </c>
      <c r="BB491" t="str">
        <f>"03/04/2023 13:34:29"</f>
        <v>03/04/2023 13:34:29</v>
      </c>
      <c r="BC491" t="str">
        <f>""</f>
        <v/>
      </c>
      <c r="BD491" t="str">
        <f>""</f>
        <v/>
      </c>
      <c r="BE491" t="str">
        <f>""</f>
        <v/>
      </c>
      <c r="BF491" t="str">
        <f t="shared" si="229"/>
        <v>A</v>
      </c>
      <c r="BG491" t="str">
        <f>""</f>
        <v/>
      </c>
      <c r="BH491" t="str">
        <f>""</f>
        <v/>
      </c>
      <c r="BI491" t="str">
        <f t="shared" si="238"/>
        <v>EVENTUAL</v>
      </c>
      <c r="BJ491" t="str">
        <f t="shared" si="230"/>
        <v>1</v>
      </c>
      <c r="BK491" t="str">
        <f t="shared" si="231"/>
        <v>Farmacia</v>
      </c>
      <c r="BL491" t="str">
        <f>""</f>
        <v/>
      </c>
      <c r="BM491" t="str">
        <f>""</f>
        <v/>
      </c>
      <c r="BN491" t="str">
        <f>""</f>
        <v/>
      </c>
      <c r="BO491" t="str">
        <f>""</f>
        <v/>
      </c>
      <c r="BP491" t="str">
        <f>""</f>
        <v/>
      </c>
      <c r="BQ491" t="str">
        <f>""</f>
        <v/>
      </c>
      <c r="BR491" t="str">
        <f>"03/04/2023"</f>
        <v>03/04/2023</v>
      </c>
      <c r="BS491" t="str">
        <f>""</f>
        <v/>
      </c>
      <c r="BT491" t="str">
        <f>""</f>
        <v/>
      </c>
      <c r="BU491" t="str">
        <f>""</f>
        <v/>
      </c>
      <c r="BV491" t="str">
        <f>""</f>
        <v/>
      </c>
      <c r="BW491" t="str">
        <f>"2"</f>
        <v>2</v>
      </c>
    </row>
    <row r="492" spans="1:75" x14ac:dyDescent="0.35">
      <c r="A492">
        <v>152722</v>
      </c>
      <c r="B492" t="str">
        <f t="shared" si="223"/>
        <v>A</v>
      </c>
      <c r="C492" t="str">
        <f t="shared" si="224"/>
        <v>80</v>
      </c>
      <c r="D492" t="str">
        <f t="shared" si="225"/>
        <v>11121001</v>
      </c>
      <c r="E492" t="str">
        <f t="shared" si="226"/>
        <v>121001</v>
      </c>
      <c r="F492" t="str">
        <f t="shared" si="227"/>
        <v>JENIFER SANTOS</v>
      </c>
      <c r="G492" t="str">
        <f>"46201048000169"</f>
        <v>46201048000169</v>
      </c>
      <c r="H492" t="str">
        <f>"0"</f>
        <v>0</v>
      </c>
      <c r="I492" t="str">
        <f t="shared" si="228"/>
        <v>CONTA OPTICA</v>
      </c>
      <c r="J492" t="str">
        <f>"VS OTICAS E ACESSORIOS LTDA"</f>
        <v>VS OTICAS E ACESSORIOS LTDA</v>
      </c>
      <c r="K492" t="str">
        <f>"OTICAS RECRIS"</f>
        <v>OTICAS RECRIS</v>
      </c>
      <c r="L492" t="str">
        <f>""</f>
        <v/>
      </c>
      <c r="M492" t="str">
        <f>""</f>
        <v/>
      </c>
      <c r="N492" t="str">
        <f>"xaximadm@oticarecris.com"</f>
        <v>xaximadm@oticarecris.com</v>
      </c>
      <c r="O492" t="str">
        <f>""</f>
        <v/>
      </c>
      <c r="P492" t="str">
        <f>"RUA PLINIO ARLINDO DE NES"</f>
        <v>RUA PLINIO ARLINDO DE NES</v>
      </c>
      <c r="Q492" t="str">
        <f>"833"</f>
        <v>833</v>
      </c>
      <c r="R492" t="str">
        <f>"SALA 02"</f>
        <v>SALA 02</v>
      </c>
      <c r="S492" t="str">
        <f>"1288"</f>
        <v>1288</v>
      </c>
      <c r="T492" t="str">
        <f>"89825000"</f>
        <v>89825000</v>
      </c>
      <c r="U492" t="str">
        <f t="shared" ref="U492:U497" si="248">"CENTRO"</f>
        <v>CENTRO</v>
      </c>
      <c r="V492" t="str">
        <f>"XAXIM"</f>
        <v>XAXIM</v>
      </c>
      <c r="W492" t="str">
        <f t="shared" si="243"/>
        <v>SC</v>
      </c>
      <c r="X492" t="str">
        <f>""</f>
        <v/>
      </c>
      <c r="Y492" t="str">
        <f>""</f>
        <v/>
      </c>
      <c r="Z492" t="str">
        <f>""</f>
        <v/>
      </c>
      <c r="AA492" t="str">
        <f>""</f>
        <v/>
      </c>
      <c r="AB492" t="str">
        <f>""</f>
        <v/>
      </c>
      <c r="AC492" t="str">
        <f>""</f>
        <v/>
      </c>
      <c r="AD492" t="str">
        <f>""</f>
        <v/>
      </c>
      <c r="AE492" t="str">
        <f>""</f>
        <v/>
      </c>
      <c r="AF492" t="str">
        <f>""</f>
        <v/>
      </c>
      <c r="AG492" t="str">
        <f>""</f>
        <v/>
      </c>
      <c r="AH492" t="str">
        <f>""</f>
        <v/>
      </c>
      <c r="AI492" t="str">
        <f>""</f>
        <v/>
      </c>
      <c r="AJ492" t="str">
        <f>""</f>
        <v/>
      </c>
      <c r="AK492" t="str">
        <f>""</f>
        <v/>
      </c>
      <c r="AL492" t="str">
        <f>""</f>
        <v/>
      </c>
      <c r="AM492" t="str">
        <f>""</f>
        <v/>
      </c>
      <c r="AN492" t="str">
        <f>""</f>
        <v/>
      </c>
      <c r="AO492" t="str">
        <f>""</f>
        <v/>
      </c>
      <c r="AP492" t="str">
        <f>""</f>
        <v/>
      </c>
      <c r="AQ492" t="str">
        <f>""</f>
        <v/>
      </c>
      <c r="AR492" t="str">
        <f>""</f>
        <v/>
      </c>
      <c r="AS492" t="str">
        <f>""</f>
        <v/>
      </c>
      <c r="AT492" t="str">
        <f>""</f>
        <v/>
      </c>
      <c r="AU492" t="str">
        <f>""</f>
        <v/>
      </c>
      <c r="AV492" t="str">
        <f>""</f>
        <v/>
      </c>
      <c r="AW492" t="str">
        <f>""</f>
        <v/>
      </c>
      <c r="AX492" t="str">
        <f>""</f>
        <v/>
      </c>
      <c r="AY492" t="str">
        <f>""</f>
        <v/>
      </c>
      <c r="AZ492" t="str">
        <f>""</f>
        <v/>
      </c>
      <c r="BA492" t="str">
        <f>""</f>
        <v/>
      </c>
      <c r="BB492" t="str">
        <f>"03/04/2023 13:34:29"</f>
        <v>03/04/2023 13:34:29</v>
      </c>
      <c r="BC492" t="str">
        <f>""</f>
        <v/>
      </c>
      <c r="BD492" t="str">
        <f>""</f>
        <v/>
      </c>
      <c r="BE492" t="str">
        <f>""</f>
        <v/>
      </c>
      <c r="BF492" t="str">
        <f t="shared" si="229"/>
        <v>A</v>
      </c>
      <c r="BG492" t="str">
        <f>""</f>
        <v/>
      </c>
      <c r="BH492" t="str">
        <f>""</f>
        <v/>
      </c>
      <c r="BI492" t="str">
        <f t="shared" si="238"/>
        <v>EVENTUAL</v>
      </c>
      <c r="BJ492" t="str">
        <f t="shared" si="230"/>
        <v>1</v>
      </c>
      <c r="BK492" t="str">
        <f t="shared" si="231"/>
        <v>Farmacia</v>
      </c>
      <c r="BL492" t="str">
        <f>""</f>
        <v/>
      </c>
      <c r="BM492" t="str">
        <f>""</f>
        <v/>
      </c>
      <c r="BN492" t="str">
        <f>""</f>
        <v/>
      </c>
      <c r="BO492" t="str">
        <f>""</f>
        <v/>
      </c>
      <c r="BP492" t="str">
        <f>""</f>
        <v/>
      </c>
      <c r="BQ492" t="str">
        <f>""</f>
        <v/>
      </c>
      <c r="BR492" t="str">
        <f>"03/04/2023"</f>
        <v>03/04/2023</v>
      </c>
      <c r="BS492" t="str">
        <f>""</f>
        <v/>
      </c>
      <c r="BT492" t="str">
        <f>""</f>
        <v/>
      </c>
      <c r="BU492" t="str">
        <f>""</f>
        <v/>
      </c>
      <c r="BV492" t="str">
        <f>""</f>
        <v/>
      </c>
      <c r="BW492" t="str">
        <f>"Não visitado"</f>
        <v>Não visitado</v>
      </c>
    </row>
    <row r="493" spans="1:75" x14ac:dyDescent="0.35">
      <c r="A493">
        <v>156719</v>
      </c>
      <c r="B493" t="str">
        <f t="shared" si="223"/>
        <v>A</v>
      </c>
      <c r="C493" t="str">
        <f t="shared" si="224"/>
        <v>80</v>
      </c>
      <c r="D493" t="str">
        <f t="shared" si="225"/>
        <v>11121001</v>
      </c>
      <c r="E493" t="str">
        <f t="shared" si="226"/>
        <v>121001</v>
      </c>
      <c r="F493" t="str">
        <f t="shared" si="227"/>
        <v>JENIFER SANTOS</v>
      </c>
      <c r="G493" t="str">
        <f>"27100175000127"</f>
        <v>27100175000127</v>
      </c>
      <c r="H493" t="str">
        <f>"0"</f>
        <v>0</v>
      </c>
      <c r="I493" t="str">
        <f t="shared" si="228"/>
        <v>CONTA OPTICA</v>
      </c>
      <c r="J493" t="str">
        <f>"WEBER COMERCIO OTICO EIRELI"</f>
        <v>WEBER COMERCIO OTICO EIRELI</v>
      </c>
      <c r="K493" t="str">
        <f>"VISUAL OTICA (4573)"</f>
        <v>VISUAL OTICA (4573)</v>
      </c>
      <c r="L493" t="str">
        <f>""</f>
        <v/>
      </c>
      <c r="M493" t="str">
        <f>""</f>
        <v/>
      </c>
      <c r="N493" t="str">
        <f>"VISUALOTICA.SK@GMAIL.COM"</f>
        <v>VISUALOTICA.SK@GMAIL.COM</v>
      </c>
      <c r="O493" t="str">
        <f>""</f>
        <v/>
      </c>
      <c r="P493" t="str">
        <f>"BRASIL"</f>
        <v>BRASIL</v>
      </c>
      <c r="Q493" t="str">
        <f>"145"</f>
        <v>145</v>
      </c>
      <c r="R493" t="str">
        <f>"SALA 02"</f>
        <v>SALA 02</v>
      </c>
      <c r="S493" t="str">
        <f>""</f>
        <v/>
      </c>
      <c r="T493" t="str">
        <f>"89869000"</f>
        <v>89869000</v>
      </c>
      <c r="U493" t="str">
        <f t="shared" si="248"/>
        <v>CENTRO</v>
      </c>
      <c r="V493" t="str">
        <f>"SAUDADES"</f>
        <v>SAUDADES</v>
      </c>
      <c r="W493" t="str">
        <f t="shared" si="243"/>
        <v>SC</v>
      </c>
      <c r="X493" t="str">
        <f>"49"</f>
        <v>49</v>
      </c>
      <c r="Y493" t="str">
        <f>"988171441"</f>
        <v>988171441</v>
      </c>
      <c r="Z493" t="str">
        <f>""</f>
        <v/>
      </c>
      <c r="AA493" t="str">
        <f>""</f>
        <v/>
      </c>
      <c r="AB493" t="str">
        <f>""</f>
        <v/>
      </c>
      <c r="AC493" t="str">
        <f>""</f>
        <v/>
      </c>
      <c r="AD493" t="str">
        <f>""</f>
        <v/>
      </c>
      <c r="AE493" t="str">
        <f>""</f>
        <v/>
      </c>
      <c r="AF493" t="str">
        <f>""</f>
        <v/>
      </c>
      <c r="AG493" t="str">
        <f>""</f>
        <v/>
      </c>
      <c r="AH493" t="str">
        <f>""</f>
        <v/>
      </c>
      <c r="AI493" t="str">
        <f>""</f>
        <v/>
      </c>
      <c r="AJ493" t="str">
        <f>""</f>
        <v/>
      </c>
      <c r="AK493" t="str">
        <f>""</f>
        <v/>
      </c>
      <c r="AL493" t="str">
        <f>""</f>
        <v/>
      </c>
      <c r="AM493" t="str">
        <f>""</f>
        <v/>
      </c>
      <c r="AN493" t="str">
        <f>""</f>
        <v/>
      </c>
      <c r="AO493" t="str">
        <f>""</f>
        <v/>
      </c>
      <c r="AP493" t="str">
        <f>""</f>
        <v/>
      </c>
      <c r="AQ493" t="str">
        <f>""</f>
        <v/>
      </c>
      <c r="AR493" t="str">
        <f>""</f>
        <v/>
      </c>
      <c r="AS493" t="str">
        <f>""</f>
        <v/>
      </c>
      <c r="AT493" t="str">
        <f>""</f>
        <v/>
      </c>
      <c r="AU493" t="str">
        <f>""</f>
        <v/>
      </c>
      <c r="AV493" t="str">
        <f>""</f>
        <v/>
      </c>
      <c r="AW493" t="str">
        <f>""</f>
        <v/>
      </c>
      <c r="AX493" t="str">
        <f>""</f>
        <v/>
      </c>
      <c r="AY493" t="str">
        <f>""</f>
        <v/>
      </c>
      <c r="AZ493" t="str">
        <f>""</f>
        <v/>
      </c>
      <c r="BA493" t="str">
        <f>""</f>
        <v/>
      </c>
      <c r="BB493" t="str">
        <f>"06/07/2023 12:07:48"</f>
        <v>06/07/2023 12:07:48</v>
      </c>
      <c r="BC493" t="str">
        <f>""</f>
        <v/>
      </c>
      <c r="BD493" t="str">
        <f>""</f>
        <v/>
      </c>
      <c r="BE493" t="str">
        <f>""</f>
        <v/>
      </c>
      <c r="BF493" t="str">
        <f t="shared" si="229"/>
        <v>A</v>
      </c>
      <c r="BG493" t="str">
        <f>""</f>
        <v/>
      </c>
      <c r="BH493" t="str">
        <f>""</f>
        <v/>
      </c>
      <c r="BI493" t="str">
        <f t="shared" si="238"/>
        <v>EVENTUAL</v>
      </c>
      <c r="BJ493" t="str">
        <f t="shared" si="230"/>
        <v>1</v>
      </c>
      <c r="BK493" t="str">
        <f t="shared" si="231"/>
        <v>Farmacia</v>
      </c>
      <c r="BL493" t="str">
        <f>""</f>
        <v/>
      </c>
      <c r="BM493" t="str">
        <f>""</f>
        <v/>
      </c>
      <c r="BN493" t="str">
        <f>""</f>
        <v/>
      </c>
      <c r="BO493" t="str">
        <f>""</f>
        <v/>
      </c>
      <c r="BP493" t="str">
        <f>""</f>
        <v/>
      </c>
      <c r="BQ493" t="str">
        <f>""</f>
        <v/>
      </c>
      <c r="BR493" t="str">
        <f>"06/07/2023"</f>
        <v>06/07/2023</v>
      </c>
      <c r="BS493" t="str">
        <f>""</f>
        <v/>
      </c>
      <c r="BT493" t="str">
        <f>""</f>
        <v/>
      </c>
      <c r="BU493" t="str">
        <f>""</f>
        <v/>
      </c>
      <c r="BV493" t="str">
        <f>""</f>
        <v/>
      </c>
      <c r="BW493" t="str">
        <f>"Não visitado"</f>
        <v>Não visitado</v>
      </c>
    </row>
    <row r="494" spans="1:75" x14ac:dyDescent="0.35">
      <c r="A494">
        <v>118724</v>
      </c>
      <c r="B494" t="str">
        <f t="shared" si="223"/>
        <v>A</v>
      </c>
      <c r="C494" t="str">
        <f t="shared" si="224"/>
        <v>80</v>
      </c>
      <c r="D494" t="str">
        <f t="shared" si="225"/>
        <v>11121001</v>
      </c>
      <c r="E494" t="str">
        <f t="shared" si="226"/>
        <v>121001</v>
      </c>
      <c r="F494" t="str">
        <f t="shared" si="227"/>
        <v>JENIFER SANTOS</v>
      </c>
      <c r="G494" t="str">
        <f>"09477414000180"</f>
        <v>09477414000180</v>
      </c>
      <c r="H494" t="str">
        <f>""</f>
        <v/>
      </c>
      <c r="I494" t="str">
        <f t="shared" si="228"/>
        <v>CONTA OPTICA</v>
      </c>
      <c r="J494" t="str">
        <f>"WILLIAN GROSSKOPF ME"</f>
        <v>WILLIAN GROSSKOPF ME</v>
      </c>
      <c r="K494" t="str">
        <f>"RELOJOARIA E OTICA SOLLAR (1422)"</f>
        <v>RELOJOARIA E OTICA SOLLAR (1422)</v>
      </c>
      <c r="L494" t="str">
        <f>""</f>
        <v/>
      </c>
      <c r="M494" t="str">
        <f>""</f>
        <v/>
      </c>
      <c r="N494" t="str">
        <f>"oticasollar@yahoo.com.br"</f>
        <v>oticasollar@yahoo.com.br</v>
      </c>
      <c r="O494" t="str">
        <f>""</f>
        <v/>
      </c>
      <c r="P494" t="str">
        <f>"RUA JORGE ZIPPERER"</f>
        <v>RUA JORGE ZIPPERER</v>
      </c>
      <c r="Q494" t="str">
        <f>"319"</f>
        <v>319</v>
      </c>
      <c r="R494" t="str">
        <f>""</f>
        <v/>
      </c>
      <c r="S494" t="str">
        <f>"1280"</f>
        <v>1280</v>
      </c>
      <c r="T494" t="str">
        <f>"89295000"</f>
        <v>89295000</v>
      </c>
      <c r="U494" t="str">
        <f t="shared" si="248"/>
        <v>CENTRO</v>
      </c>
      <c r="V494" t="str">
        <f>"RIO NEGRINHO"</f>
        <v>RIO NEGRINHO</v>
      </c>
      <c r="W494" t="str">
        <f t="shared" si="243"/>
        <v>SC</v>
      </c>
      <c r="X494" t="str">
        <f>"47"</f>
        <v>47</v>
      </c>
      <c r="Y494" t="str">
        <f>"36440054"</f>
        <v>36440054</v>
      </c>
      <c r="Z494" t="str">
        <f>""</f>
        <v/>
      </c>
      <c r="AA494" t="str">
        <f>""</f>
        <v/>
      </c>
      <c r="AB494" t="str">
        <f>""</f>
        <v/>
      </c>
      <c r="AC494" t="str">
        <f>""</f>
        <v/>
      </c>
      <c r="AD494" t="str">
        <f>""</f>
        <v/>
      </c>
      <c r="AE494" t="str">
        <f>""</f>
        <v/>
      </c>
      <c r="AF494" t="str">
        <f>""</f>
        <v/>
      </c>
      <c r="AG494" t="str">
        <f>""</f>
        <v/>
      </c>
      <c r="AH494" t="str">
        <f>""</f>
        <v/>
      </c>
      <c r="AI494" t="str">
        <f>""</f>
        <v/>
      </c>
      <c r="AJ494" t="str">
        <f t="shared" ref="AJ494:AL495" si="249">"0"</f>
        <v>0</v>
      </c>
      <c r="AK494" t="str">
        <f t="shared" si="249"/>
        <v>0</v>
      </c>
      <c r="AL494" t="str">
        <f t="shared" si="249"/>
        <v>0</v>
      </c>
      <c r="AM494" t="str">
        <f>""</f>
        <v/>
      </c>
      <c r="AN494" t="str">
        <f>""</f>
        <v/>
      </c>
      <c r="AO494" t="str">
        <f>""</f>
        <v/>
      </c>
      <c r="AP494" t="str">
        <f>""</f>
        <v/>
      </c>
      <c r="AQ494" t="str">
        <f>""</f>
        <v/>
      </c>
      <c r="AR494" t="str">
        <f>""</f>
        <v/>
      </c>
      <c r="AS494" t="str">
        <f>""</f>
        <v/>
      </c>
      <c r="AT494" t="str">
        <f>""</f>
        <v/>
      </c>
      <c r="AU494" t="str">
        <f>""</f>
        <v/>
      </c>
      <c r="AV494" t="str">
        <f>""</f>
        <v/>
      </c>
      <c r="AW494" t="str">
        <f>""</f>
        <v/>
      </c>
      <c r="AX494" t="str">
        <f>""</f>
        <v/>
      </c>
      <c r="AY494" t="str">
        <f>""</f>
        <v/>
      </c>
      <c r="AZ494" t="str">
        <f>""</f>
        <v/>
      </c>
      <c r="BA494" t="str">
        <f>""</f>
        <v/>
      </c>
      <c r="BB494" t="str">
        <f>""</f>
        <v/>
      </c>
      <c r="BC494" t="str">
        <f>""</f>
        <v/>
      </c>
      <c r="BD494" t="str">
        <f>""</f>
        <v/>
      </c>
      <c r="BE494" t="str">
        <f>""</f>
        <v/>
      </c>
      <c r="BF494" t="str">
        <f t="shared" si="229"/>
        <v>A</v>
      </c>
      <c r="BG494" t="str">
        <f>"0,00"</f>
        <v>0,00</v>
      </c>
      <c r="BH494" t="str">
        <f>"0,00"</f>
        <v>0,00</v>
      </c>
      <c r="BI494" t="str">
        <f t="shared" si="238"/>
        <v>EVENTUAL</v>
      </c>
      <c r="BJ494" t="str">
        <f t="shared" si="230"/>
        <v>1</v>
      </c>
      <c r="BK494" t="str">
        <f t="shared" si="231"/>
        <v>Farmacia</v>
      </c>
      <c r="BL494" t="str">
        <f>""</f>
        <v/>
      </c>
      <c r="BM494" t="str">
        <f>"NÃO É VARILUX ESPECIALISTA"</f>
        <v>NÃO É VARILUX ESPECIALISTA</v>
      </c>
      <c r="BN494" t="str">
        <f t="shared" ref="BN494:BN499" si="250">"NA"</f>
        <v>NA</v>
      </c>
      <c r="BO494" t="str">
        <f>"FOCO KODAK 2"</f>
        <v>FOCO KODAK 2</v>
      </c>
      <c r="BP494" t="str">
        <f>""</f>
        <v/>
      </c>
      <c r="BQ494" t="str">
        <f>""</f>
        <v/>
      </c>
      <c r="BR494" t="str">
        <f>""</f>
        <v/>
      </c>
      <c r="BS494" t="str">
        <f>""</f>
        <v/>
      </c>
      <c r="BT494" t="str">
        <f>""</f>
        <v/>
      </c>
      <c r="BU494" t="str">
        <f>""</f>
        <v/>
      </c>
      <c r="BV494" t="str">
        <f>"8"</f>
        <v>8</v>
      </c>
      <c r="BW494" t="str">
        <f>"Não visitado"</f>
        <v>Não visitado</v>
      </c>
    </row>
    <row r="495" spans="1:75" x14ac:dyDescent="0.35">
      <c r="A495">
        <v>120473</v>
      </c>
      <c r="B495" t="str">
        <f t="shared" si="223"/>
        <v>A</v>
      </c>
      <c r="C495" t="str">
        <f t="shared" si="224"/>
        <v>80</v>
      </c>
      <c r="D495" t="str">
        <f t="shared" si="225"/>
        <v>11121001</v>
      </c>
      <c r="E495" t="str">
        <f t="shared" si="226"/>
        <v>121001</v>
      </c>
      <c r="F495" t="str">
        <f t="shared" si="227"/>
        <v>JENIFER SANTOS</v>
      </c>
      <c r="G495" t="str">
        <f>"02421525000126"</f>
        <v>02421525000126</v>
      </c>
      <c r="H495" t="str">
        <f>"0"</f>
        <v>0</v>
      </c>
      <c r="I495" t="str">
        <f t="shared" si="228"/>
        <v>CONTA OPTICA</v>
      </c>
      <c r="J495" t="str">
        <f>"ZANIN COMERCIO E INDUSTRIA DE JOIAS LTDA  ME"</f>
        <v>ZANIN COMERCIO E INDUSTRIA DE JOIAS LTDA  ME</v>
      </c>
      <c r="K495" t="str">
        <f>"ROCLA OURIVESARIA (132)"</f>
        <v>ROCLA OURIVESARIA (132)</v>
      </c>
      <c r="L495" t="str">
        <f>""</f>
        <v/>
      </c>
      <c r="M495" t="str">
        <f>""</f>
        <v/>
      </c>
      <c r="N495" t="str">
        <f>"zanin@smo.com.br"</f>
        <v>zanin@smo.com.br</v>
      </c>
      <c r="O495" t="str">
        <f>""</f>
        <v/>
      </c>
      <c r="P495" t="str">
        <f>"RUA XV DE NOVEMBRO"</f>
        <v>RUA XV DE NOVEMBRO</v>
      </c>
      <c r="Q495" t="str">
        <f>"426"</f>
        <v>426</v>
      </c>
      <c r="R495" t="str">
        <f>"SALA 5"</f>
        <v>SALA 5</v>
      </c>
      <c r="S495" t="str">
        <f>"1289"</f>
        <v>1289</v>
      </c>
      <c r="T495" t="str">
        <f>"89900000"</f>
        <v>89900000</v>
      </c>
      <c r="U495" t="str">
        <f t="shared" si="248"/>
        <v>CENTRO</v>
      </c>
      <c r="V495" t="str">
        <f>"SÃO MIGUEL DO OESTE"</f>
        <v>SÃO MIGUEL DO OESTE</v>
      </c>
      <c r="W495" t="str">
        <f t="shared" si="243"/>
        <v>SC</v>
      </c>
      <c r="X495" t="str">
        <f>"49"</f>
        <v>49</v>
      </c>
      <c r="Y495" t="str">
        <f>"36221321"</f>
        <v>36221321</v>
      </c>
      <c r="Z495" t="str">
        <f>""</f>
        <v/>
      </c>
      <c r="AA495" t="str">
        <f>""</f>
        <v/>
      </c>
      <c r="AB495" t="str">
        <f>""</f>
        <v/>
      </c>
      <c r="AC495" t="str">
        <f>""</f>
        <v/>
      </c>
      <c r="AD495" t="str">
        <f>""</f>
        <v/>
      </c>
      <c r="AE495" t="str">
        <f>""</f>
        <v/>
      </c>
      <c r="AF495" t="str">
        <f>""</f>
        <v/>
      </c>
      <c r="AG495" t="str">
        <f>""</f>
        <v/>
      </c>
      <c r="AH495" t="str">
        <f>""</f>
        <v/>
      </c>
      <c r="AI495" t="str">
        <f>""</f>
        <v/>
      </c>
      <c r="AJ495" t="str">
        <f t="shared" si="249"/>
        <v>0</v>
      </c>
      <c r="AK495" t="str">
        <f t="shared" si="249"/>
        <v>0</v>
      </c>
      <c r="AL495" t="str">
        <f t="shared" si="249"/>
        <v>0</v>
      </c>
      <c r="AM495" t="str">
        <f>""</f>
        <v/>
      </c>
      <c r="AN495" t="str">
        <f>""</f>
        <v/>
      </c>
      <c r="AO495" t="str">
        <f>""</f>
        <v/>
      </c>
      <c r="AP495" t="str">
        <f>""</f>
        <v/>
      </c>
      <c r="AQ495" t="str">
        <f>""</f>
        <v/>
      </c>
      <c r="AR495" t="str">
        <f>""</f>
        <v/>
      </c>
      <c r="AS495" t="str">
        <f>""</f>
        <v/>
      </c>
      <c r="AT495" t="str">
        <f>""</f>
        <v/>
      </c>
      <c r="AU495" t="str">
        <f>""</f>
        <v/>
      </c>
      <c r="AV495" t="str">
        <f>""</f>
        <v/>
      </c>
      <c r="AW495" t="str">
        <f>""</f>
        <v/>
      </c>
      <c r="AX495" t="str">
        <f>""</f>
        <v/>
      </c>
      <c r="AY495" t="str">
        <f>""</f>
        <v/>
      </c>
      <c r="AZ495" t="str">
        <f>""</f>
        <v/>
      </c>
      <c r="BA495" t="str">
        <f>""</f>
        <v/>
      </c>
      <c r="BB495" t="str">
        <f>"18/09/2020 22:12:34"</f>
        <v>18/09/2020 22:12:34</v>
      </c>
      <c r="BC495" t="str">
        <f>""</f>
        <v/>
      </c>
      <c r="BD495" t="str">
        <f>""</f>
        <v/>
      </c>
      <c r="BE495" t="str">
        <f>""</f>
        <v/>
      </c>
      <c r="BF495" t="str">
        <f t="shared" si="229"/>
        <v>A</v>
      </c>
      <c r="BG495" t="str">
        <f>"0,00"</f>
        <v>0,00</v>
      </c>
      <c r="BH495" t="str">
        <f>"0,00"</f>
        <v>0,00</v>
      </c>
      <c r="BI495" t="str">
        <f t="shared" si="238"/>
        <v>EVENTUAL</v>
      </c>
      <c r="BJ495" t="str">
        <f t="shared" si="230"/>
        <v>1</v>
      </c>
      <c r="BK495" t="str">
        <f t="shared" si="231"/>
        <v>Farmacia</v>
      </c>
      <c r="BL495" t="str">
        <f>""</f>
        <v/>
      </c>
      <c r="BM495" t="str">
        <f>"VARILUX ESPECIALISTA PLATINE"</f>
        <v>VARILUX ESPECIALISTA PLATINE</v>
      </c>
      <c r="BN495" t="str">
        <f t="shared" si="250"/>
        <v>NA</v>
      </c>
      <c r="BO495" t="str">
        <f>"FOCO VARILUX DIGITAL"</f>
        <v>FOCO VARILUX DIGITAL</v>
      </c>
      <c r="BP495" t="str">
        <f>""</f>
        <v/>
      </c>
      <c r="BQ495" t="str">
        <f>""</f>
        <v/>
      </c>
      <c r="BR495" t="str">
        <f>"18/09/2020"</f>
        <v>18/09/2020</v>
      </c>
      <c r="BS495" t="str">
        <f>""</f>
        <v/>
      </c>
      <c r="BT495" t="str">
        <f>""</f>
        <v/>
      </c>
      <c r="BU495" t="str">
        <f>""</f>
        <v/>
      </c>
      <c r="BV495" t="str">
        <f>"1"</f>
        <v>1</v>
      </c>
      <c r="BW495" t="str">
        <f>"8"</f>
        <v>8</v>
      </c>
    </row>
    <row r="496" spans="1:75" x14ac:dyDescent="0.35">
      <c r="A496">
        <v>138268</v>
      </c>
      <c r="B496" t="str">
        <f t="shared" si="223"/>
        <v>A</v>
      </c>
      <c r="C496" t="str">
        <f t="shared" si="224"/>
        <v>80</v>
      </c>
      <c r="D496" t="str">
        <f t="shared" si="225"/>
        <v>11121001</v>
      </c>
      <c r="E496" t="str">
        <f t="shared" si="226"/>
        <v>121001</v>
      </c>
      <c r="F496" t="str">
        <f t="shared" si="227"/>
        <v>JENIFER SANTOS</v>
      </c>
      <c r="G496" t="str">
        <f>"94580131000139"</f>
        <v>94580131000139</v>
      </c>
      <c r="H496" t="str">
        <f>"0"</f>
        <v>0</v>
      </c>
      <c r="I496" t="str">
        <f t="shared" si="228"/>
        <v>CONTA OPTICA</v>
      </c>
      <c r="J496" t="str">
        <f>"ZELMA COPETTI ME"</f>
        <v>ZELMA COPETTI ME</v>
      </c>
      <c r="K496" t="str">
        <f>"OTICA EXATA (576)"</f>
        <v>OTICA EXATA (576)</v>
      </c>
      <c r="L496" t="str">
        <f>""</f>
        <v/>
      </c>
      <c r="M496" t="str">
        <f>""</f>
        <v/>
      </c>
      <c r="N496" t="str">
        <f>"oticaexata@via-rs.net"</f>
        <v>oticaexata@via-rs.net</v>
      </c>
      <c r="O496" t="str">
        <f>""</f>
        <v/>
      </c>
      <c r="P496" t="str">
        <f>"AVENIDA BRASIL OESTE"</f>
        <v>AVENIDA BRASIL OESTE</v>
      </c>
      <c r="Q496" t="str">
        <f>"333"</f>
        <v>333</v>
      </c>
      <c r="R496" t="str">
        <f>""</f>
        <v/>
      </c>
      <c r="S496" t="str">
        <f>"1383"</f>
        <v>1383</v>
      </c>
      <c r="T496" t="str">
        <f>"99025001"</f>
        <v>99025001</v>
      </c>
      <c r="U496" t="str">
        <f t="shared" si="248"/>
        <v>CENTRO</v>
      </c>
      <c r="V496" t="str">
        <f>"PASSO FUNDO"</f>
        <v>PASSO FUNDO</v>
      </c>
      <c r="W496" t="str">
        <f>"RS"</f>
        <v>RS</v>
      </c>
      <c r="X496" t="str">
        <f>"54"</f>
        <v>54</v>
      </c>
      <c r="Y496" t="str">
        <f>"33123551"</f>
        <v>33123551</v>
      </c>
      <c r="Z496" t="str">
        <f>""</f>
        <v/>
      </c>
      <c r="AA496" t="str">
        <f>""</f>
        <v/>
      </c>
      <c r="AB496" t="str">
        <f>""</f>
        <v/>
      </c>
      <c r="AC496" t="str">
        <f>""</f>
        <v/>
      </c>
      <c r="AD496" t="str">
        <f>""</f>
        <v/>
      </c>
      <c r="AE496" t="str">
        <f>""</f>
        <v/>
      </c>
      <c r="AF496" t="str">
        <f>""</f>
        <v/>
      </c>
      <c r="AG496" t="str">
        <f>"S"</f>
        <v>S</v>
      </c>
      <c r="AH496" t="str">
        <f>""</f>
        <v/>
      </c>
      <c r="AI496" t="str">
        <f>""</f>
        <v/>
      </c>
      <c r="AJ496" t="str">
        <f>""</f>
        <v/>
      </c>
      <c r="AK496" t="str">
        <f>""</f>
        <v/>
      </c>
      <c r="AL496" t="str">
        <f>""</f>
        <v/>
      </c>
      <c r="AM496" t="str">
        <f>""</f>
        <v/>
      </c>
      <c r="AN496" t="str">
        <f>""</f>
        <v/>
      </c>
      <c r="AO496" t="str">
        <f>""</f>
        <v/>
      </c>
      <c r="AP496" t="str">
        <f>""</f>
        <v/>
      </c>
      <c r="AQ496" t="str">
        <f>"N"</f>
        <v>N</v>
      </c>
      <c r="AR496" t="str">
        <f>"N"</f>
        <v>N</v>
      </c>
      <c r="AS496" t="str">
        <f>"N"</f>
        <v>N</v>
      </c>
      <c r="AT496" t="str">
        <f>"N"</f>
        <v>N</v>
      </c>
      <c r="AU496" t="str">
        <f>"N"</f>
        <v>N</v>
      </c>
      <c r="AV496" t="str">
        <f>""</f>
        <v/>
      </c>
      <c r="AW496" t="str">
        <f>""</f>
        <v/>
      </c>
      <c r="AX496" t="str">
        <f>""</f>
        <v/>
      </c>
      <c r="AY496" t="str">
        <f>""</f>
        <v/>
      </c>
      <c r="AZ496" t="str">
        <f>""</f>
        <v/>
      </c>
      <c r="BA496" t="str">
        <f>""</f>
        <v/>
      </c>
      <c r="BB496" t="str">
        <f>"01/07/2021 13:53:04"</f>
        <v>01/07/2021 13:53:04</v>
      </c>
      <c r="BC496" t="str">
        <f>"07/04/2022 16:11:10"</f>
        <v>07/04/2022 16:11:10</v>
      </c>
      <c r="BD496" t="str">
        <f>""</f>
        <v/>
      </c>
      <c r="BE496" t="str">
        <f>""</f>
        <v/>
      </c>
      <c r="BF496" t="str">
        <f t="shared" si="229"/>
        <v>A</v>
      </c>
      <c r="BG496" t="str">
        <f>""</f>
        <v/>
      </c>
      <c r="BH496" t="str">
        <f>"0,00"</f>
        <v>0,00</v>
      </c>
      <c r="BI496" t="str">
        <f t="shared" ref="BI496:BI527" si="251">"EVENTUAL"</f>
        <v>EVENTUAL</v>
      </c>
      <c r="BJ496" t="str">
        <f t="shared" si="230"/>
        <v>1</v>
      </c>
      <c r="BK496" t="str">
        <f t="shared" si="231"/>
        <v>Farmacia</v>
      </c>
      <c r="BL496" t="str">
        <f>""</f>
        <v/>
      </c>
      <c r="BM496" t="str">
        <f>"NÃO É VARILUX ESPECIALISTA"</f>
        <v>NÃO É VARILUX ESPECIALISTA</v>
      </c>
      <c r="BN496" t="str">
        <f t="shared" si="250"/>
        <v>NA</v>
      </c>
      <c r="BO496" t="str">
        <f>"FOCO KODAK 2"</f>
        <v>FOCO KODAK 2</v>
      </c>
      <c r="BP496" t="str">
        <f>""</f>
        <v/>
      </c>
      <c r="BQ496" t="str">
        <f>""</f>
        <v/>
      </c>
      <c r="BR496" t="str">
        <f>"01/07/2021"</f>
        <v>01/07/2021</v>
      </c>
      <c r="BS496" t="str">
        <f>"07/04/2022"</f>
        <v>07/04/2022</v>
      </c>
      <c r="BT496" t="str">
        <f>""</f>
        <v/>
      </c>
      <c r="BU496" t="str">
        <f>""</f>
        <v/>
      </c>
      <c r="BV496" t="str">
        <f>""</f>
        <v/>
      </c>
      <c r="BW496" t="str">
        <f>"37"</f>
        <v>37</v>
      </c>
    </row>
    <row r="497" spans="1:75" x14ac:dyDescent="0.35">
      <c r="A497">
        <v>144581</v>
      </c>
      <c r="B497" t="str">
        <f t="shared" si="223"/>
        <v>A</v>
      </c>
      <c r="C497" t="str">
        <f t="shared" si="224"/>
        <v>80</v>
      </c>
      <c r="D497" t="str">
        <f t="shared" si="225"/>
        <v>11121001</v>
      </c>
      <c r="E497" t="str">
        <f t="shared" si="226"/>
        <v>121001</v>
      </c>
      <c r="F497" t="str">
        <f t="shared" si="227"/>
        <v>JENIFER SANTOS</v>
      </c>
      <c r="G497" t="str">
        <f>"78375631000182"</f>
        <v>78375631000182</v>
      </c>
      <c r="H497" t="str">
        <f>""</f>
        <v/>
      </c>
      <c r="I497" t="str">
        <f t="shared" si="228"/>
        <v>CONTA OPTICA</v>
      </c>
      <c r="J497" t="str">
        <f>"ZOLDERI RAIMUNDO E CIA LTDA"</f>
        <v>ZOLDERI RAIMUNDO E CIA LTDA</v>
      </c>
      <c r="K497" t="str">
        <f>"RELOCENTER (3902)"</f>
        <v>RELOCENTER (3902)</v>
      </c>
      <c r="L497" t="str">
        <f>""</f>
        <v/>
      </c>
      <c r="M497" t="str">
        <f>""</f>
        <v/>
      </c>
      <c r="N497" t="str">
        <f>"oticarelocenter@yahoo.com.br"</f>
        <v>oticarelocenter@yahoo.com.br</v>
      </c>
      <c r="O497" t="str">
        <f>""</f>
        <v/>
      </c>
      <c r="P497" t="str">
        <f>"AVENIDA GETULIO VARGAS"</f>
        <v>AVENIDA GETULIO VARGAS</v>
      </c>
      <c r="Q497" t="str">
        <f>"238"</f>
        <v>238</v>
      </c>
      <c r="R497" t="str">
        <f>""</f>
        <v/>
      </c>
      <c r="S497" t="str">
        <f>"1198"</f>
        <v>1198</v>
      </c>
      <c r="T497" t="str">
        <f>"84600000"</f>
        <v>84600000</v>
      </c>
      <c r="U497" t="str">
        <f t="shared" si="248"/>
        <v>CENTRO</v>
      </c>
      <c r="V497" t="str">
        <f>"UNIAO DA VITORIA"</f>
        <v>UNIAO DA VITORIA</v>
      </c>
      <c r="W497" t="str">
        <f>"PR"</f>
        <v>PR</v>
      </c>
      <c r="X497" t="str">
        <f>"42"</f>
        <v>42</v>
      </c>
      <c r="Y497" t="str">
        <f>"35225252"</f>
        <v>35225252</v>
      </c>
      <c r="Z497" t="str">
        <f>""</f>
        <v/>
      </c>
      <c r="AA497" t="str">
        <f>""</f>
        <v/>
      </c>
      <c r="AB497" t="str">
        <f>""</f>
        <v/>
      </c>
      <c r="AC497" t="str">
        <f>""</f>
        <v/>
      </c>
      <c r="AD497" t="str">
        <f>""</f>
        <v/>
      </c>
      <c r="AE497" t="str">
        <f>""</f>
        <v/>
      </c>
      <c r="AF497" t="str">
        <f>""</f>
        <v/>
      </c>
      <c r="AG497" t="str">
        <f>""</f>
        <v/>
      </c>
      <c r="AH497" t="str">
        <f>""</f>
        <v/>
      </c>
      <c r="AI497" t="str">
        <f>""</f>
        <v/>
      </c>
      <c r="AJ497" t="str">
        <f t="shared" ref="AJ497:AL499" si="252">"0"</f>
        <v>0</v>
      </c>
      <c r="AK497" t="str">
        <f t="shared" si="252"/>
        <v>0</v>
      </c>
      <c r="AL497" t="str">
        <f t="shared" si="252"/>
        <v>0</v>
      </c>
      <c r="AM497" t="str">
        <f>""</f>
        <v/>
      </c>
      <c r="AN497" t="str">
        <f>""</f>
        <v/>
      </c>
      <c r="AO497" t="str">
        <f>""</f>
        <v/>
      </c>
      <c r="AP497" t="str">
        <f>""</f>
        <v/>
      </c>
      <c r="AQ497" t="str">
        <f>""</f>
        <v/>
      </c>
      <c r="AR497" t="str">
        <f>""</f>
        <v/>
      </c>
      <c r="AS497" t="str">
        <f>""</f>
        <v/>
      </c>
      <c r="AT497" t="str">
        <f>""</f>
        <v/>
      </c>
      <c r="AU497" t="str">
        <f>""</f>
        <v/>
      </c>
      <c r="AV497" t="str">
        <f>""</f>
        <v/>
      </c>
      <c r="AW497" t="str">
        <f>""</f>
        <v/>
      </c>
      <c r="AX497" t="str">
        <f>""</f>
        <v/>
      </c>
      <c r="AY497" t="str">
        <f>""</f>
        <v/>
      </c>
      <c r="AZ497" t="str">
        <f>""</f>
        <v/>
      </c>
      <c r="BA497" t="str">
        <f>""</f>
        <v/>
      </c>
      <c r="BB497" t="str">
        <f>""</f>
        <v/>
      </c>
      <c r="BC497" t="str">
        <f>""</f>
        <v/>
      </c>
      <c r="BD497" t="str">
        <f>""</f>
        <v/>
      </c>
      <c r="BE497" t="str">
        <f>""</f>
        <v/>
      </c>
      <c r="BF497" t="str">
        <f t="shared" si="229"/>
        <v>A</v>
      </c>
      <c r="BG497" t="str">
        <f>"0,00"</f>
        <v>0,00</v>
      </c>
      <c r="BH497" t="str">
        <f>"0,00"</f>
        <v>0,00</v>
      </c>
      <c r="BI497" t="str">
        <f t="shared" si="251"/>
        <v>EVENTUAL</v>
      </c>
      <c r="BJ497" t="str">
        <f t="shared" si="230"/>
        <v>1</v>
      </c>
      <c r="BK497" t="str">
        <f t="shared" si="231"/>
        <v>Farmacia</v>
      </c>
      <c r="BL497" t="str">
        <f>""</f>
        <v/>
      </c>
      <c r="BM497" t="str">
        <f>"NÃO É VARILUX ESPECIALISTA"</f>
        <v>NÃO É VARILUX ESPECIALISTA</v>
      </c>
      <c r="BN497" t="str">
        <f t="shared" si="250"/>
        <v>NA</v>
      </c>
      <c r="BO497" t="str">
        <f>"FOCO VARILUX"</f>
        <v>FOCO VARILUX</v>
      </c>
      <c r="BP497" t="str">
        <f>""</f>
        <v/>
      </c>
      <c r="BQ497" t="str">
        <f>""</f>
        <v/>
      </c>
      <c r="BR497" t="str">
        <f>""</f>
        <v/>
      </c>
      <c r="BS497" t="str">
        <f>""</f>
        <v/>
      </c>
      <c r="BT497" t="str">
        <f>""</f>
        <v/>
      </c>
      <c r="BU497" t="str">
        <f>""</f>
        <v/>
      </c>
      <c r="BV497" t="str">
        <f>"9"</f>
        <v>9</v>
      </c>
      <c r="BW497" t="str">
        <f>"10"</f>
        <v>10</v>
      </c>
    </row>
    <row r="498" spans="1:75" x14ac:dyDescent="0.35">
      <c r="A498">
        <v>120383</v>
      </c>
      <c r="B498" t="str">
        <f t="shared" si="223"/>
        <v>A</v>
      </c>
      <c r="C498" t="str">
        <f t="shared" si="224"/>
        <v>80</v>
      </c>
      <c r="D498" t="str">
        <f t="shared" si="225"/>
        <v>11121001</v>
      </c>
      <c r="E498" t="str">
        <f t="shared" si="226"/>
        <v>121001</v>
      </c>
      <c r="F498" t="str">
        <f t="shared" si="227"/>
        <v>JENIFER SANTOS</v>
      </c>
      <c r="G498" t="str">
        <f>"04192655000160"</f>
        <v>04192655000160</v>
      </c>
      <c r="H498" t="str">
        <f>"0"</f>
        <v>0</v>
      </c>
      <c r="I498" t="str">
        <f t="shared" si="228"/>
        <v>CONTA OPTICA</v>
      </c>
      <c r="J498" t="str">
        <f>"ZOLET - OPTICA E PSICOLOGIA LTDA"</f>
        <v>ZOLET - OPTICA E PSICOLOGIA LTDA</v>
      </c>
      <c r="K498" t="str">
        <f>"OTICA SAO JOAO (1355)"</f>
        <v>OTICA SAO JOAO (1355)</v>
      </c>
      <c r="L498" t="str">
        <f>""</f>
        <v/>
      </c>
      <c r="M498" t="str">
        <f>""</f>
        <v/>
      </c>
      <c r="N498" t="str">
        <f>"jaqueline_zolet@hotmail.com"</f>
        <v>jaqueline_zolet@hotmail.com</v>
      </c>
      <c r="O498" t="str">
        <f>""</f>
        <v/>
      </c>
      <c r="P498" t="str">
        <f>"AVENIDA PALUDO"</f>
        <v>AVENIDA PALUDO</v>
      </c>
      <c r="Q498" t="str">
        <f>"1024"</f>
        <v>1024</v>
      </c>
      <c r="R498" t="str">
        <f>""</f>
        <v/>
      </c>
      <c r="S498" t="str">
        <f>"1286"</f>
        <v>1286</v>
      </c>
      <c r="T498" t="str">
        <f>"89770000"</f>
        <v>89770000</v>
      </c>
      <c r="U498" t="str">
        <f>"SAO JOAO"</f>
        <v>SAO JOAO</v>
      </c>
      <c r="V498" t="str">
        <f>"SEARA"</f>
        <v>SEARA</v>
      </c>
      <c r="W498" t="str">
        <f t="shared" ref="W498:W516" si="253">"SC"</f>
        <v>SC</v>
      </c>
      <c r="X498" t="str">
        <f>"49"</f>
        <v>49</v>
      </c>
      <c r="Y498" t="str">
        <f>"34525065"</f>
        <v>34525065</v>
      </c>
      <c r="Z498" t="str">
        <f>""</f>
        <v/>
      </c>
      <c r="AA498" t="str">
        <f>""</f>
        <v/>
      </c>
      <c r="AB498" t="str">
        <f>""</f>
        <v/>
      </c>
      <c r="AC498" t="str">
        <f>""</f>
        <v/>
      </c>
      <c r="AD498" t="str">
        <f>""</f>
        <v/>
      </c>
      <c r="AE498" t="str">
        <f>""</f>
        <v/>
      </c>
      <c r="AF498" t="str">
        <f>""</f>
        <v/>
      </c>
      <c r="AG498" t="str">
        <f>""</f>
        <v/>
      </c>
      <c r="AH498" t="str">
        <f>""</f>
        <v/>
      </c>
      <c r="AI498" t="str">
        <f>""</f>
        <v/>
      </c>
      <c r="AJ498" t="str">
        <f t="shared" si="252"/>
        <v>0</v>
      </c>
      <c r="AK498" t="str">
        <f t="shared" si="252"/>
        <v>0</v>
      </c>
      <c r="AL498" t="str">
        <f t="shared" si="252"/>
        <v>0</v>
      </c>
      <c r="AM498" t="str">
        <f>""</f>
        <v/>
      </c>
      <c r="AN498" t="str">
        <f>""</f>
        <v/>
      </c>
      <c r="AO498" t="str">
        <f>""</f>
        <v/>
      </c>
      <c r="AP498" t="str">
        <f>""</f>
        <v/>
      </c>
      <c r="AQ498" t="str">
        <f>""</f>
        <v/>
      </c>
      <c r="AR498" t="str">
        <f>""</f>
        <v/>
      </c>
      <c r="AS498" t="str">
        <f>""</f>
        <v/>
      </c>
      <c r="AT498" t="str">
        <f>""</f>
        <v/>
      </c>
      <c r="AU498" t="str">
        <f>""</f>
        <v/>
      </c>
      <c r="AV498" t="str">
        <f>""</f>
        <v/>
      </c>
      <c r="AW498" t="str">
        <f>""</f>
        <v/>
      </c>
      <c r="AX498" t="str">
        <f>""</f>
        <v/>
      </c>
      <c r="AY498" t="str">
        <f>""</f>
        <v/>
      </c>
      <c r="AZ498" t="str">
        <f>""</f>
        <v/>
      </c>
      <c r="BA498" t="str">
        <f>""</f>
        <v/>
      </c>
      <c r="BB498" t="str">
        <f>"18/09/2020 22:12:34"</f>
        <v>18/09/2020 22:12:34</v>
      </c>
      <c r="BC498" t="str">
        <f>""</f>
        <v/>
      </c>
      <c r="BD498" t="str">
        <f>""</f>
        <v/>
      </c>
      <c r="BE498" t="str">
        <f>""</f>
        <v/>
      </c>
      <c r="BF498" t="str">
        <f t="shared" si="229"/>
        <v>A</v>
      </c>
      <c r="BG498" t="str">
        <f>"0,00"</f>
        <v>0,00</v>
      </c>
      <c r="BH498" t="str">
        <f>"0,00"</f>
        <v>0,00</v>
      </c>
      <c r="BI498" t="str">
        <f t="shared" si="251"/>
        <v>EVENTUAL</v>
      </c>
      <c r="BJ498" t="str">
        <f t="shared" si="230"/>
        <v>1</v>
      </c>
      <c r="BK498" t="str">
        <f t="shared" si="231"/>
        <v>Farmacia</v>
      </c>
      <c r="BL498" t="str">
        <f>""</f>
        <v/>
      </c>
      <c r="BM498" t="str">
        <f>"NÃO É VARILUX ESPECIALISTA"</f>
        <v>NÃO É VARILUX ESPECIALISTA</v>
      </c>
      <c r="BN498" t="str">
        <f t="shared" si="250"/>
        <v>NA</v>
      </c>
      <c r="BO498" t="str">
        <f>"FOCO VARILUX"</f>
        <v>FOCO VARILUX</v>
      </c>
      <c r="BP498" t="str">
        <f>""</f>
        <v/>
      </c>
      <c r="BQ498" t="str">
        <f>""</f>
        <v/>
      </c>
      <c r="BR498" t="str">
        <f>"18/09/2020"</f>
        <v>18/09/2020</v>
      </c>
      <c r="BS498" t="str">
        <f>""</f>
        <v/>
      </c>
      <c r="BT498" t="str">
        <f>""</f>
        <v/>
      </c>
      <c r="BU498" t="str">
        <f>""</f>
        <v/>
      </c>
      <c r="BV498" t="str">
        <f>"7"</f>
        <v>7</v>
      </c>
      <c r="BW498" t="str">
        <f>"4"</f>
        <v>4</v>
      </c>
    </row>
    <row r="499" spans="1:75" x14ac:dyDescent="0.35">
      <c r="A499">
        <v>133752</v>
      </c>
      <c r="B499" t="str">
        <f t="shared" si="223"/>
        <v>A</v>
      </c>
      <c r="C499" t="str">
        <f t="shared" si="224"/>
        <v>80</v>
      </c>
      <c r="D499" t="str">
        <f t="shared" si="225"/>
        <v>11121001</v>
      </c>
      <c r="E499" t="str">
        <f t="shared" si="226"/>
        <v>121001</v>
      </c>
      <c r="F499" t="str">
        <f t="shared" si="227"/>
        <v>JENIFER SANTOS</v>
      </c>
      <c r="G499" t="str">
        <f>"04192655000240"</f>
        <v>04192655000240</v>
      </c>
      <c r="H499" t="str">
        <f>"0"</f>
        <v>0</v>
      </c>
      <c r="I499" t="str">
        <f t="shared" si="228"/>
        <v>CONTA OPTICA</v>
      </c>
      <c r="J499" t="str">
        <f>"ZOLET - OPTICA E PSICOLOGIA LTDA"</f>
        <v>ZOLET - OPTICA E PSICOLOGIA LTDA</v>
      </c>
      <c r="K499" t="str">
        <f>"OPTICA ZOLET (4244)"</f>
        <v>OPTICA ZOLET (4244)</v>
      </c>
      <c r="L499" t="str">
        <f>""</f>
        <v/>
      </c>
      <c r="M499" t="str">
        <f>""</f>
        <v/>
      </c>
      <c r="N499" t="str">
        <f>"zolet.otica@gmail.com"</f>
        <v>zolet.otica@gmail.com</v>
      </c>
      <c r="O499" t="str">
        <f>""</f>
        <v/>
      </c>
      <c r="P499" t="str">
        <f>"RUA DEPUTADO CARLOS BUCHELE"</f>
        <v>RUA DEPUTADO CARLOS BUCHELE</v>
      </c>
      <c r="Q499" t="str">
        <f>"20"</f>
        <v>20</v>
      </c>
      <c r="R499" t="str">
        <f>"SALA 02"</f>
        <v>SALA 02</v>
      </c>
      <c r="S499" t="str">
        <f>""</f>
        <v/>
      </c>
      <c r="T499" t="str">
        <f>"89700130"</f>
        <v>89700130</v>
      </c>
      <c r="U499" t="str">
        <f>"CENTRO"</f>
        <v>CENTRO</v>
      </c>
      <c r="V499" t="str">
        <f>"CONCÓRDIA"</f>
        <v>CONCÓRDIA</v>
      </c>
      <c r="W499" t="str">
        <f t="shared" si="253"/>
        <v>SC</v>
      </c>
      <c r="X499" t="str">
        <f>"49"</f>
        <v>49</v>
      </c>
      <c r="Y499" t="str">
        <f>"30111044"</f>
        <v>30111044</v>
      </c>
      <c r="Z499" t="str">
        <f>""</f>
        <v/>
      </c>
      <c r="AA499" t="str">
        <f>""</f>
        <v/>
      </c>
      <c r="AB499" t="str">
        <f>""</f>
        <v/>
      </c>
      <c r="AC499" t="str">
        <f>""</f>
        <v/>
      </c>
      <c r="AD499" t="str">
        <f>""</f>
        <v/>
      </c>
      <c r="AE499" t="str">
        <f>""</f>
        <v/>
      </c>
      <c r="AF499" t="str">
        <f>""</f>
        <v/>
      </c>
      <c r="AG499" t="str">
        <f>""</f>
        <v/>
      </c>
      <c r="AH499" t="str">
        <f>""</f>
        <v/>
      </c>
      <c r="AI499" t="str">
        <f>""</f>
        <v/>
      </c>
      <c r="AJ499" t="str">
        <f t="shared" si="252"/>
        <v>0</v>
      </c>
      <c r="AK499" t="str">
        <f t="shared" si="252"/>
        <v>0</v>
      </c>
      <c r="AL499" t="str">
        <f t="shared" si="252"/>
        <v>0</v>
      </c>
      <c r="AM499" t="str">
        <f>""</f>
        <v/>
      </c>
      <c r="AN499" t="str">
        <f>""</f>
        <v/>
      </c>
      <c r="AO499" t="str">
        <f>""</f>
        <v/>
      </c>
      <c r="AP499" t="str">
        <f>""</f>
        <v/>
      </c>
      <c r="AQ499" t="str">
        <f>""</f>
        <v/>
      </c>
      <c r="AR499" t="str">
        <f>""</f>
        <v/>
      </c>
      <c r="AS499" t="str">
        <f>""</f>
        <v/>
      </c>
      <c r="AT499" t="str">
        <f>""</f>
        <v/>
      </c>
      <c r="AU499" t="str">
        <f>""</f>
        <v/>
      </c>
      <c r="AV499" t="str">
        <f>""</f>
        <v/>
      </c>
      <c r="AW499" t="str">
        <f>""</f>
        <v/>
      </c>
      <c r="AX499" t="str">
        <f>""</f>
        <v/>
      </c>
      <c r="AY499" t="str">
        <f>""</f>
        <v/>
      </c>
      <c r="AZ499" t="str">
        <f>""</f>
        <v/>
      </c>
      <c r="BA499" t="str">
        <f>""</f>
        <v/>
      </c>
      <c r="BB499" t="str">
        <f>"19/02/2021 10:15:59"</f>
        <v>19/02/2021 10:15:59</v>
      </c>
      <c r="BC499" t="str">
        <f>""</f>
        <v/>
      </c>
      <c r="BD499" t="str">
        <f>""</f>
        <v/>
      </c>
      <c r="BE499" t="str">
        <f>""</f>
        <v/>
      </c>
      <c r="BF499" t="str">
        <f t="shared" si="229"/>
        <v>A</v>
      </c>
      <c r="BG499" t="str">
        <f>"0,00"</f>
        <v>0,00</v>
      </c>
      <c r="BH499" t="str">
        <f>"0,00"</f>
        <v>0,00</v>
      </c>
      <c r="BI499" t="str">
        <f t="shared" si="251"/>
        <v>EVENTUAL</v>
      </c>
      <c r="BJ499" t="str">
        <f t="shared" si="230"/>
        <v>1</v>
      </c>
      <c r="BK499" t="str">
        <f t="shared" si="231"/>
        <v>Farmacia</v>
      </c>
      <c r="BL499" t="str">
        <f>""</f>
        <v/>
      </c>
      <c r="BM499" t="str">
        <f>"VARILUX ESPECIALISTA SELECT"</f>
        <v>VARILUX ESPECIALISTA SELECT</v>
      </c>
      <c r="BN499" t="str">
        <f t="shared" si="250"/>
        <v>NA</v>
      </c>
      <c r="BO499" t="str">
        <f>"FOCO VARILUX DIGITAL"</f>
        <v>FOCO VARILUX DIGITAL</v>
      </c>
      <c r="BP499" t="str">
        <f>""</f>
        <v/>
      </c>
      <c r="BQ499" t="str">
        <f>""</f>
        <v/>
      </c>
      <c r="BR499" t="str">
        <f>"19/02/2021"</f>
        <v>19/02/2021</v>
      </c>
      <c r="BS499" t="str">
        <f>""</f>
        <v/>
      </c>
      <c r="BT499" t="str">
        <f>""</f>
        <v/>
      </c>
      <c r="BU499" t="str">
        <f>""</f>
        <v/>
      </c>
      <c r="BV499" t="str">
        <f>"9"</f>
        <v>9</v>
      </c>
      <c r="BW499" t="str">
        <f>"4"</f>
        <v>4</v>
      </c>
    </row>
    <row r="500" spans="1:75" x14ac:dyDescent="0.35">
      <c r="A500">
        <v>159584</v>
      </c>
      <c r="B500" t="str">
        <f t="shared" si="223"/>
        <v>A</v>
      </c>
      <c r="C500" t="str">
        <f t="shared" si="224"/>
        <v>80</v>
      </c>
      <c r="D500" t="str">
        <f t="shared" ref="D500:D563" si="254">"11121002"</f>
        <v>11121002</v>
      </c>
      <c r="E500" t="str">
        <f t="shared" ref="E500:E563" si="255">"121002"</f>
        <v>121002</v>
      </c>
      <c r="F500" t="str">
        <f t="shared" ref="F500:F563" si="256">"CINTHIA NORONHA"</f>
        <v>CINTHIA NORONHA</v>
      </c>
      <c r="G500" t="str">
        <f>"38044105000115"</f>
        <v>38044105000115</v>
      </c>
      <c r="H500" t="str">
        <f>""</f>
        <v/>
      </c>
      <c r="I500" t="str">
        <f t="shared" si="228"/>
        <v>CONTA OPTICA</v>
      </c>
      <c r="J500" t="str">
        <f>"38.044.105 HUMBERTO DIARONE GONCALVES"</f>
        <v>38.044.105 HUMBERTO DIARONE GONCALVES</v>
      </c>
      <c r="K500" t="str">
        <f>"HO-CULOS (4762)"</f>
        <v>HO-CULOS (4762)</v>
      </c>
      <c r="L500" t="str">
        <f>""</f>
        <v/>
      </c>
      <c r="M500" t="str">
        <f>""</f>
        <v/>
      </c>
      <c r="N500" t="str">
        <f>"HOOCULOS2020@GMAIL.COM"</f>
        <v>HOOCULOS2020@GMAIL.COM</v>
      </c>
      <c r="O500" t="str">
        <f>""</f>
        <v/>
      </c>
      <c r="P500" t="str">
        <f>"RUA DEODORO"</f>
        <v>RUA DEODORO</v>
      </c>
      <c r="Q500" t="str">
        <f>"181"</f>
        <v>181</v>
      </c>
      <c r="R500" t="str">
        <f>"LOJA 21"</f>
        <v>LOJA 21</v>
      </c>
      <c r="S500" t="str">
        <f>"1254"</f>
        <v>1254</v>
      </c>
      <c r="T500" t="str">
        <f>"88010020"</f>
        <v>88010020</v>
      </c>
      <c r="U500" t="str">
        <f>"CENTRO"</f>
        <v>CENTRO</v>
      </c>
      <c r="V500" t="str">
        <f>"FLORIANOPOLIS"</f>
        <v>FLORIANOPOLIS</v>
      </c>
      <c r="W500" t="str">
        <f t="shared" si="253"/>
        <v>SC</v>
      </c>
      <c r="X500" t="str">
        <f t="shared" ref="X500:X516" si="257">"48"</f>
        <v>48</v>
      </c>
      <c r="Y500" t="str">
        <f>"999954518"</f>
        <v>999954518</v>
      </c>
      <c r="Z500" t="str">
        <f>""</f>
        <v/>
      </c>
      <c r="AA500" t="str">
        <f>""</f>
        <v/>
      </c>
      <c r="AB500" t="str">
        <f>""</f>
        <v/>
      </c>
      <c r="AC500" t="str">
        <f>""</f>
        <v/>
      </c>
      <c r="AD500" t="str">
        <f>""</f>
        <v/>
      </c>
      <c r="AE500" t="str">
        <f>""</f>
        <v/>
      </c>
      <c r="AF500" t="str">
        <f>""</f>
        <v/>
      </c>
      <c r="AG500" t="str">
        <f>""</f>
        <v/>
      </c>
      <c r="AH500" t="str">
        <f>""</f>
        <v/>
      </c>
      <c r="AI500" t="str">
        <f>""</f>
        <v/>
      </c>
      <c r="AJ500" t="str">
        <f>""</f>
        <v/>
      </c>
      <c r="AK500" t="str">
        <f>""</f>
        <v/>
      </c>
      <c r="AL500" t="str">
        <f>""</f>
        <v/>
      </c>
      <c r="AM500" t="str">
        <f>""</f>
        <v/>
      </c>
      <c r="AN500" t="str">
        <f>""</f>
        <v/>
      </c>
      <c r="AO500" t="str">
        <f>""</f>
        <v/>
      </c>
      <c r="AP500" t="str">
        <f>""</f>
        <v/>
      </c>
      <c r="AQ500" t="str">
        <f>""</f>
        <v/>
      </c>
      <c r="AR500" t="str">
        <f>""</f>
        <v/>
      </c>
      <c r="AS500" t="str">
        <f>""</f>
        <v/>
      </c>
      <c r="AT500" t="str">
        <f>""</f>
        <v/>
      </c>
      <c r="AU500" t="str">
        <f>""</f>
        <v/>
      </c>
      <c r="AV500" t="str">
        <f>""</f>
        <v/>
      </c>
      <c r="AW500" t="str">
        <f>""</f>
        <v/>
      </c>
      <c r="AX500" t="str">
        <f>""</f>
        <v/>
      </c>
      <c r="AY500" t="str">
        <f>""</f>
        <v/>
      </c>
      <c r="AZ500" t="str">
        <f>""</f>
        <v/>
      </c>
      <c r="BA500" t="str">
        <f>""</f>
        <v/>
      </c>
      <c r="BB500" t="str">
        <f>"25/09/2023 11:47:13"</f>
        <v>25/09/2023 11:47:13</v>
      </c>
      <c r="BC500" t="str">
        <f>""</f>
        <v/>
      </c>
      <c r="BD500" t="str">
        <f>""</f>
        <v/>
      </c>
      <c r="BE500" t="str">
        <f>""</f>
        <v/>
      </c>
      <c r="BF500" t="str">
        <f t="shared" si="229"/>
        <v>A</v>
      </c>
      <c r="BG500" t="str">
        <f>""</f>
        <v/>
      </c>
      <c r="BH500" t="str">
        <f>""</f>
        <v/>
      </c>
      <c r="BI500" t="str">
        <f t="shared" si="251"/>
        <v>EVENTUAL</v>
      </c>
      <c r="BJ500" t="str">
        <f t="shared" si="230"/>
        <v>1</v>
      </c>
      <c r="BK500" t="str">
        <f t="shared" si="231"/>
        <v>Farmacia</v>
      </c>
      <c r="BL500" t="str">
        <f>""</f>
        <v/>
      </c>
      <c r="BM500" t="str">
        <f>""</f>
        <v/>
      </c>
      <c r="BN500" t="str">
        <f>""</f>
        <v/>
      </c>
      <c r="BO500" t="str">
        <f>""</f>
        <v/>
      </c>
      <c r="BP500" t="str">
        <f>""</f>
        <v/>
      </c>
      <c r="BQ500" t="str">
        <f>""</f>
        <v/>
      </c>
      <c r="BR500" t="str">
        <f>"25/09/2023"</f>
        <v>25/09/2023</v>
      </c>
      <c r="BS500" t="str">
        <f>""</f>
        <v/>
      </c>
      <c r="BT500" t="str">
        <f>""</f>
        <v/>
      </c>
      <c r="BU500" t="str">
        <f>""</f>
        <v/>
      </c>
      <c r="BV500" t="str">
        <f>""</f>
        <v/>
      </c>
      <c r="BW500" t="str">
        <f>"Não visitado"</f>
        <v>Não visitado</v>
      </c>
    </row>
    <row r="501" spans="1:75" x14ac:dyDescent="0.35">
      <c r="A501">
        <v>159566</v>
      </c>
      <c r="B501" t="str">
        <f t="shared" si="223"/>
        <v>A</v>
      </c>
      <c r="C501" t="str">
        <f t="shared" si="224"/>
        <v>80</v>
      </c>
      <c r="D501" t="str">
        <f t="shared" si="254"/>
        <v>11121002</v>
      </c>
      <c r="E501" t="str">
        <f t="shared" si="255"/>
        <v>121002</v>
      </c>
      <c r="F501" t="str">
        <f t="shared" si="256"/>
        <v>CINTHIA NORONHA</v>
      </c>
      <c r="G501" t="str">
        <f>"43057327000102"</f>
        <v>43057327000102</v>
      </c>
      <c r="H501" t="str">
        <f>""</f>
        <v/>
      </c>
      <c r="I501" t="str">
        <f t="shared" si="228"/>
        <v>CONTA OPTICA</v>
      </c>
      <c r="J501" t="str">
        <f>"43.057.327 OBERTI NOGUEIRA PEREIRA"</f>
        <v>43.057.327 OBERTI NOGUEIRA PEREIRA</v>
      </c>
      <c r="K501" t="str">
        <f>"OTICA JAQUE (13952)"</f>
        <v>OTICA JAQUE (13952)</v>
      </c>
      <c r="L501" t="str">
        <f>""</f>
        <v/>
      </c>
      <c r="M501" t="str">
        <f>""</f>
        <v/>
      </c>
      <c r="N501" t="str">
        <f>"OTICAJAQUEIMBITUBA@GMAIL.COM"</f>
        <v>OTICAJAQUEIMBITUBA@GMAIL.COM</v>
      </c>
      <c r="O501" t="str">
        <f>""</f>
        <v/>
      </c>
      <c r="P501" t="str">
        <f>"RENATO RAMOS DA SILVA"</f>
        <v>RENATO RAMOS DA SILVA</v>
      </c>
      <c r="Q501" t="str">
        <f>"810"</f>
        <v>810</v>
      </c>
      <c r="R501" t="str">
        <f>"SALA 05"</f>
        <v>SALA 05</v>
      </c>
      <c r="S501" t="str">
        <f>"1268"</f>
        <v>1268</v>
      </c>
      <c r="T501" t="str">
        <f>"88780000"</f>
        <v>88780000</v>
      </c>
      <c r="U501" t="str">
        <f>"VILA NOVA"</f>
        <v>VILA NOVA</v>
      </c>
      <c r="V501" t="str">
        <f>"IMBITUBA"</f>
        <v>IMBITUBA</v>
      </c>
      <c r="W501" t="str">
        <f t="shared" si="253"/>
        <v>SC</v>
      </c>
      <c r="X501" t="str">
        <f t="shared" si="257"/>
        <v>48</v>
      </c>
      <c r="Y501" t="str">
        <f>"30803090"</f>
        <v>30803090</v>
      </c>
      <c r="Z501" t="str">
        <f>""</f>
        <v/>
      </c>
      <c r="AA501" t="str">
        <f>""</f>
        <v/>
      </c>
      <c r="AB501" t="str">
        <f>""</f>
        <v/>
      </c>
      <c r="AC501" t="str">
        <f>""</f>
        <v/>
      </c>
      <c r="AD501" t="str">
        <f>""</f>
        <v/>
      </c>
      <c r="AE501" t="str">
        <f>""</f>
        <v/>
      </c>
      <c r="AF501" t="str">
        <f>""</f>
        <v/>
      </c>
      <c r="AG501" t="str">
        <f>""</f>
        <v/>
      </c>
      <c r="AH501" t="str">
        <f>""</f>
        <v/>
      </c>
      <c r="AI501" t="str">
        <f>""</f>
        <v/>
      </c>
      <c r="AJ501" t="str">
        <f>""</f>
        <v/>
      </c>
      <c r="AK501" t="str">
        <f>""</f>
        <v/>
      </c>
      <c r="AL501" t="str">
        <f>""</f>
        <v/>
      </c>
      <c r="AM501" t="str">
        <f>""</f>
        <v/>
      </c>
      <c r="AN501" t="str">
        <f>""</f>
        <v/>
      </c>
      <c r="AO501" t="str">
        <f>""</f>
        <v/>
      </c>
      <c r="AP501" t="str">
        <f>""</f>
        <v/>
      </c>
      <c r="AQ501" t="str">
        <f>""</f>
        <v/>
      </c>
      <c r="AR501" t="str">
        <f>""</f>
        <v/>
      </c>
      <c r="AS501" t="str">
        <f>""</f>
        <v/>
      </c>
      <c r="AT501" t="str">
        <f>""</f>
        <v/>
      </c>
      <c r="AU501" t="str">
        <f>""</f>
        <v/>
      </c>
      <c r="AV501" t="str">
        <f>""</f>
        <v/>
      </c>
      <c r="AW501" t="str">
        <f>""</f>
        <v/>
      </c>
      <c r="AX501" t="str">
        <f>""</f>
        <v/>
      </c>
      <c r="AY501" t="str">
        <f>""</f>
        <v/>
      </c>
      <c r="AZ501" t="str">
        <f>""</f>
        <v/>
      </c>
      <c r="BA501" t="str">
        <f>""</f>
        <v/>
      </c>
      <c r="BB501" t="str">
        <f>"25/09/2023 11:47:13"</f>
        <v>25/09/2023 11:47:13</v>
      </c>
      <c r="BC501" t="str">
        <f>""</f>
        <v/>
      </c>
      <c r="BD501" t="str">
        <f>""</f>
        <v/>
      </c>
      <c r="BE501" t="str">
        <f>""</f>
        <v/>
      </c>
      <c r="BF501" t="str">
        <f t="shared" si="229"/>
        <v>A</v>
      </c>
      <c r="BG501" t="str">
        <f>""</f>
        <v/>
      </c>
      <c r="BH501" t="str">
        <f>""</f>
        <v/>
      </c>
      <c r="BI501" t="str">
        <f t="shared" si="251"/>
        <v>EVENTUAL</v>
      </c>
      <c r="BJ501" t="str">
        <f t="shared" si="230"/>
        <v>1</v>
      </c>
      <c r="BK501" t="str">
        <f t="shared" si="231"/>
        <v>Farmacia</v>
      </c>
      <c r="BL501" t="str">
        <f>""</f>
        <v/>
      </c>
      <c r="BM501" t="str">
        <f>""</f>
        <v/>
      </c>
      <c r="BN501" t="str">
        <f>""</f>
        <v/>
      </c>
      <c r="BO501" t="str">
        <f>""</f>
        <v/>
      </c>
      <c r="BP501" t="str">
        <f>""</f>
        <v/>
      </c>
      <c r="BQ501" t="str">
        <f>""</f>
        <v/>
      </c>
      <c r="BR501" t="str">
        <f>"25/09/2023"</f>
        <v>25/09/2023</v>
      </c>
      <c r="BS501" t="str">
        <f>""</f>
        <v/>
      </c>
      <c r="BT501" t="str">
        <f>""</f>
        <v/>
      </c>
      <c r="BU501" t="str">
        <f>""</f>
        <v/>
      </c>
      <c r="BV501" t="str">
        <f>""</f>
        <v/>
      </c>
      <c r="BW501" t="str">
        <f>"Não visitado"</f>
        <v>Não visitado</v>
      </c>
    </row>
    <row r="502" spans="1:75" x14ac:dyDescent="0.35">
      <c r="A502">
        <v>156862</v>
      </c>
      <c r="B502" t="str">
        <f t="shared" si="223"/>
        <v>A</v>
      </c>
      <c r="C502" t="str">
        <f t="shared" si="224"/>
        <v>80</v>
      </c>
      <c r="D502" t="str">
        <f t="shared" si="254"/>
        <v>11121002</v>
      </c>
      <c r="E502" t="str">
        <f t="shared" si="255"/>
        <v>121002</v>
      </c>
      <c r="F502" t="str">
        <f t="shared" si="256"/>
        <v>CINTHIA NORONHA</v>
      </c>
      <c r="G502" t="str">
        <f>"49203900000125"</f>
        <v>49203900000125</v>
      </c>
      <c r="H502" t="str">
        <f>"0"</f>
        <v>0</v>
      </c>
      <c r="I502" t="str">
        <f t="shared" si="228"/>
        <v>CONTA OPTICA</v>
      </c>
      <c r="J502" t="str">
        <f>"49.203.900 KAMILA DA SILVA FRANCO"</f>
        <v>49.203.900 KAMILA DA SILVA FRANCO</v>
      </c>
      <c r="K502" t="str">
        <f>"ESTATUS OTICA E JOALHERIA - ANGELINA (4625)"</f>
        <v>ESTATUS OTICA E JOALHERIA - ANGELINA (4625)</v>
      </c>
      <c r="L502" t="str">
        <f>""</f>
        <v/>
      </c>
      <c r="M502" t="str">
        <f>""</f>
        <v/>
      </c>
      <c r="N502" t="str">
        <f>"KAMILAFRANCOIC@ICLOUD.COM"</f>
        <v>KAMILAFRANCOIC@ICLOUD.COM</v>
      </c>
      <c r="O502" t="str">
        <f>""</f>
        <v/>
      </c>
      <c r="P502" t="str">
        <f>"RUA IVO REIS MONTENEGRO"</f>
        <v>RUA IVO REIS MONTENEGRO</v>
      </c>
      <c r="Q502" t="str">
        <f>"33"</f>
        <v>33</v>
      </c>
      <c r="R502" t="str">
        <f>"LOJA"</f>
        <v>LOJA</v>
      </c>
      <c r="S502" t="str">
        <f>""</f>
        <v/>
      </c>
      <c r="T502" t="str">
        <f>"88460000"</f>
        <v>88460000</v>
      </c>
      <c r="U502" t="str">
        <f>"ANGELINA"</f>
        <v>ANGELINA</v>
      </c>
      <c r="V502" t="str">
        <f>"ANGELINA"</f>
        <v>ANGELINA</v>
      </c>
      <c r="W502" t="str">
        <f t="shared" si="253"/>
        <v>SC</v>
      </c>
      <c r="X502" t="str">
        <f t="shared" si="257"/>
        <v>48</v>
      </c>
      <c r="Y502" t="str">
        <f>"996766481"</f>
        <v>996766481</v>
      </c>
      <c r="Z502" t="str">
        <f>""</f>
        <v/>
      </c>
      <c r="AA502" t="str">
        <f>""</f>
        <v/>
      </c>
      <c r="AB502" t="str">
        <f>""</f>
        <v/>
      </c>
      <c r="AC502" t="str">
        <f>""</f>
        <v/>
      </c>
      <c r="AD502" t="str">
        <f>""</f>
        <v/>
      </c>
      <c r="AE502" t="str">
        <f>""</f>
        <v/>
      </c>
      <c r="AF502" t="str">
        <f>""</f>
        <v/>
      </c>
      <c r="AG502" t="str">
        <f>""</f>
        <v/>
      </c>
      <c r="AH502" t="str">
        <f>""</f>
        <v/>
      </c>
      <c r="AI502" t="str">
        <f>""</f>
        <v/>
      </c>
      <c r="AJ502" t="str">
        <f>""</f>
        <v/>
      </c>
      <c r="AK502" t="str">
        <f>""</f>
        <v/>
      </c>
      <c r="AL502" t="str">
        <f>""</f>
        <v/>
      </c>
      <c r="AM502" t="str">
        <f>""</f>
        <v/>
      </c>
      <c r="AN502" t="str">
        <f>""</f>
        <v/>
      </c>
      <c r="AO502" t="str">
        <f>""</f>
        <v/>
      </c>
      <c r="AP502" t="str">
        <f>""</f>
        <v/>
      </c>
      <c r="AQ502" t="str">
        <f>""</f>
        <v/>
      </c>
      <c r="AR502" t="str">
        <f>""</f>
        <v/>
      </c>
      <c r="AS502" t="str">
        <f>""</f>
        <v/>
      </c>
      <c r="AT502" t="str">
        <f>""</f>
        <v/>
      </c>
      <c r="AU502" t="str">
        <f>""</f>
        <v/>
      </c>
      <c r="AV502" t="str">
        <f>""</f>
        <v/>
      </c>
      <c r="AW502" t="str">
        <f>""</f>
        <v/>
      </c>
      <c r="AX502" t="str">
        <f>""</f>
        <v/>
      </c>
      <c r="AY502" t="str">
        <f>""</f>
        <v/>
      </c>
      <c r="AZ502" t="str">
        <f>""</f>
        <v/>
      </c>
      <c r="BA502" t="str">
        <f>""</f>
        <v/>
      </c>
      <c r="BB502" t="str">
        <f>"06/07/2023 12:07:48"</f>
        <v>06/07/2023 12:07:48</v>
      </c>
      <c r="BC502" t="str">
        <f>""</f>
        <v/>
      </c>
      <c r="BD502" t="str">
        <f>""</f>
        <v/>
      </c>
      <c r="BE502" t="str">
        <f>""</f>
        <v/>
      </c>
      <c r="BF502" t="str">
        <f t="shared" si="229"/>
        <v>A</v>
      </c>
      <c r="BG502" t="str">
        <f>""</f>
        <v/>
      </c>
      <c r="BH502" t="str">
        <f>""</f>
        <v/>
      </c>
      <c r="BI502" t="str">
        <f t="shared" si="251"/>
        <v>EVENTUAL</v>
      </c>
      <c r="BJ502" t="str">
        <f t="shared" si="230"/>
        <v>1</v>
      </c>
      <c r="BK502" t="str">
        <f t="shared" si="231"/>
        <v>Farmacia</v>
      </c>
      <c r="BL502" t="str">
        <f>""</f>
        <v/>
      </c>
      <c r="BM502" t="str">
        <f>""</f>
        <v/>
      </c>
      <c r="BN502" t="str">
        <f>""</f>
        <v/>
      </c>
      <c r="BO502" t="str">
        <f>""</f>
        <v/>
      </c>
      <c r="BP502" t="str">
        <f>""</f>
        <v/>
      </c>
      <c r="BQ502" t="str">
        <f>""</f>
        <v/>
      </c>
      <c r="BR502" t="str">
        <f>"06/07/2023"</f>
        <v>06/07/2023</v>
      </c>
      <c r="BS502" t="str">
        <f>""</f>
        <v/>
      </c>
      <c r="BT502" t="str">
        <f>""</f>
        <v/>
      </c>
      <c r="BU502" t="str">
        <f>""</f>
        <v/>
      </c>
      <c r="BV502" t="str">
        <f>""</f>
        <v/>
      </c>
      <c r="BW502" t="str">
        <f>"4"</f>
        <v>4</v>
      </c>
    </row>
    <row r="503" spans="1:75" x14ac:dyDescent="0.35">
      <c r="A503">
        <v>156901</v>
      </c>
      <c r="B503" t="str">
        <f t="shared" si="223"/>
        <v>A</v>
      </c>
      <c r="C503" t="str">
        <f t="shared" si="224"/>
        <v>80</v>
      </c>
      <c r="D503" t="str">
        <f t="shared" si="254"/>
        <v>11121002</v>
      </c>
      <c r="E503" t="str">
        <f t="shared" si="255"/>
        <v>121002</v>
      </c>
      <c r="F503" t="str">
        <f t="shared" si="256"/>
        <v>CINTHIA NORONHA</v>
      </c>
      <c r="G503" t="str">
        <f>"49855635000160"</f>
        <v>49855635000160</v>
      </c>
      <c r="H503" t="str">
        <f>"0"</f>
        <v>0</v>
      </c>
      <c r="I503" t="str">
        <f t="shared" si="228"/>
        <v>CONTA OPTICA</v>
      </c>
      <c r="J503" t="str">
        <f>"49.855.635 CALIEL GONCALVES SALVADOR"</f>
        <v>49.855.635 CALIEL GONCALVES SALVADOR</v>
      </c>
      <c r="K503" t="str">
        <f>"SSG VISAO OPTICA (4687)"</f>
        <v>SSG VISAO OPTICA (4687)</v>
      </c>
      <c r="L503" t="str">
        <f>""</f>
        <v/>
      </c>
      <c r="M503" t="str">
        <f>""</f>
        <v/>
      </c>
      <c r="N503" t="str">
        <f>"SSGVISAO.OPTICA@GMAIL.COM"</f>
        <v>SSGVISAO.OPTICA@GMAIL.COM</v>
      </c>
      <c r="O503" t="str">
        <f>""</f>
        <v/>
      </c>
      <c r="P503" t="str">
        <f>"RUA DOMINGOS BRISTOT"</f>
        <v>RUA DOMINGOS BRISTOT</v>
      </c>
      <c r="Q503" t="str">
        <f>"255"</f>
        <v>255</v>
      </c>
      <c r="R503" t="str">
        <f>"APTO 604-A"</f>
        <v>APTO 604-A</v>
      </c>
      <c r="S503" t="str">
        <f>""</f>
        <v/>
      </c>
      <c r="T503" t="str">
        <f>"88802010"</f>
        <v>88802010</v>
      </c>
      <c r="U503" t="str">
        <f>"CENTRO"</f>
        <v>CENTRO</v>
      </c>
      <c r="V503" t="str">
        <f>"CRICIUMA"</f>
        <v>CRICIUMA</v>
      </c>
      <c r="W503" t="str">
        <f t="shared" si="253"/>
        <v>SC</v>
      </c>
      <c r="X503" t="str">
        <f t="shared" si="257"/>
        <v>48</v>
      </c>
      <c r="Y503" t="str">
        <f>"999049389"</f>
        <v>999049389</v>
      </c>
      <c r="Z503" t="str">
        <f>""</f>
        <v/>
      </c>
      <c r="AA503" t="str">
        <f>""</f>
        <v/>
      </c>
      <c r="AB503" t="str">
        <f>""</f>
        <v/>
      </c>
      <c r="AC503" t="str">
        <f>""</f>
        <v/>
      </c>
      <c r="AD503" t="str">
        <f>""</f>
        <v/>
      </c>
      <c r="AE503" t="str">
        <f>""</f>
        <v/>
      </c>
      <c r="AF503" t="str">
        <f>""</f>
        <v/>
      </c>
      <c r="AG503" t="str">
        <f>""</f>
        <v/>
      </c>
      <c r="AH503" t="str">
        <f>""</f>
        <v/>
      </c>
      <c r="AI503" t="str">
        <f>""</f>
        <v/>
      </c>
      <c r="AJ503" t="str">
        <f>""</f>
        <v/>
      </c>
      <c r="AK503" t="str">
        <f>""</f>
        <v/>
      </c>
      <c r="AL503" t="str">
        <f>""</f>
        <v/>
      </c>
      <c r="AM503" t="str">
        <f>""</f>
        <v/>
      </c>
      <c r="AN503" t="str">
        <f>""</f>
        <v/>
      </c>
      <c r="AO503" t="str">
        <f>""</f>
        <v/>
      </c>
      <c r="AP503" t="str">
        <f>""</f>
        <v/>
      </c>
      <c r="AQ503" t="str">
        <f>""</f>
        <v/>
      </c>
      <c r="AR503" t="str">
        <f>""</f>
        <v/>
      </c>
      <c r="AS503" t="str">
        <f>""</f>
        <v/>
      </c>
      <c r="AT503" t="str">
        <f>""</f>
        <v/>
      </c>
      <c r="AU503" t="str">
        <f>""</f>
        <v/>
      </c>
      <c r="AV503" t="str">
        <f>""</f>
        <v/>
      </c>
      <c r="AW503" t="str">
        <f>""</f>
        <v/>
      </c>
      <c r="AX503" t="str">
        <f>""</f>
        <v/>
      </c>
      <c r="AY503" t="str">
        <f>""</f>
        <v/>
      </c>
      <c r="AZ503" t="str">
        <f>""</f>
        <v/>
      </c>
      <c r="BA503" t="str">
        <f>""</f>
        <v/>
      </c>
      <c r="BB503" t="str">
        <f>"06/07/2023 12:07:48"</f>
        <v>06/07/2023 12:07:48</v>
      </c>
      <c r="BC503" t="str">
        <f>""</f>
        <v/>
      </c>
      <c r="BD503" t="str">
        <f>""</f>
        <v/>
      </c>
      <c r="BE503" t="str">
        <f>""</f>
        <v/>
      </c>
      <c r="BF503" t="str">
        <f t="shared" si="229"/>
        <v>A</v>
      </c>
      <c r="BG503" t="str">
        <f>""</f>
        <v/>
      </c>
      <c r="BH503" t="str">
        <f>""</f>
        <v/>
      </c>
      <c r="BI503" t="str">
        <f t="shared" si="251"/>
        <v>EVENTUAL</v>
      </c>
      <c r="BJ503" t="str">
        <f t="shared" si="230"/>
        <v>1</v>
      </c>
      <c r="BK503" t="str">
        <f t="shared" si="231"/>
        <v>Farmacia</v>
      </c>
      <c r="BL503" t="str">
        <f>""</f>
        <v/>
      </c>
      <c r="BM503" t="str">
        <f>""</f>
        <v/>
      </c>
      <c r="BN503" t="str">
        <f>""</f>
        <v/>
      </c>
      <c r="BO503" t="str">
        <f>""</f>
        <v/>
      </c>
      <c r="BP503" t="str">
        <f>""</f>
        <v/>
      </c>
      <c r="BQ503" t="str">
        <f>""</f>
        <v/>
      </c>
      <c r="BR503" t="str">
        <f>"06/07/2023"</f>
        <v>06/07/2023</v>
      </c>
      <c r="BS503" t="str">
        <f>""</f>
        <v/>
      </c>
      <c r="BT503" t="str">
        <f>""</f>
        <v/>
      </c>
      <c r="BU503" t="str">
        <f>""</f>
        <v/>
      </c>
      <c r="BV503" t="str">
        <f>""</f>
        <v/>
      </c>
      <c r="BW503" t="str">
        <f>"Não visitado"</f>
        <v>Não visitado</v>
      </c>
    </row>
    <row r="504" spans="1:75" x14ac:dyDescent="0.35">
      <c r="A504">
        <v>156855</v>
      </c>
      <c r="B504" t="str">
        <f t="shared" si="223"/>
        <v>A</v>
      </c>
      <c r="C504" t="str">
        <f t="shared" si="224"/>
        <v>80</v>
      </c>
      <c r="D504" t="str">
        <f t="shared" si="254"/>
        <v>11121002</v>
      </c>
      <c r="E504" t="str">
        <f t="shared" si="255"/>
        <v>121002</v>
      </c>
      <c r="F504" t="str">
        <f t="shared" si="256"/>
        <v>CINTHIA NORONHA</v>
      </c>
      <c r="G504" t="str">
        <f>"50103679000112"</f>
        <v>50103679000112</v>
      </c>
      <c r="H504" t="str">
        <f>"0"</f>
        <v>0</v>
      </c>
      <c r="I504" t="str">
        <f t="shared" si="228"/>
        <v>CONTA OPTICA</v>
      </c>
      <c r="J504" t="str">
        <f>"50.103.679 LIZANDRA RAMOS RODRIGUES"</f>
        <v>50.103.679 LIZANDRA RAMOS RODRIGUES</v>
      </c>
      <c r="K504" t="str">
        <f>"CHAMALIZ (4697)"</f>
        <v>CHAMALIZ (4697)</v>
      </c>
      <c r="L504" t="str">
        <f>""</f>
        <v/>
      </c>
      <c r="M504" t="str">
        <f>""</f>
        <v/>
      </c>
      <c r="N504" t="str">
        <f>"CHAMALIZOTICA@GMAIL.COM"</f>
        <v>CHAMALIZOTICA@GMAIL.COM</v>
      </c>
      <c r="O504" t="str">
        <f>""</f>
        <v/>
      </c>
      <c r="P504" t="str">
        <f>"PAULO ROBERTO VIDAL"</f>
        <v>PAULO ROBERTO VIDAL</v>
      </c>
      <c r="Q504" t="str">
        <f>"1455"</f>
        <v>1455</v>
      </c>
      <c r="R504" t="str">
        <f>"CASA 744"</f>
        <v>CASA 744</v>
      </c>
      <c r="S504" t="str">
        <f>"1259"</f>
        <v>1259</v>
      </c>
      <c r="T504" t="str">
        <f>"88132599"</f>
        <v>88132599</v>
      </c>
      <c r="U504" t="str">
        <f>"BELA VISTA"</f>
        <v>BELA VISTA</v>
      </c>
      <c r="V504" t="str">
        <f>"PALHOCA"</f>
        <v>PALHOCA</v>
      </c>
      <c r="W504" t="str">
        <f t="shared" si="253"/>
        <v>SC</v>
      </c>
      <c r="X504" t="str">
        <f t="shared" si="257"/>
        <v>48</v>
      </c>
      <c r="Y504" t="str">
        <f>"998582109"</f>
        <v>998582109</v>
      </c>
      <c r="Z504" t="str">
        <f>""</f>
        <v/>
      </c>
      <c r="AA504" t="str">
        <f>""</f>
        <v/>
      </c>
      <c r="AB504" t="str">
        <f>""</f>
        <v/>
      </c>
      <c r="AC504" t="str">
        <f>""</f>
        <v/>
      </c>
      <c r="AD504" t="str">
        <f>""</f>
        <v/>
      </c>
      <c r="AE504" t="str">
        <f>""</f>
        <v/>
      </c>
      <c r="AF504" t="str">
        <f>""</f>
        <v/>
      </c>
      <c r="AG504" t="str">
        <f>""</f>
        <v/>
      </c>
      <c r="AH504" t="str">
        <f>""</f>
        <v/>
      </c>
      <c r="AI504" t="str">
        <f>""</f>
        <v/>
      </c>
      <c r="AJ504" t="str">
        <f>""</f>
        <v/>
      </c>
      <c r="AK504" t="str">
        <f>""</f>
        <v/>
      </c>
      <c r="AL504" t="str">
        <f>""</f>
        <v/>
      </c>
      <c r="AM504" t="str">
        <f>""</f>
        <v/>
      </c>
      <c r="AN504" t="str">
        <f>""</f>
        <v/>
      </c>
      <c r="AO504" t="str">
        <f>""</f>
        <v/>
      </c>
      <c r="AP504" t="str">
        <f>""</f>
        <v/>
      </c>
      <c r="AQ504" t="str">
        <f>""</f>
        <v/>
      </c>
      <c r="AR504" t="str">
        <f>""</f>
        <v/>
      </c>
      <c r="AS504" t="str">
        <f>""</f>
        <v/>
      </c>
      <c r="AT504" t="str">
        <f>""</f>
        <v/>
      </c>
      <c r="AU504" t="str">
        <f>""</f>
        <v/>
      </c>
      <c r="AV504" t="str">
        <f>""</f>
        <v/>
      </c>
      <c r="AW504" t="str">
        <f>""</f>
        <v/>
      </c>
      <c r="AX504" t="str">
        <f>""</f>
        <v/>
      </c>
      <c r="AY504" t="str">
        <f>""</f>
        <v/>
      </c>
      <c r="AZ504" t="str">
        <f>""</f>
        <v/>
      </c>
      <c r="BA504" t="str">
        <f>""</f>
        <v/>
      </c>
      <c r="BB504" t="str">
        <f>"06/07/2023 12:07:48"</f>
        <v>06/07/2023 12:07:48</v>
      </c>
      <c r="BC504" t="str">
        <f>""</f>
        <v/>
      </c>
      <c r="BD504" t="str">
        <f>""</f>
        <v/>
      </c>
      <c r="BE504" t="str">
        <f>""</f>
        <v/>
      </c>
      <c r="BF504" t="str">
        <f t="shared" si="229"/>
        <v>A</v>
      </c>
      <c r="BG504" t="str">
        <f>""</f>
        <v/>
      </c>
      <c r="BH504" t="str">
        <f>""</f>
        <v/>
      </c>
      <c r="BI504" t="str">
        <f t="shared" si="251"/>
        <v>EVENTUAL</v>
      </c>
      <c r="BJ504" t="str">
        <f t="shared" si="230"/>
        <v>1</v>
      </c>
      <c r="BK504" t="str">
        <f t="shared" si="231"/>
        <v>Farmacia</v>
      </c>
      <c r="BL504" t="str">
        <f>""</f>
        <v/>
      </c>
      <c r="BM504" t="str">
        <f>""</f>
        <v/>
      </c>
      <c r="BN504" t="str">
        <f>""</f>
        <v/>
      </c>
      <c r="BO504" t="str">
        <f>""</f>
        <v/>
      </c>
      <c r="BP504" t="str">
        <f>""</f>
        <v/>
      </c>
      <c r="BQ504" t="str">
        <f>""</f>
        <v/>
      </c>
      <c r="BR504" t="str">
        <f>"06/07/2023"</f>
        <v>06/07/2023</v>
      </c>
      <c r="BS504" t="str">
        <f>""</f>
        <v/>
      </c>
      <c r="BT504" t="str">
        <f>""</f>
        <v/>
      </c>
      <c r="BU504" t="str">
        <f>""</f>
        <v/>
      </c>
      <c r="BV504" t="str">
        <f>""</f>
        <v/>
      </c>
      <c r="BW504" t="str">
        <f>"100"</f>
        <v>100</v>
      </c>
    </row>
    <row r="505" spans="1:75" x14ac:dyDescent="0.35">
      <c r="A505">
        <v>157684</v>
      </c>
      <c r="B505" t="str">
        <f t="shared" si="223"/>
        <v>A</v>
      </c>
      <c r="C505" t="str">
        <f t="shared" si="224"/>
        <v>80</v>
      </c>
      <c r="D505" t="str">
        <f t="shared" si="254"/>
        <v>11121002</v>
      </c>
      <c r="E505" t="str">
        <f t="shared" si="255"/>
        <v>121002</v>
      </c>
      <c r="F505" t="str">
        <f t="shared" si="256"/>
        <v>CINTHIA NORONHA</v>
      </c>
      <c r="G505" t="str">
        <f>"50123214000123"</f>
        <v>50123214000123</v>
      </c>
      <c r="H505" t="str">
        <f>"0"</f>
        <v>0</v>
      </c>
      <c r="I505" t="str">
        <f t="shared" si="228"/>
        <v>CONTA OPTICA</v>
      </c>
      <c r="J505" t="str">
        <f>"50.123.214 IRACI CRISTINA DE SOUSA SANTOS"</f>
        <v>50.123.214 IRACI CRISTINA DE SOUSA SANTOS</v>
      </c>
      <c r="K505" t="str">
        <f>"LUZOTICA (4691)"</f>
        <v>LUZOTICA (4691)</v>
      </c>
      <c r="L505" t="str">
        <f>""</f>
        <v/>
      </c>
      <c r="M505" t="str">
        <f>""</f>
        <v/>
      </c>
      <c r="N505" t="str">
        <f>"LIALUZ.COMERCIAL.COM.BR@GMAIL.COM"</f>
        <v>LIALUZ.COMERCIAL.COM.BR@GMAIL.COM</v>
      </c>
      <c r="O505" t="str">
        <f>""</f>
        <v/>
      </c>
      <c r="P505" t="str">
        <f>"RUA CORONEL AMERICO - ATE 1149/1150"</f>
        <v>RUA CORONEL AMERICO - ATE 1149/1150</v>
      </c>
      <c r="Q505" t="str">
        <f>"100"</f>
        <v>100</v>
      </c>
      <c r="R505" t="str">
        <f>""</f>
        <v/>
      </c>
      <c r="S505" t="str">
        <f>""</f>
        <v/>
      </c>
      <c r="T505" t="str">
        <f>"88117310"</f>
        <v>88117310</v>
      </c>
      <c r="U505" t="str">
        <f>"BARREIROS"</f>
        <v>BARREIROS</v>
      </c>
      <c r="V505" t="str">
        <f>"SAO JOSE"</f>
        <v>SAO JOSE</v>
      </c>
      <c r="W505" t="str">
        <f t="shared" si="253"/>
        <v>SC</v>
      </c>
      <c r="X505" t="str">
        <f t="shared" si="257"/>
        <v>48</v>
      </c>
      <c r="Y505" t="str">
        <f>"998595566"</f>
        <v>998595566</v>
      </c>
      <c r="Z505" t="str">
        <f>""</f>
        <v/>
      </c>
      <c r="AA505" t="str">
        <f>""</f>
        <v/>
      </c>
      <c r="AB505" t="str">
        <f>""</f>
        <v/>
      </c>
      <c r="AC505" t="str">
        <f>""</f>
        <v/>
      </c>
      <c r="AD505" t="str">
        <f>""</f>
        <v/>
      </c>
      <c r="AE505" t="str">
        <f>""</f>
        <v/>
      </c>
      <c r="AF505" t="str">
        <f>""</f>
        <v/>
      </c>
      <c r="AG505" t="str">
        <f>""</f>
        <v/>
      </c>
      <c r="AH505" t="str">
        <f>""</f>
        <v/>
      </c>
      <c r="AI505" t="str">
        <f>""</f>
        <v/>
      </c>
      <c r="AJ505" t="str">
        <f>""</f>
        <v/>
      </c>
      <c r="AK505" t="str">
        <f>""</f>
        <v/>
      </c>
      <c r="AL505" t="str">
        <f>""</f>
        <v/>
      </c>
      <c r="AM505" t="str">
        <f>""</f>
        <v/>
      </c>
      <c r="AN505" t="str">
        <f>""</f>
        <v/>
      </c>
      <c r="AO505" t="str">
        <f>""</f>
        <v/>
      </c>
      <c r="AP505" t="str">
        <f>""</f>
        <v/>
      </c>
      <c r="AQ505" t="str">
        <f>""</f>
        <v/>
      </c>
      <c r="AR505" t="str">
        <f>""</f>
        <v/>
      </c>
      <c r="AS505" t="str">
        <f>""</f>
        <v/>
      </c>
      <c r="AT505" t="str">
        <f>""</f>
        <v/>
      </c>
      <c r="AU505" t="str">
        <f>""</f>
        <v/>
      </c>
      <c r="AV505" t="str">
        <f>""</f>
        <v/>
      </c>
      <c r="AW505" t="str">
        <f>""</f>
        <v/>
      </c>
      <c r="AX505" t="str">
        <f>""</f>
        <v/>
      </c>
      <c r="AY505" t="str">
        <f>""</f>
        <v/>
      </c>
      <c r="AZ505" t="str">
        <f>""</f>
        <v/>
      </c>
      <c r="BA505" t="str">
        <f>""</f>
        <v/>
      </c>
      <c r="BB505" t="str">
        <f>"11/07/2023 02:19:56"</f>
        <v>11/07/2023 02:19:56</v>
      </c>
      <c r="BC505" t="str">
        <f>""</f>
        <v/>
      </c>
      <c r="BD505" t="str">
        <f>""</f>
        <v/>
      </c>
      <c r="BE505" t="str">
        <f>""</f>
        <v/>
      </c>
      <c r="BF505" t="str">
        <f t="shared" si="229"/>
        <v>A</v>
      </c>
      <c r="BG505" t="str">
        <f>""</f>
        <v/>
      </c>
      <c r="BH505" t="str">
        <f>""</f>
        <v/>
      </c>
      <c r="BI505" t="str">
        <f t="shared" si="251"/>
        <v>EVENTUAL</v>
      </c>
      <c r="BJ505" t="str">
        <f t="shared" si="230"/>
        <v>1</v>
      </c>
      <c r="BK505" t="str">
        <f t="shared" si="231"/>
        <v>Farmacia</v>
      </c>
      <c r="BL505" t="str">
        <f>""</f>
        <v/>
      </c>
      <c r="BM505" t="str">
        <f>""</f>
        <v/>
      </c>
      <c r="BN505" t="str">
        <f>""</f>
        <v/>
      </c>
      <c r="BO505" t="str">
        <f>""</f>
        <v/>
      </c>
      <c r="BP505" t="str">
        <f>""</f>
        <v/>
      </c>
      <c r="BQ505" t="str">
        <f>""</f>
        <v/>
      </c>
      <c r="BR505" t="str">
        <f>"11/07/2023"</f>
        <v>11/07/2023</v>
      </c>
      <c r="BS505" t="str">
        <f>""</f>
        <v/>
      </c>
      <c r="BT505" t="str">
        <f>""</f>
        <v/>
      </c>
      <c r="BU505" t="str">
        <f>""</f>
        <v/>
      </c>
      <c r="BV505" t="str">
        <f>""</f>
        <v/>
      </c>
      <c r="BW505" t="str">
        <f>"Não visitado"</f>
        <v>Não visitado</v>
      </c>
    </row>
    <row r="506" spans="1:75" x14ac:dyDescent="0.35">
      <c r="A506">
        <v>157683</v>
      </c>
      <c r="B506" t="str">
        <f t="shared" si="223"/>
        <v>A</v>
      </c>
      <c r="C506" t="str">
        <f t="shared" si="224"/>
        <v>80</v>
      </c>
      <c r="D506" t="str">
        <f t="shared" si="254"/>
        <v>11121002</v>
      </c>
      <c r="E506" t="str">
        <f t="shared" si="255"/>
        <v>121002</v>
      </c>
      <c r="F506" t="str">
        <f t="shared" si="256"/>
        <v>CINTHIA NORONHA</v>
      </c>
      <c r="G506" t="str">
        <f>"50749875000169"</f>
        <v>50749875000169</v>
      </c>
      <c r="H506" t="str">
        <f>"0"</f>
        <v>0</v>
      </c>
      <c r="I506" t="str">
        <f t="shared" si="228"/>
        <v>CONTA OPTICA</v>
      </c>
      <c r="J506" t="str">
        <f>"50.749.875 VALDIR CANOSO PORTASIO"</f>
        <v>50.749.875 VALDIR CANOSO PORTASIO</v>
      </c>
      <c r="K506" t="str">
        <f>"ZEPERRI OCULOS (4713)"</f>
        <v>ZEPERRI OCULOS (4713)</v>
      </c>
      <c r="L506" t="str">
        <f>""</f>
        <v/>
      </c>
      <c r="M506" t="str">
        <f>""</f>
        <v/>
      </c>
      <c r="N506" t="str">
        <f>"LAGOALENTES@GMAIL.COM"</f>
        <v>LAGOALENTES@GMAIL.COM</v>
      </c>
      <c r="O506" t="str">
        <f>""</f>
        <v/>
      </c>
      <c r="P506" t="str">
        <f>"RUA TV ATLANTIDA SUL"</f>
        <v>RUA TV ATLANTIDA SUL</v>
      </c>
      <c r="Q506" t="str">
        <f>"69"</f>
        <v>69</v>
      </c>
      <c r="R506" t="str">
        <f>""</f>
        <v/>
      </c>
      <c r="S506" t="str">
        <f>""</f>
        <v/>
      </c>
      <c r="T506" t="str">
        <f>"88063060"</f>
        <v>88063060</v>
      </c>
      <c r="U506" t="str">
        <f>"CAMPECHE"</f>
        <v>CAMPECHE</v>
      </c>
      <c r="V506" t="str">
        <f>"FLORIANOPOLIS"</f>
        <v>FLORIANOPOLIS</v>
      </c>
      <c r="W506" t="str">
        <f t="shared" si="253"/>
        <v>SC</v>
      </c>
      <c r="X506" t="str">
        <f t="shared" si="257"/>
        <v>48</v>
      </c>
      <c r="Y506" t="str">
        <f>"991150898"</f>
        <v>991150898</v>
      </c>
      <c r="Z506" t="str">
        <f>""</f>
        <v/>
      </c>
      <c r="AA506" t="str">
        <f>""</f>
        <v/>
      </c>
      <c r="AB506" t="str">
        <f>""</f>
        <v/>
      </c>
      <c r="AC506" t="str">
        <f>""</f>
        <v/>
      </c>
      <c r="AD506" t="str">
        <f>""</f>
        <v/>
      </c>
      <c r="AE506" t="str">
        <f>""</f>
        <v/>
      </c>
      <c r="AF506" t="str">
        <f>""</f>
        <v/>
      </c>
      <c r="AG506" t="str">
        <f>""</f>
        <v/>
      </c>
      <c r="AH506" t="str">
        <f>""</f>
        <v/>
      </c>
      <c r="AI506" t="str">
        <f>""</f>
        <v/>
      </c>
      <c r="AJ506" t="str">
        <f>""</f>
        <v/>
      </c>
      <c r="AK506" t="str">
        <f>""</f>
        <v/>
      </c>
      <c r="AL506" t="str">
        <f>""</f>
        <v/>
      </c>
      <c r="AM506" t="str">
        <f>""</f>
        <v/>
      </c>
      <c r="AN506" t="str">
        <f>""</f>
        <v/>
      </c>
      <c r="AO506" t="str">
        <f>""</f>
        <v/>
      </c>
      <c r="AP506" t="str">
        <f>""</f>
        <v/>
      </c>
      <c r="AQ506" t="str">
        <f>""</f>
        <v/>
      </c>
      <c r="AR506" t="str">
        <f>""</f>
        <v/>
      </c>
      <c r="AS506" t="str">
        <f>""</f>
        <v/>
      </c>
      <c r="AT506" t="str">
        <f>""</f>
        <v/>
      </c>
      <c r="AU506" t="str">
        <f>""</f>
        <v/>
      </c>
      <c r="AV506" t="str">
        <f>""</f>
        <v/>
      </c>
      <c r="AW506" t="str">
        <f>""</f>
        <v/>
      </c>
      <c r="AX506" t="str">
        <f>""</f>
        <v/>
      </c>
      <c r="AY506" t="str">
        <f>""</f>
        <v/>
      </c>
      <c r="AZ506" t="str">
        <f>""</f>
        <v/>
      </c>
      <c r="BA506" t="str">
        <f>""</f>
        <v/>
      </c>
      <c r="BB506" t="str">
        <f>"11/07/2023 02:19:56"</f>
        <v>11/07/2023 02:19:56</v>
      </c>
      <c r="BC506" t="str">
        <f>""</f>
        <v/>
      </c>
      <c r="BD506" t="str">
        <f>""</f>
        <v/>
      </c>
      <c r="BE506" t="str">
        <f>""</f>
        <v/>
      </c>
      <c r="BF506" t="str">
        <f t="shared" si="229"/>
        <v>A</v>
      </c>
      <c r="BG506" t="str">
        <f>""</f>
        <v/>
      </c>
      <c r="BH506" t="str">
        <f>""</f>
        <v/>
      </c>
      <c r="BI506" t="str">
        <f t="shared" si="251"/>
        <v>EVENTUAL</v>
      </c>
      <c r="BJ506" t="str">
        <f t="shared" si="230"/>
        <v>1</v>
      </c>
      <c r="BK506" t="str">
        <f t="shared" si="231"/>
        <v>Farmacia</v>
      </c>
      <c r="BL506" t="str">
        <f>""</f>
        <v/>
      </c>
      <c r="BM506" t="str">
        <f>""</f>
        <v/>
      </c>
      <c r="BN506" t="str">
        <f>""</f>
        <v/>
      </c>
      <c r="BO506" t="str">
        <f>""</f>
        <v/>
      </c>
      <c r="BP506" t="str">
        <f>""</f>
        <v/>
      </c>
      <c r="BQ506" t="str">
        <f>""</f>
        <v/>
      </c>
      <c r="BR506" t="str">
        <f>"11/07/2023"</f>
        <v>11/07/2023</v>
      </c>
      <c r="BS506" t="str">
        <f>""</f>
        <v/>
      </c>
      <c r="BT506" t="str">
        <f>""</f>
        <v/>
      </c>
      <c r="BU506" t="str">
        <f>""</f>
        <v/>
      </c>
      <c r="BV506" t="str">
        <f>""</f>
        <v/>
      </c>
      <c r="BW506" t="str">
        <f>"113"</f>
        <v>113</v>
      </c>
    </row>
    <row r="507" spans="1:75" x14ac:dyDescent="0.35">
      <c r="A507">
        <v>158709</v>
      </c>
      <c r="B507" t="str">
        <f t="shared" si="223"/>
        <v>A</v>
      </c>
      <c r="C507" t="str">
        <f t="shared" si="224"/>
        <v>80</v>
      </c>
      <c r="D507" t="str">
        <f t="shared" si="254"/>
        <v>11121002</v>
      </c>
      <c r="E507" t="str">
        <f t="shared" si="255"/>
        <v>121002</v>
      </c>
      <c r="F507" t="str">
        <f t="shared" si="256"/>
        <v>CINTHIA NORONHA</v>
      </c>
      <c r="G507" t="str">
        <f>"50902043000130"</f>
        <v>50902043000130</v>
      </c>
      <c r="H507" t="str">
        <f>""</f>
        <v/>
      </c>
      <c r="I507" t="str">
        <f t="shared" si="228"/>
        <v>CONTA OPTICA</v>
      </c>
      <c r="J507" t="str">
        <f>"50.902.043 BRUNO CAMPOS GERMINARI"</f>
        <v>50.902.043 BRUNO CAMPOS GERMINARI</v>
      </c>
      <c r="K507" t="str">
        <f>"SOUL OTICA (4720)"</f>
        <v>SOUL OTICA (4720)</v>
      </c>
      <c r="L507" t="str">
        <f>""</f>
        <v/>
      </c>
      <c r="M507" t="str">
        <f>""</f>
        <v/>
      </c>
      <c r="N507" t="str">
        <f>"BRUNO_GERMINARI@HOTMAIL.COM"</f>
        <v>BRUNO_GERMINARI@HOTMAIL.COM</v>
      </c>
      <c r="O507" t="str">
        <f>""</f>
        <v/>
      </c>
      <c r="P507" t="str">
        <f>"RUA 10 R GUSTAVO RICHARD"</f>
        <v>RUA 10 R GUSTAVO RICHARD</v>
      </c>
      <c r="Q507" t="str">
        <f>"358"</f>
        <v>358</v>
      </c>
      <c r="R507" t="str">
        <f>""</f>
        <v/>
      </c>
      <c r="S507" t="str">
        <f>"1268"</f>
        <v>1268</v>
      </c>
      <c r="T507" t="str">
        <f>"88790000"</f>
        <v>88790000</v>
      </c>
      <c r="U507" t="str">
        <f>"CENTRO"</f>
        <v>CENTRO</v>
      </c>
      <c r="V507" t="str">
        <f>"LAGUNA"</f>
        <v>LAGUNA</v>
      </c>
      <c r="W507" t="str">
        <f t="shared" si="253"/>
        <v>SC</v>
      </c>
      <c r="X507" t="str">
        <f t="shared" si="257"/>
        <v>48</v>
      </c>
      <c r="Y507" t="str">
        <f>"999186138"</f>
        <v>999186138</v>
      </c>
      <c r="Z507" t="str">
        <f>""</f>
        <v/>
      </c>
      <c r="AA507" t="str">
        <f>""</f>
        <v/>
      </c>
      <c r="AB507" t="str">
        <f>""</f>
        <v/>
      </c>
      <c r="AC507" t="str">
        <f>""</f>
        <v/>
      </c>
      <c r="AD507" t="str">
        <f>""</f>
        <v/>
      </c>
      <c r="AE507" t="str">
        <f>""</f>
        <v/>
      </c>
      <c r="AF507" t="str">
        <f>""</f>
        <v/>
      </c>
      <c r="AG507" t="str">
        <f>""</f>
        <v/>
      </c>
      <c r="AH507" t="str">
        <f>""</f>
        <v/>
      </c>
      <c r="AI507" t="str">
        <f>""</f>
        <v/>
      </c>
      <c r="AJ507" t="str">
        <f>""</f>
        <v/>
      </c>
      <c r="AK507" t="str">
        <f>""</f>
        <v/>
      </c>
      <c r="AL507" t="str">
        <f>""</f>
        <v/>
      </c>
      <c r="AM507" t="str">
        <f>""</f>
        <v/>
      </c>
      <c r="AN507" t="str">
        <f>""</f>
        <v/>
      </c>
      <c r="AO507" t="str">
        <f>""</f>
        <v/>
      </c>
      <c r="AP507" t="str">
        <f>""</f>
        <v/>
      </c>
      <c r="AQ507" t="str">
        <f>""</f>
        <v/>
      </c>
      <c r="AR507" t="str">
        <f>""</f>
        <v/>
      </c>
      <c r="AS507" t="str">
        <f>""</f>
        <v/>
      </c>
      <c r="AT507" t="str">
        <f>""</f>
        <v/>
      </c>
      <c r="AU507" t="str">
        <f>""</f>
        <v/>
      </c>
      <c r="AV507" t="str">
        <f>""</f>
        <v/>
      </c>
      <c r="AW507" t="str">
        <f>""</f>
        <v/>
      </c>
      <c r="AX507" t="str">
        <f>""</f>
        <v/>
      </c>
      <c r="AY507" t="str">
        <f>""</f>
        <v/>
      </c>
      <c r="AZ507" t="str">
        <f>""</f>
        <v/>
      </c>
      <c r="BA507" t="str">
        <f>""</f>
        <v/>
      </c>
      <c r="BB507" t="str">
        <f>"17/08/2023 16:48:06"</f>
        <v>17/08/2023 16:48:06</v>
      </c>
      <c r="BC507" t="str">
        <f>""</f>
        <v/>
      </c>
      <c r="BD507" t="str">
        <f>""</f>
        <v/>
      </c>
      <c r="BE507" t="str">
        <f>""</f>
        <v/>
      </c>
      <c r="BF507" t="str">
        <f t="shared" si="229"/>
        <v>A</v>
      </c>
      <c r="BG507" t="str">
        <f>""</f>
        <v/>
      </c>
      <c r="BH507" t="str">
        <f>""</f>
        <v/>
      </c>
      <c r="BI507" t="str">
        <f t="shared" si="251"/>
        <v>EVENTUAL</v>
      </c>
      <c r="BJ507" t="str">
        <f t="shared" si="230"/>
        <v>1</v>
      </c>
      <c r="BK507" t="str">
        <f t="shared" si="231"/>
        <v>Farmacia</v>
      </c>
      <c r="BL507" t="str">
        <f>""</f>
        <v/>
      </c>
      <c r="BM507" t="str">
        <f>""</f>
        <v/>
      </c>
      <c r="BN507" t="str">
        <f>""</f>
        <v/>
      </c>
      <c r="BO507" t="str">
        <f>""</f>
        <v/>
      </c>
      <c r="BP507" t="str">
        <f>""</f>
        <v/>
      </c>
      <c r="BQ507" t="str">
        <f>""</f>
        <v/>
      </c>
      <c r="BR507" t="str">
        <f>"17/08/2023"</f>
        <v>17/08/2023</v>
      </c>
      <c r="BS507" t="str">
        <f>""</f>
        <v/>
      </c>
      <c r="BT507" t="str">
        <f>""</f>
        <v/>
      </c>
      <c r="BU507" t="str">
        <f>""</f>
        <v/>
      </c>
      <c r="BV507" t="str">
        <f>""</f>
        <v/>
      </c>
      <c r="BW507" t="str">
        <f>"4"</f>
        <v>4</v>
      </c>
    </row>
    <row r="508" spans="1:75" x14ac:dyDescent="0.35">
      <c r="A508">
        <v>159585</v>
      </c>
      <c r="B508" t="str">
        <f t="shared" si="223"/>
        <v>A</v>
      </c>
      <c r="C508" t="str">
        <f t="shared" si="224"/>
        <v>80</v>
      </c>
      <c r="D508" t="str">
        <f t="shared" si="254"/>
        <v>11121002</v>
      </c>
      <c r="E508" t="str">
        <f t="shared" si="255"/>
        <v>121002</v>
      </c>
      <c r="F508" t="str">
        <f t="shared" si="256"/>
        <v>CINTHIA NORONHA</v>
      </c>
      <c r="G508" t="str">
        <f>"51503256000152"</f>
        <v>51503256000152</v>
      </c>
      <c r="H508" t="str">
        <f>""</f>
        <v/>
      </c>
      <c r="I508" t="str">
        <f t="shared" si="228"/>
        <v>CONTA OPTICA</v>
      </c>
      <c r="J508" t="str">
        <f>"51.503.256 FAGNER MILTON DE FREITAS"</f>
        <v>51.503.256 FAGNER MILTON DE FREITAS</v>
      </c>
      <c r="K508" t="str">
        <f>"ESTATUS OTICA ANTONIO CARLOS (4761)"</f>
        <v>ESTATUS OTICA ANTONIO CARLOS (4761)</v>
      </c>
      <c r="L508" t="str">
        <f>""</f>
        <v/>
      </c>
      <c r="M508" t="str">
        <f>""</f>
        <v/>
      </c>
      <c r="N508" t="str">
        <f>"ADMKAMILAFRANCO@GMAIL.COM"</f>
        <v>ADMKAMILAFRANCO@GMAIL.COM</v>
      </c>
      <c r="O508" t="str">
        <f>""</f>
        <v/>
      </c>
      <c r="P508" t="str">
        <f>"RUA JOAO HENRIQUE PAULI"</f>
        <v>RUA JOAO HENRIQUE PAULI</v>
      </c>
      <c r="Q508" t="str">
        <f>"139"</f>
        <v>139</v>
      </c>
      <c r="R508" t="str">
        <f>"SALA 03 LJ1"</f>
        <v>SALA 03 LJ1</v>
      </c>
      <c r="S508" t="str">
        <f>""</f>
        <v/>
      </c>
      <c r="T508" t="str">
        <f>"88180171"</f>
        <v>88180171</v>
      </c>
      <c r="U508" t="str">
        <f>"CENTRO"</f>
        <v>CENTRO</v>
      </c>
      <c r="V508" t="str">
        <f>"ANTONIO CARLOS"</f>
        <v>ANTONIO CARLOS</v>
      </c>
      <c r="W508" t="str">
        <f t="shared" si="253"/>
        <v>SC</v>
      </c>
      <c r="X508" t="str">
        <f t="shared" si="257"/>
        <v>48</v>
      </c>
      <c r="Y508" t="str">
        <f>"996766481"</f>
        <v>996766481</v>
      </c>
      <c r="Z508" t="str">
        <f>""</f>
        <v/>
      </c>
      <c r="AA508" t="str">
        <f>""</f>
        <v/>
      </c>
      <c r="AB508" t="str">
        <f>""</f>
        <v/>
      </c>
      <c r="AC508" t="str">
        <f>""</f>
        <v/>
      </c>
      <c r="AD508" t="str">
        <f>""</f>
        <v/>
      </c>
      <c r="AE508" t="str">
        <f>""</f>
        <v/>
      </c>
      <c r="AF508" t="str">
        <f>""</f>
        <v/>
      </c>
      <c r="AG508" t="str">
        <f>""</f>
        <v/>
      </c>
      <c r="AH508" t="str">
        <f>""</f>
        <v/>
      </c>
      <c r="AI508" t="str">
        <f>""</f>
        <v/>
      </c>
      <c r="AJ508" t="str">
        <f>""</f>
        <v/>
      </c>
      <c r="AK508" t="str">
        <f>""</f>
        <v/>
      </c>
      <c r="AL508" t="str">
        <f>""</f>
        <v/>
      </c>
      <c r="AM508" t="str">
        <f>""</f>
        <v/>
      </c>
      <c r="AN508" t="str">
        <f>""</f>
        <v/>
      </c>
      <c r="AO508" t="str">
        <f>""</f>
        <v/>
      </c>
      <c r="AP508" t="str">
        <f>""</f>
        <v/>
      </c>
      <c r="AQ508" t="str">
        <f>""</f>
        <v/>
      </c>
      <c r="AR508" t="str">
        <f>""</f>
        <v/>
      </c>
      <c r="AS508" t="str">
        <f>""</f>
        <v/>
      </c>
      <c r="AT508" t="str">
        <f>""</f>
        <v/>
      </c>
      <c r="AU508" t="str">
        <f>""</f>
        <v/>
      </c>
      <c r="AV508" t="str">
        <f>""</f>
        <v/>
      </c>
      <c r="AW508" t="str">
        <f>""</f>
        <v/>
      </c>
      <c r="AX508" t="str">
        <f>""</f>
        <v/>
      </c>
      <c r="AY508" t="str">
        <f>""</f>
        <v/>
      </c>
      <c r="AZ508" t="str">
        <f>""</f>
        <v/>
      </c>
      <c r="BA508" t="str">
        <f>""</f>
        <v/>
      </c>
      <c r="BB508" t="str">
        <f>"25/09/2023 11:47:13"</f>
        <v>25/09/2023 11:47:13</v>
      </c>
      <c r="BC508" t="str">
        <f>""</f>
        <v/>
      </c>
      <c r="BD508" t="str">
        <f>""</f>
        <v/>
      </c>
      <c r="BE508" t="str">
        <f>""</f>
        <v/>
      </c>
      <c r="BF508" t="str">
        <f t="shared" si="229"/>
        <v>A</v>
      </c>
      <c r="BG508" t="str">
        <f>""</f>
        <v/>
      </c>
      <c r="BH508" t="str">
        <f>""</f>
        <v/>
      </c>
      <c r="BI508" t="str">
        <f t="shared" si="251"/>
        <v>EVENTUAL</v>
      </c>
      <c r="BJ508" t="str">
        <f t="shared" si="230"/>
        <v>1</v>
      </c>
      <c r="BK508" t="str">
        <f t="shared" si="231"/>
        <v>Farmacia</v>
      </c>
      <c r="BL508" t="str">
        <f>""</f>
        <v/>
      </c>
      <c r="BM508" t="str">
        <f>""</f>
        <v/>
      </c>
      <c r="BN508" t="str">
        <f>""</f>
        <v/>
      </c>
      <c r="BO508" t="str">
        <f>""</f>
        <v/>
      </c>
      <c r="BP508" t="str">
        <f>""</f>
        <v/>
      </c>
      <c r="BQ508" t="str">
        <f>""</f>
        <v/>
      </c>
      <c r="BR508" t="str">
        <f>"25/09/2023"</f>
        <v>25/09/2023</v>
      </c>
      <c r="BS508" t="str">
        <f>""</f>
        <v/>
      </c>
      <c r="BT508" t="str">
        <f>""</f>
        <v/>
      </c>
      <c r="BU508" t="str">
        <f>""</f>
        <v/>
      </c>
      <c r="BV508" t="str">
        <f>""</f>
        <v/>
      </c>
      <c r="BW508" t="str">
        <f>"Não visitado"</f>
        <v>Não visitado</v>
      </c>
    </row>
    <row r="509" spans="1:75" x14ac:dyDescent="0.35">
      <c r="A509">
        <v>158694</v>
      </c>
      <c r="B509" t="str">
        <f t="shared" si="223"/>
        <v>A</v>
      </c>
      <c r="C509" t="str">
        <f t="shared" si="224"/>
        <v>80</v>
      </c>
      <c r="D509" t="str">
        <f t="shared" si="254"/>
        <v>11121002</v>
      </c>
      <c r="E509" t="str">
        <f t="shared" si="255"/>
        <v>121002</v>
      </c>
      <c r="F509" t="str">
        <f t="shared" si="256"/>
        <v>CINTHIA NORONHA</v>
      </c>
      <c r="G509" t="str">
        <f>"51601945000108"</f>
        <v>51601945000108</v>
      </c>
      <c r="H509" t="str">
        <f>""</f>
        <v/>
      </c>
      <c r="I509" t="str">
        <f t="shared" si="228"/>
        <v>CONTA OPTICA</v>
      </c>
      <c r="J509" t="str">
        <f>"51.601.945 JULIANO MAFIOLETTI"</f>
        <v>51.601.945 JULIANO MAFIOLETTI</v>
      </c>
      <c r="K509" t="str">
        <f>"OPTICA FORQUILHINHA (4756)"</f>
        <v>OPTICA FORQUILHINHA (4756)</v>
      </c>
      <c r="L509" t="str">
        <f>""</f>
        <v/>
      </c>
      <c r="M509" t="str">
        <f>""</f>
        <v/>
      </c>
      <c r="N509" t="str">
        <f>"OPTICA_FORQUILHINHA@HOTMAI.COM"</f>
        <v>OPTICA_FORQUILHINHA@HOTMAI.COM</v>
      </c>
      <c r="O509" t="str">
        <f>""</f>
        <v/>
      </c>
      <c r="P509" t="str">
        <f>"25 DE JULHO"</f>
        <v>25 DE JULHO</v>
      </c>
      <c r="Q509" t="str">
        <f>"2365"</f>
        <v>2365</v>
      </c>
      <c r="R509" t="str">
        <f>"SALA 23"</f>
        <v>SALA 23</v>
      </c>
      <c r="S509" t="str">
        <f>"1269"</f>
        <v>1269</v>
      </c>
      <c r="T509" t="str">
        <f>"88850000"</f>
        <v>88850000</v>
      </c>
      <c r="U509" t="str">
        <f>"CENTRO"</f>
        <v>CENTRO</v>
      </c>
      <c r="V509" t="str">
        <f>"FORQUILHINHA"</f>
        <v>FORQUILHINHA</v>
      </c>
      <c r="W509" t="str">
        <f t="shared" si="253"/>
        <v>SC</v>
      </c>
      <c r="X509" t="str">
        <f t="shared" si="257"/>
        <v>48</v>
      </c>
      <c r="Y509" t="str">
        <f>"999513959"</f>
        <v>999513959</v>
      </c>
      <c r="Z509" t="str">
        <f>""</f>
        <v/>
      </c>
      <c r="AA509" t="str">
        <f>""</f>
        <v/>
      </c>
      <c r="AB509" t="str">
        <f>""</f>
        <v/>
      </c>
      <c r="AC509" t="str">
        <f>""</f>
        <v/>
      </c>
      <c r="AD509" t="str">
        <f>""</f>
        <v/>
      </c>
      <c r="AE509" t="str">
        <f>""</f>
        <v/>
      </c>
      <c r="AF509" t="str">
        <f>""</f>
        <v/>
      </c>
      <c r="AG509" t="str">
        <f>""</f>
        <v/>
      </c>
      <c r="AH509" t="str">
        <f>""</f>
        <v/>
      </c>
      <c r="AI509" t="str">
        <f>""</f>
        <v/>
      </c>
      <c r="AJ509" t="str">
        <f>""</f>
        <v/>
      </c>
      <c r="AK509" t="str">
        <f>""</f>
        <v/>
      </c>
      <c r="AL509" t="str">
        <f>""</f>
        <v/>
      </c>
      <c r="AM509" t="str">
        <f>""</f>
        <v/>
      </c>
      <c r="AN509" t="str">
        <f>""</f>
        <v/>
      </c>
      <c r="AO509" t="str">
        <f>""</f>
        <v/>
      </c>
      <c r="AP509" t="str">
        <f>""</f>
        <v/>
      </c>
      <c r="AQ509" t="str">
        <f>""</f>
        <v/>
      </c>
      <c r="AR509" t="str">
        <f>""</f>
        <v/>
      </c>
      <c r="AS509" t="str">
        <f>""</f>
        <v/>
      </c>
      <c r="AT509" t="str">
        <f>""</f>
        <v/>
      </c>
      <c r="AU509" t="str">
        <f>""</f>
        <v/>
      </c>
      <c r="AV509" t="str">
        <f>""</f>
        <v/>
      </c>
      <c r="AW509" t="str">
        <f>""</f>
        <v/>
      </c>
      <c r="AX509" t="str">
        <f>""</f>
        <v/>
      </c>
      <c r="AY509" t="str">
        <f>""</f>
        <v/>
      </c>
      <c r="AZ509" t="str">
        <f>""</f>
        <v/>
      </c>
      <c r="BA509" t="str">
        <f>""</f>
        <v/>
      </c>
      <c r="BB509" t="str">
        <f>"17/08/2023 16:48:06"</f>
        <v>17/08/2023 16:48:06</v>
      </c>
      <c r="BC509" t="str">
        <f>""</f>
        <v/>
      </c>
      <c r="BD509" t="str">
        <f>""</f>
        <v/>
      </c>
      <c r="BE509" t="str">
        <f>""</f>
        <v/>
      </c>
      <c r="BF509" t="str">
        <f t="shared" si="229"/>
        <v>A</v>
      </c>
      <c r="BG509" t="str">
        <f>""</f>
        <v/>
      </c>
      <c r="BH509" t="str">
        <f>""</f>
        <v/>
      </c>
      <c r="BI509" t="str">
        <f t="shared" si="251"/>
        <v>EVENTUAL</v>
      </c>
      <c r="BJ509" t="str">
        <f t="shared" si="230"/>
        <v>1</v>
      </c>
      <c r="BK509" t="str">
        <f t="shared" si="231"/>
        <v>Farmacia</v>
      </c>
      <c r="BL509" t="str">
        <f>""</f>
        <v/>
      </c>
      <c r="BM509" t="str">
        <f>""</f>
        <v/>
      </c>
      <c r="BN509" t="str">
        <f>""</f>
        <v/>
      </c>
      <c r="BO509" t="str">
        <f>""</f>
        <v/>
      </c>
      <c r="BP509" t="str">
        <f>""</f>
        <v/>
      </c>
      <c r="BQ509" t="str">
        <f>""</f>
        <v/>
      </c>
      <c r="BR509" t="str">
        <f>"17/08/2023"</f>
        <v>17/08/2023</v>
      </c>
      <c r="BS509" t="str">
        <f>""</f>
        <v/>
      </c>
      <c r="BT509" t="str">
        <f>""</f>
        <v/>
      </c>
      <c r="BU509" t="str">
        <f>""</f>
        <v/>
      </c>
      <c r="BV509" t="str">
        <f>""</f>
        <v/>
      </c>
      <c r="BW509" t="str">
        <f>"66"</f>
        <v>66</v>
      </c>
    </row>
    <row r="510" spans="1:75" x14ac:dyDescent="0.35">
      <c r="A510">
        <v>159587</v>
      </c>
      <c r="B510" t="str">
        <f t="shared" si="223"/>
        <v>A</v>
      </c>
      <c r="C510" t="str">
        <f t="shared" si="224"/>
        <v>80</v>
      </c>
      <c r="D510" t="str">
        <f t="shared" si="254"/>
        <v>11121002</v>
      </c>
      <c r="E510" t="str">
        <f t="shared" si="255"/>
        <v>121002</v>
      </c>
      <c r="F510" t="str">
        <f t="shared" si="256"/>
        <v>CINTHIA NORONHA</v>
      </c>
      <c r="G510" t="str">
        <f>"51707139000100"</f>
        <v>51707139000100</v>
      </c>
      <c r="H510" t="str">
        <f>""</f>
        <v/>
      </c>
      <c r="I510" t="str">
        <f t="shared" si="228"/>
        <v>CONTA OPTICA</v>
      </c>
      <c r="J510" t="str">
        <f>"51.707.139 GABRIEL DE FREITAS SUS JUNIOR"</f>
        <v>51.707.139 GABRIEL DE FREITAS SUS JUNIOR</v>
      </c>
      <c r="K510" t="str">
        <f>"OTICA TOOL (4759)"</f>
        <v>OTICA TOOL (4759)</v>
      </c>
      <c r="L510" t="str">
        <f>""</f>
        <v/>
      </c>
      <c r="M510" t="str">
        <f>""</f>
        <v/>
      </c>
      <c r="N510" t="str">
        <f>"OTICATOOL@GMAIL.COM"</f>
        <v>OTICATOOL@GMAIL.COM</v>
      </c>
      <c r="O510" t="str">
        <f>""</f>
        <v/>
      </c>
      <c r="P510" t="str">
        <f>"RUA JOAO PIO DUARTE SILVA"</f>
        <v>RUA JOAO PIO DUARTE SILVA</v>
      </c>
      <c r="Q510" t="str">
        <f>"1353"</f>
        <v>1353</v>
      </c>
      <c r="R510" t="str">
        <f>"APTO 101"</f>
        <v>APTO 101</v>
      </c>
      <c r="S510" t="str">
        <f>""</f>
        <v/>
      </c>
      <c r="T510" t="str">
        <f>"88037000"</f>
        <v>88037000</v>
      </c>
      <c r="U510" t="str">
        <f>"CORREGO GRANDE"</f>
        <v>CORREGO GRANDE</v>
      </c>
      <c r="V510" t="str">
        <f>"FLORIANOPOLIS"</f>
        <v>FLORIANOPOLIS</v>
      </c>
      <c r="W510" t="str">
        <f t="shared" si="253"/>
        <v>SC</v>
      </c>
      <c r="X510" t="str">
        <f t="shared" si="257"/>
        <v>48</v>
      </c>
      <c r="Y510" t="str">
        <f>"996203707"</f>
        <v>996203707</v>
      </c>
      <c r="Z510" t="str">
        <f>""</f>
        <v/>
      </c>
      <c r="AA510" t="str">
        <f>""</f>
        <v/>
      </c>
      <c r="AB510" t="str">
        <f>""</f>
        <v/>
      </c>
      <c r="AC510" t="str">
        <f>""</f>
        <v/>
      </c>
      <c r="AD510" t="str">
        <f>""</f>
        <v/>
      </c>
      <c r="AE510" t="str">
        <f>""</f>
        <v/>
      </c>
      <c r="AF510" t="str">
        <f>""</f>
        <v/>
      </c>
      <c r="AG510" t="str">
        <f>""</f>
        <v/>
      </c>
      <c r="AH510" t="str">
        <f>""</f>
        <v/>
      </c>
      <c r="AI510" t="str">
        <f>""</f>
        <v/>
      </c>
      <c r="AJ510" t="str">
        <f>""</f>
        <v/>
      </c>
      <c r="AK510" t="str">
        <f>""</f>
        <v/>
      </c>
      <c r="AL510" t="str">
        <f>""</f>
        <v/>
      </c>
      <c r="AM510" t="str">
        <f>""</f>
        <v/>
      </c>
      <c r="AN510" t="str">
        <f>""</f>
        <v/>
      </c>
      <c r="AO510" t="str">
        <f>""</f>
        <v/>
      </c>
      <c r="AP510" t="str">
        <f>""</f>
        <v/>
      </c>
      <c r="AQ510" t="str">
        <f>""</f>
        <v/>
      </c>
      <c r="AR510" t="str">
        <f>""</f>
        <v/>
      </c>
      <c r="AS510" t="str">
        <f>""</f>
        <v/>
      </c>
      <c r="AT510" t="str">
        <f>""</f>
        <v/>
      </c>
      <c r="AU510" t="str">
        <f>""</f>
        <v/>
      </c>
      <c r="AV510" t="str">
        <f>""</f>
        <v/>
      </c>
      <c r="AW510" t="str">
        <f>""</f>
        <v/>
      </c>
      <c r="AX510" t="str">
        <f>""</f>
        <v/>
      </c>
      <c r="AY510" t="str">
        <f>""</f>
        <v/>
      </c>
      <c r="AZ510" t="str">
        <f>""</f>
        <v/>
      </c>
      <c r="BA510" t="str">
        <f>""</f>
        <v/>
      </c>
      <c r="BB510" t="str">
        <f>"25/09/2023 11:47:13"</f>
        <v>25/09/2023 11:47:13</v>
      </c>
      <c r="BC510" t="str">
        <f>""</f>
        <v/>
      </c>
      <c r="BD510" t="str">
        <f>""</f>
        <v/>
      </c>
      <c r="BE510" t="str">
        <f>""</f>
        <v/>
      </c>
      <c r="BF510" t="str">
        <f t="shared" si="229"/>
        <v>A</v>
      </c>
      <c r="BG510" t="str">
        <f>""</f>
        <v/>
      </c>
      <c r="BH510" t="str">
        <f>""</f>
        <v/>
      </c>
      <c r="BI510" t="str">
        <f t="shared" si="251"/>
        <v>EVENTUAL</v>
      </c>
      <c r="BJ510" t="str">
        <f t="shared" si="230"/>
        <v>1</v>
      </c>
      <c r="BK510" t="str">
        <f t="shared" si="231"/>
        <v>Farmacia</v>
      </c>
      <c r="BL510" t="str">
        <f>""</f>
        <v/>
      </c>
      <c r="BM510" t="str">
        <f>""</f>
        <v/>
      </c>
      <c r="BN510" t="str">
        <f>""</f>
        <v/>
      </c>
      <c r="BO510" t="str">
        <f>""</f>
        <v/>
      </c>
      <c r="BP510" t="str">
        <f>""</f>
        <v/>
      </c>
      <c r="BQ510" t="str">
        <f>""</f>
        <v/>
      </c>
      <c r="BR510" t="str">
        <f>"25/09/2023"</f>
        <v>25/09/2023</v>
      </c>
      <c r="BS510" t="str">
        <f>""</f>
        <v/>
      </c>
      <c r="BT510" t="str">
        <f>""</f>
        <v/>
      </c>
      <c r="BU510" t="str">
        <f>""</f>
        <v/>
      </c>
      <c r="BV510" t="str">
        <f>""</f>
        <v/>
      </c>
      <c r="BW510" t="str">
        <f>"2"</f>
        <v>2</v>
      </c>
    </row>
    <row r="511" spans="1:75" x14ac:dyDescent="0.35">
      <c r="A511">
        <v>159589</v>
      </c>
      <c r="B511" t="str">
        <f t="shared" si="223"/>
        <v>A</v>
      </c>
      <c r="C511" t="str">
        <f t="shared" si="224"/>
        <v>80</v>
      </c>
      <c r="D511" t="str">
        <f t="shared" si="254"/>
        <v>11121002</v>
      </c>
      <c r="E511" t="str">
        <f t="shared" si="255"/>
        <v>121002</v>
      </c>
      <c r="F511" t="str">
        <f t="shared" si="256"/>
        <v>CINTHIA NORONHA</v>
      </c>
      <c r="G511" t="str">
        <f>"51766968000164"</f>
        <v>51766968000164</v>
      </c>
      <c r="H511" t="str">
        <f>""</f>
        <v/>
      </c>
      <c r="I511" t="str">
        <f t="shared" si="228"/>
        <v>CONTA OPTICA</v>
      </c>
      <c r="J511" t="str">
        <f>"51.766.968 RENATA LARISSA FURTADO MAIA COSTA"</f>
        <v>51.766.968 RENATA LARISSA FURTADO MAIA COSTA</v>
      </c>
      <c r="K511" t="str">
        <f>"OTICA ELEGANCE (4757)"</f>
        <v>OTICA ELEGANCE (4757)</v>
      </c>
      <c r="L511" t="str">
        <f>""</f>
        <v/>
      </c>
      <c r="M511" t="str">
        <f>""</f>
        <v/>
      </c>
      <c r="N511" t="str">
        <f>"RHENATAMAIA@OUTLOOK.COM"</f>
        <v>RHENATAMAIA@OUTLOOK.COM</v>
      </c>
      <c r="O511" t="str">
        <f>""</f>
        <v/>
      </c>
      <c r="P511" t="str">
        <f>"RUA MANOEL ROSA"</f>
        <v>RUA MANOEL ROSA</v>
      </c>
      <c r="Q511" t="str">
        <f>"116"</f>
        <v>116</v>
      </c>
      <c r="R511" t="str">
        <f>""</f>
        <v/>
      </c>
      <c r="S511" t="str">
        <f>""</f>
        <v/>
      </c>
      <c r="T511" t="str">
        <f>"88113835"</f>
        <v>88113835</v>
      </c>
      <c r="U511" t="str">
        <f>"AREIAS"</f>
        <v>AREIAS</v>
      </c>
      <c r="V511" t="str">
        <f>"SAO JOSE"</f>
        <v>SAO JOSE</v>
      </c>
      <c r="W511" t="str">
        <f t="shared" si="253"/>
        <v>SC</v>
      </c>
      <c r="X511" t="str">
        <f t="shared" si="257"/>
        <v>48</v>
      </c>
      <c r="Y511" t="str">
        <f>"999215716"</f>
        <v>999215716</v>
      </c>
      <c r="Z511" t="str">
        <f>""</f>
        <v/>
      </c>
      <c r="AA511" t="str">
        <f>""</f>
        <v/>
      </c>
      <c r="AB511" t="str">
        <f>""</f>
        <v/>
      </c>
      <c r="AC511" t="str">
        <f>""</f>
        <v/>
      </c>
      <c r="AD511" t="str">
        <f>""</f>
        <v/>
      </c>
      <c r="AE511" t="str">
        <f>""</f>
        <v/>
      </c>
      <c r="AF511" t="str">
        <f>""</f>
        <v/>
      </c>
      <c r="AG511" t="str">
        <f>""</f>
        <v/>
      </c>
      <c r="AH511" t="str">
        <f>""</f>
        <v/>
      </c>
      <c r="AI511" t="str">
        <f>""</f>
        <v/>
      </c>
      <c r="AJ511" t="str">
        <f>""</f>
        <v/>
      </c>
      <c r="AK511" t="str">
        <f>""</f>
        <v/>
      </c>
      <c r="AL511" t="str">
        <f>""</f>
        <v/>
      </c>
      <c r="AM511" t="str">
        <f>""</f>
        <v/>
      </c>
      <c r="AN511" t="str">
        <f>""</f>
        <v/>
      </c>
      <c r="AO511" t="str">
        <f>""</f>
        <v/>
      </c>
      <c r="AP511" t="str">
        <f>""</f>
        <v/>
      </c>
      <c r="AQ511" t="str">
        <f>""</f>
        <v/>
      </c>
      <c r="AR511" t="str">
        <f>""</f>
        <v/>
      </c>
      <c r="AS511" t="str">
        <f>""</f>
        <v/>
      </c>
      <c r="AT511" t="str">
        <f>""</f>
        <v/>
      </c>
      <c r="AU511" t="str">
        <f>""</f>
        <v/>
      </c>
      <c r="AV511" t="str">
        <f>""</f>
        <v/>
      </c>
      <c r="AW511" t="str">
        <f>""</f>
        <v/>
      </c>
      <c r="AX511" t="str">
        <f>""</f>
        <v/>
      </c>
      <c r="AY511" t="str">
        <f>""</f>
        <v/>
      </c>
      <c r="AZ511" t="str">
        <f>""</f>
        <v/>
      </c>
      <c r="BA511" t="str">
        <f>""</f>
        <v/>
      </c>
      <c r="BB511" t="str">
        <f>"25/09/2023 11:47:13"</f>
        <v>25/09/2023 11:47:13</v>
      </c>
      <c r="BC511" t="str">
        <f>""</f>
        <v/>
      </c>
      <c r="BD511" t="str">
        <f>""</f>
        <v/>
      </c>
      <c r="BE511" t="str">
        <f>""</f>
        <v/>
      </c>
      <c r="BF511" t="str">
        <f t="shared" si="229"/>
        <v>A</v>
      </c>
      <c r="BG511" t="str">
        <f>""</f>
        <v/>
      </c>
      <c r="BH511" t="str">
        <f>""</f>
        <v/>
      </c>
      <c r="BI511" t="str">
        <f t="shared" si="251"/>
        <v>EVENTUAL</v>
      </c>
      <c r="BJ511" t="str">
        <f t="shared" si="230"/>
        <v>1</v>
      </c>
      <c r="BK511" t="str">
        <f t="shared" si="231"/>
        <v>Farmacia</v>
      </c>
      <c r="BL511" t="str">
        <f>""</f>
        <v/>
      </c>
      <c r="BM511" t="str">
        <f>""</f>
        <v/>
      </c>
      <c r="BN511" t="str">
        <f>""</f>
        <v/>
      </c>
      <c r="BO511" t="str">
        <f>""</f>
        <v/>
      </c>
      <c r="BP511" t="str">
        <f>""</f>
        <v/>
      </c>
      <c r="BQ511" t="str">
        <f>""</f>
        <v/>
      </c>
      <c r="BR511" t="str">
        <f>"25/09/2023"</f>
        <v>25/09/2023</v>
      </c>
      <c r="BS511" t="str">
        <f>""</f>
        <v/>
      </c>
      <c r="BT511" t="str">
        <f>""</f>
        <v/>
      </c>
      <c r="BU511" t="str">
        <f>""</f>
        <v/>
      </c>
      <c r="BV511" t="str">
        <f>""</f>
        <v/>
      </c>
      <c r="BW511" t="str">
        <f>"42"</f>
        <v>42</v>
      </c>
    </row>
    <row r="512" spans="1:75" x14ac:dyDescent="0.35">
      <c r="A512">
        <v>157695</v>
      </c>
      <c r="B512" t="str">
        <f t="shared" si="223"/>
        <v>A</v>
      </c>
      <c r="C512" t="str">
        <f t="shared" si="224"/>
        <v>80</v>
      </c>
      <c r="D512" t="str">
        <f t="shared" si="254"/>
        <v>11121002</v>
      </c>
      <c r="E512" t="str">
        <f t="shared" si="255"/>
        <v>121002</v>
      </c>
      <c r="F512" t="str">
        <f t="shared" si="256"/>
        <v>CINTHIA NORONHA</v>
      </c>
      <c r="G512" t="str">
        <f>"37202859000193"</f>
        <v>37202859000193</v>
      </c>
      <c r="H512" t="str">
        <f>"0"</f>
        <v>0</v>
      </c>
      <c r="I512" t="str">
        <f t="shared" si="228"/>
        <v>CONTA OPTICA</v>
      </c>
      <c r="J512" t="str">
        <f>"88 COMERCIO DE ARTIGOS OPTICOS LTDA"</f>
        <v>88 COMERCIO DE ARTIGOS OPTICOS LTDA</v>
      </c>
      <c r="K512" t="str">
        <f>"88 OTICA (4149)"</f>
        <v>88 OTICA (4149)</v>
      </c>
      <c r="L512" t="str">
        <f>""</f>
        <v/>
      </c>
      <c r="M512" t="str">
        <f>""</f>
        <v/>
      </c>
      <c r="N512" t="str">
        <f>"FINANCEIRO@88OTICA.COM.BR"</f>
        <v>FINANCEIRO@88OTICA.COM.BR</v>
      </c>
      <c r="O512" t="str">
        <f>""</f>
        <v/>
      </c>
      <c r="P512" t="str">
        <f>"RUA VEREADOR ARTHUR MANOEL MARIANO"</f>
        <v>RUA VEREADOR ARTHUR MANOEL MARIANO</v>
      </c>
      <c r="Q512" t="str">
        <f>"362"</f>
        <v>362</v>
      </c>
      <c r="R512" t="str">
        <f>"SALA 11"</f>
        <v>SALA 11</v>
      </c>
      <c r="S512" t="str">
        <f>"1259"</f>
        <v>1259</v>
      </c>
      <c r="T512" t="str">
        <f>"88106500"</f>
        <v>88106500</v>
      </c>
      <c r="U512" t="str">
        <f>"FORQUILHINHA"</f>
        <v>FORQUILHINHA</v>
      </c>
      <c r="V512" t="str">
        <f>"SAO JOSE"</f>
        <v>SAO JOSE</v>
      </c>
      <c r="W512" t="str">
        <f t="shared" si="253"/>
        <v>SC</v>
      </c>
      <c r="X512" t="str">
        <f t="shared" si="257"/>
        <v>48</v>
      </c>
      <c r="Y512" t="str">
        <f>"999236594"</f>
        <v>999236594</v>
      </c>
      <c r="Z512" t="str">
        <f>""</f>
        <v/>
      </c>
      <c r="AA512" t="str">
        <f>""</f>
        <v/>
      </c>
      <c r="AB512" t="str">
        <f>""</f>
        <v/>
      </c>
      <c r="AC512" t="str">
        <f>""</f>
        <v/>
      </c>
      <c r="AD512" t="str">
        <f>""</f>
        <v/>
      </c>
      <c r="AE512" t="str">
        <f>""</f>
        <v/>
      </c>
      <c r="AF512" t="str">
        <f>""</f>
        <v/>
      </c>
      <c r="AG512" t="str">
        <f>""</f>
        <v/>
      </c>
      <c r="AH512" t="str">
        <f>""</f>
        <v/>
      </c>
      <c r="AI512" t="str">
        <f>""</f>
        <v/>
      </c>
      <c r="AJ512" t="str">
        <f>""</f>
        <v/>
      </c>
      <c r="AK512" t="str">
        <f>""</f>
        <v/>
      </c>
      <c r="AL512" t="str">
        <f>""</f>
        <v/>
      </c>
      <c r="AM512" t="str">
        <f>""</f>
        <v/>
      </c>
      <c r="AN512" t="str">
        <f>""</f>
        <v/>
      </c>
      <c r="AO512" t="str">
        <f>""</f>
        <v/>
      </c>
      <c r="AP512" t="str">
        <f>""</f>
        <v/>
      </c>
      <c r="AQ512" t="str">
        <f>""</f>
        <v/>
      </c>
      <c r="AR512" t="str">
        <f>""</f>
        <v/>
      </c>
      <c r="AS512" t="str">
        <f>""</f>
        <v/>
      </c>
      <c r="AT512" t="str">
        <f>""</f>
        <v/>
      </c>
      <c r="AU512" t="str">
        <f>""</f>
        <v/>
      </c>
      <c r="AV512" t="str">
        <f>""</f>
        <v/>
      </c>
      <c r="AW512" t="str">
        <f>""</f>
        <v/>
      </c>
      <c r="AX512" t="str">
        <f>""</f>
        <v/>
      </c>
      <c r="AY512" t="str">
        <f>""</f>
        <v/>
      </c>
      <c r="AZ512" t="str">
        <f>""</f>
        <v/>
      </c>
      <c r="BA512" t="str">
        <f>""</f>
        <v/>
      </c>
      <c r="BB512" t="str">
        <f>"11/07/2023 02:19:56"</f>
        <v>11/07/2023 02:19:56</v>
      </c>
      <c r="BC512" t="str">
        <f>""</f>
        <v/>
      </c>
      <c r="BD512" t="str">
        <f>""</f>
        <v/>
      </c>
      <c r="BE512" t="str">
        <f>""</f>
        <v/>
      </c>
      <c r="BF512" t="str">
        <f t="shared" si="229"/>
        <v>A</v>
      </c>
      <c r="BG512" t="str">
        <f>""</f>
        <v/>
      </c>
      <c r="BH512" t="str">
        <f>""</f>
        <v/>
      </c>
      <c r="BI512" t="str">
        <f t="shared" si="251"/>
        <v>EVENTUAL</v>
      </c>
      <c r="BJ512" t="str">
        <f t="shared" si="230"/>
        <v>1</v>
      </c>
      <c r="BK512" t="str">
        <f t="shared" si="231"/>
        <v>Farmacia</v>
      </c>
      <c r="BL512" t="str">
        <f>""</f>
        <v/>
      </c>
      <c r="BM512" t="str">
        <f>""</f>
        <v/>
      </c>
      <c r="BN512" t="str">
        <f>""</f>
        <v/>
      </c>
      <c r="BO512" t="str">
        <f>""</f>
        <v/>
      </c>
      <c r="BP512" t="str">
        <f>""</f>
        <v/>
      </c>
      <c r="BQ512" t="str">
        <f>""</f>
        <v/>
      </c>
      <c r="BR512" t="str">
        <f>"11/07/2023"</f>
        <v>11/07/2023</v>
      </c>
      <c r="BS512" t="str">
        <f>""</f>
        <v/>
      </c>
      <c r="BT512" t="str">
        <f>""</f>
        <v/>
      </c>
      <c r="BU512" t="str">
        <f>""</f>
        <v/>
      </c>
      <c r="BV512" t="str">
        <f>""</f>
        <v/>
      </c>
      <c r="BW512" t="str">
        <f>"Não visitado"</f>
        <v>Não visitado</v>
      </c>
    </row>
    <row r="513" spans="1:75" x14ac:dyDescent="0.35">
      <c r="A513">
        <v>134328</v>
      </c>
      <c r="B513" t="str">
        <f t="shared" si="223"/>
        <v>A</v>
      </c>
      <c r="C513" t="str">
        <f t="shared" si="224"/>
        <v>80</v>
      </c>
      <c r="D513" t="str">
        <f t="shared" si="254"/>
        <v>11121002</v>
      </c>
      <c r="E513" t="str">
        <f t="shared" si="255"/>
        <v>121002</v>
      </c>
      <c r="F513" t="str">
        <f t="shared" si="256"/>
        <v>CINTHIA NORONHA</v>
      </c>
      <c r="G513" t="str">
        <f>"34698469000168"</f>
        <v>34698469000168</v>
      </c>
      <c r="H513" t="str">
        <f>""</f>
        <v/>
      </c>
      <c r="I513" t="str">
        <f t="shared" si="228"/>
        <v>CONTA OPTICA</v>
      </c>
      <c r="J513" t="str">
        <f>"A E E OTICA LTDA"</f>
        <v>A E E OTICA LTDA</v>
      </c>
      <c r="K513" t="str">
        <f>"ELEVE (4083)"</f>
        <v>ELEVE (4083)</v>
      </c>
      <c r="L513" t="str">
        <f>""</f>
        <v/>
      </c>
      <c r="M513" t="str">
        <f>""</f>
        <v/>
      </c>
      <c r="N513" t="str">
        <f>"oticaeleve@gmail.com"</f>
        <v>oticaeleve@gmail.com</v>
      </c>
      <c r="O513" t="str">
        <f>""</f>
        <v/>
      </c>
      <c r="P513" t="str">
        <f>"RUA DINARTE DOMINGUES"</f>
        <v>RUA DINARTE DOMINGUES</v>
      </c>
      <c r="Q513" t="str">
        <f>"543"</f>
        <v>543</v>
      </c>
      <c r="R513" t="str">
        <f>"LOJA 04"</f>
        <v>LOJA 04</v>
      </c>
      <c r="S513" t="str">
        <f>""</f>
        <v/>
      </c>
      <c r="T513" t="str">
        <f>"88101070"</f>
        <v>88101070</v>
      </c>
      <c r="U513" t="str">
        <f>"KOBRASOL"</f>
        <v>KOBRASOL</v>
      </c>
      <c r="V513" t="str">
        <f>"SÃO JOSÉ"</f>
        <v>SÃO JOSÉ</v>
      </c>
      <c r="W513" t="str">
        <f t="shared" si="253"/>
        <v>SC</v>
      </c>
      <c r="X513" t="str">
        <f t="shared" si="257"/>
        <v>48</v>
      </c>
      <c r="Y513" t="str">
        <f>"33751004"</f>
        <v>33751004</v>
      </c>
      <c r="Z513" t="str">
        <f>""</f>
        <v/>
      </c>
      <c r="AA513" t="str">
        <f>""</f>
        <v/>
      </c>
      <c r="AB513" t="str">
        <f>""</f>
        <v/>
      </c>
      <c r="AC513" t="str">
        <f>""</f>
        <v/>
      </c>
      <c r="AD513" t="str">
        <f>""</f>
        <v/>
      </c>
      <c r="AE513" t="str">
        <f>""</f>
        <v/>
      </c>
      <c r="AF513" t="str">
        <f>""</f>
        <v/>
      </c>
      <c r="AG513" t="str">
        <f>"S"</f>
        <v>S</v>
      </c>
      <c r="AH513" t="str">
        <f>""</f>
        <v/>
      </c>
      <c r="AI513" t="str">
        <f>""</f>
        <v/>
      </c>
      <c r="AJ513" t="str">
        <f t="shared" ref="AJ513:AL514" si="258">"0"</f>
        <v>0</v>
      </c>
      <c r="AK513" t="str">
        <f t="shared" si="258"/>
        <v>0</v>
      </c>
      <c r="AL513" t="str">
        <f t="shared" si="258"/>
        <v>0</v>
      </c>
      <c r="AM513" t="str">
        <f>""</f>
        <v/>
      </c>
      <c r="AN513" t="str">
        <f>""</f>
        <v/>
      </c>
      <c r="AO513" t="str">
        <f>""</f>
        <v/>
      </c>
      <c r="AP513" t="str">
        <f>""</f>
        <v/>
      </c>
      <c r="AQ513" t="str">
        <f>"N"</f>
        <v>N</v>
      </c>
      <c r="AR513" t="str">
        <f>"N"</f>
        <v>N</v>
      </c>
      <c r="AS513" t="str">
        <f>"N"</f>
        <v>N</v>
      </c>
      <c r="AT513" t="str">
        <f>"N"</f>
        <v>N</v>
      </c>
      <c r="AU513" t="str">
        <f>"N"</f>
        <v>N</v>
      </c>
      <c r="AV513" t="str">
        <f>""</f>
        <v/>
      </c>
      <c r="AW513" t="str">
        <f>""</f>
        <v/>
      </c>
      <c r="AX513" t="str">
        <f>""</f>
        <v/>
      </c>
      <c r="AY513" t="str">
        <f>""</f>
        <v/>
      </c>
      <c r="AZ513" t="str">
        <f>""</f>
        <v/>
      </c>
      <c r="BA513" t="str">
        <f>""</f>
        <v/>
      </c>
      <c r="BB513" t="str">
        <f>""</f>
        <v/>
      </c>
      <c r="BC513" t="str">
        <f>"25/04/2022 13:53:10"</f>
        <v>25/04/2022 13:53:10</v>
      </c>
      <c r="BD513" t="str">
        <f>""</f>
        <v/>
      </c>
      <c r="BE513" t="str">
        <f>""</f>
        <v/>
      </c>
      <c r="BF513" t="str">
        <f t="shared" si="229"/>
        <v>A</v>
      </c>
      <c r="BG513" t="str">
        <f>"0,00"</f>
        <v>0,00</v>
      </c>
      <c r="BH513" t="str">
        <f>"0,00"</f>
        <v>0,00</v>
      </c>
      <c r="BI513" t="str">
        <f t="shared" si="251"/>
        <v>EVENTUAL</v>
      </c>
      <c r="BJ513" t="str">
        <f t="shared" si="230"/>
        <v>1</v>
      </c>
      <c r="BK513" t="str">
        <f t="shared" si="231"/>
        <v>Farmacia</v>
      </c>
      <c r="BL513" t="str">
        <f>""</f>
        <v/>
      </c>
      <c r="BM513" t="str">
        <f>"CREDENCIADO VARILUX"</f>
        <v>CREDENCIADO VARILUX</v>
      </c>
      <c r="BN513" t="str">
        <f>"NA"</f>
        <v>NA</v>
      </c>
      <c r="BO513" t="str">
        <f>"FOCO VARILUX DIGITAL"</f>
        <v>FOCO VARILUX DIGITAL</v>
      </c>
      <c r="BP513" t="str">
        <f>""</f>
        <v/>
      </c>
      <c r="BQ513" t="str">
        <f>""</f>
        <v/>
      </c>
      <c r="BR513" t="str">
        <f>""</f>
        <v/>
      </c>
      <c r="BS513" t="str">
        <f>"25/04/2022"</f>
        <v>25/04/2022</v>
      </c>
      <c r="BT513" t="str">
        <f>""</f>
        <v/>
      </c>
      <c r="BU513" t="str">
        <f>""</f>
        <v/>
      </c>
      <c r="BV513" t="str">
        <f>"5"</f>
        <v>5</v>
      </c>
      <c r="BW513" t="str">
        <f>"514"</f>
        <v>514</v>
      </c>
    </row>
    <row r="514" spans="1:75" x14ac:dyDescent="0.35">
      <c r="A514">
        <v>438</v>
      </c>
      <c r="B514" t="str">
        <f t="shared" ref="B514:B577" si="259">"A"</f>
        <v>A</v>
      </c>
      <c r="C514" t="str">
        <f t="shared" ref="C514:C577" si="260">"80"</f>
        <v>80</v>
      </c>
      <c r="D514" t="str">
        <f t="shared" si="254"/>
        <v>11121002</v>
      </c>
      <c r="E514" t="str">
        <f t="shared" si="255"/>
        <v>121002</v>
      </c>
      <c r="F514" t="str">
        <f t="shared" si="256"/>
        <v>CINTHIA NORONHA</v>
      </c>
      <c r="G514" t="str">
        <f>"07453692000172"</f>
        <v>07453692000172</v>
      </c>
      <c r="H514" t="str">
        <f>""</f>
        <v/>
      </c>
      <c r="I514" t="str">
        <f t="shared" ref="I514:I577" si="261">"CONTA OPTICA"</f>
        <v>CONTA OPTICA</v>
      </c>
      <c r="J514" t="str">
        <f>"A G OTICA E RELOJOARIA LTDA ME"</f>
        <v>A G OTICA E RELOJOARIA LTDA ME</v>
      </c>
      <c r="K514" t="str">
        <f>"OTICA E RELOJOARIA GIZELE (3002)"</f>
        <v>OTICA E RELOJOARIA GIZELE (3002)</v>
      </c>
      <c r="L514" t="str">
        <f>""</f>
        <v/>
      </c>
      <c r="M514" t="str">
        <f>""</f>
        <v/>
      </c>
      <c r="N514" t="str">
        <f>"oticagizele@gmail.com"</f>
        <v>oticagizele@gmail.com</v>
      </c>
      <c r="O514" t="str">
        <f>""</f>
        <v/>
      </c>
      <c r="P514" t="str">
        <f>"RUA DOUTOR CONSTANCIO KRUMMEL"</f>
        <v>RUA DOUTOR CONSTANCIO KRUMMEL</v>
      </c>
      <c r="Q514" t="str">
        <f>"2183"</f>
        <v>2183</v>
      </c>
      <c r="R514" t="str">
        <f>""</f>
        <v/>
      </c>
      <c r="S514" t="str">
        <f>"1259"</f>
        <v>1259</v>
      </c>
      <c r="T514" t="str">
        <f>"88103600"</f>
        <v>88103600</v>
      </c>
      <c r="U514" t="str">
        <f>"PRAIA COMPRIDA"</f>
        <v>PRAIA COMPRIDA</v>
      </c>
      <c r="V514" t="str">
        <f>"SÃO JOSÉ"</f>
        <v>SÃO JOSÉ</v>
      </c>
      <c r="W514" t="str">
        <f t="shared" si="253"/>
        <v>SC</v>
      </c>
      <c r="X514" t="str">
        <f t="shared" si="257"/>
        <v>48</v>
      </c>
      <c r="Y514" t="str">
        <f>"30945624"</f>
        <v>30945624</v>
      </c>
      <c r="Z514" t="str">
        <f>""</f>
        <v/>
      </c>
      <c r="AA514" t="str">
        <f>""</f>
        <v/>
      </c>
      <c r="AB514" t="str">
        <f>""</f>
        <v/>
      </c>
      <c r="AC514" t="str">
        <f>""</f>
        <v/>
      </c>
      <c r="AD514" t="str">
        <f>""</f>
        <v/>
      </c>
      <c r="AE514" t="str">
        <f>""</f>
        <v/>
      </c>
      <c r="AF514" t="str">
        <f>""</f>
        <v/>
      </c>
      <c r="AG514" t="str">
        <f>""</f>
        <v/>
      </c>
      <c r="AH514" t="str">
        <f>""</f>
        <v/>
      </c>
      <c r="AI514" t="str">
        <f>""</f>
        <v/>
      </c>
      <c r="AJ514" t="str">
        <f t="shared" si="258"/>
        <v>0</v>
      </c>
      <c r="AK514" t="str">
        <f t="shared" si="258"/>
        <v>0</v>
      </c>
      <c r="AL514" t="str">
        <f t="shared" si="258"/>
        <v>0</v>
      </c>
      <c r="AM514" t="str">
        <f>""</f>
        <v/>
      </c>
      <c r="AN514" t="str">
        <f>""</f>
        <v/>
      </c>
      <c r="AO514" t="str">
        <f>""</f>
        <v/>
      </c>
      <c r="AP514" t="str">
        <f>""</f>
        <v/>
      </c>
      <c r="AQ514" t="str">
        <f>""</f>
        <v/>
      </c>
      <c r="AR514" t="str">
        <f>""</f>
        <v/>
      </c>
      <c r="AS514" t="str">
        <f>""</f>
        <v/>
      </c>
      <c r="AT514" t="str">
        <f>""</f>
        <v/>
      </c>
      <c r="AU514" t="str">
        <f>""</f>
        <v/>
      </c>
      <c r="AV514" t="str">
        <f>""</f>
        <v/>
      </c>
      <c r="AW514" t="str">
        <f>""</f>
        <v/>
      </c>
      <c r="AX514" t="str">
        <f>""</f>
        <v/>
      </c>
      <c r="AY514" t="str">
        <f>""</f>
        <v/>
      </c>
      <c r="AZ514" t="str">
        <f>""</f>
        <v/>
      </c>
      <c r="BA514" t="str">
        <f>""</f>
        <v/>
      </c>
      <c r="BB514" t="str">
        <f>"27/07/2018 09:25:43"</f>
        <v>27/07/2018 09:25:43</v>
      </c>
      <c r="BC514" t="str">
        <f>""</f>
        <v/>
      </c>
      <c r="BD514" t="str">
        <f>""</f>
        <v/>
      </c>
      <c r="BE514" t="str">
        <f>"438"</f>
        <v>438</v>
      </c>
      <c r="BF514" t="str">
        <f t="shared" ref="BF514:BF577" si="262">"A"</f>
        <v>A</v>
      </c>
      <c r="BG514" t="str">
        <f>"0,00"</f>
        <v>0,00</v>
      </c>
      <c r="BH514" t="str">
        <f>"0,00"</f>
        <v>0,00</v>
      </c>
      <c r="BI514" t="str">
        <f t="shared" si="251"/>
        <v>EVENTUAL</v>
      </c>
      <c r="BJ514" t="str">
        <f t="shared" ref="BJ514:BJ577" si="263">"1"</f>
        <v>1</v>
      </c>
      <c r="BK514" t="str">
        <f t="shared" ref="BK514:BK577" si="264">"Farmacia"</f>
        <v>Farmacia</v>
      </c>
      <c r="BL514" t="str">
        <f>""</f>
        <v/>
      </c>
      <c r="BM514" t="str">
        <f>"NÃO É VARILUX ESPECIALISTA"</f>
        <v>NÃO É VARILUX ESPECIALISTA</v>
      </c>
      <c r="BN514" t="str">
        <f>""</f>
        <v/>
      </c>
      <c r="BO514" t="str">
        <f>"FOCO VARILUX DIGITAL"</f>
        <v>FOCO VARILUX DIGITAL</v>
      </c>
      <c r="BP514" t="str">
        <f>""</f>
        <v/>
      </c>
      <c r="BQ514" t="str">
        <f>""</f>
        <v/>
      </c>
      <c r="BR514" t="str">
        <f>"27/07/2018"</f>
        <v>27/07/2018</v>
      </c>
      <c r="BS514" t="str">
        <f>""</f>
        <v/>
      </c>
      <c r="BT514" t="str">
        <f>""</f>
        <v/>
      </c>
      <c r="BU514" t="str">
        <f>""</f>
        <v/>
      </c>
      <c r="BV514" t="str">
        <f>"9"</f>
        <v>9</v>
      </c>
      <c r="BW514" t="str">
        <f>"28"</f>
        <v>28</v>
      </c>
    </row>
    <row r="515" spans="1:75" x14ac:dyDescent="0.35">
      <c r="A515">
        <v>157625</v>
      </c>
      <c r="B515" t="str">
        <f t="shared" si="259"/>
        <v>A</v>
      </c>
      <c r="C515" t="str">
        <f t="shared" si="260"/>
        <v>80</v>
      </c>
      <c r="D515" t="str">
        <f t="shared" si="254"/>
        <v>11121002</v>
      </c>
      <c r="E515" t="str">
        <f t="shared" si="255"/>
        <v>121002</v>
      </c>
      <c r="F515" t="str">
        <f t="shared" si="256"/>
        <v>CINTHIA NORONHA</v>
      </c>
      <c r="G515" t="str">
        <f>"05117831000404"</f>
        <v>05117831000404</v>
      </c>
      <c r="H515" t="str">
        <f>"0"</f>
        <v>0</v>
      </c>
      <c r="I515" t="str">
        <f t="shared" si="261"/>
        <v>CONTA OPTICA</v>
      </c>
      <c r="J515" t="str">
        <f>"A J COMERCIO DE JOIAS LTDA"</f>
        <v>A J COMERCIO DE JOIAS LTDA</v>
      </c>
      <c r="K515" t="str">
        <f>"AUGUSTO JOIAS (1778)"</f>
        <v>AUGUSTO JOIAS (1778)</v>
      </c>
      <c r="L515" t="str">
        <f>""</f>
        <v/>
      </c>
      <c r="M515" t="str">
        <f>""</f>
        <v/>
      </c>
      <c r="N515" t="str">
        <f>""</f>
        <v/>
      </c>
      <c r="O515" t="str">
        <f>""</f>
        <v/>
      </c>
      <c r="P515" t="str">
        <f>"RUA FELIPE SCHMIDT"</f>
        <v>RUA FELIPE SCHMIDT</v>
      </c>
      <c r="Q515" t="str">
        <f>"215"</f>
        <v>215</v>
      </c>
      <c r="R515" t="str">
        <f>""</f>
        <v/>
      </c>
      <c r="S515" t="str">
        <f>"1254"</f>
        <v>1254</v>
      </c>
      <c r="T515" t="str">
        <f>"88010001"</f>
        <v>88010001</v>
      </c>
      <c r="U515" t="str">
        <f>"CENTRO"</f>
        <v>CENTRO</v>
      </c>
      <c r="V515" t="str">
        <f>"FLORIANOPOLIS"</f>
        <v>FLORIANOPOLIS</v>
      </c>
      <c r="W515" t="str">
        <f t="shared" si="253"/>
        <v>SC</v>
      </c>
      <c r="X515" t="str">
        <f t="shared" si="257"/>
        <v>48</v>
      </c>
      <c r="Y515" t="str">
        <f>"30391399"</f>
        <v>30391399</v>
      </c>
      <c r="Z515" t="str">
        <f>""</f>
        <v/>
      </c>
      <c r="AA515" t="str">
        <f>""</f>
        <v/>
      </c>
      <c r="AB515" t="str">
        <f>""</f>
        <v/>
      </c>
      <c r="AC515" t="str">
        <f>""</f>
        <v/>
      </c>
      <c r="AD515" t="str">
        <f>""</f>
        <v/>
      </c>
      <c r="AE515" t="str">
        <f>""</f>
        <v/>
      </c>
      <c r="AF515" t="str">
        <f>""</f>
        <v/>
      </c>
      <c r="AG515" t="str">
        <f>""</f>
        <v/>
      </c>
      <c r="AH515" t="str">
        <f>""</f>
        <v/>
      </c>
      <c r="AI515" t="str">
        <f>""</f>
        <v/>
      </c>
      <c r="AJ515" t="str">
        <f>""</f>
        <v/>
      </c>
      <c r="AK515" t="str">
        <f>""</f>
        <v/>
      </c>
      <c r="AL515" t="str">
        <f>""</f>
        <v/>
      </c>
      <c r="AM515" t="str">
        <f>""</f>
        <v/>
      </c>
      <c r="AN515" t="str">
        <f>""</f>
        <v/>
      </c>
      <c r="AO515" t="str">
        <f>""</f>
        <v/>
      </c>
      <c r="AP515" t="str">
        <f>""</f>
        <v/>
      </c>
      <c r="AQ515" t="str">
        <f>""</f>
        <v/>
      </c>
      <c r="AR515" t="str">
        <f>""</f>
        <v/>
      </c>
      <c r="AS515" t="str">
        <f>""</f>
        <v/>
      </c>
      <c r="AT515" t="str">
        <f>""</f>
        <v/>
      </c>
      <c r="AU515" t="str">
        <f>""</f>
        <v/>
      </c>
      <c r="AV515" t="str">
        <f>""</f>
        <v/>
      </c>
      <c r="AW515" t="str">
        <f>""</f>
        <v/>
      </c>
      <c r="AX515" t="str">
        <f>""</f>
        <v/>
      </c>
      <c r="AY515" t="str">
        <f>""</f>
        <v/>
      </c>
      <c r="AZ515" t="str">
        <f>""</f>
        <v/>
      </c>
      <c r="BA515" t="str">
        <f>""</f>
        <v/>
      </c>
      <c r="BB515" t="str">
        <f>"11/07/2023 02:19:56"</f>
        <v>11/07/2023 02:19:56</v>
      </c>
      <c r="BC515" t="str">
        <f>""</f>
        <v/>
      </c>
      <c r="BD515" t="str">
        <f>""</f>
        <v/>
      </c>
      <c r="BE515" t="str">
        <f>""</f>
        <v/>
      </c>
      <c r="BF515" t="str">
        <f t="shared" si="262"/>
        <v>A</v>
      </c>
      <c r="BG515" t="str">
        <f>""</f>
        <v/>
      </c>
      <c r="BH515" t="str">
        <f>""</f>
        <v/>
      </c>
      <c r="BI515" t="str">
        <f t="shared" si="251"/>
        <v>EVENTUAL</v>
      </c>
      <c r="BJ515" t="str">
        <f t="shared" si="263"/>
        <v>1</v>
      </c>
      <c r="BK515" t="str">
        <f t="shared" si="264"/>
        <v>Farmacia</v>
      </c>
      <c r="BL515" t="str">
        <f>""</f>
        <v/>
      </c>
      <c r="BM515" t="str">
        <f>""</f>
        <v/>
      </c>
      <c r="BN515" t="str">
        <f>""</f>
        <v/>
      </c>
      <c r="BO515" t="str">
        <f>""</f>
        <v/>
      </c>
      <c r="BP515" t="str">
        <f>""</f>
        <v/>
      </c>
      <c r="BQ515" t="str">
        <f>""</f>
        <v/>
      </c>
      <c r="BR515" t="str">
        <f>"11/07/2023"</f>
        <v>11/07/2023</v>
      </c>
      <c r="BS515" t="str">
        <f>""</f>
        <v/>
      </c>
      <c r="BT515" t="str">
        <f>""</f>
        <v/>
      </c>
      <c r="BU515" t="str">
        <f>""</f>
        <v/>
      </c>
      <c r="BV515" t="str">
        <f>""</f>
        <v/>
      </c>
      <c r="BW515" t="str">
        <f>"Não visitado"</f>
        <v>Não visitado</v>
      </c>
    </row>
    <row r="516" spans="1:75" x14ac:dyDescent="0.35">
      <c r="A516">
        <v>157706</v>
      </c>
      <c r="B516" t="str">
        <f t="shared" si="259"/>
        <v>A</v>
      </c>
      <c r="C516" t="str">
        <f t="shared" si="260"/>
        <v>80</v>
      </c>
      <c r="D516" t="str">
        <f t="shared" si="254"/>
        <v>11121002</v>
      </c>
      <c r="E516" t="str">
        <f t="shared" si="255"/>
        <v>121002</v>
      </c>
      <c r="F516" t="str">
        <f t="shared" si="256"/>
        <v>CINTHIA NORONHA</v>
      </c>
      <c r="G516" t="str">
        <f>"28494925000155"</f>
        <v>28494925000155</v>
      </c>
      <c r="H516" t="str">
        <f>"0"</f>
        <v>0</v>
      </c>
      <c r="I516" t="str">
        <f t="shared" si="261"/>
        <v>CONTA OPTICA</v>
      </c>
      <c r="J516" t="str">
        <f>"A. M. COMERCIO DE JOIAS E RELOGIOS EIRELI - EPP"</f>
        <v>A. M. COMERCIO DE JOIAS E RELOGIOS EIRELI - EPP</v>
      </c>
      <c r="K516" t="str">
        <f>"TIBAUX JOALHEIROS  (3831)"</f>
        <v>TIBAUX JOALHEIROS  (3831)</v>
      </c>
      <c r="L516" t="str">
        <f>""</f>
        <v/>
      </c>
      <c r="M516" t="str">
        <f>""</f>
        <v/>
      </c>
      <c r="N516" t="str">
        <f>"TIBAUXJOALHEIROS@HOTMAIL.COM"</f>
        <v>TIBAUXJOALHEIROS@HOTMAIL.COM</v>
      </c>
      <c r="O516" t="str">
        <f>""</f>
        <v/>
      </c>
      <c r="P516" t="str">
        <f>"RUA BOCAIUVA"</f>
        <v>RUA BOCAIUVA</v>
      </c>
      <c r="Q516" t="str">
        <f>"2468"</f>
        <v>2468</v>
      </c>
      <c r="R516" t="str">
        <f>""</f>
        <v/>
      </c>
      <c r="S516" t="str">
        <f>"1255"</f>
        <v>1255</v>
      </c>
      <c r="T516" t="str">
        <f>"88015530"</f>
        <v>88015530</v>
      </c>
      <c r="U516" t="str">
        <f>"CENTRO"</f>
        <v>CENTRO</v>
      </c>
      <c r="V516" t="str">
        <f>"FLORIANOPOLIS"</f>
        <v>FLORIANOPOLIS</v>
      </c>
      <c r="W516" t="str">
        <f t="shared" si="253"/>
        <v>SC</v>
      </c>
      <c r="X516" t="str">
        <f t="shared" si="257"/>
        <v>48</v>
      </c>
      <c r="Y516" t="str">
        <f>"30256551"</f>
        <v>30256551</v>
      </c>
      <c r="Z516" t="str">
        <f>""</f>
        <v/>
      </c>
      <c r="AA516" t="str">
        <f>""</f>
        <v/>
      </c>
      <c r="AB516" t="str">
        <f>""</f>
        <v/>
      </c>
      <c r="AC516" t="str">
        <f>""</f>
        <v/>
      </c>
      <c r="AD516" t="str">
        <f>""</f>
        <v/>
      </c>
      <c r="AE516" t="str">
        <f>""</f>
        <v/>
      </c>
      <c r="AF516" t="str">
        <f>""</f>
        <v/>
      </c>
      <c r="AG516" t="str">
        <f>""</f>
        <v/>
      </c>
      <c r="AH516" t="str">
        <f>""</f>
        <v/>
      </c>
      <c r="AI516" t="str">
        <f>""</f>
        <v/>
      </c>
      <c r="AJ516" t="str">
        <f>""</f>
        <v/>
      </c>
      <c r="AK516" t="str">
        <f>""</f>
        <v/>
      </c>
      <c r="AL516" t="str">
        <f>""</f>
        <v/>
      </c>
      <c r="AM516" t="str">
        <f>""</f>
        <v/>
      </c>
      <c r="AN516" t="str">
        <f>""</f>
        <v/>
      </c>
      <c r="AO516" t="str">
        <f>""</f>
        <v/>
      </c>
      <c r="AP516" t="str">
        <f>""</f>
        <v/>
      </c>
      <c r="AQ516" t="str">
        <f>""</f>
        <v/>
      </c>
      <c r="AR516" t="str">
        <f>""</f>
        <v/>
      </c>
      <c r="AS516" t="str">
        <f>""</f>
        <v/>
      </c>
      <c r="AT516" t="str">
        <f>""</f>
        <v/>
      </c>
      <c r="AU516" t="str">
        <f>""</f>
        <v/>
      </c>
      <c r="AV516" t="str">
        <f>""</f>
        <v/>
      </c>
      <c r="AW516" t="str">
        <f>""</f>
        <v/>
      </c>
      <c r="AX516" t="str">
        <f>""</f>
        <v/>
      </c>
      <c r="AY516" t="str">
        <f>""</f>
        <v/>
      </c>
      <c r="AZ516" t="str">
        <f>""</f>
        <v/>
      </c>
      <c r="BA516" t="str">
        <f>""</f>
        <v/>
      </c>
      <c r="BB516" t="str">
        <f>"11/07/2023 02:19:56"</f>
        <v>11/07/2023 02:19:56</v>
      </c>
      <c r="BC516" t="str">
        <f>""</f>
        <v/>
      </c>
      <c r="BD516" t="str">
        <f>""</f>
        <v/>
      </c>
      <c r="BE516" t="str">
        <f>""</f>
        <v/>
      </c>
      <c r="BF516" t="str">
        <f t="shared" si="262"/>
        <v>A</v>
      </c>
      <c r="BG516" t="str">
        <f>""</f>
        <v/>
      </c>
      <c r="BH516" t="str">
        <f>""</f>
        <v/>
      </c>
      <c r="BI516" t="str">
        <f t="shared" si="251"/>
        <v>EVENTUAL</v>
      </c>
      <c r="BJ516" t="str">
        <f t="shared" si="263"/>
        <v>1</v>
      </c>
      <c r="BK516" t="str">
        <f t="shared" si="264"/>
        <v>Farmacia</v>
      </c>
      <c r="BL516" t="str">
        <f>""</f>
        <v/>
      </c>
      <c r="BM516" t="str">
        <f>""</f>
        <v/>
      </c>
      <c r="BN516" t="str">
        <f>""</f>
        <v/>
      </c>
      <c r="BO516" t="str">
        <f>""</f>
        <v/>
      </c>
      <c r="BP516" t="str">
        <f>""</f>
        <v/>
      </c>
      <c r="BQ516" t="str">
        <f>""</f>
        <v/>
      </c>
      <c r="BR516" t="str">
        <f>"11/07/2023"</f>
        <v>11/07/2023</v>
      </c>
      <c r="BS516" t="str">
        <f>""</f>
        <v/>
      </c>
      <c r="BT516" t="str">
        <f>""</f>
        <v/>
      </c>
      <c r="BU516" t="str">
        <f>""</f>
        <v/>
      </c>
      <c r="BV516" t="str">
        <f>""</f>
        <v/>
      </c>
      <c r="BW516" t="str">
        <f>"Não visitado"</f>
        <v>Não visitado</v>
      </c>
    </row>
    <row r="517" spans="1:75" x14ac:dyDescent="0.35">
      <c r="A517">
        <v>144825</v>
      </c>
      <c r="B517" t="str">
        <f t="shared" si="259"/>
        <v>A</v>
      </c>
      <c r="C517" t="str">
        <f t="shared" si="260"/>
        <v>80</v>
      </c>
      <c r="D517" t="str">
        <f t="shared" si="254"/>
        <v>11121002</v>
      </c>
      <c r="E517" t="str">
        <f t="shared" si="255"/>
        <v>121002</v>
      </c>
      <c r="F517" t="str">
        <f t="shared" si="256"/>
        <v>CINTHIA NORONHA</v>
      </c>
      <c r="G517" t="str">
        <f>"41518520000178"</f>
        <v>41518520000178</v>
      </c>
      <c r="H517" t="str">
        <f>""</f>
        <v/>
      </c>
      <c r="I517" t="str">
        <f t="shared" si="261"/>
        <v>CONTA OPTICA</v>
      </c>
      <c r="J517" t="str">
        <f>"A. VIEIRA DE SOUZA OPTICA"</f>
        <v>A. VIEIRA DE SOUZA OPTICA</v>
      </c>
      <c r="K517" t="str">
        <f>"MERCADÃO DOS OCULOS (4358)"</f>
        <v>MERCADÃO DOS OCULOS (4358)</v>
      </c>
      <c r="L517" t="str">
        <f>""</f>
        <v/>
      </c>
      <c r="M517" t="str">
        <f>""</f>
        <v/>
      </c>
      <c r="N517" t="str">
        <f>"rs-torres@mercadaodosoculos.com.br"</f>
        <v>rs-torres@mercadaodosoculos.com.br</v>
      </c>
      <c r="O517" t="str">
        <f>""</f>
        <v/>
      </c>
      <c r="P517" t="str">
        <f>"AVENIDA JOSE BONIFACIO"</f>
        <v>AVENIDA JOSE BONIFACIO</v>
      </c>
      <c r="Q517" t="str">
        <f>"241"</f>
        <v>241</v>
      </c>
      <c r="R517" t="str">
        <f>"LOJA 02"</f>
        <v>LOJA 02</v>
      </c>
      <c r="S517" t="str">
        <f>"1336"</f>
        <v>1336</v>
      </c>
      <c r="T517" t="str">
        <f>"95560000"</f>
        <v>95560000</v>
      </c>
      <c r="U517" t="str">
        <f>"CENTRO"</f>
        <v>CENTRO</v>
      </c>
      <c r="V517" t="str">
        <f>"TORRES"</f>
        <v>TORRES</v>
      </c>
      <c r="W517" t="str">
        <f>"RS"</f>
        <v>RS</v>
      </c>
      <c r="X517" t="str">
        <f>"51"</f>
        <v>51</v>
      </c>
      <c r="Y517" t="str">
        <f>"21443000"</f>
        <v>21443000</v>
      </c>
      <c r="Z517" t="str">
        <f>""</f>
        <v/>
      </c>
      <c r="AA517" t="str">
        <f>""</f>
        <v/>
      </c>
      <c r="AB517" t="str">
        <f>""</f>
        <v/>
      </c>
      <c r="AC517" t="str">
        <f>""</f>
        <v/>
      </c>
      <c r="AD517" t="str">
        <f>""</f>
        <v/>
      </c>
      <c r="AE517" t="str">
        <f>""</f>
        <v/>
      </c>
      <c r="AF517" t="str">
        <f>""</f>
        <v/>
      </c>
      <c r="AG517" t="str">
        <f>""</f>
        <v/>
      </c>
      <c r="AH517" t="str">
        <f>""</f>
        <v/>
      </c>
      <c r="AI517" t="str">
        <f>""</f>
        <v/>
      </c>
      <c r="AJ517" t="str">
        <f t="shared" ref="AJ517:AL520" si="265">"0"</f>
        <v>0</v>
      </c>
      <c r="AK517" t="str">
        <f t="shared" si="265"/>
        <v>0</v>
      </c>
      <c r="AL517" t="str">
        <f t="shared" si="265"/>
        <v>0</v>
      </c>
      <c r="AM517" t="str">
        <f>""</f>
        <v/>
      </c>
      <c r="AN517" t="str">
        <f>""</f>
        <v/>
      </c>
      <c r="AO517" t="str">
        <f>""</f>
        <v/>
      </c>
      <c r="AP517" t="str">
        <f>""</f>
        <v/>
      </c>
      <c r="AQ517" t="str">
        <f>""</f>
        <v/>
      </c>
      <c r="AR517" t="str">
        <f>""</f>
        <v/>
      </c>
      <c r="AS517" t="str">
        <f>""</f>
        <v/>
      </c>
      <c r="AT517" t="str">
        <f>""</f>
        <v/>
      </c>
      <c r="AU517" t="str">
        <f>""</f>
        <v/>
      </c>
      <c r="AV517" t="str">
        <f>""</f>
        <v/>
      </c>
      <c r="AW517" t="str">
        <f>""</f>
        <v/>
      </c>
      <c r="AX517" t="str">
        <f>""</f>
        <v/>
      </c>
      <c r="AY517" t="str">
        <f>""</f>
        <v/>
      </c>
      <c r="AZ517" t="str">
        <f>""</f>
        <v/>
      </c>
      <c r="BA517" t="str">
        <f>""</f>
        <v/>
      </c>
      <c r="BB517" t="str">
        <f>""</f>
        <v/>
      </c>
      <c r="BC517" t="str">
        <f>""</f>
        <v/>
      </c>
      <c r="BD517" t="str">
        <f>""</f>
        <v/>
      </c>
      <c r="BE517" t="str">
        <f>""</f>
        <v/>
      </c>
      <c r="BF517" t="str">
        <f t="shared" si="262"/>
        <v>A</v>
      </c>
      <c r="BG517" t="str">
        <f t="shared" ref="BG517:BH520" si="266">"0,00"</f>
        <v>0,00</v>
      </c>
      <c r="BH517" t="str">
        <f t="shared" si="266"/>
        <v>0,00</v>
      </c>
      <c r="BI517" t="str">
        <f t="shared" si="251"/>
        <v>EVENTUAL</v>
      </c>
      <c r="BJ517" t="str">
        <f t="shared" si="263"/>
        <v>1</v>
      </c>
      <c r="BK517" t="str">
        <f t="shared" si="264"/>
        <v>Farmacia</v>
      </c>
      <c r="BL517" t="str">
        <f>""</f>
        <v/>
      </c>
      <c r="BM517" t="str">
        <f>"NÃO É VARILUX ESPECIALISTA"</f>
        <v>NÃO É VARILUX ESPECIALISTA</v>
      </c>
      <c r="BN517" t="str">
        <f>"NA"</f>
        <v>NA</v>
      </c>
      <c r="BO517" t="str">
        <f>"OUTROS"</f>
        <v>OUTROS</v>
      </c>
      <c r="BP517" t="str">
        <f>""</f>
        <v/>
      </c>
      <c r="BQ517" t="str">
        <f>""</f>
        <v/>
      </c>
      <c r="BR517" t="str">
        <f>""</f>
        <v/>
      </c>
      <c r="BS517" t="str">
        <f>""</f>
        <v/>
      </c>
      <c r="BT517" t="str">
        <f>""</f>
        <v/>
      </c>
      <c r="BU517" t="str">
        <f>""</f>
        <v/>
      </c>
      <c r="BV517" t="str">
        <f>""</f>
        <v/>
      </c>
      <c r="BW517" t="str">
        <f>"144"</f>
        <v>144</v>
      </c>
    </row>
    <row r="518" spans="1:75" x14ac:dyDescent="0.35">
      <c r="A518">
        <v>144696</v>
      </c>
      <c r="B518" t="str">
        <f t="shared" si="259"/>
        <v>A</v>
      </c>
      <c r="C518" t="str">
        <f t="shared" si="260"/>
        <v>80</v>
      </c>
      <c r="D518" t="str">
        <f t="shared" si="254"/>
        <v>11121002</v>
      </c>
      <c r="E518" t="str">
        <f t="shared" si="255"/>
        <v>121002</v>
      </c>
      <c r="F518" t="str">
        <f t="shared" si="256"/>
        <v>CINTHIA NORONHA</v>
      </c>
      <c r="G518" t="str">
        <f>"26064905000119"</f>
        <v>26064905000119</v>
      </c>
      <c r="H518" t="str">
        <f>""</f>
        <v/>
      </c>
      <c r="I518" t="str">
        <f t="shared" si="261"/>
        <v>CONTA OPTICA</v>
      </c>
      <c r="J518" t="str">
        <f>"ABM OPTICA EIRELI - ME"</f>
        <v>ABM OPTICA EIRELI - ME</v>
      </c>
      <c r="K518" t="str">
        <f>"RELOJOARIA E OTICA SAO JOAO (3346)"</f>
        <v>RELOJOARIA E OTICA SAO JOAO (3346)</v>
      </c>
      <c r="L518" t="str">
        <f>""</f>
        <v/>
      </c>
      <c r="M518" t="str">
        <f>""</f>
        <v/>
      </c>
      <c r="N518" t="str">
        <f>"werica_moraes@hotmail.com"</f>
        <v>werica_moraes@hotmail.com</v>
      </c>
      <c r="O518" t="str">
        <f>""</f>
        <v/>
      </c>
      <c r="P518" t="str">
        <f>"RUA ANSELMO BARBOSA"</f>
        <v>RUA ANSELMO BARBOSA</v>
      </c>
      <c r="Q518" t="str">
        <f>"332"</f>
        <v>332</v>
      </c>
      <c r="R518" t="str">
        <f>""</f>
        <v/>
      </c>
      <c r="S518" t="str">
        <f>"1270"</f>
        <v>1270</v>
      </c>
      <c r="T518" t="str">
        <f>"88970000"</f>
        <v>88970000</v>
      </c>
      <c r="U518" t="str">
        <f>"CENTRO"</f>
        <v>CENTRO</v>
      </c>
      <c r="V518" t="str">
        <f>"SÃO JOÃO DO SUL"</f>
        <v>SÃO JOÃO DO SUL</v>
      </c>
      <c r="W518" t="str">
        <f t="shared" ref="W518:W562" si="267">"SC"</f>
        <v>SC</v>
      </c>
      <c r="X518" t="str">
        <f t="shared" ref="X518:X531" si="268">"48"</f>
        <v>48</v>
      </c>
      <c r="Y518" t="str">
        <f>"88254377"</f>
        <v>88254377</v>
      </c>
      <c r="Z518" t="str">
        <f>""</f>
        <v/>
      </c>
      <c r="AA518" t="str">
        <f>""</f>
        <v/>
      </c>
      <c r="AB518" t="str">
        <f>""</f>
        <v/>
      </c>
      <c r="AC518" t="str">
        <f>""</f>
        <v/>
      </c>
      <c r="AD518" t="str">
        <f>""</f>
        <v/>
      </c>
      <c r="AE518" t="str">
        <f>""</f>
        <v/>
      </c>
      <c r="AF518" t="str">
        <f>""</f>
        <v/>
      </c>
      <c r="AG518" t="str">
        <f>""</f>
        <v/>
      </c>
      <c r="AH518" t="str">
        <f>""</f>
        <v/>
      </c>
      <c r="AI518" t="str">
        <f>""</f>
        <v/>
      </c>
      <c r="AJ518" t="str">
        <f t="shared" si="265"/>
        <v>0</v>
      </c>
      <c r="AK518" t="str">
        <f t="shared" si="265"/>
        <v>0</v>
      </c>
      <c r="AL518" t="str">
        <f t="shared" si="265"/>
        <v>0</v>
      </c>
      <c r="AM518" t="str">
        <f>""</f>
        <v/>
      </c>
      <c r="AN518" t="str">
        <f>""</f>
        <v/>
      </c>
      <c r="AO518" t="str">
        <f>""</f>
        <v/>
      </c>
      <c r="AP518" t="str">
        <f>""</f>
        <v/>
      </c>
      <c r="AQ518" t="str">
        <f>""</f>
        <v/>
      </c>
      <c r="AR518" t="str">
        <f>""</f>
        <v/>
      </c>
      <c r="AS518" t="str">
        <f>""</f>
        <v/>
      </c>
      <c r="AT518" t="str">
        <f>""</f>
        <v/>
      </c>
      <c r="AU518" t="str">
        <f>""</f>
        <v/>
      </c>
      <c r="AV518" t="str">
        <f>""</f>
        <v/>
      </c>
      <c r="AW518" t="str">
        <f>""</f>
        <v/>
      </c>
      <c r="AX518" t="str">
        <f>""</f>
        <v/>
      </c>
      <c r="AY518" t="str">
        <f>""</f>
        <v/>
      </c>
      <c r="AZ518" t="str">
        <f>""</f>
        <v/>
      </c>
      <c r="BA518" t="str">
        <f>""</f>
        <v/>
      </c>
      <c r="BB518" t="str">
        <f>""</f>
        <v/>
      </c>
      <c r="BC518" t="str">
        <f>""</f>
        <v/>
      </c>
      <c r="BD518" t="str">
        <f>""</f>
        <v/>
      </c>
      <c r="BE518" t="str">
        <f>""</f>
        <v/>
      </c>
      <c r="BF518" t="str">
        <f t="shared" si="262"/>
        <v>A</v>
      </c>
      <c r="BG518" t="str">
        <f t="shared" si="266"/>
        <v>0,00</v>
      </c>
      <c r="BH518" t="str">
        <f t="shared" si="266"/>
        <v>0,00</v>
      </c>
      <c r="BI518" t="str">
        <f t="shared" si="251"/>
        <v>EVENTUAL</v>
      </c>
      <c r="BJ518" t="str">
        <f t="shared" si="263"/>
        <v>1</v>
      </c>
      <c r="BK518" t="str">
        <f t="shared" si="264"/>
        <v>Farmacia</v>
      </c>
      <c r="BL518" t="str">
        <f>""</f>
        <v/>
      </c>
      <c r="BM518" t="str">
        <f>"NÃO É VARILUX ESPECIALISTA"</f>
        <v>NÃO É VARILUX ESPECIALISTA</v>
      </c>
      <c r="BN518" t="str">
        <f>"EL360"</f>
        <v>EL360</v>
      </c>
      <c r="BO518" t="str">
        <f>"FOCO VARILUX DIGITAL"</f>
        <v>FOCO VARILUX DIGITAL</v>
      </c>
      <c r="BP518" t="str">
        <f>""</f>
        <v/>
      </c>
      <c r="BQ518" t="str">
        <f>""</f>
        <v/>
      </c>
      <c r="BR518" t="str">
        <f>""</f>
        <v/>
      </c>
      <c r="BS518" t="str">
        <f>""</f>
        <v/>
      </c>
      <c r="BT518" t="str">
        <f>""</f>
        <v/>
      </c>
      <c r="BU518" t="str">
        <f>""</f>
        <v/>
      </c>
      <c r="BV518" t="str">
        <f>"1"</f>
        <v>1</v>
      </c>
      <c r="BW518" t="str">
        <f>"15"</f>
        <v>15</v>
      </c>
    </row>
    <row r="519" spans="1:75" x14ac:dyDescent="0.35">
      <c r="A519">
        <v>144810</v>
      </c>
      <c r="B519" t="str">
        <f t="shared" si="259"/>
        <v>A</v>
      </c>
      <c r="C519" t="str">
        <f t="shared" si="260"/>
        <v>80</v>
      </c>
      <c r="D519" t="str">
        <f t="shared" si="254"/>
        <v>11121002</v>
      </c>
      <c r="E519" t="str">
        <f t="shared" si="255"/>
        <v>121002</v>
      </c>
      <c r="F519" t="str">
        <f t="shared" si="256"/>
        <v>CINTHIA NORONHA</v>
      </c>
      <c r="G519" t="str">
        <f>"26064905000208"</f>
        <v>26064905000208</v>
      </c>
      <c r="H519" t="str">
        <f>""</f>
        <v/>
      </c>
      <c r="I519" t="str">
        <f t="shared" si="261"/>
        <v>CONTA OPTICA</v>
      </c>
      <c r="J519" t="str">
        <f>"ABM OPTICA LTDA"</f>
        <v>ABM OPTICA LTDA</v>
      </c>
      <c r="K519" t="str">
        <f>"RELOJOARIA E OTICA PK (4310)"</f>
        <v>RELOJOARIA E OTICA PK (4310)</v>
      </c>
      <c r="L519" t="str">
        <f>""</f>
        <v/>
      </c>
      <c r="M519" t="str">
        <f>""</f>
        <v/>
      </c>
      <c r="N519" t="str">
        <f>"amandaborbamartins@hotmail.com"</f>
        <v>amandaborbamartins@hotmail.com</v>
      </c>
      <c r="O519" t="str">
        <f>""</f>
        <v/>
      </c>
      <c r="P519" t="str">
        <f>"TRAVESSA SAO SEBASTIAO"</f>
        <v>TRAVESSA SAO SEBASTIAO</v>
      </c>
      <c r="Q519" t="str">
        <f>"80"</f>
        <v>80</v>
      </c>
      <c r="R519" t="str">
        <f>"SALA 6"</f>
        <v>SALA 6</v>
      </c>
      <c r="S519" t="str">
        <f>"1270"</f>
        <v>1270</v>
      </c>
      <c r="T519" t="str">
        <f>"88990000"</f>
        <v>88990000</v>
      </c>
      <c r="U519" t="str">
        <f>"CENTRO"</f>
        <v>CENTRO</v>
      </c>
      <c r="V519" t="str">
        <f>"PRAIA GRANDE"</f>
        <v>PRAIA GRANDE</v>
      </c>
      <c r="W519" t="str">
        <f t="shared" si="267"/>
        <v>SC</v>
      </c>
      <c r="X519" t="str">
        <f t="shared" si="268"/>
        <v>48</v>
      </c>
      <c r="Y519" t="str">
        <f>"999254377"</f>
        <v>999254377</v>
      </c>
      <c r="Z519" t="str">
        <f>""</f>
        <v/>
      </c>
      <c r="AA519" t="str">
        <f>""</f>
        <v/>
      </c>
      <c r="AB519" t="str">
        <f>""</f>
        <v/>
      </c>
      <c r="AC519" t="str">
        <f>""</f>
        <v/>
      </c>
      <c r="AD519" t="str">
        <f>""</f>
        <v/>
      </c>
      <c r="AE519" t="str">
        <f>""</f>
        <v/>
      </c>
      <c r="AF519" t="str">
        <f>""</f>
        <v/>
      </c>
      <c r="AG519" t="str">
        <f>""</f>
        <v/>
      </c>
      <c r="AH519" t="str">
        <f>""</f>
        <v/>
      </c>
      <c r="AI519" t="str">
        <f>""</f>
        <v/>
      </c>
      <c r="AJ519" t="str">
        <f t="shared" si="265"/>
        <v>0</v>
      </c>
      <c r="AK519" t="str">
        <f t="shared" si="265"/>
        <v>0</v>
      </c>
      <c r="AL519" t="str">
        <f t="shared" si="265"/>
        <v>0</v>
      </c>
      <c r="AM519" t="str">
        <f>""</f>
        <v/>
      </c>
      <c r="AN519" t="str">
        <f>""</f>
        <v/>
      </c>
      <c r="AO519" t="str">
        <f>""</f>
        <v/>
      </c>
      <c r="AP519" t="str">
        <f>""</f>
        <v/>
      </c>
      <c r="AQ519" t="str">
        <f>""</f>
        <v/>
      </c>
      <c r="AR519" t="str">
        <f>""</f>
        <v/>
      </c>
      <c r="AS519" t="str">
        <f>""</f>
        <v/>
      </c>
      <c r="AT519" t="str">
        <f>""</f>
        <v/>
      </c>
      <c r="AU519" t="str">
        <f>""</f>
        <v/>
      </c>
      <c r="AV519" t="str">
        <f>""</f>
        <v/>
      </c>
      <c r="AW519" t="str">
        <f>""</f>
        <v/>
      </c>
      <c r="AX519" t="str">
        <f>""</f>
        <v/>
      </c>
      <c r="AY519" t="str">
        <f>""</f>
        <v/>
      </c>
      <c r="AZ519" t="str">
        <f>""</f>
        <v/>
      </c>
      <c r="BA519" t="str">
        <f>""</f>
        <v/>
      </c>
      <c r="BB519" t="str">
        <f>""</f>
        <v/>
      </c>
      <c r="BC519" t="str">
        <f>""</f>
        <v/>
      </c>
      <c r="BD519" t="str">
        <f>""</f>
        <v/>
      </c>
      <c r="BE519" t="str">
        <f>""</f>
        <v/>
      </c>
      <c r="BF519" t="str">
        <f t="shared" si="262"/>
        <v>A</v>
      </c>
      <c r="BG519" t="str">
        <f t="shared" si="266"/>
        <v>0,00</v>
      </c>
      <c r="BH519" t="str">
        <f t="shared" si="266"/>
        <v>0,00</v>
      </c>
      <c r="BI519" t="str">
        <f t="shared" si="251"/>
        <v>EVENTUAL</v>
      </c>
      <c r="BJ519" t="str">
        <f t="shared" si="263"/>
        <v>1</v>
      </c>
      <c r="BK519" t="str">
        <f t="shared" si="264"/>
        <v>Farmacia</v>
      </c>
      <c r="BL519" t="str">
        <f>""</f>
        <v/>
      </c>
      <c r="BM519" t="str">
        <f>"NÃO É VARILUX ESPECIALISTA"</f>
        <v>NÃO É VARILUX ESPECIALISTA</v>
      </c>
      <c r="BN519" t="str">
        <f>"NA"</f>
        <v>NA</v>
      </c>
      <c r="BO519" t="str">
        <f>"FOCO KODAK 2"</f>
        <v>FOCO KODAK 2</v>
      </c>
      <c r="BP519" t="str">
        <f>""</f>
        <v/>
      </c>
      <c r="BQ519" t="str">
        <f>""</f>
        <v/>
      </c>
      <c r="BR519" t="str">
        <f>""</f>
        <v/>
      </c>
      <c r="BS519" t="str">
        <f>""</f>
        <v/>
      </c>
      <c r="BT519" t="str">
        <f>""</f>
        <v/>
      </c>
      <c r="BU519" t="str">
        <f>""</f>
        <v/>
      </c>
      <c r="BV519" t="str">
        <f>""</f>
        <v/>
      </c>
      <c r="BW519" t="str">
        <f>"119"</f>
        <v>119</v>
      </c>
    </row>
    <row r="520" spans="1:75" x14ac:dyDescent="0.35">
      <c r="A520">
        <v>40</v>
      </c>
      <c r="B520" t="str">
        <f t="shared" si="259"/>
        <v>A</v>
      </c>
      <c r="C520" t="str">
        <f t="shared" si="260"/>
        <v>80</v>
      </c>
      <c r="D520" t="str">
        <f t="shared" si="254"/>
        <v>11121002</v>
      </c>
      <c r="E520" t="str">
        <f t="shared" si="255"/>
        <v>121002</v>
      </c>
      <c r="F520" t="str">
        <f t="shared" si="256"/>
        <v>CINTHIA NORONHA</v>
      </c>
      <c r="G520" t="str">
        <f>"04026968000148"</f>
        <v>04026968000148</v>
      </c>
      <c r="H520" t="str">
        <f>""</f>
        <v/>
      </c>
      <c r="I520" t="str">
        <f t="shared" si="261"/>
        <v>CONTA OPTICA</v>
      </c>
      <c r="J520" t="str">
        <f>"ACL JOIAS LTDA"</f>
        <v>ACL JOIAS LTDA</v>
      </c>
      <c r="K520" t="str">
        <f>"ELUZA (1785)"</f>
        <v>ELUZA (1785)</v>
      </c>
      <c r="L520" t="str">
        <f>""</f>
        <v/>
      </c>
      <c r="M520" t="str">
        <f>""</f>
        <v/>
      </c>
      <c r="N520" t="str">
        <f>"luana.eluza@hotmail.com"</f>
        <v>luana.eluza@hotmail.com</v>
      </c>
      <c r="O520" t="str">
        <f>""</f>
        <v/>
      </c>
      <c r="P520" t="str">
        <f>"AVENIDA MARCOLINO MARTINS CABRAL"</f>
        <v>AVENIDA MARCOLINO MARTINS CABRAL</v>
      </c>
      <c r="Q520" t="str">
        <f>"2525"</f>
        <v>2525</v>
      </c>
      <c r="R520" t="str">
        <f>"SALA 20"</f>
        <v>SALA 20</v>
      </c>
      <c r="S520" t="str">
        <f>"1268"</f>
        <v>1268</v>
      </c>
      <c r="T520" t="str">
        <f>"88705003"</f>
        <v>88705003</v>
      </c>
      <c r="U520" t="str">
        <f>"AEROPORTO"</f>
        <v>AEROPORTO</v>
      </c>
      <c r="V520" t="str">
        <f>"TUBARÃO"</f>
        <v>TUBARÃO</v>
      </c>
      <c r="W520" t="str">
        <f t="shared" si="267"/>
        <v>SC</v>
      </c>
      <c r="X520" t="str">
        <f t="shared" si="268"/>
        <v>48</v>
      </c>
      <c r="Y520" t="str">
        <f>"36290783"</f>
        <v>36290783</v>
      </c>
      <c r="Z520" t="str">
        <f>""</f>
        <v/>
      </c>
      <c r="AA520" t="str">
        <f>""</f>
        <v/>
      </c>
      <c r="AB520" t="str">
        <f>""</f>
        <v/>
      </c>
      <c r="AC520" t="str">
        <f>""</f>
        <v/>
      </c>
      <c r="AD520" t="str">
        <f>""</f>
        <v/>
      </c>
      <c r="AE520" t="str">
        <f>""</f>
        <v/>
      </c>
      <c r="AF520" t="str">
        <f>""</f>
        <v/>
      </c>
      <c r="AG520" t="str">
        <f>""</f>
        <v/>
      </c>
      <c r="AH520" t="str">
        <f>""</f>
        <v/>
      </c>
      <c r="AI520" t="str">
        <f>""</f>
        <v/>
      </c>
      <c r="AJ520" t="str">
        <f t="shared" si="265"/>
        <v>0</v>
      </c>
      <c r="AK520" t="str">
        <f t="shared" si="265"/>
        <v>0</v>
      </c>
      <c r="AL520" t="str">
        <f t="shared" si="265"/>
        <v>0</v>
      </c>
      <c r="AM520" t="str">
        <f>""</f>
        <v/>
      </c>
      <c r="AN520" t="str">
        <f>""</f>
        <v/>
      </c>
      <c r="AO520" t="str">
        <f>""</f>
        <v/>
      </c>
      <c r="AP520" t="str">
        <f>""</f>
        <v/>
      </c>
      <c r="AQ520" t="str">
        <f>""</f>
        <v/>
      </c>
      <c r="AR520" t="str">
        <f>""</f>
        <v/>
      </c>
      <c r="AS520" t="str">
        <f>""</f>
        <v/>
      </c>
      <c r="AT520" t="str">
        <f>""</f>
        <v/>
      </c>
      <c r="AU520" t="str">
        <f>""</f>
        <v/>
      </c>
      <c r="AV520" t="str">
        <f>""</f>
        <v/>
      </c>
      <c r="AW520" t="str">
        <f>""</f>
        <v/>
      </c>
      <c r="AX520" t="str">
        <f>""</f>
        <v/>
      </c>
      <c r="AY520" t="str">
        <f>""</f>
        <v/>
      </c>
      <c r="AZ520" t="str">
        <f>""</f>
        <v/>
      </c>
      <c r="BA520" t="str">
        <f>""</f>
        <v/>
      </c>
      <c r="BB520" t="str">
        <f>"27/07/2018 09:25:31"</f>
        <v>27/07/2018 09:25:31</v>
      </c>
      <c r="BC520" t="str">
        <f>""</f>
        <v/>
      </c>
      <c r="BD520" t="str">
        <f>""</f>
        <v/>
      </c>
      <c r="BE520" t="str">
        <f>"40"</f>
        <v>40</v>
      </c>
      <c r="BF520" t="str">
        <f t="shared" si="262"/>
        <v>A</v>
      </c>
      <c r="BG520" t="str">
        <f t="shared" si="266"/>
        <v>0,00</v>
      </c>
      <c r="BH520" t="str">
        <f t="shared" si="266"/>
        <v>0,00</v>
      </c>
      <c r="BI520" t="str">
        <f t="shared" si="251"/>
        <v>EVENTUAL</v>
      </c>
      <c r="BJ520" t="str">
        <f t="shared" si="263"/>
        <v>1</v>
      </c>
      <c r="BK520" t="str">
        <f t="shared" si="264"/>
        <v>Farmacia</v>
      </c>
      <c r="BL520" t="str">
        <f>""</f>
        <v/>
      </c>
      <c r="BM520" t="str">
        <f>"NÃO É VARILUX ESPECIALISTA"</f>
        <v>NÃO É VARILUX ESPECIALISTA</v>
      </c>
      <c r="BN520" t="str">
        <f>"NA"</f>
        <v>NA</v>
      </c>
      <c r="BO520" t="str">
        <f>"FOCO VARILUX"</f>
        <v>FOCO VARILUX</v>
      </c>
      <c r="BP520" t="str">
        <f>""</f>
        <v/>
      </c>
      <c r="BQ520" t="str">
        <f>""</f>
        <v/>
      </c>
      <c r="BR520" t="str">
        <f>"27/07/2018"</f>
        <v>27/07/2018</v>
      </c>
      <c r="BS520" t="str">
        <f>""</f>
        <v/>
      </c>
      <c r="BT520" t="str">
        <f>""</f>
        <v/>
      </c>
      <c r="BU520" t="str">
        <f>""</f>
        <v/>
      </c>
      <c r="BV520" t="str">
        <f>"5"</f>
        <v>5</v>
      </c>
      <c r="BW520" t="str">
        <f>"Não visitado"</f>
        <v>Não visitado</v>
      </c>
    </row>
    <row r="521" spans="1:75" x14ac:dyDescent="0.35">
      <c r="A521">
        <v>157729</v>
      </c>
      <c r="B521" t="str">
        <f t="shared" si="259"/>
        <v>A</v>
      </c>
      <c r="C521" t="str">
        <f t="shared" si="260"/>
        <v>80</v>
      </c>
      <c r="D521" t="str">
        <f t="shared" si="254"/>
        <v>11121002</v>
      </c>
      <c r="E521" t="str">
        <f t="shared" si="255"/>
        <v>121002</v>
      </c>
      <c r="F521" t="str">
        <f t="shared" si="256"/>
        <v>CINTHIA NORONHA</v>
      </c>
      <c r="G521" t="str">
        <f>"03720577000166"</f>
        <v>03720577000166</v>
      </c>
      <c r="H521" t="str">
        <f>"0"</f>
        <v>0</v>
      </c>
      <c r="I521" t="str">
        <f t="shared" si="261"/>
        <v>CONTA OPTICA</v>
      </c>
      <c r="J521" t="str">
        <f>"ADELMAR ASSIS CORDEIRO ME"</f>
        <v>ADELMAR ASSIS CORDEIRO ME</v>
      </c>
      <c r="K521" t="str">
        <f>"OTICA VEJA (ARS) (1199)"</f>
        <v>OTICA VEJA (ARS) (1199)</v>
      </c>
      <c r="L521" t="str">
        <f>""</f>
        <v/>
      </c>
      <c r="M521" t="str">
        <f>""</f>
        <v/>
      </c>
      <c r="N521" t="str">
        <f>"OTICAVEJAARS@HOTMAIL.COM"</f>
        <v>OTICAVEJAARS@HOTMAIL.COM</v>
      </c>
      <c r="O521" t="str">
        <f>""</f>
        <v/>
      </c>
      <c r="P521" t="str">
        <f>"RUA FELIPE SCHMIDT"</f>
        <v>RUA FELIPE SCHMIDT</v>
      </c>
      <c r="Q521" t="str">
        <f>"249"</f>
        <v>249</v>
      </c>
      <c r="R521" t="str">
        <f>"ARS LOJA 24"</f>
        <v>ARS LOJA 24</v>
      </c>
      <c r="S521" t="str">
        <f>"1254"</f>
        <v>1254</v>
      </c>
      <c r="T521" t="str">
        <f>"88010001"</f>
        <v>88010001</v>
      </c>
      <c r="U521" t="str">
        <f t="shared" ref="U521:U527" si="269">"CENTRO"</f>
        <v>CENTRO</v>
      </c>
      <c r="V521" t="str">
        <f>"FLORIANOPOLIS"</f>
        <v>FLORIANOPOLIS</v>
      </c>
      <c r="W521" t="str">
        <f t="shared" si="267"/>
        <v>SC</v>
      </c>
      <c r="X521" t="str">
        <f t="shared" si="268"/>
        <v>48</v>
      </c>
      <c r="Y521" t="str">
        <f>"32235470"</f>
        <v>32235470</v>
      </c>
      <c r="Z521" t="str">
        <f>""</f>
        <v/>
      </c>
      <c r="AA521" t="str">
        <f>""</f>
        <v/>
      </c>
      <c r="AB521" t="str">
        <f>""</f>
        <v/>
      </c>
      <c r="AC521" t="str">
        <f>""</f>
        <v/>
      </c>
      <c r="AD521" t="str">
        <f>""</f>
        <v/>
      </c>
      <c r="AE521" t="str">
        <f>""</f>
        <v/>
      </c>
      <c r="AF521" t="str">
        <f>""</f>
        <v/>
      </c>
      <c r="AG521" t="str">
        <f>""</f>
        <v/>
      </c>
      <c r="AH521" t="str">
        <f>""</f>
        <v/>
      </c>
      <c r="AI521" t="str">
        <f>""</f>
        <v/>
      </c>
      <c r="AJ521" t="str">
        <f>""</f>
        <v/>
      </c>
      <c r="AK521" t="str">
        <f>""</f>
        <v/>
      </c>
      <c r="AL521" t="str">
        <f>""</f>
        <v/>
      </c>
      <c r="AM521" t="str">
        <f>""</f>
        <v/>
      </c>
      <c r="AN521" t="str">
        <f>""</f>
        <v/>
      </c>
      <c r="AO521" t="str">
        <f>""</f>
        <v/>
      </c>
      <c r="AP521" t="str">
        <f>""</f>
        <v/>
      </c>
      <c r="AQ521" t="str">
        <f>""</f>
        <v/>
      </c>
      <c r="AR521" t="str">
        <f>""</f>
        <v/>
      </c>
      <c r="AS521" t="str">
        <f>""</f>
        <v/>
      </c>
      <c r="AT521" t="str">
        <f>""</f>
        <v/>
      </c>
      <c r="AU521" t="str">
        <f>""</f>
        <v/>
      </c>
      <c r="AV521" t="str">
        <f>""</f>
        <v/>
      </c>
      <c r="AW521" t="str">
        <f>""</f>
        <v/>
      </c>
      <c r="AX521" t="str">
        <f>""</f>
        <v/>
      </c>
      <c r="AY521" t="str">
        <f>""</f>
        <v/>
      </c>
      <c r="AZ521" t="str">
        <f>""</f>
        <v/>
      </c>
      <c r="BA521" t="str">
        <f>""</f>
        <v/>
      </c>
      <c r="BB521" t="str">
        <f>"11/07/2023 02:19:56"</f>
        <v>11/07/2023 02:19:56</v>
      </c>
      <c r="BC521" t="str">
        <f>""</f>
        <v/>
      </c>
      <c r="BD521" t="str">
        <f>""</f>
        <v/>
      </c>
      <c r="BE521" t="str">
        <f>""</f>
        <v/>
      </c>
      <c r="BF521" t="str">
        <f t="shared" si="262"/>
        <v>A</v>
      </c>
      <c r="BG521" t="str">
        <f>""</f>
        <v/>
      </c>
      <c r="BH521" t="str">
        <f>""</f>
        <v/>
      </c>
      <c r="BI521" t="str">
        <f t="shared" si="251"/>
        <v>EVENTUAL</v>
      </c>
      <c r="BJ521" t="str">
        <f t="shared" si="263"/>
        <v>1</v>
      </c>
      <c r="BK521" t="str">
        <f t="shared" si="264"/>
        <v>Farmacia</v>
      </c>
      <c r="BL521" t="str">
        <f>""</f>
        <v/>
      </c>
      <c r="BM521" t="str">
        <f>""</f>
        <v/>
      </c>
      <c r="BN521" t="str">
        <f>""</f>
        <v/>
      </c>
      <c r="BO521" t="str">
        <f>""</f>
        <v/>
      </c>
      <c r="BP521" t="str">
        <f>""</f>
        <v/>
      </c>
      <c r="BQ521" t="str">
        <f>""</f>
        <v/>
      </c>
      <c r="BR521" t="str">
        <f>"11/07/2023"</f>
        <v>11/07/2023</v>
      </c>
      <c r="BS521" t="str">
        <f>""</f>
        <v/>
      </c>
      <c r="BT521" t="str">
        <f>""</f>
        <v/>
      </c>
      <c r="BU521" t="str">
        <f>""</f>
        <v/>
      </c>
      <c r="BV521" t="str">
        <f>""</f>
        <v/>
      </c>
      <c r="BW521" t="str">
        <f>"Não visitado"</f>
        <v>Não visitado</v>
      </c>
    </row>
    <row r="522" spans="1:75" x14ac:dyDescent="0.35">
      <c r="A522">
        <v>144366</v>
      </c>
      <c r="B522" t="str">
        <f t="shared" si="259"/>
        <v>A</v>
      </c>
      <c r="C522" t="str">
        <f t="shared" si="260"/>
        <v>80</v>
      </c>
      <c r="D522" t="str">
        <f t="shared" si="254"/>
        <v>11121002</v>
      </c>
      <c r="E522" t="str">
        <f t="shared" si="255"/>
        <v>121002</v>
      </c>
      <c r="F522" t="str">
        <f t="shared" si="256"/>
        <v>CINTHIA NORONHA</v>
      </c>
      <c r="G522" t="str">
        <f>"78894912000141"</f>
        <v>78894912000141</v>
      </c>
      <c r="H522" t="str">
        <f>""</f>
        <v/>
      </c>
      <c r="I522" t="str">
        <f t="shared" si="261"/>
        <v>CONTA OPTICA</v>
      </c>
      <c r="J522" t="str">
        <f>"ADEMAR ISIDORO CEOLIN ME"</f>
        <v>ADEMAR ISIDORO CEOLIN ME</v>
      </c>
      <c r="K522" t="str">
        <f>"ADEMAR ISIDORO CEOLIN ME (991)"</f>
        <v>ADEMAR ISIDORO CEOLIN ME (991)</v>
      </c>
      <c r="L522" t="str">
        <f>""</f>
        <v/>
      </c>
      <c r="M522" t="str">
        <f>""</f>
        <v/>
      </c>
      <c r="N522" t="str">
        <f>"mazojoalheriaeotica@hotmail.com"</f>
        <v>mazojoalheriaeotica@hotmail.com</v>
      </c>
      <c r="O522" t="str">
        <f>""</f>
        <v/>
      </c>
      <c r="P522" t="str">
        <f>"AVENIDA SETE DE SETEMBRO"</f>
        <v>AVENIDA SETE DE SETEMBRO</v>
      </c>
      <c r="Q522" t="str">
        <f>"47"</f>
        <v>47</v>
      </c>
      <c r="R522" t="str">
        <f>"SALA 01"</f>
        <v>SALA 01</v>
      </c>
      <c r="S522" t="str">
        <f>"1268"</f>
        <v>1268</v>
      </c>
      <c r="T522" t="str">
        <f>"88710000"</f>
        <v>88710000</v>
      </c>
      <c r="U522" t="str">
        <f t="shared" si="269"/>
        <v>CENTRO</v>
      </c>
      <c r="V522" t="str">
        <f>"TREZE DE MAIO"</f>
        <v>TREZE DE MAIO</v>
      </c>
      <c r="W522" t="str">
        <f t="shared" si="267"/>
        <v>SC</v>
      </c>
      <c r="X522" t="str">
        <f t="shared" si="268"/>
        <v>48</v>
      </c>
      <c r="Y522" t="str">
        <f>"36263204"</f>
        <v>36263204</v>
      </c>
      <c r="Z522" t="str">
        <f>""</f>
        <v/>
      </c>
      <c r="AA522" t="str">
        <f>""</f>
        <v/>
      </c>
      <c r="AB522" t="str">
        <f>""</f>
        <v/>
      </c>
      <c r="AC522" t="str">
        <f>""</f>
        <v/>
      </c>
      <c r="AD522" t="str">
        <f>""</f>
        <v/>
      </c>
      <c r="AE522" t="str">
        <f>""</f>
        <v/>
      </c>
      <c r="AF522" t="str">
        <f>""</f>
        <v/>
      </c>
      <c r="AG522" t="str">
        <f>""</f>
        <v/>
      </c>
      <c r="AH522" t="str">
        <f>""</f>
        <v/>
      </c>
      <c r="AI522" t="str">
        <f>""</f>
        <v/>
      </c>
      <c r="AJ522" t="str">
        <f t="shared" ref="AJ522:AL523" si="270">"0"</f>
        <v>0</v>
      </c>
      <c r="AK522" t="str">
        <f t="shared" si="270"/>
        <v>0</v>
      </c>
      <c r="AL522" t="str">
        <f t="shared" si="270"/>
        <v>0</v>
      </c>
      <c r="AM522" t="str">
        <f>""</f>
        <v/>
      </c>
      <c r="AN522" t="str">
        <f>""</f>
        <v/>
      </c>
      <c r="AO522" t="str">
        <f>""</f>
        <v/>
      </c>
      <c r="AP522" t="str">
        <f>""</f>
        <v/>
      </c>
      <c r="AQ522" t="str">
        <f>""</f>
        <v/>
      </c>
      <c r="AR522" t="str">
        <f>""</f>
        <v/>
      </c>
      <c r="AS522" t="str">
        <f>""</f>
        <v/>
      </c>
      <c r="AT522" t="str">
        <f>""</f>
        <v/>
      </c>
      <c r="AU522" t="str">
        <f>""</f>
        <v/>
      </c>
      <c r="AV522" t="str">
        <f>""</f>
        <v/>
      </c>
      <c r="AW522" t="str">
        <f>""</f>
        <v/>
      </c>
      <c r="AX522" t="str">
        <f>""</f>
        <v/>
      </c>
      <c r="AY522" t="str">
        <f>""</f>
        <v/>
      </c>
      <c r="AZ522" t="str">
        <f>""</f>
        <v/>
      </c>
      <c r="BA522" t="str">
        <f>""</f>
        <v/>
      </c>
      <c r="BB522" t="str">
        <f>""</f>
        <v/>
      </c>
      <c r="BC522" t="str">
        <f>""</f>
        <v/>
      </c>
      <c r="BD522" t="str">
        <f>""</f>
        <v/>
      </c>
      <c r="BE522" t="str">
        <f>""</f>
        <v/>
      </c>
      <c r="BF522" t="str">
        <f t="shared" si="262"/>
        <v>A</v>
      </c>
      <c r="BG522" t="str">
        <f>"0,00"</f>
        <v>0,00</v>
      </c>
      <c r="BH522" t="str">
        <f>"0,00"</f>
        <v>0,00</v>
      </c>
      <c r="BI522" t="str">
        <f t="shared" si="251"/>
        <v>EVENTUAL</v>
      </c>
      <c r="BJ522" t="str">
        <f t="shared" si="263"/>
        <v>1</v>
      </c>
      <c r="BK522" t="str">
        <f t="shared" si="264"/>
        <v>Farmacia</v>
      </c>
      <c r="BL522" t="str">
        <f>""</f>
        <v/>
      </c>
      <c r="BM522" t="str">
        <f>"NÃO É VARILUX ESPECIALISTA"</f>
        <v>NÃO É VARILUX ESPECIALISTA</v>
      </c>
      <c r="BN522" t="str">
        <f>"NA"</f>
        <v>NA</v>
      </c>
      <c r="BO522" t="str">
        <f>"OUTROS"</f>
        <v>OUTROS</v>
      </c>
      <c r="BP522" t="str">
        <f>""</f>
        <v/>
      </c>
      <c r="BQ522" t="str">
        <f>""</f>
        <v/>
      </c>
      <c r="BR522" t="str">
        <f>""</f>
        <v/>
      </c>
      <c r="BS522" t="str">
        <f>""</f>
        <v/>
      </c>
      <c r="BT522" t="str">
        <f>""</f>
        <v/>
      </c>
      <c r="BU522" t="str">
        <f>""</f>
        <v/>
      </c>
      <c r="BV522" t="str">
        <f>"9"</f>
        <v>9</v>
      </c>
      <c r="BW522" t="str">
        <f>"2"</f>
        <v>2</v>
      </c>
    </row>
    <row r="523" spans="1:75" x14ac:dyDescent="0.35">
      <c r="A523">
        <v>144523</v>
      </c>
      <c r="B523" t="str">
        <f t="shared" si="259"/>
        <v>A</v>
      </c>
      <c r="C523" t="str">
        <f t="shared" si="260"/>
        <v>80</v>
      </c>
      <c r="D523" t="str">
        <f t="shared" si="254"/>
        <v>11121002</v>
      </c>
      <c r="E523" t="str">
        <f t="shared" si="255"/>
        <v>121002</v>
      </c>
      <c r="F523" t="str">
        <f t="shared" si="256"/>
        <v>CINTHIA NORONHA</v>
      </c>
      <c r="G523" t="str">
        <f>"32820512000190"</f>
        <v>32820512000190</v>
      </c>
      <c r="H523" t="str">
        <f>""</f>
        <v/>
      </c>
      <c r="I523" t="str">
        <f t="shared" si="261"/>
        <v>CONTA OPTICA</v>
      </c>
      <c r="J523" t="str">
        <f>"ADILSON  DAMIANI GOMES"</f>
        <v>ADILSON  DAMIANI GOMES</v>
      </c>
      <c r="K523" t="str">
        <f>"OTICA GOMES (4052)"</f>
        <v>OTICA GOMES (4052)</v>
      </c>
      <c r="L523" t="str">
        <f>""</f>
        <v/>
      </c>
      <c r="M523" t="str">
        <f>""</f>
        <v/>
      </c>
      <c r="N523" t="str">
        <f>"gomesotica@outlook.com"</f>
        <v>gomesotica@outlook.com</v>
      </c>
      <c r="O523" t="str">
        <f>""</f>
        <v/>
      </c>
      <c r="P523" t="str">
        <f>"RUA TREZE DE MAIO"</f>
        <v>RUA TREZE DE MAIO</v>
      </c>
      <c r="Q523" t="str">
        <f>"80"</f>
        <v>80</v>
      </c>
      <c r="R523" t="str">
        <f>"SL COMERCIAL 1"</f>
        <v>SL COMERCIAL 1</v>
      </c>
      <c r="S523" t="str">
        <f>"1268"</f>
        <v>1268</v>
      </c>
      <c r="T523" t="str">
        <f>"88790000"</f>
        <v>88790000</v>
      </c>
      <c r="U523" t="str">
        <f t="shared" si="269"/>
        <v>CENTRO</v>
      </c>
      <c r="V523" t="str">
        <f>"LAGUNA"</f>
        <v>LAGUNA</v>
      </c>
      <c r="W523" t="str">
        <f t="shared" si="267"/>
        <v>SC</v>
      </c>
      <c r="X523" t="str">
        <f t="shared" si="268"/>
        <v>48</v>
      </c>
      <c r="Y523" t="str">
        <f>"36463545"</f>
        <v>36463545</v>
      </c>
      <c r="Z523" t="str">
        <f>""</f>
        <v/>
      </c>
      <c r="AA523" t="str">
        <f>""</f>
        <v/>
      </c>
      <c r="AB523" t="str">
        <f>""</f>
        <v/>
      </c>
      <c r="AC523" t="str">
        <f>""</f>
        <v/>
      </c>
      <c r="AD523" t="str">
        <f>""</f>
        <v/>
      </c>
      <c r="AE523" t="str">
        <f>""</f>
        <v/>
      </c>
      <c r="AF523" t="str">
        <f>""</f>
        <v/>
      </c>
      <c r="AG523" t="str">
        <f>""</f>
        <v/>
      </c>
      <c r="AH523" t="str">
        <f>""</f>
        <v/>
      </c>
      <c r="AI523" t="str">
        <f>""</f>
        <v/>
      </c>
      <c r="AJ523" t="str">
        <f t="shared" si="270"/>
        <v>0</v>
      </c>
      <c r="AK523" t="str">
        <f t="shared" si="270"/>
        <v>0</v>
      </c>
      <c r="AL523" t="str">
        <f t="shared" si="270"/>
        <v>0</v>
      </c>
      <c r="AM523" t="str">
        <f>""</f>
        <v/>
      </c>
      <c r="AN523" t="str">
        <f>""</f>
        <v/>
      </c>
      <c r="AO523" t="str">
        <f>""</f>
        <v/>
      </c>
      <c r="AP523" t="str">
        <f>""</f>
        <v/>
      </c>
      <c r="AQ523" t="str">
        <f>""</f>
        <v/>
      </c>
      <c r="AR523" t="str">
        <f>""</f>
        <v/>
      </c>
      <c r="AS523" t="str">
        <f>""</f>
        <v/>
      </c>
      <c r="AT523" t="str">
        <f>""</f>
        <v/>
      </c>
      <c r="AU523" t="str">
        <f>""</f>
        <v/>
      </c>
      <c r="AV523" t="str">
        <f>""</f>
        <v/>
      </c>
      <c r="AW523" t="str">
        <f>""</f>
        <v/>
      </c>
      <c r="AX523" t="str">
        <f>""</f>
        <v/>
      </c>
      <c r="AY523" t="str">
        <f>""</f>
        <v/>
      </c>
      <c r="AZ523" t="str">
        <f>""</f>
        <v/>
      </c>
      <c r="BA523" t="str">
        <f>""</f>
        <v/>
      </c>
      <c r="BB523" t="str">
        <f>""</f>
        <v/>
      </c>
      <c r="BC523" t="str">
        <f>""</f>
        <v/>
      </c>
      <c r="BD523" t="str">
        <f>""</f>
        <v/>
      </c>
      <c r="BE523" t="str">
        <f>""</f>
        <v/>
      </c>
      <c r="BF523" t="str">
        <f t="shared" si="262"/>
        <v>A</v>
      </c>
      <c r="BG523" t="str">
        <f>"0,00"</f>
        <v>0,00</v>
      </c>
      <c r="BH523" t="str">
        <f>"0,00"</f>
        <v>0,00</v>
      </c>
      <c r="BI523" t="str">
        <f t="shared" si="251"/>
        <v>EVENTUAL</v>
      </c>
      <c r="BJ523" t="str">
        <f t="shared" si="263"/>
        <v>1</v>
      </c>
      <c r="BK523" t="str">
        <f t="shared" si="264"/>
        <v>Farmacia</v>
      </c>
      <c r="BL523" t="str">
        <f>""</f>
        <v/>
      </c>
      <c r="BM523" t="str">
        <f>"NÃO É VARILUX ESPECIALISTA"</f>
        <v>NÃO É VARILUX ESPECIALISTA</v>
      </c>
      <c r="BN523" t="str">
        <f>"NA"</f>
        <v>NA</v>
      </c>
      <c r="BO523" t="str">
        <f>"FOCO KODAK 2"</f>
        <v>FOCO KODAK 2</v>
      </c>
      <c r="BP523" t="str">
        <f>""</f>
        <v/>
      </c>
      <c r="BQ523" t="str">
        <f>""</f>
        <v/>
      </c>
      <c r="BR523" t="str">
        <f>""</f>
        <v/>
      </c>
      <c r="BS523" t="str">
        <f>""</f>
        <v/>
      </c>
      <c r="BT523" t="str">
        <f>""</f>
        <v/>
      </c>
      <c r="BU523" t="str">
        <f>""</f>
        <v/>
      </c>
      <c r="BV523" t="str">
        <f>"9"</f>
        <v>9</v>
      </c>
      <c r="BW523" t="str">
        <f>"1"</f>
        <v>1</v>
      </c>
    </row>
    <row r="524" spans="1:75" x14ac:dyDescent="0.35">
      <c r="A524">
        <v>157716</v>
      </c>
      <c r="B524" t="str">
        <f t="shared" si="259"/>
        <v>A</v>
      </c>
      <c r="C524" t="str">
        <f t="shared" si="260"/>
        <v>80</v>
      </c>
      <c r="D524" t="str">
        <f t="shared" si="254"/>
        <v>11121002</v>
      </c>
      <c r="E524" t="str">
        <f t="shared" si="255"/>
        <v>121002</v>
      </c>
      <c r="F524" t="str">
        <f t="shared" si="256"/>
        <v>CINTHIA NORONHA</v>
      </c>
      <c r="G524" t="str">
        <f>"16845400000138"</f>
        <v>16845400000138</v>
      </c>
      <c r="H524" t="str">
        <f>"0"</f>
        <v>0</v>
      </c>
      <c r="I524" t="str">
        <f t="shared" si="261"/>
        <v>CONTA OPTICA</v>
      </c>
      <c r="J524" t="str">
        <f>"ADILSON SADIO VERAS ME"</f>
        <v>ADILSON SADIO VERAS ME</v>
      </c>
      <c r="K524" t="str">
        <f>"OTICA SANTA LUZIA (1960)"</f>
        <v>OTICA SANTA LUZIA (1960)</v>
      </c>
      <c r="L524" t="str">
        <f>""</f>
        <v/>
      </c>
      <c r="M524" t="str">
        <f>""</f>
        <v/>
      </c>
      <c r="N524" t="str">
        <f>"OSLJAQUELINE@HOTMAIL.COM"</f>
        <v>OSLJAQUELINE@HOTMAIL.COM</v>
      </c>
      <c r="O524" t="str">
        <f>""</f>
        <v/>
      </c>
      <c r="P524" t="str">
        <f>"RUA HERCILIO LUZ"</f>
        <v>RUA HERCILIO LUZ</v>
      </c>
      <c r="Q524" t="str">
        <f>"1095"</f>
        <v>1095</v>
      </c>
      <c r="R524" t="str">
        <f>"LOJA 01"</f>
        <v>LOJA 01</v>
      </c>
      <c r="S524" t="str">
        <f>"1256"</f>
        <v>1256</v>
      </c>
      <c r="T524" t="str">
        <f>"88020000"</f>
        <v>88020000</v>
      </c>
      <c r="U524" t="str">
        <f t="shared" si="269"/>
        <v>CENTRO</v>
      </c>
      <c r="V524" t="str">
        <f>"FLORIANOPOLIS"</f>
        <v>FLORIANOPOLIS</v>
      </c>
      <c r="W524" t="str">
        <f t="shared" si="267"/>
        <v>SC</v>
      </c>
      <c r="X524" t="str">
        <f t="shared" si="268"/>
        <v>48</v>
      </c>
      <c r="Y524" t="str">
        <f>"30374131"</f>
        <v>30374131</v>
      </c>
      <c r="Z524" t="str">
        <f>""</f>
        <v/>
      </c>
      <c r="AA524" t="str">
        <f>""</f>
        <v/>
      </c>
      <c r="AB524" t="str">
        <f>""</f>
        <v/>
      </c>
      <c r="AC524" t="str">
        <f>""</f>
        <v/>
      </c>
      <c r="AD524" t="str">
        <f>""</f>
        <v/>
      </c>
      <c r="AE524" t="str">
        <f>""</f>
        <v/>
      </c>
      <c r="AF524" t="str">
        <f>""</f>
        <v/>
      </c>
      <c r="AG524" t="str">
        <f>""</f>
        <v/>
      </c>
      <c r="AH524" t="str">
        <f>""</f>
        <v/>
      </c>
      <c r="AI524" t="str">
        <f>""</f>
        <v/>
      </c>
      <c r="AJ524" t="str">
        <f>""</f>
        <v/>
      </c>
      <c r="AK524" t="str">
        <f>""</f>
        <v/>
      </c>
      <c r="AL524" t="str">
        <f>""</f>
        <v/>
      </c>
      <c r="AM524" t="str">
        <f>""</f>
        <v/>
      </c>
      <c r="AN524" t="str">
        <f>""</f>
        <v/>
      </c>
      <c r="AO524" t="str">
        <f>""</f>
        <v/>
      </c>
      <c r="AP524" t="str">
        <f>""</f>
        <v/>
      </c>
      <c r="AQ524" t="str">
        <f>""</f>
        <v/>
      </c>
      <c r="AR524" t="str">
        <f>""</f>
        <v/>
      </c>
      <c r="AS524" t="str">
        <f>""</f>
        <v/>
      </c>
      <c r="AT524" t="str">
        <f>""</f>
        <v/>
      </c>
      <c r="AU524" t="str">
        <f>""</f>
        <v/>
      </c>
      <c r="AV524" t="str">
        <f>""</f>
        <v/>
      </c>
      <c r="AW524" t="str">
        <f>""</f>
        <v/>
      </c>
      <c r="AX524" t="str">
        <f>""</f>
        <v/>
      </c>
      <c r="AY524" t="str">
        <f>""</f>
        <v/>
      </c>
      <c r="AZ524" t="str">
        <f>""</f>
        <v/>
      </c>
      <c r="BA524" t="str">
        <f>""</f>
        <v/>
      </c>
      <c r="BB524" t="str">
        <f>"11/07/2023 02:19:56"</f>
        <v>11/07/2023 02:19:56</v>
      </c>
      <c r="BC524" t="str">
        <f>""</f>
        <v/>
      </c>
      <c r="BD524" t="str">
        <f>""</f>
        <v/>
      </c>
      <c r="BE524" t="str">
        <f>""</f>
        <v/>
      </c>
      <c r="BF524" t="str">
        <f t="shared" si="262"/>
        <v>A</v>
      </c>
      <c r="BG524" t="str">
        <f>""</f>
        <v/>
      </c>
      <c r="BH524" t="str">
        <f>""</f>
        <v/>
      </c>
      <c r="BI524" t="str">
        <f t="shared" si="251"/>
        <v>EVENTUAL</v>
      </c>
      <c r="BJ524" t="str">
        <f t="shared" si="263"/>
        <v>1</v>
      </c>
      <c r="BK524" t="str">
        <f t="shared" si="264"/>
        <v>Farmacia</v>
      </c>
      <c r="BL524" t="str">
        <f>""</f>
        <v/>
      </c>
      <c r="BM524" t="str">
        <f>""</f>
        <v/>
      </c>
      <c r="BN524" t="str">
        <f>""</f>
        <v/>
      </c>
      <c r="BO524" t="str">
        <f>""</f>
        <v/>
      </c>
      <c r="BP524" t="str">
        <f>""</f>
        <v/>
      </c>
      <c r="BQ524" t="str">
        <f>""</f>
        <v/>
      </c>
      <c r="BR524" t="str">
        <f>"11/07/2023"</f>
        <v>11/07/2023</v>
      </c>
      <c r="BS524" t="str">
        <f>""</f>
        <v/>
      </c>
      <c r="BT524" t="str">
        <f>""</f>
        <v/>
      </c>
      <c r="BU524" t="str">
        <f>""</f>
        <v/>
      </c>
      <c r="BV524" t="str">
        <f>""</f>
        <v/>
      </c>
      <c r="BW524" t="str">
        <f>"Não visitado"</f>
        <v>Não visitado</v>
      </c>
    </row>
    <row r="525" spans="1:75" x14ac:dyDescent="0.35">
      <c r="A525">
        <v>144364</v>
      </c>
      <c r="B525" t="str">
        <f t="shared" si="259"/>
        <v>A</v>
      </c>
      <c r="C525" t="str">
        <f t="shared" si="260"/>
        <v>80</v>
      </c>
      <c r="D525" t="str">
        <f t="shared" si="254"/>
        <v>11121002</v>
      </c>
      <c r="E525" t="str">
        <f t="shared" si="255"/>
        <v>121002</v>
      </c>
      <c r="F525" t="str">
        <f t="shared" si="256"/>
        <v>CINTHIA NORONHA</v>
      </c>
      <c r="G525" t="str">
        <f>"78649076000130"</f>
        <v>78649076000130</v>
      </c>
      <c r="H525" t="str">
        <f>""</f>
        <v/>
      </c>
      <c r="I525" t="str">
        <f t="shared" si="261"/>
        <v>CONTA OPTICA</v>
      </c>
      <c r="J525" t="str">
        <f>"ADOLFO DA SILVA FERREIRA EPP"</f>
        <v>ADOLFO DA SILVA FERREIRA EPP</v>
      </c>
      <c r="K525" t="str">
        <f>"ADOLFO DA SILVA FERREIRA ME (6)"</f>
        <v>ADOLFO DA SILVA FERREIRA ME (6)</v>
      </c>
      <c r="L525" t="str">
        <f>""</f>
        <v/>
      </c>
      <c r="M525" t="str">
        <f>""</f>
        <v/>
      </c>
      <c r="N525" t="str">
        <f>"silvio_turvo@hotmail.com"</f>
        <v>silvio_turvo@hotmail.com</v>
      </c>
      <c r="O525" t="str">
        <f>""</f>
        <v/>
      </c>
      <c r="P525" t="str">
        <f>"RUA RUI BARBOSA"</f>
        <v>RUA RUI BARBOSA</v>
      </c>
      <c r="Q525" t="str">
        <f>"1285"</f>
        <v>1285</v>
      </c>
      <c r="R525" t="str">
        <f>""</f>
        <v/>
      </c>
      <c r="S525" t="str">
        <f>"1270"</f>
        <v>1270</v>
      </c>
      <c r="T525" t="str">
        <f>"88930000"</f>
        <v>88930000</v>
      </c>
      <c r="U525" t="str">
        <f t="shared" si="269"/>
        <v>CENTRO</v>
      </c>
      <c r="V525" t="str">
        <f>"TURVO"</f>
        <v>TURVO</v>
      </c>
      <c r="W525" t="str">
        <f t="shared" si="267"/>
        <v>SC</v>
      </c>
      <c r="X525" t="str">
        <f t="shared" si="268"/>
        <v>48</v>
      </c>
      <c r="Y525" t="str">
        <f>"35250455"</f>
        <v>35250455</v>
      </c>
      <c r="Z525" t="str">
        <f>""</f>
        <v/>
      </c>
      <c r="AA525" t="str">
        <f>""</f>
        <v/>
      </c>
      <c r="AB525" t="str">
        <f>""</f>
        <v/>
      </c>
      <c r="AC525" t="str">
        <f>""</f>
        <v/>
      </c>
      <c r="AD525" t="str">
        <f>""</f>
        <v/>
      </c>
      <c r="AE525" t="str">
        <f>""</f>
        <v/>
      </c>
      <c r="AF525" t="str">
        <f>""</f>
        <v/>
      </c>
      <c r="AG525" t="str">
        <f>""</f>
        <v/>
      </c>
      <c r="AH525" t="str">
        <f>""</f>
        <v/>
      </c>
      <c r="AI525" t="str">
        <f>""</f>
        <v/>
      </c>
      <c r="AJ525" t="str">
        <f>"0"</f>
        <v>0</v>
      </c>
      <c r="AK525" t="str">
        <f>"0"</f>
        <v>0</v>
      </c>
      <c r="AL525" t="str">
        <f>"0"</f>
        <v>0</v>
      </c>
      <c r="AM525" t="str">
        <f>""</f>
        <v/>
      </c>
      <c r="AN525" t="str">
        <f>""</f>
        <v/>
      </c>
      <c r="AO525" t="str">
        <f>""</f>
        <v/>
      </c>
      <c r="AP525" t="str">
        <f>""</f>
        <v/>
      </c>
      <c r="AQ525" t="str">
        <f>""</f>
        <v/>
      </c>
      <c r="AR525" t="str">
        <f>""</f>
        <v/>
      </c>
      <c r="AS525" t="str">
        <f>""</f>
        <v/>
      </c>
      <c r="AT525" t="str">
        <f>""</f>
        <v/>
      </c>
      <c r="AU525" t="str">
        <f>""</f>
        <v/>
      </c>
      <c r="AV525" t="str">
        <f>""</f>
        <v/>
      </c>
      <c r="AW525" t="str">
        <f>""</f>
        <v/>
      </c>
      <c r="AX525" t="str">
        <f>""</f>
        <v/>
      </c>
      <c r="AY525" t="str">
        <f>""</f>
        <v/>
      </c>
      <c r="AZ525" t="str">
        <f>""</f>
        <v/>
      </c>
      <c r="BA525" t="str">
        <f>""</f>
        <v/>
      </c>
      <c r="BB525" t="str">
        <f>""</f>
        <v/>
      </c>
      <c r="BC525" t="str">
        <f>""</f>
        <v/>
      </c>
      <c r="BD525" t="str">
        <f>""</f>
        <v/>
      </c>
      <c r="BE525" t="str">
        <f>""</f>
        <v/>
      </c>
      <c r="BF525" t="str">
        <f t="shared" si="262"/>
        <v>A</v>
      </c>
      <c r="BG525" t="str">
        <f>"0,00"</f>
        <v>0,00</v>
      </c>
      <c r="BH525" t="str">
        <f>"0,00"</f>
        <v>0,00</v>
      </c>
      <c r="BI525" t="str">
        <f t="shared" si="251"/>
        <v>EVENTUAL</v>
      </c>
      <c r="BJ525" t="str">
        <f t="shared" si="263"/>
        <v>1</v>
      </c>
      <c r="BK525" t="str">
        <f t="shared" si="264"/>
        <v>Farmacia</v>
      </c>
      <c r="BL525" t="str">
        <f>""</f>
        <v/>
      </c>
      <c r="BM525" t="str">
        <f>"VARILUX ESPECIALISTA SELECT"</f>
        <v>VARILUX ESPECIALISTA SELECT</v>
      </c>
      <c r="BN525" t="str">
        <f>"NA"</f>
        <v>NA</v>
      </c>
      <c r="BO525" t="str">
        <f>"FOCO VARILUX DIGITAL"</f>
        <v>FOCO VARILUX DIGITAL</v>
      </c>
      <c r="BP525" t="str">
        <f>""</f>
        <v/>
      </c>
      <c r="BQ525" t="str">
        <f>""</f>
        <v/>
      </c>
      <c r="BR525" t="str">
        <f>""</f>
        <v/>
      </c>
      <c r="BS525" t="str">
        <f>""</f>
        <v/>
      </c>
      <c r="BT525" t="str">
        <f>""</f>
        <v/>
      </c>
      <c r="BU525" t="str">
        <f>""</f>
        <v/>
      </c>
      <c r="BV525" t="str">
        <f>"9"</f>
        <v>9</v>
      </c>
      <c r="BW525" t="str">
        <f>"291"</f>
        <v>291</v>
      </c>
    </row>
    <row r="526" spans="1:75" x14ac:dyDescent="0.35">
      <c r="A526">
        <v>157589</v>
      </c>
      <c r="B526" t="str">
        <f t="shared" si="259"/>
        <v>A</v>
      </c>
      <c r="C526" t="str">
        <f t="shared" si="260"/>
        <v>80</v>
      </c>
      <c r="D526" t="str">
        <f t="shared" si="254"/>
        <v>11121002</v>
      </c>
      <c r="E526" t="str">
        <f t="shared" si="255"/>
        <v>121002</v>
      </c>
      <c r="F526" t="str">
        <f t="shared" si="256"/>
        <v>CINTHIA NORONHA</v>
      </c>
      <c r="G526" t="str">
        <f>"07399227000109"</f>
        <v>07399227000109</v>
      </c>
      <c r="H526" t="str">
        <f>"0"</f>
        <v>0</v>
      </c>
      <c r="I526" t="str">
        <f t="shared" si="261"/>
        <v>CONTA OPTICA</v>
      </c>
      <c r="J526" t="str">
        <f>"ADOLFO JOALHERIA E OTICA LTDA ME"</f>
        <v>ADOLFO JOALHERIA E OTICA LTDA ME</v>
      </c>
      <c r="K526" t="str">
        <f>"ADOLFO JOALHERIA E OTICA LTDA ME (726)"</f>
        <v>ADOLFO JOALHERIA E OTICA LTDA ME (726)</v>
      </c>
      <c r="L526" t="str">
        <f>""</f>
        <v/>
      </c>
      <c r="M526" t="str">
        <f>""</f>
        <v/>
      </c>
      <c r="N526" t="str">
        <f>"MARCOS-O.A@HOTMAIL.COM"</f>
        <v>MARCOS-O.A@HOTMAIL.COM</v>
      </c>
      <c r="O526" t="str">
        <f>""</f>
        <v/>
      </c>
      <c r="P526" t="str">
        <f>"HERCILIO LUZ"</f>
        <v>HERCILIO LUZ</v>
      </c>
      <c r="Q526" t="str">
        <f>"382"</f>
        <v>382</v>
      </c>
      <c r="R526" t="str">
        <f>"SALA 101"</f>
        <v>SALA 101</v>
      </c>
      <c r="S526" t="str">
        <f>"1270"</f>
        <v>1270</v>
      </c>
      <c r="T526" t="str">
        <f>"88900000"</f>
        <v>88900000</v>
      </c>
      <c r="U526" t="str">
        <f t="shared" si="269"/>
        <v>CENTRO</v>
      </c>
      <c r="V526" t="str">
        <f>"ARARANGUA"</f>
        <v>ARARANGUA</v>
      </c>
      <c r="W526" t="str">
        <f t="shared" si="267"/>
        <v>SC</v>
      </c>
      <c r="X526" t="str">
        <f t="shared" si="268"/>
        <v>48</v>
      </c>
      <c r="Y526" t="str">
        <f>"35243983"</f>
        <v>35243983</v>
      </c>
      <c r="Z526" t="str">
        <f>""</f>
        <v/>
      </c>
      <c r="AA526" t="str">
        <f>""</f>
        <v/>
      </c>
      <c r="AB526" t="str">
        <f>""</f>
        <v/>
      </c>
      <c r="AC526" t="str">
        <f>""</f>
        <v/>
      </c>
      <c r="AD526" t="str">
        <f>""</f>
        <v/>
      </c>
      <c r="AE526" t="str">
        <f>""</f>
        <v/>
      </c>
      <c r="AF526" t="str">
        <f>""</f>
        <v/>
      </c>
      <c r="AG526" t="str">
        <f>""</f>
        <v/>
      </c>
      <c r="AH526" t="str">
        <f>""</f>
        <v/>
      </c>
      <c r="AI526" t="str">
        <f>""</f>
        <v/>
      </c>
      <c r="AJ526" t="str">
        <f>""</f>
        <v/>
      </c>
      <c r="AK526" t="str">
        <f>""</f>
        <v/>
      </c>
      <c r="AL526" t="str">
        <f>""</f>
        <v/>
      </c>
      <c r="AM526" t="str">
        <f>""</f>
        <v/>
      </c>
      <c r="AN526" t="str">
        <f>""</f>
        <v/>
      </c>
      <c r="AO526" t="str">
        <f>""</f>
        <v/>
      </c>
      <c r="AP526" t="str">
        <f>""</f>
        <v/>
      </c>
      <c r="AQ526" t="str">
        <f>""</f>
        <v/>
      </c>
      <c r="AR526" t="str">
        <f>""</f>
        <v/>
      </c>
      <c r="AS526" t="str">
        <f>""</f>
        <v/>
      </c>
      <c r="AT526" t="str">
        <f>""</f>
        <v/>
      </c>
      <c r="AU526" t="str">
        <f>""</f>
        <v/>
      </c>
      <c r="AV526" t="str">
        <f>""</f>
        <v/>
      </c>
      <c r="AW526" t="str">
        <f>""</f>
        <v/>
      </c>
      <c r="AX526" t="str">
        <f>""</f>
        <v/>
      </c>
      <c r="AY526" t="str">
        <f>""</f>
        <v/>
      </c>
      <c r="AZ526" t="str">
        <f>""</f>
        <v/>
      </c>
      <c r="BA526" t="str">
        <f>""</f>
        <v/>
      </c>
      <c r="BB526" t="str">
        <f>"11/07/2023 02:19:56"</f>
        <v>11/07/2023 02:19:56</v>
      </c>
      <c r="BC526" t="str">
        <f>""</f>
        <v/>
      </c>
      <c r="BD526" t="str">
        <f>""</f>
        <v/>
      </c>
      <c r="BE526" t="str">
        <f>""</f>
        <v/>
      </c>
      <c r="BF526" t="str">
        <f t="shared" si="262"/>
        <v>A</v>
      </c>
      <c r="BG526" t="str">
        <f>""</f>
        <v/>
      </c>
      <c r="BH526" t="str">
        <f>""</f>
        <v/>
      </c>
      <c r="BI526" t="str">
        <f t="shared" si="251"/>
        <v>EVENTUAL</v>
      </c>
      <c r="BJ526" t="str">
        <f t="shared" si="263"/>
        <v>1</v>
      </c>
      <c r="BK526" t="str">
        <f t="shared" si="264"/>
        <v>Farmacia</v>
      </c>
      <c r="BL526" t="str">
        <f>""</f>
        <v/>
      </c>
      <c r="BM526" t="str">
        <f>""</f>
        <v/>
      </c>
      <c r="BN526" t="str">
        <f>""</f>
        <v/>
      </c>
      <c r="BO526" t="str">
        <f>""</f>
        <v/>
      </c>
      <c r="BP526" t="str">
        <f>""</f>
        <v/>
      </c>
      <c r="BQ526" t="str">
        <f>""</f>
        <v/>
      </c>
      <c r="BR526" t="str">
        <f>"11/07/2023"</f>
        <v>11/07/2023</v>
      </c>
      <c r="BS526" t="str">
        <f>""</f>
        <v/>
      </c>
      <c r="BT526" t="str">
        <f>""</f>
        <v/>
      </c>
      <c r="BU526" t="str">
        <f>""</f>
        <v/>
      </c>
      <c r="BV526" t="str">
        <f>""</f>
        <v/>
      </c>
      <c r="BW526" t="str">
        <f>"133"</f>
        <v>133</v>
      </c>
    </row>
    <row r="527" spans="1:75" x14ac:dyDescent="0.35">
      <c r="A527">
        <v>118701</v>
      </c>
      <c r="B527" t="str">
        <f t="shared" si="259"/>
        <v>A</v>
      </c>
      <c r="C527" t="str">
        <f t="shared" si="260"/>
        <v>80</v>
      </c>
      <c r="D527" t="str">
        <f t="shared" si="254"/>
        <v>11121002</v>
      </c>
      <c r="E527" t="str">
        <f t="shared" si="255"/>
        <v>121002</v>
      </c>
      <c r="F527" t="str">
        <f t="shared" si="256"/>
        <v>CINTHIA NORONHA</v>
      </c>
      <c r="G527" t="str">
        <f>"03498754000101"</f>
        <v>03498754000101</v>
      </c>
      <c r="H527" t="str">
        <f>""</f>
        <v/>
      </c>
      <c r="I527" t="str">
        <f t="shared" si="261"/>
        <v>CONTA OPTICA</v>
      </c>
      <c r="J527" t="str">
        <f>"ADRIANA CARVALHO DOS SANTOS DE CORDOVA ME"</f>
        <v>ADRIANA CARVALHO DOS SANTOS DE CORDOVA ME</v>
      </c>
      <c r="K527" t="str">
        <f>"OTICA MONTREAL (1449)"</f>
        <v>OTICA MONTREAL (1449)</v>
      </c>
      <c r="L527" t="str">
        <f>""</f>
        <v/>
      </c>
      <c r="M527" t="str">
        <f>""</f>
        <v/>
      </c>
      <c r="N527" t="str">
        <f>"montreal@oticamontreal.com"</f>
        <v>montreal@oticamontreal.com</v>
      </c>
      <c r="O527" t="str">
        <f>""</f>
        <v/>
      </c>
      <c r="P527" t="str">
        <f>"RUA FELIPE SCHMIDT"</f>
        <v>RUA FELIPE SCHMIDT</v>
      </c>
      <c r="Q527" t="str">
        <f>"413"</f>
        <v>413</v>
      </c>
      <c r="R527" t="str">
        <f>"LOJA 02"</f>
        <v>LOJA 02</v>
      </c>
      <c r="S527" t="str">
        <f>"1254"</f>
        <v>1254</v>
      </c>
      <c r="T527" t="str">
        <f>"88010001"</f>
        <v>88010001</v>
      </c>
      <c r="U527" t="str">
        <f t="shared" si="269"/>
        <v>CENTRO</v>
      </c>
      <c r="V527" t="str">
        <f>"FLORIANÓPOLIS"</f>
        <v>FLORIANÓPOLIS</v>
      </c>
      <c r="W527" t="str">
        <f t="shared" si="267"/>
        <v>SC</v>
      </c>
      <c r="X527" t="str">
        <f t="shared" si="268"/>
        <v>48</v>
      </c>
      <c r="Y527" t="str">
        <f>"30283878"</f>
        <v>30283878</v>
      </c>
      <c r="Z527" t="str">
        <f>""</f>
        <v/>
      </c>
      <c r="AA527" t="str">
        <f>""</f>
        <v/>
      </c>
      <c r="AB527" t="str">
        <f>""</f>
        <v/>
      </c>
      <c r="AC527" t="str">
        <f>""</f>
        <v/>
      </c>
      <c r="AD527" t="str">
        <f>""</f>
        <v/>
      </c>
      <c r="AE527" t="str">
        <f>""</f>
        <v/>
      </c>
      <c r="AF527" t="str">
        <f>""</f>
        <v/>
      </c>
      <c r="AG527" t="str">
        <f>""</f>
        <v/>
      </c>
      <c r="AH527" t="str">
        <f>""</f>
        <v/>
      </c>
      <c r="AI527" t="str">
        <f>""</f>
        <v/>
      </c>
      <c r="AJ527" t="str">
        <f>"0"</f>
        <v>0</v>
      </c>
      <c r="AK527" t="str">
        <f>"0"</f>
        <v>0</v>
      </c>
      <c r="AL527" t="str">
        <f>"0"</f>
        <v>0</v>
      </c>
      <c r="AM527" t="str">
        <f>""</f>
        <v/>
      </c>
      <c r="AN527" t="str">
        <f>""</f>
        <v/>
      </c>
      <c r="AO527" t="str">
        <f>""</f>
        <v/>
      </c>
      <c r="AP527" t="str">
        <f>""</f>
        <v/>
      </c>
      <c r="AQ527" t="str">
        <f>""</f>
        <v/>
      </c>
      <c r="AR527" t="str">
        <f>""</f>
        <v/>
      </c>
      <c r="AS527" t="str">
        <f>""</f>
        <v/>
      </c>
      <c r="AT527" t="str">
        <f>""</f>
        <v/>
      </c>
      <c r="AU527" t="str">
        <f>""</f>
        <v/>
      </c>
      <c r="AV527" t="str">
        <f>""</f>
        <v/>
      </c>
      <c r="AW527" t="str">
        <f>""</f>
        <v/>
      </c>
      <c r="AX527" t="str">
        <f>""</f>
        <v/>
      </c>
      <c r="AY527" t="str">
        <f>""</f>
        <v/>
      </c>
      <c r="AZ527" t="str">
        <f>""</f>
        <v/>
      </c>
      <c r="BA527" t="str">
        <f>""</f>
        <v/>
      </c>
      <c r="BB527" t="str">
        <f>""</f>
        <v/>
      </c>
      <c r="BC527" t="str">
        <f>""</f>
        <v/>
      </c>
      <c r="BD527" t="str">
        <f>""</f>
        <v/>
      </c>
      <c r="BE527" t="str">
        <f>""</f>
        <v/>
      </c>
      <c r="BF527" t="str">
        <f t="shared" si="262"/>
        <v>A</v>
      </c>
      <c r="BG527" t="str">
        <f>"0,00"</f>
        <v>0,00</v>
      </c>
      <c r="BH527" t="str">
        <f>"0,00"</f>
        <v>0,00</v>
      </c>
      <c r="BI527" t="str">
        <f t="shared" si="251"/>
        <v>EVENTUAL</v>
      </c>
      <c r="BJ527" t="str">
        <f t="shared" si="263"/>
        <v>1</v>
      </c>
      <c r="BK527" t="str">
        <f t="shared" si="264"/>
        <v>Farmacia</v>
      </c>
      <c r="BL527" t="str">
        <f>""</f>
        <v/>
      </c>
      <c r="BM527" t="str">
        <f>"NÃO É VARILUX ESPECIALISTA"</f>
        <v>NÃO É VARILUX ESPECIALISTA</v>
      </c>
      <c r="BN527" t="str">
        <f>"NA"</f>
        <v>NA</v>
      </c>
      <c r="BO527" t="str">
        <f>"OUTROS"</f>
        <v>OUTROS</v>
      </c>
      <c r="BP527" t="str">
        <f>""</f>
        <v/>
      </c>
      <c r="BQ527" t="str">
        <f>""</f>
        <v/>
      </c>
      <c r="BR527" t="str">
        <f>""</f>
        <v/>
      </c>
      <c r="BS527" t="str">
        <f>""</f>
        <v/>
      </c>
      <c r="BT527" t="str">
        <f>""</f>
        <v/>
      </c>
      <c r="BU527" t="str">
        <f>""</f>
        <v/>
      </c>
      <c r="BV527" t="str">
        <f>"8"</f>
        <v>8</v>
      </c>
      <c r="BW527" t="str">
        <f>"2"</f>
        <v>2</v>
      </c>
    </row>
    <row r="528" spans="1:75" x14ac:dyDescent="0.35">
      <c r="A528">
        <v>134557</v>
      </c>
      <c r="B528" t="str">
        <f t="shared" si="259"/>
        <v>A</v>
      </c>
      <c r="C528" t="str">
        <f t="shared" si="260"/>
        <v>80</v>
      </c>
      <c r="D528" t="str">
        <f t="shared" si="254"/>
        <v>11121002</v>
      </c>
      <c r="E528" t="str">
        <f t="shared" si="255"/>
        <v>121002</v>
      </c>
      <c r="F528" t="str">
        <f t="shared" si="256"/>
        <v>CINTHIA NORONHA</v>
      </c>
      <c r="G528" t="str">
        <f>"14927475000132"</f>
        <v>14927475000132</v>
      </c>
      <c r="H528" t="str">
        <f>""</f>
        <v/>
      </c>
      <c r="I528" t="str">
        <f t="shared" si="261"/>
        <v>CONTA OPTICA</v>
      </c>
      <c r="J528" t="str">
        <f>"ADRIANA DO ESPIRITO SANTO DE ABREU 76128857949"</f>
        <v>ADRIANA DO ESPIRITO SANTO DE ABREU 76128857949</v>
      </c>
      <c r="K528" t="str">
        <f>"OTICA ADRIANA (4249)"</f>
        <v>OTICA ADRIANA (4249)</v>
      </c>
      <c r="L528" t="str">
        <f>""</f>
        <v/>
      </c>
      <c r="M528" t="str">
        <f>""</f>
        <v/>
      </c>
      <c r="N528" t="str">
        <f>"adriana_s_abreu@hotmail.com"</f>
        <v>adriana_s_abreu@hotmail.com</v>
      </c>
      <c r="O528" t="str">
        <f>""</f>
        <v/>
      </c>
      <c r="P528" t="str">
        <f>"SERVIDAO DO MANGUEIRAO"</f>
        <v>SERVIDAO DO MANGUEIRAO</v>
      </c>
      <c r="Q528" t="str">
        <f>"99"</f>
        <v>99</v>
      </c>
      <c r="R528" t="str">
        <f>""</f>
        <v/>
      </c>
      <c r="S528" t="str">
        <f>""</f>
        <v/>
      </c>
      <c r="T528" t="str">
        <f>"88040165"</f>
        <v>88040165</v>
      </c>
      <c r="U528" t="str">
        <f>"PANTANAL"</f>
        <v>PANTANAL</v>
      </c>
      <c r="V528" t="str">
        <f>"FLORIANÓPOLIS"</f>
        <v>FLORIANÓPOLIS</v>
      </c>
      <c r="W528" t="str">
        <f t="shared" si="267"/>
        <v>SC</v>
      </c>
      <c r="X528" t="str">
        <f t="shared" si="268"/>
        <v>48</v>
      </c>
      <c r="Y528" t="str">
        <f>"32342287"</f>
        <v>32342287</v>
      </c>
      <c r="Z528" t="str">
        <f>""</f>
        <v/>
      </c>
      <c r="AA528" t="str">
        <f>""</f>
        <v/>
      </c>
      <c r="AB528" t="str">
        <f>""</f>
        <v/>
      </c>
      <c r="AC528" t="str">
        <f>""</f>
        <v/>
      </c>
      <c r="AD528" t="str">
        <f>""</f>
        <v/>
      </c>
      <c r="AE528" t="str">
        <f>""</f>
        <v/>
      </c>
      <c r="AF528" t="str">
        <f>""</f>
        <v/>
      </c>
      <c r="AG528" t="str">
        <f>"S"</f>
        <v>S</v>
      </c>
      <c r="AH528" t="str">
        <f>""</f>
        <v/>
      </c>
      <c r="AI528" t="str">
        <f>""</f>
        <v/>
      </c>
      <c r="AJ528" t="str">
        <f>""</f>
        <v/>
      </c>
      <c r="AK528" t="str">
        <f>""</f>
        <v/>
      </c>
      <c r="AL528" t="str">
        <f>""</f>
        <v/>
      </c>
      <c r="AM528" t="str">
        <f>""</f>
        <v/>
      </c>
      <c r="AN528" t="str">
        <f>""</f>
        <v/>
      </c>
      <c r="AO528" t="str">
        <f>""</f>
        <v/>
      </c>
      <c r="AP528" t="str">
        <f>""</f>
        <v/>
      </c>
      <c r="AQ528" t="str">
        <f t="shared" ref="AQ528:AU531" si="271">"N"</f>
        <v>N</v>
      </c>
      <c r="AR528" t="str">
        <f t="shared" si="271"/>
        <v>N</v>
      </c>
      <c r="AS528" t="str">
        <f t="shared" si="271"/>
        <v>N</v>
      </c>
      <c r="AT528" t="str">
        <f t="shared" si="271"/>
        <v>N</v>
      </c>
      <c r="AU528" t="str">
        <f t="shared" si="271"/>
        <v>N</v>
      </c>
      <c r="AV528" t="str">
        <f>""</f>
        <v/>
      </c>
      <c r="AW528" t="str">
        <f>""</f>
        <v/>
      </c>
      <c r="AX528" t="str">
        <f>""</f>
        <v/>
      </c>
      <c r="AY528" t="str">
        <f>""</f>
        <v/>
      </c>
      <c r="AZ528" t="str">
        <f>""</f>
        <v/>
      </c>
      <c r="BA528" t="str">
        <f>""</f>
        <v/>
      </c>
      <c r="BB528" t="str">
        <f>""</f>
        <v/>
      </c>
      <c r="BC528" t="str">
        <f>"04/03/2022 09:01:10"</f>
        <v>04/03/2022 09:01:10</v>
      </c>
      <c r="BD528" t="str">
        <f>""</f>
        <v/>
      </c>
      <c r="BE528" t="str">
        <f>""</f>
        <v/>
      </c>
      <c r="BF528" t="str">
        <f t="shared" si="262"/>
        <v>A</v>
      </c>
      <c r="BG528" t="str">
        <f>""</f>
        <v/>
      </c>
      <c r="BH528" t="str">
        <f>"0,00"</f>
        <v>0,00</v>
      </c>
      <c r="BI528" t="str">
        <f t="shared" ref="BI528:BI542" si="272">"EVENTUAL"</f>
        <v>EVENTUAL</v>
      </c>
      <c r="BJ528" t="str">
        <f t="shared" si="263"/>
        <v>1</v>
      </c>
      <c r="BK528" t="str">
        <f t="shared" si="264"/>
        <v>Farmacia</v>
      </c>
      <c r="BL528" t="str">
        <f>""</f>
        <v/>
      </c>
      <c r="BM528" t="str">
        <f>"NÃO É VARILUX ESPECIALISTA"</f>
        <v>NÃO É VARILUX ESPECIALISTA</v>
      </c>
      <c r="BN528" t="str">
        <f>"NA"</f>
        <v>NA</v>
      </c>
      <c r="BO528" t="str">
        <f>"FOCO KODAK 2"</f>
        <v>FOCO KODAK 2</v>
      </c>
      <c r="BP528" t="str">
        <f>""</f>
        <v/>
      </c>
      <c r="BQ528" t="str">
        <f>""</f>
        <v/>
      </c>
      <c r="BR528" t="str">
        <f>""</f>
        <v/>
      </c>
      <c r="BS528" t="str">
        <f>"04/03/2022"</f>
        <v>04/03/2022</v>
      </c>
      <c r="BT528" t="str">
        <f>""</f>
        <v/>
      </c>
      <c r="BU528" t="str">
        <f>""</f>
        <v/>
      </c>
      <c r="BV528" t="str">
        <f>""</f>
        <v/>
      </c>
      <c r="BW528" t="str">
        <f>"4"</f>
        <v>4</v>
      </c>
    </row>
    <row r="529" spans="1:75" x14ac:dyDescent="0.35">
      <c r="A529">
        <v>134478</v>
      </c>
      <c r="B529" t="str">
        <f t="shared" si="259"/>
        <v>A</v>
      </c>
      <c r="C529" t="str">
        <f t="shared" si="260"/>
        <v>80</v>
      </c>
      <c r="D529" t="str">
        <f t="shared" si="254"/>
        <v>11121002</v>
      </c>
      <c r="E529" t="str">
        <f t="shared" si="255"/>
        <v>121002</v>
      </c>
      <c r="F529" t="str">
        <f t="shared" si="256"/>
        <v>CINTHIA NORONHA</v>
      </c>
      <c r="G529" t="str">
        <f>"17716654000119"</f>
        <v>17716654000119</v>
      </c>
      <c r="H529" t="str">
        <f>""</f>
        <v/>
      </c>
      <c r="I529" t="str">
        <f t="shared" si="261"/>
        <v>CONTA OPTICA</v>
      </c>
      <c r="J529" t="str">
        <f>"ADRIANO DE MATOS GARCEZ EIRELI"</f>
        <v>ADRIANO DE MATOS GARCEZ EIRELI</v>
      </c>
      <c r="K529" t="str">
        <f>"OTICA CAROL (1991)"</f>
        <v>OTICA CAROL (1991)</v>
      </c>
      <c r="L529" t="str">
        <f>""</f>
        <v/>
      </c>
      <c r="M529" t="str">
        <f>""</f>
        <v/>
      </c>
      <c r="N529" t="str">
        <f>"produtosc@oticascarol.com.br"</f>
        <v>produtosc@oticascarol.com.br</v>
      </c>
      <c r="O529" t="str">
        <f>""</f>
        <v/>
      </c>
      <c r="P529" t="str">
        <f>"RUA JERONIMO COELHO"</f>
        <v>RUA JERONIMO COELHO</v>
      </c>
      <c r="Q529" t="str">
        <f>"131"</f>
        <v>131</v>
      </c>
      <c r="R529" t="str">
        <f>""</f>
        <v/>
      </c>
      <c r="S529" t="str">
        <f>"1254"</f>
        <v>1254</v>
      </c>
      <c r="T529" t="str">
        <f>"88010030"</f>
        <v>88010030</v>
      </c>
      <c r="U529" t="str">
        <f>"CENTRO"</f>
        <v>CENTRO</v>
      </c>
      <c r="V529" t="str">
        <f>"FLORIANÓPOLIS"</f>
        <v>FLORIANÓPOLIS</v>
      </c>
      <c r="W529" t="str">
        <f t="shared" si="267"/>
        <v>SC</v>
      </c>
      <c r="X529" t="str">
        <f t="shared" si="268"/>
        <v>48</v>
      </c>
      <c r="Y529" t="str">
        <f>"33330209"</f>
        <v>33330209</v>
      </c>
      <c r="Z529" t="str">
        <f>""</f>
        <v/>
      </c>
      <c r="AA529" t="str">
        <f>""</f>
        <v/>
      </c>
      <c r="AB529" t="str">
        <f>""</f>
        <v/>
      </c>
      <c r="AC529" t="str">
        <f>""</f>
        <v/>
      </c>
      <c r="AD529" t="str">
        <f>""</f>
        <v/>
      </c>
      <c r="AE529" t="str">
        <f>""</f>
        <v/>
      </c>
      <c r="AF529" t="str">
        <f>""</f>
        <v/>
      </c>
      <c r="AG529" t="str">
        <f>"S"</f>
        <v>S</v>
      </c>
      <c r="AH529" t="str">
        <f>""</f>
        <v/>
      </c>
      <c r="AI529" t="str">
        <f>""</f>
        <v/>
      </c>
      <c r="AJ529" t="str">
        <f>""</f>
        <v/>
      </c>
      <c r="AK529" t="str">
        <f>""</f>
        <v/>
      </c>
      <c r="AL529" t="str">
        <f>""</f>
        <v/>
      </c>
      <c r="AM529" t="str">
        <f>""</f>
        <v/>
      </c>
      <c r="AN529" t="str">
        <f>""</f>
        <v/>
      </c>
      <c r="AO529" t="str">
        <f>""</f>
        <v/>
      </c>
      <c r="AP529" t="str">
        <f>""</f>
        <v/>
      </c>
      <c r="AQ529" t="str">
        <f t="shared" si="271"/>
        <v>N</v>
      </c>
      <c r="AR529" t="str">
        <f t="shared" si="271"/>
        <v>N</v>
      </c>
      <c r="AS529" t="str">
        <f t="shared" si="271"/>
        <v>N</v>
      </c>
      <c r="AT529" t="str">
        <f t="shared" si="271"/>
        <v>N</v>
      </c>
      <c r="AU529" t="str">
        <f t="shared" si="271"/>
        <v>N</v>
      </c>
      <c r="AV529" t="str">
        <f>""</f>
        <v/>
      </c>
      <c r="AW529" t="str">
        <f>""</f>
        <v/>
      </c>
      <c r="AX529" t="str">
        <f>""</f>
        <v/>
      </c>
      <c r="AY529" t="str">
        <f>""</f>
        <v/>
      </c>
      <c r="AZ529" t="str">
        <f>""</f>
        <v/>
      </c>
      <c r="BA529" t="str">
        <f>""</f>
        <v/>
      </c>
      <c r="BB529" t="str">
        <f>""</f>
        <v/>
      </c>
      <c r="BC529" t="str">
        <f>"06/01/2022 17:50:42"</f>
        <v>06/01/2022 17:50:42</v>
      </c>
      <c r="BD529" t="str">
        <f>""</f>
        <v/>
      </c>
      <c r="BE529" t="str">
        <f>""</f>
        <v/>
      </c>
      <c r="BF529" t="str">
        <f t="shared" si="262"/>
        <v>A</v>
      </c>
      <c r="BG529" t="str">
        <f>""</f>
        <v/>
      </c>
      <c r="BH529" t="str">
        <f>"0,00"</f>
        <v>0,00</v>
      </c>
      <c r="BI529" t="str">
        <f t="shared" si="272"/>
        <v>EVENTUAL</v>
      </c>
      <c r="BJ529" t="str">
        <f t="shared" si="263"/>
        <v>1</v>
      </c>
      <c r="BK529" t="str">
        <f t="shared" si="264"/>
        <v>Farmacia</v>
      </c>
      <c r="BL529" t="str">
        <f>""</f>
        <v/>
      </c>
      <c r="BM529" t="str">
        <f>"VARILUX ESPECIALISTA PLATINE"</f>
        <v>VARILUX ESPECIALISTA PLATINE</v>
      </c>
      <c r="BN529" t="str">
        <f>"NA"</f>
        <v>NA</v>
      </c>
      <c r="BO529" t="str">
        <f>"FOCO VARILUX DIGITAL"</f>
        <v>FOCO VARILUX DIGITAL</v>
      </c>
      <c r="BP529" t="str">
        <f>""</f>
        <v/>
      </c>
      <c r="BQ529" t="str">
        <f>""</f>
        <v/>
      </c>
      <c r="BR529" t="str">
        <f>""</f>
        <v/>
      </c>
      <c r="BS529" t="str">
        <f>"06/01/2022"</f>
        <v>06/01/2022</v>
      </c>
      <c r="BT529" t="str">
        <f>""</f>
        <v/>
      </c>
      <c r="BU529" t="str">
        <f>""</f>
        <v/>
      </c>
      <c r="BV529" t="str">
        <f>"1"</f>
        <v>1</v>
      </c>
      <c r="BW529" t="str">
        <f>"687"</f>
        <v>687</v>
      </c>
    </row>
    <row r="530" spans="1:75" x14ac:dyDescent="0.35">
      <c r="A530">
        <v>134479</v>
      </c>
      <c r="B530" t="str">
        <f t="shared" si="259"/>
        <v>A</v>
      </c>
      <c r="C530" t="str">
        <f t="shared" si="260"/>
        <v>80</v>
      </c>
      <c r="D530" t="str">
        <f t="shared" si="254"/>
        <v>11121002</v>
      </c>
      <c r="E530" t="str">
        <f t="shared" si="255"/>
        <v>121002</v>
      </c>
      <c r="F530" t="str">
        <f t="shared" si="256"/>
        <v>CINTHIA NORONHA</v>
      </c>
      <c r="G530" t="str">
        <f>"17716654000208"</f>
        <v>17716654000208</v>
      </c>
      <c r="H530" t="str">
        <f>""</f>
        <v/>
      </c>
      <c r="I530" t="str">
        <f t="shared" si="261"/>
        <v>CONTA OPTICA</v>
      </c>
      <c r="J530" t="str">
        <f>"ADRIANO DE MATOS GARCEZ EIRELI"</f>
        <v>ADRIANO DE MATOS GARCEZ EIRELI</v>
      </c>
      <c r="K530" t="str">
        <f>"OTICAS CAROL (2274)"</f>
        <v>OTICAS CAROL (2274)</v>
      </c>
      <c r="L530" t="str">
        <f>""</f>
        <v/>
      </c>
      <c r="M530" t="str">
        <f>""</f>
        <v/>
      </c>
      <c r="N530" t="str">
        <f>"produtosc@oticascarol.com.br"</f>
        <v>produtosc@oticascarol.com.br</v>
      </c>
      <c r="O530" t="str">
        <f>""</f>
        <v/>
      </c>
      <c r="P530" t="str">
        <f>"RUA VIDAL RAMOS"</f>
        <v>RUA VIDAL RAMOS</v>
      </c>
      <c r="Q530" t="str">
        <f>"153"</f>
        <v>153</v>
      </c>
      <c r="R530" t="str">
        <f>"LOJA 01"</f>
        <v>LOJA 01</v>
      </c>
      <c r="S530" t="str">
        <f>"1254"</f>
        <v>1254</v>
      </c>
      <c r="T530" t="str">
        <f>"88010320"</f>
        <v>88010320</v>
      </c>
      <c r="U530" t="str">
        <f>"CENTRO"</f>
        <v>CENTRO</v>
      </c>
      <c r="V530" t="str">
        <f>"FLORIANÓPOLIS"</f>
        <v>FLORIANÓPOLIS</v>
      </c>
      <c r="W530" t="str">
        <f t="shared" si="267"/>
        <v>SC</v>
      </c>
      <c r="X530" t="str">
        <f t="shared" si="268"/>
        <v>48</v>
      </c>
      <c r="Y530" t="str">
        <f>"30374919"</f>
        <v>30374919</v>
      </c>
      <c r="Z530" t="str">
        <f>""</f>
        <v/>
      </c>
      <c r="AA530" t="str">
        <f>""</f>
        <v/>
      </c>
      <c r="AB530" t="str">
        <f>""</f>
        <v/>
      </c>
      <c r="AC530" t="str">
        <f>""</f>
        <v/>
      </c>
      <c r="AD530" t="str">
        <f>""</f>
        <v/>
      </c>
      <c r="AE530" t="str">
        <f>""</f>
        <v/>
      </c>
      <c r="AF530" t="str">
        <f>""</f>
        <v/>
      </c>
      <c r="AG530" t="str">
        <f>"S"</f>
        <v>S</v>
      </c>
      <c r="AH530" t="str">
        <f>""</f>
        <v/>
      </c>
      <c r="AI530" t="str">
        <f>""</f>
        <v/>
      </c>
      <c r="AJ530" t="str">
        <f>""</f>
        <v/>
      </c>
      <c r="AK530" t="str">
        <f>""</f>
        <v/>
      </c>
      <c r="AL530" t="str">
        <f>""</f>
        <v/>
      </c>
      <c r="AM530" t="str">
        <f>""</f>
        <v/>
      </c>
      <c r="AN530" t="str">
        <f>""</f>
        <v/>
      </c>
      <c r="AO530" t="str">
        <f>""</f>
        <v/>
      </c>
      <c r="AP530" t="str">
        <f>""</f>
        <v/>
      </c>
      <c r="AQ530" t="str">
        <f t="shared" si="271"/>
        <v>N</v>
      </c>
      <c r="AR530" t="str">
        <f t="shared" si="271"/>
        <v>N</v>
      </c>
      <c r="AS530" t="str">
        <f t="shared" si="271"/>
        <v>N</v>
      </c>
      <c r="AT530" t="str">
        <f t="shared" si="271"/>
        <v>N</v>
      </c>
      <c r="AU530" t="str">
        <f t="shared" si="271"/>
        <v>N</v>
      </c>
      <c r="AV530" t="str">
        <f>""</f>
        <v/>
      </c>
      <c r="AW530" t="str">
        <f>""</f>
        <v/>
      </c>
      <c r="AX530" t="str">
        <f>""</f>
        <v/>
      </c>
      <c r="AY530" t="str">
        <f>""</f>
        <v/>
      </c>
      <c r="AZ530" t="str">
        <f>""</f>
        <v/>
      </c>
      <c r="BA530" t="str">
        <f>""</f>
        <v/>
      </c>
      <c r="BB530" t="str">
        <f>""</f>
        <v/>
      </c>
      <c r="BC530" t="str">
        <f>"18/04/2022 16:01:38"</f>
        <v>18/04/2022 16:01:38</v>
      </c>
      <c r="BD530" t="str">
        <f>""</f>
        <v/>
      </c>
      <c r="BE530" t="str">
        <f>""</f>
        <v/>
      </c>
      <c r="BF530" t="str">
        <f t="shared" si="262"/>
        <v>A</v>
      </c>
      <c r="BG530" t="str">
        <f>""</f>
        <v/>
      </c>
      <c r="BH530" t="str">
        <f>"0,00"</f>
        <v>0,00</v>
      </c>
      <c r="BI530" t="str">
        <f t="shared" si="272"/>
        <v>EVENTUAL</v>
      </c>
      <c r="BJ530" t="str">
        <f t="shared" si="263"/>
        <v>1</v>
      </c>
      <c r="BK530" t="str">
        <f t="shared" si="264"/>
        <v>Farmacia</v>
      </c>
      <c r="BL530" t="str">
        <f>""</f>
        <v/>
      </c>
      <c r="BM530" t="str">
        <f>"VARILUX ESPECIALISTA PLATINE"</f>
        <v>VARILUX ESPECIALISTA PLATINE</v>
      </c>
      <c r="BN530" t="str">
        <f>"NA"</f>
        <v>NA</v>
      </c>
      <c r="BO530" t="str">
        <f>"FOCO VARILUX DIGITAL"</f>
        <v>FOCO VARILUX DIGITAL</v>
      </c>
      <c r="BP530" t="str">
        <f>""</f>
        <v/>
      </c>
      <c r="BQ530" t="str">
        <f>""</f>
        <v/>
      </c>
      <c r="BR530" t="str">
        <f>""</f>
        <v/>
      </c>
      <c r="BS530" t="str">
        <f>"18/04/2022"</f>
        <v>18/04/2022</v>
      </c>
      <c r="BT530" t="str">
        <f>""</f>
        <v/>
      </c>
      <c r="BU530" t="str">
        <f>""</f>
        <v/>
      </c>
      <c r="BV530" t="str">
        <f>"1"</f>
        <v>1</v>
      </c>
      <c r="BW530" t="str">
        <f>"87"</f>
        <v>87</v>
      </c>
    </row>
    <row r="531" spans="1:75" x14ac:dyDescent="0.35">
      <c r="A531">
        <v>134318</v>
      </c>
      <c r="B531" t="str">
        <f t="shared" si="259"/>
        <v>A</v>
      </c>
      <c r="C531" t="str">
        <f t="shared" si="260"/>
        <v>80</v>
      </c>
      <c r="D531" t="str">
        <f t="shared" si="254"/>
        <v>11121002</v>
      </c>
      <c r="E531" t="str">
        <f t="shared" si="255"/>
        <v>121002</v>
      </c>
      <c r="F531" t="str">
        <f t="shared" si="256"/>
        <v>CINTHIA NORONHA</v>
      </c>
      <c r="G531" t="str">
        <f>"32952796000179"</f>
        <v>32952796000179</v>
      </c>
      <c r="H531" t="str">
        <f>""</f>
        <v/>
      </c>
      <c r="I531" t="str">
        <f t="shared" si="261"/>
        <v>CONTA OPTICA</v>
      </c>
      <c r="J531" t="str">
        <f>"AFQ COMERCIO DE PRODUTOS OTICOS EIRELI"</f>
        <v>AFQ COMERCIO DE PRODUTOS OTICOS EIRELI</v>
      </c>
      <c r="K531" t="str">
        <f>"AFQ COMERCIO DE PRODUTOS OTICOS EIRELI (3999)"</f>
        <v>AFQ COMERCIO DE PRODUTOS OTICOS EIRELI (3999)</v>
      </c>
      <c r="L531" t="str">
        <f>""</f>
        <v/>
      </c>
      <c r="M531" t="str">
        <f>""</f>
        <v/>
      </c>
      <c r="N531" t="str">
        <f>"andre@quevedo.com.br"</f>
        <v>andre@quevedo.com.br</v>
      </c>
      <c r="O531" t="str">
        <f>""</f>
        <v/>
      </c>
      <c r="P531" t="str">
        <f>"RUA PREFEITO JOSE KEHRIG"</f>
        <v>RUA PREFEITO JOSE KEHRIG</v>
      </c>
      <c r="Q531" t="str">
        <f>"5675"</f>
        <v>5675</v>
      </c>
      <c r="R531" t="str">
        <f>"SALA 02 TERREO"</f>
        <v>SALA 02 TERREO</v>
      </c>
      <c r="S531" t="str">
        <f>"1259"</f>
        <v>1259</v>
      </c>
      <c r="T531" t="str">
        <f>"88140000"</f>
        <v>88140000</v>
      </c>
      <c r="U531" t="str">
        <f>"CENTRO"</f>
        <v>CENTRO</v>
      </c>
      <c r="V531" t="str">
        <f>"SANTO AMARO DA IMPERATRIZ"</f>
        <v>SANTO AMARO DA IMPERATRIZ</v>
      </c>
      <c r="W531" t="str">
        <f t="shared" si="267"/>
        <v>SC</v>
      </c>
      <c r="X531" t="str">
        <f t="shared" si="268"/>
        <v>48</v>
      </c>
      <c r="Y531" t="str">
        <f>"32451804"</f>
        <v>32451804</v>
      </c>
      <c r="Z531" t="str">
        <f>""</f>
        <v/>
      </c>
      <c r="AA531" t="str">
        <f>""</f>
        <v/>
      </c>
      <c r="AB531" t="str">
        <f>""</f>
        <v/>
      </c>
      <c r="AC531" t="str">
        <f>""</f>
        <v/>
      </c>
      <c r="AD531" t="str">
        <f>""</f>
        <v/>
      </c>
      <c r="AE531" t="str">
        <f>""</f>
        <v/>
      </c>
      <c r="AF531" t="str">
        <f>""</f>
        <v/>
      </c>
      <c r="AG531" t="str">
        <f>"S"</f>
        <v>S</v>
      </c>
      <c r="AH531" t="str">
        <f>""</f>
        <v/>
      </c>
      <c r="AI531" t="str">
        <f>""</f>
        <v/>
      </c>
      <c r="AJ531" t="str">
        <f>"0"</f>
        <v>0</v>
      </c>
      <c r="AK531" t="str">
        <f>"0"</f>
        <v>0</v>
      </c>
      <c r="AL531" t="str">
        <f>"0"</f>
        <v>0</v>
      </c>
      <c r="AM531" t="str">
        <f>""</f>
        <v/>
      </c>
      <c r="AN531" t="str">
        <f>""</f>
        <v/>
      </c>
      <c r="AO531" t="str">
        <f>""</f>
        <v/>
      </c>
      <c r="AP531" t="str">
        <f>""</f>
        <v/>
      </c>
      <c r="AQ531" t="str">
        <f t="shared" si="271"/>
        <v>N</v>
      </c>
      <c r="AR531" t="str">
        <f t="shared" si="271"/>
        <v>N</v>
      </c>
      <c r="AS531" t="str">
        <f t="shared" si="271"/>
        <v>N</v>
      </c>
      <c r="AT531" t="str">
        <f t="shared" si="271"/>
        <v>N</v>
      </c>
      <c r="AU531" t="str">
        <f t="shared" si="271"/>
        <v>N</v>
      </c>
      <c r="AV531" t="str">
        <f>""</f>
        <v/>
      </c>
      <c r="AW531" t="str">
        <f>""</f>
        <v/>
      </c>
      <c r="AX531" t="str">
        <f>""</f>
        <v/>
      </c>
      <c r="AY531" t="str">
        <f>""</f>
        <v/>
      </c>
      <c r="AZ531" t="str">
        <f>""</f>
        <v/>
      </c>
      <c r="BA531" t="str">
        <f>""</f>
        <v/>
      </c>
      <c r="BB531" t="str">
        <f>""</f>
        <v/>
      </c>
      <c r="BC531" t="str">
        <f>"18/04/2022 16:12:23"</f>
        <v>18/04/2022 16:12:23</v>
      </c>
      <c r="BD531" t="str">
        <f>""</f>
        <v/>
      </c>
      <c r="BE531" t="str">
        <f>""</f>
        <v/>
      </c>
      <c r="BF531" t="str">
        <f t="shared" si="262"/>
        <v>A</v>
      </c>
      <c r="BG531" t="str">
        <f>"0,00"</f>
        <v>0,00</v>
      </c>
      <c r="BH531" t="str">
        <f>"0,00"</f>
        <v>0,00</v>
      </c>
      <c r="BI531" t="str">
        <f t="shared" si="272"/>
        <v>EVENTUAL</v>
      </c>
      <c r="BJ531" t="str">
        <f t="shared" si="263"/>
        <v>1</v>
      </c>
      <c r="BK531" t="str">
        <f t="shared" si="264"/>
        <v>Farmacia</v>
      </c>
      <c r="BL531" t="str">
        <f>""</f>
        <v/>
      </c>
      <c r="BM531" t="str">
        <f>"NÃO É VARILUX ESPECIALISTA"</f>
        <v>NÃO É VARILUX ESPECIALISTA</v>
      </c>
      <c r="BN531" t="str">
        <f>"NA"</f>
        <v>NA</v>
      </c>
      <c r="BO531" t="str">
        <f>"FOCO VARILUX"</f>
        <v>FOCO VARILUX</v>
      </c>
      <c r="BP531" t="str">
        <f>""</f>
        <v/>
      </c>
      <c r="BQ531" t="str">
        <f>""</f>
        <v/>
      </c>
      <c r="BR531" t="str">
        <f>""</f>
        <v/>
      </c>
      <c r="BS531" t="str">
        <f>"18/04/2022"</f>
        <v>18/04/2022</v>
      </c>
      <c r="BT531" t="str">
        <f>""</f>
        <v/>
      </c>
      <c r="BU531" t="str">
        <f>""</f>
        <v/>
      </c>
      <c r="BV531" t="str">
        <f>"9"</f>
        <v>9</v>
      </c>
      <c r="BW531" t="str">
        <f>"585"</f>
        <v>585</v>
      </c>
    </row>
    <row r="532" spans="1:75" x14ac:dyDescent="0.35">
      <c r="A532">
        <v>159578</v>
      </c>
      <c r="B532" t="str">
        <f t="shared" si="259"/>
        <v>A</v>
      </c>
      <c r="C532" t="str">
        <f t="shared" si="260"/>
        <v>80</v>
      </c>
      <c r="D532" t="str">
        <f t="shared" si="254"/>
        <v>11121002</v>
      </c>
      <c r="E532" t="str">
        <f t="shared" si="255"/>
        <v>121002</v>
      </c>
      <c r="F532" t="str">
        <f t="shared" si="256"/>
        <v>CINTHIA NORONHA</v>
      </c>
      <c r="G532" t="str">
        <f>"51983387000184"</f>
        <v>51983387000184</v>
      </c>
      <c r="H532" t="str">
        <f>""</f>
        <v/>
      </c>
      <c r="I532" t="str">
        <f t="shared" si="261"/>
        <v>CONTA OPTICA</v>
      </c>
      <c r="J532" t="str">
        <f>"AGATA COMERCIO DE OCULOS E ACESSORIOS LTDA"</f>
        <v>AGATA COMERCIO DE OCULOS E ACESSORIOS LTDA</v>
      </c>
      <c r="K532" t="str">
        <f>"CHILLI BEANS  (4771)"</f>
        <v>CHILLI BEANS  (4771)</v>
      </c>
      <c r="L532" t="str">
        <f>""</f>
        <v/>
      </c>
      <c r="M532" t="str">
        <f>""</f>
        <v/>
      </c>
      <c r="N532" t="str">
        <f>"ADM.FERRONATTOEPAZA@GMAIL.COM"</f>
        <v>ADM.FERRONATTOEPAZA@GMAIL.COM</v>
      </c>
      <c r="O532" t="str">
        <f>""</f>
        <v/>
      </c>
      <c r="P532" t="str">
        <f>"ROD JOSE CARLOS DAUX"</f>
        <v>ROD JOSE CARLOS DAUX</v>
      </c>
      <c r="Q532" t="str">
        <f>"3116"</f>
        <v>3116</v>
      </c>
      <c r="R532" t="str">
        <f>"TERREOLOJA 144"</f>
        <v>TERREOLOJA 144</v>
      </c>
      <c r="S532" t="str">
        <f>"1257"</f>
        <v>1257</v>
      </c>
      <c r="T532" t="str">
        <f>"88030000"</f>
        <v>88030000</v>
      </c>
      <c r="U532" t="str">
        <f>"JOAO PAULO"</f>
        <v>JOAO PAULO</v>
      </c>
      <c r="V532" t="str">
        <f>"FLORIANOPOLIS"</f>
        <v>FLORIANOPOLIS</v>
      </c>
      <c r="W532" t="str">
        <f t="shared" si="267"/>
        <v>SC</v>
      </c>
      <c r="X532" t="str">
        <f>"42"</f>
        <v>42</v>
      </c>
      <c r="Y532" t="str">
        <f>"998585101"</f>
        <v>998585101</v>
      </c>
      <c r="Z532" t="str">
        <f>""</f>
        <v/>
      </c>
      <c r="AA532" t="str">
        <f>""</f>
        <v/>
      </c>
      <c r="AB532" t="str">
        <f>""</f>
        <v/>
      </c>
      <c r="AC532" t="str">
        <f>""</f>
        <v/>
      </c>
      <c r="AD532" t="str">
        <f>""</f>
        <v/>
      </c>
      <c r="AE532" t="str">
        <f>""</f>
        <v/>
      </c>
      <c r="AF532" t="str">
        <f>""</f>
        <v/>
      </c>
      <c r="AG532" t="str">
        <f>""</f>
        <v/>
      </c>
      <c r="AH532" t="str">
        <f>""</f>
        <v/>
      </c>
      <c r="AI532" t="str">
        <f>""</f>
        <v/>
      </c>
      <c r="AJ532" t="str">
        <f>""</f>
        <v/>
      </c>
      <c r="AK532" t="str">
        <f>""</f>
        <v/>
      </c>
      <c r="AL532" t="str">
        <f>""</f>
        <v/>
      </c>
      <c r="AM532" t="str">
        <f>""</f>
        <v/>
      </c>
      <c r="AN532" t="str">
        <f>""</f>
        <v/>
      </c>
      <c r="AO532" t="str">
        <f>""</f>
        <v/>
      </c>
      <c r="AP532" t="str">
        <f>""</f>
        <v/>
      </c>
      <c r="AQ532" t="str">
        <f>""</f>
        <v/>
      </c>
      <c r="AR532" t="str">
        <f>""</f>
        <v/>
      </c>
      <c r="AS532" t="str">
        <f>""</f>
        <v/>
      </c>
      <c r="AT532" t="str">
        <f>""</f>
        <v/>
      </c>
      <c r="AU532" t="str">
        <f>""</f>
        <v/>
      </c>
      <c r="AV532" t="str">
        <f>""</f>
        <v/>
      </c>
      <c r="AW532" t="str">
        <f>""</f>
        <v/>
      </c>
      <c r="AX532" t="str">
        <f>""</f>
        <v/>
      </c>
      <c r="AY532" t="str">
        <f>""</f>
        <v/>
      </c>
      <c r="AZ532" t="str">
        <f>""</f>
        <v/>
      </c>
      <c r="BA532" t="str">
        <f>""</f>
        <v/>
      </c>
      <c r="BB532" t="str">
        <f>"25/09/2023 11:47:13"</f>
        <v>25/09/2023 11:47:13</v>
      </c>
      <c r="BC532" t="str">
        <f>""</f>
        <v/>
      </c>
      <c r="BD532" t="str">
        <f>""</f>
        <v/>
      </c>
      <c r="BE532" t="str">
        <f>""</f>
        <v/>
      </c>
      <c r="BF532" t="str">
        <f t="shared" si="262"/>
        <v>A</v>
      </c>
      <c r="BG532" t="str">
        <f>""</f>
        <v/>
      </c>
      <c r="BH532" t="str">
        <f>""</f>
        <v/>
      </c>
      <c r="BI532" t="str">
        <f t="shared" si="272"/>
        <v>EVENTUAL</v>
      </c>
      <c r="BJ532" t="str">
        <f t="shared" si="263"/>
        <v>1</v>
      </c>
      <c r="BK532" t="str">
        <f t="shared" si="264"/>
        <v>Farmacia</v>
      </c>
      <c r="BL532" t="str">
        <f>""</f>
        <v/>
      </c>
      <c r="BM532" t="str">
        <f>""</f>
        <v/>
      </c>
      <c r="BN532" t="str">
        <f>""</f>
        <v/>
      </c>
      <c r="BO532" t="str">
        <f>""</f>
        <v/>
      </c>
      <c r="BP532" t="str">
        <f>""</f>
        <v/>
      </c>
      <c r="BQ532" t="str">
        <f>""</f>
        <v/>
      </c>
      <c r="BR532" t="str">
        <f>"25/09/2023"</f>
        <v>25/09/2023</v>
      </c>
      <c r="BS532" t="str">
        <f>""</f>
        <v/>
      </c>
      <c r="BT532" t="str">
        <f>""</f>
        <v/>
      </c>
      <c r="BU532" t="str">
        <f>""</f>
        <v/>
      </c>
      <c r="BV532" t="str">
        <f>""</f>
        <v/>
      </c>
      <c r="BW532" t="str">
        <f>"Não visitado"</f>
        <v>Não visitado</v>
      </c>
    </row>
    <row r="533" spans="1:75" x14ac:dyDescent="0.35">
      <c r="A533">
        <v>157692</v>
      </c>
      <c r="B533" t="str">
        <f t="shared" si="259"/>
        <v>A</v>
      </c>
      <c r="C533" t="str">
        <f t="shared" si="260"/>
        <v>80</v>
      </c>
      <c r="D533" t="str">
        <f t="shared" si="254"/>
        <v>11121002</v>
      </c>
      <c r="E533" t="str">
        <f t="shared" si="255"/>
        <v>121002</v>
      </c>
      <c r="F533" t="str">
        <f t="shared" si="256"/>
        <v>CINTHIA NORONHA</v>
      </c>
      <c r="G533" t="str">
        <f>"42112889000149"</f>
        <v>42112889000149</v>
      </c>
      <c r="H533" t="str">
        <f>"0"</f>
        <v>0</v>
      </c>
      <c r="I533" t="str">
        <f t="shared" si="261"/>
        <v>CONTA OPTICA</v>
      </c>
      <c r="J533" t="str">
        <f>"AGATHA CRISTIAN EVARISTO 07343861921"</f>
        <v>AGATHA CRISTIAN EVARISTO 07343861921</v>
      </c>
      <c r="K533" t="str">
        <f>"@ OCULISTA (4333)"</f>
        <v>@ OCULISTA (4333)</v>
      </c>
      <c r="L533" t="str">
        <f>""</f>
        <v/>
      </c>
      <c r="M533" t="str">
        <f>""</f>
        <v/>
      </c>
      <c r="N533" t="str">
        <f>""</f>
        <v/>
      </c>
      <c r="O533" t="str">
        <f>""</f>
        <v/>
      </c>
      <c r="P533" t="str">
        <f>"RUA MADRE BENVENUTA"</f>
        <v>RUA MADRE BENVENUTA</v>
      </c>
      <c r="Q533" t="str">
        <f>"1636"</f>
        <v>1636</v>
      </c>
      <c r="R533" t="str">
        <f>"SALA 02"</f>
        <v>SALA 02</v>
      </c>
      <c r="S533" t="str">
        <f>"1257"</f>
        <v>1257</v>
      </c>
      <c r="T533" t="str">
        <f>"88035001"</f>
        <v>88035001</v>
      </c>
      <c r="U533" t="str">
        <f>"SANTA MONICA"</f>
        <v>SANTA MONICA</v>
      </c>
      <c r="V533" t="str">
        <f>"FLORIANOPOLIS"</f>
        <v>FLORIANOPOLIS</v>
      </c>
      <c r="W533" t="str">
        <f t="shared" si="267"/>
        <v>SC</v>
      </c>
      <c r="X533" t="str">
        <f>"48"</f>
        <v>48</v>
      </c>
      <c r="Y533" t="str">
        <f>"991382618"</f>
        <v>991382618</v>
      </c>
      <c r="Z533" t="str">
        <f>""</f>
        <v/>
      </c>
      <c r="AA533" t="str">
        <f>""</f>
        <v/>
      </c>
      <c r="AB533" t="str">
        <f>""</f>
        <v/>
      </c>
      <c r="AC533" t="str">
        <f>""</f>
        <v/>
      </c>
      <c r="AD533" t="str">
        <f>""</f>
        <v/>
      </c>
      <c r="AE533" t="str">
        <f>""</f>
        <v/>
      </c>
      <c r="AF533" t="str">
        <f>""</f>
        <v/>
      </c>
      <c r="AG533" t="str">
        <f>""</f>
        <v/>
      </c>
      <c r="AH533" t="str">
        <f>""</f>
        <v/>
      </c>
      <c r="AI533" t="str">
        <f>""</f>
        <v/>
      </c>
      <c r="AJ533" t="str">
        <f>""</f>
        <v/>
      </c>
      <c r="AK533" t="str">
        <f>""</f>
        <v/>
      </c>
      <c r="AL533" t="str">
        <f>""</f>
        <v/>
      </c>
      <c r="AM533" t="str">
        <f>""</f>
        <v/>
      </c>
      <c r="AN533" t="str">
        <f>""</f>
        <v/>
      </c>
      <c r="AO533" t="str">
        <f>""</f>
        <v/>
      </c>
      <c r="AP533" t="str">
        <f>""</f>
        <v/>
      </c>
      <c r="AQ533" t="str">
        <f>""</f>
        <v/>
      </c>
      <c r="AR533" t="str">
        <f>""</f>
        <v/>
      </c>
      <c r="AS533" t="str">
        <f>""</f>
        <v/>
      </c>
      <c r="AT533" t="str">
        <f>""</f>
        <v/>
      </c>
      <c r="AU533" t="str">
        <f>""</f>
        <v/>
      </c>
      <c r="AV533" t="str">
        <f>""</f>
        <v/>
      </c>
      <c r="AW533" t="str">
        <f>""</f>
        <v/>
      </c>
      <c r="AX533" t="str">
        <f>""</f>
        <v/>
      </c>
      <c r="AY533" t="str">
        <f>""</f>
        <v/>
      </c>
      <c r="AZ533" t="str">
        <f>""</f>
        <v/>
      </c>
      <c r="BA533" t="str">
        <f>""</f>
        <v/>
      </c>
      <c r="BB533" t="str">
        <f>"11/07/2023 02:19:56"</f>
        <v>11/07/2023 02:19:56</v>
      </c>
      <c r="BC533" t="str">
        <f>""</f>
        <v/>
      </c>
      <c r="BD533" t="str">
        <f>""</f>
        <v/>
      </c>
      <c r="BE533" t="str">
        <f>""</f>
        <v/>
      </c>
      <c r="BF533" t="str">
        <f t="shared" si="262"/>
        <v>A</v>
      </c>
      <c r="BG533" t="str">
        <f>""</f>
        <v/>
      </c>
      <c r="BH533" t="str">
        <f>""</f>
        <v/>
      </c>
      <c r="BI533" t="str">
        <f t="shared" si="272"/>
        <v>EVENTUAL</v>
      </c>
      <c r="BJ533" t="str">
        <f t="shared" si="263"/>
        <v>1</v>
      </c>
      <c r="BK533" t="str">
        <f t="shared" si="264"/>
        <v>Farmacia</v>
      </c>
      <c r="BL533" t="str">
        <f>""</f>
        <v/>
      </c>
      <c r="BM533" t="str">
        <f>""</f>
        <v/>
      </c>
      <c r="BN533" t="str">
        <f>""</f>
        <v/>
      </c>
      <c r="BO533" t="str">
        <f>""</f>
        <v/>
      </c>
      <c r="BP533" t="str">
        <f>""</f>
        <v/>
      </c>
      <c r="BQ533" t="str">
        <f>""</f>
        <v/>
      </c>
      <c r="BR533" t="str">
        <f>"11/07/2023"</f>
        <v>11/07/2023</v>
      </c>
      <c r="BS533" t="str">
        <f>""</f>
        <v/>
      </c>
      <c r="BT533" t="str">
        <f>""</f>
        <v/>
      </c>
      <c r="BU533" t="str">
        <f>""</f>
        <v/>
      </c>
      <c r="BV533" t="str">
        <f>""</f>
        <v/>
      </c>
      <c r="BW533" t="str">
        <f>"Não visitado"</f>
        <v>Não visitado</v>
      </c>
    </row>
    <row r="534" spans="1:75" x14ac:dyDescent="0.35">
      <c r="A534">
        <v>156944</v>
      </c>
      <c r="B534" t="str">
        <f t="shared" si="259"/>
        <v>A</v>
      </c>
      <c r="C534" t="str">
        <f t="shared" si="260"/>
        <v>80</v>
      </c>
      <c r="D534" t="str">
        <f t="shared" si="254"/>
        <v>11121002</v>
      </c>
      <c r="E534" t="str">
        <f t="shared" si="255"/>
        <v>121002</v>
      </c>
      <c r="F534" t="str">
        <f t="shared" si="256"/>
        <v>CINTHIA NORONHA</v>
      </c>
      <c r="G534" t="str">
        <f>"49891191000118"</f>
        <v>49891191000118</v>
      </c>
      <c r="H534" t="str">
        <f>"0"</f>
        <v>0</v>
      </c>
      <c r="I534" t="str">
        <f t="shared" si="261"/>
        <v>CONTA OPTICA</v>
      </c>
      <c r="J534" t="str">
        <f>"AGM OTICAS LTDA"</f>
        <v>AGM OTICAS LTDA</v>
      </c>
      <c r="K534" t="str">
        <f>"OTICA GIUMBELLI (4678)"</f>
        <v>OTICA GIUMBELLI (4678)</v>
      </c>
      <c r="L534" t="str">
        <f>""</f>
        <v/>
      </c>
      <c r="M534" t="str">
        <f>""</f>
        <v/>
      </c>
      <c r="N534" t="str">
        <f>"OTICAGIUMBELLIMOULIN@GMAIL.COM"</f>
        <v>OTICAGIUMBELLIMOULIN@GMAIL.COM</v>
      </c>
      <c r="O534" t="str">
        <f>""</f>
        <v/>
      </c>
      <c r="P534" t="str">
        <f>"LEDIO JOAO MARTINS"</f>
        <v>LEDIO JOAO MARTINS</v>
      </c>
      <c r="Q534" t="str">
        <f>"80"</f>
        <v>80</v>
      </c>
      <c r="R534" t="str">
        <f>"LJ 03 TERREO"</f>
        <v>LJ 03 TERREO</v>
      </c>
      <c r="S534" t="str">
        <f>"1259"</f>
        <v>1259</v>
      </c>
      <c r="T534" t="str">
        <f>"88102001"</f>
        <v>88102001</v>
      </c>
      <c r="U534" t="str">
        <f>"KOBRASOL"</f>
        <v>KOBRASOL</v>
      </c>
      <c r="V534" t="str">
        <f>"SÃO JOSÉ"</f>
        <v>SÃO JOSÉ</v>
      </c>
      <c r="W534" t="str">
        <f t="shared" si="267"/>
        <v>SC</v>
      </c>
      <c r="X534" t="str">
        <f>"49"</f>
        <v>49</v>
      </c>
      <c r="Y534" t="str">
        <f>"999559775"</f>
        <v>999559775</v>
      </c>
      <c r="Z534" t="str">
        <f>""</f>
        <v/>
      </c>
      <c r="AA534" t="str">
        <f>""</f>
        <v/>
      </c>
      <c r="AB534" t="str">
        <f>""</f>
        <v/>
      </c>
      <c r="AC534" t="str">
        <f>""</f>
        <v/>
      </c>
      <c r="AD534" t="str">
        <f>""</f>
        <v/>
      </c>
      <c r="AE534" t="str">
        <f>""</f>
        <v/>
      </c>
      <c r="AF534" t="str">
        <f>""</f>
        <v/>
      </c>
      <c r="AG534" t="str">
        <f>"S"</f>
        <v>S</v>
      </c>
      <c r="AH534" t="str">
        <f>""</f>
        <v/>
      </c>
      <c r="AI534" t="str">
        <f>""</f>
        <v/>
      </c>
      <c r="AJ534" t="str">
        <f>""</f>
        <v/>
      </c>
      <c r="AK534" t="str">
        <f>""</f>
        <v/>
      </c>
      <c r="AL534" t="str">
        <f>""</f>
        <v/>
      </c>
      <c r="AM534" t="str">
        <f>""</f>
        <v/>
      </c>
      <c r="AN534" t="str">
        <f>""</f>
        <v/>
      </c>
      <c r="AO534" t="str">
        <f>""</f>
        <v/>
      </c>
      <c r="AP534" t="str">
        <f>""</f>
        <v/>
      </c>
      <c r="AQ534" t="str">
        <f>"N"</f>
        <v>N</v>
      </c>
      <c r="AR534" t="str">
        <f>"N"</f>
        <v>N</v>
      </c>
      <c r="AS534" t="str">
        <f>"N"</f>
        <v>N</v>
      </c>
      <c r="AT534" t="str">
        <f>"N"</f>
        <v>N</v>
      </c>
      <c r="AU534" t="str">
        <f>"N"</f>
        <v>N</v>
      </c>
      <c r="AV534" t="str">
        <f>""</f>
        <v/>
      </c>
      <c r="AW534" t="str">
        <f>""</f>
        <v/>
      </c>
      <c r="AX534" t="str">
        <f>""</f>
        <v/>
      </c>
      <c r="AY534" t="str">
        <f>""</f>
        <v/>
      </c>
      <c r="AZ534" t="str">
        <f>""</f>
        <v/>
      </c>
      <c r="BA534" t="str">
        <f>""</f>
        <v/>
      </c>
      <c r="BB534" t="str">
        <f>"06/07/2023 12:07:48"</f>
        <v>06/07/2023 12:07:48</v>
      </c>
      <c r="BC534" t="str">
        <f>"07/07/2023 13:38:14"</f>
        <v>07/07/2023 13:38:14</v>
      </c>
      <c r="BD534" t="str">
        <f>""</f>
        <v/>
      </c>
      <c r="BE534" t="str">
        <f>""</f>
        <v/>
      </c>
      <c r="BF534" t="str">
        <f t="shared" si="262"/>
        <v>A</v>
      </c>
      <c r="BG534" t="str">
        <f>""</f>
        <v/>
      </c>
      <c r="BH534" t="str">
        <f>"0,00"</f>
        <v>0,00</v>
      </c>
      <c r="BI534" t="str">
        <f t="shared" si="272"/>
        <v>EVENTUAL</v>
      </c>
      <c r="BJ534" t="str">
        <f t="shared" si="263"/>
        <v>1</v>
      </c>
      <c r="BK534" t="str">
        <f t="shared" si="264"/>
        <v>Farmacia</v>
      </c>
      <c r="BL534" t="str">
        <f>""</f>
        <v/>
      </c>
      <c r="BM534" t="str">
        <f>""</f>
        <v/>
      </c>
      <c r="BN534" t="str">
        <f>""</f>
        <v/>
      </c>
      <c r="BO534" t="str">
        <f>""</f>
        <v/>
      </c>
      <c r="BP534" t="str">
        <f>""</f>
        <v/>
      </c>
      <c r="BQ534" t="str">
        <f>""</f>
        <v/>
      </c>
      <c r="BR534" t="str">
        <f>"06/07/2023"</f>
        <v>06/07/2023</v>
      </c>
      <c r="BS534" t="str">
        <f>"07/07/2023"</f>
        <v>07/07/2023</v>
      </c>
      <c r="BT534" t="str">
        <f>""</f>
        <v/>
      </c>
      <c r="BU534" t="str">
        <f>""</f>
        <v/>
      </c>
      <c r="BV534" t="str">
        <f>""</f>
        <v/>
      </c>
      <c r="BW534" t="str">
        <f>"1"</f>
        <v>1</v>
      </c>
    </row>
    <row r="535" spans="1:75" x14ac:dyDescent="0.35">
      <c r="A535">
        <v>158705</v>
      </c>
      <c r="B535" t="str">
        <f t="shared" si="259"/>
        <v>A</v>
      </c>
      <c r="C535" t="str">
        <f t="shared" si="260"/>
        <v>80</v>
      </c>
      <c r="D535" t="str">
        <f t="shared" si="254"/>
        <v>11121002</v>
      </c>
      <c r="E535" t="str">
        <f t="shared" si="255"/>
        <v>121002</v>
      </c>
      <c r="F535" t="str">
        <f t="shared" si="256"/>
        <v>CINTHIA NORONHA</v>
      </c>
      <c r="G535" t="str">
        <f>"50656946000189"</f>
        <v>50656946000189</v>
      </c>
      <c r="H535" t="str">
        <f>""</f>
        <v/>
      </c>
      <c r="I535" t="str">
        <f t="shared" si="261"/>
        <v>CONTA OPTICA</v>
      </c>
      <c r="J535" t="str">
        <f>"AHFLORIPA COMERCIO DE PRODUTOS OTICOS LTDA"</f>
        <v>AHFLORIPA COMERCIO DE PRODUTOS OTICOS LTDA</v>
      </c>
      <c r="K535" t="str">
        <f>"OTICAS CAROL (4729)"</f>
        <v>OTICAS CAROL (4729)</v>
      </c>
      <c r="L535" t="str">
        <f>""</f>
        <v/>
      </c>
      <c r="M535" t="str">
        <f>""</f>
        <v/>
      </c>
      <c r="N535" t="str">
        <f>"ADM.SC@OTICASCAROL.COM.BR"</f>
        <v>ADM.SC@OTICASCAROL.COM.BR</v>
      </c>
      <c r="O535" t="str">
        <f>""</f>
        <v/>
      </c>
      <c r="P535" t="str">
        <f>"RUA DESEMBARGADOR ARNO HOESCHL"</f>
        <v>RUA DESEMBARGADOR ARNO HOESCHL</v>
      </c>
      <c r="Q535" t="str">
        <f>"81"</f>
        <v>81</v>
      </c>
      <c r="R535" t="str">
        <f>"LOJA 02"</f>
        <v>LOJA 02</v>
      </c>
      <c r="S535" t="str">
        <f>""</f>
        <v/>
      </c>
      <c r="T535" t="str">
        <f>"88015620"</f>
        <v>88015620</v>
      </c>
      <c r="U535" t="str">
        <f>"CENTRO"</f>
        <v>CENTRO</v>
      </c>
      <c r="V535" t="str">
        <f>"FLORIANOPOLIS"</f>
        <v>FLORIANOPOLIS</v>
      </c>
      <c r="W535" t="str">
        <f t="shared" si="267"/>
        <v>SC</v>
      </c>
      <c r="X535" t="str">
        <f>"48"</f>
        <v>48</v>
      </c>
      <c r="Y535" t="str">
        <f>"32259791"</f>
        <v>32259791</v>
      </c>
      <c r="Z535" t="str">
        <f>""</f>
        <v/>
      </c>
      <c r="AA535" t="str">
        <f>""</f>
        <v/>
      </c>
      <c r="AB535" t="str">
        <f>""</f>
        <v/>
      </c>
      <c r="AC535" t="str">
        <f>""</f>
        <v/>
      </c>
      <c r="AD535" t="str">
        <f>""</f>
        <v/>
      </c>
      <c r="AE535" t="str">
        <f>""</f>
        <v/>
      </c>
      <c r="AF535" t="str">
        <f>""</f>
        <v/>
      </c>
      <c r="AG535" t="str">
        <f>""</f>
        <v/>
      </c>
      <c r="AH535" t="str">
        <f>""</f>
        <v/>
      </c>
      <c r="AI535" t="str">
        <f>""</f>
        <v/>
      </c>
      <c r="AJ535" t="str">
        <f>""</f>
        <v/>
      </c>
      <c r="AK535" t="str">
        <f>""</f>
        <v/>
      </c>
      <c r="AL535" t="str">
        <f>""</f>
        <v/>
      </c>
      <c r="AM535" t="str">
        <f>""</f>
        <v/>
      </c>
      <c r="AN535" t="str">
        <f>""</f>
        <v/>
      </c>
      <c r="AO535" t="str">
        <f>""</f>
        <v/>
      </c>
      <c r="AP535" t="str">
        <f>""</f>
        <v/>
      </c>
      <c r="AQ535" t="str">
        <f>""</f>
        <v/>
      </c>
      <c r="AR535" t="str">
        <f>""</f>
        <v/>
      </c>
      <c r="AS535" t="str">
        <f>""</f>
        <v/>
      </c>
      <c r="AT535" t="str">
        <f>""</f>
        <v/>
      </c>
      <c r="AU535" t="str">
        <f>""</f>
        <v/>
      </c>
      <c r="AV535" t="str">
        <f>""</f>
        <v/>
      </c>
      <c r="AW535" t="str">
        <f>""</f>
        <v/>
      </c>
      <c r="AX535" t="str">
        <f>""</f>
        <v/>
      </c>
      <c r="AY535" t="str">
        <f>""</f>
        <v/>
      </c>
      <c r="AZ535" t="str">
        <f>""</f>
        <v/>
      </c>
      <c r="BA535" t="str">
        <f>""</f>
        <v/>
      </c>
      <c r="BB535" t="str">
        <f>"17/08/2023 16:48:06"</f>
        <v>17/08/2023 16:48:06</v>
      </c>
      <c r="BC535" t="str">
        <f>""</f>
        <v/>
      </c>
      <c r="BD535" t="str">
        <f>""</f>
        <v/>
      </c>
      <c r="BE535" t="str">
        <f>""</f>
        <v/>
      </c>
      <c r="BF535" t="str">
        <f t="shared" si="262"/>
        <v>A</v>
      </c>
      <c r="BG535" t="str">
        <f>""</f>
        <v/>
      </c>
      <c r="BH535" t="str">
        <f>""</f>
        <v/>
      </c>
      <c r="BI535" t="str">
        <f t="shared" si="272"/>
        <v>EVENTUAL</v>
      </c>
      <c r="BJ535" t="str">
        <f t="shared" si="263"/>
        <v>1</v>
      </c>
      <c r="BK535" t="str">
        <f t="shared" si="264"/>
        <v>Farmacia</v>
      </c>
      <c r="BL535" t="str">
        <f>""</f>
        <v/>
      </c>
      <c r="BM535" t="str">
        <f>""</f>
        <v/>
      </c>
      <c r="BN535" t="str">
        <f>""</f>
        <v/>
      </c>
      <c r="BO535" t="str">
        <f>""</f>
        <v/>
      </c>
      <c r="BP535" t="str">
        <f>""</f>
        <v/>
      </c>
      <c r="BQ535" t="str">
        <f>""</f>
        <v/>
      </c>
      <c r="BR535" t="str">
        <f>"17/08/2023"</f>
        <v>17/08/2023</v>
      </c>
      <c r="BS535" t="str">
        <f>""</f>
        <v/>
      </c>
      <c r="BT535" t="str">
        <f>""</f>
        <v/>
      </c>
      <c r="BU535" t="str">
        <f>""</f>
        <v/>
      </c>
      <c r="BV535" t="str">
        <f>""</f>
        <v/>
      </c>
      <c r="BW535" t="str">
        <f>"85"</f>
        <v>85</v>
      </c>
    </row>
    <row r="536" spans="1:75" x14ac:dyDescent="0.35">
      <c r="A536">
        <v>390</v>
      </c>
      <c r="B536" t="str">
        <f t="shared" si="259"/>
        <v>A</v>
      </c>
      <c r="C536" t="str">
        <f t="shared" si="260"/>
        <v>80</v>
      </c>
      <c r="D536" t="str">
        <f t="shared" si="254"/>
        <v>11121002</v>
      </c>
      <c r="E536" t="str">
        <f t="shared" si="255"/>
        <v>121002</v>
      </c>
      <c r="F536" t="str">
        <f t="shared" si="256"/>
        <v>CINTHIA NORONHA</v>
      </c>
      <c r="G536" t="str">
        <f>"05117831000161"</f>
        <v>05117831000161</v>
      </c>
      <c r="H536" t="str">
        <f>""</f>
        <v/>
      </c>
      <c r="I536" t="str">
        <f t="shared" si="261"/>
        <v>CONTA OPTICA</v>
      </c>
      <c r="J536" t="str">
        <f>"AJ COMERCIO DE JOIAS LTDA EPP"</f>
        <v>AJ COMERCIO DE JOIAS LTDA EPP</v>
      </c>
      <c r="K536" t="str">
        <f>"AUGUSTO JOIAS (295)"</f>
        <v>AUGUSTO JOIAS (295)</v>
      </c>
      <c r="L536" t="str">
        <f>""</f>
        <v/>
      </c>
      <c r="M536" t="str">
        <f>""</f>
        <v/>
      </c>
      <c r="N536" t="str">
        <f>"gabriela@augustojoias.com.br"</f>
        <v>gabriela@augustojoias.com.br</v>
      </c>
      <c r="O536" t="str">
        <f>""</f>
        <v/>
      </c>
      <c r="P536" t="str">
        <f>"RUA FELIPE SCHMIDT"</f>
        <v>RUA FELIPE SCHMIDT</v>
      </c>
      <c r="Q536" t="str">
        <f>"390"</f>
        <v>390</v>
      </c>
      <c r="R536" t="str">
        <f>"SALA 04"</f>
        <v>SALA 04</v>
      </c>
      <c r="S536" t="str">
        <f>"1254"</f>
        <v>1254</v>
      </c>
      <c r="T536" t="str">
        <f>"88010001"</f>
        <v>88010001</v>
      </c>
      <c r="U536" t="str">
        <f>"CENTRO"</f>
        <v>CENTRO</v>
      </c>
      <c r="V536" t="str">
        <f>"FLORIANÓPOLIS"</f>
        <v>FLORIANÓPOLIS</v>
      </c>
      <c r="W536" t="str">
        <f t="shared" si="267"/>
        <v>SC</v>
      </c>
      <c r="X536" t="str">
        <f>"48"</f>
        <v>48</v>
      </c>
      <c r="Y536" t="str">
        <f>"32223399"</f>
        <v>32223399</v>
      </c>
      <c r="Z536" t="str">
        <f>""</f>
        <v/>
      </c>
      <c r="AA536" t="str">
        <f>""</f>
        <v/>
      </c>
      <c r="AB536" t="str">
        <f>""</f>
        <v/>
      </c>
      <c r="AC536" t="str">
        <f>""</f>
        <v/>
      </c>
      <c r="AD536" t="str">
        <f>""</f>
        <v/>
      </c>
      <c r="AE536" t="str">
        <f>""</f>
        <v/>
      </c>
      <c r="AF536" t="str">
        <f>""</f>
        <v/>
      </c>
      <c r="AG536" t="str">
        <f>""</f>
        <v/>
      </c>
      <c r="AH536" t="str">
        <f>""</f>
        <v/>
      </c>
      <c r="AI536" t="str">
        <f>""</f>
        <v/>
      </c>
      <c r="AJ536" t="str">
        <f>"0"</f>
        <v>0</v>
      </c>
      <c r="AK536" t="str">
        <f>"0"</f>
        <v>0</v>
      </c>
      <c r="AL536" t="str">
        <f>"0"</f>
        <v>0</v>
      </c>
      <c r="AM536" t="str">
        <f>""</f>
        <v/>
      </c>
      <c r="AN536" t="str">
        <f>""</f>
        <v/>
      </c>
      <c r="AO536" t="str">
        <f>""</f>
        <v/>
      </c>
      <c r="AP536" t="str">
        <f>""</f>
        <v/>
      </c>
      <c r="AQ536" t="str">
        <f>""</f>
        <v/>
      </c>
      <c r="AR536" t="str">
        <f>""</f>
        <v/>
      </c>
      <c r="AS536" t="str">
        <f>""</f>
        <v/>
      </c>
      <c r="AT536" t="str">
        <f>""</f>
        <v/>
      </c>
      <c r="AU536" t="str">
        <f>""</f>
        <v/>
      </c>
      <c r="AV536" t="str">
        <f>""</f>
        <v/>
      </c>
      <c r="AW536" t="str">
        <f>""</f>
        <v/>
      </c>
      <c r="AX536" t="str">
        <f>""</f>
        <v/>
      </c>
      <c r="AY536" t="str">
        <f>""</f>
        <v/>
      </c>
      <c r="AZ536" t="str">
        <f>""</f>
        <v/>
      </c>
      <c r="BA536" t="str">
        <f>""</f>
        <v/>
      </c>
      <c r="BB536" t="str">
        <f>"27/07/2018 09:25:40"</f>
        <v>27/07/2018 09:25:40</v>
      </c>
      <c r="BC536" t="str">
        <f>""</f>
        <v/>
      </c>
      <c r="BD536" t="str">
        <f>""</f>
        <v/>
      </c>
      <c r="BE536" t="str">
        <f>"390"</f>
        <v>390</v>
      </c>
      <c r="BF536" t="str">
        <f t="shared" si="262"/>
        <v>A</v>
      </c>
      <c r="BG536" t="str">
        <f>"0,00"</f>
        <v>0,00</v>
      </c>
      <c r="BH536" t="str">
        <f>"0,00"</f>
        <v>0,00</v>
      </c>
      <c r="BI536" t="str">
        <f t="shared" si="272"/>
        <v>EVENTUAL</v>
      </c>
      <c r="BJ536" t="str">
        <f t="shared" si="263"/>
        <v>1</v>
      </c>
      <c r="BK536" t="str">
        <f t="shared" si="264"/>
        <v>Farmacia</v>
      </c>
      <c r="BL536" t="str">
        <f>""</f>
        <v/>
      </c>
      <c r="BM536" t="str">
        <f>"NÃO É VARILUX ESPECIALISTA"</f>
        <v>NÃO É VARILUX ESPECIALISTA</v>
      </c>
      <c r="BN536" t="str">
        <f>"EL360"</f>
        <v>EL360</v>
      </c>
      <c r="BO536" t="str">
        <f>"FOCO VARILUX"</f>
        <v>FOCO VARILUX</v>
      </c>
      <c r="BP536" t="str">
        <f>""</f>
        <v/>
      </c>
      <c r="BQ536" t="str">
        <f>""</f>
        <v/>
      </c>
      <c r="BR536" t="str">
        <f>"27/07/2018"</f>
        <v>27/07/2018</v>
      </c>
      <c r="BS536" t="str">
        <f>""</f>
        <v/>
      </c>
      <c r="BT536" t="str">
        <f>""</f>
        <v/>
      </c>
      <c r="BU536" t="str">
        <f>""</f>
        <v/>
      </c>
      <c r="BV536" t="str">
        <f>"1"</f>
        <v>1</v>
      </c>
      <c r="BW536" t="str">
        <f>"Não visitado"</f>
        <v>Não visitado</v>
      </c>
    </row>
    <row r="537" spans="1:75" x14ac:dyDescent="0.35">
      <c r="A537">
        <v>157701</v>
      </c>
      <c r="B537" t="str">
        <f t="shared" si="259"/>
        <v>A</v>
      </c>
      <c r="C537" t="str">
        <f t="shared" si="260"/>
        <v>80</v>
      </c>
      <c r="D537" t="str">
        <f t="shared" si="254"/>
        <v>11121002</v>
      </c>
      <c r="E537" t="str">
        <f t="shared" si="255"/>
        <v>121002</v>
      </c>
      <c r="F537" t="str">
        <f t="shared" si="256"/>
        <v>CINTHIA NORONHA</v>
      </c>
      <c r="G537" t="str">
        <f>"32514073000198"</f>
        <v>32514073000198</v>
      </c>
      <c r="H537" t="str">
        <f>"0"</f>
        <v>0</v>
      </c>
      <c r="I537" t="str">
        <f t="shared" si="261"/>
        <v>CONTA OPTICA</v>
      </c>
      <c r="J537" t="str">
        <f>"AJL ÓTICA EIRELE"</f>
        <v>AJL ÓTICA EIRELE</v>
      </c>
      <c r="K537" t="str">
        <f>"AJL ÓTICA EIRELE (3974)"</f>
        <v>AJL ÓTICA EIRELE (3974)</v>
      </c>
      <c r="L537" t="str">
        <f>""</f>
        <v/>
      </c>
      <c r="M537" t="str">
        <f>""</f>
        <v/>
      </c>
      <c r="N537" t="str">
        <f>"FINANCEIRO@MERCADAOFLORIPA.COM.BR"</f>
        <v>FINANCEIRO@MERCADAOFLORIPA.COM.BR</v>
      </c>
      <c r="O537" t="str">
        <f>""</f>
        <v/>
      </c>
      <c r="P537" t="str">
        <f>"RUA DEODORO"</f>
        <v>RUA DEODORO</v>
      </c>
      <c r="Q537" t="str">
        <f>"189"</f>
        <v>189</v>
      </c>
      <c r="R537" t="str">
        <f>""</f>
        <v/>
      </c>
      <c r="S537" t="str">
        <f>"1254"</f>
        <v>1254</v>
      </c>
      <c r="T537" t="str">
        <f>"88010020"</f>
        <v>88010020</v>
      </c>
      <c r="U537" t="str">
        <f>"CENTRO"</f>
        <v>CENTRO</v>
      </c>
      <c r="V537" t="str">
        <f>"FLORIANOPOLIS"</f>
        <v>FLORIANOPOLIS</v>
      </c>
      <c r="W537" t="str">
        <f t="shared" si="267"/>
        <v>SC</v>
      </c>
      <c r="X537" t="str">
        <f>"48"</f>
        <v>48</v>
      </c>
      <c r="Y537" t="str">
        <f>"32257664"</f>
        <v>32257664</v>
      </c>
      <c r="Z537" t="str">
        <f>""</f>
        <v/>
      </c>
      <c r="AA537" t="str">
        <f>""</f>
        <v/>
      </c>
      <c r="AB537" t="str">
        <f>""</f>
        <v/>
      </c>
      <c r="AC537" t="str">
        <f>""</f>
        <v/>
      </c>
      <c r="AD537" t="str">
        <f>""</f>
        <v/>
      </c>
      <c r="AE537" t="str">
        <f>""</f>
        <v/>
      </c>
      <c r="AF537" t="str">
        <f>""</f>
        <v/>
      </c>
      <c r="AG537" t="str">
        <f>""</f>
        <v/>
      </c>
      <c r="AH537" t="str">
        <f>""</f>
        <v/>
      </c>
      <c r="AI537" t="str">
        <f>""</f>
        <v/>
      </c>
      <c r="AJ537" t="str">
        <f>""</f>
        <v/>
      </c>
      <c r="AK537" t="str">
        <f>""</f>
        <v/>
      </c>
      <c r="AL537" t="str">
        <f>""</f>
        <v/>
      </c>
      <c r="AM537" t="str">
        <f>""</f>
        <v/>
      </c>
      <c r="AN537" t="str">
        <f>""</f>
        <v/>
      </c>
      <c r="AO537" t="str">
        <f>""</f>
        <v/>
      </c>
      <c r="AP537" t="str">
        <f>""</f>
        <v/>
      </c>
      <c r="AQ537" t="str">
        <f>""</f>
        <v/>
      </c>
      <c r="AR537" t="str">
        <f>""</f>
        <v/>
      </c>
      <c r="AS537" t="str">
        <f>""</f>
        <v/>
      </c>
      <c r="AT537" t="str">
        <f>""</f>
        <v/>
      </c>
      <c r="AU537" t="str">
        <f>""</f>
        <v/>
      </c>
      <c r="AV537" t="str">
        <f>""</f>
        <v/>
      </c>
      <c r="AW537" t="str">
        <f>""</f>
        <v/>
      </c>
      <c r="AX537" t="str">
        <f>""</f>
        <v/>
      </c>
      <c r="AY537" t="str">
        <f>""</f>
        <v/>
      </c>
      <c r="AZ537" t="str">
        <f>""</f>
        <v/>
      </c>
      <c r="BA537" t="str">
        <f>""</f>
        <v/>
      </c>
      <c r="BB537" t="str">
        <f>"11/07/2023 02:19:56"</f>
        <v>11/07/2023 02:19:56</v>
      </c>
      <c r="BC537" t="str">
        <f>""</f>
        <v/>
      </c>
      <c r="BD537" t="str">
        <f>""</f>
        <v/>
      </c>
      <c r="BE537" t="str">
        <f>""</f>
        <v/>
      </c>
      <c r="BF537" t="str">
        <f t="shared" si="262"/>
        <v>A</v>
      </c>
      <c r="BG537" t="str">
        <f>""</f>
        <v/>
      </c>
      <c r="BH537" t="str">
        <f>""</f>
        <v/>
      </c>
      <c r="BI537" t="str">
        <f t="shared" si="272"/>
        <v>EVENTUAL</v>
      </c>
      <c r="BJ537" t="str">
        <f t="shared" si="263"/>
        <v>1</v>
      </c>
      <c r="BK537" t="str">
        <f t="shared" si="264"/>
        <v>Farmacia</v>
      </c>
      <c r="BL537" t="str">
        <f>""</f>
        <v/>
      </c>
      <c r="BM537" t="str">
        <f>""</f>
        <v/>
      </c>
      <c r="BN537" t="str">
        <f>""</f>
        <v/>
      </c>
      <c r="BO537" t="str">
        <f>""</f>
        <v/>
      </c>
      <c r="BP537" t="str">
        <f>""</f>
        <v/>
      </c>
      <c r="BQ537" t="str">
        <f>""</f>
        <v/>
      </c>
      <c r="BR537" t="str">
        <f>"11/07/2023"</f>
        <v>11/07/2023</v>
      </c>
      <c r="BS537" t="str">
        <f>""</f>
        <v/>
      </c>
      <c r="BT537" t="str">
        <f>""</f>
        <v/>
      </c>
      <c r="BU537" t="str">
        <f>""</f>
        <v/>
      </c>
      <c r="BV537" t="str">
        <f>""</f>
        <v/>
      </c>
      <c r="BW537" t="str">
        <f>"Não visitado"</f>
        <v>Não visitado</v>
      </c>
    </row>
    <row r="538" spans="1:75" x14ac:dyDescent="0.35">
      <c r="A538">
        <v>134484</v>
      </c>
      <c r="B538" t="str">
        <f t="shared" si="259"/>
        <v>A</v>
      </c>
      <c r="C538" t="str">
        <f t="shared" si="260"/>
        <v>80</v>
      </c>
      <c r="D538" t="str">
        <f t="shared" si="254"/>
        <v>11121002</v>
      </c>
      <c r="E538" t="str">
        <f t="shared" si="255"/>
        <v>121002</v>
      </c>
      <c r="F538" t="str">
        <f t="shared" si="256"/>
        <v>CINTHIA NORONHA</v>
      </c>
      <c r="G538" t="str">
        <f>"19947820000113"</f>
        <v>19947820000113</v>
      </c>
      <c r="H538" t="str">
        <f>""</f>
        <v/>
      </c>
      <c r="I538" t="str">
        <f t="shared" si="261"/>
        <v>CONTA OPTICA</v>
      </c>
      <c r="J538" t="str">
        <f>"ALAIR HILDA FERNANDES 37708007968"</f>
        <v>ALAIR HILDA FERNANDES 37708007968</v>
      </c>
      <c r="K538" t="str">
        <f>"ALAIR RELOJOARIA E OTICA (2108)"</f>
        <v>ALAIR RELOJOARIA E OTICA (2108)</v>
      </c>
      <c r="L538" t="str">
        <f>""</f>
        <v/>
      </c>
      <c r="M538" t="str">
        <f>""</f>
        <v/>
      </c>
      <c r="N538" t="str">
        <f>"marofer58@hotmail.com"</f>
        <v>marofer58@hotmail.com</v>
      </c>
      <c r="O538" t="str">
        <f>""</f>
        <v/>
      </c>
      <c r="P538" t="str">
        <f>"RUA VITOR MEIRELES"</f>
        <v>RUA VITOR MEIRELES</v>
      </c>
      <c r="Q538" t="str">
        <f>"741"</f>
        <v>741</v>
      </c>
      <c r="R538" t="str">
        <f>""</f>
        <v/>
      </c>
      <c r="S538" t="str">
        <f>"1259"</f>
        <v>1259</v>
      </c>
      <c r="T538" t="str">
        <f>"88133370"</f>
        <v>88133370</v>
      </c>
      <c r="U538" t="str">
        <f>"JARDIM ELDORADO"</f>
        <v>JARDIM ELDORADO</v>
      </c>
      <c r="V538" t="str">
        <f>"PALHOÇA"</f>
        <v>PALHOÇA</v>
      </c>
      <c r="W538" t="str">
        <f t="shared" si="267"/>
        <v>SC</v>
      </c>
      <c r="X538" t="str">
        <f>"48"</f>
        <v>48</v>
      </c>
      <c r="Y538" t="str">
        <f>"999091024"</f>
        <v>999091024</v>
      </c>
      <c r="Z538" t="str">
        <f>""</f>
        <v/>
      </c>
      <c r="AA538" t="str">
        <f>""</f>
        <v/>
      </c>
      <c r="AB538" t="str">
        <f>""</f>
        <v/>
      </c>
      <c r="AC538" t="str">
        <f>""</f>
        <v/>
      </c>
      <c r="AD538" t="str">
        <f>""</f>
        <v/>
      </c>
      <c r="AE538" t="str">
        <f>""</f>
        <v/>
      </c>
      <c r="AF538" t="str">
        <f>""</f>
        <v/>
      </c>
      <c r="AG538" t="str">
        <f>"S"</f>
        <v>S</v>
      </c>
      <c r="AH538" t="str">
        <f>""</f>
        <v/>
      </c>
      <c r="AI538" t="str">
        <f>""</f>
        <v/>
      </c>
      <c r="AJ538" t="str">
        <f>""</f>
        <v/>
      </c>
      <c r="AK538" t="str">
        <f>""</f>
        <v/>
      </c>
      <c r="AL538" t="str">
        <f>""</f>
        <v/>
      </c>
      <c r="AM538" t="str">
        <f>""</f>
        <v/>
      </c>
      <c r="AN538" t="str">
        <f>""</f>
        <v/>
      </c>
      <c r="AO538" t="str">
        <f>""</f>
        <v/>
      </c>
      <c r="AP538" t="str">
        <f>""</f>
        <v/>
      </c>
      <c r="AQ538" t="str">
        <f>"N"</f>
        <v>N</v>
      </c>
      <c r="AR538" t="str">
        <f>"N"</f>
        <v>N</v>
      </c>
      <c r="AS538" t="str">
        <f>"N"</f>
        <v>N</v>
      </c>
      <c r="AT538" t="str">
        <f>"N"</f>
        <v>N</v>
      </c>
      <c r="AU538" t="str">
        <f>"N"</f>
        <v>N</v>
      </c>
      <c r="AV538" t="str">
        <f>""</f>
        <v/>
      </c>
      <c r="AW538" t="str">
        <f>""</f>
        <v/>
      </c>
      <c r="AX538" t="str">
        <f>""</f>
        <v/>
      </c>
      <c r="AY538" t="str">
        <f>""</f>
        <v/>
      </c>
      <c r="AZ538" t="str">
        <f>""</f>
        <v/>
      </c>
      <c r="BA538" t="str">
        <f>""</f>
        <v/>
      </c>
      <c r="BB538" t="str">
        <f>""</f>
        <v/>
      </c>
      <c r="BC538" t="str">
        <f>"07/07/2023 16:17:03"</f>
        <v>07/07/2023 16:17:03</v>
      </c>
      <c r="BD538" t="str">
        <f>""</f>
        <v/>
      </c>
      <c r="BE538" t="str">
        <f>""</f>
        <v/>
      </c>
      <c r="BF538" t="str">
        <f t="shared" si="262"/>
        <v>A</v>
      </c>
      <c r="BG538" t="str">
        <f>""</f>
        <v/>
      </c>
      <c r="BH538" t="str">
        <f>"0,00"</f>
        <v>0,00</v>
      </c>
      <c r="BI538" t="str">
        <f t="shared" si="272"/>
        <v>EVENTUAL</v>
      </c>
      <c r="BJ538" t="str">
        <f t="shared" si="263"/>
        <v>1</v>
      </c>
      <c r="BK538" t="str">
        <f t="shared" si="264"/>
        <v>Farmacia</v>
      </c>
      <c r="BL538" t="str">
        <f>""</f>
        <v/>
      </c>
      <c r="BM538" t="str">
        <f>"NÃO É VARILUX ESPECIALISTA"</f>
        <v>NÃO É VARILUX ESPECIALISTA</v>
      </c>
      <c r="BN538" t="str">
        <f>"NA"</f>
        <v>NA</v>
      </c>
      <c r="BO538" t="str">
        <f>"FOCO KODAK 2"</f>
        <v>FOCO KODAK 2</v>
      </c>
      <c r="BP538" t="str">
        <f>""</f>
        <v/>
      </c>
      <c r="BQ538" t="str">
        <f>""</f>
        <v/>
      </c>
      <c r="BR538" t="str">
        <f>""</f>
        <v/>
      </c>
      <c r="BS538" t="str">
        <f>"07/07/2023"</f>
        <v>07/07/2023</v>
      </c>
      <c r="BT538" t="str">
        <f>""</f>
        <v/>
      </c>
      <c r="BU538" t="str">
        <f>""</f>
        <v/>
      </c>
      <c r="BV538" t="str">
        <f>"9"</f>
        <v>9</v>
      </c>
      <c r="BW538" t="str">
        <f>"219"</f>
        <v>219</v>
      </c>
    </row>
    <row r="539" spans="1:75" x14ac:dyDescent="0.35">
      <c r="A539">
        <v>156888</v>
      </c>
      <c r="B539" t="str">
        <f t="shared" si="259"/>
        <v>A</v>
      </c>
      <c r="C539" t="str">
        <f t="shared" si="260"/>
        <v>80</v>
      </c>
      <c r="D539" t="str">
        <f t="shared" si="254"/>
        <v>11121002</v>
      </c>
      <c r="E539" t="str">
        <f t="shared" si="255"/>
        <v>121002</v>
      </c>
      <c r="F539" t="str">
        <f t="shared" si="256"/>
        <v>CINTHIA NORONHA</v>
      </c>
      <c r="G539" t="str">
        <f>"18634935000195"</f>
        <v>18634935000195</v>
      </c>
      <c r="H539" t="str">
        <f>"0"</f>
        <v>0</v>
      </c>
      <c r="I539" t="str">
        <f t="shared" si="261"/>
        <v>CONTA OPTICA</v>
      </c>
      <c r="J539" t="str">
        <f>"ALBERTO FIGUEIREDO SILVA"</f>
        <v>ALBERTO FIGUEIREDO SILVA</v>
      </c>
      <c r="K539" t="str">
        <f>"BETO RELOJOARIA E OPTICA (2098)"</f>
        <v>BETO RELOJOARIA E OPTICA (2098)</v>
      </c>
      <c r="L539" t="str">
        <f>""</f>
        <v/>
      </c>
      <c r="M539" t="str">
        <f>""</f>
        <v/>
      </c>
      <c r="N539" t="str">
        <f>"BETORELOJOARIAEOPTICA@GMAIL.COM"</f>
        <v>BETORELOJOARIAEOPTICA@GMAIL.COM</v>
      </c>
      <c r="O539" t="str">
        <f>""</f>
        <v/>
      </c>
      <c r="P539" t="str">
        <f>"RUA OLINKRAFT"</f>
        <v>RUA OLINKRAFT</v>
      </c>
      <c r="Q539" t="str">
        <f>"3020"</f>
        <v>3020</v>
      </c>
      <c r="R539" t="str">
        <f>"SALA 02"</f>
        <v>SALA 02</v>
      </c>
      <c r="S539" t="str">
        <f>"1266"</f>
        <v>1266</v>
      </c>
      <c r="T539" t="str">
        <f>"88540000"</f>
        <v>88540000</v>
      </c>
      <c r="U539" t="str">
        <f>"PINHEIROS"</f>
        <v>PINHEIROS</v>
      </c>
      <c r="V539" t="str">
        <f>"OTACILIO COSTA"</f>
        <v>OTACILIO COSTA</v>
      </c>
      <c r="W539" t="str">
        <f t="shared" si="267"/>
        <v>SC</v>
      </c>
      <c r="X539" t="str">
        <f>"49"</f>
        <v>49</v>
      </c>
      <c r="Y539" t="str">
        <f>"32750719"</f>
        <v>32750719</v>
      </c>
      <c r="Z539" t="str">
        <f>""</f>
        <v/>
      </c>
      <c r="AA539" t="str">
        <f>""</f>
        <v/>
      </c>
      <c r="AB539" t="str">
        <f>""</f>
        <v/>
      </c>
      <c r="AC539" t="str">
        <f>""</f>
        <v/>
      </c>
      <c r="AD539" t="str">
        <f>""</f>
        <v/>
      </c>
      <c r="AE539" t="str">
        <f>""</f>
        <v/>
      </c>
      <c r="AF539" t="str">
        <f>""</f>
        <v/>
      </c>
      <c r="AG539" t="str">
        <f>""</f>
        <v/>
      </c>
      <c r="AH539" t="str">
        <f>""</f>
        <v/>
      </c>
      <c r="AI539" t="str">
        <f>""</f>
        <v/>
      </c>
      <c r="AJ539" t="str">
        <f>""</f>
        <v/>
      </c>
      <c r="AK539" t="str">
        <f>""</f>
        <v/>
      </c>
      <c r="AL539" t="str">
        <f>""</f>
        <v/>
      </c>
      <c r="AM539" t="str">
        <f>""</f>
        <v/>
      </c>
      <c r="AN539" t="str">
        <f>""</f>
        <v/>
      </c>
      <c r="AO539" t="str">
        <f>""</f>
        <v/>
      </c>
      <c r="AP539" t="str">
        <f>""</f>
        <v/>
      </c>
      <c r="AQ539" t="str">
        <f>""</f>
        <v/>
      </c>
      <c r="AR539" t="str">
        <f>""</f>
        <v/>
      </c>
      <c r="AS539" t="str">
        <f>""</f>
        <v/>
      </c>
      <c r="AT539" t="str">
        <f>""</f>
        <v/>
      </c>
      <c r="AU539" t="str">
        <f>""</f>
        <v/>
      </c>
      <c r="AV539" t="str">
        <f>""</f>
        <v/>
      </c>
      <c r="AW539" t="str">
        <f>""</f>
        <v/>
      </c>
      <c r="AX539" t="str">
        <f>""</f>
        <v/>
      </c>
      <c r="AY539" t="str">
        <f>""</f>
        <v/>
      </c>
      <c r="AZ539" t="str">
        <f>""</f>
        <v/>
      </c>
      <c r="BA539" t="str">
        <f>""</f>
        <v/>
      </c>
      <c r="BB539" t="str">
        <f>"06/07/2023 12:07:48"</f>
        <v>06/07/2023 12:07:48</v>
      </c>
      <c r="BC539" t="str">
        <f>""</f>
        <v/>
      </c>
      <c r="BD539" t="str">
        <f>""</f>
        <v/>
      </c>
      <c r="BE539" t="str">
        <f>""</f>
        <v/>
      </c>
      <c r="BF539" t="str">
        <f t="shared" si="262"/>
        <v>A</v>
      </c>
      <c r="BG539" t="str">
        <f>""</f>
        <v/>
      </c>
      <c r="BH539" t="str">
        <f>""</f>
        <v/>
      </c>
      <c r="BI539" t="str">
        <f t="shared" si="272"/>
        <v>EVENTUAL</v>
      </c>
      <c r="BJ539" t="str">
        <f t="shared" si="263"/>
        <v>1</v>
      </c>
      <c r="BK539" t="str">
        <f t="shared" si="264"/>
        <v>Farmacia</v>
      </c>
      <c r="BL539" t="str">
        <f>""</f>
        <v/>
      </c>
      <c r="BM539" t="str">
        <f>""</f>
        <v/>
      </c>
      <c r="BN539" t="str">
        <f>""</f>
        <v/>
      </c>
      <c r="BO539" t="str">
        <f>""</f>
        <v/>
      </c>
      <c r="BP539" t="str">
        <f>""</f>
        <v/>
      </c>
      <c r="BQ539" t="str">
        <f>""</f>
        <v/>
      </c>
      <c r="BR539" t="str">
        <f>"06/07/2023"</f>
        <v>06/07/2023</v>
      </c>
      <c r="BS539" t="str">
        <f>""</f>
        <v/>
      </c>
      <c r="BT539" t="str">
        <f>""</f>
        <v/>
      </c>
      <c r="BU539" t="str">
        <f>""</f>
        <v/>
      </c>
      <c r="BV539" t="str">
        <f>""</f>
        <v/>
      </c>
      <c r="BW539" t="str">
        <f>"2"</f>
        <v>2</v>
      </c>
    </row>
    <row r="540" spans="1:75" x14ac:dyDescent="0.35">
      <c r="A540">
        <v>144369</v>
      </c>
      <c r="B540" t="str">
        <f t="shared" si="259"/>
        <v>A</v>
      </c>
      <c r="C540" t="str">
        <f t="shared" si="260"/>
        <v>80</v>
      </c>
      <c r="D540" t="str">
        <f t="shared" si="254"/>
        <v>11121002</v>
      </c>
      <c r="E540" t="str">
        <f t="shared" si="255"/>
        <v>121002</v>
      </c>
      <c r="F540" t="str">
        <f t="shared" si="256"/>
        <v>CINTHIA NORONHA</v>
      </c>
      <c r="G540" t="str">
        <f>"79313748000102"</f>
        <v>79313748000102</v>
      </c>
      <c r="H540" t="str">
        <f>""</f>
        <v/>
      </c>
      <c r="I540" t="str">
        <f t="shared" si="261"/>
        <v>CONTA OPTICA</v>
      </c>
      <c r="J540" t="str">
        <f>"ALDO VANIO DE SOUZA  ME"</f>
        <v>ALDO VANIO DE SOUZA  ME</v>
      </c>
      <c r="K540" t="str">
        <f>"RELOJOARIA E OTICA SOUZA (13)"</f>
        <v>RELOJOARIA E OTICA SOUZA (13)</v>
      </c>
      <c r="L540" t="str">
        <f>""</f>
        <v/>
      </c>
      <c r="M540" t="str">
        <f>""</f>
        <v/>
      </c>
      <c r="N540" t="str">
        <f>"oticasouzaicara@gmail.com"</f>
        <v>oticasouzaicara@gmail.com</v>
      </c>
      <c r="O540" t="str">
        <f>""</f>
        <v/>
      </c>
      <c r="P540" t="str">
        <f>"RUA CORONEL MARCOS ROVARIS"</f>
        <v>RUA CORONEL MARCOS ROVARIS</v>
      </c>
      <c r="Q540" t="str">
        <f>"549"</f>
        <v>549</v>
      </c>
      <c r="R540" t="str">
        <f>""</f>
        <v/>
      </c>
      <c r="S540" t="str">
        <f>"1269"</f>
        <v>1269</v>
      </c>
      <c r="T540" t="str">
        <f>"88820000"</f>
        <v>88820000</v>
      </c>
      <c r="U540" t="str">
        <f>"CENTRO"</f>
        <v>CENTRO</v>
      </c>
      <c r="V540" t="str">
        <f>"IÇARA"</f>
        <v>IÇARA</v>
      </c>
      <c r="W540" t="str">
        <f t="shared" si="267"/>
        <v>SC</v>
      </c>
      <c r="X540" t="str">
        <f t="shared" ref="X540:X555" si="273">"48"</f>
        <v>48</v>
      </c>
      <c r="Y540" t="str">
        <f>"34323304"</f>
        <v>34323304</v>
      </c>
      <c r="Z540" t="str">
        <f>""</f>
        <v/>
      </c>
      <c r="AA540" t="str">
        <f>""</f>
        <v/>
      </c>
      <c r="AB540" t="str">
        <f>""</f>
        <v/>
      </c>
      <c r="AC540" t="str">
        <f>""</f>
        <v/>
      </c>
      <c r="AD540" t="str">
        <f>""</f>
        <v/>
      </c>
      <c r="AE540" t="str">
        <f>""</f>
        <v/>
      </c>
      <c r="AF540" t="str">
        <f>""</f>
        <v/>
      </c>
      <c r="AG540" t="str">
        <f>""</f>
        <v/>
      </c>
      <c r="AH540" t="str">
        <f>""</f>
        <v/>
      </c>
      <c r="AI540" t="str">
        <f>""</f>
        <v/>
      </c>
      <c r="AJ540" t="str">
        <f t="shared" ref="AJ540:AL541" si="274">"0"</f>
        <v>0</v>
      </c>
      <c r="AK540" t="str">
        <f t="shared" si="274"/>
        <v>0</v>
      </c>
      <c r="AL540" t="str">
        <f t="shared" si="274"/>
        <v>0</v>
      </c>
      <c r="AM540" t="str">
        <f>""</f>
        <v/>
      </c>
      <c r="AN540" t="str">
        <f>""</f>
        <v/>
      </c>
      <c r="AO540" t="str">
        <f>""</f>
        <v/>
      </c>
      <c r="AP540" t="str">
        <f>""</f>
        <v/>
      </c>
      <c r="AQ540" t="str">
        <f>""</f>
        <v/>
      </c>
      <c r="AR540" t="str">
        <f>""</f>
        <v/>
      </c>
      <c r="AS540" t="str">
        <f>""</f>
        <v/>
      </c>
      <c r="AT540" t="str">
        <f>""</f>
        <v/>
      </c>
      <c r="AU540" t="str">
        <f>""</f>
        <v/>
      </c>
      <c r="AV540" t="str">
        <f>""</f>
        <v/>
      </c>
      <c r="AW540" t="str">
        <f>""</f>
        <v/>
      </c>
      <c r="AX540" t="str">
        <f>""</f>
        <v/>
      </c>
      <c r="AY540" t="str">
        <f>""</f>
        <v/>
      </c>
      <c r="AZ540" t="str">
        <f>""</f>
        <v/>
      </c>
      <c r="BA540" t="str">
        <f>""</f>
        <v/>
      </c>
      <c r="BB540" t="str">
        <f>""</f>
        <v/>
      </c>
      <c r="BC540" t="str">
        <f>""</f>
        <v/>
      </c>
      <c r="BD540" t="str">
        <f>""</f>
        <v/>
      </c>
      <c r="BE540" t="str">
        <f>""</f>
        <v/>
      </c>
      <c r="BF540" t="str">
        <f t="shared" si="262"/>
        <v>A</v>
      </c>
      <c r="BG540" t="str">
        <f>"0,00"</f>
        <v>0,00</v>
      </c>
      <c r="BH540" t="str">
        <f>"0,00"</f>
        <v>0,00</v>
      </c>
      <c r="BI540" t="str">
        <f t="shared" si="272"/>
        <v>EVENTUAL</v>
      </c>
      <c r="BJ540" t="str">
        <f t="shared" si="263"/>
        <v>1</v>
      </c>
      <c r="BK540" t="str">
        <f t="shared" si="264"/>
        <v>Farmacia</v>
      </c>
      <c r="BL540" t="str">
        <f>""</f>
        <v/>
      </c>
      <c r="BM540" t="str">
        <f>"NÃO É VARILUX ESPECIALISTA"</f>
        <v>NÃO É VARILUX ESPECIALISTA</v>
      </c>
      <c r="BN540" t="str">
        <f>"EL360"</f>
        <v>EL360</v>
      </c>
      <c r="BO540" t="str">
        <f>"FOCO VARILUX"</f>
        <v>FOCO VARILUX</v>
      </c>
      <c r="BP540" t="str">
        <f>""</f>
        <v/>
      </c>
      <c r="BQ540" t="str">
        <f>""</f>
        <v/>
      </c>
      <c r="BR540" t="str">
        <f>""</f>
        <v/>
      </c>
      <c r="BS540" t="str">
        <f>""</f>
        <v/>
      </c>
      <c r="BT540" t="str">
        <f>""</f>
        <v/>
      </c>
      <c r="BU540" t="str">
        <f>""</f>
        <v/>
      </c>
      <c r="BV540" t="str">
        <f>"9"</f>
        <v>9</v>
      </c>
      <c r="BW540" t="str">
        <f>"32"</f>
        <v>32</v>
      </c>
    </row>
    <row r="541" spans="1:75" x14ac:dyDescent="0.35">
      <c r="A541">
        <v>144377</v>
      </c>
      <c r="B541" t="str">
        <f t="shared" si="259"/>
        <v>A</v>
      </c>
      <c r="C541" t="str">
        <f t="shared" si="260"/>
        <v>80</v>
      </c>
      <c r="D541" t="str">
        <f t="shared" si="254"/>
        <v>11121002</v>
      </c>
      <c r="E541" t="str">
        <f t="shared" si="255"/>
        <v>121002</v>
      </c>
      <c r="F541" t="str">
        <f t="shared" si="256"/>
        <v>CINTHIA NORONHA</v>
      </c>
      <c r="G541" t="str">
        <f>"80699812000106"</f>
        <v>80699812000106</v>
      </c>
      <c r="H541" t="str">
        <f>""</f>
        <v/>
      </c>
      <c r="I541" t="str">
        <f t="shared" si="261"/>
        <v>CONTA OPTICA</v>
      </c>
      <c r="J541" t="str">
        <f>"ALEIR BASCHIROTTO ME"</f>
        <v>ALEIR BASCHIROTTO ME</v>
      </c>
      <c r="K541" t="str">
        <f>"RELOJOARIA E OTICA BASCHIROTTO (1751)"</f>
        <v>RELOJOARIA E OTICA BASCHIROTTO (1751)</v>
      </c>
      <c r="L541" t="str">
        <f>""</f>
        <v/>
      </c>
      <c r="M541" t="str">
        <f>""</f>
        <v/>
      </c>
      <c r="N541" t="str">
        <f>"oticabaschirotto@hotmail.com"</f>
        <v>oticabaschirotto@hotmail.com</v>
      </c>
      <c r="O541" t="str">
        <f>""</f>
        <v/>
      </c>
      <c r="P541" t="str">
        <f>"AVENIDA DR POLIDORO SANTIAGO  SL 03"</f>
        <v>AVENIDA DR POLIDORO SANTIAGO  SL 03</v>
      </c>
      <c r="Q541" t="str">
        <f>"276"</f>
        <v>276</v>
      </c>
      <c r="R541" t="str">
        <f>""</f>
        <v/>
      </c>
      <c r="S541" t="str">
        <f>"1269"</f>
        <v>1269</v>
      </c>
      <c r="T541" t="str">
        <f>"88845000"</f>
        <v>88845000</v>
      </c>
      <c r="U541" t="str">
        <f>"CENTRO"</f>
        <v>CENTRO</v>
      </c>
      <c r="V541" t="str">
        <f>"COCAL DO SUL"</f>
        <v>COCAL DO SUL</v>
      </c>
      <c r="W541" t="str">
        <f t="shared" si="267"/>
        <v>SC</v>
      </c>
      <c r="X541" t="str">
        <f t="shared" si="273"/>
        <v>48</v>
      </c>
      <c r="Y541" t="str">
        <f>"34471526"</f>
        <v>34471526</v>
      </c>
      <c r="Z541" t="str">
        <f>""</f>
        <v/>
      </c>
      <c r="AA541" t="str">
        <f>""</f>
        <v/>
      </c>
      <c r="AB541" t="str">
        <f>""</f>
        <v/>
      </c>
      <c r="AC541" t="str">
        <f>""</f>
        <v/>
      </c>
      <c r="AD541" t="str">
        <f>""</f>
        <v/>
      </c>
      <c r="AE541" t="str">
        <f>""</f>
        <v/>
      </c>
      <c r="AF541" t="str">
        <f>""</f>
        <v/>
      </c>
      <c r="AG541" t="str">
        <f>""</f>
        <v/>
      </c>
      <c r="AH541" t="str">
        <f>""</f>
        <v/>
      </c>
      <c r="AI541" t="str">
        <f>""</f>
        <v/>
      </c>
      <c r="AJ541" t="str">
        <f t="shared" si="274"/>
        <v>0</v>
      </c>
      <c r="AK541" t="str">
        <f t="shared" si="274"/>
        <v>0</v>
      </c>
      <c r="AL541" t="str">
        <f t="shared" si="274"/>
        <v>0</v>
      </c>
      <c r="AM541" t="str">
        <f>""</f>
        <v/>
      </c>
      <c r="AN541" t="str">
        <f>""</f>
        <v/>
      </c>
      <c r="AO541" t="str">
        <f>""</f>
        <v/>
      </c>
      <c r="AP541" t="str">
        <f>""</f>
        <v/>
      </c>
      <c r="AQ541" t="str">
        <f>""</f>
        <v/>
      </c>
      <c r="AR541" t="str">
        <f>""</f>
        <v/>
      </c>
      <c r="AS541" t="str">
        <f>""</f>
        <v/>
      </c>
      <c r="AT541" t="str">
        <f>""</f>
        <v/>
      </c>
      <c r="AU541" t="str">
        <f>""</f>
        <v/>
      </c>
      <c r="AV541" t="str">
        <f>""</f>
        <v/>
      </c>
      <c r="AW541" t="str">
        <f>""</f>
        <v/>
      </c>
      <c r="AX541" t="str">
        <f>""</f>
        <v/>
      </c>
      <c r="AY541" t="str">
        <f>""</f>
        <v/>
      </c>
      <c r="AZ541" t="str">
        <f>""</f>
        <v/>
      </c>
      <c r="BA541" t="str">
        <f>""</f>
        <v/>
      </c>
      <c r="BB541" t="str">
        <f>""</f>
        <v/>
      </c>
      <c r="BC541" t="str">
        <f>""</f>
        <v/>
      </c>
      <c r="BD541" t="str">
        <f>""</f>
        <v/>
      </c>
      <c r="BE541" t="str">
        <f>""</f>
        <v/>
      </c>
      <c r="BF541" t="str">
        <f t="shared" si="262"/>
        <v>A</v>
      </c>
      <c r="BG541" t="str">
        <f>"0,00"</f>
        <v>0,00</v>
      </c>
      <c r="BH541" t="str">
        <f>"0,00"</f>
        <v>0,00</v>
      </c>
      <c r="BI541" t="str">
        <f t="shared" si="272"/>
        <v>EVENTUAL</v>
      </c>
      <c r="BJ541" t="str">
        <f t="shared" si="263"/>
        <v>1</v>
      </c>
      <c r="BK541" t="str">
        <f t="shared" si="264"/>
        <v>Farmacia</v>
      </c>
      <c r="BL541" t="str">
        <f>""</f>
        <v/>
      </c>
      <c r="BM541" t="str">
        <f>"NÃO É VARILUX ESPECIALISTA"</f>
        <v>NÃO É VARILUX ESPECIALISTA</v>
      </c>
      <c r="BN541" t="str">
        <f>"NA"</f>
        <v>NA</v>
      </c>
      <c r="BO541" t="str">
        <f>"OUTROS"</f>
        <v>OUTROS</v>
      </c>
      <c r="BP541" t="str">
        <f>""</f>
        <v/>
      </c>
      <c r="BQ541" t="str">
        <f>""</f>
        <v/>
      </c>
      <c r="BR541" t="str">
        <f>""</f>
        <v/>
      </c>
      <c r="BS541" t="str">
        <f>""</f>
        <v/>
      </c>
      <c r="BT541" t="str">
        <f>""</f>
        <v/>
      </c>
      <c r="BU541" t="str">
        <f>""</f>
        <v/>
      </c>
      <c r="BV541" t="str">
        <f>"9"</f>
        <v>9</v>
      </c>
      <c r="BW541" t="str">
        <f>"Não visitado"</f>
        <v>Não visitado</v>
      </c>
    </row>
    <row r="542" spans="1:75" x14ac:dyDescent="0.35">
      <c r="A542">
        <v>141328</v>
      </c>
      <c r="B542" t="str">
        <f t="shared" si="259"/>
        <v>A</v>
      </c>
      <c r="C542" t="str">
        <f t="shared" si="260"/>
        <v>80</v>
      </c>
      <c r="D542" t="str">
        <f t="shared" si="254"/>
        <v>11121002</v>
      </c>
      <c r="E542" t="str">
        <f t="shared" si="255"/>
        <v>121002</v>
      </c>
      <c r="F542" t="str">
        <f t="shared" si="256"/>
        <v>CINTHIA NORONHA</v>
      </c>
      <c r="G542" t="str">
        <f>"42846419000109"</f>
        <v>42846419000109</v>
      </c>
      <c r="H542" t="str">
        <f>"0"</f>
        <v>0</v>
      </c>
      <c r="I542" t="str">
        <f t="shared" si="261"/>
        <v>CONTA OPTICA</v>
      </c>
      <c r="J542" t="str">
        <f>"ALEMANHA ACESSORIOS DE MODA LTDA"</f>
        <v>ALEMANHA ACESSORIOS DE MODA LTDA</v>
      </c>
      <c r="K542" t="str">
        <f>"CHILLI BEANS (4386)"</f>
        <v>CHILLI BEANS (4386)</v>
      </c>
      <c r="L542" t="str">
        <f>""</f>
        <v/>
      </c>
      <c r="M542" t="str">
        <f>""</f>
        <v/>
      </c>
      <c r="N542" t="str">
        <f>"MARIANE.MOSENA@CHILLISC.COM.BR"</f>
        <v>MARIANE.MOSENA@CHILLISC.COM.BR</v>
      </c>
      <c r="O542" t="str">
        <f>""</f>
        <v/>
      </c>
      <c r="P542" t="str">
        <f>"RODOVIA BR 101 KM 210"</f>
        <v>RODOVIA BR 101 KM 210</v>
      </c>
      <c r="Q542" t="str">
        <f>"S/N"</f>
        <v>S/N</v>
      </c>
      <c r="R542" t="str">
        <f>"SALA L.100"</f>
        <v>SALA L.100</v>
      </c>
      <c r="S542" t="str">
        <f>"1259"</f>
        <v>1259</v>
      </c>
      <c r="T542" t="str">
        <f>"88104801"</f>
        <v>88104801</v>
      </c>
      <c r="U542" t="str">
        <f>"AREA INDUSTRIAL"</f>
        <v>AREA INDUSTRIAL</v>
      </c>
      <c r="V542" t="str">
        <f>"SÃO JOSÉ"</f>
        <v>SÃO JOSÉ</v>
      </c>
      <c r="W542" t="str">
        <f t="shared" si="267"/>
        <v>SC</v>
      </c>
      <c r="X542" t="str">
        <f t="shared" si="273"/>
        <v>48</v>
      </c>
      <c r="Y542" t="str">
        <f>"30374788"</f>
        <v>30374788</v>
      </c>
      <c r="Z542" t="str">
        <f>""</f>
        <v/>
      </c>
      <c r="AA542" t="str">
        <f>""</f>
        <v/>
      </c>
      <c r="AB542" t="str">
        <f>""</f>
        <v/>
      </c>
      <c r="AC542" t="str">
        <f>""</f>
        <v/>
      </c>
      <c r="AD542" t="str">
        <f>""</f>
        <v/>
      </c>
      <c r="AE542" t="str">
        <f>""</f>
        <v/>
      </c>
      <c r="AF542" t="str">
        <f>""</f>
        <v/>
      </c>
      <c r="AG542" t="str">
        <f>"S"</f>
        <v>S</v>
      </c>
      <c r="AH542" t="str">
        <f>""</f>
        <v/>
      </c>
      <c r="AI542" t="str">
        <f>""</f>
        <v/>
      </c>
      <c r="AJ542" t="str">
        <f>""</f>
        <v/>
      </c>
      <c r="AK542" t="str">
        <f>""</f>
        <v/>
      </c>
      <c r="AL542" t="str">
        <f>""</f>
        <v/>
      </c>
      <c r="AM542" t="str">
        <f>""</f>
        <v/>
      </c>
      <c r="AN542" t="str">
        <f>""</f>
        <v/>
      </c>
      <c r="AO542" t="str">
        <f>""</f>
        <v/>
      </c>
      <c r="AP542" t="str">
        <f>""</f>
        <v/>
      </c>
      <c r="AQ542" t="str">
        <f t="shared" ref="AQ542:AU544" si="275">"N"</f>
        <v>N</v>
      </c>
      <c r="AR542" t="str">
        <f t="shared" si="275"/>
        <v>N</v>
      </c>
      <c r="AS542" t="str">
        <f t="shared" si="275"/>
        <v>N</v>
      </c>
      <c r="AT542" t="str">
        <f t="shared" si="275"/>
        <v>N</v>
      </c>
      <c r="AU542" t="str">
        <f t="shared" si="275"/>
        <v>N</v>
      </c>
      <c r="AV542" t="str">
        <f>""</f>
        <v/>
      </c>
      <c r="AW542" t="str">
        <f>""</f>
        <v/>
      </c>
      <c r="AX542" t="str">
        <f>""</f>
        <v/>
      </c>
      <c r="AY542" t="str">
        <f>""</f>
        <v/>
      </c>
      <c r="AZ542" t="str">
        <f>""</f>
        <v/>
      </c>
      <c r="BA542" t="str">
        <f>""</f>
        <v/>
      </c>
      <c r="BB542" t="str">
        <f>"20/09/2021 15:06:09"</f>
        <v>20/09/2021 15:06:09</v>
      </c>
      <c r="BC542" t="str">
        <f>"18/04/2022 16:23:17"</f>
        <v>18/04/2022 16:23:17</v>
      </c>
      <c r="BD542" t="str">
        <f>""</f>
        <v/>
      </c>
      <c r="BE542" t="str">
        <f>""</f>
        <v/>
      </c>
      <c r="BF542" t="str">
        <f t="shared" si="262"/>
        <v>A</v>
      </c>
      <c r="BG542" t="str">
        <f>""</f>
        <v/>
      </c>
      <c r="BH542" t="str">
        <f>"0,00"</f>
        <v>0,00</v>
      </c>
      <c r="BI542" t="str">
        <f t="shared" si="272"/>
        <v>EVENTUAL</v>
      </c>
      <c r="BJ542" t="str">
        <f t="shared" si="263"/>
        <v>1</v>
      </c>
      <c r="BK542" t="str">
        <f t="shared" si="264"/>
        <v>Farmacia</v>
      </c>
      <c r="BL542" t="str">
        <f>""</f>
        <v/>
      </c>
      <c r="BM542" t="str">
        <f>""</f>
        <v/>
      </c>
      <c r="BN542" t="str">
        <f>""</f>
        <v/>
      </c>
      <c r="BO542" t="str">
        <f>"FOCO VARILUX"</f>
        <v>FOCO VARILUX</v>
      </c>
      <c r="BP542" t="str">
        <f>""</f>
        <v/>
      </c>
      <c r="BQ542" t="str">
        <f>""</f>
        <v/>
      </c>
      <c r="BR542" t="str">
        <f>"20/09/2021"</f>
        <v>20/09/2021</v>
      </c>
      <c r="BS542" t="str">
        <f>"18/04/2022"</f>
        <v>18/04/2022</v>
      </c>
      <c r="BT542" t="str">
        <f>""</f>
        <v/>
      </c>
      <c r="BU542" t="str">
        <f>""</f>
        <v/>
      </c>
      <c r="BV542" t="str">
        <f>""</f>
        <v/>
      </c>
      <c r="BW542" t="str">
        <f>"106"</f>
        <v>106</v>
      </c>
    </row>
    <row r="543" spans="1:75" x14ac:dyDescent="0.35">
      <c r="A543">
        <v>156909</v>
      </c>
      <c r="B543" t="str">
        <f t="shared" si="259"/>
        <v>A</v>
      </c>
      <c r="C543" t="str">
        <f t="shared" si="260"/>
        <v>80</v>
      </c>
      <c r="D543" t="str">
        <f t="shared" si="254"/>
        <v>11121002</v>
      </c>
      <c r="E543" t="str">
        <f t="shared" si="255"/>
        <v>121002</v>
      </c>
      <c r="F543" t="str">
        <f t="shared" si="256"/>
        <v>CINTHIA NORONHA</v>
      </c>
      <c r="G543" t="str">
        <f>"43824072000166"</f>
        <v>43824072000166</v>
      </c>
      <c r="H543" t="str">
        <f>"0"</f>
        <v>0</v>
      </c>
      <c r="I543" t="str">
        <f t="shared" si="261"/>
        <v>CONTA OPTICA</v>
      </c>
      <c r="J543" t="str">
        <f>"ALESSANDRA DEMETRIO DE ALMEIDA 78485126904"</f>
        <v>ALESSANDRA DEMETRIO DE ALMEIDA 78485126904</v>
      </c>
      <c r="K543" t="str">
        <f>"PUPILA OPTICA &amp; JOALHERIA (4534)"</f>
        <v>PUPILA OPTICA &amp; JOALHERIA (4534)</v>
      </c>
      <c r="L543" t="str">
        <f>""</f>
        <v/>
      </c>
      <c r="M543" t="str">
        <f>""</f>
        <v/>
      </c>
      <c r="N543" t="str">
        <f>"PUPILAOPTICAEJOALHERIA@GMAIL.COM"</f>
        <v>PUPILAOPTICAEJOALHERIA@GMAIL.COM</v>
      </c>
      <c r="O543" t="str">
        <f>""</f>
        <v/>
      </c>
      <c r="P543" t="str">
        <f>"RUA IRMAOS TREVISOL"</f>
        <v>RUA IRMAOS TREVISOL</v>
      </c>
      <c r="Q543" t="str">
        <f>"1110"</f>
        <v>1110</v>
      </c>
      <c r="R543" t="str">
        <f>"SALA 01"</f>
        <v>SALA 01</v>
      </c>
      <c r="S543" t="str">
        <f>"1270"</f>
        <v>1270</v>
      </c>
      <c r="T543" t="str">
        <f>"88950000"</f>
        <v>88950000</v>
      </c>
      <c r="U543" t="str">
        <f>"CENTRO"</f>
        <v>CENTRO</v>
      </c>
      <c r="V543" t="str">
        <f>"JACINTO MACHADO"</f>
        <v>JACINTO MACHADO</v>
      </c>
      <c r="W543" t="str">
        <f t="shared" si="267"/>
        <v>SC</v>
      </c>
      <c r="X543" t="str">
        <f t="shared" si="273"/>
        <v>48</v>
      </c>
      <c r="Y543" t="str">
        <f>"35361271"</f>
        <v>35361271</v>
      </c>
      <c r="Z543" t="str">
        <f>""</f>
        <v/>
      </c>
      <c r="AA543" t="str">
        <f>""</f>
        <v/>
      </c>
      <c r="AB543" t="str">
        <f>""</f>
        <v/>
      </c>
      <c r="AC543" t="str">
        <f>""</f>
        <v/>
      </c>
      <c r="AD543" t="str">
        <f>""</f>
        <v/>
      </c>
      <c r="AE543" t="str">
        <f>""</f>
        <v/>
      </c>
      <c r="AF543" t="str">
        <f>""</f>
        <v/>
      </c>
      <c r="AG543" t="str">
        <f>"S"</f>
        <v>S</v>
      </c>
      <c r="AH543" t="str">
        <f>""</f>
        <v/>
      </c>
      <c r="AI543" t="str">
        <f>""</f>
        <v/>
      </c>
      <c r="AJ543" t="str">
        <f>""</f>
        <v/>
      </c>
      <c r="AK543" t="str">
        <f>""</f>
        <v/>
      </c>
      <c r="AL543" t="str">
        <f>""</f>
        <v/>
      </c>
      <c r="AM543" t="str">
        <f>""</f>
        <v/>
      </c>
      <c r="AN543" t="str">
        <f>""</f>
        <v/>
      </c>
      <c r="AO543" t="str">
        <f>""</f>
        <v/>
      </c>
      <c r="AP543" t="str">
        <f>""</f>
        <v/>
      </c>
      <c r="AQ543" t="str">
        <f t="shared" si="275"/>
        <v>N</v>
      </c>
      <c r="AR543" t="str">
        <f t="shared" si="275"/>
        <v>N</v>
      </c>
      <c r="AS543" t="str">
        <f t="shared" si="275"/>
        <v>N</v>
      </c>
      <c r="AT543" t="str">
        <f t="shared" si="275"/>
        <v>N</v>
      </c>
      <c r="AU543" t="str">
        <f t="shared" si="275"/>
        <v>N</v>
      </c>
      <c r="AV543" t="str">
        <f>""</f>
        <v/>
      </c>
      <c r="AW543" t="str">
        <f>""</f>
        <v/>
      </c>
      <c r="AX543" t="str">
        <f>""</f>
        <v/>
      </c>
      <c r="AY543" t="str">
        <f>""</f>
        <v/>
      </c>
      <c r="AZ543" t="str">
        <f>""</f>
        <v/>
      </c>
      <c r="BA543" t="str">
        <f>""</f>
        <v/>
      </c>
      <c r="BB543" t="str">
        <f>"06/07/2023 12:07:48"</f>
        <v>06/07/2023 12:07:48</v>
      </c>
      <c r="BC543" t="str">
        <f>"12/07/2023 11:28:09"</f>
        <v>12/07/2023 11:28:09</v>
      </c>
      <c r="BD543" t="str">
        <f>""</f>
        <v/>
      </c>
      <c r="BE543" t="str">
        <f>""</f>
        <v/>
      </c>
      <c r="BF543" t="str">
        <f t="shared" si="262"/>
        <v>A</v>
      </c>
      <c r="BG543" t="str">
        <f>""</f>
        <v/>
      </c>
      <c r="BH543" t="str">
        <f>"0,00"</f>
        <v>0,00</v>
      </c>
      <c r="BI543" t="str">
        <f>"MENSAL"</f>
        <v>MENSAL</v>
      </c>
      <c r="BJ543" t="str">
        <f t="shared" si="263"/>
        <v>1</v>
      </c>
      <c r="BK543" t="str">
        <f t="shared" si="264"/>
        <v>Farmacia</v>
      </c>
      <c r="BL543" t="str">
        <f>""</f>
        <v/>
      </c>
      <c r="BM543" t="str">
        <f>""</f>
        <v/>
      </c>
      <c r="BN543" t="str">
        <f>""</f>
        <v/>
      </c>
      <c r="BO543" t="str">
        <f>""</f>
        <v/>
      </c>
      <c r="BP543" t="str">
        <f>""</f>
        <v/>
      </c>
      <c r="BQ543" t="str">
        <f>""</f>
        <v/>
      </c>
      <c r="BR543" t="str">
        <f>"06/07/2023"</f>
        <v>06/07/2023</v>
      </c>
      <c r="BS543" t="str">
        <f>"12/07/2023"</f>
        <v>12/07/2023</v>
      </c>
      <c r="BT543" t="str">
        <f>""</f>
        <v/>
      </c>
      <c r="BU543" t="str">
        <f>""</f>
        <v/>
      </c>
      <c r="BV543" t="str">
        <f>""</f>
        <v/>
      </c>
      <c r="BW543" t="str">
        <f>"8"</f>
        <v>8</v>
      </c>
    </row>
    <row r="544" spans="1:75" x14ac:dyDescent="0.35">
      <c r="A544">
        <v>134424</v>
      </c>
      <c r="B544" t="str">
        <f t="shared" si="259"/>
        <v>A</v>
      </c>
      <c r="C544" t="str">
        <f t="shared" si="260"/>
        <v>80</v>
      </c>
      <c r="D544" t="str">
        <f t="shared" si="254"/>
        <v>11121002</v>
      </c>
      <c r="E544" t="str">
        <f t="shared" si="255"/>
        <v>121002</v>
      </c>
      <c r="F544" t="str">
        <f t="shared" si="256"/>
        <v>CINTHIA NORONHA</v>
      </c>
      <c r="G544" t="str">
        <f>"36507526000100"</f>
        <v>36507526000100</v>
      </c>
      <c r="H544" t="str">
        <f>""</f>
        <v/>
      </c>
      <c r="I544" t="str">
        <f t="shared" si="261"/>
        <v>CONTA OPTICA</v>
      </c>
      <c r="J544" t="str">
        <f>"ALESSANDRO WEBER DA SILVA 07603986907"</f>
        <v>ALESSANDRO WEBER DA SILVA 07603986907</v>
      </c>
      <c r="K544" t="str">
        <f>"ALESSANDRO WEBER DA SILVA (4111)"</f>
        <v>ALESSANDRO WEBER DA SILVA (4111)</v>
      </c>
      <c r="L544" t="str">
        <f>""</f>
        <v/>
      </c>
      <c r="M544" t="str">
        <f>""</f>
        <v/>
      </c>
      <c r="N544" t="str">
        <f>"alessandro@oculosexpress.com"</f>
        <v>alessandro@oculosexpress.com</v>
      </c>
      <c r="O544" t="str">
        <f>""</f>
        <v/>
      </c>
      <c r="P544" t="str">
        <f>"RUA JOAQUIM JOSE MEURER"</f>
        <v>RUA JOAQUIM JOSE MEURER</v>
      </c>
      <c r="Q544" t="str">
        <f>"545"</f>
        <v>545</v>
      </c>
      <c r="R544" t="str">
        <f>"CASA 4"</f>
        <v>CASA 4</v>
      </c>
      <c r="S544" t="str">
        <f>""</f>
        <v/>
      </c>
      <c r="T544" t="str">
        <f>"88107550"</f>
        <v>88107550</v>
      </c>
      <c r="U544" t="str">
        <f>"FORQUILHAS"</f>
        <v>FORQUILHAS</v>
      </c>
      <c r="V544" t="str">
        <f>"SÃO JOSÉ"</f>
        <v>SÃO JOSÉ</v>
      </c>
      <c r="W544" t="str">
        <f t="shared" si="267"/>
        <v>SC</v>
      </c>
      <c r="X544" t="str">
        <f t="shared" si="273"/>
        <v>48</v>
      </c>
      <c r="Y544" t="str">
        <f>"984720862"</f>
        <v>984720862</v>
      </c>
      <c r="Z544" t="str">
        <f>""</f>
        <v/>
      </c>
      <c r="AA544" t="str">
        <f>""</f>
        <v/>
      </c>
      <c r="AB544" t="str">
        <f>""</f>
        <v/>
      </c>
      <c r="AC544" t="str">
        <f>""</f>
        <v/>
      </c>
      <c r="AD544" t="str">
        <f>""</f>
        <v/>
      </c>
      <c r="AE544" t="str">
        <f>""</f>
        <v/>
      </c>
      <c r="AF544" t="str">
        <f>""</f>
        <v/>
      </c>
      <c r="AG544" t="str">
        <f>"S"</f>
        <v>S</v>
      </c>
      <c r="AH544" t="str">
        <f>""</f>
        <v/>
      </c>
      <c r="AI544" t="str">
        <f>""</f>
        <v/>
      </c>
      <c r="AJ544" t="str">
        <f>""</f>
        <v/>
      </c>
      <c r="AK544" t="str">
        <f>""</f>
        <v/>
      </c>
      <c r="AL544" t="str">
        <f>""</f>
        <v/>
      </c>
      <c r="AM544" t="str">
        <f>""</f>
        <v/>
      </c>
      <c r="AN544" t="str">
        <f>""</f>
        <v/>
      </c>
      <c r="AO544" t="str">
        <f>""</f>
        <v/>
      </c>
      <c r="AP544" t="str">
        <f>""</f>
        <v/>
      </c>
      <c r="AQ544" t="str">
        <f t="shared" si="275"/>
        <v>N</v>
      </c>
      <c r="AR544" t="str">
        <f t="shared" si="275"/>
        <v>N</v>
      </c>
      <c r="AS544" t="str">
        <f t="shared" si="275"/>
        <v>N</v>
      </c>
      <c r="AT544" t="str">
        <f t="shared" si="275"/>
        <v>N</v>
      </c>
      <c r="AU544" t="str">
        <f t="shared" si="275"/>
        <v>N</v>
      </c>
      <c r="AV544" t="str">
        <f>""</f>
        <v/>
      </c>
      <c r="AW544" t="str">
        <f>""</f>
        <v/>
      </c>
      <c r="AX544" t="str">
        <f>""</f>
        <v/>
      </c>
      <c r="AY544" t="str">
        <f>""</f>
        <v/>
      </c>
      <c r="AZ544" t="str">
        <f>""</f>
        <v/>
      </c>
      <c r="BA544" t="str">
        <f>""</f>
        <v/>
      </c>
      <c r="BB544" t="str">
        <f>""</f>
        <v/>
      </c>
      <c r="BC544" t="str">
        <f>"29/12/2021 11:57:05"</f>
        <v>29/12/2021 11:57:05</v>
      </c>
      <c r="BD544" t="str">
        <f>""</f>
        <v/>
      </c>
      <c r="BE544" t="str">
        <f>""</f>
        <v/>
      </c>
      <c r="BF544" t="str">
        <f t="shared" si="262"/>
        <v>A</v>
      </c>
      <c r="BG544" t="str">
        <f>""</f>
        <v/>
      </c>
      <c r="BH544" t="str">
        <f>"0,00"</f>
        <v>0,00</v>
      </c>
      <c r="BI544" t="str">
        <f t="shared" ref="BI544:BI607" si="276">"EVENTUAL"</f>
        <v>EVENTUAL</v>
      </c>
      <c r="BJ544" t="str">
        <f t="shared" si="263"/>
        <v>1</v>
      </c>
      <c r="BK544" t="str">
        <f t="shared" si="264"/>
        <v>Farmacia</v>
      </c>
      <c r="BL544" t="str">
        <f>""</f>
        <v/>
      </c>
      <c r="BM544" t="str">
        <f>"NÃO É VARILUX ESPECIALISTA"</f>
        <v>NÃO É VARILUX ESPECIALISTA</v>
      </c>
      <c r="BN544" t="str">
        <f>"NA"</f>
        <v>NA</v>
      </c>
      <c r="BO544" t="str">
        <f>"FOCO KODAK 1"</f>
        <v>FOCO KODAK 1</v>
      </c>
      <c r="BP544" t="str">
        <f>""</f>
        <v/>
      </c>
      <c r="BQ544" t="str">
        <f>""</f>
        <v/>
      </c>
      <c r="BR544" t="str">
        <f>""</f>
        <v/>
      </c>
      <c r="BS544" t="str">
        <f>"29/12/2021"</f>
        <v>29/12/2021</v>
      </c>
      <c r="BT544" t="str">
        <f>""</f>
        <v/>
      </c>
      <c r="BU544" t="str">
        <f>""</f>
        <v/>
      </c>
      <c r="BV544" t="str">
        <f>"9"</f>
        <v>9</v>
      </c>
      <c r="BW544" t="str">
        <f>"122"</f>
        <v>122</v>
      </c>
    </row>
    <row r="545" spans="1:75" x14ac:dyDescent="0.35">
      <c r="A545">
        <v>49</v>
      </c>
      <c r="B545" t="str">
        <f t="shared" si="259"/>
        <v>A</v>
      </c>
      <c r="C545" t="str">
        <f t="shared" si="260"/>
        <v>80</v>
      </c>
      <c r="D545" t="str">
        <f t="shared" si="254"/>
        <v>11121002</v>
      </c>
      <c r="E545" t="str">
        <f t="shared" si="255"/>
        <v>121002</v>
      </c>
      <c r="F545" t="str">
        <f t="shared" si="256"/>
        <v>CINTHIA NORONHA</v>
      </c>
      <c r="G545" t="str">
        <f>"04321284000179"</f>
        <v>04321284000179</v>
      </c>
      <c r="H545" t="str">
        <f>""</f>
        <v/>
      </c>
      <c r="I545" t="str">
        <f t="shared" si="261"/>
        <v>CONTA OPTICA</v>
      </c>
      <c r="J545" t="str">
        <f>"ALEX ANDRE CARDOSO"</f>
        <v>ALEX ANDRE CARDOSO</v>
      </c>
      <c r="K545" t="str">
        <f>"RELOJOARIA E OTICA SAO LUIZ (2024)"</f>
        <v>RELOJOARIA E OTICA SAO LUIZ (2024)</v>
      </c>
      <c r="L545" t="str">
        <f>""</f>
        <v/>
      </c>
      <c r="M545" t="str">
        <f>""</f>
        <v/>
      </c>
      <c r="N545" t="str">
        <f>"relojoariaeoticasao.luiz@hotmail.com"</f>
        <v>relojoariaeoticasao.luiz@hotmail.com</v>
      </c>
      <c r="O545" t="str">
        <f>""</f>
        <v/>
      </c>
      <c r="P545" t="str">
        <f>"RUA JOAO ERNESTO RAMOS"</f>
        <v>RUA JOAO ERNESTO RAMOS</v>
      </c>
      <c r="Q545" t="str">
        <f>"35"</f>
        <v>35</v>
      </c>
      <c r="R545" t="str">
        <f>""</f>
        <v/>
      </c>
      <c r="S545" t="str">
        <f>"1268"</f>
        <v>1268</v>
      </c>
      <c r="T545" t="str">
        <f>"88745000"</f>
        <v>88745000</v>
      </c>
      <c r="U545" t="str">
        <f>"CENTRO"</f>
        <v>CENTRO</v>
      </c>
      <c r="V545" t="str">
        <f>"CAPIVARI DE BAIXO"</f>
        <v>CAPIVARI DE BAIXO</v>
      </c>
      <c r="W545" t="str">
        <f t="shared" si="267"/>
        <v>SC</v>
      </c>
      <c r="X545" t="str">
        <f t="shared" si="273"/>
        <v>48</v>
      </c>
      <c r="Y545" t="str">
        <f>"36230542"</f>
        <v>36230542</v>
      </c>
      <c r="Z545" t="str">
        <f>""</f>
        <v/>
      </c>
      <c r="AA545" t="str">
        <f>""</f>
        <v/>
      </c>
      <c r="AB545" t="str">
        <f>""</f>
        <v/>
      </c>
      <c r="AC545" t="str">
        <f>""</f>
        <v/>
      </c>
      <c r="AD545" t="str">
        <f>""</f>
        <v/>
      </c>
      <c r="AE545" t="str">
        <f>""</f>
        <v/>
      </c>
      <c r="AF545" t="str">
        <f>""</f>
        <v/>
      </c>
      <c r="AG545" t="str">
        <f>""</f>
        <v/>
      </c>
      <c r="AH545" t="str">
        <f>""</f>
        <v/>
      </c>
      <c r="AI545" t="str">
        <f>""</f>
        <v/>
      </c>
      <c r="AJ545" t="str">
        <f>"0"</f>
        <v>0</v>
      </c>
      <c r="AK545" t="str">
        <f>"0"</f>
        <v>0</v>
      </c>
      <c r="AL545" t="str">
        <f>"0"</f>
        <v>0</v>
      </c>
      <c r="AM545" t="str">
        <f>""</f>
        <v/>
      </c>
      <c r="AN545" t="str">
        <f>""</f>
        <v/>
      </c>
      <c r="AO545" t="str">
        <f>""</f>
        <v/>
      </c>
      <c r="AP545" t="str">
        <f>""</f>
        <v/>
      </c>
      <c r="AQ545" t="str">
        <f>""</f>
        <v/>
      </c>
      <c r="AR545" t="str">
        <f>""</f>
        <v/>
      </c>
      <c r="AS545" t="str">
        <f>""</f>
        <v/>
      </c>
      <c r="AT545" t="str">
        <f>""</f>
        <v/>
      </c>
      <c r="AU545" t="str">
        <f>""</f>
        <v/>
      </c>
      <c r="AV545" t="str">
        <f>""</f>
        <v/>
      </c>
      <c r="AW545" t="str">
        <f>""</f>
        <v/>
      </c>
      <c r="AX545" t="str">
        <f>""</f>
        <v/>
      </c>
      <c r="AY545" t="str">
        <f>""</f>
        <v/>
      </c>
      <c r="AZ545" t="str">
        <f>""</f>
        <v/>
      </c>
      <c r="BA545" t="str">
        <f>""</f>
        <v/>
      </c>
      <c r="BB545" t="str">
        <f>"27/07/2018 09:25:31"</f>
        <v>27/07/2018 09:25:31</v>
      </c>
      <c r="BC545" t="str">
        <f>""</f>
        <v/>
      </c>
      <c r="BD545" t="str">
        <f>""</f>
        <v/>
      </c>
      <c r="BE545" t="str">
        <f>"49"</f>
        <v>49</v>
      </c>
      <c r="BF545" t="str">
        <f t="shared" si="262"/>
        <v>A</v>
      </c>
      <c r="BG545" t="str">
        <f>"0,00"</f>
        <v>0,00</v>
      </c>
      <c r="BH545" t="str">
        <f>"0,00"</f>
        <v>0,00</v>
      </c>
      <c r="BI545" t="str">
        <f t="shared" si="276"/>
        <v>EVENTUAL</v>
      </c>
      <c r="BJ545" t="str">
        <f t="shared" si="263"/>
        <v>1</v>
      </c>
      <c r="BK545" t="str">
        <f t="shared" si="264"/>
        <v>Farmacia</v>
      </c>
      <c r="BL545" t="str">
        <f>""</f>
        <v/>
      </c>
      <c r="BM545" t="str">
        <f>"CREDENCIADO VARILUX"</f>
        <v>CREDENCIADO VARILUX</v>
      </c>
      <c r="BN545" t="str">
        <f>"NA"</f>
        <v>NA</v>
      </c>
      <c r="BO545" t="str">
        <f>"FOCO VARILUX DIGITAL"</f>
        <v>FOCO VARILUX DIGITAL</v>
      </c>
      <c r="BP545" t="str">
        <f>""</f>
        <v/>
      </c>
      <c r="BQ545" t="str">
        <f>""</f>
        <v/>
      </c>
      <c r="BR545" t="str">
        <f>"27/07/2018"</f>
        <v>27/07/2018</v>
      </c>
      <c r="BS545" t="str">
        <f>""</f>
        <v/>
      </c>
      <c r="BT545" t="str">
        <f>""</f>
        <v/>
      </c>
      <c r="BU545" t="str">
        <f>""</f>
        <v/>
      </c>
      <c r="BV545" t="str">
        <f>"9"</f>
        <v>9</v>
      </c>
      <c r="BW545" t="str">
        <f>"128"</f>
        <v>128</v>
      </c>
    </row>
    <row r="546" spans="1:75" x14ac:dyDescent="0.35">
      <c r="A546">
        <v>157717</v>
      </c>
      <c r="B546" t="str">
        <f t="shared" si="259"/>
        <v>A</v>
      </c>
      <c r="C546" t="str">
        <f t="shared" si="260"/>
        <v>80</v>
      </c>
      <c r="D546" t="str">
        <f t="shared" si="254"/>
        <v>11121002</v>
      </c>
      <c r="E546" t="str">
        <f t="shared" si="255"/>
        <v>121002</v>
      </c>
      <c r="F546" t="str">
        <f t="shared" si="256"/>
        <v>CINTHIA NORONHA</v>
      </c>
      <c r="G546" t="str">
        <f>"82966656000128"</f>
        <v>82966656000128</v>
      </c>
      <c r="H546" t="str">
        <f>"0"</f>
        <v>0</v>
      </c>
      <c r="I546" t="str">
        <f t="shared" si="261"/>
        <v>CONTA OPTICA</v>
      </c>
      <c r="J546" t="str">
        <f>"ALIANNA COMERCIAL LTDA"</f>
        <v>ALIANNA COMERCIAL LTDA</v>
      </c>
      <c r="K546" t="str">
        <f>"OTICA CAYMAN (1918)"</f>
        <v>OTICA CAYMAN (1918)</v>
      </c>
      <c r="L546" t="str">
        <f>""</f>
        <v/>
      </c>
      <c r="M546" t="str">
        <f>""</f>
        <v/>
      </c>
      <c r="N546" t="str">
        <f>"CONTATO@ALIANNA.COM.BR"</f>
        <v>CONTATO@ALIANNA.COM.BR</v>
      </c>
      <c r="O546" t="str">
        <f>""</f>
        <v/>
      </c>
      <c r="P546" t="str">
        <f>"OTHON GAMA DEÇA"</f>
        <v>OTHON GAMA DEÇA</v>
      </c>
      <c r="Q546" t="str">
        <f>"900"</f>
        <v>900</v>
      </c>
      <c r="R546" t="str">
        <f>"LOJA 03"</f>
        <v>LOJA 03</v>
      </c>
      <c r="S546" t="str">
        <f>"1254"</f>
        <v>1254</v>
      </c>
      <c r="T546" t="str">
        <f>"88010030"</f>
        <v>88010030</v>
      </c>
      <c r="U546" t="str">
        <f>"CENTRO"</f>
        <v>CENTRO</v>
      </c>
      <c r="V546" t="str">
        <f>"FLORIANOPOLIS"</f>
        <v>FLORIANOPOLIS</v>
      </c>
      <c r="W546" t="str">
        <f t="shared" si="267"/>
        <v>SC</v>
      </c>
      <c r="X546" t="str">
        <f t="shared" si="273"/>
        <v>48</v>
      </c>
      <c r="Y546" t="str">
        <f>"33242666"</f>
        <v>33242666</v>
      </c>
      <c r="Z546" t="str">
        <f>""</f>
        <v/>
      </c>
      <c r="AA546" t="str">
        <f>""</f>
        <v/>
      </c>
      <c r="AB546" t="str">
        <f>""</f>
        <v/>
      </c>
      <c r="AC546" t="str">
        <f>""</f>
        <v/>
      </c>
      <c r="AD546" t="str">
        <f>""</f>
        <v/>
      </c>
      <c r="AE546" t="str">
        <f>""</f>
        <v/>
      </c>
      <c r="AF546" t="str">
        <f>""</f>
        <v/>
      </c>
      <c r="AG546" t="str">
        <f>""</f>
        <v/>
      </c>
      <c r="AH546" t="str">
        <f>""</f>
        <v/>
      </c>
      <c r="AI546" t="str">
        <f>""</f>
        <v/>
      </c>
      <c r="AJ546" t="str">
        <f>""</f>
        <v/>
      </c>
      <c r="AK546" t="str">
        <f>""</f>
        <v/>
      </c>
      <c r="AL546" t="str">
        <f>""</f>
        <v/>
      </c>
      <c r="AM546" t="str">
        <f>""</f>
        <v/>
      </c>
      <c r="AN546" t="str">
        <f>""</f>
        <v/>
      </c>
      <c r="AO546" t="str">
        <f>""</f>
        <v/>
      </c>
      <c r="AP546" t="str">
        <f>""</f>
        <v/>
      </c>
      <c r="AQ546" t="str">
        <f>""</f>
        <v/>
      </c>
      <c r="AR546" t="str">
        <f>""</f>
        <v/>
      </c>
      <c r="AS546" t="str">
        <f>""</f>
        <v/>
      </c>
      <c r="AT546" t="str">
        <f>""</f>
        <v/>
      </c>
      <c r="AU546" t="str">
        <f>""</f>
        <v/>
      </c>
      <c r="AV546" t="str">
        <f>""</f>
        <v/>
      </c>
      <c r="AW546" t="str">
        <f>""</f>
        <v/>
      </c>
      <c r="AX546" t="str">
        <f>""</f>
        <v/>
      </c>
      <c r="AY546" t="str">
        <f>""</f>
        <v/>
      </c>
      <c r="AZ546" t="str">
        <f>""</f>
        <v/>
      </c>
      <c r="BA546" t="str">
        <f>""</f>
        <v/>
      </c>
      <c r="BB546" t="str">
        <f>"11/07/2023 02:19:56"</f>
        <v>11/07/2023 02:19:56</v>
      </c>
      <c r="BC546" t="str">
        <f>""</f>
        <v/>
      </c>
      <c r="BD546" t="str">
        <f>""</f>
        <v/>
      </c>
      <c r="BE546" t="str">
        <f>""</f>
        <v/>
      </c>
      <c r="BF546" t="str">
        <f t="shared" si="262"/>
        <v>A</v>
      </c>
      <c r="BG546" t="str">
        <f>""</f>
        <v/>
      </c>
      <c r="BH546" t="str">
        <f>""</f>
        <v/>
      </c>
      <c r="BI546" t="str">
        <f t="shared" si="276"/>
        <v>EVENTUAL</v>
      </c>
      <c r="BJ546" t="str">
        <f t="shared" si="263"/>
        <v>1</v>
      </c>
      <c r="BK546" t="str">
        <f t="shared" si="264"/>
        <v>Farmacia</v>
      </c>
      <c r="BL546" t="str">
        <f>""</f>
        <v/>
      </c>
      <c r="BM546" t="str">
        <f>""</f>
        <v/>
      </c>
      <c r="BN546" t="str">
        <f>""</f>
        <v/>
      </c>
      <c r="BO546" t="str">
        <f>""</f>
        <v/>
      </c>
      <c r="BP546" t="str">
        <f>""</f>
        <v/>
      </c>
      <c r="BQ546" t="str">
        <f>""</f>
        <v/>
      </c>
      <c r="BR546" t="str">
        <f>"11/07/2023"</f>
        <v>11/07/2023</v>
      </c>
      <c r="BS546" t="str">
        <f>""</f>
        <v/>
      </c>
      <c r="BT546" t="str">
        <f>""</f>
        <v/>
      </c>
      <c r="BU546" t="str">
        <f>""</f>
        <v/>
      </c>
      <c r="BV546" t="str">
        <f>""</f>
        <v/>
      </c>
      <c r="BW546" t="str">
        <f>"Não visitado"</f>
        <v>Não visitado</v>
      </c>
    </row>
    <row r="547" spans="1:75" x14ac:dyDescent="0.35">
      <c r="A547">
        <v>144636</v>
      </c>
      <c r="B547" t="str">
        <f t="shared" si="259"/>
        <v>A</v>
      </c>
      <c r="C547" t="str">
        <f t="shared" si="260"/>
        <v>80</v>
      </c>
      <c r="D547" t="str">
        <f t="shared" si="254"/>
        <v>11121002</v>
      </c>
      <c r="E547" t="str">
        <f t="shared" si="255"/>
        <v>121002</v>
      </c>
      <c r="F547" t="str">
        <f t="shared" si="256"/>
        <v>CINTHIA NORONHA</v>
      </c>
      <c r="G547" t="str">
        <f>"31106346000100"</f>
        <v>31106346000100</v>
      </c>
      <c r="H547" t="str">
        <f>""</f>
        <v/>
      </c>
      <c r="I547" t="str">
        <f t="shared" si="261"/>
        <v>CONTA OPTICA</v>
      </c>
      <c r="J547" t="str">
        <f>"ALINE MAFFIOLETTI CONSTANTE"</f>
        <v>ALINE MAFFIOLETTI CONSTANTE</v>
      </c>
      <c r="K547" t="str">
        <f>"OTICA CARMESIM (4138)"</f>
        <v>OTICA CARMESIM (4138)</v>
      </c>
      <c r="L547" t="str">
        <f>""</f>
        <v/>
      </c>
      <c r="M547" t="str">
        <f>""</f>
        <v/>
      </c>
      <c r="N547" t="str">
        <f>"oticacarmesim@hotmail.com"</f>
        <v>oticacarmesim@hotmail.com</v>
      </c>
      <c r="O547" t="str">
        <f>""</f>
        <v/>
      </c>
      <c r="P547" t="str">
        <f>"RUA ENGENHEIRO LOJA"</f>
        <v>RUA ENGENHEIRO LOJA</v>
      </c>
      <c r="Q547" t="str">
        <f>"56"</f>
        <v>56</v>
      </c>
      <c r="R547" t="str">
        <f>"SL2"</f>
        <v>SL2</v>
      </c>
      <c r="S547" t="str">
        <f>""</f>
        <v/>
      </c>
      <c r="T547" t="str">
        <f>"88813320"</f>
        <v>88813320</v>
      </c>
      <c r="U547" t="str">
        <f>"PROSPERA"</f>
        <v>PROSPERA</v>
      </c>
      <c r="V547" t="str">
        <f>"CRICIÚMA"</f>
        <v>CRICIÚMA</v>
      </c>
      <c r="W547" t="str">
        <f t="shared" si="267"/>
        <v>SC</v>
      </c>
      <c r="X547" t="str">
        <f t="shared" si="273"/>
        <v>48</v>
      </c>
      <c r="Y547" t="str">
        <f>"30560718"</f>
        <v>30560718</v>
      </c>
      <c r="Z547" t="str">
        <f>""</f>
        <v/>
      </c>
      <c r="AA547" t="str">
        <f>""</f>
        <v/>
      </c>
      <c r="AB547" t="str">
        <f>""</f>
        <v/>
      </c>
      <c r="AC547" t="str">
        <f>""</f>
        <v/>
      </c>
      <c r="AD547" t="str">
        <f>""</f>
        <v/>
      </c>
      <c r="AE547" t="str">
        <f>""</f>
        <v/>
      </c>
      <c r="AF547" t="str">
        <f>""</f>
        <v/>
      </c>
      <c r="AG547" t="str">
        <f>""</f>
        <v/>
      </c>
      <c r="AH547" t="str">
        <f>""</f>
        <v/>
      </c>
      <c r="AI547" t="str">
        <f>""</f>
        <v/>
      </c>
      <c r="AJ547" t="str">
        <f t="shared" ref="AJ547:AL551" si="277">"0"</f>
        <v>0</v>
      </c>
      <c r="AK547" t="str">
        <f t="shared" si="277"/>
        <v>0</v>
      </c>
      <c r="AL547" t="str">
        <f t="shared" si="277"/>
        <v>0</v>
      </c>
      <c r="AM547" t="str">
        <f>""</f>
        <v/>
      </c>
      <c r="AN547" t="str">
        <f>""</f>
        <v/>
      </c>
      <c r="AO547" t="str">
        <f>""</f>
        <v/>
      </c>
      <c r="AP547" t="str">
        <f>""</f>
        <v/>
      </c>
      <c r="AQ547" t="str">
        <f>""</f>
        <v/>
      </c>
      <c r="AR547" t="str">
        <f>""</f>
        <v/>
      </c>
      <c r="AS547" t="str">
        <f>""</f>
        <v/>
      </c>
      <c r="AT547" t="str">
        <f>""</f>
        <v/>
      </c>
      <c r="AU547" t="str">
        <f>""</f>
        <v/>
      </c>
      <c r="AV547" t="str">
        <f>""</f>
        <v/>
      </c>
      <c r="AW547" t="str">
        <f>""</f>
        <v/>
      </c>
      <c r="AX547" t="str">
        <f>""</f>
        <v/>
      </c>
      <c r="AY547" t="str">
        <f>""</f>
        <v/>
      </c>
      <c r="AZ547" t="str">
        <f>""</f>
        <v/>
      </c>
      <c r="BA547" t="str">
        <f>""</f>
        <v/>
      </c>
      <c r="BB547" t="str">
        <f>""</f>
        <v/>
      </c>
      <c r="BC547" t="str">
        <f>""</f>
        <v/>
      </c>
      <c r="BD547" t="str">
        <f>""</f>
        <v/>
      </c>
      <c r="BE547" t="str">
        <f>""</f>
        <v/>
      </c>
      <c r="BF547" t="str">
        <f t="shared" si="262"/>
        <v>A</v>
      </c>
      <c r="BG547" t="str">
        <f t="shared" ref="BG547:BH551" si="278">"0,00"</f>
        <v>0,00</v>
      </c>
      <c r="BH547" t="str">
        <f t="shared" si="278"/>
        <v>0,00</v>
      </c>
      <c r="BI547" t="str">
        <f t="shared" si="276"/>
        <v>EVENTUAL</v>
      </c>
      <c r="BJ547" t="str">
        <f t="shared" si="263"/>
        <v>1</v>
      </c>
      <c r="BK547" t="str">
        <f t="shared" si="264"/>
        <v>Farmacia</v>
      </c>
      <c r="BL547" t="str">
        <f>""</f>
        <v/>
      </c>
      <c r="BM547" t="str">
        <f>"NÃO É VARILUX ESPECIALISTA"</f>
        <v>NÃO É VARILUX ESPECIALISTA</v>
      </c>
      <c r="BN547" t="str">
        <f>"NA"</f>
        <v>NA</v>
      </c>
      <c r="BO547" t="str">
        <f>"OUTROS"</f>
        <v>OUTROS</v>
      </c>
      <c r="BP547" t="str">
        <f>""</f>
        <v/>
      </c>
      <c r="BQ547" t="str">
        <f>""</f>
        <v/>
      </c>
      <c r="BR547" t="str">
        <f>""</f>
        <v/>
      </c>
      <c r="BS547" t="str">
        <f>""</f>
        <v/>
      </c>
      <c r="BT547" t="str">
        <f>""</f>
        <v/>
      </c>
      <c r="BU547" t="str">
        <f>""</f>
        <v/>
      </c>
      <c r="BV547" t="str">
        <f>"9"</f>
        <v>9</v>
      </c>
      <c r="BW547" t="str">
        <f>"Não visitado"</f>
        <v>Não visitado</v>
      </c>
    </row>
    <row r="548" spans="1:75" x14ac:dyDescent="0.35">
      <c r="A548">
        <v>77</v>
      </c>
      <c r="B548" t="str">
        <f t="shared" si="259"/>
        <v>A</v>
      </c>
      <c r="C548" t="str">
        <f t="shared" si="260"/>
        <v>80</v>
      </c>
      <c r="D548" t="str">
        <f t="shared" si="254"/>
        <v>11121002</v>
      </c>
      <c r="E548" t="str">
        <f t="shared" si="255"/>
        <v>121002</v>
      </c>
      <c r="F548" t="str">
        <f t="shared" si="256"/>
        <v>CINTHIA NORONHA</v>
      </c>
      <c r="G548" t="str">
        <f>"06910454000186"</f>
        <v>06910454000186</v>
      </c>
      <c r="H548" t="str">
        <f>""</f>
        <v/>
      </c>
      <c r="I548" t="str">
        <f t="shared" si="261"/>
        <v>CONTA OPTICA</v>
      </c>
      <c r="J548" t="str">
        <f>"ALINE SILVA DE SOUZA ME"</f>
        <v>ALINE SILVA DE SOUZA ME</v>
      </c>
      <c r="K548" t="str">
        <f>"ALINE JOIAS (2065)"</f>
        <v>ALINE JOIAS (2065)</v>
      </c>
      <c r="L548" t="str">
        <f>""</f>
        <v/>
      </c>
      <c r="M548" t="str">
        <f>""</f>
        <v/>
      </c>
      <c r="N548" t="str">
        <f>"alinejoias@hotmail.com"</f>
        <v>alinejoias@hotmail.com</v>
      </c>
      <c r="O548" t="str">
        <f>""</f>
        <v/>
      </c>
      <c r="P548" t="str">
        <f>"RUA PADRE BERNARDO FREUSER"</f>
        <v>RUA PADRE BERNARDO FREUSER</v>
      </c>
      <c r="Q548" t="str">
        <f>"75"</f>
        <v>75</v>
      </c>
      <c r="R548" t="str">
        <f>""</f>
        <v/>
      </c>
      <c r="S548" t="str">
        <f>"1268"</f>
        <v>1268</v>
      </c>
      <c r="T548" t="str">
        <f>"88701140"</f>
        <v>88701140</v>
      </c>
      <c r="U548" t="str">
        <f>"CENTRO"</f>
        <v>CENTRO</v>
      </c>
      <c r="V548" t="str">
        <f>"TUBARÃO"</f>
        <v>TUBARÃO</v>
      </c>
      <c r="W548" t="str">
        <f t="shared" si="267"/>
        <v>SC</v>
      </c>
      <c r="X548" t="str">
        <f t="shared" si="273"/>
        <v>48</v>
      </c>
      <c r="Y548" t="str">
        <f>"36324632"</f>
        <v>36324632</v>
      </c>
      <c r="Z548" t="str">
        <f>""</f>
        <v/>
      </c>
      <c r="AA548" t="str">
        <f>""</f>
        <v/>
      </c>
      <c r="AB548" t="str">
        <f>""</f>
        <v/>
      </c>
      <c r="AC548" t="str">
        <f>""</f>
        <v/>
      </c>
      <c r="AD548" t="str">
        <f>""</f>
        <v/>
      </c>
      <c r="AE548" t="str">
        <f>""</f>
        <v/>
      </c>
      <c r="AF548" t="str">
        <f>""</f>
        <v/>
      </c>
      <c r="AG548" t="str">
        <f>""</f>
        <v/>
      </c>
      <c r="AH548" t="str">
        <f>""</f>
        <v/>
      </c>
      <c r="AI548" t="str">
        <f>""</f>
        <v/>
      </c>
      <c r="AJ548" t="str">
        <f t="shared" si="277"/>
        <v>0</v>
      </c>
      <c r="AK548" t="str">
        <f t="shared" si="277"/>
        <v>0</v>
      </c>
      <c r="AL548" t="str">
        <f t="shared" si="277"/>
        <v>0</v>
      </c>
      <c r="AM548" t="str">
        <f>""</f>
        <v/>
      </c>
      <c r="AN548" t="str">
        <f>""</f>
        <v/>
      </c>
      <c r="AO548" t="str">
        <f>""</f>
        <v/>
      </c>
      <c r="AP548" t="str">
        <f>""</f>
        <v/>
      </c>
      <c r="AQ548" t="str">
        <f>""</f>
        <v/>
      </c>
      <c r="AR548" t="str">
        <f>""</f>
        <v/>
      </c>
      <c r="AS548" t="str">
        <f>""</f>
        <v/>
      </c>
      <c r="AT548" t="str">
        <f>""</f>
        <v/>
      </c>
      <c r="AU548" t="str">
        <f>""</f>
        <v/>
      </c>
      <c r="AV548" t="str">
        <f>""</f>
        <v/>
      </c>
      <c r="AW548" t="str">
        <f>""</f>
        <v/>
      </c>
      <c r="AX548" t="str">
        <f>""</f>
        <v/>
      </c>
      <c r="AY548" t="str">
        <f>""</f>
        <v/>
      </c>
      <c r="AZ548" t="str">
        <f>""</f>
        <v/>
      </c>
      <c r="BA548" t="str">
        <f>""</f>
        <v/>
      </c>
      <c r="BB548" t="str">
        <f>"27/07/2018 09:25:32"</f>
        <v>27/07/2018 09:25:32</v>
      </c>
      <c r="BC548" t="str">
        <f>""</f>
        <v/>
      </c>
      <c r="BD548" t="str">
        <f>""</f>
        <v/>
      </c>
      <c r="BE548" t="str">
        <f>"77"</f>
        <v>77</v>
      </c>
      <c r="BF548" t="str">
        <f t="shared" si="262"/>
        <v>A</v>
      </c>
      <c r="BG548" t="str">
        <f t="shared" si="278"/>
        <v>0,00</v>
      </c>
      <c r="BH548" t="str">
        <f t="shared" si="278"/>
        <v>0,00</v>
      </c>
      <c r="BI548" t="str">
        <f t="shared" si="276"/>
        <v>EVENTUAL</v>
      </c>
      <c r="BJ548" t="str">
        <f t="shared" si="263"/>
        <v>1</v>
      </c>
      <c r="BK548" t="str">
        <f t="shared" si="264"/>
        <v>Farmacia</v>
      </c>
      <c r="BL548" t="str">
        <f>""</f>
        <v/>
      </c>
      <c r="BM548" t="str">
        <f>"VARILUX ESPECIALISTA SELECT"</f>
        <v>VARILUX ESPECIALISTA SELECT</v>
      </c>
      <c r="BN548" t="str">
        <f>"NA"</f>
        <v>NA</v>
      </c>
      <c r="BO548" t="str">
        <f>"FOCO VARILUX"</f>
        <v>FOCO VARILUX</v>
      </c>
      <c r="BP548" t="str">
        <f>""</f>
        <v/>
      </c>
      <c r="BQ548" t="str">
        <f>""</f>
        <v/>
      </c>
      <c r="BR548" t="str">
        <f>"27/07/2018"</f>
        <v>27/07/2018</v>
      </c>
      <c r="BS548" t="str">
        <f>""</f>
        <v/>
      </c>
      <c r="BT548" t="str">
        <f>""</f>
        <v/>
      </c>
      <c r="BU548" t="str">
        <f>""</f>
        <v/>
      </c>
      <c r="BV548" t="str">
        <f>"5"</f>
        <v>5</v>
      </c>
      <c r="BW548" t="str">
        <f>"128"</f>
        <v>128</v>
      </c>
    </row>
    <row r="549" spans="1:75" x14ac:dyDescent="0.35">
      <c r="A549">
        <v>151667</v>
      </c>
      <c r="B549" t="str">
        <f t="shared" si="259"/>
        <v>A</v>
      </c>
      <c r="C549" t="str">
        <f t="shared" si="260"/>
        <v>80</v>
      </c>
      <c r="D549" t="str">
        <f t="shared" si="254"/>
        <v>11121002</v>
      </c>
      <c r="E549" t="str">
        <f t="shared" si="255"/>
        <v>121002</v>
      </c>
      <c r="F549" t="str">
        <f t="shared" si="256"/>
        <v>CINTHIA NORONHA</v>
      </c>
      <c r="G549" t="str">
        <f>"04008746000100"</f>
        <v>04008746000100</v>
      </c>
      <c r="H549" t="str">
        <f>"0"</f>
        <v>0</v>
      </c>
      <c r="I549" t="str">
        <f t="shared" si="261"/>
        <v>CONTA OPTICA</v>
      </c>
      <c r="J549" t="str">
        <f>"ALMIRIA SPERLING CANDIDO"</f>
        <v>ALMIRIA SPERLING CANDIDO</v>
      </c>
      <c r="K549" t="str">
        <f>"IMPERIO (4570)"</f>
        <v>IMPERIO (4570)</v>
      </c>
      <c r="L549" t="str">
        <f>""</f>
        <v/>
      </c>
      <c r="M549" t="str">
        <f>""</f>
        <v/>
      </c>
      <c r="N549" t="str">
        <f>"imperio.or@outlook.com"</f>
        <v>imperio.or@outlook.com</v>
      </c>
      <c r="O549" t="str">
        <f>""</f>
        <v/>
      </c>
      <c r="P549" t="str">
        <f>"RUA EDUARDO BERGMANN"</f>
        <v>RUA EDUARDO BERGMANN</v>
      </c>
      <c r="Q549" t="str">
        <f>"255"</f>
        <v>255</v>
      </c>
      <c r="R549" t="str">
        <f>"SALA 02"</f>
        <v>SALA 02</v>
      </c>
      <c r="S549" t="str">
        <f>""</f>
        <v/>
      </c>
      <c r="T549" t="str">
        <f>"88835000"</f>
        <v>88835000</v>
      </c>
      <c r="U549" t="str">
        <f>"ESTAÇÃO COCAL"</f>
        <v>ESTAÇÃO COCAL</v>
      </c>
      <c r="V549" t="str">
        <f>"ESTAÇÃO COCAL"</f>
        <v>ESTAÇÃO COCAL</v>
      </c>
      <c r="W549" t="str">
        <f t="shared" si="267"/>
        <v>SC</v>
      </c>
      <c r="X549" t="str">
        <f t="shared" si="273"/>
        <v>48</v>
      </c>
      <c r="Y549" t="str">
        <f>"999287344"</f>
        <v>999287344</v>
      </c>
      <c r="Z549" t="str">
        <f>""</f>
        <v/>
      </c>
      <c r="AA549" t="str">
        <f>""</f>
        <v/>
      </c>
      <c r="AB549" t="str">
        <f>""</f>
        <v/>
      </c>
      <c r="AC549" t="str">
        <f>""</f>
        <v/>
      </c>
      <c r="AD549" t="str">
        <f>""</f>
        <v/>
      </c>
      <c r="AE549" t="str">
        <f>""</f>
        <v/>
      </c>
      <c r="AF549" t="str">
        <f>""</f>
        <v/>
      </c>
      <c r="AG549" t="str">
        <f>""</f>
        <v/>
      </c>
      <c r="AH549" t="str">
        <f>""</f>
        <v/>
      </c>
      <c r="AI549" t="str">
        <f>""</f>
        <v/>
      </c>
      <c r="AJ549" t="str">
        <f t="shared" si="277"/>
        <v>0</v>
      </c>
      <c r="AK549" t="str">
        <f t="shared" si="277"/>
        <v>0</v>
      </c>
      <c r="AL549" t="str">
        <f t="shared" si="277"/>
        <v>0</v>
      </c>
      <c r="AM549" t="str">
        <f>""</f>
        <v/>
      </c>
      <c r="AN549" t="str">
        <f>""</f>
        <v/>
      </c>
      <c r="AO549" t="str">
        <f>""</f>
        <v/>
      </c>
      <c r="AP549" t="str">
        <f>""</f>
        <v/>
      </c>
      <c r="AQ549" t="str">
        <f>""</f>
        <v/>
      </c>
      <c r="AR549" t="str">
        <f>""</f>
        <v/>
      </c>
      <c r="AS549" t="str">
        <f>""</f>
        <v/>
      </c>
      <c r="AT549" t="str">
        <f>""</f>
        <v/>
      </c>
      <c r="AU549" t="str">
        <f>""</f>
        <v/>
      </c>
      <c r="AV549" t="str">
        <f>""</f>
        <v/>
      </c>
      <c r="AW549" t="str">
        <f>""</f>
        <v/>
      </c>
      <c r="AX549" t="str">
        <f>""</f>
        <v/>
      </c>
      <c r="AY549" t="str">
        <f>""</f>
        <v/>
      </c>
      <c r="AZ549" t="str">
        <f>""</f>
        <v/>
      </c>
      <c r="BA549" t="str">
        <f>""</f>
        <v/>
      </c>
      <c r="BB549" t="str">
        <f>"18/11/2022 14:22:14"</f>
        <v>18/11/2022 14:22:14</v>
      </c>
      <c r="BC549" t="str">
        <f>""</f>
        <v/>
      </c>
      <c r="BD549" t="str">
        <f>""</f>
        <v/>
      </c>
      <c r="BE549" t="str">
        <f>""</f>
        <v/>
      </c>
      <c r="BF549" t="str">
        <f t="shared" si="262"/>
        <v>A</v>
      </c>
      <c r="BG549" t="str">
        <f t="shared" si="278"/>
        <v>0,00</v>
      </c>
      <c r="BH549" t="str">
        <f t="shared" si="278"/>
        <v>0,00</v>
      </c>
      <c r="BI549" t="str">
        <f t="shared" si="276"/>
        <v>EVENTUAL</v>
      </c>
      <c r="BJ549" t="str">
        <f t="shared" si="263"/>
        <v>1</v>
      </c>
      <c r="BK549" t="str">
        <f t="shared" si="264"/>
        <v>Farmacia</v>
      </c>
      <c r="BL549" t="str">
        <f>""</f>
        <v/>
      </c>
      <c r="BM549" t="str">
        <f>"NÃO É VARILUX ESPECIALISTA"</f>
        <v>NÃO É VARILUX ESPECIALISTA</v>
      </c>
      <c r="BN549" t="str">
        <f>""</f>
        <v/>
      </c>
      <c r="BO549" t="str">
        <f>""</f>
        <v/>
      </c>
      <c r="BP549" t="str">
        <f>""</f>
        <v/>
      </c>
      <c r="BQ549" t="str">
        <f>""</f>
        <v/>
      </c>
      <c r="BR549" t="str">
        <f>"18/11/2022"</f>
        <v>18/11/2022</v>
      </c>
      <c r="BS549" t="str">
        <f>""</f>
        <v/>
      </c>
      <c r="BT549" t="str">
        <f>""</f>
        <v/>
      </c>
      <c r="BU549" t="str">
        <f>""</f>
        <v/>
      </c>
      <c r="BV549" t="str">
        <f>""</f>
        <v/>
      </c>
      <c r="BW549" t="str">
        <f>"Não visitado"</f>
        <v>Não visitado</v>
      </c>
    </row>
    <row r="550" spans="1:75" x14ac:dyDescent="0.35">
      <c r="A550">
        <v>398</v>
      </c>
      <c r="B550" t="str">
        <f t="shared" si="259"/>
        <v>A</v>
      </c>
      <c r="C550" t="str">
        <f t="shared" si="260"/>
        <v>80</v>
      </c>
      <c r="D550" t="str">
        <f t="shared" si="254"/>
        <v>11121002</v>
      </c>
      <c r="E550" t="str">
        <f t="shared" si="255"/>
        <v>121002</v>
      </c>
      <c r="F550" t="str">
        <f t="shared" si="256"/>
        <v>CINTHIA NORONHA</v>
      </c>
      <c r="G550" t="str">
        <f>"05608012000117"</f>
        <v>05608012000117</v>
      </c>
      <c r="H550" t="str">
        <f>""</f>
        <v/>
      </c>
      <c r="I550" t="str">
        <f t="shared" si="261"/>
        <v>CONTA OPTICA</v>
      </c>
      <c r="J550" t="str">
        <f>"ALVORADA COMERCIO DE PRODUTOS OTICOS LTDA ME"</f>
        <v>ALVORADA COMERCIO DE PRODUTOS OTICOS LTDA ME</v>
      </c>
      <c r="K550" t="str">
        <f>"OTICA MENINA DOS OLHOS (1329)"</f>
        <v>OTICA MENINA DOS OLHOS (1329)</v>
      </c>
      <c r="L550" t="str">
        <f>""</f>
        <v/>
      </c>
      <c r="M550" t="str">
        <f>""</f>
        <v/>
      </c>
      <c r="N550" t="str">
        <f>"oticameninadosolhos_adm@hotmail.com"</f>
        <v>oticameninadosolhos_adm@hotmail.com</v>
      </c>
      <c r="O550" t="str">
        <f>""</f>
        <v/>
      </c>
      <c r="P550" t="str">
        <f>"AVENIDA ANICETO ZACCHI"</f>
        <v>AVENIDA ANICETO ZACCHI</v>
      </c>
      <c r="Q550" t="str">
        <f>"561"</f>
        <v>561</v>
      </c>
      <c r="R550" t="str">
        <f>"LOJA 02"</f>
        <v>LOJA 02</v>
      </c>
      <c r="S550" t="str">
        <f>"1259"</f>
        <v>1259</v>
      </c>
      <c r="T550" t="str">
        <f>"88130301"</f>
        <v>88130301</v>
      </c>
      <c r="U550" t="str">
        <f>"PONTE DO IMARUIM"</f>
        <v>PONTE DO IMARUIM</v>
      </c>
      <c r="V550" t="str">
        <f>"PALHOÇA"</f>
        <v>PALHOÇA</v>
      </c>
      <c r="W550" t="str">
        <f t="shared" si="267"/>
        <v>SC</v>
      </c>
      <c r="X550" t="str">
        <f t="shared" si="273"/>
        <v>48</v>
      </c>
      <c r="Y550" t="str">
        <f>"32421057"</f>
        <v>32421057</v>
      </c>
      <c r="Z550" t="str">
        <f>""</f>
        <v/>
      </c>
      <c r="AA550" t="str">
        <f>""</f>
        <v/>
      </c>
      <c r="AB550" t="str">
        <f>""</f>
        <v/>
      </c>
      <c r="AC550" t="str">
        <f>""</f>
        <v/>
      </c>
      <c r="AD550" t="str">
        <f>""</f>
        <v/>
      </c>
      <c r="AE550" t="str">
        <f>""</f>
        <v/>
      </c>
      <c r="AF550" t="str">
        <f>""</f>
        <v/>
      </c>
      <c r="AG550" t="str">
        <f>""</f>
        <v/>
      </c>
      <c r="AH550" t="str">
        <f>""</f>
        <v/>
      </c>
      <c r="AI550" t="str">
        <f>""</f>
        <v/>
      </c>
      <c r="AJ550" t="str">
        <f t="shared" si="277"/>
        <v>0</v>
      </c>
      <c r="AK550" t="str">
        <f t="shared" si="277"/>
        <v>0</v>
      </c>
      <c r="AL550" t="str">
        <f t="shared" si="277"/>
        <v>0</v>
      </c>
      <c r="AM550" t="str">
        <f>""</f>
        <v/>
      </c>
      <c r="AN550" t="str">
        <f>""</f>
        <v/>
      </c>
      <c r="AO550" t="str">
        <f>""</f>
        <v/>
      </c>
      <c r="AP550" t="str">
        <f>""</f>
        <v/>
      </c>
      <c r="AQ550" t="str">
        <f>""</f>
        <v/>
      </c>
      <c r="AR550" t="str">
        <f>""</f>
        <v/>
      </c>
      <c r="AS550" t="str">
        <f>""</f>
        <v/>
      </c>
      <c r="AT550" t="str">
        <f>""</f>
        <v/>
      </c>
      <c r="AU550" t="str">
        <f>""</f>
        <v/>
      </c>
      <c r="AV550" t="str">
        <f>""</f>
        <v/>
      </c>
      <c r="AW550" t="str">
        <f>""</f>
        <v/>
      </c>
      <c r="AX550" t="str">
        <f>""</f>
        <v/>
      </c>
      <c r="AY550" t="str">
        <f>""</f>
        <v/>
      </c>
      <c r="AZ550" t="str">
        <f>""</f>
        <v/>
      </c>
      <c r="BA550" t="str">
        <f>""</f>
        <v/>
      </c>
      <c r="BB550" t="str">
        <f>"27/07/2018 09:25:41"</f>
        <v>27/07/2018 09:25:41</v>
      </c>
      <c r="BC550" t="str">
        <f>""</f>
        <v/>
      </c>
      <c r="BD550" t="str">
        <f>""</f>
        <v/>
      </c>
      <c r="BE550" t="str">
        <f>"398"</f>
        <v>398</v>
      </c>
      <c r="BF550" t="str">
        <f t="shared" si="262"/>
        <v>A</v>
      </c>
      <c r="BG550" t="str">
        <f t="shared" si="278"/>
        <v>0,00</v>
      </c>
      <c r="BH550" t="str">
        <f t="shared" si="278"/>
        <v>0,00</v>
      </c>
      <c r="BI550" t="str">
        <f t="shared" si="276"/>
        <v>EVENTUAL</v>
      </c>
      <c r="BJ550" t="str">
        <f t="shared" si="263"/>
        <v>1</v>
      </c>
      <c r="BK550" t="str">
        <f t="shared" si="264"/>
        <v>Farmacia</v>
      </c>
      <c r="BL550" t="str">
        <f>""</f>
        <v/>
      </c>
      <c r="BM550" t="str">
        <f>"NÃO É VARILUX ESPECIALISTA"</f>
        <v>NÃO É VARILUX ESPECIALISTA</v>
      </c>
      <c r="BN550" t="str">
        <f>"NA"</f>
        <v>NA</v>
      </c>
      <c r="BO550" t="str">
        <f>"FOCO VARILUX DIGITAL"</f>
        <v>FOCO VARILUX DIGITAL</v>
      </c>
      <c r="BP550" t="str">
        <f>""</f>
        <v/>
      </c>
      <c r="BQ550" t="str">
        <f>""</f>
        <v/>
      </c>
      <c r="BR550" t="str">
        <f>"27/07/2018"</f>
        <v>27/07/2018</v>
      </c>
      <c r="BS550" t="str">
        <f>""</f>
        <v/>
      </c>
      <c r="BT550" t="str">
        <f>""</f>
        <v/>
      </c>
      <c r="BU550" t="str">
        <f>""</f>
        <v/>
      </c>
      <c r="BV550" t="str">
        <f>"1"</f>
        <v>1</v>
      </c>
      <c r="BW550" t="str">
        <f>"30"</f>
        <v>30</v>
      </c>
    </row>
    <row r="551" spans="1:75" x14ac:dyDescent="0.35">
      <c r="A551">
        <v>134264</v>
      </c>
      <c r="B551" t="str">
        <f t="shared" si="259"/>
        <v>A</v>
      </c>
      <c r="C551" t="str">
        <f t="shared" si="260"/>
        <v>80</v>
      </c>
      <c r="D551" t="str">
        <f t="shared" si="254"/>
        <v>11121002</v>
      </c>
      <c r="E551" t="str">
        <f t="shared" si="255"/>
        <v>121002</v>
      </c>
      <c r="F551" t="str">
        <f t="shared" si="256"/>
        <v>CINTHIA NORONHA</v>
      </c>
      <c r="G551" t="str">
        <f>"26898780000122"</f>
        <v>26898780000122</v>
      </c>
      <c r="H551" t="str">
        <f>""</f>
        <v/>
      </c>
      <c r="I551" t="str">
        <f t="shared" si="261"/>
        <v>CONTA OPTICA</v>
      </c>
      <c r="J551" t="str">
        <f>"AMANDA YASMIM BARBOSA PINHEIRO"</f>
        <v>AMANDA YASMIM BARBOSA PINHEIRO</v>
      </c>
      <c r="K551" t="str">
        <f>"OTICA AMANDA (3808)"</f>
        <v>OTICA AMANDA (3808)</v>
      </c>
      <c r="L551" t="str">
        <f>""</f>
        <v/>
      </c>
      <c r="M551" t="str">
        <f>""</f>
        <v/>
      </c>
      <c r="N551" t="str">
        <f>"ruthrosapink@hotmail.com"</f>
        <v>ruthrosapink@hotmail.com</v>
      </c>
      <c r="O551" t="str">
        <f>""</f>
        <v/>
      </c>
      <c r="P551" t="str">
        <f>"RUA CORONEL TEIXEIRA OLIVEIRA"</f>
        <v>RUA CORONEL TEIXEIRA OLIVEIRA</v>
      </c>
      <c r="Q551" t="str">
        <f>"140"</f>
        <v>140</v>
      </c>
      <c r="R551" t="str">
        <f>""</f>
        <v/>
      </c>
      <c r="S551" t="str">
        <f>"1259"</f>
        <v>1259</v>
      </c>
      <c r="T551" t="str">
        <f>"88160130"</f>
        <v>88160130</v>
      </c>
      <c r="U551" t="str">
        <f t="shared" ref="U551:U556" si="279">"CENTRO"</f>
        <v>CENTRO</v>
      </c>
      <c r="V551" t="str">
        <f>"BIGUAÇU"</f>
        <v>BIGUAÇU</v>
      </c>
      <c r="W551" t="str">
        <f t="shared" si="267"/>
        <v>SC</v>
      </c>
      <c r="X551" t="str">
        <f t="shared" si="273"/>
        <v>48</v>
      </c>
      <c r="Y551" t="str">
        <f>"998319775"</f>
        <v>998319775</v>
      </c>
      <c r="Z551" t="str">
        <f>""</f>
        <v/>
      </c>
      <c r="AA551" t="str">
        <f>""</f>
        <v/>
      </c>
      <c r="AB551" t="str">
        <f>""</f>
        <v/>
      </c>
      <c r="AC551" t="str">
        <f>""</f>
        <v/>
      </c>
      <c r="AD551" t="str">
        <f>""</f>
        <v/>
      </c>
      <c r="AE551" t="str">
        <f>""</f>
        <v/>
      </c>
      <c r="AF551" t="str">
        <f>""</f>
        <v/>
      </c>
      <c r="AG551" t="str">
        <f>"S"</f>
        <v>S</v>
      </c>
      <c r="AH551" t="str">
        <f>""</f>
        <v/>
      </c>
      <c r="AI551" t="str">
        <f>""</f>
        <v/>
      </c>
      <c r="AJ551" t="str">
        <f t="shared" si="277"/>
        <v>0</v>
      </c>
      <c r="AK551" t="str">
        <f t="shared" si="277"/>
        <v>0</v>
      </c>
      <c r="AL551" t="str">
        <f t="shared" si="277"/>
        <v>0</v>
      </c>
      <c r="AM551" t="str">
        <f>""</f>
        <v/>
      </c>
      <c r="AN551" t="str">
        <f>""</f>
        <v/>
      </c>
      <c r="AO551" t="str">
        <f>""</f>
        <v/>
      </c>
      <c r="AP551" t="str">
        <f>""</f>
        <v/>
      </c>
      <c r="AQ551" t="str">
        <f>"N"</f>
        <v>N</v>
      </c>
      <c r="AR551" t="str">
        <f>"N"</f>
        <v>N</v>
      </c>
      <c r="AS551" t="str">
        <f>"N"</f>
        <v>N</v>
      </c>
      <c r="AT551" t="str">
        <f>"N"</f>
        <v>N</v>
      </c>
      <c r="AU551" t="str">
        <f>"N"</f>
        <v>N</v>
      </c>
      <c r="AV551" t="str">
        <f>""</f>
        <v/>
      </c>
      <c r="AW551" t="str">
        <f>""</f>
        <v/>
      </c>
      <c r="AX551" t="str">
        <f>""</f>
        <v/>
      </c>
      <c r="AY551" t="str">
        <f>""</f>
        <v/>
      </c>
      <c r="AZ551" t="str">
        <f>""</f>
        <v/>
      </c>
      <c r="BA551" t="str">
        <f>""</f>
        <v/>
      </c>
      <c r="BB551" t="str">
        <f>""</f>
        <v/>
      </c>
      <c r="BC551" t="str">
        <f>"05/04/2022 11:07:55"</f>
        <v>05/04/2022 11:07:55</v>
      </c>
      <c r="BD551" t="str">
        <f>""</f>
        <v/>
      </c>
      <c r="BE551" t="str">
        <f>""</f>
        <v/>
      </c>
      <c r="BF551" t="str">
        <f t="shared" si="262"/>
        <v>A</v>
      </c>
      <c r="BG551" t="str">
        <f t="shared" si="278"/>
        <v>0,00</v>
      </c>
      <c r="BH551" t="str">
        <f t="shared" si="278"/>
        <v>0,00</v>
      </c>
      <c r="BI551" t="str">
        <f t="shared" si="276"/>
        <v>EVENTUAL</v>
      </c>
      <c r="BJ551" t="str">
        <f t="shared" si="263"/>
        <v>1</v>
      </c>
      <c r="BK551" t="str">
        <f t="shared" si="264"/>
        <v>Farmacia</v>
      </c>
      <c r="BL551" t="str">
        <f>""</f>
        <v/>
      </c>
      <c r="BM551" t="str">
        <f>"NÃO É VARILUX ESPECIALISTA"</f>
        <v>NÃO É VARILUX ESPECIALISTA</v>
      </c>
      <c r="BN551" t="str">
        <f>"NA"</f>
        <v>NA</v>
      </c>
      <c r="BO551" t="str">
        <f>"FOCO KODAK 2"</f>
        <v>FOCO KODAK 2</v>
      </c>
      <c r="BP551" t="str">
        <f>""</f>
        <v/>
      </c>
      <c r="BQ551" t="str">
        <f>""</f>
        <v/>
      </c>
      <c r="BR551" t="str">
        <f>""</f>
        <v/>
      </c>
      <c r="BS551" t="str">
        <f>"05/04/2022"</f>
        <v>05/04/2022</v>
      </c>
      <c r="BT551" t="str">
        <f>""</f>
        <v/>
      </c>
      <c r="BU551" t="str">
        <f>""</f>
        <v/>
      </c>
      <c r="BV551" t="str">
        <f>"6"</f>
        <v>6</v>
      </c>
      <c r="BW551" t="str">
        <f>"4"</f>
        <v>4</v>
      </c>
    </row>
    <row r="552" spans="1:75" x14ac:dyDescent="0.35">
      <c r="A552">
        <v>134465</v>
      </c>
      <c r="B552" t="str">
        <f t="shared" si="259"/>
        <v>A</v>
      </c>
      <c r="C552" t="str">
        <f t="shared" si="260"/>
        <v>80</v>
      </c>
      <c r="D552" t="str">
        <f t="shared" si="254"/>
        <v>11121002</v>
      </c>
      <c r="E552" t="str">
        <f t="shared" si="255"/>
        <v>121002</v>
      </c>
      <c r="F552" t="str">
        <f t="shared" si="256"/>
        <v>CINTHIA NORONHA</v>
      </c>
      <c r="G552" t="str">
        <f>"12904971000145"</f>
        <v>12904971000145</v>
      </c>
      <c r="H552" t="str">
        <f>""</f>
        <v/>
      </c>
      <c r="I552" t="str">
        <f t="shared" si="261"/>
        <v>CONTA OPTICA</v>
      </c>
      <c r="J552" t="str">
        <f>"AMETISTA JOALHERIA E OTICA EIRELI EPP"</f>
        <v>AMETISTA JOALHERIA E OTICA EIRELI EPP</v>
      </c>
      <c r="K552" t="str">
        <f>"QUEVEDO (1820)"</f>
        <v>QUEVEDO (1820)</v>
      </c>
      <c r="L552" t="str">
        <f>""</f>
        <v/>
      </c>
      <c r="M552" t="str">
        <f>""</f>
        <v/>
      </c>
      <c r="N552" t="str">
        <f>"financeiro2@quevedo.com.br"</f>
        <v>financeiro2@quevedo.com.br</v>
      </c>
      <c r="O552" t="str">
        <f>""</f>
        <v/>
      </c>
      <c r="P552" t="str">
        <f>"RUA FELIPE SCHMIDT"</f>
        <v>RUA FELIPE SCHMIDT</v>
      </c>
      <c r="Q552" t="str">
        <f>"249"</f>
        <v>249</v>
      </c>
      <c r="R552" t="str">
        <f>"LOJA 112 ARS"</f>
        <v>LOJA 112 ARS</v>
      </c>
      <c r="S552" t="str">
        <f>"1254"</f>
        <v>1254</v>
      </c>
      <c r="T552" t="str">
        <f>"88010000"</f>
        <v>88010000</v>
      </c>
      <c r="U552" t="str">
        <f t="shared" si="279"/>
        <v>CENTRO</v>
      </c>
      <c r="V552" t="str">
        <f>"FLORIANOPOLIS"</f>
        <v>FLORIANOPOLIS</v>
      </c>
      <c r="W552" t="str">
        <f t="shared" si="267"/>
        <v>SC</v>
      </c>
      <c r="X552" t="str">
        <f t="shared" si="273"/>
        <v>48</v>
      </c>
      <c r="Y552" t="str">
        <f>"30287135"</f>
        <v>30287135</v>
      </c>
      <c r="Z552" t="str">
        <f>""</f>
        <v/>
      </c>
      <c r="AA552" t="str">
        <f>""</f>
        <v/>
      </c>
      <c r="AB552" t="str">
        <f>""</f>
        <v/>
      </c>
      <c r="AC552" t="str">
        <f>""</f>
        <v/>
      </c>
      <c r="AD552" t="str">
        <f>""</f>
        <v/>
      </c>
      <c r="AE552" t="str">
        <f>""</f>
        <v/>
      </c>
      <c r="AF552" t="str">
        <f>""</f>
        <v/>
      </c>
      <c r="AG552" t="str">
        <f>""</f>
        <v/>
      </c>
      <c r="AH552" t="str">
        <f>""</f>
        <v/>
      </c>
      <c r="AI552" t="str">
        <f>""</f>
        <v/>
      </c>
      <c r="AJ552" t="str">
        <f>""</f>
        <v/>
      </c>
      <c r="AK552" t="str">
        <f>""</f>
        <v/>
      </c>
      <c r="AL552" t="str">
        <f>""</f>
        <v/>
      </c>
      <c r="AM552" t="str">
        <f>""</f>
        <v/>
      </c>
      <c r="AN552" t="str">
        <f>""</f>
        <v/>
      </c>
      <c r="AO552" t="str">
        <f>""</f>
        <v/>
      </c>
      <c r="AP552" t="str">
        <f>""</f>
        <v/>
      </c>
      <c r="AQ552" t="str">
        <f>""</f>
        <v/>
      </c>
      <c r="AR552" t="str">
        <f>""</f>
        <v/>
      </c>
      <c r="AS552" t="str">
        <f>""</f>
        <v/>
      </c>
      <c r="AT552" t="str">
        <f>""</f>
        <v/>
      </c>
      <c r="AU552" t="str">
        <f>""</f>
        <v/>
      </c>
      <c r="AV552" t="str">
        <f>""</f>
        <v/>
      </c>
      <c r="AW552" t="str">
        <f>""</f>
        <v/>
      </c>
      <c r="AX552" t="str">
        <f>""</f>
        <v/>
      </c>
      <c r="AY552" t="str">
        <f>""</f>
        <v/>
      </c>
      <c r="AZ552" t="str">
        <f>""</f>
        <v/>
      </c>
      <c r="BA552" t="str">
        <f>""</f>
        <v/>
      </c>
      <c r="BB552" t="str">
        <f>""</f>
        <v/>
      </c>
      <c r="BC552" t="str">
        <f>""</f>
        <v/>
      </c>
      <c r="BD552" t="str">
        <f>""</f>
        <v/>
      </c>
      <c r="BE552" t="str">
        <f>""</f>
        <v/>
      </c>
      <c r="BF552" t="str">
        <f t="shared" si="262"/>
        <v>A</v>
      </c>
      <c r="BG552" t="str">
        <f>""</f>
        <v/>
      </c>
      <c r="BH552" t="str">
        <f>""</f>
        <v/>
      </c>
      <c r="BI552" t="str">
        <f t="shared" si="276"/>
        <v>EVENTUAL</v>
      </c>
      <c r="BJ552" t="str">
        <f t="shared" si="263"/>
        <v>1</v>
      </c>
      <c r="BK552" t="str">
        <f t="shared" si="264"/>
        <v>Farmacia</v>
      </c>
      <c r="BL552" t="str">
        <f>""</f>
        <v/>
      </c>
      <c r="BM552" t="str">
        <f>"NÃO É VARILUX ESPECIALISTA"</f>
        <v>NÃO É VARILUX ESPECIALISTA</v>
      </c>
      <c r="BN552" t="str">
        <f>"NA"</f>
        <v>NA</v>
      </c>
      <c r="BO552" t="str">
        <f>"FOCO VARILUX"</f>
        <v>FOCO VARILUX</v>
      </c>
      <c r="BP552" t="str">
        <f>""</f>
        <v/>
      </c>
      <c r="BQ552" t="str">
        <f>""</f>
        <v/>
      </c>
      <c r="BR552" t="str">
        <f>""</f>
        <v/>
      </c>
      <c r="BS552" t="str">
        <f>""</f>
        <v/>
      </c>
      <c r="BT552" t="str">
        <f>""</f>
        <v/>
      </c>
      <c r="BU552" t="str">
        <f>""</f>
        <v/>
      </c>
      <c r="BV552" t="str">
        <f>"3"</f>
        <v>3</v>
      </c>
      <c r="BW552" t="str">
        <f>"247"</f>
        <v>247</v>
      </c>
    </row>
    <row r="553" spans="1:75" x14ac:dyDescent="0.35">
      <c r="A553">
        <v>144821</v>
      </c>
      <c r="B553" t="str">
        <f t="shared" si="259"/>
        <v>A</v>
      </c>
      <c r="C553" t="str">
        <f t="shared" si="260"/>
        <v>80</v>
      </c>
      <c r="D553" t="str">
        <f t="shared" si="254"/>
        <v>11121002</v>
      </c>
      <c r="E553" t="str">
        <f t="shared" si="255"/>
        <v>121002</v>
      </c>
      <c r="F553" t="str">
        <f t="shared" si="256"/>
        <v>CINTHIA NORONHA</v>
      </c>
      <c r="G553" t="str">
        <f>"36392653000100"</f>
        <v>36392653000100</v>
      </c>
      <c r="H553" t="str">
        <f>""</f>
        <v/>
      </c>
      <c r="I553" t="str">
        <f t="shared" si="261"/>
        <v>CONTA OPTICA</v>
      </c>
      <c r="J553" t="str">
        <f>"AMR OPTICA COMERCIO VAREJISTA EIRELI"</f>
        <v>AMR OPTICA COMERCIO VAREJISTA EIRELI</v>
      </c>
      <c r="K553" t="str">
        <f>"MERCADAO DOS OCULOS (4354)"</f>
        <v>MERCADAO DOS OCULOS (4354)</v>
      </c>
      <c r="L553" t="str">
        <f>""</f>
        <v/>
      </c>
      <c r="M553" t="str">
        <f>""</f>
        <v/>
      </c>
      <c r="N553" t="str">
        <f>"mdoararangua@outlook.com"</f>
        <v>mdoararangua@outlook.com</v>
      </c>
      <c r="O553" t="str">
        <f>""</f>
        <v/>
      </c>
      <c r="P553" t="str">
        <f>"HERCILIO LUZ"</f>
        <v>HERCILIO LUZ</v>
      </c>
      <c r="Q553" t="str">
        <f>"320"</f>
        <v>320</v>
      </c>
      <c r="R553" t="str">
        <f>"SALA 01"</f>
        <v>SALA 01</v>
      </c>
      <c r="S553" t="str">
        <f>""</f>
        <v/>
      </c>
      <c r="T553" t="str">
        <f>"88900001"</f>
        <v>88900001</v>
      </c>
      <c r="U553" t="str">
        <f t="shared" si="279"/>
        <v>CENTRO</v>
      </c>
      <c r="V553" t="str">
        <f>"ARARANGUÁ"</f>
        <v>ARARANGUÁ</v>
      </c>
      <c r="W553" t="str">
        <f t="shared" si="267"/>
        <v>SC</v>
      </c>
      <c r="X553" t="str">
        <f t="shared" si="273"/>
        <v>48</v>
      </c>
      <c r="Y553" t="str">
        <f>"998353292"</f>
        <v>998353292</v>
      </c>
      <c r="Z553" t="str">
        <f>""</f>
        <v/>
      </c>
      <c r="AA553" t="str">
        <f>""</f>
        <v/>
      </c>
      <c r="AB553" t="str">
        <f>""</f>
        <v/>
      </c>
      <c r="AC553" t="str">
        <f>""</f>
        <v/>
      </c>
      <c r="AD553" t="str">
        <f>""</f>
        <v/>
      </c>
      <c r="AE553" t="str">
        <f>""</f>
        <v/>
      </c>
      <c r="AF553" t="str">
        <f>""</f>
        <v/>
      </c>
      <c r="AG553" t="str">
        <f>""</f>
        <v/>
      </c>
      <c r="AH553" t="str">
        <f>""</f>
        <v/>
      </c>
      <c r="AI553" t="str">
        <f>""</f>
        <v/>
      </c>
      <c r="AJ553" t="str">
        <f>"0"</f>
        <v>0</v>
      </c>
      <c r="AK553" t="str">
        <f>"0"</f>
        <v>0</v>
      </c>
      <c r="AL553" t="str">
        <f>"0"</f>
        <v>0</v>
      </c>
      <c r="AM553" t="str">
        <f>""</f>
        <v/>
      </c>
      <c r="AN553" t="str">
        <f>""</f>
        <v/>
      </c>
      <c r="AO553" t="str">
        <f>""</f>
        <v/>
      </c>
      <c r="AP553" t="str">
        <f>""</f>
        <v/>
      </c>
      <c r="AQ553" t="str">
        <f>""</f>
        <v/>
      </c>
      <c r="AR553" t="str">
        <f>""</f>
        <v/>
      </c>
      <c r="AS553" t="str">
        <f>""</f>
        <v/>
      </c>
      <c r="AT553" t="str">
        <f>""</f>
        <v/>
      </c>
      <c r="AU553" t="str">
        <f>""</f>
        <v/>
      </c>
      <c r="AV553" t="str">
        <f>""</f>
        <v/>
      </c>
      <c r="AW553" t="str">
        <f>""</f>
        <v/>
      </c>
      <c r="AX553" t="str">
        <f>""</f>
        <v/>
      </c>
      <c r="AY553" t="str">
        <f>""</f>
        <v/>
      </c>
      <c r="AZ553" t="str">
        <f>""</f>
        <v/>
      </c>
      <c r="BA553" t="str">
        <f>""</f>
        <v/>
      </c>
      <c r="BB553" t="str">
        <f>""</f>
        <v/>
      </c>
      <c r="BC553" t="str">
        <f>""</f>
        <v/>
      </c>
      <c r="BD553" t="str">
        <f>""</f>
        <v/>
      </c>
      <c r="BE553" t="str">
        <f>""</f>
        <v/>
      </c>
      <c r="BF553" t="str">
        <f t="shared" si="262"/>
        <v>A</v>
      </c>
      <c r="BG553" t="str">
        <f>"0,00"</f>
        <v>0,00</v>
      </c>
      <c r="BH553" t="str">
        <f>"0,00"</f>
        <v>0,00</v>
      </c>
      <c r="BI553" t="str">
        <f t="shared" si="276"/>
        <v>EVENTUAL</v>
      </c>
      <c r="BJ553" t="str">
        <f t="shared" si="263"/>
        <v>1</v>
      </c>
      <c r="BK553" t="str">
        <f t="shared" si="264"/>
        <v>Farmacia</v>
      </c>
      <c r="BL553" t="str">
        <f>""</f>
        <v/>
      </c>
      <c r="BM553" t="str">
        <f>"NÃO É VARILUX ESPECIALISTA"</f>
        <v>NÃO É VARILUX ESPECIALISTA</v>
      </c>
      <c r="BN553" t="str">
        <f>"NA"</f>
        <v>NA</v>
      </c>
      <c r="BO553" t="str">
        <f>"OUTROS"</f>
        <v>OUTROS</v>
      </c>
      <c r="BP553" t="str">
        <f>""</f>
        <v/>
      </c>
      <c r="BQ553" t="str">
        <f>""</f>
        <v/>
      </c>
      <c r="BR553" t="str">
        <f>""</f>
        <v/>
      </c>
      <c r="BS553" t="str">
        <f>""</f>
        <v/>
      </c>
      <c r="BT553" t="str">
        <f>""</f>
        <v/>
      </c>
      <c r="BU553" t="str">
        <f>""</f>
        <v/>
      </c>
      <c r="BV553" t="str">
        <f>""</f>
        <v/>
      </c>
      <c r="BW553" t="str">
        <f>"Não visitado"</f>
        <v>Não visitado</v>
      </c>
    </row>
    <row r="554" spans="1:75" x14ac:dyDescent="0.35">
      <c r="A554">
        <v>159568</v>
      </c>
      <c r="B554" t="str">
        <f t="shared" si="259"/>
        <v>A</v>
      </c>
      <c r="C554" t="str">
        <f t="shared" si="260"/>
        <v>80</v>
      </c>
      <c r="D554" t="str">
        <f t="shared" si="254"/>
        <v>11121002</v>
      </c>
      <c r="E554" t="str">
        <f t="shared" si="255"/>
        <v>121002</v>
      </c>
      <c r="F554" t="str">
        <f t="shared" si="256"/>
        <v>CINTHIA NORONHA</v>
      </c>
      <c r="G554" t="str">
        <f>"51330988000198"</f>
        <v>51330988000198</v>
      </c>
      <c r="H554" t="str">
        <f>""</f>
        <v/>
      </c>
      <c r="I554" t="str">
        <f t="shared" si="261"/>
        <v>CONTA OPTICA</v>
      </c>
      <c r="J554" t="str">
        <f>"ANA LIGIA DA CUNHA LTDA"</f>
        <v>ANA LIGIA DA CUNHA LTDA</v>
      </c>
      <c r="K554" t="str">
        <f>"OTICA SAO FRANCISCO (4783)"</f>
        <v>OTICA SAO FRANCISCO (4783)</v>
      </c>
      <c r="L554" t="str">
        <f>""</f>
        <v/>
      </c>
      <c r="M554" t="str">
        <f>""</f>
        <v/>
      </c>
      <c r="N554" t="str">
        <f>"ANALIGIACUNHA90@GMAIL.COM"</f>
        <v>ANALIGIACUNHA90@GMAIL.COM</v>
      </c>
      <c r="O554" t="str">
        <f>""</f>
        <v/>
      </c>
      <c r="P554" t="str">
        <f>"RUA PREFEITO JOSE KEHRIG"</f>
        <v>RUA PREFEITO JOSE KEHRIG</v>
      </c>
      <c r="Q554" t="str">
        <f>"5713"</f>
        <v>5713</v>
      </c>
      <c r="R554" t="str">
        <f>""</f>
        <v/>
      </c>
      <c r="S554" t="str">
        <f>"1259"</f>
        <v>1259</v>
      </c>
      <c r="T554" t="str">
        <f>"88140000"</f>
        <v>88140000</v>
      </c>
      <c r="U554" t="str">
        <f t="shared" si="279"/>
        <v>CENTRO</v>
      </c>
      <c r="V554" t="str">
        <f>"SANTO AMARO DA IMPERATRIZ"</f>
        <v>SANTO AMARO DA IMPERATRIZ</v>
      </c>
      <c r="W554" t="str">
        <f t="shared" si="267"/>
        <v>SC</v>
      </c>
      <c r="X554" t="str">
        <f t="shared" si="273"/>
        <v>48</v>
      </c>
      <c r="Y554" t="str">
        <f>"998167745"</f>
        <v>998167745</v>
      </c>
      <c r="Z554" t="str">
        <f>""</f>
        <v/>
      </c>
      <c r="AA554" t="str">
        <f>""</f>
        <v/>
      </c>
      <c r="AB554" t="str">
        <f>""</f>
        <v/>
      </c>
      <c r="AC554" t="str">
        <f>""</f>
        <v/>
      </c>
      <c r="AD554" t="str">
        <f>""</f>
        <v/>
      </c>
      <c r="AE554" t="str">
        <f>""</f>
        <v/>
      </c>
      <c r="AF554" t="str">
        <f>""</f>
        <v/>
      </c>
      <c r="AG554" t="str">
        <f>""</f>
        <v/>
      </c>
      <c r="AH554" t="str">
        <f>""</f>
        <v/>
      </c>
      <c r="AI554" t="str">
        <f>""</f>
        <v/>
      </c>
      <c r="AJ554" t="str">
        <f>""</f>
        <v/>
      </c>
      <c r="AK554" t="str">
        <f>""</f>
        <v/>
      </c>
      <c r="AL554" t="str">
        <f>""</f>
        <v/>
      </c>
      <c r="AM554" t="str">
        <f>""</f>
        <v/>
      </c>
      <c r="AN554" t="str">
        <f>""</f>
        <v/>
      </c>
      <c r="AO554" t="str">
        <f>""</f>
        <v/>
      </c>
      <c r="AP554" t="str">
        <f>""</f>
        <v/>
      </c>
      <c r="AQ554" t="str">
        <f>""</f>
        <v/>
      </c>
      <c r="AR554" t="str">
        <f>""</f>
        <v/>
      </c>
      <c r="AS554" t="str">
        <f>""</f>
        <v/>
      </c>
      <c r="AT554" t="str">
        <f>""</f>
        <v/>
      </c>
      <c r="AU554" t="str">
        <f>""</f>
        <v/>
      </c>
      <c r="AV554" t="str">
        <f>""</f>
        <v/>
      </c>
      <c r="AW554" t="str">
        <f>""</f>
        <v/>
      </c>
      <c r="AX554" t="str">
        <f>""</f>
        <v/>
      </c>
      <c r="AY554" t="str">
        <f>""</f>
        <v/>
      </c>
      <c r="AZ554" t="str">
        <f>""</f>
        <v/>
      </c>
      <c r="BA554" t="str">
        <f>""</f>
        <v/>
      </c>
      <c r="BB554" t="str">
        <f>"25/09/2023 11:47:13"</f>
        <v>25/09/2023 11:47:13</v>
      </c>
      <c r="BC554" t="str">
        <f>""</f>
        <v/>
      </c>
      <c r="BD554" t="str">
        <f>""</f>
        <v/>
      </c>
      <c r="BE554" t="str">
        <f>""</f>
        <v/>
      </c>
      <c r="BF554" t="str">
        <f t="shared" si="262"/>
        <v>A</v>
      </c>
      <c r="BG554" t="str">
        <f>""</f>
        <v/>
      </c>
      <c r="BH554" t="str">
        <f>""</f>
        <v/>
      </c>
      <c r="BI554" t="str">
        <f t="shared" si="276"/>
        <v>EVENTUAL</v>
      </c>
      <c r="BJ554" t="str">
        <f t="shared" si="263"/>
        <v>1</v>
      </c>
      <c r="BK554" t="str">
        <f t="shared" si="264"/>
        <v>Farmacia</v>
      </c>
      <c r="BL554" t="str">
        <f>""</f>
        <v/>
      </c>
      <c r="BM554" t="str">
        <f>""</f>
        <v/>
      </c>
      <c r="BN554" t="str">
        <f>""</f>
        <v/>
      </c>
      <c r="BO554" t="str">
        <f>""</f>
        <v/>
      </c>
      <c r="BP554" t="str">
        <f>""</f>
        <v/>
      </c>
      <c r="BQ554" t="str">
        <f>""</f>
        <v/>
      </c>
      <c r="BR554" t="str">
        <f>"25/09/2023"</f>
        <v>25/09/2023</v>
      </c>
      <c r="BS554" t="str">
        <f>""</f>
        <v/>
      </c>
      <c r="BT554" t="str">
        <f>""</f>
        <v/>
      </c>
      <c r="BU554" t="str">
        <f>""</f>
        <v/>
      </c>
      <c r="BV554" t="str">
        <f>""</f>
        <v/>
      </c>
      <c r="BW554" t="str">
        <f>"Não visitado"</f>
        <v>Não visitado</v>
      </c>
    </row>
    <row r="555" spans="1:75" x14ac:dyDescent="0.35">
      <c r="A555">
        <v>156878</v>
      </c>
      <c r="B555" t="str">
        <f t="shared" si="259"/>
        <v>A</v>
      </c>
      <c r="C555" t="str">
        <f t="shared" si="260"/>
        <v>80</v>
      </c>
      <c r="D555" t="str">
        <f t="shared" si="254"/>
        <v>11121002</v>
      </c>
      <c r="E555" t="str">
        <f t="shared" si="255"/>
        <v>121002</v>
      </c>
      <c r="F555" t="str">
        <f t="shared" si="256"/>
        <v>CINTHIA NORONHA</v>
      </c>
      <c r="G555" t="str">
        <f>"19501778000293"</f>
        <v>19501778000293</v>
      </c>
      <c r="H555" t="str">
        <f>"0"</f>
        <v>0</v>
      </c>
      <c r="I555" t="str">
        <f t="shared" si="261"/>
        <v>CONTA OPTICA</v>
      </c>
      <c r="J555" t="str">
        <f>"ANA TEREZA ABDON WAGNER"</f>
        <v>ANA TEREZA ABDON WAGNER</v>
      </c>
      <c r="K555" t="str">
        <f>"OTICAS ANELYSE (4306)"</f>
        <v>OTICAS ANELYSE (4306)</v>
      </c>
      <c r="L555" t="str">
        <f>""</f>
        <v/>
      </c>
      <c r="M555" t="str">
        <f>""</f>
        <v/>
      </c>
      <c r="N555" t="str">
        <f>"OTICASANELYSE@GMAIL.COM"</f>
        <v>OTICASANELYSE@GMAIL.COM</v>
      </c>
      <c r="O555" t="str">
        <f>""</f>
        <v/>
      </c>
      <c r="P555" t="str">
        <f>"BARAO DO RIO BRANCO"</f>
        <v>BARAO DO RIO BRANCO</v>
      </c>
      <c r="Q555" t="str">
        <f>"56"</f>
        <v>56</v>
      </c>
      <c r="R555" t="str">
        <f>"SALA 03"</f>
        <v>SALA 03</v>
      </c>
      <c r="S555" t="str">
        <f>"1259"</f>
        <v>1259</v>
      </c>
      <c r="T555" t="str">
        <f>"88130100"</f>
        <v>88130100</v>
      </c>
      <c r="U555" t="str">
        <f t="shared" si="279"/>
        <v>CENTRO</v>
      </c>
      <c r="V555" t="str">
        <f>"PALHOCA"</f>
        <v>PALHOCA</v>
      </c>
      <c r="W555" t="str">
        <f t="shared" si="267"/>
        <v>SC</v>
      </c>
      <c r="X555" t="str">
        <f t="shared" si="273"/>
        <v>48</v>
      </c>
      <c r="Y555" t="str">
        <f>"33721407"</f>
        <v>33721407</v>
      </c>
      <c r="Z555" t="str">
        <f>""</f>
        <v/>
      </c>
      <c r="AA555" t="str">
        <f>""</f>
        <v/>
      </c>
      <c r="AB555" t="str">
        <f>""</f>
        <v/>
      </c>
      <c r="AC555" t="str">
        <f>""</f>
        <v/>
      </c>
      <c r="AD555" t="str">
        <f>""</f>
        <v/>
      </c>
      <c r="AE555" t="str">
        <f>""</f>
        <v/>
      </c>
      <c r="AF555" t="str">
        <f>""</f>
        <v/>
      </c>
      <c r="AG555" t="str">
        <f>""</f>
        <v/>
      </c>
      <c r="AH555" t="str">
        <f>""</f>
        <v/>
      </c>
      <c r="AI555" t="str">
        <f>""</f>
        <v/>
      </c>
      <c r="AJ555" t="str">
        <f>""</f>
        <v/>
      </c>
      <c r="AK555" t="str">
        <f>""</f>
        <v/>
      </c>
      <c r="AL555" t="str">
        <f>""</f>
        <v/>
      </c>
      <c r="AM555" t="str">
        <f>""</f>
        <v/>
      </c>
      <c r="AN555" t="str">
        <f>""</f>
        <v/>
      </c>
      <c r="AO555" t="str">
        <f>""</f>
        <v/>
      </c>
      <c r="AP555" t="str">
        <f>""</f>
        <v/>
      </c>
      <c r="AQ555" t="str">
        <f>""</f>
        <v/>
      </c>
      <c r="AR555" t="str">
        <f>""</f>
        <v/>
      </c>
      <c r="AS555" t="str">
        <f>""</f>
        <v/>
      </c>
      <c r="AT555" t="str">
        <f>""</f>
        <v/>
      </c>
      <c r="AU555" t="str">
        <f>""</f>
        <v/>
      </c>
      <c r="AV555" t="str">
        <f>""</f>
        <v/>
      </c>
      <c r="AW555" t="str">
        <f>""</f>
        <v/>
      </c>
      <c r="AX555" t="str">
        <f>""</f>
        <v/>
      </c>
      <c r="AY555" t="str">
        <f>""</f>
        <v/>
      </c>
      <c r="AZ555" t="str">
        <f>""</f>
        <v/>
      </c>
      <c r="BA555" t="str">
        <f>""</f>
        <v/>
      </c>
      <c r="BB555" t="str">
        <f>"06/07/2023 12:07:48"</f>
        <v>06/07/2023 12:07:48</v>
      </c>
      <c r="BC555" t="str">
        <f>""</f>
        <v/>
      </c>
      <c r="BD555" t="str">
        <f>""</f>
        <v/>
      </c>
      <c r="BE555" t="str">
        <f>""</f>
        <v/>
      </c>
      <c r="BF555" t="str">
        <f t="shared" si="262"/>
        <v>A</v>
      </c>
      <c r="BG555" t="str">
        <f>""</f>
        <v/>
      </c>
      <c r="BH555" t="str">
        <f>""</f>
        <v/>
      </c>
      <c r="BI555" t="str">
        <f t="shared" si="276"/>
        <v>EVENTUAL</v>
      </c>
      <c r="BJ555" t="str">
        <f t="shared" si="263"/>
        <v>1</v>
      </c>
      <c r="BK555" t="str">
        <f t="shared" si="264"/>
        <v>Farmacia</v>
      </c>
      <c r="BL555" t="str">
        <f>""</f>
        <v/>
      </c>
      <c r="BM555" t="str">
        <f>""</f>
        <v/>
      </c>
      <c r="BN555" t="str">
        <f>""</f>
        <v/>
      </c>
      <c r="BO555" t="str">
        <f>""</f>
        <v/>
      </c>
      <c r="BP555" t="str">
        <f>""</f>
        <v/>
      </c>
      <c r="BQ555" t="str">
        <f>""</f>
        <v/>
      </c>
      <c r="BR555" t="str">
        <f>"06/07/2023"</f>
        <v>06/07/2023</v>
      </c>
      <c r="BS555" t="str">
        <f>""</f>
        <v/>
      </c>
      <c r="BT555" t="str">
        <f>""</f>
        <v/>
      </c>
      <c r="BU555" t="str">
        <f>""</f>
        <v/>
      </c>
      <c r="BV555" t="str">
        <f>""</f>
        <v/>
      </c>
      <c r="BW555" t="str">
        <f>"Não visitado"</f>
        <v>Não visitado</v>
      </c>
    </row>
    <row r="556" spans="1:75" x14ac:dyDescent="0.35">
      <c r="A556">
        <v>159572</v>
      </c>
      <c r="B556" t="str">
        <f t="shared" si="259"/>
        <v>A</v>
      </c>
      <c r="C556" t="str">
        <f t="shared" si="260"/>
        <v>80</v>
      </c>
      <c r="D556" t="str">
        <f t="shared" si="254"/>
        <v>11121002</v>
      </c>
      <c r="E556" t="str">
        <f t="shared" si="255"/>
        <v>121002</v>
      </c>
      <c r="F556" t="str">
        <f t="shared" si="256"/>
        <v>CINTHIA NORONHA</v>
      </c>
      <c r="G556" t="str">
        <f>"51815400000196"</f>
        <v>51815400000196</v>
      </c>
      <c r="H556" t="str">
        <f>""</f>
        <v/>
      </c>
      <c r="I556" t="str">
        <f t="shared" si="261"/>
        <v>CONTA OPTICA</v>
      </c>
      <c r="J556" t="str">
        <f>"ANDERSON ROGERIO BATISTA DE SIQUEIRA LTDA"</f>
        <v>ANDERSON ROGERIO BATISTA DE SIQUEIRA LTDA</v>
      </c>
      <c r="K556" t="str">
        <f>"CHILLI BEANS (4777)"</f>
        <v>CHILLI BEANS (4777)</v>
      </c>
      <c r="L556" t="str">
        <f>""</f>
        <v/>
      </c>
      <c r="M556" t="str">
        <f>""</f>
        <v/>
      </c>
      <c r="N556" t="str">
        <f>"ADM.FERRONATTOEPAZA@GMAIL.COM"</f>
        <v>ADM.FERRONATTOEPAZA@GMAIL.COM</v>
      </c>
      <c r="O556" t="str">
        <f>""</f>
        <v/>
      </c>
      <c r="P556" t="str">
        <f>"RUA R FELIPE SCHIMIDT"</f>
        <v>RUA R FELIPE SCHIMIDT</v>
      </c>
      <c r="Q556" t="str">
        <f>"367"</f>
        <v>367</v>
      </c>
      <c r="R556" t="str">
        <f>"SALA"</f>
        <v>SALA</v>
      </c>
      <c r="S556" t="str">
        <f>"1254"</f>
        <v>1254</v>
      </c>
      <c r="T556" t="str">
        <f>"88010000"</f>
        <v>88010000</v>
      </c>
      <c r="U556" t="str">
        <f t="shared" si="279"/>
        <v>CENTRO</v>
      </c>
      <c r="V556" t="str">
        <f>"FLORIANOPOLIS"</f>
        <v>FLORIANOPOLIS</v>
      </c>
      <c r="W556" t="str">
        <f t="shared" si="267"/>
        <v>SC</v>
      </c>
      <c r="X556" t="str">
        <f>"42"</f>
        <v>42</v>
      </c>
      <c r="Y556" t="str">
        <f>"998585101"</f>
        <v>998585101</v>
      </c>
      <c r="Z556" t="str">
        <f>""</f>
        <v/>
      </c>
      <c r="AA556" t="str">
        <f>""</f>
        <v/>
      </c>
      <c r="AB556" t="str">
        <f>""</f>
        <v/>
      </c>
      <c r="AC556" t="str">
        <f>""</f>
        <v/>
      </c>
      <c r="AD556" t="str">
        <f>""</f>
        <v/>
      </c>
      <c r="AE556" t="str">
        <f>""</f>
        <v/>
      </c>
      <c r="AF556" t="str">
        <f>""</f>
        <v/>
      </c>
      <c r="AG556" t="str">
        <f>""</f>
        <v/>
      </c>
      <c r="AH556" t="str">
        <f>""</f>
        <v/>
      </c>
      <c r="AI556" t="str">
        <f>""</f>
        <v/>
      </c>
      <c r="AJ556" t="str">
        <f>""</f>
        <v/>
      </c>
      <c r="AK556" t="str">
        <f>""</f>
        <v/>
      </c>
      <c r="AL556" t="str">
        <f>""</f>
        <v/>
      </c>
      <c r="AM556" t="str">
        <f>""</f>
        <v/>
      </c>
      <c r="AN556" t="str">
        <f>""</f>
        <v/>
      </c>
      <c r="AO556" t="str">
        <f>""</f>
        <v/>
      </c>
      <c r="AP556" t="str">
        <f>""</f>
        <v/>
      </c>
      <c r="AQ556" t="str">
        <f>""</f>
        <v/>
      </c>
      <c r="AR556" t="str">
        <f>""</f>
        <v/>
      </c>
      <c r="AS556" t="str">
        <f>""</f>
        <v/>
      </c>
      <c r="AT556" t="str">
        <f>""</f>
        <v/>
      </c>
      <c r="AU556" t="str">
        <f>""</f>
        <v/>
      </c>
      <c r="AV556" t="str">
        <f>""</f>
        <v/>
      </c>
      <c r="AW556" t="str">
        <f>""</f>
        <v/>
      </c>
      <c r="AX556" t="str">
        <f>""</f>
        <v/>
      </c>
      <c r="AY556" t="str">
        <f>""</f>
        <v/>
      </c>
      <c r="AZ556" t="str">
        <f>""</f>
        <v/>
      </c>
      <c r="BA556" t="str">
        <f>""</f>
        <v/>
      </c>
      <c r="BB556" t="str">
        <f>"25/09/2023 11:47:13"</f>
        <v>25/09/2023 11:47:13</v>
      </c>
      <c r="BC556" t="str">
        <f>""</f>
        <v/>
      </c>
      <c r="BD556" t="str">
        <f>""</f>
        <v/>
      </c>
      <c r="BE556" t="str">
        <f>""</f>
        <v/>
      </c>
      <c r="BF556" t="str">
        <f t="shared" si="262"/>
        <v>A</v>
      </c>
      <c r="BG556" t="str">
        <f>""</f>
        <v/>
      </c>
      <c r="BH556" t="str">
        <f>""</f>
        <v/>
      </c>
      <c r="BI556" t="str">
        <f t="shared" si="276"/>
        <v>EVENTUAL</v>
      </c>
      <c r="BJ556" t="str">
        <f t="shared" si="263"/>
        <v>1</v>
      </c>
      <c r="BK556" t="str">
        <f t="shared" si="264"/>
        <v>Farmacia</v>
      </c>
      <c r="BL556" t="str">
        <f>""</f>
        <v/>
      </c>
      <c r="BM556" t="str">
        <f>""</f>
        <v/>
      </c>
      <c r="BN556" t="str">
        <f>""</f>
        <v/>
      </c>
      <c r="BO556" t="str">
        <f>""</f>
        <v/>
      </c>
      <c r="BP556" t="str">
        <f>""</f>
        <v/>
      </c>
      <c r="BQ556" t="str">
        <f>""</f>
        <v/>
      </c>
      <c r="BR556" t="str">
        <f>"25/09/2023"</f>
        <v>25/09/2023</v>
      </c>
      <c r="BS556" t="str">
        <f>""</f>
        <v/>
      </c>
      <c r="BT556" t="str">
        <f>""</f>
        <v/>
      </c>
      <c r="BU556" t="str">
        <f>""</f>
        <v/>
      </c>
      <c r="BV556" t="str">
        <f>""</f>
        <v/>
      </c>
      <c r="BW556" t="str">
        <f>"Não visitado"</f>
        <v>Não visitado</v>
      </c>
    </row>
    <row r="557" spans="1:75" x14ac:dyDescent="0.35">
      <c r="A557">
        <v>159574</v>
      </c>
      <c r="B557" t="str">
        <f t="shared" si="259"/>
        <v>A</v>
      </c>
      <c r="C557" t="str">
        <f t="shared" si="260"/>
        <v>80</v>
      </c>
      <c r="D557" t="str">
        <f t="shared" si="254"/>
        <v>11121002</v>
      </c>
      <c r="E557" t="str">
        <f t="shared" si="255"/>
        <v>121002</v>
      </c>
      <c r="F557" t="str">
        <f t="shared" si="256"/>
        <v>CINTHIA NORONHA</v>
      </c>
      <c r="G557" t="str">
        <f>"51815400000277"</f>
        <v>51815400000277</v>
      </c>
      <c r="H557" t="str">
        <f>""</f>
        <v/>
      </c>
      <c r="I557" t="str">
        <f t="shared" si="261"/>
        <v>CONTA OPTICA</v>
      </c>
      <c r="J557" t="str">
        <f>"ANDERSON ROGERIO BATISTA DE SIQUEIRA LTDA"</f>
        <v>ANDERSON ROGERIO BATISTA DE SIQUEIRA LTDA</v>
      </c>
      <c r="K557" t="str">
        <f>"CHILLI BEANS  (4775)"</f>
        <v>CHILLI BEANS  (4775)</v>
      </c>
      <c r="L557" t="str">
        <f>""</f>
        <v/>
      </c>
      <c r="M557" t="str">
        <f>""</f>
        <v/>
      </c>
      <c r="N557" t="str">
        <f>"ADM.FERRONATTOEPAZA@GMAIL.COM"</f>
        <v>ADM.FERRONATTOEPAZA@GMAIL.COM</v>
      </c>
      <c r="O557" t="str">
        <f>""</f>
        <v/>
      </c>
      <c r="P557" t="str">
        <f>"ROD FRANCISCO MAGNO VIEIRA"</f>
        <v>ROD FRANCISCO MAGNO VIEIRA</v>
      </c>
      <c r="Q557" t="str">
        <f>"4397"</f>
        <v>4397</v>
      </c>
      <c r="R557" t="str">
        <f>"LOJA 07 - OKA F"</f>
        <v>LOJA 07 - OKA F</v>
      </c>
      <c r="S557" t="str">
        <f>""</f>
        <v/>
      </c>
      <c r="T557" t="str">
        <f>"88065000"</f>
        <v>88065000</v>
      </c>
      <c r="U557" t="str">
        <f>"CAMPECHE"</f>
        <v>CAMPECHE</v>
      </c>
      <c r="V557" t="str">
        <f>"FLORIANOPOLIS"</f>
        <v>FLORIANOPOLIS</v>
      </c>
      <c r="W557" t="str">
        <f t="shared" si="267"/>
        <v>SC</v>
      </c>
      <c r="X557" t="str">
        <f>"42"</f>
        <v>42</v>
      </c>
      <c r="Y557" t="str">
        <f>"998585101"</f>
        <v>998585101</v>
      </c>
      <c r="Z557" t="str">
        <f>""</f>
        <v/>
      </c>
      <c r="AA557" t="str">
        <f>""</f>
        <v/>
      </c>
      <c r="AB557" t="str">
        <f>""</f>
        <v/>
      </c>
      <c r="AC557" t="str">
        <f>""</f>
        <v/>
      </c>
      <c r="AD557" t="str">
        <f>""</f>
        <v/>
      </c>
      <c r="AE557" t="str">
        <f>""</f>
        <v/>
      </c>
      <c r="AF557" t="str">
        <f>""</f>
        <v/>
      </c>
      <c r="AG557" t="str">
        <f>""</f>
        <v/>
      </c>
      <c r="AH557" t="str">
        <f>""</f>
        <v/>
      </c>
      <c r="AI557" t="str">
        <f>""</f>
        <v/>
      </c>
      <c r="AJ557" t="str">
        <f>""</f>
        <v/>
      </c>
      <c r="AK557" t="str">
        <f>""</f>
        <v/>
      </c>
      <c r="AL557" t="str">
        <f>""</f>
        <v/>
      </c>
      <c r="AM557" t="str">
        <f>""</f>
        <v/>
      </c>
      <c r="AN557" t="str">
        <f>""</f>
        <v/>
      </c>
      <c r="AO557" t="str">
        <f>""</f>
        <v/>
      </c>
      <c r="AP557" t="str">
        <f>""</f>
        <v/>
      </c>
      <c r="AQ557" t="str">
        <f>""</f>
        <v/>
      </c>
      <c r="AR557" t="str">
        <f>""</f>
        <v/>
      </c>
      <c r="AS557" t="str">
        <f>""</f>
        <v/>
      </c>
      <c r="AT557" t="str">
        <f>""</f>
        <v/>
      </c>
      <c r="AU557" t="str">
        <f>""</f>
        <v/>
      </c>
      <c r="AV557" t="str">
        <f>""</f>
        <v/>
      </c>
      <c r="AW557" t="str">
        <f>""</f>
        <v/>
      </c>
      <c r="AX557" t="str">
        <f>""</f>
        <v/>
      </c>
      <c r="AY557" t="str">
        <f>""</f>
        <v/>
      </c>
      <c r="AZ557" t="str">
        <f>""</f>
        <v/>
      </c>
      <c r="BA557" t="str">
        <f>""</f>
        <v/>
      </c>
      <c r="BB557" t="str">
        <f>"25/09/2023 11:47:13"</f>
        <v>25/09/2023 11:47:13</v>
      </c>
      <c r="BC557" t="str">
        <f>""</f>
        <v/>
      </c>
      <c r="BD557" t="str">
        <f>""</f>
        <v/>
      </c>
      <c r="BE557" t="str">
        <f>""</f>
        <v/>
      </c>
      <c r="BF557" t="str">
        <f t="shared" si="262"/>
        <v>A</v>
      </c>
      <c r="BG557" t="str">
        <f>""</f>
        <v/>
      </c>
      <c r="BH557" t="str">
        <f>""</f>
        <v/>
      </c>
      <c r="BI557" t="str">
        <f t="shared" si="276"/>
        <v>EVENTUAL</v>
      </c>
      <c r="BJ557" t="str">
        <f t="shared" si="263"/>
        <v>1</v>
      </c>
      <c r="BK557" t="str">
        <f t="shared" si="264"/>
        <v>Farmacia</v>
      </c>
      <c r="BL557" t="str">
        <f>""</f>
        <v/>
      </c>
      <c r="BM557" t="str">
        <f>""</f>
        <v/>
      </c>
      <c r="BN557" t="str">
        <f>""</f>
        <v/>
      </c>
      <c r="BO557" t="str">
        <f>""</f>
        <v/>
      </c>
      <c r="BP557" t="str">
        <f>""</f>
        <v/>
      </c>
      <c r="BQ557" t="str">
        <f>""</f>
        <v/>
      </c>
      <c r="BR557" t="str">
        <f>"25/09/2023"</f>
        <v>25/09/2023</v>
      </c>
      <c r="BS557" t="str">
        <f>""</f>
        <v/>
      </c>
      <c r="BT557" t="str">
        <f>""</f>
        <v/>
      </c>
      <c r="BU557" t="str">
        <f>""</f>
        <v/>
      </c>
      <c r="BV557" t="str">
        <f>""</f>
        <v/>
      </c>
      <c r="BW557" t="str">
        <f>"Não visitado"</f>
        <v>Não visitado</v>
      </c>
    </row>
    <row r="558" spans="1:75" x14ac:dyDescent="0.35">
      <c r="A558">
        <v>157594</v>
      </c>
      <c r="B558" t="str">
        <f t="shared" si="259"/>
        <v>A</v>
      </c>
      <c r="C558" t="str">
        <f t="shared" si="260"/>
        <v>80</v>
      </c>
      <c r="D558" t="str">
        <f t="shared" si="254"/>
        <v>11121002</v>
      </c>
      <c r="E558" t="str">
        <f t="shared" si="255"/>
        <v>121002</v>
      </c>
      <c r="F558" t="str">
        <f t="shared" si="256"/>
        <v>CINTHIA NORONHA</v>
      </c>
      <c r="G558" t="str">
        <f>"09134983000123"</f>
        <v>09134983000123</v>
      </c>
      <c r="H558" t="str">
        <f>"0"</f>
        <v>0</v>
      </c>
      <c r="I558" t="str">
        <f t="shared" si="261"/>
        <v>CONTA OPTICA</v>
      </c>
      <c r="J558" t="str">
        <f>"ANDRE RODRIGUES"</f>
        <v>ANDRE RODRIGUES</v>
      </c>
      <c r="K558" t="str">
        <f>"RELOJOARIA E OTICA TIC TAC (1426)"</f>
        <v>RELOJOARIA E OTICA TIC TAC (1426)</v>
      </c>
      <c r="L558" t="str">
        <f>""</f>
        <v/>
      </c>
      <c r="M558" t="str">
        <f>""</f>
        <v/>
      </c>
      <c r="N558" t="str">
        <f>"andre.tictac@hotmail.com"</f>
        <v>andre.tictac@hotmail.com</v>
      </c>
      <c r="O558" t="str">
        <f>""</f>
        <v/>
      </c>
      <c r="P558" t="str">
        <f>"AV. FRANCISCO ROBERTO DA SILVA"</f>
        <v>AV. FRANCISCO ROBERTO DA SILVA</v>
      </c>
      <c r="Q558" t="str">
        <f>"212"</f>
        <v>212</v>
      </c>
      <c r="R558" t="str">
        <f>"SL 03"</f>
        <v>SL 03</v>
      </c>
      <c r="S558" t="str">
        <f>"1259"</f>
        <v>1259</v>
      </c>
      <c r="T558" t="str">
        <f>"88160000"</f>
        <v>88160000</v>
      </c>
      <c r="U558" t="str">
        <f>"JARDIM BIGUACU"</f>
        <v>JARDIM BIGUACU</v>
      </c>
      <c r="V558" t="str">
        <f>"BIGUACU"</f>
        <v>BIGUACU</v>
      </c>
      <c r="W558" t="str">
        <f t="shared" si="267"/>
        <v>SC</v>
      </c>
      <c r="X558" t="str">
        <f>"48"</f>
        <v>48</v>
      </c>
      <c r="Y558" t="str">
        <f>"32437747"</f>
        <v>32437747</v>
      </c>
      <c r="Z558" t="str">
        <f>""</f>
        <v/>
      </c>
      <c r="AA558" t="str">
        <f>""</f>
        <v/>
      </c>
      <c r="AB558" t="str">
        <f>""</f>
        <v/>
      </c>
      <c r="AC558" t="str">
        <f>""</f>
        <v/>
      </c>
      <c r="AD558" t="str">
        <f>""</f>
        <v/>
      </c>
      <c r="AE558" t="str">
        <f>""</f>
        <v/>
      </c>
      <c r="AF558" t="str">
        <f>""</f>
        <v/>
      </c>
      <c r="AG558" t="str">
        <f>""</f>
        <v/>
      </c>
      <c r="AH558" t="str">
        <f>""</f>
        <v/>
      </c>
      <c r="AI558" t="str">
        <f>""</f>
        <v/>
      </c>
      <c r="AJ558" t="str">
        <f>""</f>
        <v/>
      </c>
      <c r="AK558" t="str">
        <f>""</f>
        <v/>
      </c>
      <c r="AL558" t="str">
        <f>""</f>
        <v/>
      </c>
      <c r="AM558" t="str">
        <f>""</f>
        <v/>
      </c>
      <c r="AN558" t="str">
        <f>""</f>
        <v/>
      </c>
      <c r="AO558" t="str">
        <f>""</f>
        <v/>
      </c>
      <c r="AP558" t="str">
        <f>""</f>
        <v/>
      </c>
      <c r="AQ558" t="str">
        <f>""</f>
        <v/>
      </c>
      <c r="AR558" t="str">
        <f>""</f>
        <v/>
      </c>
      <c r="AS558" t="str">
        <f>""</f>
        <v/>
      </c>
      <c r="AT558" t="str">
        <f>""</f>
        <v/>
      </c>
      <c r="AU558" t="str">
        <f>""</f>
        <v/>
      </c>
      <c r="AV558" t="str">
        <f>""</f>
        <v/>
      </c>
      <c r="AW558" t="str">
        <f>""</f>
        <v/>
      </c>
      <c r="AX558" t="str">
        <f>""</f>
        <v/>
      </c>
      <c r="AY558" t="str">
        <f>""</f>
        <v/>
      </c>
      <c r="AZ558" t="str">
        <f>""</f>
        <v/>
      </c>
      <c r="BA558" t="str">
        <f>""</f>
        <v/>
      </c>
      <c r="BB558" t="str">
        <f>"11/07/2023 02:19:56"</f>
        <v>11/07/2023 02:19:56</v>
      </c>
      <c r="BC558" t="str">
        <f>""</f>
        <v/>
      </c>
      <c r="BD558" t="str">
        <f>""</f>
        <v/>
      </c>
      <c r="BE558" t="str">
        <f>""</f>
        <v/>
      </c>
      <c r="BF558" t="str">
        <f t="shared" si="262"/>
        <v>A</v>
      </c>
      <c r="BG558" t="str">
        <f>""</f>
        <v/>
      </c>
      <c r="BH558" t="str">
        <f>""</f>
        <v/>
      </c>
      <c r="BI558" t="str">
        <f t="shared" si="276"/>
        <v>EVENTUAL</v>
      </c>
      <c r="BJ558" t="str">
        <f t="shared" si="263"/>
        <v>1</v>
      </c>
      <c r="BK558" t="str">
        <f t="shared" si="264"/>
        <v>Farmacia</v>
      </c>
      <c r="BL558" t="str">
        <f>""</f>
        <v/>
      </c>
      <c r="BM558" t="str">
        <f>""</f>
        <v/>
      </c>
      <c r="BN558" t="str">
        <f>""</f>
        <v/>
      </c>
      <c r="BO558" t="str">
        <f>""</f>
        <v/>
      </c>
      <c r="BP558" t="str">
        <f>""</f>
        <v/>
      </c>
      <c r="BQ558" t="str">
        <f>""</f>
        <v/>
      </c>
      <c r="BR558" t="str">
        <f>"11/07/2023"</f>
        <v>11/07/2023</v>
      </c>
      <c r="BS558" t="str">
        <f>""</f>
        <v/>
      </c>
      <c r="BT558" t="str">
        <f>""</f>
        <v/>
      </c>
      <c r="BU558" t="str">
        <f>""</f>
        <v/>
      </c>
      <c r="BV558" t="str">
        <f>""</f>
        <v/>
      </c>
      <c r="BW558" t="str">
        <f>"3"</f>
        <v>3</v>
      </c>
    </row>
    <row r="559" spans="1:75" x14ac:dyDescent="0.35">
      <c r="A559">
        <v>134244</v>
      </c>
      <c r="B559" t="str">
        <f t="shared" si="259"/>
        <v>A</v>
      </c>
      <c r="C559" t="str">
        <f t="shared" si="260"/>
        <v>80</v>
      </c>
      <c r="D559" t="str">
        <f t="shared" si="254"/>
        <v>11121002</v>
      </c>
      <c r="E559" t="str">
        <f t="shared" si="255"/>
        <v>121002</v>
      </c>
      <c r="F559" t="str">
        <f t="shared" si="256"/>
        <v>CINTHIA NORONHA</v>
      </c>
      <c r="G559" t="str">
        <f>"15395077000347"</f>
        <v>15395077000347</v>
      </c>
      <c r="H559" t="str">
        <f>""</f>
        <v/>
      </c>
      <c r="I559" t="str">
        <f t="shared" si="261"/>
        <v>CONTA OPTICA</v>
      </c>
      <c r="J559" t="str">
        <f>"ANDRESA RITA DE LIMA FORTE OTICA EIRELI"</f>
        <v>ANDRESA RITA DE LIMA FORTE OTICA EIRELI</v>
      </c>
      <c r="K559" t="str">
        <f>"OTICA DINIZ (1926)"</f>
        <v>OTICA DINIZ (1926)</v>
      </c>
      <c r="L559" t="str">
        <f>""</f>
        <v/>
      </c>
      <c r="M559" t="str">
        <f>""</f>
        <v/>
      </c>
      <c r="N559" t="str">
        <f>"auxiliar.caixa@oticadinizfloripa.com.br"</f>
        <v>auxiliar.caixa@oticadinizfloripa.com.br</v>
      </c>
      <c r="O559" t="str">
        <f>""</f>
        <v/>
      </c>
      <c r="P559" t="str">
        <f>"RUA SC - 407 - LOJA 118 CONTINENT PARK SHOPP"</f>
        <v>RUA SC - 407 - LOJA 118 CONTINENT PARK SHOPP</v>
      </c>
      <c r="Q559" t="str">
        <f>"S/N"</f>
        <v>S/N</v>
      </c>
      <c r="R559" t="str">
        <f>"LOJA 118"</f>
        <v>LOJA 118</v>
      </c>
      <c r="S559" t="str">
        <f>"1259"</f>
        <v>1259</v>
      </c>
      <c r="T559" t="str">
        <f>"88122001"</f>
        <v>88122001</v>
      </c>
      <c r="U559" t="str">
        <f>"PICADOS DO SUL"</f>
        <v>PICADOS DO SUL</v>
      </c>
      <c r="V559" t="str">
        <f>"SÃO JOSÉ"</f>
        <v>SÃO JOSÉ</v>
      </c>
      <c r="W559" t="str">
        <f t="shared" si="267"/>
        <v>SC</v>
      </c>
      <c r="X559" t="str">
        <f>"48"</f>
        <v>48</v>
      </c>
      <c r="Y559" t="str">
        <f>"30625114"</f>
        <v>30625114</v>
      </c>
      <c r="Z559" t="str">
        <f>""</f>
        <v/>
      </c>
      <c r="AA559" t="str">
        <f>""</f>
        <v/>
      </c>
      <c r="AB559" t="str">
        <f>""</f>
        <v/>
      </c>
      <c r="AC559" t="str">
        <f>""</f>
        <v/>
      </c>
      <c r="AD559" t="str">
        <f>""</f>
        <v/>
      </c>
      <c r="AE559" t="str">
        <f>""</f>
        <v/>
      </c>
      <c r="AF559" t="str">
        <f>""</f>
        <v/>
      </c>
      <c r="AG559" t="str">
        <f>"S"</f>
        <v>S</v>
      </c>
      <c r="AH559" t="str">
        <f>""</f>
        <v/>
      </c>
      <c r="AI559" t="str">
        <f>""</f>
        <v/>
      </c>
      <c r="AJ559" t="str">
        <f>"0"</f>
        <v>0</v>
      </c>
      <c r="AK559" t="str">
        <f>"0"</f>
        <v>0</v>
      </c>
      <c r="AL559" t="str">
        <f>"0"</f>
        <v>0</v>
      </c>
      <c r="AM559" t="str">
        <f>""</f>
        <v/>
      </c>
      <c r="AN559" t="str">
        <f>""</f>
        <v/>
      </c>
      <c r="AO559" t="str">
        <f>""</f>
        <v/>
      </c>
      <c r="AP559" t="str">
        <f>""</f>
        <v/>
      </c>
      <c r="AQ559" t="str">
        <f t="shared" ref="AQ559:AU562" si="280">"N"</f>
        <v>N</v>
      </c>
      <c r="AR559" t="str">
        <f t="shared" si="280"/>
        <v>N</v>
      </c>
      <c r="AS559" t="str">
        <f t="shared" si="280"/>
        <v>N</v>
      </c>
      <c r="AT559" t="str">
        <f t="shared" si="280"/>
        <v>N</v>
      </c>
      <c r="AU559" t="str">
        <f t="shared" si="280"/>
        <v>N</v>
      </c>
      <c r="AV559" t="str">
        <f>""</f>
        <v/>
      </c>
      <c r="AW559" t="str">
        <f>""</f>
        <v/>
      </c>
      <c r="AX559" t="str">
        <f>""</f>
        <v/>
      </c>
      <c r="AY559" t="str">
        <f>""</f>
        <v/>
      </c>
      <c r="AZ559" t="str">
        <f>""</f>
        <v/>
      </c>
      <c r="BA559" t="str">
        <f>""</f>
        <v/>
      </c>
      <c r="BB559" t="str">
        <f>""</f>
        <v/>
      </c>
      <c r="BC559" t="str">
        <f>"18/04/2022 17:40:41"</f>
        <v>18/04/2022 17:40:41</v>
      </c>
      <c r="BD559" t="str">
        <f>""</f>
        <v/>
      </c>
      <c r="BE559" t="str">
        <f>""</f>
        <v/>
      </c>
      <c r="BF559" t="str">
        <f t="shared" si="262"/>
        <v>A</v>
      </c>
      <c r="BG559" t="str">
        <f>"0,00"</f>
        <v>0,00</v>
      </c>
      <c r="BH559" t="str">
        <f>"0,00"</f>
        <v>0,00</v>
      </c>
      <c r="BI559" t="str">
        <f t="shared" si="276"/>
        <v>EVENTUAL</v>
      </c>
      <c r="BJ559" t="str">
        <f t="shared" si="263"/>
        <v>1</v>
      </c>
      <c r="BK559" t="str">
        <f t="shared" si="264"/>
        <v>Farmacia</v>
      </c>
      <c r="BL559" t="str">
        <f>""</f>
        <v/>
      </c>
      <c r="BM559" t="str">
        <f>"NÃO É VARILUX ESPECIALISTA"</f>
        <v>NÃO É VARILUX ESPECIALISTA</v>
      </c>
      <c r="BN559" t="str">
        <f>"NA"</f>
        <v>NA</v>
      </c>
      <c r="BO559" t="str">
        <f>"OUTROS"</f>
        <v>OUTROS</v>
      </c>
      <c r="BP559" t="str">
        <f>""</f>
        <v/>
      </c>
      <c r="BQ559" t="str">
        <f>""</f>
        <v/>
      </c>
      <c r="BR559" t="str">
        <f>""</f>
        <v/>
      </c>
      <c r="BS559" t="str">
        <f>"18/04/2022"</f>
        <v>18/04/2022</v>
      </c>
      <c r="BT559" t="str">
        <f>""</f>
        <v/>
      </c>
      <c r="BU559" t="str">
        <f>""</f>
        <v/>
      </c>
      <c r="BV559" t="str">
        <f>"3"</f>
        <v>3</v>
      </c>
      <c r="BW559" t="str">
        <f>"585"</f>
        <v>585</v>
      </c>
    </row>
    <row r="560" spans="1:75" x14ac:dyDescent="0.35">
      <c r="A560">
        <v>134470</v>
      </c>
      <c r="B560" t="str">
        <f t="shared" si="259"/>
        <v>A</v>
      </c>
      <c r="C560" t="str">
        <f t="shared" si="260"/>
        <v>80</v>
      </c>
      <c r="D560" t="str">
        <f t="shared" si="254"/>
        <v>11121002</v>
      </c>
      <c r="E560" t="str">
        <f t="shared" si="255"/>
        <v>121002</v>
      </c>
      <c r="F560" t="str">
        <f t="shared" si="256"/>
        <v>CINTHIA NORONHA</v>
      </c>
      <c r="G560" t="str">
        <f>"15395077000185"</f>
        <v>15395077000185</v>
      </c>
      <c r="H560" t="str">
        <f>""</f>
        <v/>
      </c>
      <c r="I560" t="str">
        <f t="shared" si="261"/>
        <v>CONTA OPTICA</v>
      </c>
      <c r="J560" t="str">
        <f>"ANDRESA RITA DE LIMA FORTE OTICA EIRELI"</f>
        <v>ANDRESA RITA DE LIMA FORTE OTICA EIRELI</v>
      </c>
      <c r="K560" t="str">
        <f>"OTICA DINIZ (1892)"</f>
        <v>OTICA DINIZ (1892)</v>
      </c>
      <c r="L560" t="str">
        <f>""</f>
        <v/>
      </c>
      <c r="M560" t="str">
        <f>""</f>
        <v/>
      </c>
      <c r="N560" t="str">
        <f>"auxiliar.caixa@oticadinizfloripa.com.br"</f>
        <v>auxiliar.caixa@oticadinizfloripa.com.br</v>
      </c>
      <c r="O560" t="str">
        <f>""</f>
        <v/>
      </c>
      <c r="P560" t="str">
        <f>"RUA CONSELHEIRO MAFRA"</f>
        <v>RUA CONSELHEIRO MAFRA</v>
      </c>
      <c r="Q560" t="str">
        <f>"98"</f>
        <v>98</v>
      </c>
      <c r="R560" t="str">
        <f>""</f>
        <v/>
      </c>
      <c r="S560" t="str">
        <f>"1254"</f>
        <v>1254</v>
      </c>
      <c r="T560" t="str">
        <f>"88010100"</f>
        <v>88010100</v>
      </c>
      <c r="U560" t="str">
        <f>"CENTRO"</f>
        <v>CENTRO</v>
      </c>
      <c r="V560" t="str">
        <f>"FLORIANÓPOLIS"</f>
        <v>FLORIANÓPOLIS</v>
      </c>
      <c r="W560" t="str">
        <f t="shared" si="267"/>
        <v>SC</v>
      </c>
      <c r="X560" t="str">
        <f>"48"</f>
        <v>48</v>
      </c>
      <c r="Y560" t="str">
        <f>"30625125"</f>
        <v>30625125</v>
      </c>
      <c r="Z560" t="str">
        <f>""</f>
        <v/>
      </c>
      <c r="AA560" t="str">
        <f>""</f>
        <v/>
      </c>
      <c r="AB560" t="str">
        <f>""</f>
        <v/>
      </c>
      <c r="AC560" t="str">
        <f>""</f>
        <v/>
      </c>
      <c r="AD560" t="str">
        <f>""</f>
        <v/>
      </c>
      <c r="AE560" t="str">
        <f>""</f>
        <v/>
      </c>
      <c r="AF560" t="str">
        <f>""</f>
        <v/>
      </c>
      <c r="AG560" t="str">
        <f>"S"</f>
        <v>S</v>
      </c>
      <c r="AH560" t="str">
        <f>""</f>
        <v/>
      </c>
      <c r="AI560" t="str">
        <f>""</f>
        <v/>
      </c>
      <c r="AJ560" t="str">
        <f>""</f>
        <v/>
      </c>
      <c r="AK560" t="str">
        <f>""</f>
        <v/>
      </c>
      <c r="AL560" t="str">
        <f>""</f>
        <v/>
      </c>
      <c r="AM560" t="str">
        <f>""</f>
        <v/>
      </c>
      <c r="AN560" t="str">
        <f>""</f>
        <v/>
      </c>
      <c r="AO560" t="str">
        <f>""</f>
        <v/>
      </c>
      <c r="AP560" t="str">
        <f>""</f>
        <v/>
      </c>
      <c r="AQ560" t="str">
        <f t="shared" si="280"/>
        <v>N</v>
      </c>
      <c r="AR560" t="str">
        <f t="shared" si="280"/>
        <v>N</v>
      </c>
      <c r="AS560" t="str">
        <f t="shared" si="280"/>
        <v>N</v>
      </c>
      <c r="AT560" t="str">
        <f t="shared" si="280"/>
        <v>N</v>
      </c>
      <c r="AU560" t="str">
        <f t="shared" si="280"/>
        <v>N</v>
      </c>
      <c r="AV560" t="str">
        <f>""</f>
        <v/>
      </c>
      <c r="AW560" t="str">
        <f>""</f>
        <v/>
      </c>
      <c r="AX560" t="str">
        <f>""</f>
        <v/>
      </c>
      <c r="AY560" t="str">
        <f>""</f>
        <v/>
      </c>
      <c r="AZ560" t="str">
        <f>""</f>
        <v/>
      </c>
      <c r="BA560" t="str">
        <f>""</f>
        <v/>
      </c>
      <c r="BB560" t="str">
        <f>""</f>
        <v/>
      </c>
      <c r="BC560" t="str">
        <f>"16/12/2021 16:30:04"</f>
        <v>16/12/2021 16:30:04</v>
      </c>
      <c r="BD560" t="str">
        <f>""</f>
        <v/>
      </c>
      <c r="BE560" t="str">
        <f>""</f>
        <v/>
      </c>
      <c r="BF560" t="str">
        <f t="shared" si="262"/>
        <v>A</v>
      </c>
      <c r="BG560" t="str">
        <f>""</f>
        <v/>
      </c>
      <c r="BH560" t="str">
        <f>"0,00"</f>
        <v>0,00</v>
      </c>
      <c r="BI560" t="str">
        <f t="shared" si="276"/>
        <v>EVENTUAL</v>
      </c>
      <c r="BJ560" t="str">
        <f t="shared" si="263"/>
        <v>1</v>
      </c>
      <c r="BK560" t="str">
        <f t="shared" si="264"/>
        <v>Farmacia</v>
      </c>
      <c r="BL560" t="str">
        <f>""</f>
        <v/>
      </c>
      <c r="BM560" t="str">
        <f>"CREDENCIADO VARILUX"</f>
        <v>CREDENCIADO VARILUX</v>
      </c>
      <c r="BN560" t="str">
        <f>"NA"</f>
        <v>NA</v>
      </c>
      <c r="BO560" t="str">
        <f>"FOCO VARILUX DIGITAL"</f>
        <v>FOCO VARILUX DIGITAL</v>
      </c>
      <c r="BP560" t="str">
        <f>""</f>
        <v/>
      </c>
      <c r="BQ560" t="str">
        <f>""</f>
        <v/>
      </c>
      <c r="BR560" t="str">
        <f>""</f>
        <v/>
      </c>
      <c r="BS560" t="str">
        <f>"16/12/2021"</f>
        <v>16/12/2021</v>
      </c>
      <c r="BT560" t="str">
        <f>""</f>
        <v/>
      </c>
      <c r="BU560" t="str">
        <f>""</f>
        <v/>
      </c>
      <c r="BV560" t="str">
        <f>"7"</f>
        <v>7</v>
      </c>
      <c r="BW560" t="str">
        <f>"16"</f>
        <v>16</v>
      </c>
    </row>
    <row r="561" spans="1:75" x14ac:dyDescent="0.35">
      <c r="A561">
        <v>156869</v>
      </c>
      <c r="B561" t="str">
        <f t="shared" si="259"/>
        <v>A</v>
      </c>
      <c r="C561" t="str">
        <f t="shared" si="260"/>
        <v>80</v>
      </c>
      <c r="D561" t="str">
        <f t="shared" si="254"/>
        <v>11121002</v>
      </c>
      <c r="E561" t="str">
        <f t="shared" si="255"/>
        <v>121002</v>
      </c>
      <c r="F561" t="str">
        <f t="shared" si="256"/>
        <v>CINTHIA NORONHA</v>
      </c>
      <c r="G561" t="str">
        <f>"15395077000509"</f>
        <v>15395077000509</v>
      </c>
      <c r="H561" t="str">
        <f>"0"</f>
        <v>0</v>
      </c>
      <c r="I561" t="str">
        <f t="shared" si="261"/>
        <v>CONTA OPTICA</v>
      </c>
      <c r="J561" t="str">
        <f>"ANDRESA RITA DE LIMA FORTE OTICA EIRELI"</f>
        <v>ANDRESA RITA DE LIMA FORTE OTICA EIRELI</v>
      </c>
      <c r="K561" t="str">
        <f>"OTICA DINIZ (4587)"</f>
        <v>OTICA DINIZ (4587)</v>
      </c>
      <c r="L561" t="str">
        <f>""</f>
        <v/>
      </c>
      <c r="M561" t="str">
        <f>""</f>
        <v/>
      </c>
      <c r="N561" t="str">
        <f>"CONTROLADORIA.LENTES01@OTICADINIZFLORIPA.COM.BR"</f>
        <v>CONTROLADORIA.LENTES01@OTICADINIZFLORIPA.COM.BR</v>
      </c>
      <c r="O561" t="str">
        <f>""</f>
        <v/>
      </c>
      <c r="P561" t="str">
        <f>"ARMANDO CALIL BULOS"</f>
        <v>ARMANDO CALIL BULOS</v>
      </c>
      <c r="Q561" t="str">
        <f>"6540"</f>
        <v>6540</v>
      </c>
      <c r="R561" t="str">
        <f>"LOJA 102"</f>
        <v>LOJA 102</v>
      </c>
      <c r="S561" t="str">
        <f>"1257"</f>
        <v>1257</v>
      </c>
      <c r="T561" t="str">
        <f>"88058001"</f>
        <v>88058001</v>
      </c>
      <c r="U561" t="str">
        <f>"INGLESES"</f>
        <v>INGLESES</v>
      </c>
      <c r="V561" t="str">
        <f>"FLORIANÓPOLIS"</f>
        <v>FLORIANÓPOLIS</v>
      </c>
      <c r="W561" t="str">
        <f t="shared" si="267"/>
        <v>SC</v>
      </c>
      <c r="X561" t="str">
        <f>"48"</f>
        <v>48</v>
      </c>
      <c r="Y561" t="str">
        <f>"30625125"</f>
        <v>30625125</v>
      </c>
      <c r="Z561" t="str">
        <f>""</f>
        <v/>
      </c>
      <c r="AA561" t="str">
        <f>""</f>
        <v/>
      </c>
      <c r="AB561" t="str">
        <f>""</f>
        <v/>
      </c>
      <c r="AC561" t="str">
        <f>""</f>
        <v/>
      </c>
      <c r="AD561" t="str">
        <f>""</f>
        <v/>
      </c>
      <c r="AE561" t="str">
        <f>""</f>
        <v/>
      </c>
      <c r="AF561" t="str">
        <f>""</f>
        <v/>
      </c>
      <c r="AG561" t="str">
        <f>"S"</f>
        <v>S</v>
      </c>
      <c r="AH561" t="str">
        <f>""</f>
        <v/>
      </c>
      <c r="AI561" t="str">
        <f>""</f>
        <v/>
      </c>
      <c r="AJ561" t="str">
        <f>""</f>
        <v/>
      </c>
      <c r="AK561" t="str">
        <f>""</f>
        <v/>
      </c>
      <c r="AL561" t="str">
        <f>""</f>
        <v/>
      </c>
      <c r="AM561" t="str">
        <f>""</f>
        <v/>
      </c>
      <c r="AN561" t="str">
        <f>""</f>
        <v/>
      </c>
      <c r="AO561" t="str">
        <f>""</f>
        <v/>
      </c>
      <c r="AP561" t="str">
        <f>""</f>
        <v/>
      </c>
      <c r="AQ561" t="str">
        <f t="shared" si="280"/>
        <v>N</v>
      </c>
      <c r="AR561" t="str">
        <f t="shared" si="280"/>
        <v>N</v>
      </c>
      <c r="AS561" t="str">
        <f t="shared" si="280"/>
        <v>N</v>
      </c>
      <c r="AT561" t="str">
        <f t="shared" si="280"/>
        <v>N</v>
      </c>
      <c r="AU561" t="str">
        <f t="shared" si="280"/>
        <v>N</v>
      </c>
      <c r="AV561" t="str">
        <f>""</f>
        <v/>
      </c>
      <c r="AW561" t="str">
        <f>""</f>
        <v/>
      </c>
      <c r="AX561" t="str">
        <f>""</f>
        <v/>
      </c>
      <c r="AY561" t="str">
        <f>""</f>
        <v/>
      </c>
      <c r="AZ561" t="str">
        <f>""</f>
        <v/>
      </c>
      <c r="BA561" t="str">
        <f>""</f>
        <v/>
      </c>
      <c r="BB561" t="str">
        <f>"06/07/2023 12:07:48"</f>
        <v>06/07/2023 12:07:48</v>
      </c>
      <c r="BC561" t="str">
        <f>"07/07/2023 11:58:42"</f>
        <v>07/07/2023 11:58:42</v>
      </c>
      <c r="BD561" t="str">
        <f>""</f>
        <v/>
      </c>
      <c r="BE561" t="str">
        <f>""</f>
        <v/>
      </c>
      <c r="BF561" t="str">
        <f t="shared" si="262"/>
        <v>A</v>
      </c>
      <c r="BG561" t="str">
        <f>""</f>
        <v/>
      </c>
      <c r="BH561" t="str">
        <f>"0,00"</f>
        <v>0,00</v>
      </c>
      <c r="BI561" t="str">
        <f t="shared" si="276"/>
        <v>EVENTUAL</v>
      </c>
      <c r="BJ561" t="str">
        <f t="shared" si="263"/>
        <v>1</v>
      </c>
      <c r="BK561" t="str">
        <f t="shared" si="264"/>
        <v>Farmacia</v>
      </c>
      <c r="BL561" t="str">
        <f>""</f>
        <v/>
      </c>
      <c r="BM561" t="str">
        <f>""</f>
        <v/>
      </c>
      <c r="BN561" t="str">
        <f>""</f>
        <v/>
      </c>
      <c r="BO561" t="str">
        <f>""</f>
        <v/>
      </c>
      <c r="BP561" t="str">
        <f>""</f>
        <v/>
      </c>
      <c r="BQ561" t="str">
        <f>""</f>
        <v/>
      </c>
      <c r="BR561" t="str">
        <f>"06/07/2023"</f>
        <v>06/07/2023</v>
      </c>
      <c r="BS561" t="str">
        <f>"07/07/2023"</f>
        <v>07/07/2023</v>
      </c>
      <c r="BT561" t="str">
        <f>""</f>
        <v/>
      </c>
      <c r="BU561" t="str">
        <f>""</f>
        <v/>
      </c>
      <c r="BV561" t="str">
        <f>""</f>
        <v/>
      </c>
      <c r="BW561" t="str">
        <f>"24"</f>
        <v>24</v>
      </c>
    </row>
    <row r="562" spans="1:75" x14ac:dyDescent="0.35">
      <c r="A562">
        <v>143860</v>
      </c>
      <c r="B562" t="str">
        <f t="shared" si="259"/>
        <v>A</v>
      </c>
      <c r="C562" t="str">
        <f t="shared" si="260"/>
        <v>80</v>
      </c>
      <c r="D562" t="str">
        <f t="shared" si="254"/>
        <v>11121002</v>
      </c>
      <c r="E562" t="str">
        <f t="shared" si="255"/>
        <v>121002</v>
      </c>
      <c r="F562" t="str">
        <f t="shared" si="256"/>
        <v>CINTHIA NORONHA</v>
      </c>
      <c r="G562" t="str">
        <f>"41529340000191"</f>
        <v>41529340000191</v>
      </c>
      <c r="H562" t="str">
        <f>"0"</f>
        <v>0</v>
      </c>
      <c r="I562" t="str">
        <f t="shared" si="261"/>
        <v>CONTA OPTICA</v>
      </c>
      <c r="J562" t="str">
        <f>"ANINHA IDALINA CAETANO 81216041920"</f>
        <v>ANINHA IDALINA CAETANO 81216041920</v>
      </c>
      <c r="K562" t="str">
        <f>"CAETANO OTICA HOME CARE (4411)"</f>
        <v>CAETANO OTICA HOME CARE (4411)</v>
      </c>
      <c r="L562" t="str">
        <f>""</f>
        <v/>
      </c>
      <c r="M562" t="str">
        <f>""</f>
        <v/>
      </c>
      <c r="N562" t="str">
        <f>"andijjac@hotmail.com"</f>
        <v>andijjac@hotmail.com</v>
      </c>
      <c r="O562" t="str">
        <f>""</f>
        <v/>
      </c>
      <c r="P562" t="str">
        <f>"RUA GUILHERME LEMONIE"</f>
        <v>RUA GUILHERME LEMONIE</v>
      </c>
      <c r="Q562" t="str">
        <f>"35"</f>
        <v>35</v>
      </c>
      <c r="R562" t="str">
        <f>"CASA"</f>
        <v>CASA</v>
      </c>
      <c r="S562" t="str">
        <f>""</f>
        <v/>
      </c>
      <c r="T562" t="str">
        <f>"88107230"</f>
        <v>88107230</v>
      </c>
      <c r="U562" t="str">
        <f>"FORQUILHAS"</f>
        <v>FORQUILHAS</v>
      </c>
      <c r="V562" t="str">
        <f>"SÃO JOSÉ"</f>
        <v>SÃO JOSÉ</v>
      </c>
      <c r="W562" t="str">
        <f t="shared" si="267"/>
        <v>SC</v>
      </c>
      <c r="X562" t="str">
        <f>"48"</f>
        <v>48</v>
      </c>
      <c r="Y562" t="str">
        <f>"33575891"</f>
        <v>33575891</v>
      </c>
      <c r="Z562" t="str">
        <f>""</f>
        <v/>
      </c>
      <c r="AA562" t="str">
        <f>""</f>
        <v/>
      </c>
      <c r="AB562" t="str">
        <f>""</f>
        <v/>
      </c>
      <c r="AC562" t="str">
        <f>""</f>
        <v/>
      </c>
      <c r="AD562" t="str">
        <f>""</f>
        <v/>
      </c>
      <c r="AE562" t="str">
        <f>""</f>
        <v/>
      </c>
      <c r="AF562" t="str">
        <f>""</f>
        <v/>
      </c>
      <c r="AG562" t="str">
        <f>"S"</f>
        <v>S</v>
      </c>
      <c r="AH562" t="str">
        <f>""</f>
        <v/>
      </c>
      <c r="AI562" t="str">
        <f>""</f>
        <v/>
      </c>
      <c r="AJ562" t="str">
        <f>""</f>
        <v/>
      </c>
      <c r="AK562" t="str">
        <f>""</f>
        <v/>
      </c>
      <c r="AL562" t="str">
        <f>""</f>
        <v/>
      </c>
      <c r="AM562" t="str">
        <f>""</f>
        <v/>
      </c>
      <c r="AN562" t="str">
        <f>""</f>
        <v/>
      </c>
      <c r="AO562" t="str">
        <f>""</f>
        <v/>
      </c>
      <c r="AP562" t="str">
        <f>""</f>
        <v/>
      </c>
      <c r="AQ562" t="str">
        <f t="shared" si="280"/>
        <v>N</v>
      </c>
      <c r="AR562" t="str">
        <f t="shared" si="280"/>
        <v>N</v>
      </c>
      <c r="AS562" t="str">
        <f t="shared" si="280"/>
        <v>N</v>
      </c>
      <c r="AT562" t="str">
        <f t="shared" si="280"/>
        <v>N</v>
      </c>
      <c r="AU562" t="str">
        <f t="shared" si="280"/>
        <v>N</v>
      </c>
      <c r="AV562" t="str">
        <f>""</f>
        <v/>
      </c>
      <c r="AW562" t="str">
        <f>""</f>
        <v/>
      </c>
      <c r="AX562" t="str">
        <f>""</f>
        <v/>
      </c>
      <c r="AY562" t="str">
        <f>""</f>
        <v/>
      </c>
      <c r="AZ562" t="str">
        <f>""</f>
        <v/>
      </c>
      <c r="BA562" t="str">
        <f>""</f>
        <v/>
      </c>
      <c r="BB562" t="str">
        <f>"12/11/2021 13:54:22"</f>
        <v>12/11/2021 13:54:22</v>
      </c>
      <c r="BC562" t="str">
        <f>"06/04/2022 13:58:46"</f>
        <v>06/04/2022 13:58:46</v>
      </c>
      <c r="BD562" t="str">
        <f>""</f>
        <v/>
      </c>
      <c r="BE562" t="str">
        <f>""</f>
        <v/>
      </c>
      <c r="BF562" t="str">
        <f t="shared" si="262"/>
        <v>A</v>
      </c>
      <c r="BG562" t="str">
        <f>""</f>
        <v/>
      </c>
      <c r="BH562" t="str">
        <f>"0,00"</f>
        <v>0,00</v>
      </c>
      <c r="BI562" t="str">
        <f t="shared" si="276"/>
        <v>EVENTUAL</v>
      </c>
      <c r="BJ562" t="str">
        <f t="shared" si="263"/>
        <v>1</v>
      </c>
      <c r="BK562" t="str">
        <f t="shared" si="264"/>
        <v>Farmacia</v>
      </c>
      <c r="BL562" t="str">
        <f>""</f>
        <v/>
      </c>
      <c r="BM562" t="str">
        <f>""</f>
        <v/>
      </c>
      <c r="BN562" t="str">
        <f>""</f>
        <v/>
      </c>
      <c r="BO562" t="str">
        <f>"FOCO VARILUX DIGITAL"</f>
        <v>FOCO VARILUX DIGITAL</v>
      </c>
      <c r="BP562" t="str">
        <f>""</f>
        <v/>
      </c>
      <c r="BQ562" t="str">
        <f>""</f>
        <v/>
      </c>
      <c r="BR562" t="str">
        <f>"12/11/2021"</f>
        <v>12/11/2021</v>
      </c>
      <c r="BS562" t="str">
        <f>"06/04/2022"</f>
        <v>06/04/2022</v>
      </c>
      <c r="BT562" t="str">
        <f>""</f>
        <v/>
      </c>
      <c r="BU562" t="str">
        <f>""</f>
        <v/>
      </c>
      <c r="BV562" t="str">
        <f>""</f>
        <v/>
      </c>
      <c r="BW562" t="str">
        <f>"3"</f>
        <v>3</v>
      </c>
    </row>
    <row r="563" spans="1:75" x14ac:dyDescent="0.35">
      <c r="A563">
        <v>157662</v>
      </c>
      <c r="B563" t="str">
        <f t="shared" si="259"/>
        <v>A</v>
      </c>
      <c r="C563" t="str">
        <f t="shared" si="260"/>
        <v>80</v>
      </c>
      <c r="D563" t="str">
        <f t="shared" si="254"/>
        <v>11121002</v>
      </c>
      <c r="E563" t="str">
        <f t="shared" si="255"/>
        <v>121002</v>
      </c>
      <c r="F563" t="str">
        <f t="shared" si="256"/>
        <v>CINTHIA NORONHA</v>
      </c>
      <c r="G563" t="str">
        <f>"24576584000106"</f>
        <v>24576584000106</v>
      </c>
      <c r="H563" t="str">
        <f>"0"</f>
        <v>0</v>
      </c>
      <c r="I563" t="str">
        <f t="shared" si="261"/>
        <v>CONTA OPTICA</v>
      </c>
      <c r="J563" t="str">
        <f>"ANTONIO ADOLFO BARRETO PEREIRA EPP"</f>
        <v>ANTONIO ADOLFO BARRETO PEREIRA EPP</v>
      </c>
      <c r="K563" t="str">
        <f>"OPTICA DIVAL (3313)"</f>
        <v>OPTICA DIVAL (3313)</v>
      </c>
      <c r="L563" t="str">
        <f>""</f>
        <v/>
      </c>
      <c r="M563" t="str">
        <f>""</f>
        <v/>
      </c>
      <c r="N563" t="str">
        <f>"ANTONIOPBARRETO@TERRA.COM.BR"</f>
        <v>ANTONIOPBARRETO@TERRA.COM.BR</v>
      </c>
      <c r="O563" t="str">
        <f>""</f>
        <v/>
      </c>
      <c r="P563" t="str">
        <f>"JOSE BONIFACIO"</f>
        <v>JOSE BONIFACIO</v>
      </c>
      <c r="Q563" t="str">
        <f>"395"</f>
        <v>395</v>
      </c>
      <c r="R563" t="str">
        <f>"SALA 03"</f>
        <v>SALA 03</v>
      </c>
      <c r="S563" t="str">
        <f>"1336"</f>
        <v>1336</v>
      </c>
      <c r="T563" t="str">
        <f>"95560000"</f>
        <v>95560000</v>
      </c>
      <c r="U563" t="str">
        <f>"CENTRO"</f>
        <v>CENTRO</v>
      </c>
      <c r="V563" t="str">
        <f>"TORRES"</f>
        <v>TORRES</v>
      </c>
      <c r="W563" t="str">
        <f>"RS"</f>
        <v>RS</v>
      </c>
      <c r="X563" t="str">
        <f>"51"</f>
        <v>51</v>
      </c>
      <c r="Y563" t="str">
        <f>"36642662"</f>
        <v>36642662</v>
      </c>
      <c r="Z563" t="str">
        <f>""</f>
        <v/>
      </c>
      <c r="AA563" t="str">
        <f>""</f>
        <v/>
      </c>
      <c r="AB563" t="str">
        <f>""</f>
        <v/>
      </c>
      <c r="AC563" t="str">
        <f>""</f>
        <v/>
      </c>
      <c r="AD563" t="str">
        <f>""</f>
        <v/>
      </c>
      <c r="AE563" t="str">
        <f>""</f>
        <v/>
      </c>
      <c r="AF563" t="str">
        <f>""</f>
        <v/>
      </c>
      <c r="AG563" t="str">
        <f>""</f>
        <v/>
      </c>
      <c r="AH563" t="str">
        <f>""</f>
        <v/>
      </c>
      <c r="AI563" t="str">
        <f>""</f>
        <v/>
      </c>
      <c r="AJ563" t="str">
        <f>""</f>
        <v/>
      </c>
      <c r="AK563" t="str">
        <f>""</f>
        <v/>
      </c>
      <c r="AL563" t="str">
        <f>""</f>
        <v/>
      </c>
      <c r="AM563" t="str">
        <f>""</f>
        <v/>
      </c>
      <c r="AN563" t="str">
        <f>""</f>
        <v/>
      </c>
      <c r="AO563" t="str">
        <f>""</f>
        <v/>
      </c>
      <c r="AP563" t="str">
        <f>""</f>
        <v/>
      </c>
      <c r="AQ563" t="str">
        <f>""</f>
        <v/>
      </c>
      <c r="AR563" t="str">
        <f>""</f>
        <v/>
      </c>
      <c r="AS563" t="str">
        <f>""</f>
        <v/>
      </c>
      <c r="AT563" t="str">
        <f>""</f>
        <v/>
      </c>
      <c r="AU563" t="str">
        <f>""</f>
        <v/>
      </c>
      <c r="AV563" t="str">
        <f>""</f>
        <v/>
      </c>
      <c r="AW563" t="str">
        <f>""</f>
        <v/>
      </c>
      <c r="AX563" t="str">
        <f>""</f>
        <v/>
      </c>
      <c r="AY563" t="str">
        <f>""</f>
        <v/>
      </c>
      <c r="AZ563" t="str">
        <f>""</f>
        <v/>
      </c>
      <c r="BA563" t="str">
        <f>""</f>
        <v/>
      </c>
      <c r="BB563" t="str">
        <f>"11/07/2023 02:19:56"</f>
        <v>11/07/2023 02:19:56</v>
      </c>
      <c r="BC563" t="str">
        <f>""</f>
        <v/>
      </c>
      <c r="BD563" t="str">
        <f>""</f>
        <v/>
      </c>
      <c r="BE563" t="str">
        <f>""</f>
        <v/>
      </c>
      <c r="BF563" t="str">
        <f t="shared" si="262"/>
        <v>A</v>
      </c>
      <c r="BG563" t="str">
        <f>""</f>
        <v/>
      </c>
      <c r="BH563" t="str">
        <f>""</f>
        <v/>
      </c>
      <c r="BI563" t="str">
        <f t="shared" si="276"/>
        <v>EVENTUAL</v>
      </c>
      <c r="BJ563" t="str">
        <f t="shared" si="263"/>
        <v>1</v>
      </c>
      <c r="BK563" t="str">
        <f t="shared" si="264"/>
        <v>Farmacia</v>
      </c>
      <c r="BL563" t="str">
        <f>""</f>
        <v/>
      </c>
      <c r="BM563" t="str">
        <f>""</f>
        <v/>
      </c>
      <c r="BN563" t="str">
        <f>""</f>
        <v/>
      </c>
      <c r="BO563" t="str">
        <f>""</f>
        <v/>
      </c>
      <c r="BP563" t="str">
        <f>""</f>
        <v/>
      </c>
      <c r="BQ563" t="str">
        <f>""</f>
        <v/>
      </c>
      <c r="BR563" t="str">
        <f>"11/07/2023"</f>
        <v>11/07/2023</v>
      </c>
      <c r="BS563" t="str">
        <f>""</f>
        <v/>
      </c>
      <c r="BT563" t="str">
        <f>""</f>
        <v/>
      </c>
      <c r="BU563" t="str">
        <f>""</f>
        <v/>
      </c>
      <c r="BV563" t="str">
        <f>""</f>
        <v/>
      </c>
      <c r="BW563" t="str">
        <f>"Não visitado"</f>
        <v>Não visitado</v>
      </c>
    </row>
    <row r="564" spans="1:75" x14ac:dyDescent="0.35">
      <c r="A564">
        <v>138966</v>
      </c>
      <c r="B564" t="str">
        <f t="shared" si="259"/>
        <v>A</v>
      </c>
      <c r="C564" t="str">
        <f t="shared" si="260"/>
        <v>80</v>
      </c>
      <c r="D564" t="str">
        <f t="shared" ref="D564:D627" si="281">"11121002"</f>
        <v>11121002</v>
      </c>
      <c r="E564" t="str">
        <f t="shared" ref="E564:E627" si="282">"121002"</f>
        <v>121002</v>
      </c>
      <c r="F564" t="str">
        <f t="shared" ref="F564:F627" si="283">"CINTHIA NORONHA"</f>
        <v>CINTHIA NORONHA</v>
      </c>
      <c r="G564" t="str">
        <f>"10381773000119"</f>
        <v>10381773000119</v>
      </c>
      <c r="H564" t="str">
        <f>""</f>
        <v/>
      </c>
      <c r="I564" t="str">
        <f t="shared" si="261"/>
        <v>CONTA OPTICA</v>
      </c>
      <c r="J564" t="str">
        <f>"ANTONIO ALFREDO DO NASCIMENTO ME"</f>
        <v>ANTONIO ALFREDO DO NASCIMENTO ME</v>
      </c>
      <c r="K564" t="str">
        <f>"RELOJOARIA E OPTICA TIC TAC (1470)"</f>
        <v>RELOJOARIA E OPTICA TIC TAC (1470)</v>
      </c>
      <c r="L564" t="str">
        <f>""</f>
        <v/>
      </c>
      <c r="M564" t="str">
        <f>""</f>
        <v/>
      </c>
      <c r="N564" t="str">
        <f>"tictacpl@hotmail.com"</f>
        <v>tictacpl@hotmail.com</v>
      </c>
      <c r="O564" t="str">
        <f>""</f>
        <v/>
      </c>
      <c r="P564" t="str">
        <f>"RUA JOAO DE SOUZA"</f>
        <v>RUA JOAO DE SOUZA</v>
      </c>
      <c r="Q564" t="str">
        <f>"30"</f>
        <v>30</v>
      </c>
      <c r="R564" t="str">
        <f>"SALA 01"</f>
        <v>SALA 01</v>
      </c>
      <c r="S564" t="str">
        <f>"1265"</f>
        <v>1265</v>
      </c>
      <c r="T564" t="str">
        <f>"88490000"</f>
        <v>88490000</v>
      </c>
      <c r="U564" t="str">
        <f>"CENTRO"</f>
        <v>CENTRO</v>
      </c>
      <c r="V564" t="str">
        <f>"PAULO LOPES"</f>
        <v>PAULO LOPES</v>
      </c>
      <c r="W564" t="str">
        <f t="shared" ref="W564:W595" si="284">"SC"</f>
        <v>SC</v>
      </c>
      <c r="X564" t="str">
        <f>"48"</f>
        <v>48</v>
      </c>
      <c r="Y564" t="str">
        <f>"32530952"</f>
        <v>32530952</v>
      </c>
      <c r="Z564" t="str">
        <f>""</f>
        <v/>
      </c>
      <c r="AA564" t="str">
        <f>""</f>
        <v/>
      </c>
      <c r="AB564" t="str">
        <f>""</f>
        <v/>
      </c>
      <c r="AC564" t="str">
        <f>""</f>
        <v/>
      </c>
      <c r="AD564" t="str">
        <f>""</f>
        <v/>
      </c>
      <c r="AE564" t="str">
        <f>""</f>
        <v/>
      </c>
      <c r="AF564" t="str">
        <f>""</f>
        <v/>
      </c>
      <c r="AG564" t="str">
        <f>"S"</f>
        <v>S</v>
      </c>
      <c r="AH564" t="str">
        <f>""</f>
        <v/>
      </c>
      <c r="AI564" t="str">
        <f>""</f>
        <v/>
      </c>
      <c r="AJ564" t="str">
        <f t="shared" ref="AJ564:AL565" si="285">"0"</f>
        <v>0</v>
      </c>
      <c r="AK564" t="str">
        <f t="shared" si="285"/>
        <v>0</v>
      </c>
      <c r="AL564" t="str">
        <f t="shared" si="285"/>
        <v>0</v>
      </c>
      <c r="AM564" t="str">
        <f>""</f>
        <v/>
      </c>
      <c r="AN564" t="str">
        <f>""</f>
        <v/>
      </c>
      <c r="AO564" t="str">
        <f>""</f>
        <v/>
      </c>
      <c r="AP564" t="str">
        <f>""</f>
        <v/>
      </c>
      <c r="AQ564" t="str">
        <f>"N"</f>
        <v>N</v>
      </c>
      <c r="AR564" t="str">
        <f>"N"</f>
        <v>N</v>
      </c>
      <c r="AS564" t="str">
        <f>"N"</f>
        <v>N</v>
      </c>
      <c r="AT564" t="str">
        <f>"N"</f>
        <v>N</v>
      </c>
      <c r="AU564" t="str">
        <f>"N"</f>
        <v>N</v>
      </c>
      <c r="AV564" t="str">
        <f>""</f>
        <v/>
      </c>
      <c r="AW564" t="str">
        <f>""</f>
        <v/>
      </c>
      <c r="AX564" t="str">
        <f>""</f>
        <v/>
      </c>
      <c r="AY564" t="str">
        <f>""</f>
        <v/>
      </c>
      <c r="AZ564" t="str">
        <f>""</f>
        <v/>
      </c>
      <c r="BA564" t="str">
        <f>""</f>
        <v/>
      </c>
      <c r="BB564" t="str">
        <f>""</f>
        <v/>
      </c>
      <c r="BC564" t="str">
        <f>"04/05/2022 11:54:24"</f>
        <v>04/05/2022 11:54:24</v>
      </c>
      <c r="BD564" t="str">
        <f>""</f>
        <v/>
      </c>
      <c r="BE564" t="str">
        <f>""</f>
        <v/>
      </c>
      <c r="BF564" t="str">
        <f t="shared" si="262"/>
        <v>A</v>
      </c>
      <c r="BG564" t="str">
        <f>"0,00"</f>
        <v>0,00</v>
      </c>
      <c r="BH564" t="str">
        <f>"0,00"</f>
        <v>0,00</v>
      </c>
      <c r="BI564" t="str">
        <f t="shared" si="276"/>
        <v>EVENTUAL</v>
      </c>
      <c r="BJ564" t="str">
        <f t="shared" si="263"/>
        <v>1</v>
      </c>
      <c r="BK564" t="str">
        <f t="shared" si="264"/>
        <v>Farmacia</v>
      </c>
      <c r="BL564" t="str">
        <f>""</f>
        <v/>
      </c>
      <c r="BM564" t="str">
        <f>"NÃO É VARILUX ESPECIALISTA"</f>
        <v>NÃO É VARILUX ESPECIALISTA</v>
      </c>
      <c r="BN564" t="str">
        <f>"EL360"</f>
        <v>EL360</v>
      </c>
      <c r="BO564" t="str">
        <f>"FOCO KODAK 2"</f>
        <v>FOCO KODAK 2</v>
      </c>
      <c r="BP564" t="str">
        <f>""</f>
        <v/>
      </c>
      <c r="BQ564" t="str">
        <f>""</f>
        <v/>
      </c>
      <c r="BR564" t="str">
        <f>""</f>
        <v/>
      </c>
      <c r="BS564" t="str">
        <f>"04/05/2022"</f>
        <v>04/05/2022</v>
      </c>
      <c r="BT564" t="str">
        <f>""</f>
        <v/>
      </c>
      <c r="BU564" t="str">
        <f>""</f>
        <v/>
      </c>
      <c r="BV564" t="str">
        <f>"4"</f>
        <v>4</v>
      </c>
      <c r="BW564" t="str">
        <f>"3"</f>
        <v>3</v>
      </c>
    </row>
    <row r="565" spans="1:75" x14ac:dyDescent="0.35">
      <c r="A565">
        <v>1512</v>
      </c>
      <c r="B565" t="str">
        <f t="shared" si="259"/>
        <v>A</v>
      </c>
      <c r="C565" t="str">
        <f t="shared" si="260"/>
        <v>80</v>
      </c>
      <c r="D565" t="str">
        <f t="shared" si="281"/>
        <v>11121002</v>
      </c>
      <c r="E565" t="str">
        <f t="shared" si="282"/>
        <v>121002</v>
      </c>
      <c r="F565" t="str">
        <f t="shared" si="283"/>
        <v>CINTHIA NORONHA</v>
      </c>
      <c r="G565" t="str">
        <f>"02098920000110"</f>
        <v>02098920000110</v>
      </c>
      <c r="H565" t="str">
        <f>""</f>
        <v/>
      </c>
      <c r="I565" t="str">
        <f t="shared" si="261"/>
        <v>CONTA OPTICA</v>
      </c>
      <c r="J565" t="str">
        <f>"APW OTICA LTDA ME"</f>
        <v>APW OTICA LTDA ME</v>
      </c>
      <c r="K565" t="str">
        <f>"OTICA SANTA LUZIA (1086)"</f>
        <v>OTICA SANTA LUZIA (1086)</v>
      </c>
      <c r="L565" t="str">
        <f>""</f>
        <v/>
      </c>
      <c r="M565" t="str">
        <f>""</f>
        <v/>
      </c>
      <c r="N565" t="str">
        <f>"apwoticasantaluzia@hotmail.com"</f>
        <v>apwoticasantaluzia@hotmail.com</v>
      </c>
      <c r="O565" t="str">
        <f>""</f>
        <v/>
      </c>
      <c r="P565" t="str">
        <f>"RUA BENJAMIN CONSTANT"</f>
        <v>RUA BENJAMIN CONSTANT</v>
      </c>
      <c r="Q565" t="str">
        <f>"322"</f>
        <v>322</v>
      </c>
      <c r="R565" t="str">
        <f>""</f>
        <v/>
      </c>
      <c r="S565" t="str">
        <f>"1266"</f>
        <v>1266</v>
      </c>
      <c r="T565" t="str">
        <f>"88501110"</f>
        <v>88501110</v>
      </c>
      <c r="U565" t="str">
        <f>"CENTRO"</f>
        <v>CENTRO</v>
      </c>
      <c r="V565" t="str">
        <f>"LAGES"</f>
        <v>LAGES</v>
      </c>
      <c r="W565" t="str">
        <f t="shared" si="284"/>
        <v>SC</v>
      </c>
      <c r="X565" t="str">
        <f>"49"</f>
        <v>49</v>
      </c>
      <c r="Y565" t="str">
        <f>"32227659"</f>
        <v>32227659</v>
      </c>
      <c r="Z565" t="str">
        <f>""</f>
        <v/>
      </c>
      <c r="AA565" t="str">
        <f>""</f>
        <v/>
      </c>
      <c r="AB565" t="str">
        <f>""</f>
        <v/>
      </c>
      <c r="AC565" t="str">
        <f>""</f>
        <v/>
      </c>
      <c r="AD565" t="str">
        <f>""</f>
        <v/>
      </c>
      <c r="AE565" t="str">
        <f>""</f>
        <v/>
      </c>
      <c r="AF565" t="str">
        <f>""</f>
        <v/>
      </c>
      <c r="AG565" t="str">
        <f>""</f>
        <v/>
      </c>
      <c r="AH565" t="str">
        <f>""</f>
        <v/>
      </c>
      <c r="AI565" t="str">
        <f>""</f>
        <v/>
      </c>
      <c r="AJ565" t="str">
        <f t="shared" si="285"/>
        <v>0</v>
      </c>
      <c r="AK565" t="str">
        <f t="shared" si="285"/>
        <v>0</v>
      </c>
      <c r="AL565" t="str">
        <f t="shared" si="285"/>
        <v>0</v>
      </c>
      <c r="AM565" t="str">
        <f>""</f>
        <v/>
      </c>
      <c r="AN565" t="str">
        <f>""</f>
        <v/>
      </c>
      <c r="AO565" t="str">
        <f>""</f>
        <v/>
      </c>
      <c r="AP565" t="str">
        <f>""</f>
        <v/>
      </c>
      <c r="AQ565" t="str">
        <f>""</f>
        <v/>
      </c>
      <c r="AR565" t="str">
        <f>""</f>
        <v/>
      </c>
      <c r="AS565" t="str">
        <f>""</f>
        <v/>
      </c>
      <c r="AT565" t="str">
        <f>""</f>
        <v/>
      </c>
      <c r="AU565" t="str">
        <f>""</f>
        <v/>
      </c>
      <c r="AV565" t="str">
        <f>""</f>
        <v/>
      </c>
      <c r="AW565" t="str">
        <f>""</f>
        <v/>
      </c>
      <c r="AX565" t="str">
        <f>""</f>
        <v/>
      </c>
      <c r="AY565" t="str">
        <f>""</f>
        <v/>
      </c>
      <c r="AZ565" t="str">
        <f>""</f>
        <v/>
      </c>
      <c r="BA565" t="str">
        <f>""</f>
        <v/>
      </c>
      <c r="BB565" t="str">
        <f>"27/07/2018 09:26:23"</f>
        <v>27/07/2018 09:26:23</v>
      </c>
      <c r="BC565" t="str">
        <f>""</f>
        <v/>
      </c>
      <c r="BD565" t="str">
        <f>""</f>
        <v/>
      </c>
      <c r="BE565" t="str">
        <f>"1512"</f>
        <v>1512</v>
      </c>
      <c r="BF565" t="str">
        <f t="shared" si="262"/>
        <v>A</v>
      </c>
      <c r="BG565" t="str">
        <f>"0,00"</f>
        <v>0,00</v>
      </c>
      <c r="BH565" t="str">
        <f>"0,00"</f>
        <v>0,00</v>
      </c>
      <c r="BI565" t="str">
        <f t="shared" si="276"/>
        <v>EVENTUAL</v>
      </c>
      <c r="BJ565" t="str">
        <f t="shared" si="263"/>
        <v>1</v>
      </c>
      <c r="BK565" t="str">
        <f t="shared" si="264"/>
        <v>Farmacia</v>
      </c>
      <c r="BL565" t="str">
        <f>""</f>
        <v/>
      </c>
      <c r="BM565" t="str">
        <f>"VARILUX ESPECIALISTA PLATINE"</f>
        <v>VARILUX ESPECIALISTA PLATINE</v>
      </c>
      <c r="BN565" t="str">
        <f>"NA"</f>
        <v>NA</v>
      </c>
      <c r="BO565" t="str">
        <f>"FOCO VARILUX DIGITAL"</f>
        <v>FOCO VARILUX DIGITAL</v>
      </c>
      <c r="BP565" t="str">
        <f>""</f>
        <v/>
      </c>
      <c r="BQ565" t="str">
        <f>""</f>
        <v/>
      </c>
      <c r="BR565" t="str">
        <f>"27/07/2018"</f>
        <v>27/07/2018</v>
      </c>
      <c r="BS565" t="str">
        <f>""</f>
        <v/>
      </c>
      <c r="BT565" t="str">
        <f>""</f>
        <v/>
      </c>
      <c r="BU565" t="str">
        <f>""</f>
        <v/>
      </c>
      <c r="BV565" t="str">
        <f>"1"</f>
        <v>1</v>
      </c>
      <c r="BW565" t="str">
        <f>"4"</f>
        <v>4</v>
      </c>
    </row>
    <row r="566" spans="1:75" x14ac:dyDescent="0.35">
      <c r="A566">
        <v>157628</v>
      </c>
      <c r="B566" t="str">
        <f t="shared" si="259"/>
        <v>A</v>
      </c>
      <c r="C566" t="str">
        <f t="shared" si="260"/>
        <v>80</v>
      </c>
      <c r="D566" t="str">
        <f t="shared" si="281"/>
        <v>11121002</v>
      </c>
      <c r="E566" t="str">
        <f t="shared" si="282"/>
        <v>121002</v>
      </c>
      <c r="F566" t="str">
        <f t="shared" si="283"/>
        <v>CINTHIA NORONHA</v>
      </c>
      <c r="G566" t="str">
        <f>"74176629000123"</f>
        <v>74176629000123</v>
      </c>
      <c r="H566" t="str">
        <f>"0"</f>
        <v>0</v>
      </c>
      <c r="I566" t="str">
        <f t="shared" si="261"/>
        <v>CONTA OPTICA</v>
      </c>
      <c r="J566" t="str">
        <f>"ARNALDO PORTO"</f>
        <v>ARNALDO PORTO</v>
      </c>
      <c r="K566" t="str">
        <f>"OTICA BILA (931)"</f>
        <v>OTICA BILA (931)</v>
      </c>
      <c r="L566" t="str">
        <f>""</f>
        <v/>
      </c>
      <c r="M566" t="str">
        <f>""</f>
        <v/>
      </c>
      <c r="N566" t="str">
        <f>"ARNALDOPORTO66@YAHOO.COM.BR"</f>
        <v>ARNALDOPORTO66@YAHOO.COM.BR</v>
      </c>
      <c r="O566" t="str">
        <f>""</f>
        <v/>
      </c>
      <c r="P566" t="str">
        <f>"RUA BOANERGES PEREIRA DE MEDEIROS"</f>
        <v>RUA BOANERGES PEREIRA DE MEDEIROS</v>
      </c>
      <c r="Q566" t="str">
        <f>"182"</f>
        <v>182</v>
      </c>
      <c r="R566" t="str">
        <f>""</f>
        <v/>
      </c>
      <c r="S566" t="str">
        <f>"1267"</f>
        <v>1267</v>
      </c>
      <c r="T566" t="str">
        <f>"88600000"</f>
        <v>88600000</v>
      </c>
      <c r="U566" t="str">
        <f>"CENTRO"</f>
        <v>CENTRO</v>
      </c>
      <c r="V566" t="str">
        <f>"SAO JOAQUIM"</f>
        <v>SAO JOAQUIM</v>
      </c>
      <c r="W566" t="str">
        <f t="shared" si="284"/>
        <v>SC</v>
      </c>
      <c r="X566" t="str">
        <f>"49"</f>
        <v>49</v>
      </c>
      <c r="Y566" t="str">
        <f>"32330639"</f>
        <v>32330639</v>
      </c>
      <c r="Z566" t="str">
        <f>""</f>
        <v/>
      </c>
      <c r="AA566" t="str">
        <f>""</f>
        <v/>
      </c>
      <c r="AB566" t="str">
        <f>""</f>
        <v/>
      </c>
      <c r="AC566" t="str">
        <f>""</f>
        <v/>
      </c>
      <c r="AD566" t="str">
        <f>""</f>
        <v/>
      </c>
      <c r="AE566" t="str">
        <f>""</f>
        <v/>
      </c>
      <c r="AF566" t="str">
        <f>""</f>
        <v/>
      </c>
      <c r="AG566" t="str">
        <f>""</f>
        <v/>
      </c>
      <c r="AH566" t="str">
        <f>""</f>
        <v/>
      </c>
      <c r="AI566" t="str">
        <f>""</f>
        <v/>
      </c>
      <c r="AJ566" t="str">
        <f>""</f>
        <v/>
      </c>
      <c r="AK566" t="str">
        <f>""</f>
        <v/>
      </c>
      <c r="AL566" t="str">
        <f>""</f>
        <v/>
      </c>
      <c r="AM566" t="str">
        <f>""</f>
        <v/>
      </c>
      <c r="AN566" t="str">
        <f>""</f>
        <v/>
      </c>
      <c r="AO566" t="str">
        <f>""</f>
        <v/>
      </c>
      <c r="AP566" t="str">
        <f>""</f>
        <v/>
      </c>
      <c r="AQ566" t="str">
        <f>""</f>
        <v/>
      </c>
      <c r="AR566" t="str">
        <f>""</f>
        <v/>
      </c>
      <c r="AS566" t="str">
        <f>""</f>
        <v/>
      </c>
      <c r="AT566" t="str">
        <f>""</f>
        <v/>
      </c>
      <c r="AU566" t="str">
        <f>""</f>
        <v/>
      </c>
      <c r="AV566" t="str">
        <f>""</f>
        <v/>
      </c>
      <c r="AW566" t="str">
        <f>""</f>
        <v/>
      </c>
      <c r="AX566" t="str">
        <f>""</f>
        <v/>
      </c>
      <c r="AY566" t="str">
        <f>""</f>
        <v/>
      </c>
      <c r="AZ566" t="str">
        <f>""</f>
        <v/>
      </c>
      <c r="BA566" t="str">
        <f>""</f>
        <v/>
      </c>
      <c r="BB566" t="str">
        <f>"11/07/2023 02:19:56"</f>
        <v>11/07/2023 02:19:56</v>
      </c>
      <c r="BC566" t="str">
        <f>""</f>
        <v/>
      </c>
      <c r="BD566" t="str">
        <f>""</f>
        <v/>
      </c>
      <c r="BE566" t="str">
        <f>""</f>
        <v/>
      </c>
      <c r="BF566" t="str">
        <f t="shared" si="262"/>
        <v>A</v>
      </c>
      <c r="BG566" t="str">
        <f>""</f>
        <v/>
      </c>
      <c r="BH566" t="str">
        <f>""</f>
        <v/>
      </c>
      <c r="BI566" t="str">
        <f t="shared" si="276"/>
        <v>EVENTUAL</v>
      </c>
      <c r="BJ566" t="str">
        <f t="shared" si="263"/>
        <v>1</v>
      </c>
      <c r="BK566" t="str">
        <f t="shared" si="264"/>
        <v>Farmacia</v>
      </c>
      <c r="BL566" t="str">
        <f>""</f>
        <v/>
      </c>
      <c r="BM566" t="str">
        <f>""</f>
        <v/>
      </c>
      <c r="BN566" t="str">
        <f>""</f>
        <v/>
      </c>
      <c r="BO566" t="str">
        <f>""</f>
        <v/>
      </c>
      <c r="BP566" t="str">
        <f>""</f>
        <v/>
      </c>
      <c r="BQ566" t="str">
        <f>""</f>
        <v/>
      </c>
      <c r="BR566" t="str">
        <f>"11/07/2023"</f>
        <v>11/07/2023</v>
      </c>
      <c r="BS566" t="str">
        <f>""</f>
        <v/>
      </c>
      <c r="BT566" t="str">
        <f>""</f>
        <v/>
      </c>
      <c r="BU566" t="str">
        <f>""</f>
        <v/>
      </c>
      <c r="BV566" t="str">
        <f>""</f>
        <v/>
      </c>
      <c r="BW566" t="str">
        <f>"Não visitado"</f>
        <v>Não visitado</v>
      </c>
    </row>
    <row r="567" spans="1:75" x14ac:dyDescent="0.35">
      <c r="A567">
        <v>135177</v>
      </c>
      <c r="B567" t="str">
        <f t="shared" si="259"/>
        <v>A</v>
      </c>
      <c r="C567" t="str">
        <f t="shared" si="260"/>
        <v>80</v>
      </c>
      <c r="D567" t="str">
        <f t="shared" si="281"/>
        <v>11121002</v>
      </c>
      <c r="E567" t="str">
        <f t="shared" si="282"/>
        <v>121002</v>
      </c>
      <c r="F567" t="str">
        <f t="shared" si="283"/>
        <v>CINTHIA NORONHA</v>
      </c>
      <c r="G567" t="str">
        <f>"41432206000178"</f>
        <v>41432206000178</v>
      </c>
      <c r="H567" t="str">
        <f>"0"</f>
        <v>0</v>
      </c>
      <c r="I567" t="str">
        <f t="shared" si="261"/>
        <v>CONTA OPTICA</v>
      </c>
      <c r="J567" t="str">
        <f>"ARS CENTRO NOVO OTICA LTDA"</f>
        <v>ARS CENTRO NOVO OTICA LTDA</v>
      </c>
      <c r="K567" t="str">
        <f>"OTICAS CAROL (4308)"</f>
        <v>OTICAS CAROL (4308)</v>
      </c>
      <c r="L567" t="str">
        <f>""</f>
        <v/>
      </c>
      <c r="M567" t="str">
        <f>""</f>
        <v/>
      </c>
      <c r="N567" t="str">
        <f>"CONTROLADORIA.FLORIPA@OTICASCAROL.COM.BR"</f>
        <v>CONTROLADORIA.FLORIPA@OTICASCAROL.COM.BR</v>
      </c>
      <c r="O567" t="str">
        <f>""</f>
        <v/>
      </c>
      <c r="P567" t="str">
        <f>"RUA FELIPE SCHIMIDT"</f>
        <v>RUA FELIPE SCHIMIDT</v>
      </c>
      <c r="Q567" t="str">
        <f>"249"</f>
        <v>249</v>
      </c>
      <c r="R567" t="str">
        <f>"SALA 01 ARS"</f>
        <v>SALA 01 ARS</v>
      </c>
      <c r="S567" t="str">
        <f>"1254"</f>
        <v>1254</v>
      </c>
      <c r="T567" t="str">
        <f>"88010000"</f>
        <v>88010000</v>
      </c>
      <c r="U567" t="str">
        <f>"CENTRO"</f>
        <v>CENTRO</v>
      </c>
      <c r="V567" t="str">
        <f>"FLORIANOPOLIS"</f>
        <v>FLORIANOPOLIS</v>
      </c>
      <c r="W567" t="str">
        <f t="shared" si="284"/>
        <v>SC</v>
      </c>
      <c r="X567" t="str">
        <f>"48"</f>
        <v>48</v>
      </c>
      <c r="Y567" t="str">
        <f>"32259791"</f>
        <v>32259791</v>
      </c>
      <c r="Z567" t="str">
        <f>""</f>
        <v/>
      </c>
      <c r="AA567" t="str">
        <f>""</f>
        <v/>
      </c>
      <c r="AB567" t="str">
        <f>""</f>
        <v/>
      </c>
      <c r="AC567" t="str">
        <f>""</f>
        <v/>
      </c>
      <c r="AD567" t="str">
        <f>""</f>
        <v/>
      </c>
      <c r="AE567" t="str">
        <f>""</f>
        <v/>
      </c>
      <c r="AF567" t="str">
        <f>""</f>
        <v/>
      </c>
      <c r="AG567" t="str">
        <f>""</f>
        <v/>
      </c>
      <c r="AH567" t="str">
        <f>""</f>
        <v/>
      </c>
      <c r="AI567" t="str">
        <f>""</f>
        <v/>
      </c>
      <c r="AJ567" t="str">
        <f>""</f>
        <v/>
      </c>
      <c r="AK567" t="str">
        <f>""</f>
        <v/>
      </c>
      <c r="AL567" t="str">
        <f>""</f>
        <v/>
      </c>
      <c r="AM567" t="str">
        <f>""</f>
        <v/>
      </c>
      <c r="AN567" t="str">
        <f>""</f>
        <v/>
      </c>
      <c r="AO567" t="str">
        <f>""</f>
        <v/>
      </c>
      <c r="AP567" t="str">
        <f>""</f>
        <v/>
      </c>
      <c r="AQ567" t="str">
        <f>""</f>
        <v/>
      </c>
      <c r="AR567" t="str">
        <f>""</f>
        <v/>
      </c>
      <c r="AS567" t="str">
        <f>""</f>
        <v/>
      </c>
      <c r="AT567" t="str">
        <f>""</f>
        <v/>
      </c>
      <c r="AU567" t="str">
        <f>""</f>
        <v/>
      </c>
      <c r="AV567" t="str">
        <f>""</f>
        <v/>
      </c>
      <c r="AW567" t="str">
        <f>""</f>
        <v/>
      </c>
      <c r="AX567" t="str">
        <f>""</f>
        <v/>
      </c>
      <c r="AY567" t="str">
        <f>""</f>
        <v/>
      </c>
      <c r="AZ567" t="str">
        <f>""</f>
        <v/>
      </c>
      <c r="BA567" t="str">
        <f>""</f>
        <v/>
      </c>
      <c r="BB567" t="str">
        <f>"30/04/2021 10:16:11"</f>
        <v>30/04/2021 10:16:11</v>
      </c>
      <c r="BC567" t="str">
        <f>""</f>
        <v/>
      </c>
      <c r="BD567" t="str">
        <f>""</f>
        <v/>
      </c>
      <c r="BE567" t="str">
        <f>""</f>
        <v/>
      </c>
      <c r="BF567" t="str">
        <f t="shared" si="262"/>
        <v>A</v>
      </c>
      <c r="BG567" t="str">
        <f>""</f>
        <v/>
      </c>
      <c r="BH567" t="str">
        <f>""</f>
        <v/>
      </c>
      <c r="BI567" t="str">
        <f t="shared" si="276"/>
        <v>EVENTUAL</v>
      </c>
      <c r="BJ567" t="str">
        <f t="shared" si="263"/>
        <v>1</v>
      </c>
      <c r="BK567" t="str">
        <f t="shared" si="264"/>
        <v>Farmacia</v>
      </c>
      <c r="BL567" t="str">
        <f>""</f>
        <v/>
      </c>
      <c r="BM567" t="str">
        <f>"VARILUX ESPECIALISTA PLATINE"</f>
        <v>VARILUX ESPECIALISTA PLATINE</v>
      </c>
      <c r="BN567" t="str">
        <f>"NA"</f>
        <v>NA</v>
      </c>
      <c r="BO567" t="str">
        <f>"FOCO VARILUX DIGITAL"</f>
        <v>FOCO VARILUX DIGITAL</v>
      </c>
      <c r="BP567" t="str">
        <f>""</f>
        <v/>
      </c>
      <c r="BQ567" t="str">
        <f>""</f>
        <v/>
      </c>
      <c r="BR567" t="str">
        <f>"30/04/2021"</f>
        <v>30/04/2021</v>
      </c>
      <c r="BS567" t="str">
        <f>""</f>
        <v/>
      </c>
      <c r="BT567" t="str">
        <f>""</f>
        <v/>
      </c>
      <c r="BU567" t="str">
        <f>""</f>
        <v/>
      </c>
      <c r="BV567" t="str">
        <f>""</f>
        <v/>
      </c>
      <c r="BW567" t="str">
        <f>"85"</f>
        <v>85</v>
      </c>
    </row>
    <row r="568" spans="1:75" x14ac:dyDescent="0.35">
      <c r="A568">
        <v>151594</v>
      </c>
      <c r="B568" t="str">
        <f t="shared" si="259"/>
        <v>A</v>
      </c>
      <c r="C568" t="str">
        <f t="shared" si="260"/>
        <v>80</v>
      </c>
      <c r="D568" t="str">
        <f t="shared" si="281"/>
        <v>11121002</v>
      </c>
      <c r="E568" t="str">
        <f t="shared" si="282"/>
        <v>121002</v>
      </c>
      <c r="F568" t="str">
        <f t="shared" si="283"/>
        <v>CINTHIA NORONHA</v>
      </c>
      <c r="G568" t="str">
        <f>"81373300000118"</f>
        <v>81373300000118</v>
      </c>
      <c r="H568" t="str">
        <f>"0"</f>
        <v>0</v>
      </c>
      <c r="I568" t="str">
        <f t="shared" si="261"/>
        <v>CONTA OPTICA</v>
      </c>
      <c r="J568" t="str">
        <f>"ARTE JOIAS E OPTICA LTDA"</f>
        <v>ARTE JOIAS E OPTICA LTDA</v>
      </c>
      <c r="K568" t="str">
        <f>"ARTE JOIAS E OPTICA (772)"</f>
        <v>ARTE JOIAS E OPTICA (772)</v>
      </c>
      <c r="L568" t="str">
        <f>""</f>
        <v/>
      </c>
      <c r="M568" t="str">
        <f>""</f>
        <v/>
      </c>
      <c r="N568" t="str">
        <f>"lojauui@hotmail.com"</f>
        <v>lojauui@hotmail.com</v>
      </c>
      <c r="O568" t="str">
        <f>""</f>
        <v/>
      </c>
      <c r="P568" t="str">
        <f>"RUA PRACA CAETANO VIEIRA DE SOUZA"</f>
        <v>RUA PRACA CAETANO VIEIRA DE SOUZA</v>
      </c>
      <c r="Q568" t="str">
        <f>"27"</f>
        <v>27</v>
      </c>
      <c r="R568" t="str">
        <f>"SALA 02"</f>
        <v>SALA 02</v>
      </c>
      <c r="S568" t="str">
        <f>"1267"</f>
        <v>1267</v>
      </c>
      <c r="T568" t="str">
        <f>"88650000"</f>
        <v>88650000</v>
      </c>
      <c r="U568" t="str">
        <f>"NAO INFORMADO"</f>
        <v>NAO INFORMADO</v>
      </c>
      <c r="V568" t="str">
        <f>"URUBICI"</f>
        <v>URUBICI</v>
      </c>
      <c r="W568" t="str">
        <f t="shared" si="284"/>
        <v>SC</v>
      </c>
      <c r="X568" t="str">
        <f>"49"</f>
        <v>49</v>
      </c>
      <c r="Y568" t="str">
        <f>"32784531"</f>
        <v>32784531</v>
      </c>
      <c r="Z568" t="str">
        <f>""</f>
        <v/>
      </c>
      <c r="AA568" t="str">
        <f>""</f>
        <v/>
      </c>
      <c r="AB568" t="str">
        <f>""</f>
        <v/>
      </c>
      <c r="AC568" t="str">
        <f>""</f>
        <v/>
      </c>
      <c r="AD568" t="str">
        <f>""</f>
        <v/>
      </c>
      <c r="AE568" t="str">
        <f>""</f>
        <v/>
      </c>
      <c r="AF568" t="str">
        <f>""</f>
        <v/>
      </c>
      <c r="AG568" t="str">
        <f>""</f>
        <v/>
      </c>
      <c r="AH568" t="str">
        <f>""</f>
        <v/>
      </c>
      <c r="AI568" t="str">
        <f>""</f>
        <v/>
      </c>
      <c r="AJ568" t="str">
        <f>""</f>
        <v/>
      </c>
      <c r="AK568" t="str">
        <f>""</f>
        <v/>
      </c>
      <c r="AL568" t="str">
        <f>""</f>
        <v/>
      </c>
      <c r="AM568" t="str">
        <f>""</f>
        <v/>
      </c>
      <c r="AN568" t="str">
        <f>""</f>
        <v/>
      </c>
      <c r="AO568" t="str">
        <f>""</f>
        <v/>
      </c>
      <c r="AP568" t="str">
        <f>""</f>
        <v/>
      </c>
      <c r="AQ568" t="str">
        <f>""</f>
        <v/>
      </c>
      <c r="AR568" t="str">
        <f>""</f>
        <v/>
      </c>
      <c r="AS568" t="str">
        <f>""</f>
        <v/>
      </c>
      <c r="AT568" t="str">
        <f>""</f>
        <v/>
      </c>
      <c r="AU568" t="str">
        <f>""</f>
        <v/>
      </c>
      <c r="AV568" t="str">
        <f>""</f>
        <v/>
      </c>
      <c r="AW568" t="str">
        <f>""</f>
        <v/>
      </c>
      <c r="AX568" t="str">
        <f>""</f>
        <v/>
      </c>
      <c r="AY568" t="str">
        <f>""</f>
        <v/>
      </c>
      <c r="AZ568" t="str">
        <f>""</f>
        <v/>
      </c>
      <c r="BA568" t="str">
        <f>""</f>
        <v/>
      </c>
      <c r="BB568" t="str">
        <f>"28/10/2022 14:20:33"</f>
        <v>28/10/2022 14:20:33</v>
      </c>
      <c r="BC568" t="str">
        <f>""</f>
        <v/>
      </c>
      <c r="BD568" t="str">
        <f>""</f>
        <v/>
      </c>
      <c r="BE568" t="str">
        <f>""</f>
        <v/>
      </c>
      <c r="BF568" t="str">
        <f t="shared" si="262"/>
        <v>A</v>
      </c>
      <c r="BG568" t="str">
        <f>""</f>
        <v/>
      </c>
      <c r="BH568" t="str">
        <f>""</f>
        <v/>
      </c>
      <c r="BI568" t="str">
        <f t="shared" si="276"/>
        <v>EVENTUAL</v>
      </c>
      <c r="BJ568" t="str">
        <f t="shared" si="263"/>
        <v>1</v>
      </c>
      <c r="BK568" t="str">
        <f t="shared" si="264"/>
        <v>Farmacia</v>
      </c>
      <c r="BL568" t="str">
        <f>""</f>
        <v/>
      </c>
      <c r="BM568" t="str">
        <f>""</f>
        <v/>
      </c>
      <c r="BN568" t="str">
        <f>""</f>
        <v/>
      </c>
      <c r="BO568" t="str">
        <f>""</f>
        <v/>
      </c>
      <c r="BP568" t="str">
        <f>""</f>
        <v/>
      </c>
      <c r="BQ568" t="str">
        <f>""</f>
        <v/>
      </c>
      <c r="BR568" t="str">
        <f>"28/10/2022"</f>
        <v>28/10/2022</v>
      </c>
      <c r="BS568" t="str">
        <f>""</f>
        <v/>
      </c>
      <c r="BT568" t="str">
        <f>""</f>
        <v/>
      </c>
      <c r="BU568" t="str">
        <f>""</f>
        <v/>
      </c>
      <c r="BV568" t="str">
        <f>""</f>
        <v/>
      </c>
      <c r="BW568" t="str">
        <f>"10"</f>
        <v>10</v>
      </c>
    </row>
    <row r="569" spans="1:75" x14ac:dyDescent="0.35">
      <c r="A569">
        <v>120534</v>
      </c>
      <c r="B569" t="str">
        <f t="shared" si="259"/>
        <v>A</v>
      </c>
      <c r="C569" t="str">
        <f t="shared" si="260"/>
        <v>80</v>
      </c>
      <c r="D569" t="str">
        <f t="shared" si="281"/>
        <v>11121002</v>
      </c>
      <c r="E569" t="str">
        <f t="shared" si="282"/>
        <v>121002</v>
      </c>
      <c r="F569" t="str">
        <f t="shared" si="283"/>
        <v>CINTHIA NORONHA</v>
      </c>
      <c r="G569" t="str">
        <f>"04955003000130"</f>
        <v>04955003000130</v>
      </c>
      <c r="H569" t="str">
        <f>"0"</f>
        <v>0</v>
      </c>
      <c r="I569" t="str">
        <f t="shared" si="261"/>
        <v>CONTA OPTICA</v>
      </c>
      <c r="J569" t="str">
        <f>"AURA DE FRAGA MARCOS ME"</f>
        <v>AURA DE FRAGA MARCOS ME</v>
      </c>
      <c r="K569" t="str">
        <f>"OTICA MARCOS (1862)"</f>
        <v>OTICA MARCOS (1862)</v>
      </c>
      <c r="L569" t="str">
        <f>""</f>
        <v/>
      </c>
      <c r="M569" t="str">
        <f>""</f>
        <v/>
      </c>
      <c r="N569" t="str">
        <f>"oticamarcos.laguna@hotmail.com"</f>
        <v>oticamarcos.laguna@hotmail.com</v>
      </c>
      <c r="O569" t="str">
        <f>""</f>
        <v/>
      </c>
      <c r="P569" t="str">
        <f>"RUA GUSTAVO RICHARD"</f>
        <v>RUA GUSTAVO RICHARD</v>
      </c>
      <c r="Q569" t="str">
        <f>"290"</f>
        <v>290</v>
      </c>
      <c r="R569" t="str">
        <f>"SALA"</f>
        <v>SALA</v>
      </c>
      <c r="S569" t="str">
        <f>"1268"</f>
        <v>1268</v>
      </c>
      <c r="T569" t="str">
        <f>"88790000"</f>
        <v>88790000</v>
      </c>
      <c r="U569" t="str">
        <f>"POVOADO DE LARANJEIRAS"</f>
        <v>POVOADO DE LARANJEIRAS</v>
      </c>
      <c r="V569" t="str">
        <f>"LAGUNA"</f>
        <v>LAGUNA</v>
      </c>
      <c r="W569" t="str">
        <f t="shared" si="284"/>
        <v>SC</v>
      </c>
      <c r="X569" t="str">
        <f>"48"</f>
        <v>48</v>
      </c>
      <c r="Y569" t="str">
        <f>"36441657"</f>
        <v>36441657</v>
      </c>
      <c r="Z569" t="str">
        <f>""</f>
        <v/>
      </c>
      <c r="AA569" t="str">
        <f>""</f>
        <v/>
      </c>
      <c r="AB569" t="str">
        <f>""</f>
        <v/>
      </c>
      <c r="AC569" t="str">
        <f>""</f>
        <v/>
      </c>
      <c r="AD569" t="str">
        <f>""</f>
        <v/>
      </c>
      <c r="AE569" t="str">
        <f>""</f>
        <v/>
      </c>
      <c r="AF569" t="str">
        <f>""</f>
        <v/>
      </c>
      <c r="AG569" t="str">
        <f>""</f>
        <v/>
      </c>
      <c r="AH569" t="str">
        <f>""</f>
        <v/>
      </c>
      <c r="AI569" t="str">
        <f>""</f>
        <v/>
      </c>
      <c r="AJ569" t="str">
        <f>""</f>
        <v/>
      </c>
      <c r="AK569" t="str">
        <f>""</f>
        <v/>
      </c>
      <c r="AL569" t="str">
        <f>""</f>
        <v/>
      </c>
      <c r="AM569" t="str">
        <f>""</f>
        <v/>
      </c>
      <c r="AN569" t="str">
        <f>""</f>
        <v/>
      </c>
      <c r="AO569" t="str">
        <f>""</f>
        <v/>
      </c>
      <c r="AP569" t="str">
        <f>""</f>
        <v/>
      </c>
      <c r="AQ569" t="str">
        <f>""</f>
        <v/>
      </c>
      <c r="AR569" t="str">
        <f>""</f>
        <v/>
      </c>
      <c r="AS569" t="str">
        <f>""</f>
        <v/>
      </c>
      <c r="AT569" t="str">
        <f>""</f>
        <v/>
      </c>
      <c r="AU569" t="str">
        <f>""</f>
        <v/>
      </c>
      <c r="AV569" t="str">
        <f>""</f>
        <v/>
      </c>
      <c r="AW569" t="str">
        <f>""</f>
        <v/>
      </c>
      <c r="AX569" t="str">
        <f>""</f>
        <v/>
      </c>
      <c r="AY569" t="str">
        <f>""</f>
        <v/>
      </c>
      <c r="AZ569" t="str">
        <f>""</f>
        <v/>
      </c>
      <c r="BA569" t="str">
        <f>""</f>
        <v/>
      </c>
      <c r="BB569" t="str">
        <f>"22/09/2020 15:29:33"</f>
        <v>22/09/2020 15:29:33</v>
      </c>
      <c r="BC569" t="str">
        <f>""</f>
        <v/>
      </c>
      <c r="BD569" t="str">
        <f>""</f>
        <v/>
      </c>
      <c r="BE569" t="str">
        <f>""</f>
        <v/>
      </c>
      <c r="BF569" t="str">
        <f t="shared" si="262"/>
        <v>A</v>
      </c>
      <c r="BG569" t="str">
        <f>""</f>
        <v/>
      </c>
      <c r="BH569" t="str">
        <f>""</f>
        <v/>
      </c>
      <c r="BI569" t="str">
        <f t="shared" si="276"/>
        <v>EVENTUAL</v>
      </c>
      <c r="BJ569" t="str">
        <f t="shared" si="263"/>
        <v>1</v>
      </c>
      <c r="BK569" t="str">
        <f t="shared" si="264"/>
        <v>Farmacia</v>
      </c>
      <c r="BL569" t="str">
        <f>""</f>
        <v/>
      </c>
      <c r="BM569" t="str">
        <f>"NÃO É VARILUX ESPECIALISTA"</f>
        <v>NÃO É VARILUX ESPECIALISTA</v>
      </c>
      <c r="BN569" t="str">
        <f>"NA"</f>
        <v>NA</v>
      </c>
      <c r="BO569" t="str">
        <f>"FOCO VARILUX DIGITAL"</f>
        <v>FOCO VARILUX DIGITAL</v>
      </c>
      <c r="BP569" t="str">
        <f>""</f>
        <v/>
      </c>
      <c r="BQ569" t="str">
        <f>""</f>
        <v/>
      </c>
      <c r="BR569" t="str">
        <f>"22/09/2020"</f>
        <v>22/09/2020</v>
      </c>
      <c r="BS569" t="str">
        <f>""</f>
        <v/>
      </c>
      <c r="BT569" t="str">
        <f>""</f>
        <v/>
      </c>
      <c r="BU569" t="str">
        <f>""</f>
        <v/>
      </c>
      <c r="BV569" t="str">
        <f>"6"</f>
        <v>6</v>
      </c>
      <c r="BW569" t="str">
        <f>"Não visitado"</f>
        <v>Não visitado</v>
      </c>
    </row>
    <row r="570" spans="1:75" x14ac:dyDescent="0.35">
      <c r="A570">
        <v>306</v>
      </c>
      <c r="B570" t="str">
        <f t="shared" si="259"/>
        <v>A</v>
      </c>
      <c r="C570" t="str">
        <f t="shared" si="260"/>
        <v>80</v>
      </c>
      <c r="D570" t="str">
        <f t="shared" si="281"/>
        <v>11121002</v>
      </c>
      <c r="E570" t="str">
        <f t="shared" si="282"/>
        <v>121002</v>
      </c>
      <c r="F570" t="str">
        <f t="shared" si="283"/>
        <v>CINTHIA NORONHA</v>
      </c>
      <c r="G570" t="str">
        <f>"01153947000103"</f>
        <v>01153947000103</v>
      </c>
      <c r="H570" t="str">
        <f>""</f>
        <v/>
      </c>
      <c r="I570" t="str">
        <f t="shared" si="261"/>
        <v>CONTA OPTICA</v>
      </c>
      <c r="J570" t="str">
        <f>"BBZ COMERCIO DE PRODUTOS OPTICOS LTDA ME"</f>
        <v>BBZ COMERCIO DE PRODUTOS OPTICOS LTDA ME</v>
      </c>
      <c r="K570" t="str">
        <f>"BBZ RIO BRANCO (962)"</f>
        <v>BBZ RIO BRANCO (962)</v>
      </c>
      <c r="L570" t="str">
        <f>""</f>
        <v/>
      </c>
      <c r="M570" t="str">
        <f>""</f>
        <v/>
      </c>
      <c r="N570" t="str">
        <f>"oticabbz@hotmail.com"</f>
        <v>oticabbz@hotmail.com</v>
      </c>
      <c r="O570" t="str">
        <f>""</f>
        <v/>
      </c>
      <c r="P570" t="str">
        <f>"AVENIDA OSMAR CUNHA"</f>
        <v>AVENIDA OSMAR CUNHA</v>
      </c>
      <c r="Q570" t="str">
        <f>"183"</f>
        <v>183</v>
      </c>
      <c r="R570" t="str">
        <f>"LJ 24"</f>
        <v>LJ 24</v>
      </c>
      <c r="S570" t="str">
        <f>"1255"</f>
        <v>1255</v>
      </c>
      <c r="T570" t="str">
        <f>"88015900"</f>
        <v>88015900</v>
      </c>
      <c r="U570" t="str">
        <f>"CENTRO"</f>
        <v>CENTRO</v>
      </c>
      <c r="V570" t="str">
        <f>"FLORIANÓPOLIS"</f>
        <v>FLORIANÓPOLIS</v>
      </c>
      <c r="W570" t="str">
        <f t="shared" si="284"/>
        <v>SC</v>
      </c>
      <c r="X570" t="str">
        <f>"48"</f>
        <v>48</v>
      </c>
      <c r="Y570" t="str">
        <f>"30245501"</f>
        <v>30245501</v>
      </c>
      <c r="Z570" t="str">
        <f>""</f>
        <v/>
      </c>
      <c r="AA570" t="str">
        <f>""</f>
        <v/>
      </c>
      <c r="AB570" t="str">
        <f>""</f>
        <v/>
      </c>
      <c r="AC570" t="str">
        <f>""</f>
        <v/>
      </c>
      <c r="AD570" t="str">
        <f>""</f>
        <v/>
      </c>
      <c r="AE570" t="str">
        <f>""</f>
        <v/>
      </c>
      <c r="AF570" t="str">
        <f>""</f>
        <v/>
      </c>
      <c r="AG570" t="str">
        <f>""</f>
        <v/>
      </c>
      <c r="AH570" t="str">
        <f>""</f>
        <v/>
      </c>
      <c r="AI570" t="str">
        <f>""</f>
        <v/>
      </c>
      <c r="AJ570" t="str">
        <f t="shared" ref="AJ570:AL573" si="286">"0"</f>
        <v>0</v>
      </c>
      <c r="AK570" t="str">
        <f t="shared" si="286"/>
        <v>0</v>
      </c>
      <c r="AL570" t="str">
        <f t="shared" si="286"/>
        <v>0</v>
      </c>
      <c r="AM570" t="str">
        <f>""</f>
        <v/>
      </c>
      <c r="AN570" t="str">
        <f>""</f>
        <v/>
      </c>
      <c r="AO570" t="str">
        <f>""</f>
        <v/>
      </c>
      <c r="AP570" t="str">
        <f>""</f>
        <v/>
      </c>
      <c r="AQ570" t="str">
        <f>""</f>
        <v/>
      </c>
      <c r="AR570" t="str">
        <f>""</f>
        <v/>
      </c>
      <c r="AS570" t="str">
        <f>""</f>
        <v/>
      </c>
      <c r="AT570" t="str">
        <f>""</f>
        <v/>
      </c>
      <c r="AU570" t="str">
        <f>""</f>
        <v/>
      </c>
      <c r="AV570" t="str">
        <f>""</f>
        <v/>
      </c>
      <c r="AW570" t="str">
        <f>""</f>
        <v/>
      </c>
      <c r="AX570" t="str">
        <f>""</f>
        <v/>
      </c>
      <c r="AY570" t="str">
        <f>""</f>
        <v/>
      </c>
      <c r="AZ570" t="str">
        <f>""</f>
        <v/>
      </c>
      <c r="BA570" t="str">
        <f>""</f>
        <v/>
      </c>
      <c r="BB570" t="str">
        <f>"27/07/2018 09:25:37"</f>
        <v>27/07/2018 09:25:37</v>
      </c>
      <c r="BC570" t="str">
        <f>""</f>
        <v/>
      </c>
      <c r="BD570" t="str">
        <f>""</f>
        <v/>
      </c>
      <c r="BE570" t="str">
        <f>"306"</f>
        <v>306</v>
      </c>
      <c r="BF570" t="str">
        <f t="shared" si="262"/>
        <v>A</v>
      </c>
      <c r="BG570" t="str">
        <f t="shared" ref="BG570:BH573" si="287">"0,00"</f>
        <v>0,00</v>
      </c>
      <c r="BH570" t="str">
        <f t="shared" si="287"/>
        <v>0,00</v>
      </c>
      <c r="BI570" t="str">
        <f t="shared" si="276"/>
        <v>EVENTUAL</v>
      </c>
      <c r="BJ570" t="str">
        <f t="shared" si="263"/>
        <v>1</v>
      </c>
      <c r="BK570" t="str">
        <f t="shared" si="264"/>
        <v>Farmacia</v>
      </c>
      <c r="BL570" t="str">
        <f>""</f>
        <v/>
      </c>
      <c r="BM570" t="str">
        <f>"CREDENCIADO VARILUX"</f>
        <v>CREDENCIADO VARILUX</v>
      </c>
      <c r="BN570" t="str">
        <f>"NA"</f>
        <v>NA</v>
      </c>
      <c r="BO570" t="str">
        <f>"FOCO VARILUX DIGITAL"</f>
        <v>FOCO VARILUX DIGITAL</v>
      </c>
      <c r="BP570" t="str">
        <f>""</f>
        <v/>
      </c>
      <c r="BQ570" t="str">
        <f>""</f>
        <v/>
      </c>
      <c r="BR570" t="str">
        <f>"27/07/2018"</f>
        <v>27/07/2018</v>
      </c>
      <c r="BS570" t="str">
        <f>""</f>
        <v/>
      </c>
      <c r="BT570" t="str">
        <f>""</f>
        <v/>
      </c>
      <c r="BU570" t="str">
        <f>""</f>
        <v/>
      </c>
      <c r="BV570" t="str">
        <f>"1"</f>
        <v>1</v>
      </c>
      <c r="BW570" t="str">
        <f>"Não visitado"</f>
        <v>Não visitado</v>
      </c>
    </row>
    <row r="571" spans="1:75" x14ac:dyDescent="0.35">
      <c r="A571">
        <v>134240</v>
      </c>
      <c r="B571" t="str">
        <f t="shared" si="259"/>
        <v>A</v>
      </c>
      <c r="C571" t="str">
        <f t="shared" si="260"/>
        <v>80</v>
      </c>
      <c r="D571" t="str">
        <f t="shared" si="281"/>
        <v>11121002</v>
      </c>
      <c r="E571" t="str">
        <f t="shared" si="282"/>
        <v>121002</v>
      </c>
      <c r="F571" t="str">
        <f t="shared" si="283"/>
        <v>CINTHIA NORONHA</v>
      </c>
      <c r="G571" t="str">
        <f>"14279650000122"</f>
        <v>14279650000122</v>
      </c>
      <c r="H571" t="str">
        <f>""</f>
        <v/>
      </c>
      <c r="I571" t="str">
        <f t="shared" si="261"/>
        <v>CONTA OPTICA</v>
      </c>
      <c r="J571" t="str">
        <f>"BD COMERCIO DE PRODUTOS LTDA ME"</f>
        <v>BD COMERCIO DE PRODUTOS LTDA ME</v>
      </c>
      <c r="K571" t="str">
        <f>"OTICA BBZ (1873)"</f>
        <v>OTICA BBZ (1873)</v>
      </c>
      <c r="L571" t="str">
        <f>""</f>
        <v/>
      </c>
      <c r="M571" t="str">
        <f>""</f>
        <v/>
      </c>
      <c r="N571" t="str">
        <f>"oticadeodoro@grupobbz.com.br"</f>
        <v>oticadeodoro@grupobbz.com.br</v>
      </c>
      <c r="O571" t="str">
        <f>""</f>
        <v/>
      </c>
      <c r="P571" t="str">
        <f>"RUA DEODORO"</f>
        <v>RUA DEODORO</v>
      </c>
      <c r="Q571" t="str">
        <f>"201"</f>
        <v>201</v>
      </c>
      <c r="R571" t="str">
        <f>"LOJA 02"</f>
        <v>LOJA 02</v>
      </c>
      <c r="S571" t="str">
        <f>"1254"</f>
        <v>1254</v>
      </c>
      <c r="T571" t="str">
        <f>"88010020"</f>
        <v>88010020</v>
      </c>
      <c r="U571" t="str">
        <f>"CENTRO"</f>
        <v>CENTRO</v>
      </c>
      <c r="V571" t="str">
        <f>"FLORIANÓPOLIS"</f>
        <v>FLORIANÓPOLIS</v>
      </c>
      <c r="W571" t="str">
        <f t="shared" si="284"/>
        <v>SC</v>
      </c>
      <c r="X571" t="str">
        <f>"48"</f>
        <v>48</v>
      </c>
      <c r="Y571" t="str">
        <f>"30245502"</f>
        <v>30245502</v>
      </c>
      <c r="Z571" t="str">
        <f>""</f>
        <v/>
      </c>
      <c r="AA571" t="str">
        <f>""</f>
        <v/>
      </c>
      <c r="AB571" t="str">
        <f>""</f>
        <v/>
      </c>
      <c r="AC571" t="str">
        <f>""</f>
        <v/>
      </c>
      <c r="AD571" t="str">
        <f>""</f>
        <v/>
      </c>
      <c r="AE571" t="str">
        <f>""</f>
        <v/>
      </c>
      <c r="AF571" t="str">
        <f>""</f>
        <v/>
      </c>
      <c r="AG571" t="str">
        <f>"S"</f>
        <v>S</v>
      </c>
      <c r="AH571" t="str">
        <f>""</f>
        <v/>
      </c>
      <c r="AI571" t="str">
        <f>""</f>
        <v/>
      </c>
      <c r="AJ571" t="str">
        <f t="shared" si="286"/>
        <v>0</v>
      </c>
      <c r="AK571" t="str">
        <f t="shared" si="286"/>
        <v>0</v>
      </c>
      <c r="AL571" t="str">
        <f t="shared" si="286"/>
        <v>0</v>
      </c>
      <c r="AM571" t="str">
        <f>""</f>
        <v/>
      </c>
      <c r="AN571" t="str">
        <f>""</f>
        <v/>
      </c>
      <c r="AO571" t="str">
        <f>""</f>
        <v/>
      </c>
      <c r="AP571" t="str">
        <f>""</f>
        <v/>
      </c>
      <c r="AQ571" t="str">
        <f>"N"</f>
        <v>N</v>
      </c>
      <c r="AR571" t="str">
        <f>"N"</f>
        <v>N</v>
      </c>
      <c r="AS571" t="str">
        <f>"N"</f>
        <v>N</v>
      </c>
      <c r="AT571" t="str">
        <f>"N"</f>
        <v>N</v>
      </c>
      <c r="AU571" t="str">
        <f>"N"</f>
        <v>N</v>
      </c>
      <c r="AV571" t="str">
        <f>""</f>
        <v/>
      </c>
      <c r="AW571" t="str">
        <f>""</f>
        <v/>
      </c>
      <c r="AX571" t="str">
        <f>""</f>
        <v/>
      </c>
      <c r="AY571" t="str">
        <f>""</f>
        <v/>
      </c>
      <c r="AZ571" t="str">
        <f>""</f>
        <v/>
      </c>
      <c r="BA571" t="str">
        <f>""</f>
        <v/>
      </c>
      <c r="BB571" t="str">
        <f>""</f>
        <v/>
      </c>
      <c r="BC571" t="str">
        <f>"27/12/2021 16:06:18"</f>
        <v>27/12/2021 16:06:18</v>
      </c>
      <c r="BD571" t="str">
        <f>""</f>
        <v/>
      </c>
      <c r="BE571" t="str">
        <f>""</f>
        <v/>
      </c>
      <c r="BF571" t="str">
        <f t="shared" si="262"/>
        <v>A</v>
      </c>
      <c r="BG571" t="str">
        <f t="shared" si="287"/>
        <v>0,00</v>
      </c>
      <c r="BH571" t="str">
        <f t="shared" si="287"/>
        <v>0,00</v>
      </c>
      <c r="BI571" t="str">
        <f t="shared" si="276"/>
        <v>EVENTUAL</v>
      </c>
      <c r="BJ571" t="str">
        <f t="shared" si="263"/>
        <v>1</v>
      </c>
      <c r="BK571" t="str">
        <f t="shared" si="264"/>
        <v>Farmacia</v>
      </c>
      <c r="BL571" t="str">
        <f>""</f>
        <v/>
      </c>
      <c r="BM571" t="str">
        <f>"NÃO É VARILUX ESPECIALISTA"</f>
        <v>NÃO É VARILUX ESPECIALISTA</v>
      </c>
      <c r="BN571" t="str">
        <f>"NA"</f>
        <v>NA</v>
      </c>
      <c r="BO571" t="str">
        <f>"FOCO VARILUX DIGITAL"</f>
        <v>FOCO VARILUX DIGITAL</v>
      </c>
      <c r="BP571" t="str">
        <f>""</f>
        <v/>
      </c>
      <c r="BQ571" t="str">
        <f>""</f>
        <v/>
      </c>
      <c r="BR571" t="str">
        <f>""</f>
        <v/>
      </c>
      <c r="BS571" t="str">
        <f>"27/12/2021"</f>
        <v>27/12/2021</v>
      </c>
      <c r="BT571" t="str">
        <f>""</f>
        <v/>
      </c>
      <c r="BU571" t="str">
        <f>""</f>
        <v/>
      </c>
      <c r="BV571" t="str">
        <f>"1"</f>
        <v>1</v>
      </c>
      <c r="BW571" t="str">
        <f>"487"</f>
        <v>487</v>
      </c>
    </row>
    <row r="572" spans="1:75" x14ac:dyDescent="0.35">
      <c r="A572">
        <v>151774</v>
      </c>
      <c r="B572" t="str">
        <f t="shared" si="259"/>
        <v>A</v>
      </c>
      <c r="C572" t="str">
        <f t="shared" si="260"/>
        <v>80</v>
      </c>
      <c r="D572" t="str">
        <f t="shared" si="281"/>
        <v>11121002</v>
      </c>
      <c r="E572" t="str">
        <f t="shared" si="282"/>
        <v>121002</v>
      </c>
      <c r="F572" t="str">
        <f t="shared" si="283"/>
        <v>CINTHIA NORONHA</v>
      </c>
      <c r="G572" t="str">
        <f>"07925089000146"</f>
        <v>07925089000146</v>
      </c>
      <c r="H572" t="str">
        <f>"0"</f>
        <v>0</v>
      </c>
      <c r="I572" t="str">
        <f t="shared" si="261"/>
        <v>CONTA OPTICA</v>
      </c>
      <c r="J572" t="str">
        <f>"BELLAPRATA - JOIAS E RELOGIOS LTDA"</f>
        <v>BELLAPRATA - JOIAS E RELOGIOS LTDA</v>
      </c>
      <c r="K572" t="str">
        <f>"GIOVANNA LANZARA (4592)"</f>
        <v>GIOVANNA LANZARA (4592)</v>
      </c>
      <c r="L572" t="str">
        <f>""</f>
        <v/>
      </c>
      <c r="M572" t="str">
        <f>""</f>
        <v/>
      </c>
      <c r="N572" t="str">
        <f>"rogerio@lanzara.com.br"</f>
        <v>rogerio@lanzara.com.br</v>
      </c>
      <c r="O572" t="str">
        <f>""</f>
        <v/>
      </c>
      <c r="P572" t="str">
        <f>"RUA DR. NEREU RAMOS"</f>
        <v>RUA DR. NEREU RAMOS</v>
      </c>
      <c r="Q572" t="str">
        <f>"364"</f>
        <v>364</v>
      </c>
      <c r="R572" t="str">
        <f>"LOJA 002"</f>
        <v>LOJA 002</v>
      </c>
      <c r="S572" t="str">
        <f>"1269"</f>
        <v>1269</v>
      </c>
      <c r="T572" t="str">
        <f>"88801505"</f>
        <v>88801505</v>
      </c>
      <c r="U572" t="str">
        <f>"CENTRO"</f>
        <v>CENTRO</v>
      </c>
      <c r="V572" t="str">
        <f>"CRICIÚMA"</f>
        <v>CRICIÚMA</v>
      </c>
      <c r="W572" t="str">
        <f t="shared" si="284"/>
        <v>SC</v>
      </c>
      <c r="X572" t="str">
        <f>"48"</f>
        <v>48</v>
      </c>
      <c r="Y572" t="str">
        <f>"991229977"</f>
        <v>991229977</v>
      </c>
      <c r="Z572" t="str">
        <f>""</f>
        <v/>
      </c>
      <c r="AA572" t="str">
        <f>""</f>
        <v/>
      </c>
      <c r="AB572" t="str">
        <f>""</f>
        <v/>
      </c>
      <c r="AC572" t="str">
        <f>""</f>
        <v/>
      </c>
      <c r="AD572" t="str">
        <f>""</f>
        <v/>
      </c>
      <c r="AE572" t="str">
        <f>""</f>
        <v/>
      </c>
      <c r="AF572" t="str">
        <f>""</f>
        <v/>
      </c>
      <c r="AG572" t="str">
        <f>""</f>
        <v/>
      </c>
      <c r="AH572" t="str">
        <f>""</f>
        <v/>
      </c>
      <c r="AI572" t="str">
        <f>""</f>
        <v/>
      </c>
      <c r="AJ572" t="str">
        <f t="shared" si="286"/>
        <v>0</v>
      </c>
      <c r="AK572" t="str">
        <f t="shared" si="286"/>
        <v>0</v>
      </c>
      <c r="AL572" t="str">
        <f t="shared" si="286"/>
        <v>0</v>
      </c>
      <c r="AM572" t="str">
        <f>""</f>
        <v/>
      </c>
      <c r="AN572" t="str">
        <f>""</f>
        <v/>
      </c>
      <c r="AO572" t="str">
        <f>""</f>
        <v/>
      </c>
      <c r="AP572" t="str">
        <f>""</f>
        <v/>
      </c>
      <c r="AQ572" t="str">
        <f>""</f>
        <v/>
      </c>
      <c r="AR572" t="str">
        <f>""</f>
        <v/>
      </c>
      <c r="AS572" t="str">
        <f>""</f>
        <v/>
      </c>
      <c r="AT572" t="str">
        <f>""</f>
        <v/>
      </c>
      <c r="AU572" t="str">
        <f>""</f>
        <v/>
      </c>
      <c r="AV572" t="str">
        <f>""</f>
        <v/>
      </c>
      <c r="AW572" t="str">
        <f>""</f>
        <v/>
      </c>
      <c r="AX572" t="str">
        <f>""</f>
        <v/>
      </c>
      <c r="AY572" t="str">
        <f>""</f>
        <v/>
      </c>
      <c r="AZ572" t="str">
        <f>""</f>
        <v/>
      </c>
      <c r="BA572" t="str">
        <f>""</f>
        <v/>
      </c>
      <c r="BB572" t="str">
        <f>"26/01/2023 14:29:33"</f>
        <v>26/01/2023 14:29:33</v>
      </c>
      <c r="BC572" t="str">
        <f>""</f>
        <v/>
      </c>
      <c r="BD572" t="str">
        <f>""</f>
        <v/>
      </c>
      <c r="BE572" t="str">
        <f>""</f>
        <v/>
      </c>
      <c r="BF572" t="str">
        <f t="shared" si="262"/>
        <v>A</v>
      </c>
      <c r="BG572" t="str">
        <f t="shared" si="287"/>
        <v>0,00</v>
      </c>
      <c r="BH572" t="str">
        <f t="shared" si="287"/>
        <v>0,00</v>
      </c>
      <c r="BI572" t="str">
        <f t="shared" si="276"/>
        <v>EVENTUAL</v>
      </c>
      <c r="BJ572" t="str">
        <f t="shared" si="263"/>
        <v>1</v>
      </c>
      <c r="BK572" t="str">
        <f t="shared" si="264"/>
        <v>Farmacia</v>
      </c>
      <c r="BL572" t="str">
        <f>""</f>
        <v/>
      </c>
      <c r="BM572" t="str">
        <f>"NÃO É VARILUX ESPECIALISTA"</f>
        <v>NÃO É VARILUX ESPECIALISTA</v>
      </c>
      <c r="BN572" t="str">
        <f>""</f>
        <v/>
      </c>
      <c r="BO572" t="str">
        <f>""</f>
        <v/>
      </c>
      <c r="BP572" t="str">
        <f>""</f>
        <v/>
      </c>
      <c r="BQ572" t="str">
        <f>""</f>
        <v/>
      </c>
      <c r="BR572" t="str">
        <f>"26/01/2023"</f>
        <v>26/01/2023</v>
      </c>
      <c r="BS572" t="str">
        <f>""</f>
        <v/>
      </c>
      <c r="BT572" t="str">
        <f>""</f>
        <v/>
      </c>
      <c r="BU572" t="str">
        <f>""</f>
        <v/>
      </c>
      <c r="BV572" t="str">
        <f>""</f>
        <v/>
      </c>
      <c r="BW572" t="str">
        <f>"Não visitado"</f>
        <v>Não visitado</v>
      </c>
    </row>
    <row r="573" spans="1:75" x14ac:dyDescent="0.35">
      <c r="A573">
        <v>134286</v>
      </c>
      <c r="B573" t="str">
        <f t="shared" si="259"/>
        <v>A</v>
      </c>
      <c r="C573" t="str">
        <f t="shared" si="260"/>
        <v>80</v>
      </c>
      <c r="D573" t="str">
        <f t="shared" si="281"/>
        <v>11121002</v>
      </c>
      <c r="E573" t="str">
        <f t="shared" si="282"/>
        <v>121002</v>
      </c>
      <c r="F573" t="str">
        <f t="shared" si="283"/>
        <v>CINTHIA NORONHA</v>
      </c>
      <c r="G573" t="str">
        <f>"83565465000117"</f>
        <v>83565465000117</v>
      </c>
      <c r="H573" t="str">
        <f>""</f>
        <v/>
      </c>
      <c r="I573" t="str">
        <f t="shared" si="261"/>
        <v>CONTA OPTICA</v>
      </c>
      <c r="J573" t="str">
        <f>"BENEDITO KOERICH ME"</f>
        <v>BENEDITO KOERICH ME</v>
      </c>
      <c r="K573" t="str">
        <f>"RELOJOARIA KOERICH (1458)"</f>
        <v>RELOJOARIA KOERICH (1458)</v>
      </c>
      <c r="L573" t="str">
        <f>""</f>
        <v/>
      </c>
      <c r="M573" t="str">
        <f>""</f>
        <v/>
      </c>
      <c r="N573" t="str">
        <f>"koerichrelojoariaeoptica@hotmail.com"</f>
        <v>koerichrelojoariaeoptica@hotmail.com</v>
      </c>
      <c r="O573" t="str">
        <f>""</f>
        <v/>
      </c>
      <c r="P573" t="str">
        <f>"RUA ANICETO ZACCHI"</f>
        <v>RUA ANICETO ZACCHI</v>
      </c>
      <c r="Q573" t="str">
        <f>"415"</f>
        <v>415</v>
      </c>
      <c r="R573" t="str">
        <f>"SL 06"</f>
        <v>SL 06</v>
      </c>
      <c r="S573" t="str">
        <f>"1259"</f>
        <v>1259</v>
      </c>
      <c r="T573" t="str">
        <f>"88130301"</f>
        <v>88130301</v>
      </c>
      <c r="U573" t="str">
        <f>"PONTE DO IMARUIM"</f>
        <v>PONTE DO IMARUIM</v>
      </c>
      <c r="V573" t="str">
        <f>"PALHOÇA"</f>
        <v>PALHOÇA</v>
      </c>
      <c r="W573" t="str">
        <f t="shared" si="284"/>
        <v>SC</v>
      </c>
      <c r="X573" t="str">
        <f>"48"</f>
        <v>48</v>
      </c>
      <c r="Y573" t="str">
        <f>"30335566"</f>
        <v>30335566</v>
      </c>
      <c r="Z573" t="str">
        <f>""</f>
        <v/>
      </c>
      <c r="AA573" t="str">
        <f>""</f>
        <v/>
      </c>
      <c r="AB573" t="str">
        <f>""</f>
        <v/>
      </c>
      <c r="AC573" t="str">
        <f>""</f>
        <v/>
      </c>
      <c r="AD573" t="str">
        <f>""</f>
        <v/>
      </c>
      <c r="AE573" t="str">
        <f>""</f>
        <v/>
      </c>
      <c r="AF573" t="str">
        <f>""</f>
        <v/>
      </c>
      <c r="AG573" t="str">
        <f>"S"</f>
        <v>S</v>
      </c>
      <c r="AH573" t="str">
        <f>""</f>
        <v/>
      </c>
      <c r="AI573" t="str">
        <f>""</f>
        <v/>
      </c>
      <c r="AJ573" t="str">
        <f t="shared" si="286"/>
        <v>0</v>
      </c>
      <c r="AK573" t="str">
        <f t="shared" si="286"/>
        <v>0</v>
      </c>
      <c r="AL573" t="str">
        <f t="shared" si="286"/>
        <v>0</v>
      </c>
      <c r="AM573" t="str">
        <f>""</f>
        <v/>
      </c>
      <c r="AN573" t="str">
        <f>""</f>
        <v/>
      </c>
      <c r="AO573" t="str">
        <f>""</f>
        <v/>
      </c>
      <c r="AP573" t="str">
        <f>""</f>
        <v/>
      </c>
      <c r="AQ573" t="str">
        <f>"N"</f>
        <v>N</v>
      </c>
      <c r="AR573" t="str">
        <f>"N"</f>
        <v>N</v>
      </c>
      <c r="AS573" t="str">
        <f>"N"</f>
        <v>N</v>
      </c>
      <c r="AT573" t="str">
        <f>"N"</f>
        <v>N</v>
      </c>
      <c r="AU573" t="str">
        <f>"N"</f>
        <v>N</v>
      </c>
      <c r="AV573" t="str">
        <f>""</f>
        <v/>
      </c>
      <c r="AW573" t="str">
        <f>""</f>
        <v/>
      </c>
      <c r="AX573" t="str">
        <f>""</f>
        <v/>
      </c>
      <c r="AY573" t="str">
        <f>""</f>
        <v/>
      </c>
      <c r="AZ573" t="str">
        <f>""</f>
        <v/>
      </c>
      <c r="BA573" t="str">
        <f>""</f>
        <v/>
      </c>
      <c r="BB573" t="str">
        <f>""</f>
        <v/>
      </c>
      <c r="BC573" t="str">
        <f>"04/05/2022 09:05:08"</f>
        <v>04/05/2022 09:05:08</v>
      </c>
      <c r="BD573" t="str">
        <f>""</f>
        <v/>
      </c>
      <c r="BE573" t="str">
        <f>""</f>
        <v/>
      </c>
      <c r="BF573" t="str">
        <f t="shared" si="262"/>
        <v>A</v>
      </c>
      <c r="BG573" t="str">
        <f t="shared" si="287"/>
        <v>0,00</v>
      </c>
      <c r="BH573" t="str">
        <f t="shared" si="287"/>
        <v>0,00</v>
      </c>
      <c r="BI573" t="str">
        <f t="shared" si="276"/>
        <v>EVENTUAL</v>
      </c>
      <c r="BJ573" t="str">
        <f t="shared" si="263"/>
        <v>1</v>
      </c>
      <c r="BK573" t="str">
        <f t="shared" si="264"/>
        <v>Farmacia</v>
      </c>
      <c r="BL573" t="str">
        <f>""</f>
        <v/>
      </c>
      <c r="BM573" t="str">
        <f>"VARILUX ESPECIALISTA SELECT"</f>
        <v>VARILUX ESPECIALISTA SELECT</v>
      </c>
      <c r="BN573" t="str">
        <f>"NA"</f>
        <v>NA</v>
      </c>
      <c r="BO573" t="str">
        <f>"FOCO VARILUX DIGITAL"</f>
        <v>FOCO VARILUX DIGITAL</v>
      </c>
      <c r="BP573" t="str">
        <f>""</f>
        <v/>
      </c>
      <c r="BQ573" t="str">
        <f>""</f>
        <v/>
      </c>
      <c r="BR573" t="str">
        <f>""</f>
        <v/>
      </c>
      <c r="BS573" t="str">
        <f>"04/05/2022"</f>
        <v>04/05/2022</v>
      </c>
      <c r="BT573" t="str">
        <f>""</f>
        <v/>
      </c>
      <c r="BU573" t="str">
        <f>""</f>
        <v/>
      </c>
      <c r="BV573" t="str">
        <f>"1"</f>
        <v>1</v>
      </c>
      <c r="BW573" t="str">
        <f>"14"</f>
        <v>14</v>
      </c>
    </row>
    <row r="574" spans="1:75" x14ac:dyDescent="0.35">
      <c r="A574">
        <v>152768</v>
      </c>
      <c r="B574" t="str">
        <f t="shared" si="259"/>
        <v>A</v>
      </c>
      <c r="C574" t="str">
        <f t="shared" si="260"/>
        <v>80</v>
      </c>
      <c r="D574" t="str">
        <f t="shared" si="281"/>
        <v>11121002</v>
      </c>
      <c r="E574" t="str">
        <f t="shared" si="282"/>
        <v>121002</v>
      </c>
      <c r="F574" t="str">
        <f t="shared" si="283"/>
        <v>CINTHIA NORONHA</v>
      </c>
      <c r="G574" t="str">
        <f>"46458418000148"</f>
        <v>46458418000148</v>
      </c>
      <c r="H574" t="str">
        <f>"0"</f>
        <v>0</v>
      </c>
      <c r="I574" t="str">
        <f t="shared" si="261"/>
        <v>CONTA OPTICA</v>
      </c>
      <c r="J574" t="str">
        <f>"BENI &amp; HORAN PEDRO DEMORO"</f>
        <v>BENI &amp; HORAN PEDRO DEMORO</v>
      </c>
      <c r="K574" t="str">
        <f>"OTICA BENI"</f>
        <v>OTICA BENI</v>
      </c>
      <c r="L574" t="str">
        <f>""</f>
        <v/>
      </c>
      <c r="M574" t="str">
        <f>""</f>
        <v/>
      </c>
      <c r="N574" t="str">
        <f>"oticabeni@hotmail.com"</f>
        <v>oticabeni@hotmail.com</v>
      </c>
      <c r="O574" t="str">
        <f>""</f>
        <v/>
      </c>
      <c r="P574" t="str">
        <f>"RUA CORONEL PEDRO DEMORO"</f>
        <v>RUA CORONEL PEDRO DEMORO</v>
      </c>
      <c r="Q574" t="str">
        <f>"1955"</f>
        <v>1955</v>
      </c>
      <c r="R574" t="str">
        <f>"LOJA 05"</f>
        <v>LOJA 05</v>
      </c>
      <c r="S574" t="str">
        <f>"1258"</f>
        <v>1258</v>
      </c>
      <c r="T574" t="str">
        <f>"88075301"</f>
        <v>88075301</v>
      </c>
      <c r="U574" t="str">
        <f>"BALNEARIO"</f>
        <v>BALNEARIO</v>
      </c>
      <c r="V574" t="str">
        <f>"FLORIANOPOLIS"</f>
        <v>FLORIANOPOLIS</v>
      </c>
      <c r="W574" t="str">
        <f t="shared" si="284"/>
        <v>SC</v>
      </c>
      <c r="X574" t="str">
        <f>""</f>
        <v/>
      </c>
      <c r="Y574" t="str">
        <f>""</f>
        <v/>
      </c>
      <c r="Z574" t="str">
        <f>""</f>
        <v/>
      </c>
      <c r="AA574" t="str">
        <f>""</f>
        <v/>
      </c>
      <c r="AB574" t="str">
        <f>""</f>
        <v/>
      </c>
      <c r="AC574" t="str">
        <f>""</f>
        <v/>
      </c>
      <c r="AD574" t="str">
        <f>""</f>
        <v/>
      </c>
      <c r="AE574" t="str">
        <f>""</f>
        <v/>
      </c>
      <c r="AF574" t="str">
        <f>""</f>
        <v/>
      </c>
      <c r="AG574" t="str">
        <f>""</f>
        <v/>
      </c>
      <c r="AH574" t="str">
        <f>""</f>
        <v/>
      </c>
      <c r="AI574" t="str">
        <f>""</f>
        <v/>
      </c>
      <c r="AJ574" t="str">
        <f>""</f>
        <v/>
      </c>
      <c r="AK574" t="str">
        <f>""</f>
        <v/>
      </c>
      <c r="AL574" t="str">
        <f>""</f>
        <v/>
      </c>
      <c r="AM574" t="str">
        <f>""</f>
        <v/>
      </c>
      <c r="AN574" t="str">
        <f>""</f>
        <v/>
      </c>
      <c r="AO574" t="str">
        <f>""</f>
        <v/>
      </c>
      <c r="AP574" t="str">
        <f>""</f>
        <v/>
      </c>
      <c r="AQ574" t="str">
        <f>""</f>
        <v/>
      </c>
      <c r="AR574" t="str">
        <f>""</f>
        <v/>
      </c>
      <c r="AS574" t="str">
        <f>""</f>
        <v/>
      </c>
      <c r="AT574" t="str">
        <f>""</f>
        <v/>
      </c>
      <c r="AU574" t="str">
        <f>""</f>
        <v/>
      </c>
      <c r="AV574" t="str">
        <f>""</f>
        <v/>
      </c>
      <c r="AW574" t="str">
        <f>""</f>
        <v/>
      </c>
      <c r="AX574" t="str">
        <f>""</f>
        <v/>
      </c>
      <c r="AY574" t="str">
        <f>""</f>
        <v/>
      </c>
      <c r="AZ574" t="str">
        <f>""</f>
        <v/>
      </c>
      <c r="BA574" t="str">
        <f>""</f>
        <v/>
      </c>
      <c r="BB574" t="str">
        <f>"03/04/2023 13:34:29"</f>
        <v>03/04/2023 13:34:29</v>
      </c>
      <c r="BC574" t="str">
        <f>""</f>
        <v/>
      </c>
      <c r="BD574" t="str">
        <f>""</f>
        <v/>
      </c>
      <c r="BE574" t="str">
        <f>""</f>
        <v/>
      </c>
      <c r="BF574" t="str">
        <f t="shared" si="262"/>
        <v>A</v>
      </c>
      <c r="BG574" t="str">
        <f>""</f>
        <v/>
      </c>
      <c r="BH574" t="str">
        <f>""</f>
        <v/>
      </c>
      <c r="BI574" t="str">
        <f t="shared" si="276"/>
        <v>EVENTUAL</v>
      </c>
      <c r="BJ574" t="str">
        <f t="shared" si="263"/>
        <v>1</v>
      </c>
      <c r="BK574" t="str">
        <f t="shared" si="264"/>
        <v>Farmacia</v>
      </c>
      <c r="BL574" t="str">
        <f>""</f>
        <v/>
      </c>
      <c r="BM574" t="str">
        <f>""</f>
        <v/>
      </c>
      <c r="BN574" t="str">
        <f>""</f>
        <v/>
      </c>
      <c r="BO574" t="str">
        <f>""</f>
        <v/>
      </c>
      <c r="BP574" t="str">
        <f>""</f>
        <v/>
      </c>
      <c r="BQ574" t="str">
        <f>""</f>
        <v/>
      </c>
      <c r="BR574" t="str">
        <f>"03/04/2023"</f>
        <v>03/04/2023</v>
      </c>
      <c r="BS574" t="str">
        <f>""</f>
        <v/>
      </c>
      <c r="BT574" t="str">
        <f>""</f>
        <v/>
      </c>
      <c r="BU574" t="str">
        <f>""</f>
        <v/>
      </c>
      <c r="BV574" t="str">
        <f>""</f>
        <v/>
      </c>
      <c r="BW574" t="str">
        <f>"35"</f>
        <v>35</v>
      </c>
    </row>
    <row r="575" spans="1:75" x14ac:dyDescent="0.35">
      <c r="A575">
        <v>157682</v>
      </c>
      <c r="B575" t="str">
        <f t="shared" si="259"/>
        <v>A</v>
      </c>
      <c r="C575" t="str">
        <f t="shared" si="260"/>
        <v>80</v>
      </c>
      <c r="D575" t="str">
        <f t="shared" si="281"/>
        <v>11121002</v>
      </c>
      <c r="E575" t="str">
        <f t="shared" si="282"/>
        <v>121002</v>
      </c>
      <c r="F575" t="str">
        <f t="shared" si="283"/>
        <v>CINTHIA NORONHA</v>
      </c>
      <c r="G575" t="str">
        <f>"27610228000150"</f>
        <v>27610228000150</v>
      </c>
      <c r="H575" t="str">
        <f>"0"</f>
        <v>0</v>
      </c>
      <c r="I575" t="str">
        <f t="shared" si="261"/>
        <v>CONTA OPTICA</v>
      </c>
      <c r="J575" t="str">
        <f>"BENTO DOS SANTOS SOARES FILHO 41448065020"</f>
        <v>BENTO DOS SANTOS SOARES FILHO 41448065020</v>
      </c>
      <c r="K575" t="str">
        <f>"ATMO (10409)"</f>
        <v>ATMO (10409)</v>
      </c>
      <c r="L575" t="str">
        <f>""</f>
        <v/>
      </c>
      <c r="M575" t="str">
        <f>""</f>
        <v/>
      </c>
      <c r="N575" t="str">
        <f>"BSSFILHO@HOTMAIL.COM"</f>
        <v>BSSFILHO@HOTMAIL.COM</v>
      </c>
      <c r="O575" t="str">
        <f>""</f>
        <v/>
      </c>
      <c r="P575" t="str">
        <f>"RUA BIAS PEIXOTO"</f>
        <v>RUA BIAS PEIXOTO</v>
      </c>
      <c r="Q575" t="str">
        <f>"70"</f>
        <v>70</v>
      </c>
      <c r="R575" t="str">
        <f>"APT405"</f>
        <v>APT405</v>
      </c>
      <c r="S575" t="str">
        <f>"1258"</f>
        <v>1258</v>
      </c>
      <c r="T575" t="str">
        <f>"88085480"</f>
        <v>88085480</v>
      </c>
      <c r="U575" t="str">
        <f>"ITAGUACU"</f>
        <v>ITAGUACU</v>
      </c>
      <c r="V575" t="str">
        <f>"FLORIANOPOLIS"</f>
        <v>FLORIANOPOLIS</v>
      </c>
      <c r="W575" t="str">
        <f t="shared" si="284"/>
        <v>SC</v>
      </c>
      <c r="X575" t="str">
        <f t="shared" ref="X575:X581" si="288">"48"</f>
        <v>48</v>
      </c>
      <c r="Y575" t="str">
        <f>"32070398"</f>
        <v>32070398</v>
      </c>
      <c r="Z575" t="str">
        <f>""</f>
        <v/>
      </c>
      <c r="AA575" t="str">
        <f>""</f>
        <v/>
      </c>
      <c r="AB575" t="str">
        <f>""</f>
        <v/>
      </c>
      <c r="AC575" t="str">
        <f>""</f>
        <v/>
      </c>
      <c r="AD575" t="str">
        <f>""</f>
        <v/>
      </c>
      <c r="AE575" t="str">
        <f>""</f>
        <v/>
      </c>
      <c r="AF575" t="str">
        <f>""</f>
        <v/>
      </c>
      <c r="AG575" t="str">
        <f>""</f>
        <v/>
      </c>
      <c r="AH575" t="str">
        <f>""</f>
        <v/>
      </c>
      <c r="AI575" t="str">
        <f>""</f>
        <v/>
      </c>
      <c r="AJ575" t="str">
        <f>""</f>
        <v/>
      </c>
      <c r="AK575" t="str">
        <f>""</f>
        <v/>
      </c>
      <c r="AL575" t="str">
        <f>""</f>
        <v/>
      </c>
      <c r="AM575" t="str">
        <f>""</f>
        <v/>
      </c>
      <c r="AN575" t="str">
        <f>""</f>
        <v/>
      </c>
      <c r="AO575" t="str">
        <f>""</f>
        <v/>
      </c>
      <c r="AP575" t="str">
        <f>""</f>
        <v/>
      </c>
      <c r="AQ575" t="str">
        <f>""</f>
        <v/>
      </c>
      <c r="AR575" t="str">
        <f>""</f>
        <v/>
      </c>
      <c r="AS575" t="str">
        <f>""</f>
        <v/>
      </c>
      <c r="AT575" t="str">
        <f>""</f>
        <v/>
      </c>
      <c r="AU575" t="str">
        <f>""</f>
        <v/>
      </c>
      <c r="AV575" t="str">
        <f>""</f>
        <v/>
      </c>
      <c r="AW575" t="str">
        <f>""</f>
        <v/>
      </c>
      <c r="AX575" t="str">
        <f>""</f>
        <v/>
      </c>
      <c r="AY575" t="str">
        <f>""</f>
        <v/>
      </c>
      <c r="AZ575" t="str">
        <f>""</f>
        <v/>
      </c>
      <c r="BA575" t="str">
        <f>""</f>
        <v/>
      </c>
      <c r="BB575" t="str">
        <f>"11/07/2023 02:19:56"</f>
        <v>11/07/2023 02:19:56</v>
      </c>
      <c r="BC575" t="str">
        <f>""</f>
        <v/>
      </c>
      <c r="BD575" t="str">
        <f>""</f>
        <v/>
      </c>
      <c r="BE575" t="str">
        <f>""</f>
        <v/>
      </c>
      <c r="BF575" t="str">
        <f t="shared" si="262"/>
        <v>A</v>
      </c>
      <c r="BG575" t="str">
        <f>""</f>
        <v/>
      </c>
      <c r="BH575" t="str">
        <f>""</f>
        <v/>
      </c>
      <c r="BI575" t="str">
        <f t="shared" si="276"/>
        <v>EVENTUAL</v>
      </c>
      <c r="BJ575" t="str">
        <f t="shared" si="263"/>
        <v>1</v>
      </c>
      <c r="BK575" t="str">
        <f t="shared" si="264"/>
        <v>Farmacia</v>
      </c>
      <c r="BL575" t="str">
        <f>""</f>
        <v/>
      </c>
      <c r="BM575" t="str">
        <f>""</f>
        <v/>
      </c>
      <c r="BN575" t="str">
        <f>""</f>
        <v/>
      </c>
      <c r="BO575" t="str">
        <f>""</f>
        <v/>
      </c>
      <c r="BP575" t="str">
        <f>""</f>
        <v/>
      </c>
      <c r="BQ575" t="str">
        <f>""</f>
        <v/>
      </c>
      <c r="BR575" t="str">
        <f>"11/07/2023"</f>
        <v>11/07/2023</v>
      </c>
      <c r="BS575" t="str">
        <f>""</f>
        <v/>
      </c>
      <c r="BT575" t="str">
        <f>""</f>
        <v/>
      </c>
      <c r="BU575" t="str">
        <f>""</f>
        <v/>
      </c>
      <c r="BV575" t="str">
        <f>""</f>
        <v/>
      </c>
      <c r="BW575" t="str">
        <f>"Não visitado"</f>
        <v>Não visitado</v>
      </c>
    </row>
    <row r="576" spans="1:75" x14ac:dyDescent="0.35">
      <c r="A576">
        <v>157705</v>
      </c>
      <c r="B576" t="str">
        <f t="shared" si="259"/>
        <v>A</v>
      </c>
      <c r="C576" t="str">
        <f t="shared" si="260"/>
        <v>80</v>
      </c>
      <c r="D576" t="str">
        <f t="shared" si="281"/>
        <v>11121002</v>
      </c>
      <c r="E576" t="str">
        <f t="shared" si="282"/>
        <v>121002</v>
      </c>
      <c r="F576" t="str">
        <f t="shared" si="283"/>
        <v>CINTHIA NORONHA</v>
      </c>
      <c r="G576" t="str">
        <f>"08530742000130"</f>
        <v>08530742000130</v>
      </c>
      <c r="H576" t="str">
        <f>"0"</f>
        <v>0</v>
      </c>
      <c r="I576" t="str">
        <f t="shared" si="261"/>
        <v>CONTA OPTICA</v>
      </c>
      <c r="J576" t="str">
        <f>"BERNARDO TIBAU SZPOGANICZ - ME"</f>
        <v>BERNARDO TIBAU SZPOGANICZ - ME</v>
      </c>
      <c r="K576" t="str">
        <f>"TIBAUX JOALHEIROS (3868)"</f>
        <v>TIBAUX JOALHEIROS (3868)</v>
      </c>
      <c r="L576" t="str">
        <f>""</f>
        <v/>
      </c>
      <c r="M576" t="str">
        <f>""</f>
        <v/>
      </c>
      <c r="N576" t="str">
        <f>"TIBAUXJOALHEIROS@HOTMAIL.COM"</f>
        <v>TIBAUXJOALHEIROS@HOTMAIL.COM</v>
      </c>
      <c r="O576" t="str">
        <f>""</f>
        <v/>
      </c>
      <c r="P576" t="str">
        <f>"BR-101"</f>
        <v>BR-101</v>
      </c>
      <c r="Q576" t="str">
        <f>"#VALUE!"</f>
        <v>#VALUE!</v>
      </c>
      <c r="R576" t="str">
        <f>"LJ 41"</f>
        <v>LJ 41</v>
      </c>
      <c r="S576" t="str">
        <f>"1259"</f>
        <v>1259</v>
      </c>
      <c r="T576" t="str">
        <f>"88104800"</f>
        <v>88104800</v>
      </c>
      <c r="U576" t="str">
        <f>"DISTRITO INDUSTRIAL"</f>
        <v>DISTRITO INDUSTRIAL</v>
      </c>
      <c r="V576" t="str">
        <f>"SAO JOSE"</f>
        <v>SAO JOSE</v>
      </c>
      <c r="W576" t="str">
        <f t="shared" si="284"/>
        <v>SC</v>
      </c>
      <c r="X576" t="str">
        <f t="shared" si="288"/>
        <v>48</v>
      </c>
      <c r="Y576" t="str">
        <f>"30949213"</f>
        <v>30949213</v>
      </c>
      <c r="Z576" t="str">
        <f>""</f>
        <v/>
      </c>
      <c r="AA576" t="str">
        <f>""</f>
        <v/>
      </c>
      <c r="AB576" t="str">
        <f>""</f>
        <v/>
      </c>
      <c r="AC576" t="str">
        <f>""</f>
        <v/>
      </c>
      <c r="AD576" t="str">
        <f>""</f>
        <v/>
      </c>
      <c r="AE576" t="str">
        <f>""</f>
        <v/>
      </c>
      <c r="AF576" t="str">
        <f>""</f>
        <v/>
      </c>
      <c r="AG576" t="str">
        <f>""</f>
        <v/>
      </c>
      <c r="AH576" t="str">
        <f>""</f>
        <v/>
      </c>
      <c r="AI576" t="str">
        <f>""</f>
        <v/>
      </c>
      <c r="AJ576" t="str">
        <f>""</f>
        <v/>
      </c>
      <c r="AK576" t="str">
        <f>""</f>
        <v/>
      </c>
      <c r="AL576" t="str">
        <f>""</f>
        <v/>
      </c>
      <c r="AM576" t="str">
        <f>""</f>
        <v/>
      </c>
      <c r="AN576" t="str">
        <f>""</f>
        <v/>
      </c>
      <c r="AO576" t="str">
        <f>""</f>
        <v/>
      </c>
      <c r="AP576" t="str">
        <f>""</f>
        <v/>
      </c>
      <c r="AQ576" t="str">
        <f>""</f>
        <v/>
      </c>
      <c r="AR576" t="str">
        <f>""</f>
        <v/>
      </c>
      <c r="AS576" t="str">
        <f>""</f>
        <v/>
      </c>
      <c r="AT576" t="str">
        <f>""</f>
        <v/>
      </c>
      <c r="AU576" t="str">
        <f>""</f>
        <v/>
      </c>
      <c r="AV576" t="str">
        <f>""</f>
        <v/>
      </c>
      <c r="AW576" t="str">
        <f>""</f>
        <v/>
      </c>
      <c r="AX576" t="str">
        <f>""</f>
        <v/>
      </c>
      <c r="AY576" t="str">
        <f>""</f>
        <v/>
      </c>
      <c r="AZ576" t="str">
        <f>""</f>
        <v/>
      </c>
      <c r="BA576" t="str">
        <f>""</f>
        <v/>
      </c>
      <c r="BB576" t="str">
        <f>"11/07/2023 02:19:56"</f>
        <v>11/07/2023 02:19:56</v>
      </c>
      <c r="BC576" t="str">
        <f>""</f>
        <v/>
      </c>
      <c r="BD576" t="str">
        <f>""</f>
        <v/>
      </c>
      <c r="BE576" t="str">
        <f>""</f>
        <v/>
      </c>
      <c r="BF576" t="str">
        <f t="shared" si="262"/>
        <v>A</v>
      </c>
      <c r="BG576" t="str">
        <f>""</f>
        <v/>
      </c>
      <c r="BH576" t="str">
        <f>""</f>
        <v/>
      </c>
      <c r="BI576" t="str">
        <f t="shared" si="276"/>
        <v>EVENTUAL</v>
      </c>
      <c r="BJ576" t="str">
        <f t="shared" si="263"/>
        <v>1</v>
      </c>
      <c r="BK576" t="str">
        <f t="shared" si="264"/>
        <v>Farmacia</v>
      </c>
      <c r="BL576" t="str">
        <f>""</f>
        <v/>
      </c>
      <c r="BM576" t="str">
        <f>""</f>
        <v/>
      </c>
      <c r="BN576" t="str">
        <f>""</f>
        <v/>
      </c>
      <c r="BO576" t="str">
        <f>""</f>
        <v/>
      </c>
      <c r="BP576" t="str">
        <f>""</f>
        <v/>
      </c>
      <c r="BQ576" t="str">
        <f>""</f>
        <v/>
      </c>
      <c r="BR576" t="str">
        <f>"11/07/2023"</f>
        <v>11/07/2023</v>
      </c>
      <c r="BS576" t="str">
        <f>""</f>
        <v/>
      </c>
      <c r="BT576" t="str">
        <f>""</f>
        <v/>
      </c>
      <c r="BU576" t="str">
        <f>""</f>
        <v/>
      </c>
      <c r="BV576" t="str">
        <f>""</f>
        <v/>
      </c>
      <c r="BW576" t="str">
        <f>"135"</f>
        <v>135</v>
      </c>
    </row>
    <row r="577" spans="1:75" x14ac:dyDescent="0.35">
      <c r="A577">
        <v>144380</v>
      </c>
      <c r="B577" t="str">
        <f t="shared" si="259"/>
        <v>A</v>
      </c>
      <c r="C577" t="str">
        <f t="shared" si="260"/>
        <v>80</v>
      </c>
      <c r="D577" t="str">
        <f t="shared" si="281"/>
        <v>11121002</v>
      </c>
      <c r="E577" t="str">
        <f t="shared" si="282"/>
        <v>121002</v>
      </c>
      <c r="F577" t="str">
        <f t="shared" si="283"/>
        <v>CINTHIA NORONHA</v>
      </c>
      <c r="G577" t="str">
        <f>"81308223000112"</f>
        <v>81308223000112</v>
      </c>
      <c r="H577" t="str">
        <f>""</f>
        <v/>
      </c>
      <c r="I577" t="str">
        <f t="shared" si="261"/>
        <v>CONTA OPTICA</v>
      </c>
      <c r="J577" t="str">
        <f>"BETH JOIAS E RELOGIOS LTDA ME"</f>
        <v>BETH JOIAS E RELOGIOS LTDA ME</v>
      </c>
      <c r="K577" t="str">
        <f>"BETH JOIAS E RELOGIOS LTDA (1056)"</f>
        <v>BETH JOIAS E RELOGIOS LTDA (1056)</v>
      </c>
      <c r="L577" t="str">
        <f>""</f>
        <v/>
      </c>
      <c r="M577" t="str">
        <f>""</f>
        <v/>
      </c>
      <c r="N577" t="str">
        <f>"bethoticajoias@hotmail.com"</f>
        <v>bethoticajoias@hotmail.com</v>
      </c>
      <c r="O577" t="str">
        <f>""</f>
        <v/>
      </c>
      <c r="P577" t="str">
        <f>"AVENIDA GABRIEL ZANETTE"</f>
        <v>AVENIDA GABRIEL ZANETTE</v>
      </c>
      <c r="Q577" t="str">
        <f>"1455"</f>
        <v>1455</v>
      </c>
      <c r="R577" t="str">
        <f>"SALA 121"</f>
        <v>SALA 121</v>
      </c>
      <c r="S577" t="str">
        <f>"1269"</f>
        <v>1269</v>
      </c>
      <c r="T577" t="str">
        <f>"88815060"</f>
        <v>88815060</v>
      </c>
      <c r="U577" t="str">
        <f>"PROSPERA"</f>
        <v>PROSPERA</v>
      </c>
      <c r="V577" t="str">
        <f>"CRICIÚMA"</f>
        <v>CRICIÚMA</v>
      </c>
      <c r="W577" t="str">
        <f t="shared" si="284"/>
        <v>SC</v>
      </c>
      <c r="X577" t="str">
        <f t="shared" si="288"/>
        <v>48</v>
      </c>
      <c r="Y577" t="str">
        <f>"34627580"</f>
        <v>34627580</v>
      </c>
      <c r="Z577" t="str">
        <f>""</f>
        <v/>
      </c>
      <c r="AA577" t="str">
        <f>""</f>
        <v/>
      </c>
      <c r="AB577" t="str">
        <f>""</f>
        <v/>
      </c>
      <c r="AC577" t="str">
        <f>""</f>
        <v/>
      </c>
      <c r="AD577" t="str">
        <f>""</f>
        <v/>
      </c>
      <c r="AE577" t="str">
        <f>""</f>
        <v/>
      </c>
      <c r="AF577" t="str">
        <f>""</f>
        <v/>
      </c>
      <c r="AG577" t="str">
        <f>""</f>
        <v/>
      </c>
      <c r="AH577" t="str">
        <f>""</f>
        <v/>
      </c>
      <c r="AI577" t="str">
        <f>""</f>
        <v/>
      </c>
      <c r="AJ577" t="str">
        <f t="shared" ref="AJ577:AL579" si="289">"0"</f>
        <v>0</v>
      </c>
      <c r="AK577" t="str">
        <f t="shared" si="289"/>
        <v>0</v>
      </c>
      <c r="AL577" t="str">
        <f t="shared" si="289"/>
        <v>0</v>
      </c>
      <c r="AM577" t="str">
        <f>""</f>
        <v/>
      </c>
      <c r="AN577" t="str">
        <f>""</f>
        <v/>
      </c>
      <c r="AO577" t="str">
        <f>""</f>
        <v/>
      </c>
      <c r="AP577" t="str">
        <f>""</f>
        <v/>
      </c>
      <c r="AQ577" t="str">
        <f>""</f>
        <v/>
      </c>
      <c r="AR577" t="str">
        <f>""</f>
        <v/>
      </c>
      <c r="AS577" t="str">
        <f>""</f>
        <v/>
      </c>
      <c r="AT577" t="str">
        <f>""</f>
        <v/>
      </c>
      <c r="AU577" t="str">
        <f>""</f>
        <v/>
      </c>
      <c r="AV577" t="str">
        <f>""</f>
        <v/>
      </c>
      <c r="AW577" t="str">
        <f>""</f>
        <v/>
      </c>
      <c r="AX577" t="str">
        <f>""</f>
        <v/>
      </c>
      <c r="AY577" t="str">
        <f>""</f>
        <v/>
      </c>
      <c r="AZ577" t="str">
        <f>""</f>
        <v/>
      </c>
      <c r="BA577" t="str">
        <f>""</f>
        <v/>
      </c>
      <c r="BB577" t="str">
        <f>""</f>
        <v/>
      </c>
      <c r="BC577" t="str">
        <f>""</f>
        <v/>
      </c>
      <c r="BD577" t="str">
        <f>""</f>
        <v/>
      </c>
      <c r="BE577" t="str">
        <f>""</f>
        <v/>
      </c>
      <c r="BF577" t="str">
        <f t="shared" si="262"/>
        <v>A</v>
      </c>
      <c r="BG577" t="str">
        <f t="shared" ref="BG577:BH579" si="290">"0,00"</f>
        <v>0,00</v>
      </c>
      <c r="BH577" t="str">
        <f t="shared" si="290"/>
        <v>0,00</v>
      </c>
      <c r="BI577" t="str">
        <f t="shared" si="276"/>
        <v>EVENTUAL</v>
      </c>
      <c r="BJ577" t="str">
        <f t="shared" si="263"/>
        <v>1</v>
      </c>
      <c r="BK577" t="str">
        <f t="shared" si="264"/>
        <v>Farmacia</v>
      </c>
      <c r="BL577" t="str">
        <f>""</f>
        <v/>
      </c>
      <c r="BM577" t="str">
        <f>"NÃO É VARILUX ESPECIALISTA"</f>
        <v>NÃO É VARILUX ESPECIALISTA</v>
      </c>
      <c r="BN577" t="str">
        <f>"NA"</f>
        <v>NA</v>
      </c>
      <c r="BO577" t="str">
        <f>"FOCO VARILUX DIGITAL"</f>
        <v>FOCO VARILUX DIGITAL</v>
      </c>
      <c r="BP577" t="str">
        <f>""</f>
        <v/>
      </c>
      <c r="BQ577" t="str">
        <f>""</f>
        <v/>
      </c>
      <c r="BR577" t="str">
        <f>""</f>
        <v/>
      </c>
      <c r="BS577" t="str">
        <f>""</f>
        <v/>
      </c>
      <c r="BT577" t="str">
        <f>""</f>
        <v/>
      </c>
      <c r="BU577" t="str">
        <f>""</f>
        <v/>
      </c>
      <c r="BV577" t="str">
        <f>"9"</f>
        <v>9</v>
      </c>
      <c r="BW577" t="str">
        <f>"29"</f>
        <v>29</v>
      </c>
    </row>
    <row r="578" spans="1:75" x14ac:dyDescent="0.35">
      <c r="A578">
        <v>134309</v>
      </c>
      <c r="B578" t="str">
        <f t="shared" ref="B578:B641" si="291">"A"</f>
        <v>A</v>
      </c>
      <c r="C578" t="str">
        <f t="shared" ref="C578:C641" si="292">"80"</f>
        <v>80</v>
      </c>
      <c r="D578" t="str">
        <f t="shared" si="281"/>
        <v>11121002</v>
      </c>
      <c r="E578" t="str">
        <f t="shared" si="282"/>
        <v>121002</v>
      </c>
      <c r="F578" t="str">
        <f t="shared" si="283"/>
        <v>CINTHIA NORONHA</v>
      </c>
      <c r="G578" t="str">
        <f>"31154855000109"</f>
        <v>31154855000109</v>
      </c>
      <c r="H578" t="str">
        <f>""</f>
        <v/>
      </c>
      <c r="I578" t="str">
        <f t="shared" ref="I578:I641" si="293">"CONTA OPTICA"</f>
        <v>CONTA OPTICA</v>
      </c>
      <c r="J578" t="str">
        <f>"BETHE OTICA E JOALHERIA EIRELI"</f>
        <v>BETHE OTICA E JOALHERIA EIRELI</v>
      </c>
      <c r="K578" t="str">
        <f>"BETHE OTICA (3912)"</f>
        <v>BETHE OTICA (3912)</v>
      </c>
      <c r="L578" t="str">
        <f>""</f>
        <v/>
      </c>
      <c r="M578" t="str">
        <f>""</f>
        <v/>
      </c>
      <c r="N578" t="str">
        <f>"otica.beth@gmail.com"</f>
        <v>otica.beth@gmail.com</v>
      </c>
      <c r="O578" t="str">
        <f>""</f>
        <v/>
      </c>
      <c r="P578" t="str">
        <f>"RUA ATILIO PEDRO PAGANI"</f>
        <v>RUA ATILIO PEDRO PAGANI</v>
      </c>
      <c r="Q578" t="str">
        <f>"115"</f>
        <v>115</v>
      </c>
      <c r="R578" t="str">
        <f>"LJ 01"</f>
        <v>LJ 01</v>
      </c>
      <c r="S578" t="str">
        <f>"1259"</f>
        <v>1259</v>
      </c>
      <c r="T578" t="str">
        <f>"88132149"</f>
        <v>88132149</v>
      </c>
      <c r="U578" t="str">
        <f>"PAGANI"</f>
        <v>PAGANI</v>
      </c>
      <c r="V578" t="str">
        <f>"PALHOÇA"</f>
        <v>PALHOÇA</v>
      </c>
      <c r="W578" t="str">
        <f t="shared" si="284"/>
        <v>SC</v>
      </c>
      <c r="X578" t="str">
        <f t="shared" si="288"/>
        <v>48</v>
      </c>
      <c r="Y578" t="str">
        <f>"30658227"</f>
        <v>30658227</v>
      </c>
      <c r="Z578" t="str">
        <f>""</f>
        <v/>
      </c>
      <c r="AA578" t="str">
        <f>""</f>
        <v/>
      </c>
      <c r="AB578" t="str">
        <f>""</f>
        <v/>
      </c>
      <c r="AC578" t="str">
        <f>""</f>
        <v/>
      </c>
      <c r="AD578" t="str">
        <f>""</f>
        <v/>
      </c>
      <c r="AE578" t="str">
        <f>""</f>
        <v/>
      </c>
      <c r="AF578" t="str">
        <f>""</f>
        <v/>
      </c>
      <c r="AG578" t="str">
        <f>"S"</f>
        <v>S</v>
      </c>
      <c r="AH578" t="str">
        <f>""</f>
        <v/>
      </c>
      <c r="AI578" t="str">
        <f>""</f>
        <v/>
      </c>
      <c r="AJ578" t="str">
        <f t="shared" si="289"/>
        <v>0</v>
      </c>
      <c r="AK578" t="str">
        <f t="shared" si="289"/>
        <v>0</v>
      </c>
      <c r="AL578" t="str">
        <f t="shared" si="289"/>
        <v>0</v>
      </c>
      <c r="AM578" t="str">
        <f>""</f>
        <v/>
      </c>
      <c r="AN578" t="str">
        <f>""</f>
        <v/>
      </c>
      <c r="AO578" t="str">
        <f>""</f>
        <v/>
      </c>
      <c r="AP578" t="str">
        <f>""</f>
        <v/>
      </c>
      <c r="AQ578" t="str">
        <f t="shared" ref="AQ578:AU580" si="294">"N"</f>
        <v>N</v>
      </c>
      <c r="AR578" t="str">
        <f t="shared" si="294"/>
        <v>N</v>
      </c>
      <c r="AS578" t="str">
        <f t="shared" si="294"/>
        <v>N</v>
      </c>
      <c r="AT578" t="str">
        <f t="shared" si="294"/>
        <v>N</v>
      </c>
      <c r="AU578" t="str">
        <f t="shared" si="294"/>
        <v>N</v>
      </c>
      <c r="AV578" t="str">
        <f>""</f>
        <v/>
      </c>
      <c r="AW578" t="str">
        <f>""</f>
        <v/>
      </c>
      <c r="AX578" t="str">
        <f>""</f>
        <v/>
      </c>
      <c r="AY578" t="str">
        <f>""</f>
        <v/>
      </c>
      <c r="AZ578" t="str">
        <f>""</f>
        <v/>
      </c>
      <c r="BA578" t="str">
        <f>""</f>
        <v/>
      </c>
      <c r="BB578" t="str">
        <f>""</f>
        <v/>
      </c>
      <c r="BC578" t="str">
        <f>"17/09/2021 15:19:02"</f>
        <v>17/09/2021 15:19:02</v>
      </c>
      <c r="BD578" t="str">
        <f>""</f>
        <v/>
      </c>
      <c r="BE578" t="str">
        <f>""</f>
        <v/>
      </c>
      <c r="BF578" t="str">
        <f t="shared" ref="BF578:BF641" si="295">"A"</f>
        <v>A</v>
      </c>
      <c r="BG578" t="str">
        <f t="shared" si="290"/>
        <v>0,00</v>
      </c>
      <c r="BH578" t="str">
        <f t="shared" si="290"/>
        <v>0,00</v>
      </c>
      <c r="BI578" t="str">
        <f t="shared" si="276"/>
        <v>EVENTUAL</v>
      </c>
      <c r="BJ578" t="str">
        <f t="shared" ref="BJ578:BJ641" si="296">"1"</f>
        <v>1</v>
      </c>
      <c r="BK578" t="str">
        <f t="shared" ref="BK578:BK641" si="297">"Farmacia"</f>
        <v>Farmacia</v>
      </c>
      <c r="BL578" t="str">
        <f>""</f>
        <v/>
      </c>
      <c r="BM578" t="str">
        <f>"VARILUX ESPECIALISTA SELECT"</f>
        <v>VARILUX ESPECIALISTA SELECT</v>
      </c>
      <c r="BN578" t="str">
        <f>"NA"</f>
        <v>NA</v>
      </c>
      <c r="BO578" t="str">
        <f>"FOCO VARILUX DIGITAL"</f>
        <v>FOCO VARILUX DIGITAL</v>
      </c>
      <c r="BP578" t="str">
        <f>""</f>
        <v/>
      </c>
      <c r="BQ578" t="str">
        <f>""</f>
        <v/>
      </c>
      <c r="BR578" t="str">
        <f>""</f>
        <v/>
      </c>
      <c r="BS578" t="str">
        <f>"17/09/2021"</f>
        <v>17/09/2021</v>
      </c>
      <c r="BT578" t="str">
        <f>""</f>
        <v/>
      </c>
      <c r="BU578" t="str">
        <f>""</f>
        <v/>
      </c>
      <c r="BV578" t="str">
        <f>"5"</f>
        <v>5</v>
      </c>
      <c r="BW578" t="str">
        <f>"368"</f>
        <v>368</v>
      </c>
    </row>
    <row r="579" spans="1:75" x14ac:dyDescent="0.35">
      <c r="A579">
        <v>134269</v>
      </c>
      <c r="B579" t="str">
        <f t="shared" si="291"/>
        <v>A</v>
      </c>
      <c r="C579" t="str">
        <f t="shared" si="292"/>
        <v>80</v>
      </c>
      <c r="D579" t="str">
        <f t="shared" si="281"/>
        <v>11121002</v>
      </c>
      <c r="E579" t="str">
        <f t="shared" si="282"/>
        <v>121002</v>
      </c>
      <c r="F579" t="str">
        <f t="shared" si="283"/>
        <v>CINTHIA NORONHA</v>
      </c>
      <c r="G579" t="str">
        <f>"29394576000162"</f>
        <v>29394576000162</v>
      </c>
      <c r="H579" t="str">
        <f>""</f>
        <v/>
      </c>
      <c r="I579" t="str">
        <f t="shared" si="293"/>
        <v>CONTA OPTICA</v>
      </c>
      <c r="J579" t="str">
        <f>"BETTER VISION COMERCIO DE PRODUTOS OPTICOS LTDA"</f>
        <v>BETTER VISION COMERCIO DE PRODUTOS OPTICOS LTDA</v>
      </c>
      <c r="K579" t="str">
        <f>"OTICA BAIA NORTE (3887)"</f>
        <v>OTICA BAIA NORTE (3887)</v>
      </c>
      <c r="L579" t="str">
        <f>""</f>
        <v/>
      </c>
      <c r="M579" t="str">
        <f>""</f>
        <v/>
      </c>
      <c r="N579" t="str">
        <f>"oticabaianorte@gmail.com"</f>
        <v>oticabaianorte@gmail.com</v>
      </c>
      <c r="O579" t="str">
        <f>""</f>
        <v/>
      </c>
      <c r="P579" t="str">
        <f>"RUA SIDNEY NOCETTI"</f>
        <v>RUA SIDNEY NOCETTI</v>
      </c>
      <c r="Q579" t="str">
        <f>"62"</f>
        <v>62</v>
      </c>
      <c r="R579" t="str">
        <f>"SL07"</f>
        <v>SL07</v>
      </c>
      <c r="S579" t="str">
        <f>"1257"</f>
        <v>1257</v>
      </c>
      <c r="T579" t="str">
        <f>"88025320"</f>
        <v>88025320</v>
      </c>
      <c r="U579" t="str">
        <f>"AGRONOMICA"</f>
        <v>AGRONOMICA</v>
      </c>
      <c r="V579" t="str">
        <f>"FLORIANÓPOLIS"</f>
        <v>FLORIANÓPOLIS</v>
      </c>
      <c r="W579" t="str">
        <f t="shared" si="284"/>
        <v>SC</v>
      </c>
      <c r="X579" t="str">
        <f t="shared" si="288"/>
        <v>48</v>
      </c>
      <c r="Y579" t="str">
        <f>"38796090"</f>
        <v>38796090</v>
      </c>
      <c r="Z579" t="str">
        <f>""</f>
        <v/>
      </c>
      <c r="AA579" t="str">
        <f>""</f>
        <v/>
      </c>
      <c r="AB579" t="str">
        <f>""</f>
        <v/>
      </c>
      <c r="AC579" t="str">
        <f>""</f>
        <v/>
      </c>
      <c r="AD579" t="str">
        <f>""</f>
        <v/>
      </c>
      <c r="AE579" t="str">
        <f>""</f>
        <v/>
      </c>
      <c r="AF579" t="str">
        <f>""</f>
        <v/>
      </c>
      <c r="AG579" t="str">
        <f>"S"</f>
        <v>S</v>
      </c>
      <c r="AH579" t="str">
        <f>""</f>
        <v/>
      </c>
      <c r="AI579" t="str">
        <f>""</f>
        <v/>
      </c>
      <c r="AJ579" t="str">
        <f t="shared" si="289"/>
        <v>0</v>
      </c>
      <c r="AK579" t="str">
        <f t="shared" si="289"/>
        <v>0</v>
      </c>
      <c r="AL579" t="str">
        <f t="shared" si="289"/>
        <v>0</v>
      </c>
      <c r="AM579" t="str">
        <f>""</f>
        <v/>
      </c>
      <c r="AN579" t="str">
        <f>""</f>
        <v/>
      </c>
      <c r="AO579" t="str">
        <f>""</f>
        <v/>
      </c>
      <c r="AP579" t="str">
        <f>""</f>
        <v/>
      </c>
      <c r="AQ579" t="str">
        <f t="shared" si="294"/>
        <v>N</v>
      </c>
      <c r="AR579" t="str">
        <f t="shared" si="294"/>
        <v>N</v>
      </c>
      <c r="AS579" t="str">
        <f t="shared" si="294"/>
        <v>N</v>
      </c>
      <c r="AT579" t="str">
        <f t="shared" si="294"/>
        <v>N</v>
      </c>
      <c r="AU579" t="str">
        <f t="shared" si="294"/>
        <v>N</v>
      </c>
      <c r="AV579" t="str">
        <f>""</f>
        <v/>
      </c>
      <c r="AW579" t="str">
        <f>""</f>
        <v/>
      </c>
      <c r="AX579" t="str">
        <f>""</f>
        <v/>
      </c>
      <c r="AY579" t="str">
        <f>""</f>
        <v/>
      </c>
      <c r="AZ579" t="str">
        <f>""</f>
        <v/>
      </c>
      <c r="BA579" t="str">
        <f>""</f>
        <v/>
      </c>
      <c r="BB579" t="str">
        <f>""</f>
        <v/>
      </c>
      <c r="BC579" t="str">
        <f>"04/04/2022 09:03:14"</f>
        <v>04/04/2022 09:03:14</v>
      </c>
      <c r="BD579" t="str">
        <f>""</f>
        <v/>
      </c>
      <c r="BE579" t="str">
        <f>""</f>
        <v/>
      </c>
      <c r="BF579" t="str">
        <f t="shared" si="295"/>
        <v>A</v>
      </c>
      <c r="BG579" t="str">
        <f t="shared" si="290"/>
        <v>0,00</v>
      </c>
      <c r="BH579" t="str">
        <f t="shared" si="290"/>
        <v>0,00</v>
      </c>
      <c r="BI579" t="str">
        <f t="shared" si="276"/>
        <v>EVENTUAL</v>
      </c>
      <c r="BJ579" t="str">
        <f t="shared" si="296"/>
        <v>1</v>
      </c>
      <c r="BK579" t="str">
        <f t="shared" si="297"/>
        <v>Farmacia</v>
      </c>
      <c r="BL579" t="str">
        <f>""</f>
        <v/>
      </c>
      <c r="BM579" t="str">
        <f>"NÃO É VARILUX ESPECIALISTA"</f>
        <v>NÃO É VARILUX ESPECIALISTA</v>
      </c>
      <c r="BN579" t="str">
        <f>"EL360"</f>
        <v>EL360</v>
      </c>
      <c r="BO579" t="str">
        <f>"OUTROS"</f>
        <v>OUTROS</v>
      </c>
      <c r="BP579" t="str">
        <f>""</f>
        <v/>
      </c>
      <c r="BQ579" t="str">
        <f>""</f>
        <v/>
      </c>
      <c r="BR579" t="str">
        <f>""</f>
        <v/>
      </c>
      <c r="BS579" t="str">
        <f>"04/04/2022"</f>
        <v>04/04/2022</v>
      </c>
      <c r="BT579" t="str">
        <f>""</f>
        <v/>
      </c>
      <c r="BU579" t="str">
        <f>""</f>
        <v/>
      </c>
      <c r="BV579" t="str">
        <f>"9"</f>
        <v>9</v>
      </c>
      <c r="BW579" t="str">
        <f>"211"</f>
        <v>211</v>
      </c>
    </row>
    <row r="580" spans="1:75" x14ac:dyDescent="0.35">
      <c r="A580">
        <v>134540</v>
      </c>
      <c r="B580" t="str">
        <f t="shared" si="291"/>
        <v>A</v>
      </c>
      <c r="C580" t="str">
        <f t="shared" si="292"/>
        <v>80</v>
      </c>
      <c r="D580" t="str">
        <f t="shared" si="281"/>
        <v>11121002</v>
      </c>
      <c r="E580" t="str">
        <f t="shared" si="282"/>
        <v>121002</v>
      </c>
      <c r="F580" t="str">
        <f t="shared" si="283"/>
        <v>CINTHIA NORONHA</v>
      </c>
      <c r="G580" t="str">
        <f>"39234958000182"</f>
        <v>39234958000182</v>
      </c>
      <c r="H580" t="str">
        <f>""</f>
        <v/>
      </c>
      <c r="I580" t="str">
        <f t="shared" si="293"/>
        <v>CONTA OPTICA</v>
      </c>
      <c r="J580" t="str">
        <f>"BK OTICA LTDA"</f>
        <v>BK OTICA LTDA</v>
      </c>
      <c r="K580" t="str">
        <f>"CRAFTS (4198)"</f>
        <v>CRAFTS (4198)</v>
      </c>
      <c r="L580" t="str">
        <f>""</f>
        <v/>
      </c>
      <c r="M580" t="str">
        <f>""</f>
        <v/>
      </c>
      <c r="N580" t="str">
        <f>"crafts_ass@yahoo.com.br"</f>
        <v>crafts_ass@yahoo.com.br</v>
      </c>
      <c r="O580" t="str">
        <f>""</f>
        <v/>
      </c>
      <c r="P580" t="str">
        <f>"RUA ALMIRANTE ALVIM"</f>
        <v>RUA ALMIRANTE ALVIM</v>
      </c>
      <c r="Q580" t="str">
        <f>"607"</f>
        <v>607</v>
      </c>
      <c r="R580" t="str">
        <f>"LOJA 2"</f>
        <v>LOJA 2</v>
      </c>
      <c r="S580" t="str">
        <f>""</f>
        <v/>
      </c>
      <c r="T580" t="str">
        <f>"88015380"</f>
        <v>88015380</v>
      </c>
      <c r="U580" t="str">
        <f>"CENTRO"</f>
        <v>CENTRO</v>
      </c>
      <c r="V580" t="str">
        <f>"FLORIANÓPOLIS"</f>
        <v>FLORIANÓPOLIS</v>
      </c>
      <c r="W580" t="str">
        <f t="shared" si="284"/>
        <v>SC</v>
      </c>
      <c r="X580" t="str">
        <f t="shared" si="288"/>
        <v>48</v>
      </c>
      <c r="Y580" t="str">
        <f>"30252376"</f>
        <v>30252376</v>
      </c>
      <c r="Z580" t="str">
        <f>""</f>
        <v/>
      </c>
      <c r="AA580" t="str">
        <f>""</f>
        <v/>
      </c>
      <c r="AB580" t="str">
        <f>""</f>
        <v/>
      </c>
      <c r="AC580" t="str">
        <f>""</f>
        <v/>
      </c>
      <c r="AD580" t="str">
        <f>""</f>
        <v/>
      </c>
      <c r="AE580" t="str">
        <f>""</f>
        <v/>
      </c>
      <c r="AF580" t="str">
        <f>""</f>
        <v/>
      </c>
      <c r="AG580" t="str">
        <f>"S"</f>
        <v>S</v>
      </c>
      <c r="AH580" t="str">
        <f>""</f>
        <v/>
      </c>
      <c r="AI580" t="str">
        <f>""</f>
        <v/>
      </c>
      <c r="AJ580" t="str">
        <f>""</f>
        <v/>
      </c>
      <c r="AK580" t="str">
        <f>""</f>
        <v/>
      </c>
      <c r="AL580" t="str">
        <f>""</f>
        <v/>
      </c>
      <c r="AM580" t="str">
        <f>""</f>
        <v/>
      </c>
      <c r="AN580" t="str">
        <f>""</f>
        <v/>
      </c>
      <c r="AO580" t="str">
        <f>""</f>
        <v/>
      </c>
      <c r="AP580" t="str">
        <f>""</f>
        <v/>
      </c>
      <c r="AQ580" t="str">
        <f t="shared" si="294"/>
        <v>N</v>
      </c>
      <c r="AR580" t="str">
        <f t="shared" si="294"/>
        <v>N</v>
      </c>
      <c r="AS580" t="str">
        <f t="shared" si="294"/>
        <v>N</v>
      </c>
      <c r="AT580" t="str">
        <f t="shared" si="294"/>
        <v>N</v>
      </c>
      <c r="AU580" t="str">
        <f t="shared" si="294"/>
        <v>N</v>
      </c>
      <c r="AV580" t="str">
        <f>""</f>
        <v/>
      </c>
      <c r="AW580" t="str">
        <f>""</f>
        <v/>
      </c>
      <c r="AX580" t="str">
        <f>""</f>
        <v/>
      </c>
      <c r="AY580" t="str">
        <f>""</f>
        <v/>
      </c>
      <c r="AZ580" t="str">
        <f>""</f>
        <v/>
      </c>
      <c r="BA580" t="str">
        <f>""</f>
        <v/>
      </c>
      <c r="BB580" t="str">
        <f>""</f>
        <v/>
      </c>
      <c r="BC580" t="str">
        <f>"04/04/2022 09:04:52"</f>
        <v>04/04/2022 09:04:52</v>
      </c>
      <c r="BD580" t="str">
        <f>""</f>
        <v/>
      </c>
      <c r="BE580" t="str">
        <f>""</f>
        <v/>
      </c>
      <c r="BF580" t="str">
        <f t="shared" si="295"/>
        <v>A</v>
      </c>
      <c r="BG580" t="str">
        <f>""</f>
        <v/>
      </c>
      <c r="BH580" t="str">
        <f>"0,00"</f>
        <v>0,00</v>
      </c>
      <c r="BI580" t="str">
        <f t="shared" si="276"/>
        <v>EVENTUAL</v>
      </c>
      <c r="BJ580" t="str">
        <f t="shared" si="296"/>
        <v>1</v>
      </c>
      <c r="BK580" t="str">
        <f t="shared" si="297"/>
        <v>Farmacia</v>
      </c>
      <c r="BL580" t="str">
        <f>""</f>
        <v/>
      </c>
      <c r="BM580" t="str">
        <f>"NÃO É VARILUX ESPECIALISTA"</f>
        <v>NÃO É VARILUX ESPECIALISTA</v>
      </c>
      <c r="BN580" t="str">
        <f>"EL360"</f>
        <v>EL360</v>
      </c>
      <c r="BO580" t="str">
        <f>""</f>
        <v/>
      </c>
      <c r="BP580" t="str">
        <f>""</f>
        <v/>
      </c>
      <c r="BQ580" t="str">
        <f>""</f>
        <v/>
      </c>
      <c r="BR580" t="str">
        <f>""</f>
        <v/>
      </c>
      <c r="BS580" t="str">
        <f>"04/04/2022"</f>
        <v>04/04/2022</v>
      </c>
      <c r="BT580" t="str">
        <f>""</f>
        <v/>
      </c>
      <c r="BU580" t="str">
        <f>""</f>
        <v/>
      </c>
      <c r="BV580" t="str">
        <f>""</f>
        <v/>
      </c>
      <c r="BW580" t="str">
        <f>"18"</f>
        <v>18</v>
      </c>
    </row>
    <row r="581" spans="1:75" x14ac:dyDescent="0.35">
      <c r="A581">
        <v>157608</v>
      </c>
      <c r="B581" t="str">
        <f t="shared" si="291"/>
        <v>A</v>
      </c>
      <c r="C581" t="str">
        <f t="shared" si="292"/>
        <v>80</v>
      </c>
      <c r="D581" t="str">
        <f t="shared" si="281"/>
        <v>11121002</v>
      </c>
      <c r="E581" t="str">
        <f t="shared" si="282"/>
        <v>121002</v>
      </c>
      <c r="F581" t="str">
        <f t="shared" si="283"/>
        <v>CINTHIA NORONHA</v>
      </c>
      <c r="G581" t="str">
        <f>"35978308000190"</f>
        <v>35978308000190</v>
      </c>
      <c r="H581" t="str">
        <f>"0"</f>
        <v>0</v>
      </c>
      <c r="I581" t="str">
        <f t="shared" si="293"/>
        <v>CONTA OPTICA</v>
      </c>
      <c r="J581" t="str">
        <f>"BLING OTICA UPP LTDA"</f>
        <v>BLING OTICA UPP LTDA</v>
      </c>
      <c r="K581" t="str">
        <f>"OTICAS CAROL (4145)"</f>
        <v>OTICAS CAROL (4145)</v>
      </c>
      <c r="L581" t="str">
        <f>""</f>
        <v/>
      </c>
      <c r="M581" t="str">
        <f>""</f>
        <v/>
      </c>
      <c r="N581" t="str">
        <f>"ADM.SC@OTICASCAROL.COM.BR"</f>
        <v>ADM.SC@OTICASCAROL.COM.BR</v>
      </c>
      <c r="O581" t="str">
        <f>""</f>
        <v/>
      </c>
      <c r="P581" t="str">
        <f>"RUA ARMANDO CALIL BULOS"</f>
        <v>RUA ARMANDO CALIL BULOS</v>
      </c>
      <c r="Q581" t="str">
        <f>"5733"</f>
        <v>5733</v>
      </c>
      <c r="R581" t="str">
        <f>"LJ01"</f>
        <v>LJ01</v>
      </c>
      <c r="S581" t="str">
        <f>"1257"</f>
        <v>1257</v>
      </c>
      <c r="T581" t="str">
        <f>"88058001"</f>
        <v>88058001</v>
      </c>
      <c r="U581" t="str">
        <f>"INGLESES DO RIO VERMELHO"</f>
        <v>INGLESES DO RIO VERMELHO</v>
      </c>
      <c r="V581" t="str">
        <f>"FLORIANOPOLIS"</f>
        <v>FLORIANOPOLIS</v>
      </c>
      <c r="W581" t="str">
        <f t="shared" si="284"/>
        <v>SC</v>
      </c>
      <c r="X581" t="str">
        <f t="shared" si="288"/>
        <v>48</v>
      </c>
      <c r="Y581" t="str">
        <f>"30677570"</f>
        <v>30677570</v>
      </c>
      <c r="Z581" t="str">
        <f>""</f>
        <v/>
      </c>
      <c r="AA581" t="str">
        <f>""</f>
        <v/>
      </c>
      <c r="AB581" t="str">
        <f>""</f>
        <v/>
      </c>
      <c r="AC581" t="str">
        <f>""</f>
        <v/>
      </c>
      <c r="AD581" t="str">
        <f>""</f>
        <v/>
      </c>
      <c r="AE581" t="str">
        <f>""</f>
        <v/>
      </c>
      <c r="AF581" t="str">
        <f>""</f>
        <v/>
      </c>
      <c r="AG581" t="str">
        <f>""</f>
        <v/>
      </c>
      <c r="AH581" t="str">
        <f>""</f>
        <v/>
      </c>
      <c r="AI581" t="str">
        <f>""</f>
        <v/>
      </c>
      <c r="AJ581" t="str">
        <f>""</f>
        <v/>
      </c>
      <c r="AK581" t="str">
        <f>""</f>
        <v/>
      </c>
      <c r="AL581" t="str">
        <f>""</f>
        <v/>
      </c>
      <c r="AM581" t="str">
        <f>""</f>
        <v/>
      </c>
      <c r="AN581" t="str">
        <f>""</f>
        <v/>
      </c>
      <c r="AO581" t="str">
        <f>""</f>
        <v/>
      </c>
      <c r="AP581" t="str">
        <f>""</f>
        <v/>
      </c>
      <c r="AQ581" t="str">
        <f>""</f>
        <v/>
      </c>
      <c r="AR581" t="str">
        <f>""</f>
        <v/>
      </c>
      <c r="AS581" t="str">
        <f>""</f>
        <v/>
      </c>
      <c r="AT581" t="str">
        <f>""</f>
        <v/>
      </c>
      <c r="AU581" t="str">
        <f>""</f>
        <v/>
      </c>
      <c r="AV581" t="str">
        <f>""</f>
        <v/>
      </c>
      <c r="AW581" t="str">
        <f>""</f>
        <v/>
      </c>
      <c r="AX581" t="str">
        <f>""</f>
        <v/>
      </c>
      <c r="AY581" t="str">
        <f>""</f>
        <v/>
      </c>
      <c r="AZ581" t="str">
        <f>""</f>
        <v/>
      </c>
      <c r="BA581" t="str">
        <f>""</f>
        <v/>
      </c>
      <c r="BB581" t="str">
        <f>"11/07/2023 02:19:56"</f>
        <v>11/07/2023 02:19:56</v>
      </c>
      <c r="BC581" t="str">
        <f>""</f>
        <v/>
      </c>
      <c r="BD581" t="str">
        <f>""</f>
        <v/>
      </c>
      <c r="BE581" t="str">
        <f>""</f>
        <v/>
      </c>
      <c r="BF581" t="str">
        <f t="shared" si="295"/>
        <v>A</v>
      </c>
      <c r="BG581" t="str">
        <f>""</f>
        <v/>
      </c>
      <c r="BH581" t="str">
        <f>""</f>
        <v/>
      </c>
      <c r="BI581" t="str">
        <f t="shared" si="276"/>
        <v>EVENTUAL</v>
      </c>
      <c r="BJ581" t="str">
        <f t="shared" si="296"/>
        <v>1</v>
      </c>
      <c r="BK581" t="str">
        <f t="shared" si="297"/>
        <v>Farmacia</v>
      </c>
      <c r="BL581" t="str">
        <f>""</f>
        <v/>
      </c>
      <c r="BM581" t="str">
        <f>""</f>
        <v/>
      </c>
      <c r="BN581" t="str">
        <f>""</f>
        <v/>
      </c>
      <c r="BO581" t="str">
        <f>""</f>
        <v/>
      </c>
      <c r="BP581" t="str">
        <f>""</f>
        <v/>
      </c>
      <c r="BQ581" t="str">
        <f>""</f>
        <v/>
      </c>
      <c r="BR581" t="str">
        <f>"11/07/2023"</f>
        <v>11/07/2023</v>
      </c>
      <c r="BS581" t="str">
        <f>""</f>
        <v/>
      </c>
      <c r="BT581" t="str">
        <f>""</f>
        <v/>
      </c>
      <c r="BU581" t="str">
        <f>""</f>
        <v/>
      </c>
      <c r="BV581" t="str">
        <f>""</f>
        <v/>
      </c>
      <c r="BW581" t="str">
        <f>"85"</f>
        <v>85</v>
      </c>
    </row>
    <row r="582" spans="1:75" x14ac:dyDescent="0.35">
      <c r="A582">
        <v>134560</v>
      </c>
      <c r="B582" t="str">
        <f t="shared" si="291"/>
        <v>A</v>
      </c>
      <c r="C582" t="str">
        <f t="shared" si="292"/>
        <v>80</v>
      </c>
      <c r="D582" t="str">
        <f t="shared" si="281"/>
        <v>11121002</v>
      </c>
      <c r="E582" t="str">
        <f t="shared" si="282"/>
        <v>121002</v>
      </c>
      <c r="F582" t="str">
        <f t="shared" si="283"/>
        <v>CINTHIA NORONHA</v>
      </c>
      <c r="G582" t="str">
        <f>"39927551000130"</f>
        <v>39927551000130</v>
      </c>
      <c r="H582" t="str">
        <f>""</f>
        <v/>
      </c>
      <c r="I582" t="str">
        <f t="shared" si="293"/>
        <v>CONTA OPTICA</v>
      </c>
      <c r="J582" t="str">
        <f>"BLUEEYE JOALHERIA E OTICA LTDA"</f>
        <v>BLUEEYE JOALHERIA E OTICA LTDA</v>
      </c>
      <c r="K582" t="str">
        <f>"BLUEEYE (4253)"</f>
        <v>BLUEEYE (4253)</v>
      </c>
      <c r="L582" t="str">
        <f>""</f>
        <v/>
      </c>
      <c r="M582" t="str">
        <f>""</f>
        <v/>
      </c>
      <c r="N582" t="str">
        <f>"renato@abensur.com.br"</f>
        <v>renato@abensur.com.br</v>
      </c>
      <c r="O582" t="str">
        <f>""</f>
        <v/>
      </c>
      <c r="P582" t="str">
        <f>"AVENIDA MADRE BENVENUTA"</f>
        <v>AVENIDA MADRE BENVENUTA</v>
      </c>
      <c r="Q582" t="str">
        <f>"687"</f>
        <v>687</v>
      </c>
      <c r="R582" t="str">
        <f>"LOJA 221"</f>
        <v>LOJA 221</v>
      </c>
      <c r="S582" t="str">
        <f>"1257"</f>
        <v>1257</v>
      </c>
      <c r="T582" t="str">
        <f>"88036500"</f>
        <v>88036500</v>
      </c>
      <c r="U582" t="str">
        <f>"SANTA MONICA"</f>
        <v>SANTA MONICA</v>
      </c>
      <c r="V582" t="str">
        <f>"FLORIANÓPOLIS"</f>
        <v>FLORIANÓPOLIS</v>
      </c>
      <c r="W582" t="str">
        <f t="shared" si="284"/>
        <v>SC</v>
      </c>
      <c r="X582" t="str">
        <f>"51"</f>
        <v>51</v>
      </c>
      <c r="Y582" t="str">
        <f>"984229620"</f>
        <v>984229620</v>
      </c>
      <c r="Z582" t="str">
        <f>""</f>
        <v/>
      </c>
      <c r="AA582" t="str">
        <f>""</f>
        <v/>
      </c>
      <c r="AB582" t="str">
        <f>""</f>
        <v/>
      </c>
      <c r="AC582" t="str">
        <f>""</f>
        <v/>
      </c>
      <c r="AD582" t="str">
        <f>""</f>
        <v/>
      </c>
      <c r="AE582" t="str">
        <f>""</f>
        <v/>
      </c>
      <c r="AF582" t="str">
        <f>""</f>
        <v/>
      </c>
      <c r="AG582" t="str">
        <f>"S"</f>
        <v>S</v>
      </c>
      <c r="AH582" t="str">
        <f>""</f>
        <v/>
      </c>
      <c r="AI582" t="str">
        <f>""</f>
        <v/>
      </c>
      <c r="AJ582" t="str">
        <f>"0"</f>
        <v>0</v>
      </c>
      <c r="AK582" t="str">
        <f>"0"</f>
        <v>0</v>
      </c>
      <c r="AL582" t="str">
        <f>"0"</f>
        <v>0</v>
      </c>
      <c r="AM582" t="str">
        <f>""</f>
        <v/>
      </c>
      <c r="AN582" t="str">
        <f>""</f>
        <v/>
      </c>
      <c r="AO582" t="str">
        <f>""</f>
        <v/>
      </c>
      <c r="AP582" t="str">
        <f>""</f>
        <v/>
      </c>
      <c r="AQ582" t="str">
        <f>"N"</f>
        <v>N</v>
      </c>
      <c r="AR582" t="str">
        <f>"N"</f>
        <v>N</v>
      </c>
      <c r="AS582" t="str">
        <f>"N"</f>
        <v>N</v>
      </c>
      <c r="AT582" t="str">
        <f>"N"</f>
        <v>N</v>
      </c>
      <c r="AU582" t="str">
        <f>"N"</f>
        <v>N</v>
      </c>
      <c r="AV582" t="str">
        <f>""</f>
        <v/>
      </c>
      <c r="AW582" t="str">
        <f>""</f>
        <v/>
      </c>
      <c r="AX582" t="str">
        <f>""</f>
        <v/>
      </c>
      <c r="AY582" t="str">
        <f>""</f>
        <v/>
      </c>
      <c r="AZ582" t="str">
        <f>""</f>
        <v/>
      </c>
      <c r="BA582" t="str">
        <f>""</f>
        <v/>
      </c>
      <c r="BB582" t="str">
        <f>""</f>
        <v/>
      </c>
      <c r="BC582" t="str">
        <f>"14/09/2021 09:30:10"</f>
        <v>14/09/2021 09:30:10</v>
      </c>
      <c r="BD582" t="str">
        <f>""</f>
        <v/>
      </c>
      <c r="BE582" t="str">
        <f>""</f>
        <v/>
      </c>
      <c r="BF582" t="str">
        <f t="shared" si="295"/>
        <v>A</v>
      </c>
      <c r="BG582" t="str">
        <f>"0,00"</f>
        <v>0,00</v>
      </c>
      <c r="BH582" t="str">
        <f>"0,00"</f>
        <v>0,00</v>
      </c>
      <c r="BI582" t="str">
        <f t="shared" si="276"/>
        <v>EVENTUAL</v>
      </c>
      <c r="BJ582" t="str">
        <f t="shared" si="296"/>
        <v>1</v>
      </c>
      <c r="BK582" t="str">
        <f t="shared" si="297"/>
        <v>Farmacia</v>
      </c>
      <c r="BL582" t="str">
        <f>""</f>
        <v/>
      </c>
      <c r="BM582" t="str">
        <f>"CREDENCIADO VARILUX"</f>
        <v>CREDENCIADO VARILUX</v>
      </c>
      <c r="BN582" t="str">
        <f>"NA"</f>
        <v>NA</v>
      </c>
      <c r="BO582" t="str">
        <f>"FOCO VARILUX DIGITAL"</f>
        <v>FOCO VARILUX DIGITAL</v>
      </c>
      <c r="BP582" t="str">
        <f>""</f>
        <v/>
      </c>
      <c r="BQ582" t="str">
        <f>""</f>
        <v/>
      </c>
      <c r="BR582" t="str">
        <f>""</f>
        <v/>
      </c>
      <c r="BS582" t="str">
        <f>"14/09/2021"</f>
        <v>14/09/2021</v>
      </c>
      <c r="BT582" t="str">
        <f>""</f>
        <v/>
      </c>
      <c r="BU582" t="str">
        <f>""</f>
        <v/>
      </c>
      <c r="BV582" t="str">
        <f>""</f>
        <v/>
      </c>
      <c r="BW582" t="str">
        <f>"176"</f>
        <v>176</v>
      </c>
    </row>
    <row r="583" spans="1:75" x14ac:dyDescent="0.35">
      <c r="A583">
        <v>134422</v>
      </c>
      <c r="B583" t="str">
        <f t="shared" si="291"/>
        <v>A</v>
      </c>
      <c r="C583" t="str">
        <f t="shared" si="292"/>
        <v>80</v>
      </c>
      <c r="D583" t="str">
        <f t="shared" si="281"/>
        <v>11121002</v>
      </c>
      <c r="E583" t="str">
        <f t="shared" si="282"/>
        <v>121002</v>
      </c>
      <c r="F583" t="str">
        <f t="shared" si="283"/>
        <v>CINTHIA NORONHA</v>
      </c>
      <c r="G583" t="str">
        <f>"35763543000145"</f>
        <v>35763543000145</v>
      </c>
      <c r="H583" t="str">
        <f>""</f>
        <v/>
      </c>
      <c r="I583" t="str">
        <f t="shared" si="293"/>
        <v>CONTA OPTICA</v>
      </c>
      <c r="J583" t="str">
        <f>"BMK COMERCIO DE PRODUTOS OTICOS LTDA"</f>
        <v>BMK COMERCIO DE PRODUTOS OTICOS LTDA</v>
      </c>
      <c r="K583" t="str">
        <f>"OTICAS CAROL (4151)"</f>
        <v>OTICAS CAROL (4151)</v>
      </c>
      <c r="L583" t="str">
        <f>""</f>
        <v/>
      </c>
      <c r="M583" t="str">
        <f>""</f>
        <v/>
      </c>
      <c r="N583" t="str">
        <f>"produtosc@oticascarol.com.br"</f>
        <v>produtosc@oticascarol.com.br</v>
      </c>
      <c r="O583" t="str">
        <f>""</f>
        <v/>
      </c>
      <c r="P583" t="str">
        <f>"RUA R BOCAIUVA"</f>
        <v>RUA R BOCAIUVA</v>
      </c>
      <c r="Q583" t="str">
        <f>"2468"</f>
        <v>2468</v>
      </c>
      <c r="R583" t="str">
        <f>"LJ 106 PI L1"</f>
        <v>LJ 106 PI L1</v>
      </c>
      <c r="S583" t="str">
        <f>"1255"</f>
        <v>1255</v>
      </c>
      <c r="T583" t="str">
        <f>"88015902"</f>
        <v>88015902</v>
      </c>
      <c r="U583" t="str">
        <f>"CENTRO"</f>
        <v>CENTRO</v>
      </c>
      <c r="V583" t="str">
        <f>"FLORIANOPOLIS"</f>
        <v>FLORIANOPOLIS</v>
      </c>
      <c r="W583" t="str">
        <f t="shared" si="284"/>
        <v>SC</v>
      </c>
      <c r="X583" t="str">
        <f t="shared" ref="X583:X599" si="298">"48"</f>
        <v>48</v>
      </c>
      <c r="Y583" t="str">
        <f>"33336916"</f>
        <v>33336916</v>
      </c>
      <c r="Z583" t="str">
        <f>""</f>
        <v/>
      </c>
      <c r="AA583" t="str">
        <f>""</f>
        <v/>
      </c>
      <c r="AB583" t="str">
        <f>""</f>
        <v/>
      </c>
      <c r="AC583" t="str">
        <f>""</f>
        <v/>
      </c>
      <c r="AD583" t="str">
        <f>""</f>
        <v/>
      </c>
      <c r="AE583" t="str">
        <f>""</f>
        <v/>
      </c>
      <c r="AF583" t="str">
        <f>""</f>
        <v/>
      </c>
      <c r="AG583" t="str">
        <f>""</f>
        <v/>
      </c>
      <c r="AH583" t="str">
        <f>""</f>
        <v/>
      </c>
      <c r="AI583" t="str">
        <f>""</f>
        <v/>
      </c>
      <c r="AJ583" t="str">
        <f>""</f>
        <v/>
      </c>
      <c r="AK583" t="str">
        <f>""</f>
        <v/>
      </c>
      <c r="AL583" t="str">
        <f>""</f>
        <v/>
      </c>
      <c r="AM583" t="str">
        <f>""</f>
        <v/>
      </c>
      <c r="AN583" t="str">
        <f>""</f>
        <v/>
      </c>
      <c r="AO583" t="str">
        <f>""</f>
        <v/>
      </c>
      <c r="AP583" t="str">
        <f>""</f>
        <v/>
      </c>
      <c r="AQ583" t="str">
        <f>""</f>
        <v/>
      </c>
      <c r="AR583" t="str">
        <f>""</f>
        <v/>
      </c>
      <c r="AS583" t="str">
        <f>""</f>
        <v/>
      </c>
      <c r="AT583" t="str">
        <f>""</f>
        <v/>
      </c>
      <c r="AU583" t="str">
        <f>""</f>
        <v/>
      </c>
      <c r="AV583" t="str">
        <f>""</f>
        <v/>
      </c>
      <c r="AW583" t="str">
        <f>""</f>
        <v/>
      </c>
      <c r="AX583" t="str">
        <f>""</f>
        <v/>
      </c>
      <c r="AY583" t="str">
        <f>""</f>
        <v/>
      </c>
      <c r="AZ583" t="str">
        <f>""</f>
        <v/>
      </c>
      <c r="BA583" t="str">
        <f>""</f>
        <v/>
      </c>
      <c r="BB583" t="str">
        <f>""</f>
        <v/>
      </c>
      <c r="BC583" t="str">
        <f>""</f>
        <v/>
      </c>
      <c r="BD583" t="str">
        <f>""</f>
        <v/>
      </c>
      <c r="BE583" t="str">
        <f>""</f>
        <v/>
      </c>
      <c r="BF583" t="str">
        <f t="shared" si="295"/>
        <v>A</v>
      </c>
      <c r="BG583" t="str">
        <f>""</f>
        <v/>
      </c>
      <c r="BH583" t="str">
        <f>""</f>
        <v/>
      </c>
      <c r="BI583" t="str">
        <f t="shared" si="276"/>
        <v>EVENTUAL</v>
      </c>
      <c r="BJ583" t="str">
        <f t="shared" si="296"/>
        <v>1</v>
      </c>
      <c r="BK583" t="str">
        <f t="shared" si="297"/>
        <v>Farmacia</v>
      </c>
      <c r="BL583" t="str">
        <f>""</f>
        <v/>
      </c>
      <c r="BM583" t="str">
        <f>"VARILUX ESPECIALISTA PLATINE"</f>
        <v>VARILUX ESPECIALISTA PLATINE</v>
      </c>
      <c r="BN583" t="str">
        <f>"NA"</f>
        <v>NA</v>
      </c>
      <c r="BO583" t="str">
        <f>"FOCO VARILUX DIGITAL"</f>
        <v>FOCO VARILUX DIGITAL</v>
      </c>
      <c r="BP583" t="str">
        <f>""</f>
        <v/>
      </c>
      <c r="BQ583" t="str">
        <f>""</f>
        <v/>
      </c>
      <c r="BR583" t="str">
        <f>""</f>
        <v/>
      </c>
      <c r="BS583" t="str">
        <f>""</f>
        <v/>
      </c>
      <c r="BT583" t="str">
        <f>""</f>
        <v/>
      </c>
      <c r="BU583" t="str">
        <f>""</f>
        <v/>
      </c>
      <c r="BV583" t="str">
        <f>"1"</f>
        <v>1</v>
      </c>
      <c r="BW583" t="str">
        <f>"85"</f>
        <v>85</v>
      </c>
    </row>
    <row r="584" spans="1:75" x14ac:dyDescent="0.35">
      <c r="A584">
        <v>156887</v>
      </c>
      <c r="B584" t="str">
        <f t="shared" si="291"/>
        <v>A</v>
      </c>
      <c r="C584" t="str">
        <f t="shared" si="292"/>
        <v>80</v>
      </c>
      <c r="D584" t="str">
        <f t="shared" si="281"/>
        <v>11121002</v>
      </c>
      <c r="E584" t="str">
        <f t="shared" si="282"/>
        <v>121002</v>
      </c>
      <c r="F584" t="str">
        <f t="shared" si="283"/>
        <v>CINTHIA NORONHA</v>
      </c>
      <c r="G584" t="str">
        <f>"20162215000116"</f>
        <v>20162215000116</v>
      </c>
      <c r="H584" t="str">
        <f>"0"</f>
        <v>0</v>
      </c>
      <c r="I584" t="str">
        <f t="shared" si="293"/>
        <v>CONTA OPTICA</v>
      </c>
      <c r="J584" t="str">
        <f>"BRILHANTE JOALHERIA E OTICA EIRELI EPP"</f>
        <v>BRILHANTE JOALHERIA E OTICA EIRELI EPP</v>
      </c>
      <c r="K584" t="str">
        <f>"QUEVEDO  (2166)"</f>
        <v>QUEVEDO  (2166)</v>
      </c>
      <c r="L584" t="str">
        <f>""</f>
        <v/>
      </c>
      <c r="M584" t="str">
        <f>""</f>
        <v/>
      </c>
      <c r="N584" t="str">
        <f>"EXPEDIENTE@QUEVEDO.COM.BR"</f>
        <v>EXPEDIENTE@QUEVEDO.COM.BR</v>
      </c>
      <c r="O584" t="str">
        <f>""</f>
        <v/>
      </c>
      <c r="P584" t="str">
        <f>"ATILIO PEDRO PAGANI"</f>
        <v>ATILIO PEDRO PAGANI</v>
      </c>
      <c r="Q584" t="str">
        <f>"270"</f>
        <v>270</v>
      </c>
      <c r="R584" t="str">
        <f>"LJ 220 2 PISO"</f>
        <v>LJ 220 2 PISO</v>
      </c>
      <c r="S584" t="str">
        <f>"1259"</f>
        <v>1259</v>
      </c>
      <c r="T584" t="str">
        <f>"88132149"</f>
        <v>88132149</v>
      </c>
      <c r="U584" t="str">
        <f>"PASSA VINTE"</f>
        <v>PASSA VINTE</v>
      </c>
      <c r="V584" t="str">
        <f>"PALHOCA"</f>
        <v>PALHOCA</v>
      </c>
      <c r="W584" t="str">
        <f t="shared" si="284"/>
        <v>SC</v>
      </c>
      <c r="X584" t="str">
        <f t="shared" si="298"/>
        <v>48</v>
      </c>
      <c r="Y584" t="str">
        <f>"30869100"</f>
        <v>30869100</v>
      </c>
      <c r="Z584" t="str">
        <f>""</f>
        <v/>
      </c>
      <c r="AA584" t="str">
        <f>""</f>
        <v/>
      </c>
      <c r="AB584" t="str">
        <f>""</f>
        <v/>
      </c>
      <c r="AC584" t="str">
        <f>""</f>
        <v/>
      </c>
      <c r="AD584" t="str">
        <f>""</f>
        <v/>
      </c>
      <c r="AE584" t="str">
        <f>""</f>
        <v/>
      </c>
      <c r="AF584" t="str">
        <f>""</f>
        <v/>
      </c>
      <c r="AG584" t="str">
        <f>""</f>
        <v/>
      </c>
      <c r="AH584" t="str">
        <f>""</f>
        <v/>
      </c>
      <c r="AI584" t="str">
        <f>""</f>
        <v/>
      </c>
      <c r="AJ584" t="str">
        <f>""</f>
        <v/>
      </c>
      <c r="AK584" t="str">
        <f>""</f>
        <v/>
      </c>
      <c r="AL584" t="str">
        <f>""</f>
        <v/>
      </c>
      <c r="AM584" t="str">
        <f>""</f>
        <v/>
      </c>
      <c r="AN584" t="str">
        <f>""</f>
        <v/>
      </c>
      <c r="AO584" t="str">
        <f>""</f>
        <v/>
      </c>
      <c r="AP584" t="str">
        <f>""</f>
        <v/>
      </c>
      <c r="AQ584" t="str">
        <f>""</f>
        <v/>
      </c>
      <c r="AR584" t="str">
        <f>""</f>
        <v/>
      </c>
      <c r="AS584" t="str">
        <f>""</f>
        <v/>
      </c>
      <c r="AT584" t="str">
        <f>""</f>
        <v/>
      </c>
      <c r="AU584" t="str">
        <f>""</f>
        <v/>
      </c>
      <c r="AV584" t="str">
        <f>""</f>
        <v/>
      </c>
      <c r="AW584" t="str">
        <f>""</f>
        <v/>
      </c>
      <c r="AX584" t="str">
        <f>""</f>
        <v/>
      </c>
      <c r="AY584" t="str">
        <f>""</f>
        <v/>
      </c>
      <c r="AZ584" t="str">
        <f>""</f>
        <v/>
      </c>
      <c r="BA584" t="str">
        <f>""</f>
        <v/>
      </c>
      <c r="BB584" t="str">
        <f>"06/07/2023 12:07:48"</f>
        <v>06/07/2023 12:07:48</v>
      </c>
      <c r="BC584" t="str">
        <f>""</f>
        <v/>
      </c>
      <c r="BD584" t="str">
        <f>""</f>
        <v/>
      </c>
      <c r="BE584" t="str">
        <f>""</f>
        <v/>
      </c>
      <c r="BF584" t="str">
        <f t="shared" si="295"/>
        <v>A</v>
      </c>
      <c r="BG584" t="str">
        <f>""</f>
        <v/>
      </c>
      <c r="BH584" t="str">
        <f>""</f>
        <v/>
      </c>
      <c r="BI584" t="str">
        <f t="shared" si="276"/>
        <v>EVENTUAL</v>
      </c>
      <c r="BJ584" t="str">
        <f t="shared" si="296"/>
        <v>1</v>
      </c>
      <c r="BK584" t="str">
        <f t="shared" si="297"/>
        <v>Farmacia</v>
      </c>
      <c r="BL584" t="str">
        <f>""</f>
        <v/>
      </c>
      <c r="BM584" t="str">
        <f>""</f>
        <v/>
      </c>
      <c r="BN584" t="str">
        <f>""</f>
        <v/>
      </c>
      <c r="BO584" t="str">
        <f>""</f>
        <v/>
      </c>
      <c r="BP584" t="str">
        <f>""</f>
        <v/>
      </c>
      <c r="BQ584" t="str">
        <f>""</f>
        <v/>
      </c>
      <c r="BR584" t="str">
        <f>"06/07/2023"</f>
        <v>06/07/2023</v>
      </c>
      <c r="BS584" t="str">
        <f>""</f>
        <v/>
      </c>
      <c r="BT584" t="str">
        <f>""</f>
        <v/>
      </c>
      <c r="BU584" t="str">
        <f>""</f>
        <v/>
      </c>
      <c r="BV584" t="str">
        <f>""</f>
        <v/>
      </c>
      <c r="BW584" t="str">
        <f>"Não visitado"</f>
        <v>Não visitado</v>
      </c>
    </row>
    <row r="585" spans="1:75" x14ac:dyDescent="0.35">
      <c r="A585">
        <v>135176</v>
      </c>
      <c r="B585" t="str">
        <f t="shared" si="291"/>
        <v>A</v>
      </c>
      <c r="C585" t="str">
        <f t="shared" si="292"/>
        <v>80</v>
      </c>
      <c r="D585" t="str">
        <f t="shared" si="281"/>
        <v>11121002</v>
      </c>
      <c r="E585" t="str">
        <f t="shared" si="282"/>
        <v>121002</v>
      </c>
      <c r="F585" t="str">
        <f t="shared" si="283"/>
        <v>CINTHIA NORONHA</v>
      </c>
      <c r="G585" t="str">
        <f>"24426768000190"</f>
        <v>24426768000190</v>
      </c>
      <c r="H585" t="str">
        <f>"0"</f>
        <v>0</v>
      </c>
      <c r="I585" t="str">
        <f t="shared" si="293"/>
        <v>CONTA OPTICA</v>
      </c>
      <c r="J585" t="str">
        <f>"BRUNA ALEXSANDRA CRISTOVAO - OTICA ROSA DE SARON"</f>
        <v>BRUNA ALEXSANDRA CRISTOVAO - OTICA ROSA DE SARON</v>
      </c>
      <c r="K585" t="str">
        <f>"OTICA ROSA DE SARON (4311)"</f>
        <v>OTICA ROSA DE SARON (4311)</v>
      </c>
      <c r="L585" t="str">
        <f>""</f>
        <v/>
      </c>
      <c r="M585" t="str">
        <f>""</f>
        <v/>
      </c>
      <c r="N585" t="str">
        <f>"B.ALEXSANDRA@HOTMAIL.COM"</f>
        <v>B.ALEXSANDRA@HOTMAIL.COM</v>
      </c>
      <c r="O585" t="str">
        <f>""</f>
        <v/>
      </c>
      <c r="P585" t="str">
        <f>"RUA SANTOS SARAIVA"</f>
        <v>RUA SANTOS SARAIVA</v>
      </c>
      <c r="Q585" t="str">
        <f>"2233"</f>
        <v>2233</v>
      </c>
      <c r="R585" t="str">
        <f>""</f>
        <v/>
      </c>
      <c r="S585" t="str">
        <f>"1258"</f>
        <v>1258</v>
      </c>
      <c r="T585" t="str">
        <f>"88070101"</f>
        <v>88070101</v>
      </c>
      <c r="U585" t="str">
        <f>"ESTREITO"</f>
        <v>ESTREITO</v>
      </c>
      <c r="V585" t="str">
        <f>"FLORIANÓPOLIS"</f>
        <v>FLORIANÓPOLIS</v>
      </c>
      <c r="W585" t="str">
        <f t="shared" si="284"/>
        <v>SC</v>
      </c>
      <c r="X585" t="str">
        <f t="shared" si="298"/>
        <v>48</v>
      </c>
      <c r="Y585" t="str">
        <f>"996923117"</f>
        <v>996923117</v>
      </c>
      <c r="Z585" t="str">
        <f>""</f>
        <v/>
      </c>
      <c r="AA585" t="str">
        <f>""</f>
        <v/>
      </c>
      <c r="AB585" t="str">
        <f>""</f>
        <v/>
      </c>
      <c r="AC585" t="str">
        <f>""</f>
        <v/>
      </c>
      <c r="AD585" t="str">
        <f>""</f>
        <v/>
      </c>
      <c r="AE585" t="str">
        <f>""</f>
        <v/>
      </c>
      <c r="AF585" t="str">
        <f>""</f>
        <v/>
      </c>
      <c r="AG585" t="str">
        <f>"S"</f>
        <v>S</v>
      </c>
      <c r="AH585" t="str">
        <f>""</f>
        <v/>
      </c>
      <c r="AI585" t="str">
        <f>""</f>
        <v/>
      </c>
      <c r="AJ585" t="str">
        <f>""</f>
        <v/>
      </c>
      <c r="AK585" t="str">
        <f>""</f>
        <v/>
      </c>
      <c r="AL585" t="str">
        <f>""</f>
        <v/>
      </c>
      <c r="AM585" t="str">
        <f>""</f>
        <v/>
      </c>
      <c r="AN585" t="str">
        <f>""</f>
        <v/>
      </c>
      <c r="AO585" t="str">
        <f>""</f>
        <v/>
      </c>
      <c r="AP585" t="str">
        <f>""</f>
        <v/>
      </c>
      <c r="AQ585" t="str">
        <f>"N"</f>
        <v>N</v>
      </c>
      <c r="AR585" t="str">
        <f>"N"</f>
        <v>N</v>
      </c>
      <c r="AS585" t="str">
        <f>"N"</f>
        <v>N</v>
      </c>
      <c r="AT585" t="str">
        <f>"N"</f>
        <v>N</v>
      </c>
      <c r="AU585" t="str">
        <f>"N"</f>
        <v>N</v>
      </c>
      <c r="AV585" t="str">
        <f>""</f>
        <v/>
      </c>
      <c r="AW585" t="str">
        <f>""</f>
        <v/>
      </c>
      <c r="AX585" t="str">
        <f>""</f>
        <v/>
      </c>
      <c r="AY585" t="str">
        <f>""</f>
        <v/>
      </c>
      <c r="AZ585" t="str">
        <f>""</f>
        <v/>
      </c>
      <c r="BA585" t="str">
        <f>""</f>
        <v/>
      </c>
      <c r="BB585" t="str">
        <f>"30/04/2021 10:16:11"</f>
        <v>30/04/2021 10:16:11</v>
      </c>
      <c r="BC585" t="str">
        <f>"01/04/2022 09:43:17"</f>
        <v>01/04/2022 09:43:17</v>
      </c>
      <c r="BD585" t="str">
        <f>""</f>
        <v/>
      </c>
      <c r="BE585" t="str">
        <f>""</f>
        <v/>
      </c>
      <c r="BF585" t="str">
        <f t="shared" si="295"/>
        <v>A</v>
      </c>
      <c r="BG585" t="str">
        <f>""</f>
        <v/>
      </c>
      <c r="BH585" t="str">
        <f>"0,00"</f>
        <v>0,00</v>
      </c>
      <c r="BI585" t="str">
        <f t="shared" si="276"/>
        <v>EVENTUAL</v>
      </c>
      <c r="BJ585" t="str">
        <f t="shared" si="296"/>
        <v>1</v>
      </c>
      <c r="BK585" t="str">
        <f t="shared" si="297"/>
        <v>Farmacia</v>
      </c>
      <c r="BL585" t="str">
        <f>""</f>
        <v/>
      </c>
      <c r="BM585" t="str">
        <f>"NÃO É VARILUX ESPECIALISTA"</f>
        <v>NÃO É VARILUX ESPECIALISTA</v>
      </c>
      <c r="BN585" t="str">
        <f>"NA"</f>
        <v>NA</v>
      </c>
      <c r="BO585" t="str">
        <f>"FOCO KODAK 2"</f>
        <v>FOCO KODAK 2</v>
      </c>
      <c r="BP585" t="str">
        <f>""</f>
        <v/>
      </c>
      <c r="BQ585" t="str">
        <f>""</f>
        <v/>
      </c>
      <c r="BR585" t="str">
        <f>"30/04/2021"</f>
        <v>30/04/2021</v>
      </c>
      <c r="BS585" t="str">
        <f>"01/04/2022"</f>
        <v>01/04/2022</v>
      </c>
      <c r="BT585" t="str">
        <f>""</f>
        <v/>
      </c>
      <c r="BU585" t="str">
        <f>""</f>
        <v/>
      </c>
      <c r="BV585" t="str">
        <f>""</f>
        <v/>
      </c>
      <c r="BW585" t="str">
        <f>"8"</f>
        <v>8</v>
      </c>
    </row>
    <row r="586" spans="1:75" x14ac:dyDescent="0.35">
      <c r="A586">
        <v>157649</v>
      </c>
      <c r="B586" t="str">
        <f t="shared" si="291"/>
        <v>A</v>
      </c>
      <c r="C586" t="str">
        <f t="shared" si="292"/>
        <v>80</v>
      </c>
      <c r="D586" t="str">
        <f t="shared" si="281"/>
        <v>11121002</v>
      </c>
      <c r="E586" t="str">
        <f t="shared" si="282"/>
        <v>121002</v>
      </c>
      <c r="F586" t="str">
        <f t="shared" si="283"/>
        <v>CINTHIA NORONHA</v>
      </c>
      <c r="G586" t="str">
        <f>"32014163000110"</f>
        <v>32014163000110</v>
      </c>
      <c r="H586" t="str">
        <f>"0"</f>
        <v>0</v>
      </c>
      <c r="I586" t="str">
        <f t="shared" si="293"/>
        <v>CONTA OPTICA</v>
      </c>
      <c r="J586" t="str">
        <f>"BRUNA FERNANDES 06324073955"</f>
        <v>BRUNA FERNANDES 06324073955</v>
      </c>
      <c r="K586" t="str">
        <f>"OTICA TAVARES  (3960)"</f>
        <v>OTICA TAVARES  (3960)</v>
      </c>
      <c r="L586" t="str">
        <f>""</f>
        <v/>
      </c>
      <c r="M586" t="str">
        <f>""</f>
        <v/>
      </c>
      <c r="N586" t="str">
        <f>"OTICAEJOIATAVARES@GMAIL.COM"</f>
        <v>OTICAEJOIATAVARES@GMAIL.COM</v>
      </c>
      <c r="O586" t="str">
        <f>""</f>
        <v/>
      </c>
      <c r="P586" t="str">
        <f>"RUA JOÃO DE CARVALHO"</f>
        <v>RUA JOÃO DE CARVALHO</v>
      </c>
      <c r="Q586" t="str">
        <f>"63"</f>
        <v>63</v>
      </c>
      <c r="R586" t="str">
        <f>""</f>
        <v/>
      </c>
      <c r="S586" t="str">
        <f>"1268"</f>
        <v>1268</v>
      </c>
      <c r="T586" t="str">
        <f>"88780000"</f>
        <v>88780000</v>
      </c>
      <c r="U586" t="str">
        <f>"NOVA BRASILIA"</f>
        <v>NOVA BRASILIA</v>
      </c>
      <c r="V586" t="str">
        <f>"IMBITUBA"</f>
        <v>IMBITUBA</v>
      </c>
      <c r="W586" t="str">
        <f t="shared" si="284"/>
        <v>SC</v>
      </c>
      <c r="X586" t="str">
        <f t="shared" si="298"/>
        <v>48</v>
      </c>
      <c r="Y586" t="str">
        <f>"999348184"</f>
        <v>999348184</v>
      </c>
      <c r="Z586" t="str">
        <f>""</f>
        <v/>
      </c>
      <c r="AA586" t="str">
        <f>""</f>
        <v/>
      </c>
      <c r="AB586" t="str">
        <f>""</f>
        <v/>
      </c>
      <c r="AC586" t="str">
        <f>""</f>
        <v/>
      </c>
      <c r="AD586" t="str">
        <f>""</f>
        <v/>
      </c>
      <c r="AE586" t="str">
        <f>""</f>
        <v/>
      </c>
      <c r="AF586" t="str">
        <f>""</f>
        <v/>
      </c>
      <c r="AG586" t="str">
        <f>""</f>
        <v/>
      </c>
      <c r="AH586" t="str">
        <f>""</f>
        <v/>
      </c>
      <c r="AI586" t="str">
        <f>""</f>
        <v/>
      </c>
      <c r="AJ586" t="str">
        <f>""</f>
        <v/>
      </c>
      <c r="AK586" t="str">
        <f>""</f>
        <v/>
      </c>
      <c r="AL586" t="str">
        <f>""</f>
        <v/>
      </c>
      <c r="AM586" t="str">
        <f>""</f>
        <v/>
      </c>
      <c r="AN586" t="str">
        <f>""</f>
        <v/>
      </c>
      <c r="AO586" t="str">
        <f>""</f>
        <v/>
      </c>
      <c r="AP586" t="str">
        <f>""</f>
        <v/>
      </c>
      <c r="AQ586" t="str">
        <f>""</f>
        <v/>
      </c>
      <c r="AR586" t="str">
        <f>""</f>
        <v/>
      </c>
      <c r="AS586" t="str">
        <f>""</f>
        <v/>
      </c>
      <c r="AT586" t="str">
        <f>""</f>
        <v/>
      </c>
      <c r="AU586" t="str">
        <f>""</f>
        <v/>
      </c>
      <c r="AV586" t="str">
        <f>""</f>
        <v/>
      </c>
      <c r="AW586" t="str">
        <f>""</f>
        <v/>
      </c>
      <c r="AX586" t="str">
        <f>""</f>
        <v/>
      </c>
      <c r="AY586" t="str">
        <f>""</f>
        <v/>
      </c>
      <c r="AZ586" t="str">
        <f>""</f>
        <v/>
      </c>
      <c r="BA586" t="str">
        <f>""</f>
        <v/>
      </c>
      <c r="BB586" t="str">
        <f>"11/07/2023 02:19:56"</f>
        <v>11/07/2023 02:19:56</v>
      </c>
      <c r="BC586" t="str">
        <f>""</f>
        <v/>
      </c>
      <c r="BD586" t="str">
        <f>""</f>
        <v/>
      </c>
      <c r="BE586" t="str">
        <f>""</f>
        <v/>
      </c>
      <c r="BF586" t="str">
        <f t="shared" si="295"/>
        <v>A</v>
      </c>
      <c r="BG586" t="str">
        <f>""</f>
        <v/>
      </c>
      <c r="BH586" t="str">
        <f>""</f>
        <v/>
      </c>
      <c r="BI586" t="str">
        <f t="shared" si="276"/>
        <v>EVENTUAL</v>
      </c>
      <c r="BJ586" t="str">
        <f t="shared" si="296"/>
        <v>1</v>
      </c>
      <c r="BK586" t="str">
        <f t="shared" si="297"/>
        <v>Farmacia</v>
      </c>
      <c r="BL586" t="str">
        <f>""</f>
        <v/>
      </c>
      <c r="BM586" t="str">
        <f>""</f>
        <v/>
      </c>
      <c r="BN586" t="str">
        <f>""</f>
        <v/>
      </c>
      <c r="BO586" t="str">
        <f>""</f>
        <v/>
      </c>
      <c r="BP586" t="str">
        <f>""</f>
        <v/>
      </c>
      <c r="BQ586" t="str">
        <f>""</f>
        <v/>
      </c>
      <c r="BR586" t="str">
        <f>"11/07/2023"</f>
        <v>11/07/2023</v>
      </c>
      <c r="BS586" t="str">
        <f>""</f>
        <v/>
      </c>
      <c r="BT586" t="str">
        <f>""</f>
        <v/>
      </c>
      <c r="BU586" t="str">
        <f>""</f>
        <v/>
      </c>
      <c r="BV586" t="str">
        <f>""</f>
        <v/>
      </c>
      <c r="BW586" t="str">
        <f>"Não visitado"</f>
        <v>Não visitado</v>
      </c>
    </row>
    <row r="587" spans="1:75" x14ac:dyDescent="0.35">
      <c r="A587">
        <v>144550</v>
      </c>
      <c r="B587" t="str">
        <f t="shared" si="291"/>
        <v>A</v>
      </c>
      <c r="C587" t="str">
        <f t="shared" si="292"/>
        <v>80</v>
      </c>
      <c r="D587" t="str">
        <f t="shared" si="281"/>
        <v>11121002</v>
      </c>
      <c r="E587" t="str">
        <f t="shared" si="282"/>
        <v>121002</v>
      </c>
      <c r="F587" t="str">
        <f t="shared" si="283"/>
        <v>CINTHIA NORONHA</v>
      </c>
      <c r="G587" t="str">
        <f>"26608543000180"</f>
        <v>26608543000180</v>
      </c>
      <c r="H587" t="str">
        <f>""</f>
        <v/>
      </c>
      <c r="I587" t="str">
        <f t="shared" si="293"/>
        <v>CONTA OPTICA</v>
      </c>
      <c r="J587" t="str">
        <f>"BRUNA NUNES PETERS"</f>
        <v>BRUNA NUNES PETERS</v>
      </c>
      <c r="K587" t="str">
        <f>"MORGANA OPTICA E ACESSORIOS (3793)"</f>
        <v>MORGANA OPTICA E ACESSORIOS (3793)</v>
      </c>
      <c r="L587" t="str">
        <f>""</f>
        <v/>
      </c>
      <c r="M587" t="str">
        <f>""</f>
        <v/>
      </c>
      <c r="N587" t="str">
        <f>"morgana.nunes90@gmail.com"</f>
        <v>morgana.nunes90@gmail.com</v>
      </c>
      <c r="O587" t="str">
        <f>""</f>
        <v/>
      </c>
      <c r="P587" t="str">
        <f>"RUA MACHADO DE ASSIS"</f>
        <v>RUA MACHADO DE ASSIS</v>
      </c>
      <c r="Q587" t="str">
        <f>"606"</f>
        <v>606</v>
      </c>
      <c r="R587" t="str">
        <f>""</f>
        <v/>
      </c>
      <c r="S587" t="str">
        <f>"1268"</f>
        <v>1268</v>
      </c>
      <c r="T587" t="str">
        <f>"88745000"</f>
        <v>88745000</v>
      </c>
      <c r="U587" t="str">
        <f>"SANTA LUCIA"</f>
        <v>SANTA LUCIA</v>
      </c>
      <c r="V587" t="str">
        <f>"CAPIVARI DE BAIXO"</f>
        <v>CAPIVARI DE BAIXO</v>
      </c>
      <c r="W587" t="str">
        <f t="shared" si="284"/>
        <v>SC</v>
      </c>
      <c r="X587" t="str">
        <f t="shared" si="298"/>
        <v>48</v>
      </c>
      <c r="Y587" t="str">
        <f>"36235089"</f>
        <v>36235089</v>
      </c>
      <c r="Z587" t="str">
        <f>""</f>
        <v/>
      </c>
      <c r="AA587" t="str">
        <f>""</f>
        <v/>
      </c>
      <c r="AB587" t="str">
        <f>""</f>
        <v/>
      </c>
      <c r="AC587" t="str">
        <f>""</f>
        <v/>
      </c>
      <c r="AD587" t="str">
        <f>""</f>
        <v/>
      </c>
      <c r="AE587" t="str">
        <f>""</f>
        <v/>
      </c>
      <c r="AF587" t="str">
        <f>""</f>
        <v/>
      </c>
      <c r="AG587" t="str">
        <f>""</f>
        <v/>
      </c>
      <c r="AH587" t="str">
        <f>""</f>
        <v/>
      </c>
      <c r="AI587" t="str">
        <f>""</f>
        <v/>
      </c>
      <c r="AJ587" t="str">
        <f>"0"</f>
        <v>0</v>
      </c>
      <c r="AK587" t="str">
        <f>"0"</f>
        <v>0</v>
      </c>
      <c r="AL587" t="str">
        <f>"0"</f>
        <v>0</v>
      </c>
      <c r="AM587" t="str">
        <f>""</f>
        <v/>
      </c>
      <c r="AN587" t="str">
        <f>""</f>
        <v/>
      </c>
      <c r="AO587" t="str">
        <f>""</f>
        <v/>
      </c>
      <c r="AP587" t="str">
        <f>""</f>
        <v/>
      </c>
      <c r="AQ587" t="str">
        <f>""</f>
        <v/>
      </c>
      <c r="AR587" t="str">
        <f>""</f>
        <v/>
      </c>
      <c r="AS587" t="str">
        <f>""</f>
        <v/>
      </c>
      <c r="AT587" t="str">
        <f>""</f>
        <v/>
      </c>
      <c r="AU587" t="str">
        <f>""</f>
        <v/>
      </c>
      <c r="AV587" t="str">
        <f>""</f>
        <v/>
      </c>
      <c r="AW587" t="str">
        <f>""</f>
        <v/>
      </c>
      <c r="AX587" t="str">
        <f>""</f>
        <v/>
      </c>
      <c r="AY587" t="str">
        <f>""</f>
        <v/>
      </c>
      <c r="AZ587" t="str">
        <f>""</f>
        <v/>
      </c>
      <c r="BA587" t="str">
        <f>""</f>
        <v/>
      </c>
      <c r="BB587" t="str">
        <f>""</f>
        <v/>
      </c>
      <c r="BC587" t="str">
        <f>""</f>
        <v/>
      </c>
      <c r="BD587" t="str">
        <f>""</f>
        <v/>
      </c>
      <c r="BE587" t="str">
        <f>""</f>
        <v/>
      </c>
      <c r="BF587" t="str">
        <f t="shared" si="295"/>
        <v>A</v>
      </c>
      <c r="BG587" t="str">
        <f>"0,00"</f>
        <v>0,00</v>
      </c>
      <c r="BH587" t="str">
        <f>"0,00"</f>
        <v>0,00</v>
      </c>
      <c r="BI587" t="str">
        <f t="shared" si="276"/>
        <v>EVENTUAL</v>
      </c>
      <c r="BJ587" t="str">
        <f t="shared" si="296"/>
        <v>1</v>
      </c>
      <c r="BK587" t="str">
        <f t="shared" si="297"/>
        <v>Farmacia</v>
      </c>
      <c r="BL587" t="str">
        <f>""</f>
        <v/>
      </c>
      <c r="BM587" t="str">
        <f>"NÃO É VARILUX ESPECIALISTA"</f>
        <v>NÃO É VARILUX ESPECIALISTA</v>
      </c>
      <c r="BN587" t="str">
        <f>"NA"</f>
        <v>NA</v>
      </c>
      <c r="BO587" t="str">
        <f>"OUTROS"</f>
        <v>OUTROS</v>
      </c>
      <c r="BP587" t="str">
        <f>""</f>
        <v/>
      </c>
      <c r="BQ587" t="str">
        <f>""</f>
        <v/>
      </c>
      <c r="BR587" t="str">
        <f>""</f>
        <v/>
      </c>
      <c r="BS587" t="str">
        <f>""</f>
        <v/>
      </c>
      <c r="BT587" t="str">
        <f>""</f>
        <v/>
      </c>
      <c r="BU587" t="str">
        <f>""</f>
        <v/>
      </c>
      <c r="BV587" t="str">
        <f>"9"</f>
        <v>9</v>
      </c>
      <c r="BW587" t="str">
        <f>"Não visitado"</f>
        <v>Não visitado</v>
      </c>
    </row>
    <row r="588" spans="1:75" x14ac:dyDescent="0.35">
      <c r="A588">
        <v>134481</v>
      </c>
      <c r="B588" t="str">
        <f t="shared" si="291"/>
        <v>A</v>
      </c>
      <c r="C588" t="str">
        <f t="shared" si="292"/>
        <v>80</v>
      </c>
      <c r="D588" t="str">
        <f t="shared" si="281"/>
        <v>11121002</v>
      </c>
      <c r="E588" t="str">
        <f t="shared" si="282"/>
        <v>121002</v>
      </c>
      <c r="F588" t="str">
        <f t="shared" si="283"/>
        <v>CINTHIA NORONHA</v>
      </c>
      <c r="G588" t="str">
        <f>"18192175000103"</f>
        <v>18192175000103</v>
      </c>
      <c r="H588" t="str">
        <f>""</f>
        <v/>
      </c>
      <c r="I588" t="str">
        <f t="shared" si="293"/>
        <v>CONTA OPTICA</v>
      </c>
      <c r="J588" t="str">
        <f>"BRUNA OLIVEIRA DE ALMEIDA EIRELI ME"</f>
        <v>BRUNA OLIVEIRA DE ALMEIDA EIRELI ME</v>
      </c>
      <c r="K588" t="str">
        <f>"OTICAS CAROL (2013)"</f>
        <v>OTICAS CAROL (2013)</v>
      </c>
      <c r="L588" t="str">
        <f>""</f>
        <v/>
      </c>
      <c r="M588" t="str">
        <f>""</f>
        <v/>
      </c>
      <c r="N588" t="str">
        <f>"produtosc@oticascarol.com.br"</f>
        <v>produtosc@oticascarol.com.br</v>
      </c>
      <c r="O588" t="str">
        <f>""</f>
        <v/>
      </c>
      <c r="P588" t="str">
        <f>"RUA GERONCIO THIVES"</f>
        <v>RUA GERONCIO THIVES</v>
      </c>
      <c r="Q588" t="str">
        <f>"1079"</f>
        <v>1079</v>
      </c>
      <c r="R588" t="str">
        <f>"LOJA 264 E 265"</f>
        <v>LOJA 264 E 265</v>
      </c>
      <c r="S588" t="str">
        <f>"1259"</f>
        <v>1259</v>
      </c>
      <c r="T588" t="str">
        <f>"88117290"</f>
        <v>88117290</v>
      </c>
      <c r="U588" t="str">
        <f>"BARREIROS"</f>
        <v>BARREIROS</v>
      </c>
      <c r="V588" t="str">
        <f>"SAO JOSE"</f>
        <v>SAO JOSE</v>
      </c>
      <c r="W588" t="str">
        <f t="shared" si="284"/>
        <v>SC</v>
      </c>
      <c r="X588" t="str">
        <f t="shared" si="298"/>
        <v>48</v>
      </c>
      <c r="Y588" t="str">
        <f>"30352477"</f>
        <v>30352477</v>
      </c>
      <c r="Z588" t="str">
        <f>""</f>
        <v/>
      </c>
      <c r="AA588" t="str">
        <f>""</f>
        <v/>
      </c>
      <c r="AB588" t="str">
        <f>""</f>
        <v/>
      </c>
      <c r="AC588" t="str">
        <f>""</f>
        <v/>
      </c>
      <c r="AD588" t="str">
        <f>""</f>
        <v/>
      </c>
      <c r="AE588" t="str">
        <f>""</f>
        <v/>
      </c>
      <c r="AF588" t="str">
        <f>""</f>
        <v/>
      </c>
      <c r="AG588" t="str">
        <f>""</f>
        <v/>
      </c>
      <c r="AH588" t="str">
        <f>""</f>
        <v/>
      </c>
      <c r="AI588" t="str">
        <f>""</f>
        <v/>
      </c>
      <c r="AJ588" t="str">
        <f>""</f>
        <v/>
      </c>
      <c r="AK588" t="str">
        <f>""</f>
        <v/>
      </c>
      <c r="AL588" t="str">
        <f>""</f>
        <v/>
      </c>
      <c r="AM588" t="str">
        <f>""</f>
        <v/>
      </c>
      <c r="AN588" t="str">
        <f>""</f>
        <v/>
      </c>
      <c r="AO588" t="str">
        <f>""</f>
        <v/>
      </c>
      <c r="AP588" t="str">
        <f>""</f>
        <v/>
      </c>
      <c r="AQ588" t="str">
        <f>""</f>
        <v/>
      </c>
      <c r="AR588" t="str">
        <f>""</f>
        <v/>
      </c>
      <c r="AS588" t="str">
        <f>""</f>
        <v/>
      </c>
      <c r="AT588" t="str">
        <f>""</f>
        <v/>
      </c>
      <c r="AU588" t="str">
        <f>""</f>
        <v/>
      </c>
      <c r="AV588" t="str">
        <f>""</f>
        <v/>
      </c>
      <c r="AW588" t="str">
        <f>""</f>
        <v/>
      </c>
      <c r="AX588" t="str">
        <f>""</f>
        <v/>
      </c>
      <c r="AY588" t="str">
        <f>""</f>
        <v/>
      </c>
      <c r="AZ588" t="str">
        <f>""</f>
        <v/>
      </c>
      <c r="BA588" t="str">
        <f>""</f>
        <v/>
      </c>
      <c r="BB588" t="str">
        <f>""</f>
        <v/>
      </c>
      <c r="BC588" t="str">
        <f>""</f>
        <v/>
      </c>
      <c r="BD588" t="str">
        <f>""</f>
        <v/>
      </c>
      <c r="BE588" t="str">
        <f>""</f>
        <v/>
      </c>
      <c r="BF588" t="str">
        <f t="shared" si="295"/>
        <v>A</v>
      </c>
      <c r="BG588" t="str">
        <f>""</f>
        <v/>
      </c>
      <c r="BH588" t="str">
        <f>""</f>
        <v/>
      </c>
      <c r="BI588" t="str">
        <f t="shared" si="276"/>
        <v>EVENTUAL</v>
      </c>
      <c r="BJ588" t="str">
        <f t="shared" si="296"/>
        <v>1</v>
      </c>
      <c r="BK588" t="str">
        <f t="shared" si="297"/>
        <v>Farmacia</v>
      </c>
      <c r="BL588" t="str">
        <f>""</f>
        <v/>
      </c>
      <c r="BM588" t="str">
        <f>"NÃO É VARILUX ESPECIALISTA"</f>
        <v>NÃO É VARILUX ESPECIALISTA</v>
      </c>
      <c r="BN588" t="str">
        <f>"NA"</f>
        <v>NA</v>
      </c>
      <c r="BO588" t="str">
        <f>"FOCO VARILUX DIGITAL"</f>
        <v>FOCO VARILUX DIGITAL</v>
      </c>
      <c r="BP588" t="str">
        <f>""</f>
        <v/>
      </c>
      <c r="BQ588" t="str">
        <f>""</f>
        <v/>
      </c>
      <c r="BR588" t="str">
        <f>""</f>
        <v/>
      </c>
      <c r="BS588" t="str">
        <f>""</f>
        <v/>
      </c>
      <c r="BT588" t="str">
        <f>""</f>
        <v/>
      </c>
      <c r="BU588" t="str">
        <f>""</f>
        <v/>
      </c>
      <c r="BV588" t="str">
        <f>"1"</f>
        <v>1</v>
      </c>
      <c r="BW588" t="str">
        <f>"203"</f>
        <v>203</v>
      </c>
    </row>
    <row r="589" spans="1:75" x14ac:dyDescent="0.35">
      <c r="A589">
        <v>135253</v>
      </c>
      <c r="B589" t="str">
        <f t="shared" si="291"/>
        <v>A</v>
      </c>
      <c r="C589" t="str">
        <f t="shared" si="292"/>
        <v>80</v>
      </c>
      <c r="D589" t="str">
        <f t="shared" si="281"/>
        <v>11121002</v>
      </c>
      <c r="E589" t="str">
        <f t="shared" si="282"/>
        <v>121002</v>
      </c>
      <c r="F589" t="str">
        <f t="shared" si="283"/>
        <v>CINTHIA NORONHA</v>
      </c>
      <c r="G589" t="str">
        <f>"41545612000147"</f>
        <v>41545612000147</v>
      </c>
      <c r="H589" t="str">
        <f>"0"</f>
        <v>0</v>
      </c>
      <c r="I589" t="str">
        <f t="shared" si="293"/>
        <v>CONTA OPTICA</v>
      </c>
      <c r="J589" t="str">
        <f>"CAING COMERCIO DE PRODUTOS OTICOS LTDA"</f>
        <v>CAING COMERCIO DE PRODUTOS OTICOS LTDA</v>
      </c>
      <c r="K589" t="str">
        <f>"OTICAS CAROL (4314)"</f>
        <v>OTICAS CAROL (4314)</v>
      </c>
      <c r="L589" t="str">
        <f>""</f>
        <v/>
      </c>
      <c r="M589" t="str">
        <f>""</f>
        <v/>
      </c>
      <c r="N589" t="str">
        <f>"ADM.SC@OTICASCAROL.COM.BR"</f>
        <v>ADM.SC@OTICASCAROL.COM.BR</v>
      </c>
      <c r="O589" t="str">
        <f>""</f>
        <v/>
      </c>
      <c r="P589" t="str">
        <f>"RODOVIA ARMANDO CALIL BULOS"</f>
        <v>RODOVIA ARMANDO CALIL BULOS</v>
      </c>
      <c r="Q589" t="str">
        <f>"5733"</f>
        <v>5733</v>
      </c>
      <c r="R589" t="str">
        <f>"SC 403 SALA 01"</f>
        <v>SC 403 SALA 01</v>
      </c>
      <c r="S589" t="str">
        <f>"1257"</f>
        <v>1257</v>
      </c>
      <c r="T589" t="str">
        <f>"88058001"</f>
        <v>88058001</v>
      </c>
      <c r="U589" t="str">
        <f>"INGLESES"</f>
        <v>INGLESES</v>
      </c>
      <c r="V589" t="str">
        <f>"FLORIANOPOLIS"</f>
        <v>FLORIANOPOLIS</v>
      </c>
      <c r="W589" t="str">
        <f t="shared" si="284"/>
        <v>SC</v>
      </c>
      <c r="X589" t="str">
        <f t="shared" si="298"/>
        <v>48</v>
      </c>
      <c r="Y589" t="str">
        <f>"30677570"</f>
        <v>30677570</v>
      </c>
      <c r="Z589" t="str">
        <f>""</f>
        <v/>
      </c>
      <c r="AA589" t="str">
        <f>""</f>
        <v/>
      </c>
      <c r="AB589" t="str">
        <f>""</f>
        <v/>
      </c>
      <c r="AC589" t="str">
        <f>""</f>
        <v/>
      </c>
      <c r="AD589" t="str">
        <f>""</f>
        <v/>
      </c>
      <c r="AE589" t="str">
        <f>""</f>
        <v/>
      </c>
      <c r="AF589" t="str">
        <f>""</f>
        <v/>
      </c>
      <c r="AG589" t="str">
        <f>""</f>
        <v/>
      </c>
      <c r="AH589" t="str">
        <f>""</f>
        <v/>
      </c>
      <c r="AI589" t="str">
        <f>""</f>
        <v/>
      </c>
      <c r="AJ589" t="str">
        <f>""</f>
        <v/>
      </c>
      <c r="AK589" t="str">
        <f>""</f>
        <v/>
      </c>
      <c r="AL589" t="str">
        <f>""</f>
        <v/>
      </c>
      <c r="AM589" t="str">
        <f>""</f>
        <v/>
      </c>
      <c r="AN589" t="str">
        <f>""</f>
        <v/>
      </c>
      <c r="AO589" t="str">
        <f>""</f>
        <v/>
      </c>
      <c r="AP589" t="str">
        <f>""</f>
        <v/>
      </c>
      <c r="AQ589" t="str">
        <f>""</f>
        <v/>
      </c>
      <c r="AR589" t="str">
        <f>""</f>
        <v/>
      </c>
      <c r="AS589" t="str">
        <f>""</f>
        <v/>
      </c>
      <c r="AT589" t="str">
        <f>""</f>
        <v/>
      </c>
      <c r="AU589" t="str">
        <f>""</f>
        <v/>
      </c>
      <c r="AV589" t="str">
        <f>""</f>
        <v/>
      </c>
      <c r="AW589" t="str">
        <f>""</f>
        <v/>
      </c>
      <c r="AX589" t="str">
        <f>""</f>
        <v/>
      </c>
      <c r="AY589" t="str">
        <f>""</f>
        <v/>
      </c>
      <c r="AZ589" t="str">
        <f>""</f>
        <v/>
      </c>
      <c r="BA589" t="str">
        <f>""</f>
        <v/>
      </c>
      <c r="BB589" t="str">
        <f>"10/05/2021 12:18:20"</f>
        <v>10/05/2021 12:18:20</v>
      </c>
      <c r="BC589" t="str">
        <f>""</f>
        <v/>
      </c>
      <c r="BD589" t="str">
        <f>""</f>
        <v/>
      </c>
      <c r="BE589" t="str">
        <f>""</f>
        <v/>
      </c>
      <c r="BF589" t="str">
        <f t="shared" si="295"/>
        <v>A</v>
      </c>
      <c r="BG589" t="str">
        <f>""</f>
        <v/>
      </c>
      <c r="BH589" t="str">
        <f>""</f>
        <v/>
      </c>
      <c r="BI589" t="str">
        <f t="shared" si="276"/>
        <v>EVENTUAL</v>
      </c>
      <c r="BJ589" t="str">
        <f t="shared" si="296"/>
        <v>1</v>
      </c>
      <c r="BK589" t="str">
        <f t="shared" si="297"/>
        <v>Farmacia</v>
      </c>
      <c r="BL589" t="str">
        <f>""</f>
        <v/>
      </c>
      <c r="BM589" t="str">
        <f>"CREDENCIADO VARILUX"</f>
        <v>CREDENCIADO VARILUX</v>
      </c>
      <c r="BN589" t="str">
        <f>"NA"</f>
        <v>NA</v>
      </c>
      <c r="BO589" t="str">
        <f>"FOCO VARILUX DIGITAL"</f>
        <v>FOCO VARILUX DIGITAL</v>
      </c>
      <c r="BP589" t="str">
        <f>""</f>
        <v/>
      </c>
      <c r="BQ589" t="str">
        <f>""</f>
        <v/>
      </c>
      <c r="BR589" t="str">
        <f>"10/05/2021"</f>
        <v>10/05/2021</v>
      </c>
      <c r="BS589" t="str">
        <f>""</f>
        <v/>
      </c>
      <c r="BT589" t="str">
        <f>""</f>
        <v/>
      </c>
      <c r="BU589" t="str">
        <f>""</f>
        <v/>
      </c>
      <c r="BV589" t="str">
        <f>""</f>
        <v/>
      </c>
      <c r="BW589" t="str">
        <f>"85"</f>
        <v>85</v>
      </c>
    </row>
    <row r="590" spans="1:75" x14ac:dyDescent="0.35">
      <c r="A590">
        <v>157638</v>
      </c>
      <c r="B590" t="str">
        <f t="shared" si="291"/>
        <v>A</v>
      </c>
      <c r="C590" t="str">
        <f t="shared" si="292"/>
        <v>80</v>
      </c>
      <c r="D590" t="str">
        <f t="shared" si="281"/>
        <v>11121002</v>
      </c>
      <c r="E590" t="str">
        <f t="shared" si="282"/>
        <v>121002</v>
      </c>
      <c r="F590" t="str">
        <f t="shared" si="283"/>
        <v>CINTHIA NORONHA</v>
      </c>
      <c r="G590" t="str">
        <f>"44996287000127"</f>
        <v>44996287000127</v>
      </c>
      <c r="H590" t="str">
        <f>"0"</f>
        <v>0</v>
      </c>
      <c r="I590" t="str">
        <f t="shared" si="293"/>
        <v>CONTA OPTICA</v>
      </c>
      <c r="J590" t="str">
        <f>"CAMILA COMERCIO DE OCULOS E ACESSORIOS LTDA"</f>
        <v>CAMILA COMERCIO DE OCULOS E ACESSORIOS LTDA</v>
      </c>
      <c r="K590" t="str">
        <f>"CHILLIBEANS ARARANGUA (4519)"</f>
        <v>CHILLIBEANS ARARANGUA (4519)</v>
      </c>
      <c r="L590" t="str">
        <f>""</f>
        <v/>
      </c>
      <c r="M590" t="str">
        <f>""</f>
        <v/>
      </c>
      <c r="N590" t="str">
        <f>"CAMIKIKASOUZA@GMAIL.COM"</f>
        <v>CAMIKIKASOUZA@GMAIL.COM</v>
      </c>
      <c r="O590" t="str">
        <f>""</f>
        <v/>
      </c>
      <c r="P590" t="str">
        <f>"SETE DE SETEMBRO"</f>
        <v>SETE DE SETEMBRO</v>
      </c>
      <c r="Q590" t="str">
        <f>"705"</f>
        <v>705</v>
      </c>
      <c r="R590" t="str">
        <f>"QUIOSQ103"</f>
        <v>QUIOSQ103</v>
      </c>
      <c r="S590" t="str">
        <f>""</f>
        <v/>
      </c>
      <c r="T590" t="str">
        <f>"88901004"</f>
        <v>88901004</v>
      </c>
      <c r="U590" t="str">
        <f>"CIDADE ALTA"</f>
        <v>CIDADE ALTA</v>
      </c>
      <c r="V590" t="str">
        <f>"ARARANGUA"</f>
        <v>ARARANGUA</v>
      </c>
      <c r="W590" t="str">
        <f t="shared" si="284"/>
        <v>SC</v>
      </c>
      <c r="X590" t="str">
        <f t="shared" si="298"/>
        <v>48</v>
      </c>
      <c r="Y590" t="str">
        <f>"996316601"</f>
        <v>996316601</v>
      </c>
      <c r="Z590" t="str">
        <f>""</f>
        <v/>
      </c>
      <c r="AA590" t="str">
        <f>""</f>
        <v/>
      </c>
      <c r="AB590" t="str">
        <f>""</f>
        <v/>
      </c>
      <c r="AC590" t="str">
        <f>""</f>
        <v/>
      </c>
      <c r="AD590" t="str">
        <f>""</f>
        <v/>
      </c>
      <c r="AE590" t="str">
        <f>""</f>
        <v/>
      </c>
      <c r="AF590" t="str">
        <f>""</f>
        <v/>
      </c>
      <c r="AG590" t="str">
        <f>""</f>
        <v/>
      </c>
      <c r="AH590" t="str">
        <f>""</f>
        <v/>
      </c>
      <c r="AI590" t="str">
        <f>""</f>
        <v/>
      </c>
      <c r="AJ590" t="str">
        <f>""</f>
        <v/>
      </c>
      <c r="AK590" t="str">
        <f>""</f>
        <v/>
      </c>
      <c r="AL590" t="str">
        <f>""</f>
        <v/>
      </c>
      <c r="AM590" t="str">
        <f>""</f>
        <v/>
      </c>
      <c r="AN590" t="str">
        <f>""</f>
        <v/>
      </c>
      <c r="AO590" t="str">
        <f>""</f>
        <v/>
      </c>
      <c r="AP590" t="str">
        <f>""</f>
        <v/>
      </c>
      <c r="AQ590" t="str">
        <f>""</f>
        <v/>
      </c>
      <c r="AR590" t="str">
        <f>""</f>
        <v/>
      </c>
      <c r="AS590" t="str">
        <f>""</f>
        <v/>
      </c>
      <c r="AT590" t="str">
        <f>""</f>
        <v/>
      </c>
      <c r="AU590" t="str">
        <f>""</f>
        <v/>
      </c>
      <c r="AV590" t="str">
        <f>""</f>
        <v/>
      </c>
      <c r="AW590" t="str">
        <f>""</f>
        <v/>
      </c>
      <c r="AX590" t="str">
        <f>""</f>
        <v/>
      </c>
      <c r="AY590" t="str">
        <f>""</f>
        <v/>
      </c>
      <c r="AZ590" t="str">
        <f>""</f>
        <v/>
      </c>
      <c r="BA590" t="str">
        <f>""</f>
        <v/>
      </c>
      <c r="BB590" t="str">
        <f>"11/07/2023 02:19:56"</f>
        <v>11/07/2023 02:19:56</v>
      </c>
      <c r="BC590" t="str">
        <f>""</f>
        <v/>
      </c>
      <c r="BD590" t="str">
        <f>""</f>
        <v/>
      </c>
      <c r="BE590" t="str">
        <f>""</f>
        <v/>
      </c>
      <c r="BF590" t="str">
        <f t="shared" si="295"/>
        <v>A</v>
      </c>
      <c r="BG590" t="str">
        <f>""</f>
        <v/>
      </c>
      <c r="BH590" t="str">
        <f>""</f>
        <v/>
      </c>
      <c r="BI590" t="str">
        <f t="shared" si="276"/>
        <v>EVENTUAL</v>
      </c>
      <c r="BJ590" t="str">
        <f t="shared" si="296"/>
        <v>1</v>
      </c>
      <c r="BK590" t="str">
        <f t="shared" si="297"/>
        <v>Farmacia</v>
      </c>
      <c r="BL590" t="str">
        <f>""</f>
        <v/>
      </c>
      <c r="BM590" t="str">
        <f>""</f>
        <v/>
      </c>
      <c r="BN590" t="str">
        <f>""</f>
        <v/>
      </c>
      <c r="BO590" t="str">
        <f>""</f>
        <v/>
      </c>
      <c r="BP590" t="str">
        <f>""</f>
        <v/>
      </c>
      <c r="BQ590" t="str">
        <f>""</f>
        <v/>
      </c>
      <c r="BR590" t="str">
        <f>"11/07/2023"</f>
        <v>11/07/2023</v>
      </c>
      <c r="BS590" t="str">
        <f>""</f>
        <v/>
      </c>
      <c r="BT590" t="str">
        <f>""</f>
        <v/>
      </c>
      <c r="BU590" t="str">
        <f>""</f>
        <v/>
      </c>
      <c r="BV590" t="str">
        <f>""</f>
        <v/>
      </c>
      <c r="BW590" t="str">
        <f>"101"</f>
        <v>101</v>
      </c>
    </row>
    <row r="591" spans="1:75" x14ac:dyDescent="0.35">
      <c r="A591">
        <v>134430</v>
      </c>
      <c r="B591" t="str">
        <f t="shared" si="291"/>
        <v>A</v>
      </c>
      <c r="C591" t="str">
        <f t="shared" si="292"/>
        <v>80</v>
      </c>
      <c r="D591" t="str">
        <f t="shared" si="281"/>
        <v>11121002</v>
      </c>
      <c r="E591" t="str">
        <f t="shared" si="282"/>
        <v>121002</v>
      </c>
      <c r="F591" t="str">
        <f t="shared" si="283"/>
        <v>CINTHIA NORONHA</v>
      </c>
      <c r="G591" t="str">
        <f>"37754057000196"</f>
        <v>37754057000196</v>
      </c>
      <c r="H591" t="str">
        <f>""</f>
        <v/>
      </c>
      <c r="I591" t="str">
        <f t="shared" si="293"/>
        <v>CONTA OPTICA</v>
      </c>
      <c r="J591" t="str">
        <f>"CARLOS ALBERTO DA SILVA CUNHA 60972220097"</f>
        <v>CARLOS ALBERTO DA SILVA CUNHA 60972220097</v>
      </c>
      <c r="K591" t="str">
        <f>"OTICA PRIME (4158)"</f>
        <v>OTICA PRIME (4158)</v>
      </c>
      <c r="L591" t="str">
        <f>""</f>
        <v/>
      </c>
      <c r="M591" t="str">
        <f>""</f>
        <v/>
      </c>
      <c r="N591" t="str">
        <f>"fatima.zmartins@hotmail.com"</f>
        <v>fatima.zmartins@hotmail.com</v>
      </c>
      <c r="O591" t="str">
        <f>""</f>
        <v/>
      </c>
      <c r="P591" t="str">
        <f>"RUA DOS EUCALIPTOS"</f>
        <v>RUA DOS EUCALIPTOS</v>
      </c>
      <c r="Q591" t="str">
        <f>"185"</f>
        <v>185</v>
      </c>
      <c r="R591" t="str">
        <f>""</f>
        <v/>
      </c>
      <c r="S591" t="str">
        <f>""</f>
        <v/>
      </c>
      <c r="T591" t="str">
        <f>"88054150"</f>
        <v>88054150</v>
      </c>
      <c r="U591" t="str">
        <f>"CANASVIEIRAS"</f>
        <v>CANASVIEIRAS</v>
      </c>
      <c r="V591" t="str">
        <f>"FLORIANÓPOLIS"</f>
        <v>FLORIANÓPOLIS</v>
      </c>
      <c r="W591" t="str">
        <f t="shared" si="284"/>
        <v>SC</v>
      </c>
      <c r="X591" t="str">
        <f t="shared" si="298"/>
        <v>48</v>
      </c>
      <c r="Y591" t="str">
        <f>"32079026"</f>
        <v>32079026</v>
      </c>
      <c r="Z591" t="str">
        <f>""</f>
        <v/>
      </c>
      <c r="AA591" t="str">
        <f>""</f>
        <v/>
      </c>
      <c r="AB591" t="str">
        <f>""</f>
        <v/>
      </c>
      <c r="AC591" t="str">
        <f>""</f>
        <v/>
      </c>
      <c r="AD591" t="str">
        <f>""</f>
        <v/>
      </c>
      <c r="AE591" t="str">
        <f>""</f>
        <v/>
      </c>
      <c r="AF591" t="str">
        <f>""</f>
        <v/>
      </c>
      <c r="AG591" t="str">
        <f>"S"</f>
        <v>S</v>
      </c>
      <c r="AH591" t="str">
        <f>""</f>
        <v/>
      </c>
      <c r="AI591" t="str">
        <f>""</f>
        <v/>
      </c>
      <c r="AJ591" t="str">
        <f>""</f>
        <v/>
      </c>
      <c r="AK591" t="str">
        <f>""</f>
        <v/>
      </c>
      <c r="AL591" t="str">
        <f>""</f>
        <v/>
      </c>
      <c r="AM591" t="str">
        <f>""</f>
        <v/>
      </c>
      <c r="AN591" t="str">
        <f>""</f>
        <v/>
      </c>
      <c r="AO591" t="str">
        <f>""</f>
        <v/>
      </c>
      <c r="AP591" t="str">
        <f>""</f>
        <v/>
      </c>
      <c r="AQ591" t="str">
        <f>"N"</f>
        <v>N</v>
      </c>
      <c r="AR591" t="str">
        <f>"N"</f>
        <v>N</v>
      </c>
      <c r="AS591" t="str">
        <f>"N"</f>
        <v>N</v>
      </c>
      <c r="AT591" t="str">
        <f>"N"</f>
        <v>N</v>
      </c>
      <c r="AU591" t="str">
        <f>"N"</f>
        <v>N</v>
      </c>
      <c r="AV591" t="str">
        <f>""</f>
        <v/>
      </c>
      <c r="AW591" t="str">
        <f>""</f>
        <v/>
      </c>
      <c r="AX591" t="str">
        <f>""</f>
        <v/>
      </c>
      <c r="AY591" t="str">
        <f>""</f>
        <v/>
      </c>
      <c r="AZ591" t="str">
        <f>""</f>
        <v/>
      </c>
      <c r="BA591" t="str">
        <f>""</f>
        <v/>
      </c>
      <c r="BB591" t="str">
        <f>""</f>
        <v/>
      </c>
      <c r="BC591" t="str">
        <f>"06/05/2022 14:17:57"</f>
        <v>06/05/2022 14:17:57</v>
      </c>
      <c r="BD591" t="str">
        <f>""</f>
        <v/>
      </c>
      <c r="BE591" t="str">
        <f>""</f>
        <v/>
      </c>
      <c r="BF591" t="str">
        <f t="shared" si="295"/>
        <v>A</v>
      </c>
      <c r="BG591" t="str">
        <f>""</f>
        <v/>
      </c>
      <c r="BH591" t="str">
        <f>"0,00"</f>
        <v>0,00</v>
      </c>
      <c r="BI591" t="str">
        <f t="shared" si="276"/>
        <v>EVENTUAL</v>
      </c>
      <c r="BJ591" t="str">
        <f t="shared" si="296"/>
        <v>1</v>
      </c>
      <c r="BK591" t="str">
        <f t="shared" si="297"/>
        <v>Farmacia</v>
      </c>
      <c r="BL591" t="str">
        <f>""</f>
        <v/>
      </c>
      <c r="BM591" t="str">
        <f>"NÃO É VARILUX ESPECIALISTA"</f>
        <v>NÃO É VARILUX ESPECIALISTA</v>
      </c>
      <c r="BN591" t="str">
        <f>"NA"</f>
        <v>NA</v>
      </c>
      <c r="BO591" t="str">
        <f>"OUTROS"</f>
        <v>OUTROS</v>
      </c>
      <c r="BP591" t="str">
        <f>""</f>
        <v/>
      </c>
      <c r="BQ591" t="str">
        <f>""</f>
        <v/>
      </c>
      <c r="BR591" t="str">
        <f>""</f>
        <v/>
      </c>
      <c r="BS591" t="str">
        <f>"06/05/2022"</f>
        <v>06/05/2022</v>
      </c>
      <c r="BT591" t="str">
        <f>""</f>
        <v/>
      </c>
      <c r="BU591" t="str">
        <f>""</f>
        <v/>
      </c>
      <c r="BV591" t="str">
        <f>""</f>
        <v/>
      </c>
      <c r="BW591" t="str">
        <f>"10"</f>
        <v>10</v>
      </c>
    </row>
    <row r="592" spans="1:75" x14ac:dyDescent="0.35">
      <c r="A592">
        <v>156914</v>
      </c>
      <c r="B592" t="str">
        <f t="shared" si="291"/>
        <v>A</v>
      </c>
      <c r="C592" t="str">
        <f t="shared" si="292"/>
        <v>80</v>
      </c>
      <c r="D592" t="str">
        <f t="shared" si="281"/>
        <v>11121002</v>
      </c>
      <c r="E592" t="str">
        <f t="shared" si="282"/>
        <v>121002</v>
      </c>
      <c r="F592" t="str">
        <f t="shared" si="283"/>
        <v>CINTHIA NORONHA</v>
      </c>
      <c r="G592" t="str">
        <f>"41708187000160"</f>
        <v>41708187000160</v>
      </c>
      <c r="H592" t="str">
        <f>"0"</f>
        <v>0</v>
      </c>
      <c r="I592" t="str">
        <f t="shared" si="293"/>
        <v>CONTA OPTICA</v>
      </c>
      <c r="J592" t="str">
        <f>"CARLOS JOALHERIA E OTICA EIRELI"</f>
        <v>CARLOS JOALHERIA E OTICA EIRELI</v>
      </c>
      <c r="K592" t="str">
        <f>"CARLOS JOALHERIA E OTICA (4509)"</f>
        <v>CARLOS JOALHERIA E OTICA (4509)</v>
      </c>
      <c r="L592" t="str">
        <f>""</f>
        <v/>
      </c>
      <c r="M592" t="str">
        <f>""</f>
        <v/>
      </c>
      <c r="N592" t="str">
        <f>"CARLOSJOALHEIRO@YAHOO.COM"</f>
        <v>CARLOSJOALHEIRO@YAHOO.COM</v>
      </c>
      <c r="O592" t="str">
        <f>""</f>
        <v/>
      </c>
      <c r="P592" t="str">
        <f>"CELESTE RECCO"</f>
        <v>CELESTE RECCO</v>
      </c>
      <c r="Q592" t="str">
        <f>"494"</f>
        <v>494</v>
      </c>
      <c r="R592" t="str">
        <f>""</f>
        <v/>
      </c>
      <c r="S592" t="str">
        <f>"1269"</f>
        <v>1269</v>
      </c>
      <c r="T592" t="str">
        <f>"88830000"</f>
        <v>88830000</v>
      </c>
      <c r="U592" t="str">
        <f>"ESPERANCA"</f>
        <v>ESPERANCA</v>
      </c>
      <c r="V592" t="str">
        <f>"MORRO DA FUMACA"</f>
        <v>MORRO DA FUMACA</v>
      </c>
      <c r="W592" t="str">
        <f t="shared" si="284"/>
        <v>SC</v>
      </c>
      <c r="X592" t="str">
        <f t="shared" si="298"/>
        <v>48</v>
      </c>
      <c r="Y592" t="str">
        <f>"991846977"</f>
        <v>991846977</v>
      </c>
      <c r="Z592" t="str">
        <f>""</f>
        <v/>
      </c>
      <c r="AA592" t="str">
        <f>""</f>
        <v/>
      </c>
      <c r="AB592" t="str">
        <f>""</f>
        <v/>
      </c>
      <c r="AC592" t="str">
        <f>""</f>
        <v/>
      </c>
      <c r="AD592" t="str">
        <f>""</f>
        <v/>
      </c>
      <c r="AE592" t="str">
        <f>""</f>
        <v/>
      </c>
      <c r="AF592" t="str">
        <f>""</f>
        <v/>
      </c>
      <c r="AG592" t="str">
        <f>""</f>
        <v/>
      </c>
      <c r="AH592" t="str">
        <f>""</f>
        <v/>
      </c>
      <c r="AI592" t="str">
        <f>""</f>
        <v/>
      </c>
      <c r="AJ592" t="str">
        <f>""</f>
        <v/>
      </c>
      <c r="AK592" t="str">
        <f>""</f>
        <v/>
      </c>
      <c r="AL592" t="str">
        <f>""</f>
        <v/>
      </c>
      <c r="AM592" t="str">
        <f>""</f>
        <v/>
      </c>
      <c r="AN592" t="str">
        <f>""</f>
        <v/>
      </c>
      <c r="AO592" t="str">
        <f>""</f>
        <v/>
      </c>
      <c r="AP592" t="str">
        <f>""</f>
        <v/>
      </c>
      <c r="AQ592" t="str">
        <f>""</f>
        <v/>
      </c>
      <c r="AR592" t="str">
        <f>""</f>
        <v/>
      </c>
      <c r="AS592" t="str">
        <f>""</f>
        <v/>
      </c>
      <c r="AT592" t="str">
        <f>""</f>
        <v/>
      </c>
      <c r="AU592" t="str">
        <f>""</f>
        <v/>
      </c>
      <c r="AV592" t="str">
        <f>""</f>
        <v/>
      </c>
      <c r="AW592" t="str">
        <f>""</f>
        <v/>
      </c>
      <c r="AX592" t="str">
        <f>""</f>
        <v/>
      </c>
      <c r="AY592" t="str">
        <f>""</f>
        <v/>
      </c>
      <c r="AZ592" t="str">
        <f>""</f>
        <v/>
      </c>
      <c r="BA592" t="str">
        <f>""</f>
        <v/>
      </c>
      <c r="BB592" t="str">
        <f>"06/07/2023 12:07:48"</f>
        <v>06/07/2023 12:07:48</v>
      </c>
      <c r="BC592" t="str">
        <f>""</f>
        <v/>
      </c>
      <c r="BD592" t="str">
        <f>""</f>
        <v/>
      </c>
      <c r="BE592" t="str">
        <f>""</f>
        <v/>
      </c>
      <c r="BF592" t="str">
        <f t="shared" si="295"/>
        <v>A</v>
      </c>
      <c r="BG592" t="str">
        <f>""</f>
        <v/>
      </c>
      <c r="BH592" t="str">
        <f>""</f>
        <v/>
      </c>
      <c r="BI592" t="str">
        <f t="shared" si="276"/>
        <v>EVENTUAL</v>
      </c>
      <c r="BJ592" t="str">
        <f t="shared" si="296"/>
        <v>1</v>
      </c>
      <c r="BK592" t="str">
        <f t="shared" si="297"/>
        <v>Farmacia</v>
      </c>
      <c r="BL592" t="str">
        <f>""</f>
        <v/>
      </c>
      <c r="BM592" t="str">
        <f>""</f>
        <v/>
      </c>
      <c r="BN592" t="str">
        <f>""</f>
        <v/>
      </c>
      <c r="BO592" t="str">
        <f>""</f>
        <v/>
      </c>
      <c r="BP592" t="str">
        <f>""</f>
        <v/>
      </c>
      <c r="BQ592" t="str">
        <f>""</f>
        <v/>
      </c>
      <c r="BR592" t="str">
        <f>"06/07/2023"</f>
        <v>06/07/2023</v>
      </c>
      <c r="BS592" t="str">
        <f>""</f>
        <v/>
      </c>
      <c r="BT592" t="str">
        <f>""</f>
        <v/>
      </c>
      <c r="BU592" t="str">
        <f>""</f>
        <v/>
      </c>
      <c r="BV592" t="str">
        <f>""</f>
        <v/>
      </c>
      <c r="BW592" t="str">
        <f>"Não visitado"</f>
        <v>Não visitado</v>
      </c>
    </row>
    <row r="593" spans="1:75" x14ac:dyDescent="0.35">
      <c r="A593">
        <v>159588</v>
      </c>
      <c r="B593" t="str">
        <f t="shared" si="291"/>
        <v>A</v>
      </c>
      <c r="C593" t="str">
        <f t="shared" si="292"/>
        <v>80</v>
      </c>
      <c r="D593" t="str">
        <f t="shared" si="281"/>
        <v>11121002</v>
      </c>
      <c r="E593" t="str">
        <f t="shared" si="282"/>
        <v>121002</v>
      </c>
      <c r="F593" t="str">
        <f t="shared" si="283"/>
        <v>CINTHIA NORONHA</v>
      </c>
      <c r="G593" t="str">
        <f>"50148684000141"</f>
        <v>50148684000141</v>
      </c>
      <c r="H593" t="str">
        <f>""</f>
        <v/>
      </c>
      <c r="I593" t="str">
        <f t="shared" si="293"/>
        <v>CONTA OPTICA</v>
      </c>
      <c r="J593" t="str">
        <f>"CARLOS JOALHERIA E OTICA LTDA"</f>
        <v>CARLOS JOALHERIA E OTICA LTDA</v>
      </c>
      <c r="K593" t="str">
        <f>"CARLOS JOALHERIA E OTICA (4758)"</f>
        <v>CARLOS JOALHERIA E OTICA (4758)</v>
      </c>
      <c r="L593" t="str">
        <f>""</f>
        <v/>
      </c>
      <c r="M593" t="str">
        <f>""</f>
        <v/>
      </c>
      <c r="N593" t="str">
        <f>"CARLOSJOALHEIRO@YAHOO.COM"</f>
        <v>CARLOSJOALHEIRO@YAHOO.COM</v>
      </c>
      <c r="O593" t="str">
        <f>""</f>
        <v/>
      </c>
      <c r="P593" t="str">
        <f>"CELESTE RECCO"</f>
        <v>CELESTE RECCO</v>
      </c>
      <c r="Q593" t="str">
        <f>"494"</f>
        <v>494</v>
      </c>
      <c r="R593" t="str">
        <f>""</f>
        <v/>
      </c>
      <c r="S593" t="str">
        <f>"1257"</f>
        <v>1257</v>
      </c>
      <c r="T593" t="str">
        <f>"88030000"</f>
        <v>88030000</v>
      </c>
      <c r="U593" t="str">
        <f>"MONTE VERDE"</f>
        <v>MONTE VERDE</v>
      </c>
      <c r="V593" t="str">
        <f>"MORRO DA FUMACA"</f>
        <v>MORRO DA FUMACA</v>
      </c>
      <c r="W593" t="str">
        <f t="shared" si="284"/>
        <v>SC</v>
      </c>
      <c r="X593" t="str">
        <f t="shared" si="298"/>
        <v>48</v>
      </c>
      <c r="Y593" t="str">
        <f>"999763094"</f>
        <v>999763094</v>
      </c>
      <c r="Z593" t="str">
        <f>""</f>
        <v/>
      </c>
      <c r="AA593" t="str">
        <f>""</f>
        <v/>
      </c>
      <c r="AB593" t="str">
        <f>""</f>
        <v/>
      </c>
      <c r="AC593" t="str">
        <f>""</f>
        <v/>
      </c>
      <c r="AD593" t="str">
        <f>""</f>
        <v/>
      </c>
      <c r="AE593" t="str">
        <f>""</f>
        <v/>
      </c>
      <c r="AF593" t="str">
        <f>""</f>
        <v/>
      </c>
      <c r="AG593" t="str">
        <f>""</f>
        <v/>
      </c>
      <c r="AH593" t="str">
        <f>""</f>
        <v/>
      </c>
      <c r="AI593" t="str">
        <f>""</f>
        <v/>
      </c>
      <c r="AJ593" t="str">
        <f>""</f>
        <v/>
      </c>
      <c r="AK593" t="str">
        <f>""</f>
        <v/>
      </c>
      <c r="AL593" t="str">
        <f>""</f>
        <v/>
      </c>
      <c r="AM593" t="str">
        <f>""</f>
        <v/>
      </c>
      <c r="AN593" t="str">
        <f>""</f>
        <v/>
      </c>
      <c r="AO593" t="str">
        <f>""</f>
        <v/>
      </c>
      <c r="AP593" t="str">
        <f>""</f>
        <v/>
      </c>
      <c r="AQ593" t="str">
        <f>""</f>
        <v/>
      </c>
      <c r="AR593" t="str">
        <f>""</f>
        <v/>
      </c>
      <c r="AS593" t="str">
        <f>""</f>
        <v/>
      </c>
      <c r="AT593" t="str">
        <f>""</f>
        <v/>
      </c>
      <c r="AU593" t="str">
        <f>""</f>
        <v/>
      </c>
      <c r="AV593" t="str">
        <f>""</f>
        <v/>
      </c>
      <c r="AW593" t="str">
        <f>""</f>
        <v/>
      </c>
      <c r="AX593" t="str">
        <f>""</f>
        <v/>
      </c>
      <c r="AY593" t="str">
        <f>""</f>
        <v/>
      </c>
      <c r="AZ593" t="str">
        <f>""</f>
        <v/>
      </c>
      <c r="BA593" t="str">
        <f>""</f>
        <v/>
      </c>
      <c r="BB593" t="str">
        <f>"25/09/2023 11:47:13"</f>
        <v>25/09/2023 11:47:13</v>
      </c>
      <c r="BC593" t="str">
        <f>""</f>
        <v/>
      </c>
      <c r="BD593" t="str">
        <f>""</f>
        <v/>
      </c>
      <c r="BE593" t="str">
        <f>""</f>
        <v/>
      </c>
      <c r="BF593" t="str">
        <f t="shared" si="295"/>
        <v>A</v>
      </c>
      <c r="BG593" t="str">
        <f>""</f>
        <v/>
      </c>
      <c r="BH593" t="str">
        <f>""</f>
        <v/>
      </c>
      <c r="BI593" t="str">
        <f t="shared" si="276"/>
        <v>EVENTUAL</v>
      </c>
      <c r="BJ593" t="str">
        <f t="shared" si="296"/>
        <v>1</v>
      </c>
      <c r="BK593" t="str">
        <f t="shared" si="297"/>
        <v>Farmacia</v>
      </c>
      <c r="BL593" t="str">
        <f>""</f>
        <v/>
      </c>
      <c r="BM593" t="str">
        <f>""</f>
        <v/>
      </c>
      <c r="BN593" t="str">
        <f>""</f>
        <v/>
      </c>
      <c r="BO593" t="str">
        <f>""</f>
        <v/>
      </c>
      <c r="BP593" t="str">
        <f>""</f>
        <v/>
      </c>
      <c r="BQ593" t="str">
        <f>""</f>
        <v/>
      </c>
      <c r="BR593" t="str">
        <f>"25/09/2023"</f>
        <v>25/09/2023</v>
      </c>
      <c r="BS593" t="str">
        <f>""</f>
        <v/>
      </c>
      <c r="BT593" t="str">
        <f>""</f>
        <v/>
      </c>
      <c r="BU593" t="str">
        <f>""</f>
        <v/>
      </c>
      <c r="BV593" t="str">
        <f>""</f>
        <v/>
      </c>
      <c r="BW593" t="str">
        <f>"Não visitado"</f>
        <v>Não visitado</v>
      </c>
    </row>
    <row r="594" spans="1:75" x14ac:dyDescent="0.35">
      <c r="A594">
        <v>156898</v>
      </c>
      <c r="B594" t="str">
        <f t="shared" si="291"/>
        <v>A</v>
      </c>
      <c r="C594" t="str">
        <f t="shared" si="292"/>
        <v>80</v>
      </c>
      <c r="D594" t="str">
        <f t="shared" si="281"/>
        <v>11121002</v>
      </c>
      <c r="E594" t="str">
        <f t="shared" si="282"/>
        <v>121002</v>
      </c>
      <c r="F594" t="str">
        <f t="shared" si="283"/>
        <v>CINTHIA NORONHA</v>
      </c>
      <c r="G594" t="str">
        <f>"48683298000108"</f>
        <v>48683298000108</v>
      </c>
      <c r="H594" t="str">
        <f>"0"</f>
        <v>0</v>
      </c>
      <c r="I594" t="str">
        <f t="shared" si="293"/>
        <v>CONTA OPTICA</v>
      </c>
      <c r="J594" t="str">
        <f>"CARLOS OTICA E JOALHERIA LTDA"</f>
        <v>CARLOS OTICA E JOALHERIA LTDA</v>
      </c>
      <c r="K594" t="str">
        <f>"CARLOS JOALHERIA E OTICA (4701)"</f>
        <v>CARLOS JOALHERIA E OTICA (4701)</v>
      </c>
      <c r="L594" t="str">
        <f>""</f>
        <v/>
      </c>
      <c r="M594" t="str">
        <f>""</f>
        <v/>
      </c>
      <c r="N594" t="str">
        <f>"CARLOSJOALHEIRO@YAHOO.COM"</f>
        <v>CARLOSJOALHEIRO@YAHOO.COM</v>
      </c>
      <c r="O594" t="str">
        <f>""</f>
        <v/>
      </c>
      <c r="P594" t="str">
        <f>"RUA ADHEMAR GHISI"</f>
        <v>RUA ADHEMAR GHISI</v>
      </c>
      <c r="Q594" t="str">
        <f>"110"</f>
        <v>110</v>
      </c>
      <c r="R594" t="str">
        <f>""</f>
        <v/>
      </c>
      <c r="S594" t="str">
        <f>"1268"</f>
        <v>1268</v>
      </c>
      <c r="T594" t="str">
        <f>"88710000"</f>
        <v>88710000</v>
      </c>
      <c r="U594" t="str">
        <f>"CENTRO"</f>
        <v>CENTRO</v>
      </c>
      <c r="V594" t="str">
        <f>"TREZE DE MAIO"</f>
        <v>TREZE DE MAIO</v>
      </c>
      <c r="W594" t="str">
        <f t="shared" si="284"/>
        <v>SC</v>
      </c>
      <c r="X594" t="str">
        <f t="shared" si="298"/>
        <v>48</v>
      </c>
      <c r="Y594" t="str">
        <f>"991636276"</f>
        <v>991636276</v>
      </c>
      <c r="Z594" t="str">
        <f>""</f>
        <v/>
      </c>
      <c r="AA594" t="str">
        <f>""</f>
        <v/>
      </c>
      <c r="AB594" t="str">
        <f>""</f>
        <v/>
      </c>
      <c r="AC594" t="str">
        <f>""</f>
        <v/>
      </c>
      <c r="AD594" t="str">
        <f>""</f>
        <v/>
      </c>
      <c r="AE594" t="str">
        <f>""</f>
        <v/>
      </c>
      <c r="AF594" t="str">
        <f>""</f>
        <v/>
      </c>
      <c r="AG594" t="str">
        <f>""</f>
        <v/>
      </c>
      <c r="AH594" t="str">
        <f>""</f>
        <v/>
      </c>
      <c r="AI594" t="str">
        <f>""</f>
        <v/>
      </c>
      <c r="AJ594" t="str">
        <f>""</f>
        <v/>
      </c>
      <c r="AK594" t="str">
        <f>""</f>
        <v/>
      </c>
      <c r="AL594" t="str">
        <f>""</f>
        <v/>
      </c>
      <c r="AM594" t="str">
        <f>""</f>
        <v/>
      </c>
      <c r="AN594" t="str">
        <f>""</f>
        <v/>
      </c>
      <c r="AO594" t="str">
        <f>""</f>
        <v/>
      </c>
      <c r="AP594" t="str">
        <f>""</f>
        <v/>
      </c>
      <c r="AQ594" t="str">
        <f>""</f>
        <v/>
      </c>
      <c r="AR594" t="str">
        <f>""</f>
        <v/>
      </c>
      <c r="AS594" t="str">
        <f>""</f>
        <v/>
      </c>
      <c r="AT594" t="str">
        <f>""</f>
        <v/>
      </c>
      <c r="AU594" t="str">
        <f>""</f>
        <v/>
      </c>
      <c r="AV594" t="str">
        <f>""</f>
        <v/>
      </c>
      <c r="AW594" t="str">
        <f>""</f>
        <v/>
      </c>
      <c r="AX594" t="str">
        <f>""</f>
        <v/>
      </c>
      <c r="AY594" t="str">
        <f>""</f>
        <v/>
      </c>
      <c r="AZ594" t="str">
        <f>""</f>
        <v/>
      </c>
      <c r="BA594" t="str">
        <f>""</f>
        <v/>
      </c>
      <c r="BB594" t="str">
        <f>"06/07/2023 12:07:48"</f>
        <v>06/07/2023 12:07:48</v>
      </c>
      <c r="BC594" t="str">
        <f>""</f>
        <v/>
      </c>
      <c r="BD594" t="str">
        <f>""</f>
        <v/>
      </c>
      <c r="BE594" t="str">
        <f>""</f>
        <v/>
      </c>
      <c r="BF594" t="str">
        <f t="shared" si="295"/>
        <v>A</v>
      </c>
      <c r="BG594" t="str">
        <f>""</f>
        <v/>
      </c>
      <c r="BH594" t="str">
        <f>""</f>
        <v/>
      </c>
      <c r="BI594" t="str">
        <f t="shared" si="276"/>
        <v>EVENTUAL</v>
      </c>
      <c r="BJ594" t="str">
        <f t="shared" si="296"/>
        <v>1</v>
      </c>
      <c r="BK594" t="str">
        <f t="shared" si="297"/>
        <v>Farmacia</v>
      </c>
      <c r="BL594" t="str">
        <f>""</f>
        <v/>
      </c>
      <c r="BM594" t="str">
        <f>""</f>
        <v/>
      </c>
      <c r="BN594" t="str">
        <f>""</f>
        <v/>
      </c>
      <c r="BO594" t="str">
        <f>""</f>
        <v/>
      </c>
      <c r="BP594" t="str">
        <f>""</f>
        <v/>
      </c>
      <c r="BQ594" t="str">
        <f>""</f>
        <v/>
      </c>
      <c r="BR594" t="str">
        <f>"06/07/2023"</f>
        <v>06/07/2023</v>
      </c>
      <c r="BS594" t="str">
        <f>""</f>
        <v/>
      </c>
      <c r="BT594" t="str">
        <f>""</f>
        <v/>
      </c>
      <c r="BU594" t="str">
        <f>""</f>
        <v/>
      </c>
      <c r="BV594" t="str">
        <f>""</f>
        <v/>
      </c>
      <c r="BW594" t="str">
        <f>"Não visitado"</f>
        <v>Não visitado</v>
      </c>
    </row>
    <row r="595" spans="1:75" x14ac:dyDescent="0.35">
      <c r="A595">
        <v>144501</v>
      </c>
      <c r="B595" t="str">
        <f t="shared" si="291"/>
        <v>A</v>
      </c>
      <c r="C595" t="str">
        <f t="shared" si="292"/>
        <v>80</v>
      </c>
      <c r="D595" t="str">
        <f t="shared" si="281"/>
        <v>11121002</v>
      </c>
      <c r="E595" t="str">
        <f t="shared" si="282"/>
        <v>121002</v>
      </c>
      <c r="F595" t="str">
        <f t="shared" si="283"/>
        <v>CINTHIA NORONHA</v>
      </c>
      <c r="G595" t="str">
        <f>"31310128000185"</f>
        <v>31310128000185</v>
      </c>
      <c r="H595" t="str">
        <f>""</f>
        <v/>
      </c>
      <c r="I595" t="str">
        <f t="shared" si="293"/>
        <v>CONTA OPTICA</v>
      </c>
      <c r="J595" t="str">
        <f>"CAROLINE MARCOS PAZ"</f>
        <v>CAROLINE MARCOS PAZ</v>
      </c>
      <c r="K595" t="str">
        <f>"OTICA MARCOS (3914)"</f>
        <v>OTICA MARCOS (3914)</v>
      </c>
      <c r="L595" t="str">
        <f>""</f>
        <v/>
      </c>
      <c r="M595" t="str">
        <f>""</f>
        <v/>
      </c>
      <c r="N595" t="str">
        <f>"oticamarcos.laguna@hotmail.com"</f>
        <v>oticamarcos.laguna@hotmail.com</v>
      </c>
      <c r="O595" t="str">
        <f>""</f>
        <v/>
      </c>
      <c r="P595" t="str">
        <f>"RUA GUSTAVO RICHARD"</f>
        <v>RUA GUSTAVO RICHARD</v>
      </c>
      <c r="Q595" t="str">
        <f>"290"</f>
        <v>290</v>
      </c>
      <c r="R595" t="str">
        <f>"SALA"</f>
        <v>SALA</v>
      </c>
      <c r="S595" t="str">
        <f>"1268"</f>
        <v>1268</v>
      </c>
      <c r="T595" t="str">
        <f>"88790000"</f>
        <v>88790000</v>
      </c>
      <c r="U595" t="str">
        <f>"POVOADO DE LARANJEIRAS"</f>
        <v>POVOADO DE LARANJEIRAS</v>
      </c>
      <c r="V595" t="str">
        <f>"LAGUNA"</f>
        <v>LAGUNA</v>
      </c>
      <c r="W595" t="str">
        <f t="shared" si="284"/>
        <v>SC</v>
      </c>
      <c r="X595" t="str">
        <f t="shared" si="298"/>
        <v>48</v>
      </c>
      <c r="Y595" t="str">
        <f>"36441657"</f>
        <v>36441657</v>
      </c>
      <c r="Z595" t="str">
        <f>""</f>
        <v/>
      </c>
      <c r="AA595" t="str">
        <f>""</f>
        <v/>
      </c>
      <c r="AB595" t="str">
        <f>""</f>
        <v/>
      </c>
      <c r="AC595" t="str">
        <f>""</f>
        <v/>
      </c>
      <c r="AD595" t="str">
        <f>""</f>
        <v/>
      </c>
      <c r="AE595" t="str">
        <f>""</f>
        <v/>
      </c>
      <c r="AF595" t="str">
        <f>""</f>
        <v/>
      </c>
      <c r="AG595" t="str">
        <f>""</f>
        <v/>
      </c>
      <c r="AH595" t="str">
        <f>""</f>
        <v/>
      </c>
      <c r="AI595" t="str">
        <f>""</f>
        <v/>
      </c>
      <c r="AJ595" t="str">
        <f>"0"</f>
        <v>0</v>
      </c>
      <c r="AK595" t="str">
        <f>"0"</f>
        <v>0</v>
      </c>
      <c r="AL595" t="str">
        <f>"0"</f>
        <v>0</v>
      </c>
      <c r="AM595" t="str">
        <f>""</f>
        <v/>
      </c>
      <c r="AN595" t="str">
        <f>""</f>
        <v/>
      </c>
      <c r="AO595" t="str">
        <f>""</f>
        <v/>
      </c>
      <c r="AP595" t="str">
        <f>""</f>
        <v/>
      </c>
      <c r="AQ595" t="str">
        <f>""</f>
        <v/>
      </c>
      <c r="AR595" t="str">
        <f>""</f>
        <v/>
      </c>
      <c r="AS595" t="str">
        <f>""</f>
        <v/>
      </c>
      <c r="AT595" t="str">
        <f>""</f>
        <v/>
      </c>
      <c r="AU595" t="str">
        <f>""</f>
        <v/>
      </c>
      <c r="AV595" t="str">
        <f>""</f>
        <v/>
      </c>
      <c r="AW595" t="str">
        <f>""</f>
        <v/>
      </c>
      <c r="AX595" t="str">
        <f>""</f>
        <v/>
      </c>
      <c r="AY595" t="str">
        <f>""</f>
        <v/>
      </c>
      <c r="AZ595" t="str">
        <f>""</f>
        <v/>
      </c>
      <c r="BA595" t="str">
        <f>""</f>
        <v/>
      </c>
      <c r="BB595" t="str">
        <f>""</f>
        <v/>
      </c>
      <c r="BC595" t="str">
        <f>""</f>
        <v/>
      </c>
      <c r="BD595" t="str">
        <f>""</f>
        <v/>
      </c>
      <c r="BE595" t="str">
        <f>""</f>
        <v/>
      </c>
      <c r="BF595" t="str">
        <f t="shared" si="295"/>
        <v>A</v>
      </c>
      <c r="BG595" t="str">
        <f>"0,00"</f>
        <v>0,00</v>
      </c>
      <c r="BH595" t="str">
        <f>"0,00"</f>
        <v>0,00</v>
      </c>
      <c r="BI595" t="str">
        <f t="shared" si="276"/>
        <v>EVENTUAL</v>
      </c>
      <c r="BJ595" t="str">
        <f t="shared" si="296"/>
        <v>1</v>
      </c>
      <c r="BK595" t="str">
        <f t="shared" si="297"/>
        <v>Farmacia</v>
      </c>
      <c r="BL595" t="str">
        <f>""</f>
        <v/>
      </c>
      <c r="BM595" t="str">
        <f>"CREDENCIADO VARILUX"</f>
        <v>CREDENCIADO VARILUX</v>
      </c>
      <c r="BN595" t="str">
        <f>"EL360"</f>
        <v>EL360</v>
      </c>
      <c r="BO595" t="str">
        <f>"FOCO VARILUX DIGITAL"</f>
        <v>FOCO VARILUX DIGITAL</v>
      </c>
      <c r="BP595" t="str">
        <f>""</f>
        <v/>
      </c>
      <c r="BQ595" t="str">
        <f>""</f>
        <v/>
      </c>
      <c r="BR595" t="str">
        <f>""</f>
        <v/>
      </c>
      <c r="BS595" t="str">
        <f>""</f>
        <v/>
      </c>
      <c r="BT595" t="str">
        <f>""</f>
        <v/>
      </c>
      <c r="BU595" t="str">
        <f>""</f>
        <v/>
      </c>
      <c r="BV595" t="str">
        <f>"1"</f>
        <v>1</v>
      </c>
      <c r="BW595" t="str">
        <f>"10"</f>
        <v>10</v>
      </c>
    </row>
    <row r="596" spans="1:75" x14ac:dyDescent="0.35">
      <c r="A596">
        <v>134476</v>
      </c>
      <c r="B596" t="str">
        <f t="shared" si="291"/>
        <v>A</v>
      </c>
      <c r="C596" t="str">
        <f t="shared" si="292"/>
        <v>80</v>
      </c>
      <c r="D596" t="str">
        <f t="shared" si="281"/>
        <v>11121002</v>
      </c>
      <c r="E596" t="str">
        <f t="shared" si="282"/>
        <v>121002</v>
      </c>
      <c r="F596" t="str">
        <f t="shared" si="283"/>
        <v>CINTHIA NORONHA</v>
      </c>
      <c r="G596" t="str">
        <f>"17292737000209"</f>
        <v>17292737000209</v>
      </c>
      <c r="H596" t="str">
        <f>""</f>
        <v/>
      </c>
      <c r="I596" t="str">
        <f t="shared" si="293"/>
        <v>CONTA OPTICA</v>
      </c>
      <c r="J596" t="str">
        <f>"CAROLINE WEBER MACHADO EIRELI"</f>
        <v>CAROLINE WEBER MACHADO EIRELI</v>
      </c>
      <c r="K596" t="str">
        <f>"OTICAS CAROL (2096)"</f>
        <v>OTICAS CAROL (2096)</v>
      </c>
      <c r="L596" t="str">
        <f>""</f>
        <v/>
      </c>
      <c r="M596" t="str">
        <f>""</f>
        <v/>
      </c>
      <c r="N596" t="str">
        <f>"produtosc@oticascarol.com.br"</f>
        <v>produtosc@oticascarol.com.br</v>
      </c>
      <c r="O596" t="str">
        <f>""</f>
        <v/>
      </c>
      <c r="P596" t="str">
        <f>"RUA FELIPE SCHMIDT"</f>
        <v>RUA FELIPE SCHMIDT</v>
      </c>
      <c r="Q596" t="str">
        <f>"186"</f>
        <v>186</v>
      </c>
      <c r="R596" t="str">
        <f>"LJ 6 EDIF AMELI"</f>
        <v>LJ 6 EDIF AMELI</v>
      </c>
      <c r="S596" t="str">
        <f>"1254"</f>
        <v>1254</v>
      </c>
      <c r="T596" t="str">
        <f>"88010000"</f>
        <v>88010000</v>
      </c>
      <c r="U596" t="str">
        <f>"CENTRO"</f>
        <v>CENTRO</v>
      </c>
      <c r="V596" t="str">
        <f>"FLORIANÓPOLIS"</f>
        <v>FLORIANÓPOLIS</v>
      </c>
      <c r="W596" t="str">
        <f t="shared" ref="W596:W628" si="299">"SC"</f>
        <v>SC</v>
      </c>
      <c r="X596" t="str">
        <f t="shared" si="298"/>
        <v>48</v>
      </c>
      <c r="Y596" t="str">
        <f>"32129037"</f>
        <v>32129037</v>
      </c>
      <c r="Z596" t="str">
        <f>""</f>
        <v/>
      </c>
      <c r="AA596" t="str">
        <f>""</f>
        <v/>
      </c>
      <c r="AB596" t="str">
        <f>""</f>
        <v/>
      </c>
      <c r="AC596" t="str">
        <f>""</f>
        <v/>
      </c>
      <c r="AD596" t="str">
        <f>""</f>
        <v/>
      </c>
      <c r="AE596" t="str">
        <f>""</f>
        <v/>
      </c>
      <c r="AF596" t="str">
        <f>""</f>
        <v/>
      </c>
      <c r="AG596" t="str">
        <f>"S"</f>
        <v>S</v>
      </c>
      <c r="AH596" t="str">
        <f>""</f>
        <v/>
      </c>
      <c r="AI596" t="str">
        <f>""</f>
        <v/>
      </c>
      <c r="AJ596" t="str">
        <f>""</f>
        <v/>
      </c>
      <c r="AK596" t="str">
        <f>""</f>
        <v/>
      </c>
      <c r="AL596" t="str">
        <f>""</f>
        <v/>
      </c>
      <c r="AM596" t="str">
        <f>""</f>
        <v/>
      </c>
      <c r="AN596" t="str">
        <f>""</f>
        <v/>
      </c>
      <c r="AO596" t="str">
        <f>""</f>
        <v/>
      </c>
      <c r="AP596" t="str">
        <f>""</f>
        <v/>
      </c>
      <c r="AQ596" t="str">
        <f>"N"</f>
        <v>N</v>
      </c>
      <c r="AR596" t="str">
        <f>"N"</f>
        <v>N</v>
      </c>
      <c r="AS596" t="str">
        <f>"N"</f>
        <v>N</v>
      </c>
      <c r="AT596" t="str">
        <f>"N"</f>
        <v>N</v>
      </c>
      <c r="AU596" t="str">
        <f>"N"</f>
        <v>N</v>
      </c>
      <c r="AV596" t="str">
        <f>""</f>
        <v/>
      </c>
      <c r="AW596" t="str">
        <f>""</f>
        <v/>
      </c>
      <c r="AX596" t="str">
        <f>""</f>
        <v/>
      </c>
      <c r="AY596" t="str">
        <f>""</f>
        <v/>
      </c>
      <c r="AZ596" t="str">
        <f>""</f>
        <v/>
      </c>
      <c r="BA596" t="str">
        <f>""</f>
        <v/>
      </c>
      <c r="BB596" t="str">
        <f>""</f>
        <v/>
      </c>
      <c r="BC596" t="str">
        <f>"04/06/2021 11:19:40"</f>
        <v>04/06/2021 11:19:40</v>
      </c>
      <c r="BD596" t="str">
        <f>""</f>
        <v/>
      </c>
      <c r="BE596" t="str">
        <f>""</f>
        <v/>
      </c>
      <c r="BF596" t="str">
        <f t="shared" si="295"/>
        <v>A</v>
      </c>
      <c r="BG596" t="str">
        <f>""</f>
        <v/>
      </c>
      <c r="BH596" t="str">
        <f>"0,00"</f>
        <v>0,00</v>
      </c>
      <c r="BI596" t="str">
        <f t="shared" si="276"/>
        <v>EVENTUAL</v>
      </c>
      <c r="BJ596" t="str">
        <f t="shared" si="296"/>
        <v>1</v>
      </c>
      <c r="BK596" t="str">
        <f t="shared" si="297"/>
        <v>Farmacia</v>
      </c>
      <c r="BL596" t="str">
        <f>""</f>
        <v/>
      </c>
      <c r="BM596" t="str">
        <f>"VARILUX ESPECIALISTA PLATINE"</f>
        <v>VARILUX ESPECIALISTA PLATINE</v>
      </c>
      <c r="BN596" t="str">
        <f>"NA"</f>
        <v>NA</v>
      </c>
      <c r="BO596" t="str">
        <f>"FOCO VARILUX DIGITAL"</f>
        <v>FOCO VARILUX DIGITAL</v>
      </c>
      <c r="BP596" t="str">
        <f>""</f>
        <v/>
      </c>
      <c r="BQ596" t="str">
        <f>""</f>
        <v/>
      </c>
      <c r="BR596" t="str">
        <f>""</f>
        <v/>
      </c>
      <c r="BS596" t="str">
        <f>"04/06/2021"</f>
        <v>04/06/2021</v>
      </c>
      <c r="BT596" t="str">
        <f>""</f>
        <v/>
      </c>
      <c r="BU596" t="str">
        <f>""</f>
        <v/>
      </c>
      <c r="BV596" t="str">
        <f>"1"</f>
        <v>1</v>
      </c>
      <c r="BW596" t="str">
        <f>"85"</f>
        <v>85</v>
      </c>
    </row>
    <row r="597" spans="1:75" x14ac:dyDescent="0.35">
      <c r="A597">
        <v>157623</v>
      </c>
      <c r="B597" t="str">
        <f t="shared" si="291"/>
        <v>A</v>
      </c>
      <c r="C597" t="str">
        <f t="shared" si="292"/>
        <v>80</v>
      </c>
      <c r="D597" t="str">
        <f t="shared" si="281"/>
        <v>11121002</v>
      </c>
      <c r="E597" t="str">
        <f t="shared" si="282"/>
        <v>121002</v>
      </c>
      <c r="F597" t="str">
        <f t="shared" si="283"/>
        <v>CINTHIA NORONHA</v>
      </c>
      <c r="G597" t="str">
        <f>"17292737000128"</f>
        <v>17292737000128</v>
      </c>
      <c r="H597" t="str">
        <f>"0"</f>
        <v>0</v>
      </c>
      <c r="I597" t="str">
        <f t="shared" si="293"/>
        <v>CONTA OPTICA</v>
      </c>
      <c r="J597" t="str">
        <f>"CAROLINE WEBER MACHADO EIRELI"</f>
        <v>CAROLINE WEBER MACHADO EIRELI</v>
      </c>
      <c r="K597" t="str">
        <f>"OTICAS CAROL (1965)"</f>
        <v>OTICAS CAROL (1965)</v>
      </c>
      <c r="L597" t="str">
        <f>""</f>
        <v/>
      </c>
      <c r="M597" t="str">
        <f>""</f>
        <v/>
      </c>
      <c r="N597" t="str">
        <f>"produtosc@oticascarol.com.br"</f>
        <v>produtosc@oticascarol.com.br</v>
      </c>
      <c r="O597" t="str">
        <f>""</f>
        <v/>
      </c>
      <c r="P597" t="str">
        <f>"RUA FELIPE SCHMIDT"</f>
        <v>RUA FELIPE SCHMIDT</v>
      </c>
      <c r="Q597" t="str">
        <f>"447"</f>
        <v>447</v>
      </c>
      <c r="R597" t="str">
        <f>"LOJA 03"</f>
        <v>LOJA 03</v>
      </c>
      <c r="S597" t="str">
        <f>"1254"</f>
        <v>1254</v>
      </c>
      <c r="T597" t="str">
        <f>"88010001"</f>
        <v>88010001</v>
      </c>
      <c r="U597" t="str">
        <f>"CENTRO"</f>
        <v>CENTRO</v>
      </c>
      <c r="V597" t="str">
        <f>"FLORIANOPOLIS"</f>
        <v>FLORIANOPOLIS</v>
      </c>
      <c r="W597" t="str">
        <f t="shared" si="299"/>
        <v>SC</v>
      </c>
      <c r="X597" t="str">
        <f t="shared" si="298"/>
        <v>48</v>
      </c>
      <c r="Y597" t="str">
        <f>"33339992"</f>
        <v>33339992</v>
      </c>
      <c r="Z597" t="str">
        <f>""</f>
        <v/>
      </c>
      <c r="AA597" t="str">
        <f>""</f>
        <v/>
      </c>
      <c r="AB597" t="str">
        <f>""</f>
        <v/>
      </c>
      <c r="AC597" t="str">
        <f>""</f>
        <v/>
      </c>
      <c r="AD597" t="str">
        <f>""</f>
        <v/>
      </c>
      <c r="AE597" t="str">
        <f>""</f>
        <v/>
      </c>
      <c r="AF597" t="str">
        <f>""</f>
        <v/>
      </c>
      <c r="AG597" t="str">
        <f>""</f>
        <v/>
      </c>
      <c r="AH597" t="str">
        <f>""</f>
        <v/>
      </c>
      <c r="AI597" t="str">
        <f>""</f>
        <v/>
      </c>
      <c r="AJ597" t="str">
        <f>""</f>
        <v/>
      </c>
      <c r="AK597" t="str">
        <f>""</f>
        <v/>
      </c>
      <c r="AL597" t="str">
        <f>""</f>
        <v/>
      </c>
      <c r="AM597" t="str">
        <f>""</f>
        <v/>
      </c>
      <c r="AN597" t="str">
        <f>""</f>
        <v/>
      </c>
      <c r="AO597" t="str">
        <f>""</f>
        <v/>
      </c>
      <c r="AP597" t="str">
        <f>""</f>
        <v/>
      </c>
      <c r="AQ597" t="str">
        <f>""</f>
        <v/>
      </c>
      <c r="AR597" t="str">
        <f>""</f>
        <v/>
      </c>
      <c r="AS597" t="str">
        <f>""</f>
        <v/>
      </c>
      <c r="AT597" t="str">
        <f>""</f>
        <v/>
      </c>
      <c r="AU597" t="str">
        <f>""</f>
        <v/>
      </c>
      <c r="AV597" t="str">
        <f>""</f>
        <v/>
      </c>
      <c r="AW597" t="str">
        <f>""</f>
        <v/>
      </c>
      <c r="AX597" t="str">
        <f>""</f>
        <v/>
      </c>
      <c r="AY597" t="str">
        <f>""</f>
        <v/>
      </c>
      <c r="AZ597" t="str">
        <f>""</f>
        <v/>
      </c>
      <c r="BA597" t="str">
        <f>""</f>
        <v/>
      </c>
      <c r="BB597" t="str">
        <f>"11/07/2023 02:19:56"</f>
        <v>11/07/2023 02:19:56</v>
      </c>
      <c r="BC597" t="str">
        <f>""</f>
        <v/>
      </c>
      <c r="BD597" t="str">
        <f>""</f>
        <v/>
      </c>
      <c r="BE597" t="str">
        <f>""</f>
        <v/>
      </c>
      <c r="BF597" t="str">
        <f t="shared" si="295"/>
        <v>A</v>
      </c>
      <c r="BG597" t="str">
        <f>""</f>
        <v/>
      </c>
      <c r="BH597" t="str">
        <f>""</f>
        <v/>
      </c>
      <c r="BI597" t="str">
        <f t="shared" si="276"/>
        <v>EVENTUAL</v>
      </c>
      <c r="BJ597" t="str">
        <f t="shared" si="296"/>
        <v>1</v>
      </c>
      <c r="BK597" t="str">
        <f t="shared" si="297"/>
        <v>Farmacia</v>
      </c>
      <c r="BL597" t="str">
        <f>""</f>
        <v/>
      </c>
      <c r="BM597" t="str">
        <f>""</f>
        <v/>
      </c>
      <c r="BN597" t="str">
        <f>""</f>
        <v/>
      </c>
      <c r="BO597" t="str">
        <f>""</f>
        <v/>
      </c>
      <c r="BP597" t="str">
        <f>""</f>
        <v/>
      </c>
      <c r="BQ597" t="str">
        <f>""</f>
        <v/>
      </c>
      <c r="BR597" t="str">
        <f>"11/07/2023"</f>
        <v>11/07/2023</v>
      </c>
      <c r="BS597" t="str">
        <f>""</f>
        <v/>
      </c>
      <c r="BT597" t="str">
        <f>""</f>
        <v/>
      </c>
      <c r="BU597" t="str">
        <f>""</f>
        <v/>
      </c>
      <c r="BV597" t="str">
        <f>""</f>
        <v/>
      </c>
      <c r="BW597" t="str">
        <f t="shared" ref="BW597:BW603" si="300">"Não visitado"</f>
        <v>Não visitado</v>
      </c>
    </row>
    <row r="598" spans="1:75" x14ac:dyDescent="0.35">
      <c r="A598">
        <v>22</v>
      </c>
      <c r="B598" t="str">
        <f t="shared" si="291"/>
        <v>A</v>
      </c>
      <c r="C598" t="str">
        <f t="shared" si="292"/>
        <v>80</v>
      </c>
      <c r="D598" t="str">
        <f t="shared" si="281"/>
        <v>11121002</v>
      </c>
      <c r="E598" t="str">
        <f t="shared" si="282"/>
        <v>121002</v>
      </c>
      <c r="F598" t="str">
        <f t="shared" si="283"/>
        <v>CINTHIA NORONHA</v>
      </c>
      <c r="G598" t="str">
        <f>"01919312000166"</f>
        <v>01919312000166</v>
      </c>
      <c r="H598" t="str">
        <f>""</f>
        <v/>
      </c>
      <c r="I598" t="str">
        <f t="shared" si="293"/>
        <v>CONTA OPTICA</v>
      </c>
      <c r="J598" t="str">
        <f>"CARVALHO RELOJOARIA E OTICA LTDA"</f>
        <v>CARVALHO RELOJOARIA E OTICA LTDA</v>
      </c>
      <c r="K598" t="str">
        <f>"CARVALHO RELOJOARIA E OTICA LTDA (1055)"</f>
        <v>CARVALHO RELOJOARIA E OTICA LTDA (1055)</v>
      </c>
      <c r="L598" t="str">
        <f>""</f>
        <v/>
      </c>
      <c r="M598" t="str">
        <f>""</f>
        <v/>
      </c>
      <c r="N598" t="str">
        <f>"oticasaojose.cr@gmail.com"</f>
        <v>oticasaojose.cr@gmail.com</v>
      </c>
      <c r="O598" t="str">
        <f>""</f>
        <v/>
      </c>
      <c r="P598" t="str">
        <f>"RUA ANTONIO DE LUCCA"</f>
        <v>RUA ANTONIO DE LUCCA</v>
      </c>
      <c r="Q598" t="str">
        <f>"82"</f>
        <v>82</v>
      </c>
      <c r="R598" t="str">
        <f>""</f>
        <v/>
      </c>
      <c r="S598" t="str">
        <f>"1269"</f>
        <v>1269</v>
      </c>
      <c r="T598" t="str">
        <f>"88811503"</f>
        <v>88811503</v>
      </c>
      <c r="U598" t="str">
        <f>"CENTRO"</f>
        <v>CENTRO</v>
      </c>
      <c r="V598" t="str">
        <f>"CRICIÚMA"</f>
        <v>CRICIÚMA</v>
      </c>
      <c r="W598" t="str">
        <f t="shared" si="299"/>
        <v>SC</v>
      </c>
      <c r="X598" t="str">
        <f t="shared" si="298"/>
        <v>48</v>
      </c>
      <c r="Y598" t="str">
        <f>"34331001"</f>
        <v>34331001</v>
      </c>
      <c r="Z598" t="str">
        <f>""</f>
        <v/>
      </c>
      <c r="AA598" t="str">
        <f>""</f>
        <v/>
      </c>
      <c r="AB598" t="str">
        <f>""</f>
        <v/>
      </c>
      <c r="AC598" t="str">
        <f>""</f>
        <v/>
      </c>
      <c r="AD598" t="str">
        <f>""</f>
        <v/>
      </c>
      <c r="AE598" t="str">
        <f>""</f>
        <v/>
      </c>
      <c r="AF598" t="str">
        <f>""</f>
        <v/>
      </c>
      <c r="AG598" t="str">
        <f>""</f>
        <v/>
      </c>
      <c r="AH598" t="str">
        <f>""</f>
        <v/>
      </c>
      <c r="AI598" t="str">
        <f>""</f>
        <v/>
      </c>
      <c r="AJ598" t="str">
        <f>"0"</f>
        <v>0</v>
      </c>
      <c r="AK598" t="str">
        <f>"0"</f>
        <v>0</v>
      </c>
      <c r="AL598" t="str">
        <f>"0"</f>
        <v>0</v>
      </c>
      <c r="AM598" t="str">
        <f>""</f>
        <v/>
      </c>
      <c r="AN598" t="str">
        <f>""</f>
        <v/>
      </c>
      <c r="AO598" t="str">
        <f>""</f>
        <v/>
      </c>
      <c r="AP598" t="str">
        <f>""</f>
        <v/>
      </c>
      <c r="AQ598" t="str">
        <f>""</f>
        <v/>
      </c>
      <c r="AR598" t="str">
        <f>""</f>
        <v/>
      </c>
      <c r="AS598" t="str">
        <f>""</f>
        <v/>
      </c>
      <c r="AT598" t="str">
        <f>""</f>
        <v/>
      </c>
      <c r="AU598" t="str">
        <f>""</f>
        <v/>
      </c>
      <c r="AV598" t="str">
        <f>""</f>
        <v/>
      </c>
      <c r="AW598" t="str">
        <f>""</f>
        <v/>
      </c>
      <c r="AX598" t="str">
        <f>""</f>
        <v/>
      </c>
      <c r="AY598" t="str">
        <f>""</f>
        <v/>
      </c>
      <c r="AZ598" t="str">
        <f>""</f>
        <v/>
      </c>
      <c r="BA598" t="str">
        <f>""</f>
        <v/>
      </c>
      <c r="BB598" t="str">
        <f>"27/07/2018 09:25:31"</f>
        <v>27/07/2018 09:25:31</v>
      </c>
      <c r="BC598" t="str">
        <f>""</f>
        <v/>
      </c>
      <c r="BD598" t="str">
        <f>""</f>
        <v/>
      </c>
      <c r="BE598" t="str">
        <f>"22"</f>
        <v>22</v>
      </c>
      <c r="BF598" t="str">
        <f t="shared" si="295"/>
        <v>A</v>
      </c>
      <c r="BG598" t="str">
        <f>"0,00"</f>
        <v>0,00</v>
      </c>
      <c r="BH598" t="str">
        <f>"0,00"</f>
        <v>0,00</v>
      </c>
      <c r="BI598" t="str">
        <f t="shared" si="276"/>
        <v>EVENTUAL</v>
      </c>
      <c r="BJ598" t="str">
        <f t="shared" si="296"/>
        <v>1</v>
      </c>
      <c r="BK598" t="str">
        <f t="shared" si="297"/>
        <v>Farmacia</v>
      </c>
      <c r="BL598" t="str">
        <f>""</f>
        <v/>
      </c>
      <c r="BM598" t="str">
        <f>"NÃO É VARILUX ESPECIALISTA"</f>
        <v>NÃO É VARILUX ESPECIALISTA</v>
      </c>
      <c r="BN598" t="str">
        <f>"NA"</f>
        <v>NA</v>
      </c>
      <c r="BO598" t="str">
        <f>"OUTROS"</f>
        <v>OUTROS</v>
      </c>
      <c r="BP598" t="str">
        <f>""</f>
        <v/>
      </c>
      <c r="BQ598" t="str">
        <f>""</f>
        <v/>
      </c>
      <c r="BR598" t="str">
        <f>"27/07/2018"</f>
        <v>27/07/2018</v>
      </c>
      <c r="BS598" t="str">
        <f>""</f>
        <v/>
      </c>
      <c r="BT598" t="str">
        <f>""</f>
        <v/>
      </c>
      <c r="BU598" t="str">
        <f>""</f>
        <v/>
      </c>
      <c r="BV598" t="str">
        <f>"9"</f>
        <v>9</v>
      </c>
      <c r="BW598" t="str">
        <f t="shared" si="300"/>
        <v>Não visitado</v>
      </c>
    </row>
    <row r="599" spans="1:75" x14ac:dyDescent="0.35">
      <c r="A599">
        <v>157679</v>
      </c>
      <c r="B599" t="str">
        <f t="shared" si="291"/>
        <v>A</v>
      </c>
      <c r="C599" t="str">
        <f t="shared" si="292"/>
        <v>80</v>
      </c>
      <c r="D599" t="str">
        <f t="shared" si="281"/>
        <v>11121002</v>
      </c>
      <c r="E599" t="str">
        <f t="shared" si="282"/>
        <v>121002</v>
      </c>
      <c r="F599" t="str">
        <f t="shared" si="283"/>
        <v>CINTHIA NORONHA</v>
      </c>
      <c r="G599" t="str">
        <f>"80995459000101"</f>
        <v>80995459000101</v>
      </c>
      <c r="H599" t="str">
        <f>"0"</f>
        <v>0</v>
      </c>
      <c r="I599" t="str">
        <f t="shared" si="293"/>
        <v>CONTA OPTICA</v>
      </c>
      <c r="J599" t="str">
        <f>"CELIA MARIA JEREMIAS"</f>
        <v>CELIA MARIA JEREMIAS</v>
      </c>
      <c r="K599" t="str">
        <f>"CELIA MARIA JEREMIAS (51)"</f>
        <v>CELIA MARIA JEREMIAS (51)</v>
      </c>
      <c r="L599" t="str">
        <f>""</f>
        <v/>
      </c>
      <c r="M599" t="str">
        <f>""</f>
        <v/>
      </c>
      <c r="N599" t="str">
        <f>""</f>
        <v/>
      </c>
      <c r="O599" t="str">
        <f>""</f>
        <v/>
      </c>
      <c r="P599" t="str">
        <f>"RUA NEREU RAMOS"</f>
        <v>RUA NEREU RAMOS</v>
      </c>
      <c r="Q599" t="str">
        <f>"67"</f>
        <v>67</v>
      </c>
      <c r="R599" t="str">
        <f>""</f>
        <v/>
      </c>
      <c r="S599" t="str">
        <f>"1268"</f>
        <v>1268</v>
      </c>
      <c r="T599" t="str">
        <f>"88770000"</f>
        <v>88770000</v>
      </c>
      <c r="U599" t="str">
        <f>"NAO INFORMADO"</f>
        <v>NAO INFORMADO</v>
      </c>
      <c r="V599" t="str">
        <f>"IMARUI"</f>
        <v>IMARUI</v>
      </c>
      <c r="W599" t="str">
        <f t="shared" si="299"/>
        <v>SC</v>
      </c>
      <c r="X599" t="str">
        <f t="shared" si="298"/>
        <v>48</v>
      </c>
      <c r="Y599" t="str">
        <f>"36430470"</f>
        <v>36430470</v>
      </c>
      <c r="Z599" t="str">
        <f>""</f>
        <v/>
      </c>
      <c r="AA599" t="str">
        <f>""</f>
        <v/>
      </c>
      <c r="AB599" t="str">
        <f>""</f>
        <v/>
      </c>
      <c r="AC599" t="str">
        <f>""</f>
        <v/>
      </c>
      <c r="AD599" t="str">
        <f>""</f>
        <v/>
      </c>
      <c r="AE599" t="str">
        <f>""</f>
        <v/>
      </c>
      <c r="AF599" t="str">
        <f>""</f>
        <v/>
      </c>
      <c r="AG599" t="str">
        <f>""</f>
        <v/>
      </c>
      <c r="AH599" t="str">
        <f>""</f>
        <v/>
      </c>
      <c r="AI599" t="str">
        <f>""</f>
        <v/>
      </c>
      <c r="AJ599" t="str">
        <f>""</f>
        <v/>
      </c>
      <c r="AK599" t="str">
        <f>""</f>
        <v/>
      </c>
      <c r="AL599" t="str">
        <f>""</f>
        <v/>
      </c>
      <c r="AM599" t="str">
        <f>""</f>
        <v/>
      </c>
      <c r="AN599" t="str">
        <f>""</f>
        <v/>
      </c>
      <c r="AO599" t="str">
        <f>""</f>
        <v/>
      </c>
      <c r="AP599" t="str">
        <f>""</f>
        <v/>
      </c>
      <c r="AQ599" t="str">
        <f>""</f>
        <v/>
      </c>
      <c r="AR599" t="str">
        <f>""</f>
        <v/>
      </c>
      <c r="AS599" t="str">
        <f>""</f>
        <v/>
      </c>
      <c r="AT599" t="str">
        <f>""</f>
        <v/>
      </c>
      <c r="AU599" t="str">
        <f>""</f>
        <v/>
      </c>
      <c r="AV599" t="str">
        <f>""</f>
        <v/>
      </c>
      <c r="AW599" t="str">
        <f>""</f>
        <v/>
      </c>
      <c r="AX599" t="str">
        <f>""</f>
        <v/>
      </c>
      <c r="AY599" t="str">
        <f>""</f>
        <v/>
      </c>
      <c r="AZ599" t="str">
        <f>""</f>
        <v/>
      </c>
      <c r="BA599" t="str">
        <f>""</f>
        <v/>
      </c>
      <c r="BB599" t="str">
        <f>"11/07/2023 02:19:56"</f>
        <v>11/07/2023 02:19:56</v>
      </c>
      <c r="BC599" t="str">
        <f>""</f>
        <v/>
      </c>
      <c r="BD599" t="str">
        <f>""</f>
        <v/>
      </c>
      <c r="BE599" t="str">
        <f>""</f>
        <v/>
      </c>
      <c r="BF599" t="str">
        <f t="shared" si="295"/>
        <v>A</v>
      </c>
      <c r="BG599" t="str">
        <f>""</f>
        <v/>
      </c>
      <c r="BH599" t="str">
        <f>""</f>
        <v/>
      </c>
      <c r="BI599" t="str">
        <f t="shared" si="276"/>
        <v>EVENTUAL</v>
      </c>
      <c r="BJ599" t="str">
        <f t="shared" si="296"/>
        <v>1</v>
      </c>
      <c r="BK599" t="str">
        <f t="shared" si="297"/>
        <v>Farmacia</v>
      </c>
      <c r="BL599" t="str">
        <f>""</f>
        <v/>
      </c>
      <c r="BM599" t="str">
        <f>""</f>
        <v/>
      </c>
      <c r="BN599" t="str">
        <f>""</f>
        <v/>
      </c>
      <c r="BO599" t="str">
        <f>""</f>
        <v/>
      </c>
      <c r="BP599" t="str">
        <f>""</f>
        <v/>
      </c>
      <c r="BQ599" t="str">
        <f>""</f>
        <v/>
      </c>
      <c r="BR599" t="str">
        <f>"11/07/2023"</f>
        <v>11/07/2023</v>
      </c>
      <c r="BS599" t="str">
        <f>""</f>
        <v/>
      </c>
      <c r="BT599" t="str">
        <f>""</f>
        <v/>
      </c>
      <c r="BU599" t="str">
        <f>""</f>
        <v/>
      </c>
      <c r="BV599" t="str">
        <f>""</f>
        <v/>
      </c>
      <c r="BW599" t="str">
        <f t="shared" si="300"/>
        <v>Não visitado</v>
      </c>
    </row>
    <row r="600" spans="1:75" x14ac:dyDescent="0.35">
      <c r="A600">
        <v>157673</v>
      </c>
      <c r="B600" t="str">
        <f t="shared" si="291"/>
        <v>A</v>
      </c>
      <c r="C600" t="str">
        <f t="shared" si="292"/>
        <v>80</v>
      </c>
      <c r="D600" t="str">
        <f t="shared" si="281"/>
        <v>11121002</v>
      </c>
      <c r="E600" t="str">
        <f t="shared" si="282"/>
        <v>121002</v>
      </c>
      <c r="F600" t="str">
        <f t="shared" si="283"/>
        <v>CINTHIA NORONHA</v>
      </c>
      <c r="G600" t="str">
        <f>"85350999000151"</f>
        <v>85350999000151</v>
      </c>
      <c r="H600" t="str">
        <f>"0"</f>
        <v>0</v>
      </c>
      <c r="I600" t="str">
        <f t="shared" si="293"/>
        <v>CONTA OPTICA</v>
      </c>
      <c r="J600" t="str">
        <f>"CELSO BERLATO ME"</f>
        <v>CELSO BERLATO ME</v>
      </c>
      <c r="K600" t="str">
        <f>"CELSO BERLATO ME (1019)"</f>
        <v>CELSO BERLATO ME (1019)</v>
      </c>
      <c r="L600" t="str">
        <f>""</f>
        <v/>
      </c>
      <c r="M600" t="str">
        <f>""</f>
        <v/>
      </c>
      <c r="N600" t="str">
        <f>"andre_berlato@hotmail.com"</f>
        <v>andre_berlato@hotmail.com</v>
      </c>
      <c r="O600" t="str">
        <f>""</f>
        <v/>
      </c>
      <c r="P600" t="str">
        <f>"GETULIO VARGAS"</f>
        <v>GETULIO VARGAS</v>
      </c>
      <c r="Q600" t="str">
        <f>"558"</f>
        <v>558</v>
      </c>
      <c r="R600" t="str">
        <f>""</f>
        <v/>
      </c>
      <c r="S600" t="str">
        <f>"1288"</f>
        <v>1288</v>
      </c>
      <c r="T600" t="str">
        <f>"89830000"</f>
        <v>89830000</v>
      </c>
      <c r="U600" t="str">
        <f>"NAO INFORMADO"</f>
        <v>NAO INFORMADO</v>
      </c>
      <c r="V600" t="str">
        <f>"PASSO DE TORRES"</f>
        <v>PASSO DE TORRES</v>
      </c>
      <c r="W600" t="str">
        <f t="shared" si="299"/>
        <v>SC</v>
      </c>
      <c r="X600" t="str">
        <f>"49"</f>
        <v>49</v>
      </c>
      <c r="Y600" t="str">
        <f>"34454097"</f>
        <v>34454097</v>
      </c>
      <c r="Z600" t="str">
        <f>""</f>
        <v/>
      </c>
      <c r="AA600" t="str">
        <f>""</f>
        <v/>
      </c>
      <c r="AB600" t="str">
        <f>""</f>
        <v/>
      </c>
      <c r="AC600" t="str">
        <f>""</f>
        <v/>
      </c>
      <c r="AD600" t="str">
        <f>""</f>
        <v/>
      </c>
      <c r="AE600" t="str">
        <f>""</f>
        <v/>
      </c>
      <c r="AF600" t="str">
        <f>""</f>
        <v/>
      </c>
      <c r="AG600" t="str">
        <f>""</f>
        <v/>
      </c>
      <c r="AH600" t="str">
        <f>""</f>
        <v/>
      </c>
      <c r="AI600" t="str">
        <f>""</f>
        <v/>
      </c>
      <c r="AJ600" t="str">
        <f>""</f>
        <v/>
      </c>
      <c r="AK600" t="str">
        <f>""</f>
        <v/>
      </c>
      <c r="AL600" t="str">
        <f>""</f>
        <v/>
      </c>
      <c r="AM600" t="str">
        <f>""</f>
        <v/>
      </c>
      <c r="AN600" t="str">
        <f>""</f>
        <v/>
      </c>
      <c r="AO600" t="str">
        <f>""</f>
        <v/>
      </c>
      <c r="AP600" t="str">
        <f>""</f>
        <v/>
      </c>
      <c r="AQ600" t="str">
        <f>""</f>
        <v/>
      </c>
      <c r="AR600" t="str">
        <f>""</f>
        <v/>
      </c>
      <c r="AS600" t="str">
        <f>""</f>
        <v/>
      </c>
      <c r="AT600" t="str">
        <f>""</f>
        <v/>
      </c>
      <c r="AU600" t="str">
        <f>""</f>
        <v/>
      </c>
      <c r="AV600" t="str">
        <f>""</f>
        <v/>
      </c>
      <c r="AW600" t="str">
        <f>""</f>
        <v/>
      </c>
      <c r="AX600" t="str">
        <f>""</f>
        <v/>
      </c>
      <c r="AY600" t="str">
        <f>""</f>
        <v/>
      </c>
      <c r="AZ600" t="str">
        <f>""</f>
        <v/>
      </c>
      <c r="BA600" t="str">
        <f>""</f>
        <v/>
      </c>
      <c r="BB600" t="str">
        <f>"11/07/2023 02:19:56"</f>
        <v>11/07/2023 02:19:56</v>
      </c>
      <c r="BC600" t="str">
        <f>""</f>
        <v/>
      </c>
      <c r="BD600" t="str">
        <f>""</f>
        <v/>
      </c>
      <c r="BE600" t="str">
        <f>""</f>
        <v/>
      </c>
      <c r="BF600" t="str">
        <f t="shared" si="295"/>
        <v>A</v>
      </c>
      <c r="BG600" t="str">
        <f>""</f>
        <v/>
      </c>
      <c r="BH600" t="str">
        <f>""</f>
        <v/>
      </c>
      <c r="BI600" t="str">
        <f t="shared" si="276"/>
        <v>EVENTUAL</v>
      </c>
      <c r="BJ600" t="str">
        <f t="shared" si="296"/>
        <v>1</v>
      </c>
      <c r="BK600" t="str">
        <f t="shared" si="297"/>
        <v>Farmacia</v>
      </c>
      <c r="BL600" t="str">
        <f>""</f>
        <v/>
      </c>
      <c r="BM600" t="str">
        <f>""</f>
        <v/>
      </c>
      <c r="BN600" t="str">
        <f>""</f>
        <v/>
      </c>
      <c r="BO600" t="str">
        <f>""</f>
        <v/>
      </c>
      <c r="BP600" t="str">
        <f>""</f>
        <v/>
      </c>
      <c r="BQ600" t="str">
        <f>""</f>
        <v/>
      </c>
      <c r="BR600" t="str">
        <f>"11/07/2023"</f>
        <v>11/07/2023</v>
      </c>
      <c r="BS600" t="str">
        <f>""</f>
        <v/>
      </c>
      <c r="BT600" t="str">
        <f>""</f>
        <v/>
      </c>
      <c r="BU600" t="str">
        <f>""</f>
        <v/>
      </c>
      <c r="BV600" t="str">
        <f>""</f>
        <v/>
      </c>
      <c r="BW600" t="str">
        <f t="shared" si="300"/>
        <v>Não visitado</v>
      </c>
    </row>
    <row r="601" spans="1:75" x14ac:dyDescent="0.35">
      <c r="A601">
        <v>79</v>
      </c>
      <c r="B601" t="str">
        <f t="shared" si="291"/>
        <v>A</v>
      </c>
      <c r="C601" t="str">
        <f t="shared" si="292"/>
        <v>80</v>
      </c>
      <c r="D601" t="str">
        <f t="shared" si="281"/>
        <v>11121002</v>
      </c>
      <c r="E601" t="str">
        <f t="shared" si="282"/>
        <v>121002</v>
      </c>
      <c r="F601" t="str">
        <f t="shared" si="283"/>
        <v>CINTHIA NORONHA</v>
      </c>
      <c r="G601" t="str">
        <f>"06958850000183"</f>
        <v>06958850000183</v>
      </c>
      <c r="H601" t="str">
        <f>""</f>
        <v/>
      </c>
      <c r="I601" t="str">
        <f t="shared" si="293"/>
        <v>CONTA OPTICA</v>
      </c>
      <c r="J601" t="str">
        <f>"CENTER VISION OTICA LTDA ME"</f>
        <v>CENTER VISION OTICA LTDA ME</v>
      </c>
      <c r="K601" t="str">
        <f>"CENTER VISION OTICA LTDA ME (606)"</f>
        <v>CENTER VISION OTICA LTDA ME (606)</v>
      </c>
      <c r="L601" t="str">
        <f>""</f>
        <v/>
      </c>
      <c r="M601" t="str">
        <f>""</f>
        <v/>
      </c>
      <c r="N601" t="str">
        <f>"center_vision@hotmail.com"</f>
        <v>center_vision@hotmail.com</v>
      </c>
      <c r="O601" t="str">
        <f>""</f>
        <v/>
      </c>
      <c r="P601" t="str">
        <f>"RUA SANTO ANTONIO"</f>
        <v>RUA SANTO ANTONIO</v>
      </c>
      <c r="Q601" t="str">
        <f>"58"</f>
        <v>58</v>
      </c>
      <c r="R601" t="str">
        <f>"SALA 02"</f>
        <v>SALA 02</v>
      </c>
      <c r="S601" t="str">
        <f>"1269"</f>
        <v>1269</v>
      </c>
      <c r="T601" t="str">
        <f>"88801440"</f>
        <v>88801440</v>
      </c>
      <c r="U601" t="str">
        <f>"CENTRO"</f>
        <v>CENTRO</v>
      </c>
      <c r="V601" t="str">
        <f>"CRICIÚMA"</f>
        <v>CRICIÚMA</v>
      </c>
      <c r="W601" t="str">
        <f t="shared" si="299"/>
        <v>SC</v>
      </c>
      <c r="X601" t="str">
        <f>"48"</f>
        <v>48</v>
      </c>
      <c r="Y601" t="str">
        <f>"30452020"</f>
        <v>30452020</v>
      </c>
      <c r="Z601" t="str">
        <f>""</f>
        <v/>
      </c>
      <c r="AA601" t="str">
        <f>""</f>
        <v/>
      </c>
      <c r="AB601" t="str">
        <f>""</f>
        <v/>
      </c>
      <c r="AC601" t="str">
        <f>""</f>
        <v/>
      </c>
      <c r="AD601" t="str">
        <f>""</f>
        <v/>
      </c>
      <c r="AE601" t="str">
        <f>""</f>
        <v/>
      </c>
      <c r="AF601" t="str">
        <f>""</f>
        <v/>
      </c>
      <c r="AG601" t="str">
        <f>""</f>
        <v/>
      </c>
      <c r="AH601" t="str">
        <f>""</f>
        <v/>
      </c>
      <c r="AI601" t="str">
        <f>""</f>
        <v/>
      </c>
      <c r="AJ601" t="str">
        <f>"0"</f>
        <v>0</v>
      </c>
      <c r="AK601" t="str">
        <f>"0"</f>
        <v>0</v>
      </c>
      <c r="AL601" t="str">
        <f>"0"</f>
        <v>0</v>
      </c>
      <c r="AM601" t="str">
        <f>""</f>
        <v/>
      </c>
      <c r="AN601" t="str">
        <f>""</f>
        <v/>
      </c>
      <c r="AO601" t="str">
        <f>""</f>
        <v/>
      </c>
      <c r="AP601" t="str">
        <f>""</f>
        <v/>
      </c>
      <c r="AQ601" t="str">
        <f>""</f>
        <v/>
      </c>
      <c r="AR601" t="str">
        <f>""</f>
        <v/>
      </c>
      <c r="AS601" t="str">
        <f>""</f>
        <v/>
      </c>
      <c r="AT601" t="str">
        <f>""</f>
        <v/>
      </c>
      <c r="AU601" t="str">
        <f>""</f>
        <v/>
      </c>
      <c r="AV601" t="str">
        <f>""</f>
        <v/>
      </c>
      <c r="AW601" t="str">
        <f>""</f>
        <v/>
      </c>
      <c r="AX601" t="str">
        <f>""</f>
        <v/>
      </c>
      <c r="AY601" t="str">
        <f>""</f>
        <v/>
      </c>
      <c r="AZ601" t="str">
        <f>""</f>
        <v/>
      </c>
      <c r="BA601" t="str">
        <f>""</f>
        <v/>
      </c>
      <c r="BB601" t="str">
        <f>"27/07/2018 09:25:32"</f>
        <v>27/07/2018 09:25:32</v>
      </c>
      <c r="BC601" t="str">
        <f>""</f>
        <v/>
      </c>
      <c r="BD601" t="str">
        <f>""</f>
        <v/>
      </c>
      <c r="BE601" t="str">
        <f>"79"</f>
        <v>79</v>
      </c>
      <c r="BF601" t="str">
        <f t="shared" si="295"/>
        <v>A</v>
      </c>
      <c r="BG601" t="str">
        <f>"0,00"</f>
        <v>0,00</v>
      </c>
      <c r="BH601" t="str">
        <f>"0,00"</f>
        <v>0,00</v>
      </c>
      <c r="BI601" t="str">
        <f t="shared" si="276"/>
        <v>EVENTUAL</v>
      </c>
      <c r="BJ601" t="str">
        <f t="shared" si="296"/>
        <v>1</v>
      </c>
      <c r="BK601" t="str">
        <f t="shared" si="297"/>
        <v>Farmacia</v>
      </c>
      <c r="BL601" t="str">
        <f>""</f>
        <v/>
      </c>
      <c r="BM601" t="str">
        <f>"NÃO É VARILUX ESPECIALISTA"</f>
        <v>NÃO É VARILUX ESPECIALISTA</v>
      </c>
      <c r="BN601" t="str">
        <f>"NA"</f>
        <v>NA</v>
      </c>
      <c r="BO601" t="str">
        <f>"FOCO KODAK 2"</f>
        <v>FOCO KODAK 2</v>
      </c>
      <c r="BP601" t="str">
        <f>""</f>
        <v/>
      </c>
      <c r="BQ601" t="str">
        <f>""</f>
        <v/>
      </c>
      <c r="BR601" t="str">
        <f>"27/07/2018"</f>
        <v>27/07/2018</v>
      </c>
      <c r="BS601" t="str">
        <f>""</f>
        <v/>
      </c>
      <c r="BT601" t="str">
        <f>""</f>
        <v/>
      </c>
      <c r="BU601" t="str">
        <f>""</f>
        <v/>
      </c>
      <c r="BV601" t="str">
        <f>"4"</f>
        <v>4</v>
      </c>
      <c r="BW601" t="str">
        <f t="shared" si="300"/>
        <v>Não visitado</v>
      </c>
    </row>
    <row r="602" spans="1:75" x14ac:dyDescent="0.35">
      <c r="A602">
        <v>158703</v>
      </c>
      <c r="B602" t="str">
        <f t="shared" si="291"/>
        <v>A</v>
      </c>
      <c r="C602" t="str">
        <f t="shared" si="292"/>
        <v>80</v>
      </c>
      <c r="D602" t="str">
        <f t="shared" si="281"/>
        <v>11121002</v>
      </c>
      <c r="E602" t="str">
        <f t="shared" si="282"/>
        <v>121002</v>
      </c>
      <c r="F602" t="str">
        <f t="shared" si="283"/>
        <v>CINTHIA NORONHA</v>
      </c>
      <c r="G602" t="str">
        <f>"51168956000138"</f>
        <v>51168956000138</v>
      </c>
      <c r="H602" t="str">
        <f>""</f>
        <v/>
      </c>
      <c r="I602" t="str">
        <f t="shared" si="293"/>
        <v>CONTA OPTICA</v>
      </c>
      <c r="J602" t="str">
        <f>"CENTRO OPTICO ACACIA LTDA"</f>
        <v>CENTRO OPTICO ACACIA LTDA</v>
      </c>
      <c r="K602" t="str">
        <f>"OPTICA ACACIA (4737)"</f>
        <v>OPTICA ACACIA (4737)</v>
      </c>
      <c r="L602" t="str">
        <f>""</f>
        <v/>
      </c>
      <c r="M602" t="str">
        <f>""</f>
        <v/>
      </c>
      <c r="N602" t="str">
        <f>""</f>
        <v/>
      </c>
      <c r="O602" t="str">
        <f>""</f>
        <v/>
      </c>
      <c r="P602" t="str">
        <f>"RUA TENENTE SILVEIRA"</f>
        <v>RUA TENENTE SILVEIRA</v>
      </c>
      <c r="Q602" t="str">
        <f>"286"</f>
        <v>286</v>
      </c>
      <c r="R602" t="str">
        <f>"SALA 05"</f>
        <v>SALA 05</v>
      </c>
      <c r="S602" t="str">
        <f>"1254"</f>
        <v>1254</v>
      </c>
      <c r="T602" t="str">
        <f>"88010300"</f>
        <v>88010300</v>
      </c>
      <c r="U602" t="str">
        <f>"CENTRO"</f>
        <v>CENTRO</v>
      </c>
      <c r="V602" t="str">
        <f>"FLORIANOPOLIS"</f>
        <v>FLORIANOPOLIS</v>
      </c>
      <c r="W602" t="str">
        <f t="shared" si="299"/>
        <v>SC</v>
      </c>
      <c r="X602" t="str">
        <f>"48"</f>
        <v>48</v>
      </c>
      <c r="Y602" t="str">
        <f>"30840370"</f>
        <v>30840370</v>
      </c>
      <c r="Z602" t="str">
        <f>""</f>
        <v/>
      </c>
      <c r="AA602" t="str">
        <f>""</f>
        <v/>
      </c>
      <c r="AB602" t="str">
        <f>""</f>
        <v/>
      </c>
      <c r="AC602" t="str">
        <f>""</f>
        <v/>
      </c>
      <c r="AD602" t="str">
        <f>""</f>
        <v/>
      </c>
      <c r="AE602" t="str">
        <f>""</f>
        <v/>
      </c>
      <c r="AF602" t="str">
        <f>""</f>
        <v/>
      </c>
      <c r="AG602" t="str">
        <f>""</f>
        <v/>
      </c>
      <c r="AH602" t="str">
        <f>""</f>
        <v/>
      </c>
      <c r="AI602" t="str">
        <f>""</f>
        <v/>
      </c>
      <c r="AJ602" t="str">
        <f>""</f>
        <v/>
      </c>
      <c r="AK602" t="str">
        <f>""</f>
        <v/>
      </c>
      <c r="AL602" t="str">
        <f>""</f>
        <v/>
      </c>
      <c r="AM602" t="str">
        <f>""</f>
        <v/>
      </c>
      <c r="AN602" t="str">
        <f>""</f>
        <v/>
      </c>
      <c r="AO602" t="str">
        <f>""</f>
        <v/>
      </c>
      <c r="AP602" t="str">
        <f>""</f>
        <v/>
      </c>
      <c r="AQ602" t="str">
        <f>""</f>
        <v/>
      </c>
      <c r="AR602" t="str">
        <f>""</f>
        <v/>
      </c>
      <c r="AS602" t="str">
        <f>""</f>
        <v/>
      </c>
      <c r="AT602" t="str">
        <f>""</f>
        <v/>
      </c>
      <c r="AU602" t="str">
        <f>""</f>
        <v/>
      </c>
      <c r="AV602" t="str">
        <f>""</f>
        <v/>
      </c>
      <c r="AW602" t="str">
        <f>""</f>
        <v/>
      </c>
      <c r="AX602" t="str">
        <f>""</f>
        <v/>
      </c>
      <c r="AY602" t="str">
        <f>""</f>
        <v/>
      </c>
      <c r="AZ602" t="str">
        <f>""</f>
        <v/>
      </c>
      <c r="BA602" t="str">
        <f>""</f>
        <v/>
      </c>
      <c r="BB602" t="str">
        <f>"17/08/2023 16:48:06"</f>
        <v>17/08/2023 16:48:06</v>
      </c>
      <c r="BC602" t="str">
        <f>""</f>
        <v/>
      </c>
      <c r="BD602" t="str">
        <f>""</f>
        <v/>
      </c>
      <c r="BE602" t="str">
        <f>""</f>
        <v/>
      </c>
      <c r="BF602" t="str">
        <f t="shared" si="295"/>
        <v>A</v>
      </c>
      <c r="BG602" t="str">
        <f>""</f>
        <v/>
      </c>
      <c r="BH602" t="str">
        <f>""</f>
        <v/>
      </c>
      <c r="BI602" t="str">
        <f t="shared" si="276"/>
        <v>EVENTUAL</v>
      </c>
      <c r="BJ602" t="str">
        <f t="shared" si="296"/>
        <v>1</v>
      </c>
      <c r="BK602" t="str">
        <f t="shared" si="297"/>
        <v>Farmacia</v>
      </c>
      <c r="BL602" t="str">
        <f>""</f>
        <v/>
      </c>
      <c r="BM602" t="str">
        <f>""</f>
        <v/>
      </c>
      <c r="BN602" t="str">
        <f>""</f>
        <v/>
      </c>
      <c r="BO602" t="str">
        <f>""</f>
        <v/>
      </c>
      <c r="BP602" t="str">
        <f>""</f>
        <v/>
      </c>
      <c r="BQ602" t="str">
        <f>""</f>
        <v/>
      </c>
      <c r="BR602" t="str">
        <f>"17/08/2023"</f>
        <v>17/08/2023</v>
      </c>
      <c r="BS602" t="str">
        <f>""</f>
        <v/>
      </c>
      <c r="BT602" t="str">
        <f>""</f>
        <v/>
      </c>
      <c r="BU602" t="str">
        <f>""</f>
        <v/>
      </c>
      <c r="BV602" t="str">
        <f>""</f>
        <v/>
      </c>
      <c r="BW602" t="str">
        <f t="shared" si="300"/>
        <v>Não visitado</v>
      </c>
    </row>
    <row r="603" spans="1:75" x14ac:dyDescent="0.35">
      <c r="A603">
        <v>156884</v>
      </c>
      <c r="B603" t="str">
        <f t="shared" si="291"/>
        <v>A</v>
      </c>
      <c r="C603" t="str">
        <f t="shared" si="292"/>
        <v>80</v>
      </c>
      <c r="D603" t="str">
        <f t="shared" si="281"/>
        <v>11121002</v>
      </c>
      <c r="E603" t="str">
        <f t="shared" si="282"/>
        <v>121002</v>
      </c>
      <c r="F603" t="str">
        <f t="shared" si="283"/>
        <v>CINTHIA NORONHA</v>
      </c>
      <c r="G603" t="str">
        <f>"21052355000102"</f>
        <v>21052355000102</v>
      </c>
      <c r="H603" t="str">
        <f>"0"</f>
        <v>0</v>
      </c>
      <c r="I603" t="str">
        <f t="shared" si="293"/>
        <v>CONTA OPTICA</v>
      </c>
      <c r="J603" t="str">
        <f>"CENTRO OPTICO MONDADORI LTDA"</f>
        <v>CENTRO OPTICO MONDADORI LTDA</v>
      </c>
      <c r="K603" t="str">
        <f>"CENTRO OPTICO MONDADORI (2258)"</f>
        <v>CENTRO OPTICO MONDADORI (2258)</v>
      </c>
      <c r="L603" t="str">
        <f>""</f>
        <v/>
      </c>
      <c r="M603" t="str">
        <f>""</f>
        <v/>
      </c>
      <c r="N603" t="str">
        <f>"DUDAPEREIRA1507@GMAIL.COM"</f>
        <v>DUDAPEREIRA1507@GMAIL.COM</v>
      </c>
      <c r="O603" t="str">
        <f>""</f>
        <v/>
      </c>
      <c r="P603" t="str">
        <f>"LUIS DE CAMOES"</f>
        <v>LUIS DE CAMOES</v>
      </c>
      <c r="Q603" t="str">
        <f>"173"</f>
        <v>173</v>
      </c>
      <c r="R603" t="str">
        <f>"LOJA"</f>
        <v>LOJA</v>
      </c>
      <c r="S603" t="str">
        <f>"1266"</f>
        <v>1266</v>
      </c>
      <c r="T603" t="str">
        <f>"88523000"</f>
        <v>88523000</v>
      </c>
      <c r="U603" t="str">
        <f>"CORAL"</f>
        <v>CORAL</v>
      </c>
      <c r="V603" t="str">
        <f>"LAGES"</f>
        <v>LAGES</v>
      </c>
      <c r="W603" t="str">
        <f t="shared" si="299"/>
        <v>SC</v>
      </c>
      <c r="X603" t="str">
        <f>"49"</f>
        <v>49</v>
      </c>
      <c r="Y603" t="str">
        <f>"30150549"</f>
        <v>30150549</v>
      </c>
      <c r="Z603" t="str">
        <f>""</f>
        <v/>
      </c>
      <c r="AA603" t="str">
        <f>""</f>
        <v/>
      </c>
      <c r="AB603" t="str">
        <f>""</f>
        <v/>
      </c>
      <c r="AC603" t="str">
        <f>""</f>
        <v/>
      </c>
      <c r="AD603" t="str">
        <f>""</f>
        <v/>
      </c>
      <c r="AE603" t="str">
        <f>""</f>
        <v/>
      </c>
      <c r="AF603" t="str">
        <f>""</f>
        <v/>
      </c>
      <c r="AG603" t="str">
        <f>""</f>
        <v/>
      </c>
      <c r="AH603" t="str">
        <f>""</f>
        <v/>
      </c>
      <c r="AI603" t="str">
        <f>""</f>
        <v/>
      </c>
      <c r="AJ603" t="str">
        <f>""</f>
        <v/>
      </c>
      <c r="AK603" t="str">
        <f>""</f>
        <v/>
      </c>
      <c r="AL603" t="str">
        <f>""</f>
        <v/>
      </c>
      <c r="AM603" t="str">
        <f>""</f>
        <v/>
      </c>
      <c r="AN603" t="str">
        <f>""</f>
        <v/>
      </c>
      <c r="AO603" t="str">
        <f>""</f>
        <v/>
      </c>
      <c r="AP603" t="str">
        <f>""</f>
        <v/>
      </c>
      <c r="AQ603" t="str">
        <f>""</f>
        <v/>
      </c>
      <c r="AR603" t="str">
        <f>""</f>
        <v/>
      </c>
      <c r="AS603" t="str">
        <f>""</f>
        <v/>
      </c>
      <c r="AT603" t="str">
        <f>""</f>
        <v/>
      </c>
      <c r="AU603" t="str">
        <f>""</f>
        <v/>
      </c>
      <c r="AV603" t="str">
        <f>""</f>
        <v/>
      </c>
      <c r="AW603" t="str">
        <f>""</f>
        <v/>
      </c>
      <c r="AX603" t="str">
        <f>""</f>
        <v/>
      </c>
      <c r="AY603" t="str">
        <f>""</f>
        <v/>
      </c>
      <c r="AZ603" t="str">
        <f>""</f>
        <v/>
      </c>
      <c r="BA603" t="str">
        <f>""</f>
        <v/>
      </c>
      <c r="BB603" t="str">
        <f>"06/07/2023 12:07:48"</f>
        <v>06/07/2023 12:07:48</v>
      </c>
      <c r="BC603" t="str">
        <f>""</f>
        <v/>
      </c>
      <c r="BD603" t="str">
        <f>""</f>
        <v/>
      </c>
      <c r="BE603" t="str">
        <f>""</f>
        <v/>
      </c>
      <c r="BF603" t="str">
        <f t="shared" si="295"/>
        <v>A</v>
      </c>
      <c r="BG603" t="str">
        <f>""</f>
        <v/>
      </c>
      <c r="BH603" t="str">
        <f>""</f>
        <v/>
      </c>
      <c r="BI603" t="str">
        <f t="shared" si="276"/>
        <v>EVENTUAL</v>
      </c>
      <c r="BJ603" t="str">
        <f t="shared" si="296"/>
        <v>1</v>
      </c>
      <c r="BK603" t="str">
        <f t="shared" si="297"/>
        <v>Farmacia</v>
      </c>
      <c r="BL603" t="str">
        <f>""</f>
        <v/>
      </c>
      <c r="BM603" t="str">
        <f>""</f>
        <v/>
      </c>
      <c r="BN603" t="str">
        <f>""</f>
        <v/>
      </c>
      <c r="BO603" t="str">
        <f>""</f>
        <v/>
      </c>
      <c r="BP603" t="str">
        <f>""</f>
        <v/>
      </c>
      <c r="BQ603" t="str">
        <f>""</f>
        <v/>
      </c>
      <c r="BR603" t="str">
        <f>"06/07/2023"</f>
        <v>06/07/2023</v>
      </c>
      <c r="BS603" t="str">
        <f>""</f>
        <v/>
      </c>
      <c r="BT603" t="str">
        <f>""</f>
        <v/>
      </c>
      <c r="BU603" t="str">
        <f>""</f>
        <v/>
      </c>
      <c r="BV603" t="str">
        <f>""</f>
        <v/>
      </c>
      <c r="BW603" t="str">
        <f t="shared" si="300"/>
        <v>Não visitado</v>
      </c>
    </row>
    <row r="604" spans="1:75" x14ac:dyDescent="0.35">
      <c r="A604">
        <v>134327</v>
      </c>
      <c r="B604" t="str">
        <f t="shared" si="291"/>
        <v>A</v>
      </c>
      <c r="C604" t="str">
        <f t="shared" si="292"/>
        <v>80</v>
      </c>
      <c r="D604" t="str">
        <f t="shared" si="281"/>
        <v>11121002</v>
      </c>
      <c r="E604" t="str">
        <f t="shared" si="282"/>
        <v>121002</v>
      </c>
      <c r="F604" t="str">
        <f t="shared" si="283"/>
        <v>CINTHIA NORONHA</v>
      </c>
      <c r="G604" t="str">
        <f>"31525170000113"</f>
        <v>31525170000113</v>
      </c>
      <c r="H604" t="str">
        <f>""</f>
        <v/>
      </c>
      <c r="I604" t="str">
        <f t="shared" si="293"/>
        <v>CONTA OPTICA</v>
      </c>
      <c r="J604" t="str">
        <f>"CENTRO OTICA RIO BRANCO EIRELI"</f>
        <v>CENTRO OTICA RIO BRANCO EIRELI</v>
      </c>
      <c r="K604" t="str">
        <f>"OTICA RIO BRANCO (4035)"</f>
        <v>OTICA RIO BRANCO (4035)</v>
      </c>
      <c r="L604" t="str">
        <f>""</f>
        <v/>
      </c>
      <c r="M604" t="str">
        <f>""</f>
        <v/>
      </c>
      <c r="N604" t="str">
        <f>"financeiro@zvcblumenau.com.br"</f>
        <v>financeiro@zvcblumenau.com.br</v>
      </c>
      <c r="O604" t="str">
        <f>""</f>
        <v/>
      </c>
      <c r="P604" t="str">
        <f>"AVENIDA RIO BRANCO"</f>
        <v>AVENIDA RIO BRANCO</v>
      </c>
      <c r="Q604" t="str">
        <f>"817"</f>
        <v>817</v>
      </c>
      <c r="R604" t="str">
        <f>"SL 706"</f>
        <v>SL 706</v>
      </c>
      <c r="S604" t="str">
        <f>"1271"</f>
        <v>1271</v>
      </c>
      <c r="T604" t="str">
        <f>"89010207"</f>
        <v>89010207</v>
      </c>
      <c r="U604" t="str">
        <f>"CENTRO"</f>
        <v>CENTRO</v>
      </c>
      <c r="V604" t="str">
        <f>"BLUMENAU"</f>
        <v>BLUMENAU</v>
      </c>
      <c r="W604" t="str">
        <f t="shared" si="299"/>
        <v>SC</v>
      </c>
      <c r="X604" t="str">
        <f t="shared" ref="X604:X620" si="301">"48"</f>
        <v>48</v>
      </c>
      <c r="Y604" t="str">
        <f>"30289724"</f>
        <v>30289724</v>
      </c>
      <c r="Z604" t="str">
        <f>""</f>
        <v/>
      </c>
      <c r="AA604" t="str">
        <f>""</f>
        <v/>
      </c>
      <c r="AB604" t="str">
        <f>""</f>
        <v/>
      </c>
      <c r="AC604" t="str">
        <f>""</f>
        <v/>
      </c>
      <c r="AD604" t="str">
        <f>""</f>
        <v/>
      </c>
      <c r="AE604" t="str">
        <f>""</f>
        <v/>
      </c>
      <c r="AF604" t="str">
        <f>""</f>
        <v/>
      </c>
      <c r="AG604" t="str">
        <f t="shared" ref="AG604:AG609" si="302">"S"</f>
        <v>S</v>
      </c>
      <c r="AH604" t="str">
        <f>""</f>
        <v/>
      </c>
      <c r="AI604" t="str">
        <f>""</f>
        <v/>
      </c>
      <c r="AJ604" t="str">
        <f t="shared" ref="AJ604:AL605" si="303">"0"</f>
        <v>0</v>
      </c>
      <c r="AK604" t="str">
        <f t="shared" si="303"/>
        <v>0</v>
      </c>
      <c r="AL604" t="str">
        <f t="shared" si="303"/>
        <v>0</v>
      </c>
      <c r="AM604" t="str">
        <f>""</f>
        <v/>
      </c>
      <c r="AN604" t="str">
        <f>""</f>
        <v/>
      </c>
      <c r="AO604" t="str">
        <f>""</f>
        <v/>
      </c>
      <c r="AP604" t="str">
        <f>""</f>
        <v/>
      </c>
      <c r="AQ604" t="str">
        <f t="shared" ref="AQ604:AU609" si="304">"N"</f>
        <v>N</v>
      </c>
      <c r="AR604" t="str">
        <f t="shared" si="304"/>
        <v>N</v>
      </c>
      <c r="AS604" t="str">
        <f t="shared" si="304"/>
        <v>N</v>
      </c>
      <c r="AT604" t="str">
        <f t="shared" si="304"/>
        <v>N</v>
      </c>
      <c r="AU604" t="str">
        <f t="shared" si="304"/>
        <v>N</v>
      </c>
      <c r="AV604" t="str">
        <f>""</f>
        <v/>
      </c>
      <c r="AW604" t="str">
        <f>""</f>
        <v/>
      </c>
      <c r="AX604" t="str">
        <f>""</f>
        <v/>
      </c>
      <c r="AY604" t="str">
        <f>""</f>
        <v/>
      </c>
      <c r="AZ604" t="str">
        <f>""</f>
        <v/>
      </c>
      <c r="BA604" t="str">
        <f>""</f>
        <v/>
      </c>
      <c r="BB604" t="str">
        <f>""</f>
        <v/>
      </c>
      <c r="BC604" t="str">
        <f>"17/01/2023 17:13:36"</f>
        <v>17/01/2023 17:13:36</v>
      </c>
      <c r="BD604" t="str">
        <f>""</f>
        <v/>
      </c>
      <c r="BE604" t="str">
        <f>""</f>
        <v/>
      </c>
      <c r="BF604" t="str">
        <f t="shared" si="295"/>
        <v>A</v>
      </c>
      <c r="BG604" t="str">
        <f>"0,00"</f>
        <v>0,00</v>
      </c>
      <c r="BH604" t="str">
        <f>"0,00"</f>
        <v>0,00</v>
      </c>
      <c r="BI604" t="str">
        <f t="shared" si="276"/>
        <v>EVENTUAL</v>
      </c>
      <c r="BJ604" t="str">
        <f t="shared" si="296"/>
        <v>1</v>
      </c>
      <c r="BK604" t="str">
        <f t="shared" si="297"/>
        <v>Farmacia</v>
      </c>
      <c r="BL604" t="str">
        <f>""</f>
        <v/>
      </c>
      <c r="BM604" t="str">
        <f t="shared" ref="BM604:BM609" si="305">"NÃO É VARILUX ESPECIALISTA"</f>
        <v>NÃO É VARILUX ESPECIALISTA</v>
      </c>
      <c r="BN604" t="str">
        <f t="shared" ref="BN604:BN609" si="306">"NA"</f>
        <v>NA</v>
      </c>
      <c r="BO604" t="str">
        <f>"FOCO VARILUX DIGITAL"</f>
        <v>FOCO VARILUX DIGITAL</v>
      </c>
      <c r="BP604" t="str">
        <f>""</f>
        <v/>
      </c>
      <c r="BQ604" t="str">
        <f>""</f>
        <v/>
      </c>
      <c r="BR604" t="str">
        <f>""</f>
        <v/>
      </c>
      <c r="BS604" t="str">
        <f>"17/01/2023"</f>
        <v>17/01/2023</v>
      </c>
      <c r="BT604" t="str">
        <f>""</f>
        <v/>
      </c>
      <c r="BU604" t="str">
        <f>""</f>
        <v/>
      </c>
      <c r="BV604" t="str">
        <f>"1"</f>
        <v>1</v>
      </c>
      <c r="BW604" t="str">
        <f>"757"</f>
        <v>757</v>
      </c>
    </row>
    <row r="605" spans="1:75" x14ac:dyDescent="0.35">
      <c r="A605">
        <v>134274</v>
      </c>
      <c r="B605" t="str">
        <f t="shared" si="291"/>
        <v>A</v>
      </c>
      <c r="C605" t="str">
        <f t="shared" si="292"/>
        <v>80</v>
      </c>
      <c r="D605" t="str">
        <f t="shared" si="281"/>
        <v>11121002</v>
      </c>
      <c r="E605" t="str">
        <f t="shared" si="282"/>
        <v>121002</v>
      </c>
      <c r="F605" t="str">
        <f t="shared" si="283"/>
        <v>CINTHIA NORONHA</v>
      </c>
      <c r="G605" t="str">
        <f>"75335984000160"</f>
        <v>75335984000160</v>
      </c>
      <c r="H605" t="str">
        <f>""</f>
        <v/>
      </c>
      <c r="I605" t="str">
        <f t="shared" si="293"/>
        <v>CONTA OPTICA</v>
      </c>
      <c r="J605" t="str">
        <f>"CENTRO OTICO FLORIANOPOLIS LTDA"</f>
        <v>CENTRO OTICO FLORIANOPOLIS LTDA</v>
      </c>
      <c r="K605" t="str">
        <f>"CENTRO OTICO FLORIANOPOLIS LTDA (57)"</f>
        <v>CENTRO OTICO FLORIANOPOLIS LTDA (57)</v>
      </c>
      <c r="L605" t="str">
        <f>""</f>
        <v/>
      </c>
      <c r="M605" t="str">
        <f>""</f>
        <v/>
      </c>
      <c r="N605" t="str">
        <f>"centrooticofpolis@gmail.com"</f>
        <v>centrooticofpolis@gmail.com</v>
      </c>
      <c r="O605" t="str">
        <f>""</f>
        <v/>
      </c>
      <c r="P605" t="str">
        <f>"RUA DOUTOR ANTONIO DIB MUSSI"</f>
        <v>RUA DOUTOR ANTONIO DIB MUSSI</v>
      </c>
      <c r="Q605" t="str">
        <f>"84"</f>
        <v>84</v>
      </c>
      <c r="R605" t="str">
        <f>""</f>
        <v/>
      </c>
      <c r="S605" t="str">
        <f>"1255"</f>
        <v>1255</v>
      </c>
      <c r="T605" t="str">
        <f>"88015110"</f>
        <v>88015110</v>
      </c>
      <c r="U605" t="str">
        <f>"CENTRO"</f>
        <v>CENTRO</v>
      </c>
      <c r="V605" t="str">
        <f>"FLORIANÓPOLIS"</f>
        <v>FLORIANÓPOLIS</v>
      </c>
      <c r="W605" t="str">
        <f t="shared" si="299"/>
        <v>SC</v>
      </c>
      <c r="X605" t="str">
        <f t="shared" si="301"/>
        <v>48</v>
      </c>
      <c r="Y605" t="str">
        <f>"32234611"</f>
        <v>32234611</v>
      </c>
      <c r="Z605" t="str">
        <f>""</f>
        <v/>
      </c>
      <c r="AA605" t="str">
        <f>""</f>
        <v/>
      </c>
      <c r="AB605" t="str">
        <f>""</f>
        <v/>
      </c>
      <c r="AC605" t="str">
        <f>""</f>
        <v/>
      </c>
      <c r="AD605" t="str">
        <f>""</f>
        <v/>
      </c>
      <c r="AE605" t="str">
        <f>""</f>
        <v/>
      </c>
      <c r="AF605" t="str">
        <f>""</f>
        <v/>
      </c>
      <c r="AG605" t="str">
        <f t="shared" si="302"/>
        <v>S</v>
      </c>
      <c r="AH605" t="str">
        <f>""</f>
        <v/>
      </c>
      <c r="AI605" t="str">
        <f>""</f>
        <v/>
      </c>
      <c r="AJ605" t="str">
        <f t="shared" si="303"/>
        <v>0</v>
      </c>
      <c r="AK605" t="str">
        <f t="shared" si="303"/>
        <v>0</v>
      </c>
      <c r="AL605" t="str">
        <f t="shared" si="303"/>
        <v>0</v>
      </c>
      <c r="AM605" t="str">
        <f>""</f>
        <v/>
      </c>
      <c r="AN605" t="str">
        <f>""</f>
        <v/>
      </c>
      <c r="AO605" t="str">
        <f>""</f>
        <v/>
      </c>
      <c r="AP605" t="str">
        <f>""</f>
        <v/>
      </c>
      <c r="AQ605" t="str">
        <f t="shared" si="304"/>
        <v>N</v>
      </c>
      <c r="AR605" t="str">
        <f t="shared" si="304"/>
        <v>N</v>
      </c>
      <c r="AS605" t="str">
        <f t="shared" si="304"/>
        <v>N</v>
      </c>
      <c r="AT605" t="str">
        <f t="shared" si="304"/>
        <v>N</v>
      </c>
      <c r="AU605" t="str">
        <f t="shared" si="304"/>
        <v>N</v>
      </c>
      <c r="AV605" t="str">
        <f>""</f>
        <v/>
      </c>
      <c r="AW605" t="str">
        <f>""</f>
        <v/>
      </c>
      <c r="AX605" t="str">
        <f>""</f>
        <v/>
      </c>
      <c r="AY605" t="str">
        <f>""</f>
        <v/>
      </c>
      <c r="AZ605" t="str">
        <f>""</f>
        <v/>
      </c>
      <c r="BA605" t="str">
        <f>""</f>
        <v/>
      </c>
      <c r="BB605" t="str">
        <f>""</f>
        <v/>
      </c>
      <c r="BC605" t="str">
        <f>"06/05/2022 15:04:22"</f>
        <v>06/05/2022 15:04:22</v>
      </c>
      <c r="BD605" t="str">
        <f>""</f>
        <v/>
      </c>
      <c r="BE605" t="str">
        <f>""</f>
        <v/>
      </c>
      <c r="BF605" t="str">
        <f t="shared" si="295"/>
        <v>A</v>
      </c>
      <c r="BG605" t="str">
        <f>"0,00"</f>
        <v>0,00</v>
      </c>
      <c r="BH605" t="str">
        <f>"0,00"</f>
        <v>0,00</v>
      </c>
      <c r="BI605" t="str">
        <f t="shared" si="276"/>
        <v>EVENTUAL</v>
      </c>
      <c r="BJ605" t="str">
        <f t="shared" si="296"/>
        <v>1</v>
      </c>
      <c r="BK605" t="str">
        <f t="shared" si="297"/>
        <v>Farmacia</v>
      </c>
      <c r="BL605" t="str">
        <f>""</f>
        <v/>
      </c>
      <c r="BM605" t="str">
        <f t="shared" si="305"/>
        <v>NÃO É VARILUX ESPECIALISTA</v>
      </c>
      <c r="BN605" t="str">
        <f t="shared" si="306"/>
        <v>NA</v>
      </c>
      <c r="BO605" t="str">
        <f>"FOCO KODAK 2"</f>
        <v>FOCO KODAK 2</v>
      </c>
      <c r="BP605" t="str">
        <f>""</f>
        <v/>
      </c>
      <c r="BQ605" t="str">
        <f>""</f>
        <v/>
      </c>
      <c r="BR605" t="str">
        <f>""</f>
        <v/>
      </c>
      <c r="BS605" t="str">
        <f>"06/05/2022"</f>
        <v>06/05/2022</v>
      </c>
      <c r="BT605" t="str">
        <f>""</f>
        <v/>
      </c>
      <c r="BU605" t="str">
        <f>""</f>
        <v/>
      </c>
      <c r="BV605" t="str">
        <f>"5"</f>
        <v>5</v>
      </c>
      <c r="BW605" t="str">
        <f>"25"</f>
        <v>25</v>
      </c>
    </row>
    <row r="606" spans="1:75" x14ac:dyDescent="0.35">
      <c r="A606">
        <v>134545</v>
      </c>
      <c r="B606" t="str">
        <f t="shared" si="291"/>
        <v>A</v>
      </c>
      <c r="C606" t="str">
        <f t="shared" si="292"/>
        <v>80</v>
      </c>
      <c r="D606" t="str">
        <f t="shared" si="281"/>
        <v>11121002</v>
      </c>
      <c r="E606" t="str">
        <f t="shared" si="282"/>
        <v>121002</v>
      </c>
      <c r="F606" t="str">
        <f t="shared" si="283"/>
        <v>CINTHIA NORONHA</v>
      </c>
      <c r="G606" t="str">
        <f>"26584700000245"</f>
        <v>26584700000245</v>
      </c>
      <c r="H606" t="str">
        <f>""</f>
        <v/>
      </c>
      <c r="I606" t="str">
        <f t="shared" si="293"/>
        <v>CONTA OPTICA</v>
      </c>
      <c r="J606" t="str">
        <f>"CEU AZUL ACESSORIOS DA MODA LTDA"</f>
        <v>CEU AZUL ACESSORIOS DA MODA LTDA</v>
      </c>
      <c r="K606" t="str">
        <f>"DIMPOL EYEWEAR (4201)"</f>
        <v>DIMPOL EYEWEAR (4201)</v>
      </c>
      <c r="L606" t="str">
        <f>""</f>
        <v/>
      </c>
      <c r="M606" t="str">
        <f>""</f>
        <v/>
      </c>
      <c r="N606" t="str">
        <f>"rsdallacosta@gmail.com"</f>
        <v>rsdallacosta@gmail.com</v>
      </c>
      <c r="O606" t="str">
        <f>""</f>
        <v/>
      </c>
      <c r="P606" t="str">
        <f>"RUA GERONCIO THIVES"</f>
        <v>RUA GERONCIO THIVES</v>
      </c>
      <c r="Q606" t="str">
        <f>"1079"</f>
        <v>1079</v>
      </c>
      <c r="R606" t="str">
        <f>"LOJA 243"</f>
        <v>LOJA 243</v>
      </c>
      <c r="S606" t="str">
        <f>"1259"</f>
        <v>1259</v>
      </c>
      <c r="T606" t="str">
        <f>"88117900"</f>
        <v>88117900</v>
      </c>
      <c r="U606" t="str">
        <f>"BARREIROS"</f>
        <v>BARREIROS</v>
      </c>
      <c r="V606" t="str">
        <f>"SÃO JOSÉ"</f>
        <v>SÃO JOSÉ</v>
      </c>
      <c r="W606" t="str">
        <f t="shared" si="299"/>
        <v>SC</v>
      </c>
      <c r="X606" t="str">
        <f t="shared" si="301"/>
        <v>48</v>
      </c>
      <c r="Y606" t="str">
        <f>"920009316"</f>
        <v>920009316</v>
      </c>
      <c r="Z606" t="str">
        <f>""</f>
        <v/>
      </c>
      <c r="AA606" t="str">
        <f>""</f>
        <v/>
      </c>
      <c r="AB606" t="str">
        <f>""</f>
        <v/>
      </c>
      <c r="AC606" t="str">
        <f>""</f>
        <v/>
      </c>
      <c r="AD606" t="str">
        <f>""</f>
        <v/>
      </c>
      <c r="AE606" t="str">
        <f>""</f>
        <v/>
      </c>
      <c r="AF606" t="str">
        <f>""</f>
        <v/>
      </c>
      <c r="AG606" t="str">
        <f t="shared" si="302"/>
        <v>S</v>
      </c>
      <c r="AH606" t="str">
        <f>""</f>
        <v/>
      </c>
      <c r="AI606" t="str">
        <f>""</f>
        <v/>
      </c>
      <c r="AJ606" t="str">
        <f>""</f>
        <v/>
      </c>
      <c r="AK606" t="str">
        <f>""</f>
        <v/>
      </c>
      <c r="AL606" t="str">
        <f>""</f>
        <v/>
      </c>
      <c r="AM606" t="str">
        <f>""</f>
        <v/>
      </c>
      <c r="AN606" t="str">
        <f>""</f>
        <v/>
      </c>
      <c r="AO606" t="str">
        <f>""</f>
        <v/>
      </c>
      <c r="AP606" t="str">
        <f>""</f>
        <v/>
      </c>
      <c r="AQ606" t="str">
        <f t="shared" si="304"/>
        <v>N</v>
      </c>
      <c r="AR606" t="str">
        <f t="shared" si="304"/>
        <v>N</v>
      </c>
      <c r="AS606" t="str">
        <f t="shared" si="304"/>
        <v>N</v>
      </c>
      <c r="AT606" t="str">
        <f t="shared" si="304"/>
        <v>N</v>
      </c>
      <c r="AU606" t="str">
        <f t="shared" si="304"/>
        <v>N</v>
      </c>
      <c r="AV606" t="str">
        <f>""</f>
        <v/>
      </c>
      <c r="AW606" t="str">
        <f>""</f>
        <v/>
      </c>
      <c r="AX606" t="str">
        <f>""</f>
        <v/>
      </c>
      <c r="AY606" t="str">
        <f>""</f>
        <v/>
      </c>
      <c r="AZ606" t="str">
        <f>""</f>
        <v/>
      </c>
      <c r="BA606" t="str">
        <f>""</f>
        <v/>
      </c>
      <c r="BB606" t="str">
        <f>""</f>
        <v/>
      </c>
      <c r="BC606" t="str">
        <f>"02/05/2022 11:19:25"</f>
        <v>02/05/2022 11:19:25</v>
      </c>
      <c r="BD606" t="str">
        <f>""</f>
        <v/>
      </c>
      <c r="BE606" t="str">
        <f>""</f>
        <v/>
      </c>
      <c r="BF606" t="str">
        <f t="shared" si="295"/>
        <v>A</v>
      </c>
      <c r="BG606" t="str">
        <f>""</f>
        <v/>
      </c>
      <c r="BH606" t="str">
        <f>"0,00"</f>
        <v>0,00</v>
      </c>
      <c r="BI606" t="str">
        <f t="shared" si="276"/>
        <v>EVENTUAL</v>
      </c>
      <c r="BJ606" t="str">
        <f t="shared" si="296"/>
        <v>1</v>
      </c>
      <c r="BK606" t="str">
        <f t="shared" si="297"/>
        <v>Farmacia</v>
      </c>
      <c r="BL606" t="str">
        <f>""</f>
        <v/>
      </c>
      <c r="BM606" t="str">
        <f t="shared" si="305"/>
        <v>NÃO É VARILUX ESPECIALISTA</v>
      </c>
      <c r="BN606" t="str">
        <f t="shared" si="306"/>
        <v>NA</v>
      </c>
      <c r="BO606" t="str">
        <f>"FOCO KODAK 2"</f>
        <v>FOCO KODAK 2</v>
      </c>
      <c r="BP606" t="str">
        <f>""</f>
        <v/>
      </c>
      <c r="BQ606" t="str">
        <f>""</f>
        <v/>
      </c>
      <c r="BR606" t="str">
        <f>""</f>
        <v/>
      </c>
      <c r="BS606" t="str">
        <f>"02/05/2022"</f>
        <v>02/05/2022</v>
      </c>
      <c r="BT606" t="str">
        <f>""</f>
        <v/>
      </c>
      <c r="BU606" t="str">
        <f>""</f>
        <v/>
      </c>
      <c r="BV606" t="str">
        <f>""</f>
        <v/>
      </c>
      <c r="BW606" t="str">
        <f>"29"</f>
        <v>29</v>
      </c>
    </row>
    <row r="607" spans="1:75" x14ac:dyDescent="0.35">
      <c r="A607">
        <v>134546</v>
      </c>
      <c r="B607" t="str">
        <f t="shared" si="291"/>
        <v>A</v>
      </c>
      <c r="C607" t="str">
        <f t="shared" si="292"/>
        <v>80</v>
      </c>
      <c r="D607" t="str">
        <f t="shared" si="281"/>
        <v>11121002</v>
      </c>
      <c r="E607" t="str">
        <f t="shared" si="282"/>
        <v>121002</v>
      </c>
      <c r="F607" t="str">
        <f t="shared" si="283"/>
        <v>CINTHIA NORONHA</v>
      </c>
      <c r="G607" t="str">
        <f>"19625559000216"</f>
        <v>19625559000216</v>
      </c>
      <c r="H607" t="str">
        <f>""</f>
        <v/>
      </c>
      <c r="I607" t="str">
        <f t="shared" si="293"/>
        <v>CONTA OPTICA</v>
      </c>
      <c r="J607" t="str">
        <f>"CHARLES D SILVEIRA COMERCIO LTDA"</f>
        <v>CHARLES D SILVEIRA COMERCIO LTDA</v>
      </c>
      <c r="K607" t="str">
        <f>"OTICA FAMILIA URSO (4205)"</f>
        <v>OTICA FAMILIA URSO (4205)</v>
      </c>
      <c r="L607" t="str">
        <f>""</f>
        <v/>
      </c>
      <c r="M607" t="str">
        <f>""</f>
        <v/>
      </c>
      <c r="N607" t="str">
        <f>"oticafamiliaurso@gmail.com"</f>
        <v>oticafamiliaurso@gmail.com</v>
      </c>
      <c r="O607" t="str">
        <f>""</f>
        <v/>
      </c>
      <c r="P607" t="str">
        <f>"AVENIDA BARAO DO RIO BRANCO"</f>
        <v>AVENIDA BARAO DO RIO BRANCO</v>
      </c>
      <c r="Q607" t="str">
        <f>"580"</f>
        <v>580</v>
      </c>
      <c r="R607" t="str">
        <f>"CONTAINER"</f>
        <v>CONTAINER</v>
      </c>
      <c r="S607" t="str">
        <f>"1259"</f>
        <v>1259</v>
      </c>
      <c r="T607" t="str">
        <f>"88130100"</f>
        <v>88130100</v>
      </c>
      <c r="U607" t="str">
        <f>"CENTRO"</f>
        <v>CENTRO</v>
      </c>
      <c r="V607" t="str">
        <f>"PALHOÇA"</f>
        <v>PALHOÇA</v>
      </c>
      <c r="W607" t="str">
        <f t="shared" si="299"/>
        <v>SC</v>
      </c>
      <c r="X607" t="str">
        <f t="shared" si="301"/>
        <v>48</v>
      </c>
      <c r="Y607" t="str">
        <f>"998220073"</f>
        <v>998220073</v>
      </c>
      <c r="Z607" t="str">
        <f>""</f>
        <v/>
      </c>
      <c r="AA607" t="str">
        <f>""</f>
        <v/>
      </c>
      <c r="AB607" t="str">
        <f>""</f>
        <v/>
      </c>
      <c r="AC607" t="str">
        <f>""</f>
        <v/>
      </c>
      <c r="AD607" t="str">
        <f>""</f>
        <v/>
      </c>
      <c r="AE607" t="str">
        <f>""</f>
        <v/>
      </c>
      <c r="AF607" t="str">
        <f>""</f>
        <v/>
      </c>
      <c r="AG607" t="str">
        <f t="shared" si="302"/>
        <v>S</v>
      </c>
      <c r="AH607" t="str">
        <f>""</f>
        <v/>
      </c>
      <c r="AI607" t="str">
        <f>""</f>
        <v/>
      </c>
      <c r="AJ607" t="str">
        <f>""</f>
        <v/>
      </c>
      <c r="AK607" t="str">
        <f>""</f>
        <v/>
      </c>
      <c r="AL607" t="str">
        <f>""</f>
        <v/>
      </c>
      <c r="AM607" t="str">
        <f>""</f>
        <v/>
      </c>
      <c r="AN607" t="str">
        <f>""</f>
        <v/>
      </c>
      <c r="AO607" t="str">
        <f>""</f>
        <v/>
      </c>
      <c r="AP607" t="str">
        <f>""</f>
        <v/>
      </c>
      <c r="AQ607" t="str">
        <f t="shared" si="304"/>
        <v>N</v>
      </c>
      <c r="AR607" t="str">
        <f t="shared" si="304"/>
        <v>N</v>
      </c>
      <c r="AS607" t="str">
        <f t="shared" si="304"/>
        <v>N</v>
      </c>
      <c r="AT607" t="str">
        <f t="shared" si="304"/>
        <v>N</v>
      </c>
      <c r="AU607" t="str">
        <f t="shared" si="304"/>
        <v>N</v>
      </c>
      <c r="AV607" t="str">
        <f>""</f>
        <v/>
      </c>
      <c r="AW607" t="str">
        <f>""</f>
        <v/>
      </c>
      <c r="AX607" t="str">
        <f>""</f>
        <v/>
      </c>
      <c r="AY607" t="str">
        <f>""</f>
        <v/>
      </c>
      <c r="AZ607" t="str">
        <f>""</f>
        <v/>
      </c>
      <c r="BA607" t="str">
        <f>""</f>
        <v/>
      </c>
      <c r="BB607" t="str">
        <f>""</f>
        <v/>
      </c>
      <c r="BC607" t="str">
        <f>"13/07/2022 13:24:54"</f>
        <v>13/07/2022 13:24:54</v>
      </c>
      <c r="BD607" t="str">
        <f>""</f>
        <v/>
      </c>
      <c r="BE607" t="str">
        <f>""</f>
        <v/>
      </c>
      <c r="BF607" t="str">
        <f t="shared" si="295"/>
        <v>A</v>
      </c>
      <c r="BG607" t="str">
        <f>""</f>
        <v/>
      </c>
      <c r="BH607" t="str">
        <f>"0,00"</f>
        <v>0,00</v>
      </c>
      <c r="BI607" t="str">
        <f t="shared" si="276"/>
        <v>EVENTUAL</v>
      </c>
      <c r="BJ607" t="str">
        <f t="shared" si="296"/>
        <v>1</v>
      </c>
      <c r="BK607" t="str">
        <f t="shared" si="297"/>
        <v>Farmacia</v>
      </c>
      <c r="BL607" t="str">
        <f>""</f>
        <v/>
      </c>
      <c r="BM607" t="str">
        <f t="shared" si="305"/>
        <v>NÃO É VARILUX ESPECIALISTA</v>
      </c>
      <c r="BN607" t="str">
        <f t="shared" si="306"/>
        <v>NA</v>
      </c>
      <c r="BO607" t="str">
        <f>"FOCO KODAK 2"</f>
        <v>FOCO KODAK 2</v>
      </c>
      <c r="BP607" t="str">
        <f>""</f>
        <v/>
      </c>
      <c r="BQ607" t="str">
        <f>""</f>
        <v/>
      </c>
      <c r="BR607" t="str">
        <f>""</f>
        <v/>
      </c>
      <c r="BS607" t="str">
        <f>"13/07/2022"</f>
        <v>13/07/2022</v>
      </c>
      <c r="BT607" t="str">
        <f>""</f>
        <v/>
      </c>
      <c r="BU607" t="str">
        <f>""</f>
        <v/>
      </c>
      <c r="BV607" t="str">
        <f>""</f>
        <v/>
      </c>
      <c r="BW607" t="str">
        <f>"2"</f>
        <v>2</v>
      </c>
    </row>
    <row r="608" spans="1:75" x14ac:dyDescent="0.35">
      <c r="A608">
        <v>134542</v>
      </c>
      <c r="B608" t="str">
        <f t="shared" si="291"/>
        <v>A</v>
      </c>
      <c r="C608" t="str">
        <f t="shared" si="292"/>
        <v>80</v>
      </c>
      <c r="D608" t="str">
        <f t="shared" si="281"/>
        <v>11121002</v>
      </c>
      <c r="E608" t="str">
        <f t="shared" si="282"/>
        <v>121002</v>
      </c>
      <c r="F608" t="str">
        <f t="shared" si="283"/>
        <v>CINTHIA NORONHA</v>
      </c>
      <c r="G608" t="str">
        <f>"19625559000135"</f>
        <v>19625559000135</v>
      </c>
      <c r="H608" t="str">
        <f>""</f>
        <v/>
      </c>
      <c r="I608" t="str">
        <f t="shared" si="293"/>
        <v>CONTA OPTICA</v>
      </c>
      <c r="J608" t="str">
        <f>"CHARLES D SILVEIRA COMERCIO LTDA"</f>
        <v>CHARLES D SILVEIRA COMERCIO LTDA</v>
      </c>
      <c r="K608" t="str">
        <f>"OTICA FAMILIA URSO (4200)"</f>
        <v>OTICA FAMILIA URSO (4200)</v>
      </c>
      <c r="L608" t="str">
        <f>""</f>
        <v/>
      </c>
      <c r="M608" t="str">
        <f>""</f>
        <v/>
      </c>
      <c r="N608" t="str">
        <f>"oticafamiliaurso@gmail.com"</f>
        <v>oticafamiliaurso@gmail.com</v>
      </c>
      <c r="O608" t="str">
        <f>""</f>
        <v/>
      </c>
      <c r="P608" t="str">
        <f>"RUA ALVARO DE CARVALHO"</f>
        <v>RUA ALVARO DE CARVALHO</v>
      </c>
      <c r="Q608" t="str">
        <f>"133"</f>
        <v>133</v>
      </c>
      <c r="R608" t="str">
        <f>"BOX 09"</f>
        <v>BOX 09</v>
      </c>
      <c r="S608" t="str">
        <f>"1254"</f>
        <v>1254</v>
      </c>
      <c r="T608" t="str">
        <f>"88010040"</f>
        <v>88010040</v>
      </c>
      <c r="U608" t="str">
        <f>"CENTRO"</f>
        <v>CENTRO</v>
      </c>
      <c r="V608" t="str">
        <f>"FLORIANÓPOLIS"</f>
        <v>FLORIANÓPOLIS</v>
      </c>
      <c r="W608" t="str">
        <f t="shared" si="299"/>
        <v>SC</v>
      </c>
      <c r="X608" t="str">
        <f t="shared" si="301"/>
        <v>48</v>
      </c>
      <c r="Y608" t="str">
        <f>"996566206"</f>
        <v>996566206</v>
      </c>
      <c r="Z608" t="str">
        <f>""</f>
        <v/>
      </c>
      <c r="AA608" t="str">
        <f>""</f>
        <v/>
      </c>
      <c r="AB608" t="str">
        <f>""</f>
        <v/>
      </c>
      <c r="AC608" t="str">
        <f>""</f>
        <v/>
      </c>
      <c r="AD608" t="str">
        <f>""</f>
        <v/>
      </c>
      <c r="AE608" t="str">
        <f>""</f>
        <v/>
      </c>
      <c r="AF608" t="str">
        <f>""</f>
        <v/>
      </c>
      <c r="AG608" t="str">
        <f t="shared" si="302"/>
        <v>S</v>
      </c>
      <c r="AH608" t="str">
        <f>""</f>
        <v/>
      </c>
      <c r="AI608" t="str">
        <f>""</f>
        <v/>
      </c>
      <c r="AJ608" t="str">
        <f>""</f>
        <v/>
      </c>
      <c r="AK608" t="str">
        <f>""</f>
        <v/>
      </c>
      <c r="AL608" t="str">
        <f>""</f>
        <v/>
      </c>
      <c r="AM608" t="str">
        <f>""</f>
        <v/>
      </c>
      <c r="AN608" t="str">
        <f>""</f>
        <v/>
      </c>
      <c r="AO608" t="str">
        <f>""</f>
        <v/>
      </c>
      <c r="AP608" t="str">
        <f>""</f>
        <v/>
      </c>
      <c r="AQ608" t="str">
        <f t="shared" si="304"/>
        <v>N</v>
      </c>
      <c r="AR608" t="str">
        <f t="shared" si="304"/>
        <v>N</v>
      </c>
      <c r="AS608" t="str">
        <f t="shared" si="304"/>
        <v>N</v>
      </c>
      <c r="AT608" t="str">
        <f t="shared" si="304"/>
        <v>N</v>
      </c>
      <c r="AU608" t="str">
        <f t="shared" si="304"/>
        <v>N</v>
      </c>
      <c r="AV608" t="str">
        <f>""</f>
        <v/>
      </c>
      <c r="AW608" t="str">
        <f>""</f>
        <v/>
      </c>
      <c r="AX608" t="str">
        <f>""</f>
        <v/>
      </c>
      <c r="AY608" t="str">
        <f>""</f>
        <v/>
      </c>
      <c r="AZ608" t="str">
        <f>""</f>
        <v/>
      </c>
      <c r="BA608" t="str">
        <f>""</f>
        <v/>
      </c>
      <c r="BB608" t="str">
        <f>""</f>
        <v/>
      </c>
      <c r="BC608" t="str">
        <f>"07/07/2023 17:21:09"</f>
        <v>07/07/2023 17:21:09</v>
      </c>
      <c r="BD608" t="str">
        <f>""</f>
        <v/>
      </c>
      <c r="BE608" t="str">
        <f>""</f>
        <v/>
      </c>
      <c r="BF608" t="str">
        <f t="shared" si="295"/>
        <v>A</v>
      </c>
      <c r="BG608" t="str">
        <f>""</f>
        <v/>
      </c>
      <c r="BH608" t="str">
        <f>"0,00"</f>
        <v>0,00</v>
      </c>
      <c r="BI608" t="str">
        <f t="shared" ref="BI608:BI671" si="307">"EVENTUAL"</f>
        <v>EVENTUAL</v>
      </c>
      <c r="BJ608" t="str">
        <f t="shared" si="296"/>
        <v>1</v>
      </c>
      <c r="BK608" t="str">
        <f t="shared" si="297"/>
        <v>Farmacia</v>
      </c>
      <c r="BL608" t="str">
        <f>""</f>
        <v/>
      </c>
      <c r="BM608" t="str">
        <f t="shared" si="305"/>
        <v>NÃO É VARILUX ESPECIALISTA</v>
      </c>
      <c r="BN608" t="str">
        <f t="shared" si="306"/>
        <v>NA</v>
      </c>
      <c r="BO608" t="str">
        <f>"FOCO KODAK 2"</f>
        <v>FOCO KODAK 2</v>
      </c>
      <c r="BP608" t="str">
        <f>""</f>
        <v/>
      </c>
      <c r="BQ608" t="str">
        <f>""</f>
        <v/>
      </c>
      <c r="BR608" t="str">
        <f>""</f>
        <v/>
      </c>
      <c r="BS608" t="str">
        <f>"07/07/2023"</f>
        <v>07/07/2023</v>
      </c>
      <c r="BT608" t="str">
        <f>""</f>
        <v/>
      </c>
      <c r="BU608" t="str">
        <f>""</f>
        <v/>
      </c>
      <c r="BV608" t="str">
        <f>""</f>
        <v/>
      </c>
      <c r="BW608" t="str">
        <f>"2"</f>
        <v>2</v>
      </c>
    </row>
    <row r="609" spans="1:75" x14ac:dyDescent="0.35">
      <c r="A609">
        <v>134222</v>
      </c>
      <c r="B609" t="str">
        <f t="shared" si="291"/>
        <v>A</v>
      </c>
      <c r="C609" t="str">
        <f t="shared" si="292"/>
        <v>80</v>
      </c>
      <c r="D609" t="str">
        <f t="shared" si="281"/>
        <v>11121002</v>
      </c>
      <c r="E609" t="str">
        <f t="shared" si="282"/>
        <v>121002</v>
      </c>
      <c r="F609" t="str">
        <f t="shared" si="283"/>
        <v>CINTHIA NORONHA</v>
      </c>
      <c r="G609" t="str">
        <f>"10256901000100"</f>
        <v>10256901000100</v>
      </c>
      <c r="H609" t="str">
        <f>""</f>
        <v/>
      </c>
      <c r="I609" t="str">
        <f t="shared" si="293"/>
        <v>CONTA OPTICA</v>
      </c>
      <c r="J609" t="str">
        <f>"CHARLES DA SILVA BELO-ME"</f>
        <v>CHARLES DA SILVA BELO-ME</v>
      </c>
      <c r="K609" t="str">
        <f>"OPTICA ANTONIO CARLOS (1489)"</f>
        <v>OPTICA ANTONIO CARLOS (1489)</v>
      </c>
      <c r="L609" t="str">
        <f>""</f>
        <v/>
      </c>
      <c r="M609" t="str">
        <f>""</f>
        <v/>
      </c>
      <c r="N609" t="str">
        <f>"charlesotica@hotmail.com"</f>
        <v>charlesotica@hotmail.com</v>
      </c>
      <c r="O609" t="str">
        <f>""</f>
        <v/>
      </c>
      <c r="P609" t="str">
        <f>"RUA JOAO HENRIQUE PAULI"</f>
        <v>RUA JOAO HENRIQUE PAULI</v>
      </c>
      <c r="Q609" t="str">
        <f>"271"</f>
        <v>271</v>
      </c>
      <c r="R609" t="str">
        <f>"SALA 01"</f>
        <v>SALA 01</v>
      </c>
      <c r="S609" t="str">
        <f>"1259"</f>
        <v>1259</v>
      </c>
      <c r="T609" t="str">
        <f>"88180000"</f>
        <v>88180000</v>
      </c>
      <c r="U609" t="str">
        <f>"CENTRO"</f>
        <v>CENTRO</v>
      </c>
      <c r="V609" t="str">
        <f>"ANTÔNIO CARLOS"</f>
        <v>ANTÔNIO CARLOS</v>
      </c>
      <c r="W609" t="str">
        <f t="shared" si="299"/>
        <v>SC</v>
      </c>
      <c r="X609" t="str">
        <f t="shared" si="301"/>
        <v>48</v>
      </c>
      <c r="Y609" t="str">
        <f>"32721237"</f>
        <v>32721237</v>
      </c>
      <c r="Z609" t="str">
        <f>""</f>
        <v/>
      </c>
      <c r="AA609" t="str">
        <f>""</f>
        <v/>
      </c>
      <c r="AB609" t="str">
        <f>""</f>
        <v/>
      </c>
      <c r="AC609" t="str">
        <f>""</f>
        <v/>
      </c>
      <c r="AD609" t="str">
        <f>""</f>
        <v/>
      </c>
      <c r="AE609" t="str">
        <f>""</f>
        <v/>
      </c>
      <c r="AF609" t="str">
        <f>""</f>
        <v/>
      </c>
      <c r="AG609" t="str">
        <f t="shared" si="302"/>
        <v>S</v>
      </c>
      <c r="AH609" t="str">
        <f>""</f>
        <v/>
      </c>
      <c r="AI609" t="str">
        <f>""</f>
        <v/>
      </c>
      <c r="AJ609" t="str">
        <f>"0"</f>
        <v>0</v>
      </c>
      <c r="AK609" t="str">
        <f>"0"</f>
        <v>0</v>
      </c>
      <c r="AL609" t="str">
        <f>"0"</f>
        <v>0</v>
      </c>
      <c r="AM609" t="str">
        <f>""</f>
        <v/>
      </c>
      <c r="AN609" t="str">
        <f>""</f>
        <v/>
      </c>
      <c r="AO609" t="str">
        <f>""</f>
        <v/>
      </c>
      <c r="AP609" t="str">
        <f>""</f>
        <v/>
      </c>
      <c r="AQ609" t="str">
        <f t="shared" si="304"/>
        <v>N</v>
      </c>
      <c r="AR609" t="str">
        <f t="shared" si="304"/>
        <v>N</v>
      </c>
      <c r="AS609" t="str">
        <f t="shared" si="304"/>
        <v>N</v>
      </c>
      <c r="AT609" t="str">
        <f t="shared" si="304"/>
        <v>N</v>
      </c>
      <c r="AU609" t="str">
        <f t="shared" si="304"/>
        <v>N</v>
      </c>
      <c r="AV609" t="str">
        <f>""</f>
        <v/>
      </c>
      <c r="AW609" t="str">
        <f>""</f>
        <v/>
      </c>
      <c r="AX609" t="str">
        <f>""</f>
        <v/>
      </c>
      <c r="AY609" t="str">
        <f>""</f>
        <v/>
      </c>
      <c r="AZ609" t="str">
        <f>""</f>
        <v/>
      </c>
      <c r="BA609" t="str">
        <f>""</f>
        <v/>
      </c>
      <c r="BB609" t="str">
        <f>""</f>
        <v/>
      </c>
      <c r="BC609" t="str">
        <f>"01/08/2022 15:49:08"</f>
        <v>01/08/2022 15:49:08</v>
      </c>
      <c r="BD609" t="str">
        <f>""</f>
        <v/>
      </c>
      <c r="BE609" t="str">
        <f>""</f>
        <v/>
      </c>
      <c r="BF609" t="str">
        <f t="shared" si="295"/>
        <v>A</v>
      </c>
      <c r="BG609" t="str">
        <f>"0,00"</f>
        <v>0,00</v>
      </c>
      <c r="BH609" t="str">
        <f>"0,00"</f>
        <v>0,00</v>
      </c>
      <c r="BI609" t="str">
        <f t="shared" si="307"/>
        <v>EVENTUAL</v>
      </c>
      <c r="BJ609" t="str">
        <f t="shared" si="296"/>
        <v>1</v>
      </c>
      <c r="BK609" t="str">
        <f t="shared" si="297"/>
        <v>Farmacia</v>
      </c>
      <c r="BL609" t="str">
        <f>""</f>
        <v/>
      </c>
      <c r="BM609" t="str">
        <f t="shared" si="305"/>
        <v>NÃO É VARILUX ESPECIALISTA</v>
      </c>
      <c r="BN609" t="str">
        <f t="shared" si="306"/>
        <v>NA</v>
      </c>
      <c r="BO609" t="str">
        <f>"FOCO VARILUX"</f>
        <v>FOCO VARILUX</v>
      </c>
      <c r="BP609" t="str">
        <f>""</f>
        <v/>
      </c>
      <c r="BQ609" t="str">
        <f>""</f>
        <v/>
      </c>
      <c r="BR609" t="str">
        <f>""</f>
        <v/>
      </c>
      <c r="BS609" t="str">
        <f>"01/08/2022"</f>
        <v>01/08/2022</v>
      </c>
      <c r="BT609" t="str">
        <f>""</f>
        <v/>
      </c>
      <c r="BU609" t="str">
        <f>""</f>
        <v/>
      </c>
      <c r="BV609" t="str">
        <f>"9"</f>
        <v>9</v>
      </c>
      <c r="BW609" t="str">
        <f>"21"</f>
        <v>21</v>
      </c>
    </row>
    <row r="610" spans="1:75" x14ac:dyDescent="0.35">
      <c r="A610">
        <v>157621</v>
      </c>
      <c r="B610" t="str">
        <f t="shared" si="291"/>
        <v>A</v>
      </c>
      <c r="C610" t="str">
        <f t="shared" si="292"/>
        <v>80</v>
      </c>
      <c r="D610" t="str">
        <f t="shared" si="281"/>
        <v>11121002</v>
      </c>
      <c r="E610" t="str">
        <f t="shared" si="282"/>
        <v>121002</v>
      </c>
      <c r="F610" t="str">
        <f t="shared" si="283"/>
        <v>CINTHIA NORONHA</v>
      </c>
      <c r="G610" t="str">
        <f>"11125530000182"</f>
        <v>11125530000182</v>
      </c>
      <c r="H610" t="str">
        <f>"0"</f>
        <v>0</v>
      </c>
      <c r="I610" t="str">
        <f t="shared" si="293"/>
        <v>CONTA OPTICA</v>
      </c>
      <c r="J610" t="str">
        <f>"CIELO BEIRAMAR ACESSORIOS DE MODA LTDA EPP"</f>
        <v>CIELO BEIRAMAR ACESSORIOS DE MODA LTDA EPP</v>
      </c>
      <c r="K610" t="str">
        <f>"CHILLI BEANS (2040)"</f>
        <v>CHILLI BEANS (2040)</v>
      </c>
      <c r="L610" t="str">
        <f>""</f>
        <v/>
      </c>
      <c r="M610" t="str">
        <f>""</f>
        <v/>
      </c>
      <c r="N610" t="str">
        <f>""</f>
        <v/>
      </c>
      <c r="O610" t="str">
        <f>""</f>
        <v/>
      </c>
      <c r="P610" t="str">
        <f>"RUA BOCAIUVA"</f>
        <v>RUA BOCAIUVA</v>
      </c>
      <c r="Q610" t="str">
        <f>"2468"</f>
        <v>2468</v>
      </c>
      <c r="R610" t="str">
        <f>"LOJA 408 PISO 3"</f>
        <v>LOJA 408 PISO 3</v>
      </c>
      <c r="S610" t="str">
        <f>"1255"</f>
        <v>1255</v>
      </c>
      <c r="T610" t="str">
        <f>"88015900"</f>
        <v>88015900</v>
      </c>
      <c r="U610" t="str">
        <f>"CENTRO"</f>
        <v>CENTRO</v>
      </c>
      <c r="V610" t="str">
        <f>"FLORIANOPOLIS"</f>
        <v>FLORIANOPOLIS</v>
      </c>
      <c r="W610" t="str">
        <f t="shared" si="299"/>
        <v>SC</v>
      </c>
      <c r="X610" t="str">
        <f t="shared" si="301"/>
        <v>48</v>
      </c>
      <c r="Y610" t="str">
        <f>"996753809"</f>
        <v>996753809</v>
      </c>
      <c r="Z610" t="str">
        <f>""</f>
        <v/>
      </c>
      <c r="AA610" t="str">
        <f>""</f>
        <v/>
      </c>
      <c r="AB610" t="str">
        <f>""</f>
        <v/>
      </c>
      <c r="AC610" t="str">
        <f>""</f>
        <v/>
      </c>
      <c r="AD610" t="str">
        <f>""</f>
        <v/>
      </c>
      <c r="AE610" t="str">
        <f>""</f>
        <v/>
      </c>
      <c r="AF610" t="str">
        <f>""</f>
        <v/>
      </c>
      <c r="AG610" t="str">
        <f>""</f>
        <v/>
      </c>
      <c r="AH610" t="str">
        <f>""</f>
        <v/>
      </c>
      <c r="AI610" t="str">
        <f>""</f>
        <v/>
      </c>
      <c r="AJ610" t="str">
        <f>""</f>
        <v/>
      </c>
      <c r="AK610" t="str">
        <f>""</f>
        <v/>
      </c>
      <c r="AL610" t="str">
        <f>""</f>
        <v/>
      </c>
      <c r="AM610" t="str">
        <f>""</f>
        <v/>
      </c>
      <c r="AN610" t="str">
        <f>""</f>
        <v/>
      </c>
      <c r="AO610" t="str">
        <f>""</f>
        <v/>
      </c>
      <c r="AP610" t="str">
        <f>""</f>
        <v/>
      </c>
      <c r="AQ610" t="str">
        <f>""</f>
        <v/>
      </c>
      <c r="AR610" t="str">
        <f>""</f>
        <v/>
      </c>
      <c r="AS610" t="str">
        <f>""</f>
        <v/>
      </c>
      <c r="AT610" t="str">
        <f>""</f>
        <v/>
      </c>
      <c r="AU610" t="str">
        <f>""</f>
        <v/>
      </c>
      <c r="AV610" t="str">
        <f>""</f>
        <v/>
      </c>
      <c r="AW610" t="str">
        <f>""</f>
        <v/>
      </c>
      <c r="AX610" t="str">
        <f>""</f>
        <v/>
      </c>
      <c r="AY610" t="str">
        <f>""</f>
        <v/>
      </c>
      <c r="AZ610" t="str">
        <f>""</f>
        <v/>
      </c>
      <c r="BA610" t="str">
        <f>""</f>
        <v/>
      </c>
      <c r="BB610" t="str">
        <f>"11/07/2023 02:19:56"</f>
        <v>11/07/2023 02:19:56</v>
      </c>
      <c r="BC610" t="str">
        <f>""</f>
        <v/>
      </c>
      <c r="BD610" t="str">
        <f>""</f>
        <v/>
      </c>
      <c r="BE610" t="str">
        <f>""</f>
        <v/>
      </c>
      <c r="BF610" t="str">
        <f t="shared" si="295"/>
        <v>A</v>
      </c>
      <c r="BG610" t="str">
        <f>""</f>
        <v/>
      </c>
      <c r="BH610" t="str">
        <f>""</f>
        <v/>
      </c>
      <c r="BI610" t="str">
        <f t="shared" si="307"/>
        <v>EVENTUAL</v>
      </c>
      <c r="BJ610" t="str">
        <f t="shared" si="296"/>
        <v>1</v>
      </c>
      <c r="BK610" t="str">
        <f t="shared" si="297"/>
        <v>Farmacia</v>
      </c>
      <c r="BL610" t="str">
        <f>""</f>
        <v/>
      </c>
      <c r="BM610" t="str">
        <f>""</f>
        <v/>
      </c>
      <c r="BN610" t="str">
        <f>""</f>
        <v/>
      </c>
      <c r="BO610" t="str">
        <f>""</f>
        <v/>
      </c>
      <c r="BP610" t="str">
        <f>""</f>
        <v/>
      </c>
      <c r="BQ610" t="str">
        <f>""</f>
        <v/>
      </c>
      <c r="BR610" t="str">
        <f>"11/07/2023"</f>
        <v>11/07/2023</v>
      </c>
      <c r="BS610" t="str">
        <f>""</f>
        <v/>
      </c>
      <c r="BT610" t="str">
        <f>""</f>
        <v/>
      </c>
      <c r="BU610" t="str">
        <f>""</f>
        <v/>
      </c>
      <c r="BV610" t="str">
        <f>""</f>
        <v/>
      </c>
      <c r="BW610" t="str">
        <f>"85"</f>
        <v>85</v>
      </c>
    </row>
    <row r="611" spans="1:75" x14ac:dyDescent="0.35">
      <c r="A611">
        <v>134380</v>
      </c>
      <c r="B611" t="str">
        <f t="shared" si="291"/>
        <v>A</v>
      </c>
      <c r="C611" t="str">
        <f t="shared" si="292"/>
        <v>80</v>
      </c>
      <c r="D611" t="str">
        <f t="shared" si="281"/>
        <v>11121002</v>
      </c>
      <c r="E611" t="str">
        <f t="shared" si="282"/>
        <v>121002</v>
      </c>
      <c r="F611" t="str">
        <f t="shared" si="283"/>
        <v>CINTHIA NORONHA</v>
      </c>
      <c r="G611" t="str">
        <f>"20703406000148"</f>
        <v>20703406000148</v>
      </c>
      <c r="H611" t="str">
        <f>""</f>
        <v/>
      </c>
      <c r="I611" t="str">
        <f t="shared" si="293"/>
        <v>CONTA OPTICA</v>
      </c>
      <c r="J611" t="str">
        <f>"CLAUDETE COSTA OTICA"</f>
        <v>CLAUDETE COSTA OTICA</v>
      </c>
      <c r="K611" t="str">
        <f>"OTICA TENDENCIA (4176)"</f>
        <v>OTICA TENDENCIA (4176)</v>
      </c>
      <c r="L611" t="str">
        <f>""</f>
        <v/>
      </c>
      <c r="M611" t="str">
        <f>""</f>
        <v/>
      </c>
      <c r="N611" t="str">
        <f>"djalmasteffani@hotmail.com"</f>
        <v>djalmasteffani@hotmail.com</v>
      </c>
      <c r="O611" t="str">
        <f>""</f>
        <v/>
      </c>
      <c r="P611" t="str">
        <f>"RUA SAO PEDRO"</f>
        <v>RUA SAO PEDRO</v>
      </c>
      <c r="Q611" t="str">
        <f>"810"</f>
        <v>810</v>
      </c>
      <c r="R611" t="str">
        <f>"SALA 01"</f>
        <v>SALA 01</v>
      </c>
      <c r="S611" t="str">
        <f>"1259"</f>
        <v>1259</v>
      </c>
      <c r="T611" t="str">
        <f>"88113250"</f>
        <v>88113250</v>
      </c>
      <c r="U611" t="str">
        <f>"AREIAS"</f>
        <v>AREIAS</v>
      </c>
      <c r="V611" t="str">
        <f>"SÃO JOSÉ"</f>
        <v>SÃO JOSÉ</v>
      </c>
      <c r="W611" t="str">
        <f t="shared" si="299"/>
        <v>SC</v>
      </c>
      <c r="X611" t="str">
        <f t="shared" si="301"/>
        <v>48</v>
      </c>
      <c r="Y611" t="str">
        <f>"33753133"</f>
        <v>33753133</v>
      </c>
      <c r="Z611" t="str">
        <f>""</f>
        <v/>
      </c>
      <c r="AA611" t="str">
        <f>""</f>
        <v/>
      </c>
      <c r="AB611" t="str">
        <f>""</f>
        <v/>
      </c>
      <c r="AC611" t="str">
        <f>""</f>
        <v/>
      </c>
      <c r="AD611" t="str">
        <f>""</f>
        <v/>
      </c>
      <c r="AE611" t="str">
        <f>""</f>
        <v/>
      </c>
      <c r="AF611" t="str">
        <f>""</f>
        <v/>
      </c>
      <c r="AG611" t="str">
        <f>"S"</f>
        <v>S</v>
      </c>
      <c r="AH611" t="str">
        <f>""</f>
        <v/>
      </c>
      <c r="AI611" t="str">
        <f>""</f>
        <v/>
      </c>
      <c r="AJ611" t="str">
        <f>""</f>
        <v/>
      </c>
      <c r="AK611" t="str">
        <f>""</f>
        <v/>
      </c>
      <c r="AL611" t="str">
        <f>""</f>
        <v/>
      </c>
      <c r="AM611" t="str">
        <f>""</f>
        <v/>
      </c>
      <c r="AN611" t="str">
        <f>""</f>
        <v/>
      </c>
      <c r="AO611" t="str">
        <f>""</f>
        <v/>
      </c>
      <c r="AP611" t="str">
        <f>""</f>
        <v/>
      </c>
      <c r="AQ611" t="str">
        <f t="shared" ref="AQ611:AU612" si="308">"N"</f>
        <v>N</v>
      </c>
      <c r="AR611" t="str">
        <f t="shared" si="308"/>
        <v>N</v>
      </c>
      <c r="AS611" t="str">
        <f t="shared" si="308"/>
        <v>N</v>
      </c>
      <c r="AT611" t="str">
        <f t="shared" si="308"/>
        <v>N</v>
      </c>
      <c r="AU611" t="str">
        <f t="shared" si="308"/>
        <v>N</v>
      </c>
      <c r="AV611" t="str">
        <f>""</f>
        <v/>
      </c>
      <c r="AW611" t="str">
        <f>""</f>
        <v/>
      </c>
      <c r="AX611" t="str">
        <f>""</f>
        <v/>
      </c>
      <c r="AY611" t="str">
        <f>""</f>
        <v/>
      </c>
      <c r="AZ611" t="str">
        <f>""</f>
        <v/>
      </c>
      <c r="BA611" t="str">
        <f>""</f>
        <v/>
      </c>
      <c r="BB611" t="str">
        <f>""</f>
        <v/>
      </c>
      <c r="BC611" t="str">
        <f>"07/04/2022 16:02:50"</f>
        <v>07/04/2022 16:02:50</v>
      </c>
      <c r="BD611" t="str">
        <f>""</f>
        <v/>
      </c>
      <c r="BE611" t="str">
        <f>""</f>
        <v/>
      </c>
      <c r="BF611" t="str">
        <f t="shared" si="295"/>
        <v>A</v>
      </c>
      <c r="BG611" t="str">
        <f>""</f>
        <v/>
      </c>
      <c r="BH611" t="str">
        <f>"0,00"</f>
        <v>0,00</v>
      </c>
      <c r="BI611" t="str">
        <f t="shared" si="307"/>
        <v>EVENTUAL</v>
      </c>
      <c r="BJ611" t="str">
        <f t="shared" si="296"/>
        <v>1</v>
      </c>
      <c r="BK611" t="str">
        <f t="shared" si="297"/>
        <v>Farmacia</v>
      </c>
      <c r="BL611" t="str">
        <f>""</f>
        <v/>
      </c>
      <c r="BM611" t="str">
        <f>"NÃO É VARILUX ESPECIALISTA"</f>
        <v>NÃO É VARILUX ESPECIALISTA</v>
      </c>
      <c r="BN611" t="str">
        <f>"NA"</f>
        <v>NA</v>
      </c>
      <c r="BO611" t="str">
        <f>""</f>
        <v/>
      </c>
      <c r="BP611" t="str">
        <f>""</f>
        <v/>
      </c>
      <c r="BQ611" t="str">
        <f>""</f>
        <v/>
      </c>
      <c r="BR611" t="str">
        <f>""</f>
        <v/>
      </c>
      <c r="BS611" t="str">
        <f>"07/04/2022"</f>
        <v>07/04/2022</v>
      </c>
      <c r="BT611" t="str">
        <f>""</f>
        <v/>
      </c>
      <c r="BU611" t="str">
        <f>""</f>
        <v/>
      </c>
      <c r="BV611" t="str">
        <f>""</f>
        <v/>
      </c>
      <c r="BW611" t="str">
        <f>"4"</f>
        <v>4</v>
      </c>
    </row>
    <row r="612" spans="1:75" x14ac:dyDescent="0.35">
      <c r="A612">
        <v>134248</v>
      </c>
      <c r="B612" t="str">
        <f t="shared" si="291"/>
        <v>A</v>
      </c>
      <c r="C612" t="str">
        <f t="shared" si="292"/>
        <v>80</v>
      </c>
      <c r="D612" t="str">
        <f t="shared" si="281"/>
        <v>11121002</v>
      </c>
      <c r="E612" t="str">
        <f t="shared" si="282"/>
        <v>121002</v>
      </c>
      <c r="F612" t="str">
        <f t="shared" si="283"/>
        <v>CINTHIA NORONHA</v>
      </c>
      <c r="G612" t="str">
        <f>"16831616000144"</f>
        <v>16831616000144</v>
      </c>
      <c r="H612" t="str">
        <f>""</f>
        <v/>
      </c>
      <c r="I612" t="str">
        <f t="shared" si="293"/>
        <v>CONTA OPTICA</v>
      </c>
      <c r="J612" t="str">
        <f>"CLAUDETE MATOS OTICA E JOALHERIA EIRELI ME"</f>
        <v>CLAUDETE MATOS OTICA E JOALHERIA EIRELI ME</v>
      </c>
      <c r="K612" t="str">
        <f>"CLAUDETE MATOS OTICA E JOALHERIA EIRELI ME (1949)"</f>
        <v>CLAUDETE MATOS OTICA E JOALHERIA EIRELI ME (1949)</v>
      </c>
      <c r="L612" t="str">
        <f>""</f>
        <v/>
      </c>
      <c r="M612" t="str">
        <f>""</f>
        <v/>
      </c>
      <c r="N612" t="str">
        <f>"cmatosotica@gmail.com"</f>
        <v>cmatosotica@gmail.com</v>
      </c>
      <c r="O612" t="str">
        <f>""</f>
        <v/>
      </c>
      <c r="P612" t="str">
        <f>"RUA CORONEL BERNARDINO MACHADO"</f>
        <v>RUA CORONEL BERNARDINO MACHADO</v>
      </c>
      <c r="Q612" t="str">
        <f>"43"</f>
        <v>43</v>
      </c>
      <c r="R612" t="str">
        <f>""</f>
        <v/>
      </c>
      <c r="S612" t="str">
        <f>"1259"</f>
        <v>1259</v>
      </c>
      <c r="T612" t="str">
        <f>"88130220"</f>
        <v>88130220</v>
      </c>
      <c r="U612" t="str">
        <f>"CENTRO"</f>
        <v>CENTRO</v>
      </c>
      <c r="V612" t="str">
        <f>"PALHOÇA"</f>
        <v>PALHOÇA</v>
      </c>
      <c r="W612" t="str">
        <f t="shared" si="299"/>
        <v>SC</v>
      </c>
      <c r="X612" t="str">
        <f t="shared" si="301"/>
        <v>48</v>
      </c>
      <c r="Y612" t="str">
        <f>"32867016"</f>
        <v>32867016</v>
      </c>
      <c r="Z612" t="str">
        <f>""</f>
        <v/>
      </c>
      <c r="AA612" t="str">
        <f>""</f>
        <v/>
      </c>
      <c r="AB612" t="str">
        <f>""</f>
        <v/>
      </c>
      <c r="AC612" t="str">
        <f>""</f>
        <v/>
      </c>
      <c r="AD612" t="str">
        <f>""</f>
        <v/>
      </c>
      <c r="AE612" t="str">
        <f>""</f>
        <v/>
      </c>
      <c r="AF612" t="str">
        <f>""</f>
        <v/>
      </c>
      <c r="AG612" t="str">
        <f>"S"</f>
        <v>S</v>
      </c>
      <c r="AH612" t="str">
        <f>""</f>
        <v/>
      </c>
      <c r="AI612" t="str">
        <f>""</f>
        <v/>
      </c>
      <c r="AJ612" t="str">
        <f t="shared" ref="AJ612:AL613" si="309">"0"</f>
        <v>0</v>
      </c>
      <c r="AK612" t="str">
        <f t="shared" si="309"/>
        <v>0</v>
      </c>
      <c r="AL612" t="str">
        <f t="shared" si="309"/>
        <v>0</v>
      </c>
      <c r="AM612" t="str">
        <f>""</f>
        <v/>
      </c>
      <c r="AN612" t="str">
        <f>""</f>
        <v/>
      </c>
      <c r="AO612" t="str">
        <f>""</f>
        <v/>
      </c>
      <c r="AP612" t="str">
        <f>""</f>
        <v/>
      </c>
      <c r="AQ612" t="str">
        <f t="shared" si="308"/>
        <v>N</v>
      </c>
      <c r="AR612" t="str">
        <f t="shared" si="308"/>
        <v>N</v>
      </c>
      <c r="AS612" t="str">
        <f t="shared" si="308"/>
        <v>N</v>
      </c>
      <c r="AT612" t="str">
        <f t="shared" si="308"/>
        <v>N</v>
      </c>
      <c r="AU612" t="str">
        <f t="shared" si="308"/>
        <v>N</v>
      </c>
      <c r="AV612" t="str">
        <f>""</f>
        <v/>
      </c>
      <c r="AW612" t="str">
        <f>""</f>
        <v/>
      </c>
      <c r="AX612" t="str">
        <f>""</f>
        <v/>
      </c>
      <c r="AY612" t="str">
        <f>""</f>
        <v/>
      </c>
      <c r="AZ612" t="str">
        <f>""</f>
        <v/>
      </c>
      <c r="BA612" t="str">
        <f>""</f>
        <v/>
      </c>
      <c r="BB612" t="str">
        <f>""</f>
        <v/>
      </c>
      <c r="BC612" t="str">
        <f>"06/05/2022 15:35:09"</f>
        <v>06/05/2022 15:35:09</v>
      </c>
      <c r="BD612" t="str">
        <f>""</f>
        <v/>
      </c>
      <c r="BE612" t="str">
        <f>""</f>
        <v/>
      </c>
      <c r="BF612" t="str">
        <f t="shared" si="295"/>
        <v>A</v>
      </c>
      <c r="BG612" t="str">
        <f>"0,00"</f>
        <v>0,00</v>
      </c>
      <c r="BH612" t="str">
        <f>"0,00"</f>
        <v>0,00</v>
      </c>
      <c r="BI612" t="str">
        <f t="shared" si="307"/>
        <v>EVENTUAL</v>
      </c>
      <c r="BJ612" t="str">
        <f t="shared" si="296"/>
        <v>1</v>
      </c>
      <c r="BK612" t="str">
        <f t="shared" si="297"/>
        <v>Farmacia</v>
      </c>
      <c r="BL612" t="str">
        <f>""</f>
        <v/>
      </c>
      <c r="BM612" t="str">
        <f>"CREDENCIADO VARILUX"</f>
        <v>CREDENCIADO VARILUX</v>
      </c>
      <c r="BN612" t="str">
        <f>"NA"</f>
        <v>NA</v>
      </c>
      <c r="BO612" t="str">
        <f>"FOCO VARILUX DIGITAL"</f>
        <v>FOCO VARILUX DIGITAL</v>
      </c>
      <c r="BP612" t="str">
        <f>""</f>
        <v/>
      </c>
      <c r="BQ612" t="str">
        <f>""</f>
        <v/>
      </c>
      <c r="BR612" t="str">
        <f>""</f>
        <v/>
      </c>
      <c r="BS612" t="str">
        <f>"06/05/2022"</f>
        <v>06/05/2022</v>
      </c>
      <c r="BT612" t="str">
        <f>""</f>
        <v/>
      </c>
      <c r="BU612" t="str">
        <f>""</f>
        <v/>
      </c>
      <c r="BV612" t="str">
        <f>"7"</f>
        <v>7</v>
      </c>
      <c r="BW612" t="str">
        <f>"87"</f>
        <v>87</v>
      </c>
    </row>
    <row r="613" spans="1:75" x14ac:dyDescent="0.35">
      <c r="A613">
        <v>144340</v>
      </c>
      <c r="B613" t="str">
        <f t="shared" si="291"/>
        <v>A</v>
      </c>
      <c r="C613" t="str">
        <f t="shared" si="292"/>
        <v>80</v>
      </c>
      <c r="D613" t="str">
        <f t="shared" si="281"/>
        <v>11121002</v>
      </c>
      <c r="E613" t="str">
        <f t="shared" si="282"/>
        <v>121002</v>
      </c>
      <c r="F613" t="str">
        <f t="shared" si="283"/>
        <v>CINTHIA NORONHA</v>
      </c>
      <c r="G613" t="str">
        <f>"16914728000169"</f>
        <v>16914728000169</v>
      </c>
      <c r="H613" t="str">
        <f>""</f>
        <v/>
      </c>
      <c r="I613" t="str">
        <f t="shared" si="293"/>
        <v>CONTA OPTICA</v>
      </c>
      <c r="J613" t="str">
        <f>"CLAUDIA OPTICA E JOALHERIA LTDA"</f>
        <v>CLAUDIA OPTICA E JOALHERIA LTDA</v>
      </c>
      <c r="K613" t="str">
        <f>"CLAUDIA OPTICA (1953)"</f>
        <v>CLAUDIA OPTICA (1953)</v>
      </c>
      <c r="L613" t="str">
        <f>""</f>
        <v/>
      </c>
      <c r="M613" t="str">
        <f>""</f>
        <v/>
      </c>
      <c r="N613" t="str">
        <f>"claudiaoptica@yahoo.com.br"</f>
        <v>claudiaoptica@yahoo.com.br</v>
      </c>
      <c r="O613" t="str">
        <f>""</f>
        <v/>
      </c>
      <c r="P613" t="str">
        <f>"RUA DO EXPEDICIONARIO"</f>
        <v>RUA DO EXPEDICIONARIO</v>
      </c>
      <c r="Q613" t="str">
        <f>"140"</f>
        <v>140</v>
      </c>
      <c r="R613" t="str">
        <f>"SALA 8"</f>
        <v>SALA 8</v>
      </c>
      <c r="S613" t="str">
        <f>"1270"</f>
        <v>1270</v>
      </c>
      <c r="T613" t="str">
        <f>"88930000"</f>
        <v>88930000</v>
      </c>
      <c r="U613" t="str">
        <f>"CENTRO"</f>
        <v>CENTRO</v>
      </c>
      <c r="V613" t="str">
        <f>"TURVO"</f>
        <v>TURVO</v>
      </c>
      <c r="W613" t="str">
        <f t="shared" si="299"/>
        <v>SC</v>
      </c>
      <c r="X613" t="str">
        <f t="shared" si="301"/>
        <v>48</v>
      </c>
      <c r="Y613" t="str">
        <f>"35253120"</f>
        <v>35253120</v>
      </c>
      <c r="Z613" t="str">
        <f>""</f>
        <v/>
      </c>
      <c r="AA613" t="str">
        <f>""</f>
        <v/>
      </c>
      <c r="AB613" t="str">
        <f>""</f>
        <v/>
      </c>
      <c r="AC613" t="str">
        <f>""</f>
        <v/>
      </c>
      <c r="AD613" t="str">
        <f>""</f>
        <v/>
      </c>
      <c r="AE613" t="str">
        <f>""</f>
        <v/>
      </c>
      <c r="AF613" t="str">
        <f>""</f>
        <v/>
      </c>
      <c r="AG613" t="str">
        <f>""</f>
        <v/>
      </c>
      <c r="AH613" t="str">
        <f>""</f>
        <v/>
      </c>
      <c r="AI613" t="str">
        <f>""</f>
        <v/>
      </c>
      <c r="AJ613" t="str">
        <f t="shared" si="309"/>
        <v>0</v>
      </c>
      <c r="AK613" t="str">
        <f t="shared" si="309"/>
        <v>0</v>
      </c>
      <c r="AL613" t="str">
        <f t="shared" si="309"/>
        <v>0</v>
      </c>
      <c r="AM613" t="str">
        <f>""</f>
        <v/>
      </c>
      <c r="AN613" t="str">
        <f>""</f>
        <v/>
      </c>
      <c r="AO613" t="str">
        <f>""</f>
        <v/>
      </c>
      <c r="AP613" t="str">
        <f>""</f>
        <v/>
      </c>
      <c r="AQ613" t="str">
        <f>""</f>
        <v/>
      </c>
      <c r="AR613" t="str">
        <f>""</f>
        <v/>
      </c>
      <c r="AS613" t="str">
        <f>""</f>
        <v/>
      </c>
      <c r="AT613" t="str">
        <f>""</f>
        <v/>
      </c>
      <c r="AU613" t="str">
        <f>""</f>
        <v/>
      </c>
      <c r="AV613" t="str">
        <f>""</f>
        <v/>
      </c>
      <c r="AW613" t="str">
        <f>""</f>
        <v/>
      </c>
      <c r="AX613" t="str">
        <f>""</f>
        <v/>
      </c>
      <c r="AY613" t="str">
        <f>""</f>
        <v/>
      </c>
      <c r="AZ613" t="str">
        <f>""</f>
        <v/>
      </c>
      <c r="BA613" t="str">
        <f>""</f>
        <v/>
      </c>
      <c r="BB613" t="str">
        <f>""</f>
        <v/>
      </c>
      <c r="BC613" t="str">
        <f>""</f>
        <v/>
      </c>
      <c r="BD613" t="str">
        <f>""</f>
        <v/>
      </c>
      <c r="BE613" t="str">
        <f>""</f>
        <v/>
      </c>
      <c r="BF613" t="str">
        <f t="shared" si="295"/>
        <v>A</v>
      </c>
      <c r="BG613" t="str">
        <f>"0,00"</f>
        <v>0,00</v>
      </c>
      <c r="BH613" t="str">
        <f>"0,00"</f>
        <v>0,00</v>
      </c>
      <c r="BI613" t="str">
        <f t="shared" si="307"/>
        <v>EVENTUAL</v>
      </c>
      <c r="BJ613" t="str">
        <f t="shared" si="296"/>
        <v>1</v>
      </c>
      <c r="BK613" t="str">
        <f t="shared" si="297"/>
        <v>Farmacia</v>
      </c>
      <c r="BL613" t="str">
        <f>""</f>
        <v/>
      </c>
      <c r="BM613" t="str">
        <f>"NÃO É VARILUX ESPECIALISTA"</f>
        <v>NÃO É VARILUX ESPECIALISTA</v>
      </c>
      <c r="BN613" t="str">
        <f>"NA"</f>
        <v>NA</v>
      </c>
      <c r="BO613" t="str">
        <f>"FOCO VARILUX"</f>
        <v>FOCO VARILUX</v>
      </c>
      <c r="BP613" t="str">
        <f>""</f>
        <v/>
      </c>
      <c r="BQ613" t="str">
        <f>""</f>
        <v/>
      </c>
      <c r="BR613" t="str">
        <f>""</f>
        <v/>
      </c>
      <c r="BS613" t="str">
        <f>""</f>
        <v/>
      </c>
      <c r="BT613" t="str">
        <f>""</f>
        <v/>
      </c>
      <c r="BU613" t="str">
        <f>""</f>
        <v/>
      </c>
      <c r="BV613" t="str">
        <f>"9"</f>
        <v>9</v>
      </c>
      <c r="BW613" t="str">
        <f>"32"</f>
        <v>32</v>
      </c>
    </row>
    <row r="614" spans="1:75" x14ac:dyDescent="0.35">
      <c r="A614">
        <v>156945</v>
      </c>
      <c r="B614" t="str">
        <f t="shared" si="291"/>
        <v>A</v>
      </c>
      <c r="C614" t="str">
        <f t="shared" si="292"/>
        <v>80</v>
      </c>
      <c r="D614" t="str">
        <f t="shared" si="281"/>
        <v>11121002</v>
      </c>
      <c r="E614" t="str">
        <f t="shared" si="282"/>
        <v>121002</v>
      </c>
      <c r="F614" t="str">
        <f t="shared" si="283"/>
        <v>CINTHIA NORONHA</v>
      </c>
      <c r="G614" t="str">
        <f>"12601458000185"</f>
        <v>12601458000185</v>
      </c>
      <c r="H614" t="str">
        <f>"0"</f>
        <v>0</v>
      </c>
      <c r="I614" t="str">
        <f t="shared" si="293"/>
        <v>CONTA OPTICA</v>
      </c>
      <c r="J614" t="str">
        <f>"CLAUDIOMIRO LAURENTINO"</f>
        <v>CLAUDIOMIRO LAURENTINO</v>
      </c>
      <c r="K614" t="str">
        <f>"VP OTICA (4640)"</f>
        <v>VP OTICA (4640)</v>
      </c>
      <c r="L614" t="str">
        <f>""</f>
        <v/>
      </c>
      <c r="M614" t="str">
        <f>""</f>
        <v/>
      </c>
      <c r="N614" t="str">
        <f>"VPOTICAEMAIL@GMAIL.COM"</f>
        <v>VPOTICAEMAIL@GMAIL.COM</v>
      </c>
      <c r="O614" t="str">
        <f>""</f>
        <v/>
      </c>
      <c r="P614" t="str">
        <f>"RUA JOAO PIO DUARTE SILVA"</f>
        <v>RUA JOAO PIO DUARTE SILVA</v>
      </c>
      <c r="Q614" t="str">
        <f>"94"</f>
        <v>94</v>
      </c>
      <c r="R614" t="str">
        <f>"LOJA 9"</f>
        <v>LOJA 9</v>
      </c>
      <c r="S614" t="str">
        <f>""</f>
        <v/>
      </c>
      <c r="T614" t="str">
        <f>"88037000"</f>
        <v>88037000</v>
      </c>
      <c r="U614" t="str">
        <f>"CORREGO GRANDE"</f>
        <v>CORREGO GRANDE</v>
      </c>
      <c r="V614" t="str">
        <f>"FLORIANOPOLIS"</f>
        <v>FLORIANOPOLIS</v>
      </c>
      <c r="W614" t="str">
        <f t="shared" si="299"/>
        <v>SC</v>
      </c>
      <c r="X614" t="str">
        <f t="shared" si="301"/>
        <v>48</v>
      </c>
      <c r="Y614" t="str">
        <f>"33073110"</f>
        <v>33073110</v>
      </c>
      <c r="Z614" t="str">
        <f>""</f>
        <v/>
      </c>
      <c r="AA614" t="str">
        <f>""</f>
        <v/>
      </c>
      <c r="AB614" t="str">
        <f>""</f>
        <v/>
      </c>
      <c r="AC614" t="str">
        <f>""</f>
        <v/>
      </c>
      <c r="AD614" t="str">
        <f>""</f>
        <v/>
      </c>
      <c r="AE614" t="str">
        <f>""</f>
        <v/>
      </c>
      <c r="AF614" t="str">
        <f>""</f>
        <v/>
      </c>
      <c r="AG614" t="str">
        <f>""</f>
        <v/>
      </c>
      <c r="AH614" t="str">
        <f>""</f>
        <v/>
      </c>
      <c r="AI614" t="str">
        <f>""</f>
        <v/>
      </c>
      <c r="AJ614" t="str">
        <f>""</f>
        <v/>
      </c>
      <c r="AK614" t="str">
        <f>""</f>
        <v/>
      </c>
      <c r="AL614" t="str">
        <f>""</f>
        <v/>
      </c>
      <c r="AM614" t="str">
        <f>""</f>
        <v/>
      </c>
      <c r="AN614" t="str">
        <f>""</f>
        <v/>
      </c>
      <c r="AO614" t="str">
        <f>""</f>
        <v/>
      </c>
      <c r="AP614" t="str">
        <f>""</f>
        <v/>
      </c>
      <c r="AQ614" t="str">
        <f>""</f>
        <v/>
      </c>
      <c r="AR614" t="str">
        <f>""</f>
        <v/>
      </c>
      <c r="AS614" t="str">
        <f>""</f>
        <v/>
      </c>
      <c r="AT614" t="str">
        <f>""</f>
        <v/>
      </c>
      <c r="AU614" t="str">
        <f>""</f>
        <v/>
      </c>
      <c r="AV614" t="str">
        <f>""</f>
        <v/>
      </c>
      <c r="AW614" t="str">
        <f>""</f>
        <v/>
      </c>
      <c r="AX614" t="str">
        <f>""</f>
        <v/>
      </c>
      <c r="AY614" t="str">
        <f>""</f>
        <v/>
      </c>
      <c r="AZ614" t="str">
        <f>""</f>
        <v/>
      </c>
      <c r="BA614" t="str">
        <f>""</f>
        <v/>
      </c>
      <c r="BB614" t="str">
        <f>"06/07/2023 12:07:48"</f>
        <v>06/07/2023 12:07:48</v>
      </c>
      <c r="BC614" t="str">
        <f>""</f>
        <v/>
      </c>
      <c r="BD614" t="str">
        <f>""</f>
        <v/>
      </c>
      <c r="BE614" t="str">
        <f>""</f>
        <v/>
      </c>
      <c r="BF614" t="str">
        <f t="shared" si="295"/>
        <v>A</v>
      </c>
      <c r="BG614" t="str">
        <f>""</f>
        <v/>
      </c>
      <c r="BH614" t="str">
        <f>""</f>
        <v/>
      </c>
      <c r="BI614" t="str">
        <f t="shared" si="307"/>
        <v>EVENTUAL</v>
      </c>
      <c r="BJ614" t="str">
        <f t="shared" si="296"/>
        <v>1</v>
      </c>
      <c r="BK614" t="str">
        <f t="shared" si="297"/>
        <v>Farmacia</v>
      </c>
      <c r="BL614" t="str">
        <f>""</f>
        <v/>
      </c>
      <c r="BM614" t="str">
        <f>""</f>
        <v/>
      </c>
      <c r="BN614" t="str">
        <f>""</f>
        <v/>
      </c>
      <c r="BO614" t="str">
        <f>""</f>
        <v/>
      </c>
      <c r="BP614" t="str">
        <f>""</f>
        <v/>
      </c>
      <c r="BQ614" t="str">
        <f>""</f>
        <v/>
      </c>
      <c r="BR614" t="str">
        <f>"06/07/2023"</f>
        <v>06/07/2023</v>
      </c>
      <c r="BS614" t="str">
        <f>""</f>
        <v/>
      </c>
      <c r="BT614" t="str">
        <f>""</f>
        <v/>
      </c>
      <c r="BU614" t="str">
        <f>""</f>
        <v/>
      </c>
      <c r="BV614" t="str">
        <f>""</f>
        <v/>
      </c>
      <c r="BW614" t="str">
        <f>"86"</f>
        <v>86</v>
      </c>
    </row>
    <row r="615" spans="1:75" x14ac:dyDescent="0.35">
      <c r="A615">
        <v>134271</v>
      </c>
      <c r="B615" t="str">
        <f t="shared" si="291"/>
        <v>A</v>
      </c>
      <c r="C615" t="str">
        <f t="shared" si="292"/>
        <v>80</v>
      </c>
      <c r="D615" t="str">
        <f t="shared" si="281"/>
        <v>11121002</v>
      </c>
      <c r="E615" t="str">
        <f t="shared" si="282"/>
        <v>121002</v>
      </c>
      <c r="F615" t="str">
        <f t="shared" si="283"/>
        <v>CINTHIA NORONHA</v>
      </c>
      <c r="G615" t="str">
        <f>"30283628000102"</f>
        <v>30283628000102</v>
      </c>
      <c r="H615" t="str">
        <f>""</f>
        <v/>
      </c>
      <c r="I615" t="str">
        <f t="shared" si="293"/>
        <v>CONTA OPTICA</v>
      </c>
      <c r="J615" t="str">
        <f>"CLEIA KELLY DOS SANTOS LIMA 30127857877"</f>
        <v>CLEIA KELLY DOS SANTOS LIMA 30127857877</v>
      </c>
      <c r="K615" t="str">
        <f>"OTICA DA ILHA (3886)"</f>
        <v>OTICA DA ILHA (3886)</v>
      </c>
      <c r="L615" t="str">
        <f>""</f>
        <v/>
      </c>
      <c r="M615" t="str">
        <f>""</f>
        <v/>
      </c>
      <c r="N615" t="str">
        <f>"contato.oticadailha@gmail.com"</f>
        <v>contato.oticadailha@gmail.com</v>
      </c>
      <c r="O615" t="str">
        <f>""</f>
        <v/>
      </c>
      <c r="P615" t="str">
        <f>"RUA DOM JOAO BECKER"</f>
        <v>RUA DOM JOAO BECKER</v>
      </c>
      <c r="Q615" t="str">
        <f>"145"</f>
        <v>145</v>
      </c>
      <c r="R615" t="str">
        <f>""</f>
        <v/>
      </c>
      <c r="S615" t="str">
        <f>"1257"</f>
        <v>1257</v>
      </c>
      <c r="T615" t="str">
        <f>"88058600"</f>
        <v>88058600</v>
      </c>
      <c r="U615" t="str">
        <f>"INGLESES DO RIO VERMELHO"</f>
        <v>INGLESES DO RIO VERMELHO</v>
      </c>
      <c r="V615" t="str">
        <f>"FLORIANÓPOLIS"</f>
        <v>FLORIANÓPOLIS</v>
      </c>
      <c r="W615" t="str">
        <f t="shared" si="299"/>
        <v>SC</v>
      </c>
      <c r="X615" t="str">
        <f t="shared" si="301"/>
        <v>48</v>
      </c>
      <c r="Y615" t="str">
        <f>"32073697"</f>
        <v>32073697</v>
      </c>
      <c r="Z615" t="str">
        <f>""</f>
        <v/>
      </c>
      <c r="AA615" t="str">
        <f>""</f>
        <v/>
      </c>
      <c r="AB615" t="str">
        <f>""</f>
        <v/>
      </c>
      <c r="AC615" t="str">
        <f>""</f>
        <v/>
      </c>
      <c r="AD615" t="str">
        <f>""</f>
        <v/>
      </c>
      <c r="AE615" t="str">
        <f>""</f>
        <v/>
      </c>
      <c r="AF615" t="str">
        <f>""</f>
        <v/>
      </c>
      <c r="AG615" t="str">
        <f>"S"</f>
        <v>S</v>
      </c>
      <c r="AH615" t="str">
        <f>""</f>
        <v/>
      </c>
      <c r="AI615" t="str">
        <f>""</f>
        <v/>
      </c>
      <c r="AJ615" t="str">
        <f t="shared" ref="AJ615:AL617" si="310">"0"</f>
        <v>0</v>
      </c>
      <c r="AK615" t="str">
        <f t="shared" si="310"/>
        <v>0</v>
      </c>
      <c r="AL615" t="str">
        <f t="shared" si="310"/>
        <v>0</v>
      </c>
      <c r="AM615" t="str">
        <f>""</f>
        <v/>
      </c>
      <c r="AN615" t="str">
        <f>""</f>
        <v/>
      </c>
      <c r="AO615" t="str">
        <f>""</f>
        <v/>
      </c>
      <c r="AP615" t="str">
        <f>""</f>
        <v/>
      </c>
      <c r="AQ615" t="str">
        <f>"N"</f>
        <v>N</v>
      </c>
      <c r="AR615" t="str">
        <f>"N"</f>
        <v>N</v>
      </c>
      <c r="AS615" t="str">
        <f>"N"</f>
        <v>N</v>
      </c>
      <c r="AT615" t="str">
        <f>"N"</f>
        <v>N</v>
      </c>
      <c r="AU615" t="str">
        <f>"N"</f>
        <v>N</v>
      </c>
      <c r="AV615" t="str">
        <f>""</f>
        <v/>
      </c>
      <c r="AW615" t="str">
        <f>""</f>
        <v/>
      </c>
      <c r="AX615" t="str">
        <f>""</f>
        <v/>
      </c>
      <c r="AY615" t="str">
        <f>""</f>
        <v/>
      </c>
      <c r="AZ615" t="str">
        <f>""</f>
        <v/>
      </c>
      <c r="BA615" t="str">
        <f>""</f>
        <v/>
      </c>
      <c r="BB615" t="str">
        <f>""</f>
        <v/>
      </c>
      <c r="BC615" t="str">
        <f>"10/09/2021 17:37:19"</f>
        <v>10/09/2021 17:37:19</v>
      </c>
      <c r="BD615" t="str">
        <f>""</f>
        <v/>
      </c>
      <c r="BE615" t="str">
        <f>""</f>
        <v/>
      </c>
      <c r="BF615" t="str">
        <f t="shared" si="295"/>
        <v>A</v>
      </c>
      <c r="BG615" t="str">
        <f t="shared" ref="BG615:BH617" si="311">"0,00"</f>
        <v>0,00</v>
      </c>
      <c r="BH615" t="str">
        <f t="shared" si="311"/>
        <v>0,00</v>
      </c>
      <c r="BI615" t="str">
        <f t="shared" si="307"/>
        <v>EVENTUAL</v>
      </c>
      <c r="BJ615" t="str">
        <f t="shared" si="296"/>
        <v>1</v>
      </c>
      <c r="BK615" t="str">
        <f t="shared" si="297"/>
        <v>Farmacia</v>
      </c>
      <c r="BL615" t="str">
        <f>""</f>
        <v/>
      </c>
      <c r="BM615" t="str">
        <f>"NÃO É VARILUX ESPECIALISTA"</f>
        <v>NÃO É VARILUX ESPECIALISTA</v>
      </c>
      <c r="BN615" t="str">
        <f>"NA"</f>
        <v>NA</v>
      </c>
      <c r="BO615" t="str">
        <f>"OUTROS"</f>
        <v>OUTROS</v>
      </c>
      <c r="BP615" t="str">
        <f>""</f>
        <v/>
      </c>
      <c r="BQ615" t="str">
        <f>""</f>
        <v/>
      </c>
      <c r="BR615" t="str">
        <f>""</f>
        <v/>
      </c>
      <c r="BS615" t="str">
        <f>"10/09/2021"</f>
        <v>10/09/2021</v>
      </c>
      <c r="BT615" t="str">
        <f>""</f>
        <v/>
      </c>
      <c r="BU615" t="str">
        <f>""</f>
        <v/>
      </c>
      <c r="BV615" t="str">
        <f>"9"</f>
        <v>9</v>
      </c>
      <c r="BW615" t="str">
        <f>"2"</f>
        <v>2</v>
      </c>
    </row>
    <row r="616" spans="1:75" x14ac:dyDescent="0.35">
      <c r="A616">
        <v>311</v>
      </c>
      <c r="B616" t="str">
        <f t="shared" si="291"/>
        <v>A</v>
      </c>
      <c r="C616" t="str">
        <f t="shared" si="292"/>
        <v>80</v>
      </c>
      <c r="D616" t="str">
        <f t="shared" si="281"/>
        <v>11121002</v>
      </c>
      <c r="E616" t="str">
        <f t="shared" si="282"/>
        <v>121002</v>
      </c>
      <c r="F616" t="str">
        <f t="shared" si="283"/>
        <v>CINTHIA NORONHA</v>
      </c>
      <c r="G616" t="str">
        <f>"01435140000155"</f>
        <v>01435140000155</v>
      </c>
      <c r="H616" t="str">
        <f>""</f>
        <v/>
      </c>
      <c r="I616" t="str">
        <f t="shared" si="293"/>
        <v>CONTA OPTICA</v>
      </c>
      <c r="J616" t="str">
        <f>"CLEIR TEREZINHA VIEIRA VELHO BARDUINO ME"</f>
        <v>CLEIR TEREZINHA VIEIRA VELHO BARDUINO ME</v>
      </c>
      <c r="K616" t="str">
        <f>"OTICA KEDDO (1269)"</f>
        <v>OTICA KEDDO (1269)</v>
      </c>
      <c r="L616" t="str">
        <f>""</f>
        <v/>
      </c>
      <c r="M616" t="str">
        <f>""</f>
        <v/>
      </c>
      <c r="N616" t="str">
        <f>"opticaerelojoariakeddo@hotmail.com"</f>
        <v>opticaerelojoariakeddo@hotmail.com</v>
      </c>
      <c r="O616" t="str">
        <f>""</f>
        <v/>
      </c>
      <c r="P616" t="str">
        <f>"RUA FERNANDO MACHADO"</f>
        <v>RUA FERNANDO MACHADO</v>
      </c>
      <c r="Q616" t="str">
        <f>"16"</f>
        <v>16</v>
      </c>
      <c r="R616" t="str">
        <f>"SALA D"</f>
        <v>SALA D</v>
      </c>
      <c r="S616" t="str">
        <f>"1254"</f>
        <v>1254</v>
      </c>
      <c r="T616" t="str">
        <f>"88010510"</f>
        <v>88010510</v>
      </c>
      <c r="U616" t="str">
        <f>"CENTRO"</f>
        <v>CENTRO</v>
      </c>
      <c r="V616" t="str">
        <f>"FLORIANÓPOLIS"</f>
        <v>FLORIANÓPOLIS</v>
      </c>
      <c r="W616" t="str">
        <f t="shared" si="299"/>
        <v>SC</v>
      </c>
      <c r="X616" t="str">
        <f t="shared" si="301"/>
        <v>48</v>
      </c>
      <c r="Y616" t="str">
        <f>"33220878"</f>
        <v>33220878</v>
      </c>
      <c r="Z616" t="str">
        <f>""</f>
        <v/>
      </c>
      <c r="AA616" t="str">
        <f>""</f>
        <v/>
      </c>
      <c r="AB616" t="str">
        <f>""</f>
        <v/>
      </c>
      <c r="AC616" t="str">
        <f>""</f>
        <v/>
      </c>
      <c r="AD616" t="str">
        <f>""</f>
        <v/>
      </c>
      <c r="AE616" t="str">
        <f>""</f>
        <v/>
      </c>
      <c r="AF616" t="str">
        <f>""</f>
        <v/>
      </c>
      <c r="AG616" t="str">
        <f>""</f>
        <v/>
      </c>
      <c r="AH616" t="str">
        <f>""</f>
        <v/>
      </c>
      <c r="AI616" t="str">
        <f>""</f>
        <v/>
      </c>
      <c r="AJ616" t="str">
        <f t="shared" si="310"/>
        <v>0</v>
      </c>
      <c r="AK616" t="str">
        <f t="shared" si="310"/>
        <v>0</v>
      </c>
      <c r="AL616" t="str">
        <f t="shared" si="310"/>
        <v>0</v>
      </c>
      <c r="AM616" t="str">
        <f>""</f>
        <v/>
      </c>
      <c r="AN616" t="str">
        <f>""</f>
        <v/>
      </c>
      <c r="AO616" t="str">
        <f>""</f>
        <v/>
      </c>
      <c r="AP616" t="str">
        <f>""</f>
        <v/>
      </c>
      <c r="AQ616" t="str">
        <f>""</f>
        <v/>
      </c>
      <c r="AR616" t="str">
        <f>""</f>
        <v/>
      </c>
      <c r="AS616" t="str">
        <f>""</f>
        <v/>
      </c>
      <c r="AT616" t="str">
        <f>""</f>
        <v/>
      </c>
      <c r="AU616" t="str">
        <f>""</f>
        <v/>
      </c>
      <c r="AV616" t="str">
        <f>""</f>
        <v/>
      </c>
      <c r="AW616" t="str">
        <f>""</f>
        <v/>
      </c>
      <c r="AX616" t="str">
        <f>""</f>
        <v/>
      </c>
      <c r="AY616" t="str">
        <f>""</f>
        <v/>
      </c>
      <c r="AZ616" t="str">
        <f>""</f>
        <v/>
      </c>
      <c r="BA616" t="str">
        <f>""</f>
        <v/>
      </c>
      <c r="BB616" t="str">
        <f>"27/07/2018 09:25:37"</f>
        <v>27/07/2018 09:25:37</v>
      </c>
      <c r="BC616" t="str">
        <f>""</f>
        <v/>
      </c>
      <c r="BD616" t="str">
        <f>""</f>
        <v/>
      </c>
      <c r="BE616" t="str">
        <f>"311"</f>
        <v>311</v>
      </c>
      <c r="BF616" t="str">
        <f t="shared" si="295"/>
        <v>A</v>
      </c>
      <c r="BG616" t="str">
        <f t="shared" si="311"/>
        <v>0,00</v>
      </c>
      <c r="BH616" t="str">
        <f t="shared" si="311"/>
        <v>0,00</v>
      </c>
      <c r="BI616" t="str">
        <f t="shared" si="307"/>
        <v>EVENTUAL</v>
      </c>
      <c r="BJ616" t="str">
        <f t="shared" si="296"/>
        <v>1</v>
      </c>
      <c r="BK616" t="str">
        <f t="shared" si="297"/>
        <v>Farmacia</v>
      </c>
      <c r="BL616" t="str">
        <f>""</f>
        <v/>
      </c>
      <c r="BM616" t="str">
        <f>"NÃO É VARILUX ESPECIALISTA"</f>
        <v>NÃO É VARILUX ESPECIALISTA</v>
      </c>
      <c r="BN616" t="str">
        <f>"NA"</f>
        <v>NA</v>
      </c>
      <c r="BO616" t="str">
        <f>"FOCO KODAK 2"</f>
        <v>FOCO KODAK 2</v>
      </c>
      <c r="BP616" t="str">
        <f>""</f>
        <v/>
      </c>
      <c r="BQ616" t="str">
        <f>""</f>
        <v/>
      </c>
      <c r="BR616" t="str">
        <f>"27/07/2018"</f>
        <v>27/07/2018</v>
      </c>
      <c r="BS616" t="str">
        <f>""</f>
        <v/>
      </c>
      <c r="BT616" t="str">
        <f>""</f>
        <v/>
      </c>
      <c r="BU616" t="str">
        <f>""</f>
        <v/>
      </c>
      <c r="BV616" t="str">
        <f>"6"</f>
        <v>6</v>
      </c>
      <c r="BW616" t="str">
        <f>"3"</f>
        <v>3</v>
      </c>
    </row>
    <row r="617" spans="1:75" x14ac:dyDescent="0.35">
      <c r="A617">
        <v>454</v>
      </c>
      <c r="B617" t="str">
        <f t="shared" si="291"/>
        <v>A</v>
      </c>
      <c r="C617" t="str">
        <f t="shared" si="292"/>
        <v>80</v>
      </c>
      <c r="D617" t="str">
        <f t="shared" si="281"/>
        <v>11121002</v>
      </c>
      <c r="E617" t="str">
        <f t="shared" si="282"/>
        <v>121002</v>
      </c>
      <c r="F617" t="str">
        <f t="shared" si="283"/>
        <v>CINTHIA NORONHA</v>
      </c>
      <c r="G617" t="str">
        <f>"07842165000150"</f>
        <v>07842165000150</v>
      </c>
      <c r="H617" t="str">
        <f>""</f>
        <v/>
      </c>
      <c r="I617" t="str">
        <f t="shared" si="293"/>
        <v>CONTA OPTICA</v>
      </c>
      <c r="J617" t="str">
        <f>"CLENILDO PEREIRA  ME"</f>
        <v>CLENILDO PEREIRA  ME</v>
      </c>
      <c r="K617" t="str">
        <f>"PH JOIAS E OTICA (1994)"</f>
        <v>PH JOIAS E OTICA (1994)</v>
      </c>
      <c r="L617" t="str">
        <f>""</f>
        <v/>
      </c>
      <c r="M617" t="str">
        <f>""</f>
        <v/>
      </c>
      <c r="N617" t="str">
        <f>"phjoias@hotmail.com"</f>
        <v>phjoias@hotmail.com</v>
      </c>
      <c r="O617" t="str">
        <f>""</f>
        <v/>
      </c>
      <c r="P617" t="str">
        <f>"RUA BARAO DO RIO BRANCO"</f>
        <v>RUA BARAO DO RIO BRANCO</v>
      </c>
      <c r="Q617" t="str">
        <f>"170"</f>
        <v>170</v>
      </c>
      <c r="R617" t="str">
        <f>"SALA 4"</f>
        <v>SALA 4</v>
      </c>
      <c r="S617" t="str">
        <f>"1259"</f>
        <v>1259</v>
      </c>
      <c r="T617" t="str">
        <f>"88130101"</f>
        <v>88130101</v>
      </c>
      <c r="U617" t="str">
        <f>"CENTRO"</f>
        <v>CENTRO</v>
      </c>
      <c r="V617" t="str">
        <f>"PALHOÇA"</f>
        <v>PALHOÇA</v>
      </c>
      <c r="W617" t="str">
        <f t="shared" si="299"/>
        <v>SC</v>
      </c>
      <c r="X617" t="str">
        <f t="shared" si="301"/>
        <v>48</v>
      </c>
      <c r="Y617" t="str">
        <f>"32864808"</f>
        <v>32864808</v>
      </c>
      <c r="Z617" t="str">
        <f>""</f>
        <v/>
      </c>
      <c r="AA617" t="str">
        <f>""</f>
        <v/>
      </c>
      <c r="AB617" t="str">
        <f>""</f>
        <v/>
      </c>
      <c r="AC617" t="str">
        <f>""</f>
        <v/>
      </c>
      <c r="AD617" t="str">
        <f>""</f>
        <v/>
      </c>
      <c r="AE617" t="str">
        <f>""</f>
        <v/>
      </c>
      <c r="AF617" t="str">
        <f>""</f>
        <v/>
      </c>
      <c r="AG617" t="str">
        <f>""</f>
        <v/>
      </c>
      <c r="AH617" t="str">
        <f>""</f>
        <v/>
      </c>
      <c r="AI617" t="str">
        <f>""</f>
        <v/>
      </c>
      <c r="AJ617" t="str">
        <f t="shared" si="310"/>
        <v>0</v>
      </c>
      <c r="AK617" t="str">
        <f t="shared" si="310"/>
        <v>0</v>
      </c>
      <c r="AL617" t="str">
        <f t="shared" si="310"/>
        <v>0</v>
      </c>
      <c r="AM617" t="str">
        <f>""</f>
        <v/>
      </c>
      <c r="AN617" t="str">
        <f>""</f>
        <v/>
      </c>
      <c r="AO617" t="str">
        <f>""</f>
        <v/>
      </c>
      <c r="AP617" t="str">
        <f>""</f>
        <v/>
      </c>
      <c r="AQ617" t="str">
        <f>""</f>
        <v/>
      </c>
      <c r="AR617" t="str">
        <f>""</f>
        <v/>
      </c>
      <c r="AS617" t="str">
        <f>""</f>
        <v/>
      </c>
      <c r="AT617" t="str">
        <f>""</f>
        <v/>
      </c>
      <c r="AU617" t="str">
        <f>""</f>
        <v/>
      </c>
      <c r="AV617" t="str">
        <f>""</f>
        <v/>
      </c>
      <c r="AW617" t="str">
        <f>""</f>
        <v/>
      </c>
      <c r="AX617" t="str">
        <f>""</f>
        <v/>
      </c>
      <c r="AY617" t="str">
        <f>""</f>
        <v/>
      </c>
      <c r="AZ617" t="str">
        <f>""</f>
        <v/>
      </c>
      <c r="BA617" t="str">
        <f>""</f>
        <v/>
      </c>
      <c r="BB617" t="str">
        <f>"27/07/2018 09:25:43"</f>
        <v>27/07/2018 09:25:43</v>
      </c>
      <c r="BC617" t="str">
        <f>""</f>
        <v/>
      </c>
      <c r="BD617" t="str">
        <f>""</f>
        <v/>
      </c>
      <c r="BE617" t="str">
        <f>"454"</f>
        <v>454</v>
      </c>
      <c r="BF617" t="str">
        <f t="shared" si="295"/>
        <v>A</v>
      </c>
      <c r="BG617" t="str">
        <f t="shared" si="311"/>
        <v>0,00</v>
      </c>
      <c r="BH617" t="str">
        <f t="shared" si="311"/>
        <v>0,00</v>
      </c>
      <c r="BI617" t="str">
        <f t="shared" si="307"/>
        <v>EVENTUAL</v>
      </c>
      <c r="BJ617" t="str">
        <f t="shared" si="296"/>
        <v>1</v>
      </c>
      <c r="BK617" t="str">
        <f t="shared" si="297"/>
        <v>Farmacia</v>
      </c>
      <c r="BL617" t="str">
        <f>""</f>
        <v/>
      </c>
      <c r="BM617" t="str">
        <f>"NÃO É VARILUX ESPECIALISTA"</f>
        <v>NÃO É VARILUX ESPECIALISTA</v>
      </c>
      <c r="BN617" t="str">
        <f>"NA"</f>
        <v>NA</v>
      </c>
      <c r="BO617" t="str">
        <f>"FOCO VARILUX DIGITAL"</f>
        <v>FOCO VARILUX DIGITAL</v>
      </c>
      <c r="BP617" t="str">
        <f>""</f>
        <v/>
      </c>
      <c r="BQ617" t="str">
        <f>""</f>
        <v/>
      </c>
      <c r="BR617" t="str">
        <f>"27/07/2018"</f>
        <v>27/07/2018</v>
      </c>
      <c r="BS617" t="str">
        <f>""</f>
        <v/>
      </c>
      <c r="BT617" t="str">
        <f>""</f>
        <v/>
      </c>
      <c r="BU617" t="str">
        <f>""</f>
        <v/>
      </c>
      <c r="BV617" t="str">
        <f>"9"</f>
        <v>9</v>
      </c>
      <c r="BW617" t="str">
        <f>"4"</f>
        <v>4</v>
      </c>
    </row>
    <row r="618" spans="1:75" x14ac:dyDescent="0.35">
      <c r="A618">
        <v>156921</v>
      </c>
      <c r="B618" t="str">
        <f t="shared" si="291"/>
        <v>A</v>
      </c>
      <c r="C618" t="str">
        <f t="shared" si="292"/>
        <v>80</v>
      </c>
      <c r="D618" t="str">
        <f t="shared" si="281"/>
        <v>11121002</v>
      </c>
      <c r="E618" t="str">
        <f t="shared" si="282"/>
        <v>121002</v>
      </c>
      <c r="F618" t="str">
        <f t="shared" si="283"/>
        <v>CINTHIA NORONHA</v>
      </c>
      <c r="G618" t="str">
        <f>"39923951000178"</f>
        <v>39923951000178</v>
      </c>
      <c r="H618" t="str">
        <f>"0"</f>
        <v>0</v>
      </c>
      <c r="I618" t="str">
        <f t="shared" si="293"/>
        <v>CONTA OPTICA</v>
      </c>
      <c r="J618" t="str">
        <f>"COMERCIO DE OCULOS WP LTDA"</f>
        <v>COMERCIO DE OCULOS WP LTDA</v>
      </c>
      <c r="K618" t="str">
        <f>"MERCADAO DOS OCULOS (4448)"</f>
        <v>MERCADAO DOS OCULOS (4448)</v>
      </c>
      <c r="L618" t="str">
        <f>""</f>
        <v/>
      </c>
      <c r="M618" t="str">
        <f>""</f>
        <v/>
      </c>
      <c r="N618" t="str">
        <f>"MDOICARA@OUTLOOK.COM"</f>
        <v>MDOICARA@OUTLOOK.COM</v>
      </c>
      <c r="O618" t="str">
        <f>""</f>
        <v/>
      </c>
      <c r="P618" t="str">
        <f>"RUA CEL. MARCOS ROVARIS"</f>
        <v>RUA CEL. MARCOS ROVARIS</v>
      </c>
      <c r="Q618" t="str">
        <f>"343"</f>
        <v>343</v>
      </c>
      <c r="R618" t="str">
        <f>""</f>
        <v/>
      </c>
      <c r="S618" t="str">
        <f>"1269"</f>
        <v>1269</v>
      </c>
      <c r="T618" t="str">
        <f>"88820000"</f>
        <v>88820000</v>
      </c>
      <c r="U618" t="str">
        <f>"CENTRO"</f>
        <v>CENTRO</v>
      </c>
      <c r="V618" t="str">
        <f>"ICARA"</f>
        <v>ICARA</v>
      </c>
      <c r="W618" t="str">
        <f t="shared" si="299"/>
        <v>SC</v>
      </c>
      <c r="X618" t="str">
        <f t="shared" si="301"/>
        <v>48</v>
      </c>
      <c r="Y618" t="str">
        <f>"34339953"</f>
        <v>34339953</v>
      </c>
      <c r="Z618" t="str">
        <f>""</f>
        <v/>
      </c>
      <c r="AA618" t="str">
        <f>""</f>
        <v/>
      </c>
      <c r="AB618" t="str">
        <f>""</f>
        <v/>
      </c>
      <c r="AC618" t="str">
        <f>""</f>
        <v/>
      </c>
      <c r="AD618" t="str">
        <f>""</f>
        <v/>
      </c>
      <c r="AE618" t="str">
        <f>""</f>
        <v/>
      </c>
      <c r="AF618" t="str">
        <f>""</f>
        <v/>
      </c>
      <c r="AG618" t="str">
        <f>""</f>
        <v/>
      </c>
      <c r="AH618" t="str">
        <f>""</f>
        <v/>
      </c>
      <c r="AI618" t="str">
        <f>""</f>
        <v/>
      </c>
      <c r="AJ618" t="str">
        <f>""</f>
        <v/>
      </c>
      <c r="AK618" t="str">
        <f>""</f>
        <v/>
      </c>
      <c r="AL618" t="str">
        <f>""</f>
        <v/>
      </c>
      <c r="AM618" t="str">
        <f>""</f>
        <v/>
      </c>
      <c r="AN618" t="str">
        <f>""</f>
        <v/>
      </c>
      <c r="AO618" t="str">
        <f>""</f>
        <v/>
      </c>
      <c r="AP618" t="str">
        <f>""</f>
        <v/>
      </c>
      <c r="AQ618" t="str">
        <f>""</f>
        <v/>
      </c>
      <c r="AR618" t="str">
        <f>""</f>
        <v/>
      </c>
      <c r="AS618" t="str">
        <f>""</f>
        <v/>
      </c>
      <c r="AT618" t="str">
        <f>""</f>
        <v/>
      </c>
      <c r="AU618" t="str">
        <f>""</f>
        <v/>
      </c>
      <c r="AV618" t="str">
        <f>""</f>
        <v/>
      </c>
      <c r="AW618" t="str">
        <f>""</f>
        <v/>
      </c>
      <c r="AX618" t="str">
        <f>""</f>
        <v/>
      </c>
      <c r="AY618" t="str">
        <f>""</f>
        <v/>
      </c>
      <c r="AZ618" t="str">
        <f>""</f>
        <v/>
      </c>
      <c r="BA618" t="str">
        <f>""</f>
        <v/>
      </c>
      <c r="BB618" t="str">
        <f>"06/07/2023 12:07:48"</f>
        <v>06/07/2023 12:07:48</v>
      </c>
      <c r="BC618" t="str">
        <f>""</f>
        <v/>
      </c>
      <c r="BD618" t="str">
        <f>""</f>
        <v/>
      </c>
      <c r="BE618" t="str">
        <f>""</f>
        <v/>
      </c>
      <c r="BF618" t="str">
        <f t="shared" si="295"/>
        <v>A</v>
      </c>
      <c r="BG618" t="str">
        <f>""</f>
        <v/>
      </c>
      <c r="BH618" t="str">
        <f>""</f>
        <v/>
      </c>
      <c r="BI618" t="str">
        <f t="shared" si="307"/>
        <v>EVENTUAL</v>
      </c>
      <c r="BJ618" t="str">
        <f t="shared" si="296"/>
        <v>1</v>
      </c>
      <c r="BK618" t="str">
        <f t="shared" si="297"/>
        <v>Farmacia</v>
      </c>
      <c r="BL618" t="str">
        <f>""</f>
        <v/>
      </c>
      <c r="BM618" t="str">
        <f>""</f>
        <v/>
      </c>
      <c r="BN618" t="str">
        <f>""</f>
        <v/>
      </c>
      <c r="BO618" t="str">
        <f>""</f>
        <v/>
      </c>
      <c r="BP618" t="str">
        <f>""</f>
        <v/>
      </c>
      <c r="BQ618" t="str">
        <f>""</f>
        <v/>
      </c>
      <c r="BR618" t="str">
        <f>"06/07/2023"</f>
        <v>06/07/2023</v>
      </c>
      <c r="BS618" t="str">
        <f>""</f>
        <v/>
      </c>
      <c r="BT618" t="str">
        <f>""</f>
        <v/>
      </c>
      <c r="BU618" t="str">
        <f>""</f>
        <v/>
      </c>
      <c r="BV618" t="str">
        <f>""</f>
        <v/>
      </c>
      <c r="BW618" t="str">
        <f>"64"</f>
        <v>64</v>
      </c>
    </row>
    <row r="619" spans="1:75" x14ac:dyDescent="0.35">
      <c r="A619">
        <v>134497</v>
      </c>
      <c r="B619" t="str">
        <f t="shared" si="291"/>
        <v>A</v>
      </c>
      <c r="C619" t="str">
        <f t="shared" si="292"/>
        <v>80</v>
      </c>
      <c r="D619" t="str">
        <f t="shared" si="281"/>
        <v>11121002</v>
      </c>
      <c r="E619" t="str">
        <f t="shared" si="282"/>
        <v>121002</v>
      </c>
      <c r="F619" t="str">
        <f t="shared" si="283"/>
        <v>CINTHIA NORONHA</v>
      </c>
      <c r="G619" t="str">
        <f>"28690215000109"</f>
        <v>28690215000109</v>
      </c>
      <c r="H619" t="str">
        <f>""</f>
        <v/>
      </c>
      <c r="I619" t="str">
        <f t="shared" si="293"/>
        <v>CONTA OPTICA</v>
      </c>
      <c r="J619" t="str">
        <f>"CONTCHE COM PROD OPTICOS EIRELI"</f>
        <v>CONTCHE COM PROD OPTICOS EIRELI</v>
      </c>
      <c r="K619" t="str">
        <f>"OTICAS CAROL (3833)"</f>
        <v>OTICAS CAROL (3833)</v>
      </c>
      <c r="L619" t="str">
        <f>""</f>
        <v/>
      </c>
      <c r="M619" t="str">
        <f>""</f>
        <v/>
      </c>
      <c r="N619" t="str">
        <f>"produtos@oticascarol.com.br"</f>
        <v>produtos@oticascarol.com.br</v>
      </c>
      <c r="O619" t="str">
        <f>""</f>
        <v/>
      </c>
      <c r="P619" t="str">
        <f>"RUA BR-101"</f>
        <v>RUA BR-101</v>
      </c>
      <c r="Q619" t="str">
        <f>"SN"</f>
        <v>SN</v>
      </c>
      <c r="R619" t="str">
        <f>""</f>
        <v/>
      </c>
      <c r="S619" t="str">
        <f>"1259"</f>
        <v>1259</v>
      </c>
      <c r="T619" t="str">
        <f>"88104800"</f>
        <v>88104800</v>
      </c>
      <c r="U619" t="str">
        <f>"DISTRITO INDUSTRIAL"</f>
        <v>DISTRITO INDUSTRIAL</v>
      </c>
      <c r="V619" t="str">
        <f>"SÃO JOSÉ"</f>
        <v>SÃO JOSÉ</v>
      </c>
      <c r="W619" t="str">
        <f t="shared" si="299"/>
        <v>SC</v>
      </c>
      <c r="X619" t="str">
        <f t="shared" si="301"/>
        <v>48</v>
      </c>
      <c r="Y619" t="str">
        <f>"30949129"</f>
        <v>30949129</v>
      </c>
      <c r="Z619" t="str">
        <f>""</f>
        <v/>
      </c>
      <c r="AA619" t="str">
        <f>""</f>
        <v/>
      </c>
      <c r="AB619" t="str">
        <f>""</f>
        <v/>
      </c>
      <c r="AC619" t="str">
        <f>""</f>
        <v/>
      </c>
      <c r="AD619" t="str">
        <f>""</f>
        <v/>
      </c>
      <c r="AE619" t="str">
        <f>""</f>
        <v/>
      </c>
      <c r="AF619" t="str">
        <f>""</f>
        <v/>
      </c>
      <c r="AG619" t="str">
        <f>"S"</f>
        <v>S</v>
      </c>
      <c r="AH619" t="str">
        <f>""</f>
        <v/>
      </c>
      <c r="AI619" t="str">
        <f>""</f>
        <v/>
      </c>
      <c r="AJ619" t="str">
        <f>""</f>
        <v/>
      </c>
      <c r="AK619" t="str">
        <f>""</f>
        <v/>
      </c>
      <c r="AL619" t="str">
        <f>""</f>
        <v/>
      </c>
      <c r="AM619" t="str">
        <f>""</f>
        <v/>
      </c>
      <c r="AN619" t="str">
        <f>""</f>
        <v/>
      </c>
      <c r="AO619" t="str">
        <f>""</f>
        <v/>
      </c>
      <c r="AP619" t="str">
        <f>""</f>
        <v/>
      </c>
      <c r="AQ619" t="str">
        <f>"N"</f>
        <v>N</v>
      </c>
      <c r="AR619" t="str">
        <f>"N"</f>
        <v>N</v>
      </c>
      <c r="AS619" t="str">
        <f>"N"</f>
        <v>N</v>
      </c>
      <c r="AT619" t="str">
        <f>"N"</f>
        <v>N</v>
      </c>
      <c r="AU619" t="str">
        <f>"N"</f>
        <v>N</v>
      </c>
      <c r="AV619" t="str">
        <f>""</f>
        <v/>
      </c>
      <c r="AW619" t="str">
        <f>""</f>
        <v/>
      </c>
      <c r="AX619" t="str">
        <f>""</f>
        <v/>
      </c>
      <c r="AY619" t="str">
        <f>""</f>
        <v/>
      </c>
      <c r="AZ619" t="str">
        <f>""</f>
        <v/>
      </c>
      <c r="BA619" t="str">
        <f>""</f>
        <v/>
      </c>
      <c r="BB619" t="str">
        <f>""</f>
        <v/>
      </c>
      <c r="BC619" t="str">
        <f>"11/05/2022 17:57:48"</f>
        <v>11/05/2022 17:57:48</v>
      </c>
      <c r="BD619" t="str">
        <f>""</f>
        <v/>
      </c>
      <c r="BE619" t="str">
        <f>""</f>
        <v/>
      </c>
      <c r="BF619" t="str">
        <f t="shared" si="295"/>
        <v>A</v>
      </c>
      <c r="BG619" t="str">
        <f>""</f>
        <v/>
      </c>
      <c r="BH619" t="str">
        <f>"0,00"</f>
        <v>0,00</v>
      </c>
      <c r="BI619" t="str">
        <f t="shared" si="307"/>
        <v>EVENTUAL</v>
      </c>
      <c r="BJ619" t="str">
        <f t="shared" si="296"/>
        <v>1</v>
      </c>
      <c r="BK619" t="str">
        <f t="shared" si="297"/>
        <v>Farmacia</v>
      </c>
      <c r="BL619" t="str">
        <f>""</f>
        <v/>
      </c>
      <c r="BM619" t="str">
        <f>"VARILUX ESPECIALISTA PLATINE"</f>
        <v>VARILUX ESPECIALISTA PLATINE</v>
      </c>
      <c r="BN619" t="str">
        <f>"NA"</f>
        <v>NA</v>
      </c>
      <c r="BO619" t="str">
        <f>"FOCO VARILUX DIGITAL"</f>
        <v>FOCO VARILUX DIGITAL</v>
      </c>
      <c r="BP619" t="str">
        <f>""</f>
        <v/>
      </c>
      <c r="BQ619" t="str">
        <f>""</f>
        <v/>
      </c>
      <c r="BR619" t="str">
        <f>""</f>
        <v/>
      </c>
      <c r="BS619" t="str">
        <f>"11/05/2022"</f>
        <v>11/05/2022</v>
      </c>
      <c r="BT619" t="str">
        <f>""</f>
        <v/>
      </c>
      <c r="BU619" t="str">
        <f>""</f>
        <v/>
      </c>
      <c r="BV619" t="str">
        <f>"1"</f>
        <v>1</v>
      </c>
      <c r="BW619" t="str">
        <f>"562"</f>
        <v>562</v>
      </c>
    </row>
    <row r="620" spans="1:75" x14ac:dyDescent="0.35">
      <c r="A620">
        <v>157612</v>
      </c>
      <c r="B620" t="str">
        <f t="shared" si="291"/>
        <v>A</v>
      </c>
      <c r="C620" t="str">
        <f t="shared" si="292"/>
        <v>80</v>
      </c>
      <c r="D620" t="str">
        <f t="shared" si="281"/>
        <v>11121002</v>
      </c>
      <c r="E620" t="str">
        <f t="shared" si="282"/>
        <v>121002</v>
      </c>
      <c r="F620" t="str">
        <f t="shared" si="283"/>
        <v>CINTHIA NORONHA</v>
      </c>
      <c r="G620" t="str">
        <f>"28690215000281"</f>
        <v>28690215000281</v>
      </c>
      <c r="H620" t="str">
        <f>"0"</f>
        <v>0</v>
      </c>
      <c r="I620" t="str">
        <f t="shared" si="293"/>
        <v>CONTA OPTICA</v>
      </c>
      <c r="J620" t="str">
        <f>"CONTCHE COMERCIO DE PRODUTOS OPTICOS EIRELI"</f>
        <v>CONTCHE COMERCIO DE PRODUTOS OPTICOS EIRELI</v>
      </c>
      <c r="K620" t="str">
        <f>"OTICAS CAROL (4017)"</f>
        <v>OTICAS CAROL (4017)</v>
      </c>
      <c r="L620" t="str">
        <f>""</f>
        <v/>
      </c>
      <c r="M620" t="str">
        <f>""</f>
        <v/>
      </c>
      <c r="N620" t="str">
        <f>"FINANCEIRO.FLORIPA@OTICASCAROL.COM.BR"</f>
        <v>FINANCEIRO.FLORIPA@OTICASCAROL.COM.BR</v>
      </c>
      <c r="O620" t="str">
        <f>""</f>
        <v/>
      </c>
      <c r="P620" t="str">
        <f>"RUA PEQUENO PRINCIPE"</f>
        <v>RUA PEQUENO PRINCIPE</v>
      </c>
      <c r="Q620" t="str">
        <f>"1741"</f>
        <v>1741</v>
      </c>
      <c r="R620" t="str">
        <f>"LOJA 02 E 03"</f>
        <v>LOJA 02 E 03</v>
      </c>
      <c r="S620" t="str">
        <f>"1257"</f>
        <v>1257</v>
      </c>
      <c r="T620" t="str">
        <f>"88063000"</f>
        <v>88063000</v>
      </c>
      <c r="U620" t="str">
        <f>"CAMPECHE"</f>
        <v>CAMPECHE</v>
      </c>
      <c r="V620" t="str">
        <f>"FLORIANOPOLIS"</f>
        <v>FLORIANOPOLIS</v>
      </c>
      <c r="W620" t="str">
        <f t="shared" si="299"/>
        <v>SC</v>
      </c>
      <c r="X620" t="str">
        <f t="shared" si="301"/>
        <v>48</v>
      </c>
      <c r="Y620" t="str">
        <f>"32070067"</f>
        <v>32070067</v>
      </c>
      <c r="Z620" t="str">
        <f>""</f>
        <v/>
      </c>
      <c r="AA620" t="str">
        <f>""</f>
        <v/>
      </c>
      <c r="AB620" t="str">
        <f>""</f>
        <v/>
      </c>
      <c r="AC620" t="str">
        <f>""</f>
        <v/>
      </c>
      <c r="AD620" t="str">
        <f>""</f>
        <v/>
      </c>
      <c r="AE620" t="str">
        <f>""</f>
        <v/>
      </c>
      <c r="AF620" t="str">
        <f>""</f>
        <v/>
      </c>
      <c r="AG620" t="str">
        <f>""</f>
        <v/>
      </c>
      <c r="AH620" t="str">
        <f>""</f>
        <v/>
      </c>
      <c r="AI620" t="str">
        <f>""</f>
        <v/>
      </c>
      <c r="AJ620" t="str">
        <f>""</f>
        <v/>
      </c>
      <c r="AK620" t="str">
        <f>""</f>
        <v/>
      </c>
      <c r="AL620" t="str">
        <f>""</f>
        <v/>
      </c>
      <c r="AM620" t="str">
        <f>""</f>
        <v/>
      </c>
      <c r="AN620" t="str">
        <f>""</f>
        <v/>
      </c>
      <c r="AO620" t="str">
        <f>""</f>
        <v/>
      </c>
      <c r="AP620" t="str">
        <f>""</f>
        <v/>
      </c>
      <c r="AQ620" t="str">
        <f>""</f>
        <v/>
      </c>
      <c r="AR620" t="str">
        <f>""</f>
        <v/>
      </c>
      <c r="AS620" t="str">
        <f>""</f>
        <v/>
      </c>
      <c r="AT620" t="str">
        <f>""</f>
        <v/>
      </c>
      <c r="AU620" t="str">
        <f>""</f>
        <v/>
      </c>
      <c r="AV620" t="str">
        <f>""</f>
        <v/>
      </c>
      <c r="AW620" t="str">
        <f>""</f>
        <v/>
      </c>
      <c r="AX620" t="str">
        <f>""</f>
        <v/>
      </c>
      <c r="AY620" t="str">
        <f>""</f>
        <v/>
      </c>
      <c r="AZ620" t="str">
        <f>""</f>
        <v/>
      </c>
      <c r="BA620" t="str">
        <f>""</f>
        <v/>
      </c>
      <c r="BB620" t="str">
        <f>"11/07/2023 02:19:56"</f>
        <v>11/07/2023 02:19:56</v>
      </c>
      <c r="BC620" t="str">
        <f>""</f>
        <v/>
      </c>
      <c r="BD620" t="str">
        <f>""</f>
        <v/>
      </c>
      <c r="BE620" t="str">
        <f>""</f>
        <v/>
      </c>
      <c r="BF620" t="str">
        <f t="shared" si="295"/>
        <v>A</v>
      </c>
      <c r="BG620" t="str">
        <f>""</f>
        <v/>
      </c>
      <c r="BH620" t="str">
        <f>""</f>
        <v/>
      </c>
      <c r="BI620" t="str">
        <f t="shared" si="307"/>
        <v>EVENTUAL</v>
      </c>
      <c r="BJ620" t="str">
        <f t="shared" si="296"/>
        <v>1</v>
      </c>
      <c r="BK620" t="str">
        <f t="shared" si="297"/>
        <v>Farmacia</v>
      </c>
      <c r="BL620" t="str">
        <f>""</f>
        <v/>
      </c>
      <c r="BM620" t="str">
        <f>""</f>
        <v/>
      </c>
      <c r="BN620" t="str">
        <f>""</f>
        <v/>
      </c>
      <c r="BO620" t="str">
        <f>""</f>
        <v/>
      </c>
      <c r="BP620" t="str">
        <f>""</f>
        <v/>
      </c>
      <c r="BQ620" t="str">
        <f>""</f>
        <v/>
      </c>
      <c r="BR620" t="str">
        <f>"11/07/2023"</f>
        <v>11/07/2023</v>
      </c>
      <c r="BS620" t="str">
        <f>""</f>
        <v/>
      </c>
      <c r="BT620" t="str">
        <f>""</f>
        <v/>
      </c>
      <c r="BU620" t="str">
        <f>""</f>
        <v/>
      </c>
      <c r="BV620" t="str">
        <f>""</f>
        <v/>
      </c>
      <c r="BW620" t="str">
        <f>"Não visitado"</f>
        <v>Não visitado</v>
      </c>
    </row>
    <row r="621" spans="1:75" x14ac:dyDescent="0.35">
      <c r="A621">
        <v>152766</v>
      </c>
      <c r="B621" t="str">
        <f t="shared" si="291"/>
        <v>A</v>
      </c>
      <c r="C621" t="str">
        <f t="shared" si="292"/>
        <v>80</v>
      </c>
      <c r="D621" t="str">
        <f t="shared" si="281"/>
        <v>11121002</v>
      </c>
      <c r="E621" t="str">
        <f t="shared" si="282"/>
        <v>121002</v>
      </c>
      <c r="F621" t="str">
        <f t="shared" si="283"/>
        <v>CINTHIA NORONHA</v>
      </c>
      <c r="G621" t="str">
        <f>"30984787000215"</f>
        <v>30984787000215</v>
      </c>
      <c r="H621" t="str">
        <f>"0"</f>
        <v>0</v>
      </c>
      <c r="I621" t="str">
        <f t="shared" si="293"/>
        <v>CONTA OPTICA</v>
      </c>
      <c r="J621" t="str">
        <f>"COPACABANA OTICA LTDA"</f>
        <v>COPACABANA OTICA LTDA</v>
      </c>
      <c r="K621" t="str">
        <f>"QOCULOS"</f>
        <v>QOCULOS</v>
      </c>
      <c r="L621" t="str">
        <f>""</f>
        <v/>
      </c>
      <c r="M621" t="str">
        <f>""</f>
        <v/>
      </c>
      <c r="N621" t="str">
        <f>"loja129@qoculos.com.br"</f>
        <v>loja129@qoculos.com.br</v>
      </c>
      <c r="O621" t="str">
        <f>""</f>
        <v/>
      </c>
      <c r="P621" t="str">
        <f>"RODOVIA JOSE CARLOS DAUX"</f>
        <v>RODOVIA JOSE CARLOS DAUX</v>
      </c>
      <c r="Q621" t="str">
        <f>"3116"</f>
        <v>3116</v>
      </c>
      <c r="R621" t="str">
        <f>"INFERIOR L 121"</f>
        <v>INFERIOR L 121</v>
      </c>
      <c r="S621" t="str">
        <f>"1257"</f>
        <v>1257</v>
      </c>
      <c r="T621" t="str">
        <f>"88050000"</f>
        <v>88050000</v>
      </c>
      <c r="U621" t="str">
        <f>"SANTO ANTONIO DE LISBOA"</f>
        <v>SANTO ANTONIO DE LISBOA</v>
      </c>
      <c r="V621" t="str">
        <f>"FLORIANÓPOLIS"</f>
        <v>FLORIANÓPOLIS</v>
      </c>
      <c r="W621" t="str">
        <f t="shared" si="299"/>
        <v>SC</v>
      </c>
      <c r="X621" t="str">
        <f>""</f>
        <v/>
      </c>
      <c r="Y621" t="str">
        <f>""</f>
        <v/>
      </c>
      <c r="Z621" t="str">
        <f>""</f>
        <v/>
      </c>
      <c r="AA621" t="str">
        <f>""</f>
        <v/>
      </c>
      <c r="AB621" t="str">
        <f>""</f>
        <v/>
      </c>
      <c r="AC621" t="str">
        <f>""</f>
        <v/>
      </c>
      <c r="AD621" t="str">
        <f>""</f>
        <v/>
      </c>
      <c r="AE621" t="str">
        <f>""</f>
        <v/>
      </c>
      <c r="AF621" t="str">
        <f>""</f>
        <v/>
      </c>
      <c r="AG621" t="str">
        <f>"S"</f>
        <v>S</v>
      </c>
      <c r="AH621" t="str">
        <f>""</f>
        <v/>
      </c>
      <c r="AI621" t="str">
        <f>""</f>
        <v/>
      </c>
      <c r="AJ621" t="str">
        <f>""</f>
        <v/>
      </c>
      <c r="AK621" t="str">
        <f>""</f>
        <v/>
      </c>
      <c r="AL621" t="str">
        <f>""</f>
        <v/>
      </c>
      <c r="AM621" t="str">
        <f>""</f>
        <v/>
      </c>
      <c r="AN621" t="str">
        <f>""</f>
        <v/>
      </c>
      <c r="AO621" t="str">
        <f>""</f>
        <v/>
      </c>
      <c r="AP621" t="str">
        <f>""</f>
        <v/>
      </c>
      <c r="AQ621" t="str">
        <f t="shared" ref="AQ621:AU622" si="312">"N"</f>
        <v>N</v>
      </c>
      <c r="AR621" t="str">
        <f t="shared" si="312"/>
        <v>N</v>
      </c>
      <c r="AS621" t="str">
        <f t="shared" si="312"/>
        <v>N</v>
      </c>
      <c r="AT621" t="str">
        <f t="shared" si="312"/>
        <v>N</v>
      </c>
      <c r="AU621" t="str">
        <f t="shared" si="312"/>
        <v>N</v>
      </c>
      <c r="AV621" t="str">
        <f>""</f>
        <v/>
      </c>
      <c r="AW621" t="str">
        <f>""</f>
        <v/>
      </c>
      <c r="AX621" t="str">
        <f>""</f>
        <v/>
      </c>
      <c r="AY621" t="str">
        <f>""</f>
        <v/>
      </c>
      <c r="AZ621" t="str">
        <f>""</f>
        <v/>
      </c>
      <c r="BA621" t="str">
        <f>""</f>
        <v/>
      </c>
      <c r="BB621" t="str">
        <f>"03/04/2023 13:34:29"</f>
        <v>03/04/2023 13:34:29</v>
      </c>
      <c r="BC621" t="str">
        <f>"28/04/2023 15:16:57"</f>
        <v>28/04/2023 15:16:57</v>
      </c>
      <c r="BD621" t="str">
        <f>""</f>
        <v/>
      </c>
      <c r="BE621" t="str">
        <f>""</f>
        <v/>
      </c>
      <c r="BF621" t="str">
        <f t="shared" si="295"/>
        <v>A</v>
      </c>
      <c r="BG621" t="str">
        <f>""</f>
        <v/>
      </c>
      <c r="BH621" t="str">
        <f>"0,00"</f>
        <v>0,00</v>
      </c>
      <c r="BI621" t="str">
        <f t="shared" si="307"/>
        <v>EVENTUAL</v>
      </c>
      <c r="BJ621" t="str">
        <f t="shared" si="296"/>
        <v>1</v>
      </c>
      <c r="BK621" t="str">
        <f t="shared" si="297"/>
        <v>Farmacia</v>
      </c>
      <c r="BL621" t="str">
        <f>""</f>
        <v/>
      </c>
      <c r="BM621" t="str">
        <f>""</f>
        <v/>
      </c>
      <c r="BN621" t="str">
        <f>""</f>
        <v/>
      </c>
      <c r="BO621" t="str">
        <f>""</f>
        <v/>
      </c>
      <c r="BP621" t="str">
        <f>""</f>
        <v/>
      </c>
      <c r="BQ621" t="str">
        <f>""</f>
        <v/>
      </c>
      <c r="BR621" t="str">
        <f>"03/04/2023"</f>
        <v>03/04/2023</v>
      </c>
      <c r="BS621" t="str">
        <f>"28/04/2023"</f>
        <v>28/04/2023</v>
      </c>
      <c r="BT621" t="str">
        <f>""</f>
        <v/>
      </c>
      <c r="BU621" t="str">
        <f>""</f>
        <v/>
      </c>
      <c r="BV621" t="str">
        <f>""</f>
        <v/>
      </c>
      <c r="BW621" t="str">
        <f>"8"</f>
        <v>8</v>
      </c>
    </row>
    <row r="622" spans="1:75" x14ac:dyDescent="0.35">
      <c r="A622">
        <v>134290</v>
      </c>
      <c r="B622" t="str">
        <f t="shared" si="291"/>
        <v>A</v>
      </c>
      <c r="C622" t="str">
        <f t="shared" si="292"/>
        <v>80</v>
      </c>
      <c r="D622" t="str">
        <f t="shared" si="281"/>
        <v>11121002</v>
      </c>
      <c r="E622" t="str">
        <f t="shared" si="282"/>
        <v>121002</v>
      </c>
      <c r="F622" t="str">
        <f t="shared" si="283"/>
        <v>CINTHIA NORONHA</v>
      </c>
      <c r="G622" t="str">
        <f>"85388221000212"</f>
        <v>85388221000212</v>
      </c>
      <c r="H622" t="str">
        <f>""</f>
        <v/>
      </c>
      <c r="I622" t="str">
        <f t="shared" si="293"/>
        <v>CONTA OPTICA</v>
      </c>
      <c r="J622" t="str">
        <f>"CPS-COMERCIO DE PRODUTOS OTICOS LTDA"</f>
        <v>CPS-COMERCIO DE PRODUTOS OTICOS LTDA</v>
      </c>
      <c r="K622" t="str">
        <f>"ESPECILISTA -F01 (296)"</f>
        <v>ESPECILISTA -F01 (296)</v>
      </c>
      <c r="L622" t="str">
        <f>""</f>
        <v/>
      </c>
      <c r="M622" t="str">
        <f>""</f>
        <v/>
      </c>
      <c r="N622" t="str">
        <f>"financeiro@oticaespecialista.com.br"</f>
        <v>financeiro@oticaespecialista.com.br</v>
      </c>
      <c r="O622" t="str">
        <f>""</f>
        <v/>
      </c>
      <c r="P622" t="str">
        <f>"RUA PRESIDENTE COUTINHO"</f>
        <v>RUA PRESIDENTE COUTINHO</v>
      </c>
      <c r="Q622" t="str">
        <f>"579"</f>
        <v>579</v>
      </c>
      <c r="R622" t="str">
        <f>"LOJA 4"</f>
        <v>LOJA 4</v>
      </c>
      <c r="S622" t="str">
        <f>"1255"</f>
        <v>1255</v>
      </c>
      <c r="T622" t="str">
        <f>"88015230"</f>
        <v>88015230</v>
      </c>
      <c r="U622" t="str">
        <f>"CENTRO"</f>
        <v>CENTRO</v>
      </c>
      <c r="V622" t="str">
        <f>"FLORIANÓPOLIS"</f>
        <v>FLORIANÓPOLIS</v>
      </c>
      <c r="W622" t="str">
        <f t="shared" si="299"/>
        <v>SC</v>
      </c>
      <c r="X622" t="str">
        <f t="shared" ref="X622:X628" si="313">"48"</f>
        <v>48</v>
      </c>
      <c r="Y622" t="str">
        <f>"30257200"</f>
        <v>30257200</v>
      </c>
      <c r="Z622" t="str">
        <f>""</f>
        <v/>
      </c>
      <c r="AA622" t="str">
        <f>""</f>
        <v/>
      </c>
      <c r="AB622" t="str">
        <f>""</f>
        <v/>
      </c>
      <c r="AC622" t="str">
        <f>""</f>
        <v/>
      </c>
      <c r="AD622" t="str">
        <f>""</f>
        <v/>
      </c>
      <c r="AE622" t="str">
        <f>""</f>
        <v/>
      </c>
      <c r="AF622" t="str">
        <f>""</f>
        <v/>
      </c>
      <c r="AG622" t="str">
        <f>"S"</f>
        <v>S</v>
      </c>
      <c r="AH622" t="str">
        <f>""</f>
        <v/>
      </c>
      <c r="AI622" t="str">
        <f>""</f>
        <v/>
      </c>
      <c r="AJ622" t="str">
        <f>"0"</f>
        <v>0</v>
      </c>
      <c r="AK622" t="str">
        <f>"0"</f>
        <v>0</v>
      </c>
      <c r="AL622" t="str">
        <f>"0"</f>
        <v>0</v>
      </c>
      <c r="AM622" t="str">
        <f>""</f>
        <v/>
      </c>
      <c r="AN622" t="str">
        <f>""</f>
        <v/>
      </c>
      <c r="AO622" t="str">
        <f>""</f>
        <v/>
      </c>
      <c r="AP622" t="str">
        <f>""</f>
        <v/>
      </c>
      <c r="AQ622" t="str">
        <f t="shared" si="312"/>
        <v>N</v>
      </c>
      <c r="AR622" t="str">
        <f t="shared" si="312"/>
        <v>N</v>
      </c>
      <c r="AS622" t="str">
        <f t="shared" si="312"/>
        <v>N</v>
      </c>
      <c r="AT622" t="str">
        <f t="shared" si="312"/>
        <v>N</v>
      </c>
      <c r="AU622" t="str">
        <f t="shared" si="312"/>
        <v>N</v>
      </c>
      <c r="AV622" t="str">
        <f>""</f>
        <v/>
      </c>
      <c r="AW622" t="str">
        <f>""</f>
        <v/>
      </c>
      <c r="AX622" t="str">
        <f>""</f>
        <v/>
      </c>
      <c r="AY622" t="str">
        <f>""</f>
        <v/>
      </c>
      <c r="AZ622" t="str">
        <f>""</f>
        <v/>
      </c>
      <c r="BA622" t="str">
        <f>""</f>
        <v/>
      </c>
      <c r="BB622" t="str">
        <f>""</f>
        <v/>
      </c>
      <c r="BC622" t="str">
        <f>"04/04/2022 09:07:20"</f>
        <v>04/04/2022 09:07:20</v>
      </c>
      <c r="BD622" t="str">
        <f>""</f>
        <v/>
      </c>
      <c r="BE622" t="str">
        <f>""</f>
        <v/>
      </c>
      <c r="BF622" t="str">
        <f t="shared" si="295"/>
        <v>A</v>
      </c>
      <c r="BG622" t="str">
        <f>"0,00"</f>
        <v>0,00</v>
      </c>
      <c r="BH622" t="str">
        <f>"0,00"</f>
        <v>0,00</v>
      </c>
      <c r="BI622" t="str">
        <f t="shared" si="307"/>
        <v>EVENTUAL</v>
      </c>
      <c r="BJ622" t="str">
        <f t="shared" si="296"/>
        <v>1</v>
      </c>
      <c r="BK622" t="str">
        <f t="shared" si="297"/>
        <v>Farmacia</v>
      </c>
      <c r="BL622" t="str">
        <f>""</f>
        <v/>
      </c>
      <c r="BM622" t="str">
        <f>"NÃO É VARILUX ESPECIALISTA"</f>
        <v>NÃO É VARILUX ESPECIALISTA</v>
      </c>
      <c r="BN622" t="str">
        <f>"EL360"</f>
        <v>EL360</v>
      </c>
      <c r="BO622" t="str">
        <f>"FOCO VARILUX DIGITAL"</f>
        <v>FOCO VARILUX DIGITAL</v>
      </c>
      <c r="BP622" t="str">
        <f>""</f>
        <v/>
      </c>
      <c r="BQ622" t="str">
        <f>""</f>
        <v/>
      </c>
      <c r="BR622" t="str">
        <f>""</f>
        <v/>
      </c>
      <c r="BS622" t="str">
        <f>"04/04/2022"</f>
        <v>04/04/2022</v>
      </c>
      <c r="BT622" t="str">
        <f>""</f>
        <v/>
      </c>
      <c r="BU622" t="str">
        <f>""</f>
        <v/>
      </c>
      <c r="BV622" t="str">
        <f>"5"</f>
        <v>5</v>
      </c>
      <c r="BW622" t="str">
        <f>"679"</f>
        <v>679</v>
      </c>
    </row>
    <row r="623" spans="1:75" x14ac:dyDescent="0.35">
      <c r="A623">
        <v>157656</v>
      </c>
      <c r="B623" t="str">
        <f t="shared" si="291"/>
        <v>A</v>
      </c>
      <c r="C623" t="str">
        <f t="shared" si="292"/>
        <v>80</v>
      </c>
      <c r="D623" t="str">
        <f t="shared" si="281"/>
        <v>11121002</v>
      </c>
      <c r="E623" t="str">
        <f t="shared" si="282"/>
        <v>121002</v>
      </c>
      <c r="F623" t="str">
        <f t="shared" si="283"/>
        <v>CINTHIA NORONHA</v>
      </c>
      <c r="G623" t="str">
        <f>"16738801000199"</f>
        <v>16738801000199</v>
      </c>
      <c r="H623" t="str">
        <f>"0"</f>
        <v>0</v>
      </c>
      <c r="I623" t="str">
        <f t="shared" si="293"/>
        <v>CONTA OPTICA</v>
      </c>
      <c r="J623" t="str">
        <f>"CRISTAL MODA FEMINNINA E OPTICA EIRELI - ME"</f>
        <v>CRISTAL MODA FEMINNINA E OPTICA EIRELI - ME</v>
      </c>
      <c r="K623" t="str">
        <f>"CRISTAL MODA FEMINNINA E OPTICA (3809)"</f>
        <v>CRISTAL MODA FEMINNINA E OPTICA (3809)</v>
      </c>
      <c r="L623" t="str">
        <f>""</f>
        <v/>
      </c>
      <c r="M623" t="str">
        <f>""</f>
        <v/>
      </c>
      <c r="N623" t="str">
        <f>"ADMCRISTAL.TB@GMAIL.COM"</f>
        <v>ADMCRISTAL.TB@GMAIL.COM</v>
      </c>
      <c r="O623" t="str">
        <f>""</f>
        <v/>
      </c>
      <c r="P623" t="str">
        <f>"RUA 27 DE SETEMBRO"</f>
        <v>RUA 27 DE SETEMBRO</v>
      </c>
      <c r="Q623" t="str">
        <f>"869"</f>
        <v>869</v>
      </c>
      <c r="R623" t="str">
        <f>""</f>
        <v/>
      </c>
      <c r="S623" t="str">
        <f>"1268"</f>
        <v>1268</v>
      </c>
      <c r="T623" t="str">
        <f>"88717000"</f>
        <v>88717000</v>
      </c>
      <c r="U623" t="str">
        <f>"CENTRO"</f>
        <v>CENTRO</v>
      </c>
      <c r="V623" t="str">
        <f>"SANGAO"</f>
        <v>SANGAO</v>
      </c>
      <c r="W623" t="str">
        <f t="shared" si="299"/>
        <v>SC</v>
      </c>
      <c r="X623" t="str">
        <f t="shared" si="313"/>
        <v>48</v>
      </c>
      <c r="Y623" t="str">
        <f>"36323826"</f>
        <v>36323826</v>
      </c>
      <c r="Z623" t="str">
        <f>""</f>
        <v/>
      </c>
      <c r="AA623" t="str">
        <f>""</f>
        <v/>
      </c>
      <c r="AB623" t="str">
        <f>""</f>
        <v/>
      </c>
      <c r="AC623" t="str">
        <f>""</f>
        <v/>
      </c>
      <c r="AD623" t="str">
        <f>""</f>
        <v/>
      </c>
      <c r="AE623" t="str">
        <f>""</f>
        <v/>
      </c>
      <c r="AF623" t="str">
        <f>""</f>
        <v/>
      </c>
      <c r="AG623" t="str">
        <f>""</f>
        <v/>
      </c>
      <c r="AH623" t="str">
        <f>""</f>
        <v/>
      </c>
      <c r="AI623" t="str">
        <f>""</f>
        <v/>
      </c>
      <c r="AJ623" t="str">
        <f>""</f>
        <v/>
      </c>
      <c r="AK623" t="str">
        <f>""</f>
        <v/>
      </c>
      <c r="AL623" t="str">
        <f>""</f>
        <v/>
      </c>
      <c r="AM623" t="str">
        <f>""</f>
        <v/>
      </c>
      <c r="AN623" t="str">
        <f>""</f>
        <v/>
      </c>
      <c r="AO623" t="str">
        <f>""</f>
        <v/>
      </c>
      <c r="AP623" t="str">
        <f>""</f>
        <v/>
      </c>
      <c r="AQ623" t="str">
        <f>""</f>
        <v/>
      </c>
      <c r="AR623" t="str">
        <f>""</f>
        <v/>
      </c>
      <c r="AS623" t="str">
        <f>""</f>
        <v/>
      </c>
      <c r="AT623" t="str">
        <f>""</f>
        <v/>
      </c>
      <c r="AU623" t="str">
        <f>""</f>
        <v/>
      </c>
      <c r="AV623" t="str">
        <f>""</f>
        <v/>
      </c>
      <c r="AW623" t="str">
        <f>""</f>
        <v/>
      </c>
      <c r="AX623" t="str">
        <f>""</f>
        <v/>
      </c>
      <c r="AY623" t="str">
        <f>""</f>
        <v/>
      </c>
      <c r="AZ623" t="str">
        <f>""</f>
        <v/>
      </c>
      <c r="BA623" t="str">
        <f>""</f>
        <v/>
      </c>
      <c r="BB623" t="str">
        <f>"11/07/2023 02:19:56"</f>
        <v>11/07/2023 02:19:56</v>
      </c>
      <c r="BC623" t="str">
        <f>""</f>
        <v/>
      </c>
      <c r="BD623" t="str">
        <f>""</f>
        <v/>
      </c>
      <c r="BE623" t="str">
        <f>""</f>
        <v/>
      </c>
      <c r="BF623" t="str">
        <f t="shared" si="295"/>
        <v>A</v>
      </c>
      <c r="BG623" t="str">
        <f>""</f>
        <v/>
      </c>
      <c r="BH623" t="str">
        <f>""</f>
        <v/>
      </c>
      <c r="BI623" t="str">
        <f t="shared" si="307"/>
        <v>EVENTUAL</v>
      </c>
      <c r="BJ623" t="str">
        <f t="shared" si="296"/>
        <v>1</v>
      </c>
      <c r="BK623" t="str">
        <f t="shared" si="297"/>
        <v>Farmacia</v>
      </c>
      <c r="BL623" t="str">
        <f>""</f>
        <v/>
      </c>
      <c r="BM623" t="str">
        <f>""</f>
        <v/>
      </c>
      <c r="BN623" t="str">
        <f>""</f>
        <v/>
      </c>
      <c r="BO623" t="str">
        <f>""</f>
        <v/>
      </c>
      <c r="BP623" t="str">
        <f>""</f>
        <v/>
      </c>
      <c r="BQ623" t="str">
        <f>""</f>
        <v/>
      </c>
      <c r="BR623" t="str">
        <f>"11/07/2023"</f>
        <v>11/07/2023</v>
      </c>
      <c r="BS623" t="str">
        <f>""</f>
        <v/>
      </c>
      <c r="BT623" t="str">
        <f>""</f>
        <v/>
      </c>
      <c r="BU623" t="str">
        <f>""</f>
        <v/>
      </c>
      <c r="BV623" t="str">
        <f>""</f>
        <v/>
      </c>
      <c r="BW623" t="str">
        <f>"Não visitado"</f>
        <v>Não visitado</v>
      </c>
    </row>
    <row r="624" spans="1:75" x14ac:dyDescent="0.35">
      <c r="A624">
        <v>157614</v>
      </c>
      <c r="B624" t="str">
        <f t="shared" si="291"/>
        <v>A</v>
      </c>
      <c r="C624" t="str">
        <f t="shared" si="292"/>
        <v>80</v>
      </c>
      <c r="D624" t="str">
        <f t="shared" si="281"/>
        <v>11121002</v>
      </c>
      <c r="E624" t="str">
        <f t="shared" si="282"/>
        <v>121002</v>
      </c>
      <c r="F624" t="str">
        <f t="shared" si="283"/>
        <v>CINTHIA NORONHA</v>
      </c>
      <c r="G624" t="str">
        <f>"32717933000190"</f>
        <v>32717933000190</v>
      </c>
      <c r="H624" t="str">
        <f>"0"</f>
        <v>0</v>
      </c>
      <c r="I624" t="str">
        <f t="shared" si="293"/>
        <v>CONTA OPTICA</v>
      </c>
      <c r="J624" t="str">
        <f>"CRISTIAN ZIMMERMANN 04490365969"</f>
        <v>CRISTIAN ZIMMERMANN 04490365969</v>
      </c>
      <c r="K624" t="str">
        <f>"CRIS PAPER ARTE NO PAPEL (3979)"</f>
        <v>CRIS PAPER ARTE NO PAPEL (3979)</v>
      </c>
      <c r="L624" t="str">
        <f>""</f>
        <v/>
      </c>
      <c r="M624" t="str">
        <f>""</f>
        <v/>
      </c>
      <c r="N624" t="str">
        <f>"CRISTIAN-FPOLIS@HOTMAIL.COM"</f>
        <v>CRISTIAN-FPOLIS@HOTMAIL.COM</v>
      </c>
      <c r="O624" t="str">
        <f>""</f>
        <v/>
      </c>
      <c r="P624" t="str">
        <f>"RUA AMÉRICO VESPÚCIO"</f>
        <v>RUA AMÉRICO VESPÚCIO</v>
      </c>
      <c r="Q624" t="str">
        <f>"284"</f>
        <v>284</v>
      </c>
      <c r="R624" t="str">
        <f>""</f>
        <v/>
      </c>
      <c r="S624" t="str">
        <f>""</f>
        <v/>
      </c>
      <c r="T624" t="str">
        <f>"88134420"</f>
        <v>88134420</v>
      </c>
      <c r="U624" t="str">
        <f>"BARRA ARIRIU"</f>
        <v>BARRA ARIRIU</v>
      </c>
      <c r="V624" t="str">
        <f>"PALHOCA"</f>
        <v>PALHOCA</v>
      </c>
      <c r="W624" t="str">
        <f t="shared" si="299"/>
        <v>SC</v>
      </c>
      <c r="X624" t="str">
        <f t="shared" si="313"/>
        <v>48</v>
      </c>
      <c r="Y624" t="str">
        <f>"41070485"</f>
        <v>41070485</v>
      </c>
      <c r="Z624" t="str">
        <f>""</f>
        <v/>
      </c>
      <c r="AA624" t="str">
        <f>""</f>
        <v/>
      </c>
      <c r="AB624" t="str">
        <f>""</f>
        <v/>
      </c>
      <c r="AC624" t="str">
        <f>""</f>
        <v/>
      </c>
      <c r="AD624" t="str">
        <f>""</f>
        <v/>
      </c>
      <c r="AE624" t="str">
        <f>""</f>
        <v/>
      </c>
      <c r="AF624" t="str">
        <f>""</f>
        <v/>
      </c>
      <c r="AG624" t="str">
        <f>""</f>
        <v/>
      </c>
      <c r="AH624" t="str">
        <f>""</f>
        <v/>
      </c>
      <c r="AI624" t="str">
        <f>""</f>
        <v/>
      </c>
      <c r="AJ624" t="str">
        <f>""</f>
        <v/>
      </c>
      <c r="AK624" t="str">
        <f>""</f>
        <v/>
      </c>
      <c r="AL624" t="str">
        <f>""</f>
        <v/>
      </c>
      <c r="AM624" t="str">
        <f>""</f>
        <v/>
      </c>
      <c r="AN624" t="str">
        <f>""</f>
        <v/>
      </c>
      <c r="AO624" t="str">
        <f>""</f>
        <v/>
      </c>
      <c r="AP624" t="str">
        <f>""</f>
        <v/>
      </c>
      <c r="AQ624" t="str">
        <f>""</f>
        <v/>
      </c>
      <c r="AR624" t="str">
        <f>""</f>
        <v/>
      </c>
      <c r="AS624" t="str">
        <f>""</f>
        <v/>
      </c>
      <c r="AT624" t="str">
        <f>""</f>
        <v/>
      </c>
      <c r="AU624" t="str">
        <f>""</f>
        <v/>
      </c>
      <c r="AV624" t="str">
        <f>""</f>
        <v/>
      </c>
      <c r="AW624" t="str">
        <f>""</f>
        <v/>
      </c>
      <c r="AX624" t="str">
        <f>""</f>
        <v/>
      </c>
      <c r="AY624" t="str">
        <f>""</f>
        <v/>
      </c>
      <c r="AZ624" t="str">
        <f>""</f>
        <v/>
      </c>
      <c r="BA624" t="str">
        <f>""</f>
        <v/>
      </c>
      <c r="BB624" t="str">
        <f>"11/07/2023 02:19:56"</f>
        <v>11/07/2023 02:19:56</v>
      </c>
      <c r="BC624" t="str">
        <f>""</f>
        <v/>
      </c>
      <c r="BD624" t="str">
        <f>""</f>
        <v/>
      </c>
      <c r="BE624" t="str">
        <f>""</f>
        <v/>
      </c>
      <c r="BF624" t="str">
        <f t="shared" si="295"/>
        <v>A</v>
      </c>
      <c r="BG624" t="str">
        <f>""</f>
        <v/>
      </c>
      <c r="BH624" t="str">
        <f>""</f>
        <v/>
      </c>
      <c r="BI624" t="str">
        <f t="shared" si="307"/>
        <v>EVENTUAL</v>
      </c>
      <c r="BJ624" t="str">
        <f t="shared" si="296"/>
        <v>1</v>
      </c>
      <c r="BK624" t="str">
        <f t="shared" si="297"/>
        <v>Farmacia</v>
      </c>
      <c r="BL624" t="str">
        <f>""</f>
        <v/>
      </c>
      <c r="BM624" t="str">
        <f>""</f>
        <v/>
      </c>
      <c r="BN624" t="str">
        <f>""</f>
        <v/>
      </c>
      <c r="BO624" t="str">
        <f>""</f>
        <v/>
      </c>
      <c r="BP624" t="str">
        <f>""</f>
        <v/>
      </c>
      <c r="BQ624" t="str">
        <f>""</f>
        <v/>
      </c>
      <c r="BR624" t="str">
        <f>"11/07/2023"</f>
        <v>11/07/2023</v>
      </c>
      <c r="BS624" t="str">
        <f>""</f>
        <v/>
      </c>
      <c r="BT624" t="str">
        <f>""</f>
        <v/>
      </c>
      <c r="BU624" t="str">
        <f>""</f>
        <v/>
      </c>
      <c r="BV624" t="str">
        <f>""</f>
        <v/>
      </c>
      <c r="BW624" t="str">
        <f>"Não visitado"</f>
        <v>Não visitado</v>
      </c>
    </row>
    <row r="625" spans="1:75" x14ac:dyDescent="0.35">
      <c r="A625">
        <v>157637</v>
      </c>
      <c r="B625" t="str">
        <f t="shared" si="291"/>
        <v>A</v>
      </c>
      <c r="C625" t="str">
        <f t="shared" si="292"/>
        <v>80</v>
      </c>
      <c r="D625" t="str">
        <f t="shared" si="281"/>
        <v>11121002</v>
      </c>
      <c r="E625" t="str">
        <f t="shared" si="282"/>
        <v>121002</v>
      </c>
      <c r="F625" t="str">
        <f t="shared" si="283"/>
        <v>CINTHIA NORONHA</v>
      </c>
      <c r="G625" t="str">
        <f>"18616332000160"</f>
        <v>18616332000160</v>
      </c>
      <c r="H625" t="str">
        <f>"0"</f>
        <v>0</v>
      </c>
      <c r="I625" t="str">
        <f t="shared" si="293"/>
        <v>CONTA OPTICA</v>
      </c>
      <c r="J625" t="str">
        <f>"CRISTIANO DE OLIVEIRA ESPANHOL"</f>
        <v>CRISTIANO DE OLIVEIRA ESPANHOL</v>
      </c>
      <c r="K625" t="str">
        <f>"OPTICA CLINICA DAS JOIAS (4646)"</f>
        <v>OPTICA CLINICA DAS JOIAS (4646)</v>
      </c>
      <c r="L625" t="str">
        <f>""</f>
        <v/>
      </c>
      <c r="M625" t="str">
        <f>""</f>
        <v/>
      </c>
      <c r="N625" t="str">
        <f>"OPTICACJ20@GMAIL.COM"</f>
        <v>OPTICACJ20@GMAIL.COM</v>
      </c>
      <c r="O625" t="str">
        <f>""</f>
        <v/>
      </c>
      <c r="P625" t="str">
        <f>"GETULIO VARGAS"</f>
        <v>GETULIO VARGAS</v>
      </c>
      <c r="Q625" t="str">
        <f>"757"</f>
        <v>757</v>
      </c>
      <c r="R625" t="str">
        <f>"SALA 02"</f>
        <v>SALA 02</v>
      </c>
      <c r="S625" t="str">
        <f>"1270"</f>
        <v>1270</v>
      </c>
      <c r="T625" t="str">
        <f>"88960000"</f>
        <v>88960000</v>
      </c>
      <c r="U625" t="str">
        <f>"NOVA BRASILIA"</f>
        <v>NOVA BRASILIA</v>
      </c>
      <c r="V625" t="str">
        <f>"SOMBRIO"</f>
        <v>SOMBRIO</v>
      </c>
      <c r="W625" t="str">
        <f t="shared" si="299"/>
        <v>SC</v>
      </c>
      <c r="X625" t="str">
        <f t="shared" si="313"/>
        <v>48</v>
      </c>
      <c r="Y625" t="str">
        <f>"999327242"</f>
        <v>999327242</v>
      </c>
      <c r="Z625" t="str">
        <f>""</f>
        <v/>
      </c>
      <c r="AA625" t="str">
        <f>""</f>
        <v/>
      </c>
      <c r="AB625" t="str">
        <f>""</f>
        <v/>
      </c>
      <c r="AC625" t="str">
        <f>""</f>
        <v/>
      </c>
      <c r="AD625" t="str">
        <f>""</f>
        <v/>
      </c>
      <c r="AE625" t="str">
        <f>""</f>
        <v/>
      </c>
      <c r="AF625" t="str">
        <f>""</f>
        <v/>
      </c>
      <c r="AG625" t="str">
        <f>""</f>
        <v/>
      </c>
      <c r="AH625" t="str">
        <f>""</f>
        <v/>
      </c>
      <c r="AI625" t="str">
        <f>""</f>
        <v/>
      </c>
      <c r="AJ625" t="str">
        <f>""</f>
        <v/>
      </c>
      <c r="AK625" t="str">
        <f>""</f>
        <v/>
      </c>
      <c r="AL625" t="str">
        <f>""</f>
        <v/>
      </c>
      <c r="AM625" t="str">
        <f>""</f>
        <v/>
      </c>
      <c r="AN625" t="str">
        <f>""</f>
        <v/>
      </c>
      <c r="AO625" t="str">
        <f>""</f>
        <v/>
      </c>
      <c r="AP625" t="str">
        <f>""</f>
        <v/>
      </c>
      <c r="AQ625" t="str">
        <f>""</f>
        <v/>
      </c>
      <c r="AR625" t="str">
        <f>""</f>
        <v/>
      </c>
      <c r="AS625" t="str">
        <f>""</f>
        <v/>
      </c>
      <c r="AT625" t="str">
        <f>""</f>
        <v/>
      </c>
      <c r="AU625" t="str">
        <f>""</f>
        <v/>
      </c>
      <c r="AV625" t="str">
        <f>""</f>
        <v/>
      </c>
      <c r="AW625" t="str">
        <f>""</f>
        <v/>
      </c>
      <c r="AX625" t="str">
        <f>""</f>
        <v/>
      </c>
      <c r="AY625" t="str">
        <f>""</f>
        <v/>
      </c>
      <c r="AZ625" t="str">
        <f>""</f>
        <v/>
      </c>
      <c r="BA625" t="str">
        <f>""</f>
        <v/>
      </c>
      <c r="BB625" t="str">
        <f>"11/07/2023 02:19:56"</f>
        <v>11/07/2023 02:19:56</v>
      </c>
      <c r="BC625" t="str">
        <f>""</f>
        <v/>
      </c>
      <c r="BD625" t="str">
        <f>""</f>
        <v/>
      </c>
      <c r="BE625" t="str">
        <f>""</f>
        <v/>
      </c>
      <c r="BF625" t="str">
        <f t="shared" si="295"/>
        <v>A</v>
      </c>
      <c r="BG625" t="str">
        <f>""</f>
        <v/>
      </c>
      <c r="BH625" t="str">
        <f>""</f>
        <v/>
      </c>
      <c r="BI625" t="str">
        <f t="shared" si="307"/>
        <v>EVENTUAL</v>
      </c>
      <c r="BJ625" t="str">
        <f t="shared" si="296"/>
        <v>1</v>
      </c>
      <c r="BK625" t="str">
        <f t="shared" si="297"/>
        <v>Farmacia</v>
      </c>
      <c r="BL625" t="str">
        <f>""</f>
        <v/>
      </c>
      <c r="BM625" t="str">
        <f>""</f>
        <v/>
      </c>
      <c r="BN625" t="str">
        <f>""</f>
        <v/>
      </c>
      <c r="BO625" t="str">
        <f>""</f>
        <v/>
      </c>
      <c r="BP625" t="str">
        <f>""</f>
        <v/>
      </c>
      <c r="BQ625" t="str">
        <f>""</f>
        <v/>
      </c>
      <c r="BR625" t="str">
        <f>"11/07/2023"</f>
        <v>11/07/2023</v>
      </c>
      <c r="BS625" t="str">
        <f>""</f>
        <v/>
      </c>
      <c r="BT625" t="str">
        <f>""</f>
        <v/>
      </c>
      <c r="BU625" t="str">
        <f>""</f>
        <v/>
      </c>
      <c r="BV625" t="str">
        <f>""</f>
        <v/>
      </c>
      <c r="BW625" t="str">
        <f>"Não visitado"</f>
        <v>Não visitado</v>
      </c>
    </row>
    <row r="626" spans="1:75" x14ac:dyDescent="0.35">
      <c r="A626">
        <v>144398</v>
      </c>
      <c r="B626" t="str">
        <f t="shared" si="291"/>
        <v>A</v>
      </c>
      <c r="C626" t="str">
        <f t="shared" si="292"/>
        <v>80</v>
      </c>
      <c r="D626" t="str">
        <f t="shared" si="281"/>
        <v>11121002</v>
      </c>
      <c r="E626" t="str">
        <f t="shared" si="282"/>
        <v>121002</v>
      </c>
      <c r="F626" t="str">
        <f t="shared" si="283"/>
        <v>CINTHIA NORONHA</v>
      </c>
      <c r="G626" t="str">
        <f>"86429503000364"</f>
        <v>86429503000364</v>
      </c>
      <c r="H626" t="str">
        <f>""</f>
        <v/>
      </c>
      <c r="I626" t="str">
        <f t="shared" si="293"/>
        <v>CONTA OPTICA</v>
      </c>
      <c r="J626" t="str">
        <f>"CRISTIANO SILVESTRI RINALDI"</f>
        <v>CRISTIANO SILVESTRI RINALDI</v>
      </c>
      <c r="K626" t="str">
        <f>"OTICA RINALDI (1396)"</f>
        <v>OTICA RINALDI (1396)</v>
      </c>
      <c r="L626" t="str">
        <f>""</f>
        <v/>
      </c>
      <c r="M626" t="str">
        <f>""</f>
        <v/>
      </c>
      <c r="N626" t="str">
        <f>"rinaldiescritorio@hotmail.com"</f>
        <v>rinaldiescritorio@hotmail.com</v>
      </c>
      <c r="O626" t="str">
        <f>""</f>
        <v/>
      </c>
      <c r="P626" t="str">
        <f>"RUA MARCOLINO MARTINS CABRAL"</f>
        <v>RUA MARCOLINO MARTINS CABRAL</v>
      </c>
      <c r="Q626" t="str">
        <f>"857"</f>
        <v>857</v>
      </c>
      <c r="R626" t="str">
        <f>""</f>
        <v/>
      </c>
      <c r="S626" t="str">
        <f>"1268"</f>
        <v>1268</v>
      </c>
      <c r="T626" t="str">
        <f>"88701001"</f>
        <v>88701001</v>
      </c>
      <c r="U626" t="str">
        <f>"CENTRO"</f>
        <v>CENTRO</v>
      </c>
      <c r="V626" t="str">
        <f>"TUBARÃO"</f>
        <v>TUBARÃO</v>
      </c>
      <c r="W626" t="str">
        <f t="shared" si="299"/>
        <v>SC</v>
      </c>
      <c r="X626" t="str">
        <f t="shared" si="313"/>
        <v>48</v>
      </c>
      <c r="Y626" t="str">
        <f>"36264811"</f>
        <v>36264811</v>
      </c>
      <c r="Z626" t="str">
        <f>""</f>
        <v/>
      </c>
      <c r="AA626" t="str">
        <f>""</f>
        <v/>
      </c>
      <c r="AB626" t="str">
        <f>""</f>
        <v/>
      </c>
      <c r="AC626" t="str">
        <f>""</f>
        <v/>
      </c>
      <c r="AD626" t="str">
        <f>""</f>
        <v/>
      </c>
      <c r="AE626" t="str">
        <f>""</f>
        <v/>
      </c>
      <c r="AF626" t="str">
        <f>""</f>
        <v/>
      </c>
      <c r="AG626" t="str">
        <f>""</f>
        <v/>
      </c>
      <c r="AH626" t="str">
        <f>""</f>
        <v/>
      </c>
      <c r="AI626" t="str">
        <f>""</f>
        <v/>
      </c>
      <c r="AJ626" t="str">
        <f t="shared" ref="AJ626:AL628" si="314">"0"</f>
        <v>0</v>
      </c>
      <c r="AK626" t="str">
        <f t="shared" si="314"/>
        <v>0</v>
      </c>
      <c r="AL626" t="str">
        <f t="shared" si="314"/>
        <v>0</v>
      </c>
      <c r="AM626" t="str">
        <f>""</f>
        <v/>
      </c>
      <c r="AN626" t="str">
        <f>""</f>
        <v/>
      </c>
      <c r="AO626" t="str">
        <f>""</f>
        <v/>
      </c>
      <c r="AP626" t="str">
        <f>""</f>
        <v/>
      </c>
      <c r="AQ626" t="str">
        <f>""</f>
        <v/>
      </c>
      <c r="AR626" t="str">
        <f>""</f>
        <v/>
      </c>
      <c r="AS626" t="str">
        <f>""</f>
        <v/>
      </c>
      <c r="AT626" t="str">
        <f>""</f>
        <v/>
      </c>
      <c r="AU626" t="str">
        <f>""</f>
        <v/>
      </c>
      <c r="AV626" t="str">
        <f>""</f>
        <v/>
      </c>
      <c r="AW626" t="str">
        <f>""</f>
        <v/>
      </c>
      <c r="AX626" t="str">
        <f>""</f>
        <v/>
      </c>
      <c r="AY626" t="str">
        <f>""</f>
        <v/>
      </c>
      <c r="AZ626" t="str">
        <f>""</f>
        <v/>
      </c>
      <c r="BA626" t="str">
        <f>""</f>
        <v/>
      </c>
      <c r="BB626" t="str">
        <f>""</f>
        <v/>
      </c>
      <c r="BC626" t="str">
        <f>""</f>
        <v/>
      </c>
      <c r="BD626" t="str">
        <f>""</f>
        <v/>
      </c>
      <c r="BE626" t="str">
        <f>""</f>
        <v/>
      </c>
      <c r="BF626" t="str">
        <f t="shared" si="295"/>
        <v>A</v>
      </c>
      <c r="BG626" t="str">
        <f t="shared" ref="BG626:BH628" si="315">"0,00"</f>
        <v>0,00</v>
      </c>
      <c r="BH626" t="str">
        <f t="shared" si="315"/>
        <v>0,00</v>
      </c>
      <c r="BI626" t="str">
        <f t="shared" si="307"/>
        <v>EVENTUAL</v>
      </c>
      <c r="BJ626" t="str">
        <f t="shared" si="296"/>
        <v>1</v>
      </c>
      <c r="BK626" t="str">
        <f t="shared" si="297"/>
        <v>Farmacia</v>
      </c>
      <c r="BL626" t="str">
        <f>""</f>
        <v/>
      </c>
      <c r="BM626" t="str">
        <f>"CREDENCIADO VARILUX"</f>
        <v>CREDENCIADO VARILUX</v>
      </c>
      <c r="BN626" t="str">
        <f>"NA"</f>
        <v>NA</v>
      </c>
      <c r="BO626" t="str">
        <f>"FOCO VARILUX DIGITAL"</f>
        <v>FOCO VARILUX DIGITAL</v>
      </c>
      <c r="BP626" t="str">
        <f>""</f>
        <v/>
      </c>
      <c r="BQ626" t="str">
        <f>""</f>
        <v/>
      </c>
      <c r="BR626" t="str">
        <f>""</f>
        <v/>
      </c>
      <c r="BS626" t="str">
        <f>""</f>
        <v/>
      </c>
      <c r="BT626" t="str">
        <f>""</f>
        <v/>
      </c>
      <c r="BU626" t="str">
        <f>""</f>
        <v/>
      </c>
      <c r="BV626" t="str">
        <f>"1"</f>
        <v>1</v>
      </c>
      <c r="BW626" t="str">
        <f>"14"</f>
        <v>14</v>
      </c>
    </row>
    <row r="627" spans="1:75" x14ac:dyDescent="0.35">
      <c r="A627">
        <v>144494</v>
      </c>
      <c r="B627" t="str">
        <f t="shared" si="291"/>
        <v>A</v>
      </c>
      <c r="C627" t="str">
        <f t="shared" si="292"/>
        <v>80</v>
      </c>
      <c r="D627" t="str">
        <f t="shared" si="281"/>
        <v>11121002</v>
      </c>
      <c r="E627" t="str">
        <f t="shared" si="282"/>
        <v>121002</v>
      </c>
      <c r="F627" t="str">
        <f t="shared" si="283"/>
        <v>CINTHIA NORONHA</v>
      </c>
      <c r="G627" t="str">
        <f>"86429503000100"</f>
        <v>86429503000100</v>
      </c>
      <c r="H627" t="str">
        <f>""</f>
        <v/>
      </c>
      <c r="I627" t="str">
        <f t="shared" si="293"/>
        <v>CONTA OPTICA</v>
      </c>
      <c r="J627" t="str">
        <f>"CRISTIANO SILVESTRI RINALDI EPP"</f>
        <v>CRISTIANO SILVESTRI RINALDI EPP</v>
      </c>
      <c r="K627" t="str">
        <f>"RELOJOARIA E OTICA RINALDI (1113)"</f>
        <v>RELOJOARIA E OTICA RINALDI (1113)</v>
      </c>
      <c r="L627" t="str">
        <f>""</f>
        <v/>
      </c>
      <c r="M627" t="str">
        <f>""</f>
        <v/>
      </c>
      <c r="N627" t="str">
        <f>"relojoaria_rinaldi@hotmail.com"</f>
        <v>relojoaria_rinaldi@hotmail.com</v>
      </c>
      <c r="O627" t="str">
        <f>""</f>
        <v/>
      </c>
      <c r="P627" t="str">
        <f>"RUA LAURO MULLER"</f>
        <v>RUA LAURO MULLER</v>
      </c>
      <c r="Q627" t="str">
        <f>"80"</f>
        <v>80</v>
      </c>
      <c r="R627" t="str">
        <f>""</f>
        <v/>
      </c>
      <c r="S627" t="str">
        <f>"1268"</f>
        <v>1268</v>
      </c>
      <c r="T627" t="str">
        <f>"88701010"</f>
        <v>88701010</v>
      </c>
      <c r="U627" t="str">
        <f>"CENTRO"</f>
        <v>CENTRO</v>
      </c>
      <c r="V627" t="str">
        <f>"TUBARÃO"</f>
        <v>TUBARÃO</v>
      </c>
      <c r="W627" t="str">
        <f t="shared" si="299"/>
        <v>SC</v>
      </c>
      <c r="X627" t="str">
        <f t="shared" si="313"/>
        <v>48</v>
      </c>
      <c r="Y627" t="str">
        <f>"36264811"</f>
        <v>36264811</v>
      </c>
      <c r="Z627" t="str">
        <f>""</f>
        <v/>
      </c>
      <c r="AA627" t="str">
        <f>""</f>
        <v/>
      </c>
      <c r="AB627" t="str">
        <f>""</f>
        <v/>
      </c>
      <c r="AC627" t="str">
        <f>""</f>
        <v/>
      </c>
      <c r="AD627" t="str">
        <f>""</f>
        <v/>
      </c>
      <c r="AE627" t="str">
        <f>""</f>
        <v/>
      </c>
      <c r="AF627" t="str">
        <f>""</f>
        <v/>
      </c>
      <c r="AG627" t="str">
        <f>""</f>
        <v/>
      </c>
      <c r="AH627" t="str">
        <f>""</f>
        <v/>
      </c>
      <c r="AI627" t="str">
        <f>""</f>
        <v/>
      </c>
      <c r="AJ627" t="str">
        <f t="shared" si="314"/>
        <v>0</v>
      </c>
      <c r="AK627" t="str">
        <f t="shared" si="314"/>
        <v>0</v>
      </c>
      <c r="AL627" t="str">
        <f t="shared" si="314"/>
        <v>0</v>
      </c>
      <c r="AM627" t="str">
        <f>""</f>
        <v/>
      </c>
      <c r="AN627" t="str">
        <f>""</f>
        <v/>
      </c>
      <c r="AO627" t="str">
        <f>""</f>
        <v/>
      </c>
      <c r="AP627" t="str">
        <f>""</f>
        <v/>
      </c>
      <c r="AQ627" t="str">
        <f>""</f>
        <v/>
      </c>
      <c r="AR627" t="str">
        <f>""</f>
        <v/>
      </c>
      <c r="AS627" t="str">
        <f>""</f>
        <v/>
      </c>
      <c r="AT627" t="str">
        <f>""</f>
        <v/>
      </c>
      <c r="AU627" t="str">
        <f>""</f>
        <v/>
      </c>
      <c r="AV627" t="str">
        <f>""</f>
        <v/>
      </c>
      <c r="AW627" t="str">
        <f>""</f>
        <v/>
      </c>
      <c r="AX627" t="str">
        <f>""</f>
        <v/>
      </c>
      <c r="AY627" t="str">
        <f>""</f>
        <v/>
      </c>
      <c r="AZ627" t="str">
        <f>""</f>
        <v/>
      </c>
      <c r="BA627" t="str">
        <f>""</f>
        <v/>
      </c>
      <c r="BB627" t="str">
        <f>""</f>
        <v/>
      </c>
      <c r="BC627" t="str">
        <f>""</f>
        <v/>
      </c>
      <c r="BD627" t="str">
        <f>""</f>
        <v/>
      </c>
      <c r="BE627" t="str">
        <f>""</f>
        <v/>
      </c>
      <c r="BF627" t="str">
        <f t="shared" si="295"/>
        <v>A</v>
      </c>
      <c r="BG627" t="str">
        <f t="shared" si="315"/>
        <v>0,00</v>
      </c>
      <c r="BH627" t="str">
        <f t="shared" si="315"/>
        <v>0,00</v>
      </c>
      <c r="BI627" t="str">
        <f t="shared" si="307"/>
        <v>EVENTUAL</v>
      </c>
      <c r="BJ627" t="str">
        <f t="shared" si="296"/>
        <v>1</v>
      </c>
      <c r="BK627" t="str">
        <f t="shared" si="297"/>
        <v>Farmacia</v>
      </c>
      <c r="BL627" t="str">
        <f>""</f>
        <v/>
      </c>
      <c r="BM627" t="str">
        <f>"VARILUX ESPECIALISTA SELECT"</f>
        <v>VARILUX ESPECIALISTA SELECT</v>
      </c>
      <c r="BN627" t="str">
        <f>"NA"</f>
        <v>NA</v>
      </c>
      <c r="BO627" t="str">
        <f>"FOCO VARILUX DIGITAL"</f>
        <v>FOCO VARILUX DIGITAL</v>
      </c>
      <c r="BP627" t="str">
        <f>""</f>
        <v/>
      </c>
      <c r="BQ627" t="str">
        <f>""</f>
        <v/>
      </c>
      <c r="BR627" t="str">
        <f>""</f>
        <v/>
      </c>
      <c r="BS627" t="str">
        <f>""</f>
        <v/>
      </c>
      <c r="BT627" t="str">
        <f>""</f>
        <v/>
      </c>
      <c r="BU627" t="str">
        <f>""</f>
        <v/>
      </c>
      <c r="BV627" t="str">
        <f>"1"</f>
        <v>1</v>
      </c>
      <c r="BW627" t="str">
        <f>"14"</f>
        <v>14</v>
      </c>
    </row>
    <row r="628" spans="1:75" x14ac:dyDescent="0.35">
      <c r="A628">
        <v>144397</v>
      </c>
      <c r="B628" t="str">
        <f t="shared" si="291"/>
        <v>A</v>
      </c>
      <c r="C628" t="str">
        <f t="shared" si="292"/>
        <v>80</v>
      </c>
      <c r="D628" t="str">
        <f t="shared" ref="D628:D691" si="316">"11121002"</f>
        <v>11121002</v>
      </c>
      <c r="E628" t="str">
        <f t="shared" ref="E628:E691" si="317">"121002"</f>
        <v>121002</v>
      </c>
      <c r="F628" t="str">
        <f t="shared" ref="F628:F691" si="318">"CINTHIA NORONHA"</f>
        <v>CINTHIA NORONHA</v>
      </c>
      <c r="G628" t="str">
        <f>"86429503000283"</f>
        <v>86429503000283</v>
      </c>
      <c r="H628" t="str">
        <f>""</f>
        <v/>
      </c>
      <c r="I628" t="str">
        <f t="shared" si="293"/>
        <v>CONTA OPTICA</v>
      </c>
      <c r="J628" t="str">
        <f>"CRISTIANO SILVESTRI RINALDI EPP"</f>
        <v>CRISTIANO SILVESTRI RINALDI EPP</v>
      </c>
      <c r="K628" t="str">
        <f>"OTICA RINALDI (29)"</f>
        <v>OTICA RINALDI (29)</v>
      </c>
      <c r="L628" t="str">
        <f>""</f>
        <v/>
      </c>
      <c r="M628" t="str">
        <f>""</f>
        <v/>
      </c>
      <c r="N628" t="str">
        <f>"rinaldiescritorio@hotmail.com"</f>
        <v>rinaldiescritorio@hotmail.com</v>
      </c>
      <c r="O628" t="str">
        <f>""</f>
        <v/>
      </c>
      <c r="P628" t="str">
        <f>"RUA MARECHAL DEODORO"</f>
        <v>RUA MARECHAL DEODORO</v>
      </c>
      <c r="Q628" t="str">
        <f>"51"</f>
        <v>51</v>
      </c>
      <c r="R628" t="str">
        <f>""</f>
        <v/>
      </c>
      <c r="S628" t="str">
        <f>"1268"</f>
        <v>1268</v>
      </c>
      <c r="T628" t="str">
        <f>"88701010"</f>
        <v>88701010</v>
      </c>
      <c r="U628" t="str">
        <f>"CENTRO"</f>
        <v>CENTRO</v>
      </c>
      <c r="V628" t="str">
        <f>"TUBARÃO"</f>
        <v>TUBARÃO</v>
      </c>
      <c r="W628" t="str">
        <f t="shared" si="299"/>
        <v>SC</v>
      </c>
      <c r="X628" t="str">
        <f t="shared" si="313"/>
        <v>48</v>
      </c>
      <c r="Y628" t="str">
        <f>"36264811"</f>
        <v>36264811</v>
      </c>
      <c r="Z628" t="str">
        <f>""</f>
        <v/>
      </c>
      <c r="AA628" t="str">
        <f>""</f>
        <v/>
      </c>
      <c r="AB628" t="str">
        <f>""</f>
        <v/>
      </c>
      <c r="AC628" t="str">
        <f>""</f>
        <v/>
      </c>
      <c r="AD628" t="str">
        <f>""</f>
        <v/>
      </c>
      <c r="AE628" t="str">
        <f>""</f>
        <v/>
      </c>
      <c r="AF628" t="str">
        <f>""</f>
        <v/>
      </c>
      <c r="AG628" t="str">
        <f>""</f>
        <v/>
      </c>
      <c r="AH628" t="str">
        <f>""</f>
        <v/>
      </c>
      <c r="AI628" t="str">
        <f>""</f>
        <v/>
      </c>
      <c r="AJ628" t="str">
        <f t="shared" si="314"/>
        <v>0</v>
      </c>
      <c r="AK628" t="str">
        <f t="shared" si="314"/>
        <v>0</v>
      </c>
      <c r="AL628" t="str">
        <f t="shared" si="314"/>
        <v>0</v>
      </c>
      <c r="AM628" t="str">
        <f>""</f>
        <v/>
      </c>
      <c r="AN628" t="str">
        <f>""</f>
        <v/>
      </c>
      <c r="AO628" t="str">
        <f>""</f>
        <v/>
      </c>
      <c r="AP628" t="str">
        <f>""</f>
        <v/>
      </c>
      <c r="AQ628" t="str">
        <f>""</f>
        <v/>
      </c>
      <c r="AR628" t="str">
        <f>""</f>
        <v/>
      </c>
      <c r="AS628" t="str">
        <f>""</f>
        <v/>
      </c>
      <c r="AT628" t="str">
        <f>""</f>
        <v/>
      </c>
      <c r="AU628" t="str">
        <f>""</f>
        <v/>
      </c>
      <c r="AV628" t="str">
        <f>""</f>
        <v/>
      </c>
      <c r="AW628" t="str">
        <f>""</f>
        <v/>
      </c>
      <c r="AX628" t="str">
        <f>""</f>
        <v/>
      </c>
      <c r="AY628" t="str">
        <f>""</f>
        <v/>
      </c>
      <c r="AZ628" t="str">
        <f>""</f>
        <v/>
      </c>
      <c r="BA628" t="str">
        <f>""</f>
        <v/>
      </c>
      <c r="BB628" t="str">
        <f>""</f>
        <v/>
      </c>
      <c r="BC628" t="str">
        <f>""</f>
        <v/>
      </c>
      <c r="BD628" t="str">
        <f>""</f>
        <v/>
      </c>
      <c r="BE628" t="str">
        <f>""</f>
        <v/>
      </c>
      <c r="BF628" t="str">
        <f t="shared" si="295"/>
        <v>A</v>
      </c>
      <c r="BG628" t="str">
        <f t="shared" si="315"/>
        <v>0,00</v>
      </c>
      <c r="BH628" t="str">
        <f t="shared" si="315"/>
        <v>0,00</v>
      </c>
      <c r="BI628" t="str">
        <f t="shared" si="307"/>
        <v>EVENTUAL</v>
      </c>
      <c r="BJ628" t="str">
        <f t="shared" si="296"/>
        <v>1</v>
      </c>
      <c r="BK628" t="str">
        <f t="shared" si="297"/>
        <v>Farmacia</v>
      </c>
      <c r="BL628" t="str">
        <f>""</f>
        <v/>
      </c>
      <c r="BM628" t="str">
        <f>"VARILUX ESPECIALISTA SELECT"</f>
        <v>VARILUX ESPECIALISTA SELECT</v>
      </c>
      <c r="BN628" t="str">
        <f>"NA"</f>
        <v>NA</v>
      </c>
      <c r="BO628" t="str">
        <f>"FOCO VARILUX DIGITAL"</f>
        <v>FOCO VARILUX DIGITAL</v>
      </c>
      <c r="BP628" t="str">
        <f>""</f>
        <v/>
      </c>
      <c r="BQ628" t="str">
        <f>""</f>
        <v/>
      </c>
      <c r="BR628" t="str">
        <f>""</f>
        <v/>
      </c>
      <c r="BS628" t="str">
        <f>""</f>
        <v/>
      </c>
      <c r="BT628" t="str">
        <f>""</f>
        <v/>
      </c>
      <c r="BU628" t="str">
        <f>""</f>
        <v/>
      </c>
      <c r="BV628" t="str">
        <f>"1"</f>
        <v>1</v>
      </c>
      <c r="BW628" t="str">
        <f>"16"</f>
        <v>16</v>
      </c>
    </row>
    <row r="629" spans="1:75" x14ac:dyDescent="0.35">
      <c r="A629">
        <v>156930</v>
      </c>
      <c r="B629" t="str">
        <f t="shared" si="291"/>
        <v>A</v>
      </c>
      <c r="C629" t="str">
        <f t="shared" si="292"/>
        <v>80</v>
      </c>
      <c r="D629" t="str">
        <f t="shared" si="316"/>
        <v>11121002</v>
      </c>
      <c r="E629" t="str">
        <f t="shared" si="317"/>
        <v>121002</v>
      </c>
      <c r="F629" t="str">
        <f t="shared" si="318"/>
        <v>CINTHIA NORONHA</v>
      </c>
      <c r="G629" t="str">
        <f>"23345281000110"</f>
        <v>23345281000110</v>
      </c>
      <c r="H629" t="str">
        <f>"0"</f>
        <v>0</v>
      </c>
      <c r="I629" t="str">
        <f t="shared" si="293"/>
        <v>CONTA OPTICA</v>
      </c>
      <c r="J629" t="str">
        <f>"CS MEURER OPTICA ME"</f>
        <v>CS MEURER OPTICA ME</v>
      </c>
      <c r="K629" t="str">
        <f>"MERCADAO DOS OCULOS (3354)"</f>
        <v>MERCADAO DOS OCULOS (3354)</v>
      </c>
      <c r="L629" t="str">
        <f>""</f>
        <v/>
      </c>
      <c r="M629" t="str">
        <f>""</f>
        <v/>
      </c>
      <c r="N629" t="str">
        <f>"TORRES@MERCADAODOSOCULOS.COM.BR"</f>
        <v>TORRES@MERCADAODOSOCULOS.COM.BR</v>
      </c>
      <c r="O629" t="str">
        <f>""</f>
        <v/>
      </c>
      <c r="P629" t="str">
        <f>"RUA CORONEL PACHECO"</f>
        <v>RUA CORONEL PACHECO</v>
      </c>
      <c r="Q629" t="str">
        <f>"350"</f>
        <v>350</v>
      </c>
      <c r="R629" t="str">
        <f>"SALA 04"</f>
        <v>SALA 04</v>
      </c>
      <c r="S629" t="str">
        <f>"1336"</f>
        <v>1336</v>
      </c>
      <c r="T629" t="str">
        <f>"95560000"</f>
        <v>95560000</v>
      </c>
      <c r="U629" t="str">
        <f>"CENTRO"</f>
        <v>CENTRO</v>
      </c>
      <c r="V629" t="str">
        <f>"TORRES"</f>
        <v>TORRES</v>
      </c>
      <c r="W629" t="str">
        <f>"RS"</f>
        <v>RS</v>
      </c>
      <c r="X629" t="str">
        <f>"51"</f>
        <v>51</v>
      </c>
      <c r="Y629" t="str">
        <f>"36641714"</f>
        <v>36641714</v>
      </c>
      <c r="Z629" t="str">
        <f>""</f>
        <v/>
      </c>
      <c r="AA629" t="str">
        <f>""</f>
        <v/>
      </c>
      <c r="AB629" t="str">
        <f>""</f>
        <v/>
      </c>
      <c r="AC629" t="str">
        <f>""</f>
        <v/>
      </c>
      <c r="AD629" t="str">
        <f>""</f>
        <v/>
      </c>
      <c r="AE629" t="str">
        <f>""</f>
        <v/>
      </c>
      <c r="AF629" t="str">
        <f>""</f>
        <v/>
      </c>
      <c r="AG629" t="str">
        <f>""</f>
        <v/>
      </c>
      <c r="AH629" t="str">
        <f>""</f>
        <v/>
      </c>
      <c r="AI629" t="str">
        <f>""</f>
        <v/>
      </c>
      <c r="AJ629" t="str">
        <f>""</f>
        <v/>
      </c>
      <c r="AK629" t="str">
        <f>""</f>
        <v/>
      </c>
      <c r="AL629" t="str">
        <f>""</f>
        <v/>
      </c>
      <c r="AM629" t="str">
        <f>""</f>
        <v/>
      </c>
      <c r="AN629" t="str">
        <f>""</f>
        <v/>
      </c>
      <c r="AO629" t="str">
        <f>""</f>
        <v/>
      </c>
      <c r="AP629" t="str">
        <f>""</f>
        <v/>
      </c>
      <c r="AQ629" t="str">
        <f>""</f>
        <v/>
      </c>
      <c r="AR629" t="str">
        <f>""</f>
        <v/>
      </c>
      <c r="AS629" t="str">
        <f>""</f>
        <v/>
      </c>
      <c r="AT629" t="str">
        <f>""</f>
        <v/>
      </c>
      <c r="AU629" t="str">
        <f>""</f>
        <v/>
      </c>
      <c r="AV629" t="str">
        <f>""</f>
        <v/>
      </c>
      <c r="AW629" t="str">
        <f>""</f>
        <v/>
      </c>
      <c r="AX629" t="str">
        <f>""</f>
        <v/>
      </c>
      <c r="AY629" t="str">
        <f>""</f>
        <v/>
      </c>
      <c r="AZ629" t="str">
        <f>""</f>
        <v/>
      </c>
      <c r="BA629" t="str">
        <f>""</f>
        <v/>
      </c>
      <c r="BB629" t="str">
        <f>"06/07/2023 12:07:48"</f>
        <v>06/07/2023 12:07:48</v>
      </c>
      <c r="BC629" t="str">
        <f>""</f>
        <v/>
      </c>
      <c r="BD629" t="str">
        <f>""</f>
        <v/>
      </c>
      <c r="BE629" t="str">
        <f>""</f>
        <v/>
      </c>
      <c r="BF629" t="str">
        <f t="shared" si="295"/>
        <v>A</v>
      </c>
      <c r="BG629" t="str">
        <f>""</f>
        <v/>
      </c>
      <c r="BH629" t="str">
        <f>""</f>
        <v/>
      </c>
      <c r="BI629" t="str">
        <f t="shared" si="307"/>
        <v>EVENTUAL</v>
      </c>
      <c r="BJ629" t="str">
        <f t="shared" si="296"/>
        <v>1</v>
      </c>
      <c r="BK629" t="str">
        <f t="shared" si="297"/>
        <v>Farmacia</v>
      </c>
      <c r="BL629" t="str">
        <f>""</f>
        <v/>
      </c>
      <c r="BM629" t="str">
        <f>""</f>
        <v/>
      </c>
      <c r="BN629" t="str">
        <f>""</f>
        <v/>
      </c>
      <c r="BO629" t="str">
        <f>""</f>
        <v/>
      </c>
      <c r="BP629" t="str">
        <f>""</f>
        <v/>
      </c>
      <c r="BQ629" t="str">
        <f>""</f>
        <v/>
      </c>
      <c r="BR629" t="str">
        <f>"06/07/2023"</f>
        <v>06/07/2023</v>
      </c>
      <c r="BS629" t="str">
        <f>""</f>
        <v/>
      </c>
      <c r="BT629" t="str">
        <f>""</f>
        <v/>
      </c>
      <c r="BU629" t="str">
        <f>""</f>
        <v/>
      </c>
      <c r="BV629" t="str">
        <f>""</f>
        <v/>
      </c>
      <c r="BW629" t="str">
        <f>"Não visitado"</f>
        <v>Não visitado</v>
      </c>
    </row>
    <row r="630" spans="1:75" x14ac:dyDescent="0.35">
      <c r="A630">
        <v>152745</v>
      </c>
      <c r="B630" t="str">
        <f t="shared" si="291"/>
        <v>A</v>
      </c>
      <c r="C630" t="str">
        <f t="shared" si="292"/>
        <v>80</v>
      </c>
      <c r="D630" t="str">
        <f t="shared" si="316"/>
        <v>11121002</v>
      </c>
      <c r="E630" t="str">
        <f t="shared" si="317"/>
        <v>121002</v>
      </c>
      <c r="F630" t="str">
        <f t="shared" si="318"/>
        <v>CINTHIA NORONHA</v>
      </c>
      <c r="G630" t="str">
        <f>"29288129000129"</f>
        <v>29288129000129</v>
      </c>
      <c r="H630" t="str">
        <f>"0"</f>
        <v>0</v>
      </c>
      <c r="I630" t="str">
        <f t="shared" si="293"/>
        <v>CONTA OPTICA</v>
      </c>
      <c r="J630" t="str">
        <f>"D H ESPINDOLA"</f>
        <v>D H ESPINDOLA</v>
      </c>
      <c r="K630" t="str">
        <f>"OTICA SANTO LUXO"</f>
        <v>OTICA SANTO LUXO</v>
      </c>
      <c r="L630" t="str">
        <f>""</f>
        <v/>
      </c>
      <c r="M630" t="str">
        <f>""</f>
        <v/>
      </c>
      <c r="N630" t="str">
        <f>"financeiro.juridico.santoluxo@gmail.com"</f>
        <v>financeiro.juridico.santoluxo@gmail.com</v>
      </c>
      <c r="O630" t="str">
        <f>""</f>
        <v/>
      </c>
      <c r="P630" t="str">
        <f>"RUA DELAMAR JOSE DA SILVA"</f>
        <v>RUA DELAMAR JOSE DA SILVA</v>
      </c>
      <c r="Q630" t="str">
        <f>"180"</f>
        <v>180</v>
      </c>
      <c r="R630" t="str">
        <f>"LOJA 2"</f>
        <v>LOJA 2</v>
      </c>
      <c r="S630" t="str">
        <f>"1259"</f>
        <v>1259</v>
      </c>
      <c r="T630" t="str">
        <f>"88102101"</f>
        <v>88102101</v>
      </c>
      <c r="U630" t="str">
        <f>"KOBRASOL"</f>
        <v>KOBRASOL</v>
      </c>
      <c r="V630" t="str">
        <f>"SÃO JOSÉ"</f>
        <v>SÃO JOSÉ</v>
      </c>
      <c r="W630" t="str">
        <f t="shared" ref="W630:W661" si="319">"SC"</f>
        <v>SC</v>
      </c>
      <c r="X630" t="str">
        <f>""</f>
        <v/>
      </c>
      <c r="Y630" t="str">
        <f>""</f>
        <v/>
      </c>
      <c r="Z630" t="str">
        <f>""</f>
        <v/>
      </c>
      <c r="AA630" t="str">
        <f>""</f>
        <v/>
      </c>
      <c r="AB630" t="str">
        <f>""</f>
        <v/>
      </c>
      <c r="AC630" t="str">
        <f>""</f>
        <v/>
      </c>
      <c r="AD630" t="str">
        <f>""</f>
        <v/>
      </c>
      <c r="AE630" t="str">
        <f>""</f>
        <v/>
      </c>
      <c r="AF630" t="str">
        <f>""</f>
        <v/>
      </c>
      <c r="AG630" t="str">
        <f>"S"</f>
        <v>S</v>
      </c>
      <c r="AH630" t="str">
        <f>""</f>
        <v/>
      </c>
      <c r="AI630" t="str">
        <f>""</f>
        <v/>
      </c>
      <c r="AJ630" t="str">
        <f>""</f>
        <v/>
      </c>
      <c r="AK630" t="str">
        <f>""</f>
        <v/>
      </c>
      <c r="AL630" t="str">
        <f>""</f>
        <v/>
      </c>
      <c r="AM630" t="str">
        <f>""</f>
        <v/>
      </c>
      <c r="AN630" t="str">
        <f>""</f>
        <v/>
      </c>
      <c r="AO630" t="str">
        <f>""</f>
        <v/>
      </c>
      <c r="AP630" t="str">
        <f>""</f>
        <v/>
      </c>
      <c r="AQ630" t="str">
        <f t="shared" ref="AQ630:AU631" si="320">"N"</f>
        <v>N</v>
      </c>
      <c r="AR630" t="str">
        <f t="shared" si="320"/>
        <v>N</v>
      </c>
      <c r="AS630" t="str">
        <f t="shared" si="320"/>
        <v>N</v>
      </c>
      <c r="AT630" t="str">
        <f t="shared" si="320"/>
        <v>N</v>
      </c>
      <c r="AU630" t="str">
        <f t="shared" si="320"/>
        <v>N</v>
      </c>
      <c r="AV630" t="str">
        <f>""</f>
        <v/>
      </c>
      <c r="AW630" t="str">
        <f>""</f>
        <v/>
      </c>
      <c r="AX630" t="str">
        <f>""</f>
        <v/>
      </c>
      <c r="AY630" t="str">
        <f>""</f>
        <v/>
      </c>
      <c r="AZ630" t="str">
        <f>""</f>
        <v/>
      </c>
      <c r="BA630" t="str">
        <f>""</f>
        <v/>
      </c>
      <c r="BB630" t="str">
        <f>"03/04/2023 13:34:29"</f>
        <v>03/04/2023 13:34:29</v>
      </c>
      <c r="BC630" t="str">
        <f>"28/04/2023 10:22:11"</f>
        <v>28/04/2023 10:22:11</v>
      </c>
      <c r="BD630" t="str">
        <f>""</f>
        <v/>
      </c>
      <c r="BE630" t="str">
        <f>""</f>
        <v/>
      </c>
      <c r="BF630" t="str">
        <f t="shared" si="295"/>
        <v>A</v>
      </c>
      <c r="BG630" t="str">
        <f>""</f>
        <v/>
      </c>
      <c r="BH630" t="str">
        <f t="shared" ref="BH630:BH636" si="321">"0,00"</f>
        <v>0,00</v>
      </c>
      <c r="BI630" t="str">
        <f t="shared" si="307"/>
        <v>EVENTUAL</v>
      </c>
      <c r="BJ630" t="str">
        <f t="shared" si="296"/>
        <v>1</v>
      </c>
      <c r="BK630" t="str">
        <f t="shared" si="297"/>
        <v>Farmacia</v>
      </c>
      <c r="BL630" t="str">
        <f>""</f>
        <v/>
      </c>
      <c r="BM630" t="str">
        <f>""</f>
        <v/>
      </c>
      <c r="BN630" t="str">
        <f>""</f>
        <v/>
      </c>
      <c r="BO630" t="str">
        <f>""</f>
        <v/>
      </c>
      <c r="BP630" t="str">
        <f>""</f>
        <v/>
      </c>
      <c r="BQ630" t="str">
        <f>""</f>
        <v/>
      </c>
      <c r="BR630" t="str">
        <f>"03/04/2023"</f>
        <v>03/04/2023</v>
      </c>
      <c r="BS630" t="str">
        <f>"28/04/2023"</f>
        <v>28/04/2023</v>
      </c>
      <c r="BT630" t="str">
        <f>""</f>
        <v/>
      </c>
      <c r="BU630" t="str">
        <f>""</f>
        <v/>
      </c>
      <c r="BV630" t="str">
        <f>""</f>
        <v/>
      </c>
      <c r="BW630" t="str">
        <f>"77"</f>
        <v>77</v>
      </c>
    </row>
    <row r="631" spans="1:75" x14ac:dyDescent="0.35">
      <c r="A631">
        <v>156877</v>
      </c>
      <c r="B631" t="str">
        <f t="shared" si="291"/>
        <v>A</v>
      </c>
      <c r="C631" t="str">
        <f t="shared" si="292"/>
        <v>80</v>
      </c>
      <c r="D631" t="str">
        <f t="shared" si="316"/>
        <v>11121002</v>
      </c>
      <c r="E631" t="str">
        <f t="shared" si="317"/>
        <v>121002</v>
      </c>
      <c r="F631" t="str">
        <f t="shared" si="318"/>
        <v>CINTHIA NORONHA</v>
      </c>
      <c r="G631" t="str">
        <f>"44273962000190"</f>
        <v>44273962000190</v>
      </c>
      <c r="H631" t="str">
        <f>"0"</f>
        <v>0</v>
      </c>
      <c r="I631" t="str">
        <f t="shared" si="293"/>
        <v>CONTA OPTICA</v>
      </c>
      <c r="J631" t="str">
        <f>"DAIANAFLORIPA OTICA LTDA"</f>
        <v>DAIANAFLORIPA OTICA LTDA</v>
      </c>
      <c r="K631" t="str">
        <f>"OTICA DINIZ (4474)"</f>
        <v>OTICA DINIZ (4474)</v>
      </c>
      <c r="L631" t="str">
        <f>""</f>
        <v/>
      </c>
      <c r="M631" t="str">
        <f>""</f>
        <v/>
      </c>
      <c r="N631" t="str">
        <f>"CONTROLADORIA.LENTES01@OTICADINIZFLORIPA.COM.BR"</f>
        <v>CONTROLADORIA.LENTES01@OTICADINIZFLORIPA.COM.BR</v>
      </c>
      <c r="O631" t="str">
        <f>""</f>
        <v/>
      </c>
      <c r="P631" t="str">
        <f>"RUA JOSE MARIA DA LUZ"</f>
        <v>RUA JOSE MARIA DA LUZ</v>
      </c>
      <c r="Q631" t="str">
        <f>"2827"</f>
        <v>2827</v>
      </c>
      <c r="R631" t="str">
        <f>"LOJA 01"</f>
        <v>LOJA 01</v>
      </c>
      <c r="S631" t="str">
        <f>"1259"</f>
        <v>1259</v>
      </c>
      <c r="T631" t="str">
        <f>"88131000"</f>
        <v>88131000</v>
      </c>
      <c r="U631" t="str">
        <f>"CENTRO"</f>
        <v>CENTRO</v>
      </c>
      <c r="V631" t="str">
        <f>"PALHOÇA"</f>
        <v>PALHOÇA</v>
      </c>
      <c r="W631" t="str">
        <f t="shared" si="319"/>
        <v>SC</v>
      </c>
      <c r="X631" t="str">
        <f t="shared" ref="X631:X649" si="322">"48"</f>
        <v>48</v>
      </c>
      <c r="Y631" t="str">
        <f>"30625125"</f>
        <v>30625125</v>
      </c>
      <c r="Z631" t="str">
        <f>""</f>
        <v/>
      </c>
      <c r="AA631" t="str">
        <f>""</f>
        <v/>
      </c>
      <c r="AB631" t="str">
        <f>""</f>
        <v/>
      </c>
      <c r="AC631" t="str">
        <f>""</f>
        <v/>
      </c>
      <c r="AD631" t="str">
        <f>""</f>
        <v/>
      </c>
      <c r="AE631" t="str">
        <f>""</f>
        <v/>
      </c>
      <c r="AF631" t="str">
        <f>""</f>
        <v/>
      </c>
      <c r="AG631" t="str">
        <f>"S"</f>
        <v>S</v>
      </c>
      <c r="AH631" t="str">
        <f>""</f>
        <v/>
      </c>
      <c r="AI631" t="str">
        <f>""</f>
        <v/>
      </c>
      <c r="AJ631" t="str">
        <f>""</f>
        <v/>
      </c>
      <c r="AK631" t="str">
        <f>""</f>
        <v/>
      </c>
      <c r="AL631" t="str">
        <f>""</f>
        <v/>
      </c>
      <c r="AM631" t="str">
        <f>""</f>
        <v/>
      </c>
      <c r="AN631" t="str">
        <f>""</f>
        <v/>
      </c>
      <c r="AO631" t="str">
        <f>""</f>
        <v/>
      </c>
      <c r="AP631" t="str">
        <f>""</f>
        <v/>
      </c>
      <c r="AQ631" t="str">
        <f t="shared" si="320"/>
        <v>N</v>
      </c>
      <c r="AR631" t="str">
        <f t="shared" si="320"/>
        <v>N</v>
      </c>
      <c r="AS631" t="str">
        <f t="shared" si="320"/>
        <v>N</v>
      </c>
      <c r="AT631" t="str">
        <f t="shared" si="320"/>
        <v>N</v>
      </c>
      <c r="AU631" t="str">
        <f t="shared" si="320"/>
        <v>N</v>
      </c>
      <c r="AV631" t="str">
        <f>""</f>
        <v/>
      </c>
      <c r="AW631" t="str">
        <f>""</f>
        <v/>
      </c>
      <c r="AX631" t="str">
        <f>""</f>
        <v/>
      </c>
      <c r="AY631" t="str">
        <f>""</f>
        <v/>
      </c>
      <c r="AZ631" t="str">
        <f>""</f>
        <v/>
      </c>
      <c r="BA631" t="str">
        <f>""</f>
        <v/>
      </c>
      <c r="BB631" t="str">
        <f>"06/07/2023 12:07:48"</f>
        <v>06/07/2023 12:07:48</v>
      </c>
      <c r="BC631" t="str">
        <f>"06/07/2023 15:21:59"</f>
        <v>06/07/2023 15:21:59</v>
      </c>
      <c r="BD631" t="str">
        <f>""</f>
        <v/>
      </c>
      <c r="BE631" t="str">
        <f>""</f>
        <v/>
      </c>
      <c r="BF631" t="str">
        <f t="shared" si="295"/>
        <v>A</v>
      </c>
      <c r="BG631" t="str">
        <f>""</f>
        <v/>
      </c>
      <c r="BH631" t="str">
        <f t="shared" si="321"/>
        <v>0,00</v>
      </c>
      <c r="BI631" t="str">
        <f t="shared" si="307"/>
        <v>EVENTUAL</v>
      </c>
      <c r="BJ631" t="str">
        <f t="shared" si="296"/>
        <v>1</v>
      </c>
      <c r="BK631" t="str">
        <f t="shared" si="297"/>
        <v>Farmacia</v>
      </c>
      <c r="BL631" t="str">
        <f>""</f>
        <v/>
      </c>
      <c r="BM631" t="str">
        <f>""</f>
        <v/>
      </c>
      <c r="BN631" t="str">
        <f>""</f>
        <v/>
      </c>
      <c r="BO631" t="str">
        <f>""</f>
        <v/>
      </c>
      <c r="BP631" t="str">
        <f>""</f>
        <v/>
      </c>
      <c r="BQ631" t="str">
        <f>""</f>
        <v/>
      </c>
      <c r="BR631" t="str">
        <f>"06/07/2023"</f>
        <v>06/07/2023</v>
      </c>
      <c r="BS631" t="str">
        <f>"06/07/2023"</f>
        <v>06/07/2023</v>
      </c>
      <c r="BT631" t="str">
        <f>""</f>
        <v/>
      </c>
      <c r="BU631" t="str">
        <f>""</f>
        <v/>
      </c>
      <c r="BV631" t="str">
        <f>""</f>
        <v/>
      </c>
      <c r="BW631" t="str">
        <f>"7"</f>
        <v>7</v>
      </c>
    </row>
    <row r="632" spans="1:75" x14ac:dyDescent="0.35">
      <c r="A632">
        <v>5</v>
      </c>
      <c r="B632" t="str">
        <f t="shared" si="291"/>
        <v>A</v>
      </c>
      <c r="C632" t="str">
        <f t="shared" si="292"/>
        <v>80</v>
      </c>
      <c r="D632" t="str">
        <f t="shared" si="316"/>
        <v>11121002</v>
      </c>
      <c r="E632" t="str">
        <f t="shared" si="317"/>
        <v>121002</v>
      </c>
      <c r="F632" t="str">
        <f t="shared" si="318"/>
        <v>CINTHIA NORONHA</v>
      </c>
      <c r="G632" t="str">
        <f>"00557723000196"</f>
        <v>00557723000196</v>
      </c>
      <c r="H632" t="str">
        <f>""</f>
        <v/>
      </c>
      <c r="I632" t="str">
        <f t="shared" si="293"/>
        <v>CONTA OPTICA</v>
      </c>
      <c r="J632" t="str">
        <f>"DALSASSO E DALSASSO LTDA"</f>
        <v>DALSASSO E DALSASSO LTDA</v>
      </c>
      <c r="K632" t="str">
        <f>"JOALHERIA E OTICA STYLUS (842)"</f>
        <v>JOALHERIA E OTICA STYLUS (842)</v>
      </c>
      <c r="L632" t="str">
        <f>""</f>
        <v/>
      </c>
      <c r="M632" t="str">
        <f>""</f>
        <v/>
      </c>
      <c r="N632" t="str">
        <f>"oticastylus@gmail.com"</f>
        <v>oticastylus@gmail.com</v>
      </c>
      <c r="O632" t="str">
        <f>""</f>
        <v/>
      </c>
      <c r="P632" t="str">
        <f>"PRACA ANITA GARIBALDI"</f>
        <v>PRACA ANITA GARIBALDI</v>
      </c>
      <c r="Q632" t="str">
        <f>"76"</f>
        <v>76</v>
      </c>
      <c r="R632" t="str">
        <f>""</f>
        <v/>
      </c>
      <c r="S632" t="str">
        <f>"1269"</f>
        <v>1269</v>
      </c>
      <c r="T632" t="str">
        <f>"88840000"</f>
        <v>88840000</v>
      </c>
      <c r="U632" t="str">
        <f>"CENTRO"</f>
        <v>CENTRO</v>
      </c>
      <c r="V632" t="str">
        <f>"URUSSANGA"</f>
        <v>URUSSANGA</v>
      </c>
      <c r="W632" t="str">
        <f t="shared" si="319"/>
        <v>SC</v>
      </c>
      <c r="X632" t="str">
        <f t="shared" si="322"/>
        <v>48</v>
      </c>
      <c r="Y632" t="str">
        <f>"34652346"</f>
        <v>34652346</v>
      </c>
      <c r="Z632" t="str">
        <f>""</f>
        <v/>
      </c>
      <c r="AA632" t="str">
        <f>""</f>
        <v/>
      </c>
      <c r="AB632" t="str">
        <f>""</f>
        <v/>
      </c>
      <c r="AC632" t="str">
        <f>""</f>
        <v/>
      </c>
      <c r="AD632" t="str">
        <f>""</f>
        <v/>
      </c>
      <c r="AE632" t="str">
        <f>""</f>
        <v/>
      </c>
      <c r="AF632" t="str">
        <f>""</f>
        <v/>
      </c>
      <c r="AG632" t="str">
        <f>""</f>
        <v/>
      </c>
      <c r="AH632" t="str">
        <f>""</f>
        <v/>
      </c>
      <c r="AI632" t="str">
        <f>""</f>
        <v/>
      </c>
      <c r="AJ632" t="str">
        <f t="shared" ref="AJ632:AL633" si="323">"0"</f>
        <v>0</v>
      </c>
      <c r="AK632" t="str">
        <f t="shared" si="323"/>
        <v>0</v>
      </c>
      <c r="AL632" t="str">
        <f t="shared" si="323"/>
        <v>0</v>
      </c>
      <c r="AM632" t="str">
        <f>""</f>
        <v/>
      </c>
      <c r="AN632" t="str">
        <f>""</f>
        <v/>
      </c>
      <c r="AO632" t="str">
        <f>""</f>
        <v/>
      </c>
      <c r="AP632" t="str">
        <f>""</f>
        <v/>
      </c>
      <c r="AQ632" t="str">
        <f>""</f>
        <v/>
      </c>
      <c r="AR632" t="str">
        <f>""</f>
        <v/>
      </c>
      <c r="AS632" t="str">
        <f>""</f>
        <v/>
      </c>
      <c r="AT632" t="str">
        <f>""</f>
        <v/>
      </c>
      <c r="AU632" t="str">
        <f>""</f>
        <v/>
      </c>
      <c r="AV632" t="str">
        <f>""</f>
        <v/>
      </c>
      <c r="AW632" t="str">
        <f>""</f>
        <v/>
      </c>
      <c r="AX632" t="str">
        <f>""</f>
        <v/>
      </c>
      <c r="AY632" t="str">
        <f>""</f>
        <v/>
      </c>
      <c r="AZ632" t="str">
        <f>""</f>
        <v/>
      </c>
      <c r="BA632" t="str">
        <f>""</f>
        <v/>
      </c>
      <c r="BB632" t="str">
        <f>"27/07/2018 09:25:30"</f>
        <v>27/07/2018 09:25:30</v>
      </c>
      <c r="BC632" t="str">
        <f>""</f>
        <v/>
      </c>
      <c r="BD632" t="str">
        <f>""</f>
        <v/>
      </c>
      <c r="BE632" t="str">
        <f>"5"</f>
        <v>5</v>
      </c>
      <c r="BF632" t="str">
        <f t="shared" si="295"/>
        <v>A</v>
      </c>
      <c r="BG632" t="str">
        <f>"0,00"</f>
        <v>0,00</v>
      </c>
      <c r="BH632" t="str">
        <f t="shared" si="321"/>
        <v>0,00</v>
      </c>
      <c r="BI632" t="str">
        <f t="shared" si="307"/>
        <v>EVENTUAL</v>
      </c>
      <c r="BJ632" t="str">
        <f t="shared" si="296"/>
        <v>1</v>
      </c>
      <c r="BK632" t="str">
        <f t="shared" si="297"/>
        <v>Farmacia</v>
      </c>
      <c r="BL632" t="str">
        <f>""</f>
        <v/>
      </c>
      <c r="BM632" t="str">
        <f>"NÃO É VARILUX ESPECIALISTA"</f>
        <v>NÃO É VARILUX ESPECIALISTA</v>
      </c>
      <c r="BN632" t="str">
        <f>"NA"</f>
        <v>NA</v>
      </c>
      <c r="BO632" t="str">
        <f>"OUTROS"</f>
        <v>OUTROS</v>
      </c>
      <c r="BP632" t="str">
        <f>""</f>
        <v/>
      </c>
      <c r="BQ632" t="str">
        <f>""</f>
        <v/>
      </c>
      <c r="BR632" t="str">
        <f>"27/07/2018"</f>
        <v>27/07/2018</v>
      </c>
      <c r="BS632" t="str">
        <f>""</f>
        <v/>
      </c>
      <c r="BT632" t="str">
        <f>""</f>
        <v/>
      </c>
      <c r="BU632" t="str">
        <f>""</f>
        <v/>
      </c>
      <c r="BV632" t="str">
        <f>"6"</f>
        <v>6</v>
      </c>
      <c r="BW632" t="str">
        <f>"10"</f>
        <v>10</v>
      </c>
    </row>
    <row r="633" spans="1:75" x14ac:dyDescent="0.35">
      <c r="A633">
        <v>6</v>
      </c>
      <c r="B633" t="str">
        <f t="shared" si="291"/>
        <v>A</v>
      </c>
      <c r="C633" t="str">
        <f t="shared" si="292"/>
        <v>80</v>
      </c>
      <c r="D633" t="str">
        <f t="shared" si="316"/>
        <v>11121002</v>
      </c>
      <c r="E633" t="str">
        <f t="shared" si="317"/>
        <v>121002</v>
      </c>
      <c r="F633" t="str">
        <f t="shared" si="318"/>
        <v>CINTHIA NORONHA</v>
      </c>
      <c r="G633" t="str">
        <f>"00557723000277"</f>
        <v>00557723000277</v>
      </c>
      <c r="H633" t="str">
        <f>""</f>
        <v/>
      </c>
      <c r="I633" t="str">
        <f t="shared" si="293"/>
        <v>CONTA OPTICA</v>
      </c>
      <c r="J633" t="str">
        <f>"DALSASSO E DALSASSO LTDA"</f>
        <v>DALSASSO E DALSASSO LTDA</v>
      </c>
      <c r="K633" t="str">
        <f>"JOALHERIA E OTICA STYLUS (1968)"</f>
        <v>JOALHERIA E OTICA STYLUS (1968)</v>
      </c>
      <c r="L633" t="str">
        <f>""</f>
        <v/>
      </c>
      <c r="M633" t="str">
        <f>""</f>
        <v/>
      </c>
      <c r="N633" t="str">
        <f>"jamilelindres@gmail.com"</f>
        <v>jamilelindres@gmail.com</v>
      </c>
      <c r="O633" t="str">
        <f>""</f>
        <v/>
      </c>
      <c r="P633" t="str">
        <f>"RUA JOAO PESSOA"</f>
        <v>RUA JOAO PESSOA</v>
      </c>
      <c r="Q633" t="str">
        <f>"152"</f>
        <v>152</v>
      </c>
      <c r="R633" t="str">
        <f>"SALA 01"</f>
        <v>SALA 01</v>
      </c>
      <c r="S633" t="str">
        <f>"1269"</f>
        <v>1269</v>
      </c>
      <c r="T633" t="str">
        <f>"88801530"</f>
        <v>88801530</v>
      </c>
      <c r="U633" t="str">
        <f>"CENTRO"</f>
        <v>CENTRO</v>
      </c>
      <c r="V633" t="str">
        <f>"CRICIÚMA"</f>
        <v>CRICIÚMA</v>
      </c>
      <c r="W633" t="str">
        <f t="shared" si="319"/>
        <v>SC</v>
      </c>
      <c r="X633" t="str">
        <f t="shared" si="322"/>
        <v>48</v>
      </c>
      <c r="Y633" t="str">
        <f>"30452343"</f>
        <v>30452343</v>
      </c>
      <c r="Z633" t="str">
        <f>""</f>
        <v/>
      </c>
      <c r="AA633" t="str">
        <f>""</f>
        <v/>
      </c>
      <c r="AB633" t="str">
        <f>""</f>
        <v/>
      </c>
      <c r="AC633" t="str">
        <f>""</f>
        <v/>
      </c>
      <c r="AD633" t="str">
        <f>""</f>
        <v/>
      </c>
      <c r="AE633" t="str">
        <f>""</f>
        <v/>
      </c>
      <c r="AF633" t="str">
        <f>""</f>
        <v/>
      </c>
      <c r="AG633" t="str">
        <f>""</f>
        <v/>
      </c>
      <c r="AH633" t="str">
        <f>""</f>
        <v/>
      </c>
      <c r="AI633" t="str">
        <f>""</f>
        <v/>
      </c>
      <c r="AJ633" t="str">
        <f t="shared" si="323"/>
        <v>0</v>
      </c>
      <c r="AK633" t="str">
        <f t="shared" si="323"/>
        <v>0</v>
      </c>
      <c r="AL633" t="str">
        <f t="shared" si="323"/>
        <v>0</v>
      </c>
      <c r="AM633" t="str">
        <f>""</f>
        <v/>
      </c>
      <c r="AN633" t="str">
        <f>""</f>
        <v/>
      </c>
      <c r="AO633" t="str">
        <f>""</f>
        <v/>
      </c>
      <c r="AP633" t="str">
        <f>""</f>
        <v/>
      </c>
      <c r="AQ633" t="str">
        <f>""</f>
        <v/>
      </c>
      <c r="AR633" t="str">
        <f>""</f>
        <v/>
      </c>
      <c r="AS633" t="str">
        <f>""</f>
        <v/>
      </c>
      <c r="AT633" t="str">
        <f>""</f>
        <v/>
      </c>
      <c r="AU633" t="str">
        <f>""</f>
        <v/>
      </c>
      <c r="AV633" t="str">
        <f>""</f>
        <v/>
      </c>
      <c r="AW633" t="str">
        <f>""</f>
        <v/>
      </c>
      <c r="AX633" t="str">
        <f>""</f>
        <v/>
      </c>
      <c r="AY633" t="str">
        <f>""</f>
        <v/>
      </c>
      <c r="AZ633" t="str">
        <f>""</f>
        <v/>
      </c>
      <c r="BA633" t="str">
        <f>""</f>
        <v/>
      </c>
      <c r="BB633" t="str">
        <f>"27/07/2018 09:25:30"</f>
        <v>27/07/2018 09:25:30</v>
      </c>
      <c r="BC633" t="str">
        <f>""</f>
        <v/>
      </c>
      <c r="BD633" t="str">
        <f>""</f>
        <v/>
      </c>
      <c r="BE633" t="str">
        <f>"6"</f>
        <v>6</v>
      </c>
      <c r="BF633" t="str">
        <f t="shared" si="295"/>
        <v>A</v>
      </c>
      <c r="BG633" t="str">
        <f>"0,00"</f>
        <v>0,00</v>
      </c>
      <c r="BH633" t="str">
        <f t="shared" si="321"/>
        <v>0,00</v>
      </c>
      <c r="BI633" t="str">
        <f t="shared" si="307"/>
        <v>EVENTUAL</v>
      </c>
      <c r="BJ633" t="str">
        <f t="shared" si="296"/>
        <v>1</v>
      </c>
      <c r="BK633" t="str">
        <f t="shared" si="297"/>
        <v>Farmacia</v>
      </c>
      <c r="BL633" t="str">
        <f>""</f>
        <v/>
      </c>
      <c r="BM633" t="str">
        <f>"NÃO É VARILUX ESPECIALISTA"</f>
        <v>NÃO É VARILUX ESPECIALISTA</v>
      </c>
      <c r="BN633" t="str">
        <f>"NA"</f>
        <v>NA</v>
      </c>
      <c r="BO633" t="str">
        <f>"FOCO VARILUX"</f>
        <v>FOCO VARILUX</v>
      </c>
      <c r="BP633" t="str">
        <f>""</f>
        <v/>
      </c>
      <c r="BQ633" t="str">
        <f>""</f>
        <v/>
      </c>
      <c r="BR633" t="str">
        <f>"27/07/2018"</f>
        <v>27/07/2018</v>
      </c>
      <c r="BS633" t="str">
        <f>""</f>
        <v/>
      </c>
      <c r="BT633" t="str">
        <f>""</f>
        <v/>
      </c>
      <c r="BU633" t="str">
        <f>""</f>
        <v/>
      </c>
      <c r="BV633" t="str">
        <f>"5"</f>
        <v>5</v>
      </c>
      <c r="BW633" t="str">
        <f>"120"</f>
        <v>120</v>
      </c>
    </row>
    <row r="634" spans="1:75" x14ac:dyDescent="0.35">
      <c r="A634">
        <v>134515</v>
      </c>
      <c r="B634" t="str">
        <f t="shared" si="291"/>
        <v>A</v>
      </c>
      <c r="C634" t="str">
        <f t="shared" si="292"/>
        <v>80</v>
      </c>
      <c r="D634" t="str">
        <f t="shared" si="316"/>
        <v>11121002</v>
      </c>
      <c r="E634" t="str">
        <f t="shared" si="317"/>
        <v>121002</v>
      </c>
      <c r="F634" t="str">
        <f t="shared" si="318"/>
        <v>CINTHIA NORONHA</v>
      </c>
      <c r="G634" t="str">
        <f>"19632807000175"</f>
        <v>19632807000175</v>
      </c>
      <c r="H634" t="str">
        <f>""</f>
        <v/>
      </c>
      <c r="I634" t="str">
        <f t="shared" si="293"/>
        <v>CONTA OPTICA</v>
      </c>
      <c r="J634" t="str">
        <f>"DANIEL ANTENOR APARECIDO DIONISIO"</f>
        <v>DANIEL ANTENOR APARECIDO DIONISIO</v>
      </c>
      <c r="K634" t="str">
        <f>"OTICA SUPER VISAO (3946)"</f>
        <v>OTICA SUPER VISAO (3946)</v>
      </c>
      <c r="L634" t="str">
        <f>""</f>
        <v/>
      </c>
      <c r="M634" t="str">
        <f>""</f>
        <v/>
      </c>
      <c r="N634" t="str">
        <f>"contato.oticasupervisao@gmail.com"</f>
        <v>contato.oticasupervisao@gmail.com</v>
      </c>
      <c r="O634" t="str">
        <f>""</f>
        <v/>
      </c>
      <c r="P634" t="str">
        <f>"RUA FRANCISCO TOLENTINO"</f>
        <v>RUA FRANCISCO TOLENTINO</v>
      </c>
      <c r="Q634" t="str">
        <f>"315"</f>
        <v>315</v>
      </c>
      <c r="R634" t="str">
        <f>"98"</f>
        <v>98</v>
      </c>
      <c r="S634" t="str">
        <f>"1254"</f>
        <v>1254</v>
      </c>
      <c r="T634" t="str">
        <f>"88010200"</f>
        <v>88010200</v>
      </c>
      <c r="U634" t="str">
        <f>"CENTRO"</f>
        <v>CENTRO</v>
      </c>
      <c r="V634" t="str">
        <f>"FLORIANÓPOLIS"</f>
        <v>FLORIANÓPOLIS</v>
      </c>
      <c r="W634" t="str">
        <f t="shared" si="319"/>
        <v>SC</v>
      </c>
      <c r="X634" t="str">
        <f t="shared" si="322"/>
        <v>48</v>
      </c>
      <c r="Y634" t="str">
        <f>"30289698"</f>
        <v>30289698</v>
      </c>
      <c r="Z634" t="str">
        <f>""</f>
        <v/>
      </c>
      <c r="AA634" t="str">
        <f>""</f>
        <v/>
      </c>
      <c r="AB634" t="str">
        <f>""</f>
        <v/>
      </c>
      <c r="AC634" t="str">
        <f>""</f>
        <v/>
      </c>
      <c r="AD634" t="str">
        <f>""</f>
        <v/>
      </c>
      <c r="AE634" t="str">
        <f>""</f>
        <v/>
      </c>
      <c r="AF634" t="str">
        <f>""</f>
        <v/>
      </c>
      <c r="AG634" t="str">
        <f>"S"</f>
        <v>S</v>
      </c>
      <c r="AH634" t="str">
        <f>""</f>
        <v/>
      </c>
      <c r="AI634" t="str">
        <f>""</f>
        <v/>
      </c>
      <c r="AJ634" t="str">
        <f>""</f>
        <v/>
      </c>
      <c r="AK634" t="str">
        <f>""</f>
        <v/>
      </c>
      <c r="AL634" t="str">
        <f>""</f>
        <v/>
      </c>
      <c r="AM634" t="str">
        <f>""</f>
        <v/>
      </c>
      <c r="AN634" t="str">
        <f>""</f>
        <v/>
      </c>
      <c r="AO634" t="str">
        <f>""</f>
        <v/>
      </c>
      <c r="AP634" t="str">
        <f>""</f>
        <v/>
      </c>
      <c r="AQ634" t="str">
        <f t="shared" ref="AQ634:AU636" si="324">"N"</f>
        <v>N</v>
      </c>
      <c r="AR634" t="str">
        <f t="shared" si="324"/>
        <v>N</v>
      </c>
      <c r="AS634" t="str">
        <f t="shared" si="324"/>
        <v>N</v>
      </c>
      <c r="AT634" t="str">
        <f t="shared" si="324"/>
        <v>N</v>
      </c>
      <c r="AU634" t="str">
        <f t="shared" si="324"/>
        <v>N</v>
      </c>
      <c r="AV634" t="str">
        <f>""</f>
        <v/>
      </c>
      <c r="AW634" t="str">
        <f>""</f>
        <v/>
      </c>
      <c r="AX634" t="str">
        <f>""</f>
        <v/>
      </c>
      <c r="AY634" t="str">
        <f>""</f>
        <v/>
      </c>
      <c r="AZ634" t="str">
        <f>""</f>
        <v/>
      </c>
      <c r="BA634" t="str">
        <f>""</f>
        <v/>
      </c>
      <c r="BB634" t="str">
        <f>""</f>
        <v/>
      </c>
      <c r="BC634" t="str">
        <f>"15/03/2022 14:22:24"</f>
        <v>15/03/2022 14:22:24</v>
      </c>
      <c r="BD634" t="str">
        <f>""</f>
        <v/>
      </c>
      <c r="BE634" t="str">
        <f>""</f>
        <v/>
      </c>
      <c r="BF634" t="str">
        <f t="shared" si="295"/>
        <v>A</v>
      </c>
      <c r="BG634" t="str">
        <f>""</f>
        <v/>
      </c>
      <c r="BH634" t="str">
        <f t="shared" si="321"/>
        <v>0,00</v>
      </c>
      <c r="BI634" t="str">
        <f t="shared" si="307"/>
        <v>EVENTUAL</v>
      </c>
      <c r="BJ634" t="str">
        <f t="shared" si="296"/>
        <v>1</v>
      </c>
      <c r="BK634" t="str">
        <f t="shared" si="297"/>
        <v>Farmacia</v>
      </c>
      <c r="BL634" t="str">
        <f>""</f>
        <v/>
      </c>
      <c r="BM634" t="str">
        <f>"NÃO É VARILUX ESPECIALISTA"</f>
        <v>NÃO É VARILUX ESPECIALISTA</v>
      </c>
      <c r="BN634" t="str">
        <f>"NA"</f>
        <v>NA</v>
      </c>
      <c r="BO634" t="str">
        <f>"OUTROS"</f>
        <v>OUTROS</v>
      </c>
      <c r="BP634" t="str">
        <f>""</f>
        <v/>
      </c>
      <c r="BQ634" t="str">
        <f>""</f>
        <v/>
      </c>
      <c r="BR634" t="str">
        <f>""</f>
        <v/>
      </c>
      <c r="BS634" t="str">
        <f>"15/03/2022"</f>
        <v>15/03/2022</v>
      </c>
      <c r="BT634" t="str">
        <f>""</f>
        <v/>
      </c>
      <c r="BU634" t="str">
        <f>""</f>
        <v/>
      </c>
      <c r="BV634" t="str">
        <f>"9"</f>
        <v>9</v>
      </c>
      <c r="BW634" t="str">
        <f>"38"</f>
        <v>38</v>
      </c>
    </row>
    <row r="635" spans="1:75" x14ac:dyDescent="0.35">
      <c r="A635">
        <v>134263</v>
      </c>
      <c r="B635" t="str">
        <f t="shared" si="291"/>
        <v>A</v>
      </c>
      <c r="C635" t="str">
        <f t="shared" si="292"/>
        <v>80</v>
      </c>
      <c r="D635" t="str">
        <f t="shared" si="316"/>
        <v>11121002</v>
      </c>
      <c r="E635" t="str">
        <f t="shared" si="317"/>
        <v>121002</v>
      </c>
      <c r="F635" t="str">
        <f t="shared" si="318"/>
        <v>CINTHIA NORONHA</v>
      </c>
      <c r="G635" t="str">
        <f>"26041262000198"</f>
        <v>26041262000198</v>
      </c>
      <c r="H635" t="str">
        <f>""</f>
        <v/>
      </c>
      <c r="I635" t="str">
        <f t="shared" si="293"/>
        <v>CONTA OPTICA</v>
      </c>
      <c r="J635" t="str">
        <f>"DEBORA SPILLERE DE SOUZA ME"</f>
        <v>DEBORA SPILLERE DE SOUZA ME</v>
      </c>
      <c r="K635" t="str">
        <f>"OTICA D+ (3357)"</f>
        <v>OTICA D+ (3357)</v>
      </c>
      <c r="L635" t="str">
        <f>""</f>
        <v/>
      </c>
      <c r="M635" t="str">
        <f>""</f>
        <v/>
      </c>
      <c r="N635" t="str">
        <f>"spilleredebi@gmail.com"</f>
        <v>spilleredebi@gmail.com</v>
      </c>
      <c r="O635" t="str">
        <f>""</f>
        <v/>
      </c>
      <c r="P635" t="str">
        <f>"RUA ANICETO ZACCHI"</f>
        <v>RUA ANICETO ZACCHI</v>
      </c>
      <c r="Q635" t="str">
        <f>"689"</f>
        <v>689</v>
      </c>
      <c r="R635" t="str">
        <f>""</f>
        <v/>
      </c>
      <c r="S635" t="str">
        <f>"1259"</f>
        <v>1259</v>
      </c>
      <c r="T635" t="str">
        <f>"88130300"</f>
        <v>88130300</v>
      </c>
      <c r="U635" t="str">
        <f>"PONTE DO IMARUIM"</f>
        <v>PONTE DO IMARUIM</v>
      </c>
      <c r="V635" t="str">
        <f>"PALHOÇA"</f>
        <v>PALHOÇA</v>
      </c>
      <c r="W635" t="str">
        <f t="shared" si="319"/>
        <v>SC</v>
      </c>
      <c r="X635" t="str">
        <f t="shared" si="322"/>
        <v>48</v>
      </c>
      <c r="Y635" t="str">
        <f>"30938088"</f>
        <v>30938088</v>
      </c>
      <c r="Z635" t="str">
        <f>""</f>
        <v/>
      </c>
      <c r="AA635" t="str">
        <f>""</f>
        <v/>
      </c>
      <c r="AB635" t="str">
        <f>""</f>
        <v/>
      </c>
      <c r="AC635" t="str">
        <f>""</f>
        <v/>
      </c>
      <c r="AD635" t="str">
        <f>""</f>
        <v/>
      </c>
      <c r="AE635" t="str">
        <f>""</f>
        <v/>
      </c>
      <c r="AF635" t="str">
        <f>""</f>
        <v/>
      </c>
      <c r="AG635" t="str">
        <f>"S"</f>
        <v>S</v>
      </c>
      <c r="AH635" t="str">
        <f>""</f>
        <v/>
      </c>
      <c r="AI635" t="str">
        <f>""</f>
        <v/>
      </c>
      <c r="AJ635" t="str">
        <f>"0"</f>
        <v>0</v>
      </c>
      <c r="AK635" t="str">
        <f>"0"</f>
        <v>0</v>
      </c>
      <c r="AL635" t="str">
        <f>"0"</f>
        <v>0</v>
      </c>
      <c r="AM635" t="str">
        <f>""</f>
        <v/>
      </c>
      <c r="AN635" t="str">
        <f>""</f>
        <v/>
      </c>
      <c r="AO635" t="str">
        <f>""</f>
        <v/>
      </c>
      <c r="AP635" t="str">
        <f>""</f>
        <v/>
      </c>
      <c r="AQ635" t="str">
        <f t="shared" si="324"/>
        <v>N</v>
      </c>
      <c r="AR635" t="str">
        <f t="shared" si="324"/>
        <v>N</v>
      </c>
      <c r="AS635" t="str">
        <f t="shared" si="324"/>
        <v>N</v>
      </c>
      <c r="AT635" t="str">
        <f t="shared" si="324"/>
        <v>N</v>
      </c>
      <c r="AU635" t="str">
        <f t="shared" si="324"/>
        <v>N</v>
      </c>
      <c r="AV635" t="str">
        <f>""</f>
        <v/>
      </c>
      <c r="AW635" t="str">
        <f>""</f>
        <v/>
      </c>
      <c r="AX635" t="str">
        <f>""</f>
        <v/>
      </c>
      <c r="AY635" t="str">
        <f>""</f>
        <v/>
      </c>
      <c r="AZ635" t="str">
        <f>""</f>
        <v/>
      </c>
      <c r="BA635" t="str">
        <f>""</f>
        <v/>
      </c>
      <c r="BB635" t="str">
        <f>""</f>
        <v/>
      </c>
      <c r="BC635" t="str">
        <f>"17/08/2021 09:26:40"</f>
        <v>17/08/2021 09:26:40</v>
      </c>
      <c r="BD635" t="str">
        <f>""</f>
        <v/>
      </c>
      <c r="BE635" t="str">
        <f>""</f>
        <v/>
      </c>
      <c r="BF635" t="str">
        <f t="shared" si="295"/>
        <v>A</v>
      </c>
      <c r="BG635" t="str">
        <f>"0,00"</f>
        <v>0,00</v>
      </c>
      <c r="BH635" t="str">
        <f t="shared" si="321"/>
        <v>0,00</v>
      </c>
      <c r="BI635" t="str">
        <f t="shared" si="307"/>
        <v>EVENTUAL</v>
      </c>
      <c r="BJ635" t="str">
        <f t="shared" si="296"/>
        <v>1</v>
      </c>
      <c r="BK635" t="str">
        <f t="shared" si="297"/>
        <v>Farmacia</v>
      </c>
      <c r="BL635" t="str">
        <f>""</f>
        <v/>
      </c>
      <c r="BM635" t="str">
        <f>"NÃO É VARILUX ESPECIALISTA"</f>
        <v>NÃO É VARILUX ESPECIALISTA</v>
      </c>
      <c r="BN635" t="str">
        <f>"NA"</f>
        <v>NA</v>
      </c>
      <c r="BO635" t="str">
        <f>"OUTROS"</f>
        <v>OUTROS</v>
      </c>
      <c r="BP635" t="str">
        <f>""</f>
        <v/>
      </c>
      <c r="BQ635" t="str">
        <f>""</f>
        <v/>
      </c>
      <c r="BR635" t="str">
        <f>""</f>
        <v/>
      </c>
      <c r="BS635" t="str">
        <f>"17/08/2021"</f>
        <v>17/08/2021</v>
      </c>
      <c r="BT635" t="str">
        <f>""</f>
        <v/>
      </c>
      <c r="BU635" t="str">
        <f>""</f>
        <v/>
      </c>
      <c r="BV635" t="str">
        <f>"9"</f>
        <v>9</v>
      </c>
      <c r="BW635" t="str">
        <f>"379"</f>
        <v>379</v>
      </c>
    </row>
    <row r="636" spans="1:75" x14ac:dyDescent="0.35">
      <c r="A636">
        <v>134482</v>
      </c>
      <c r="B636" t="str">
        <f t="shared" si="291"/>
        <v>A</v>
      </c>
      <c r="C636" t="str">
        <f t="shared" si="292"/>
        <v>80</v>
      </c>
      <c r="D636" t="str">
        <f t="shared" si="316"/>
        <v>11121002</v>
      </c>
      <c r="E636" t="str">
        <f t="shared" si="317"/>
        <v>121002</v>
      </c>
      <c r="F636" t="str">
        <f t="shared" si="318"/>
        <v>CINTHIA NORONHA</v>
      </c>
      <c r="G636" t="str">
        <f>"18226064000170"</f>
        <v>18226064000170</v>
      </c>
      <c r="H636" t="str">
        <f>""</f>
        <v/>
      </c>
      <c r="I636" t="str">
        <f t="shared" si="293"/>
        <v>CONTA OPTICA</v>
      </c>
      <c r="J636" t="str">
        <f>"DELTROP COMERCIO DE PRODUTOS OPTICOS EIRELI EPP"</f>
        <v>DELTROP COMERCIO DE PRODUTOS OPTICOS EIRELI EPP</v>
      </c>
      <c r="K636" t="str">
        <f>"OTICA DINIZ (2014)"</f>
        <v>OTICA DINIZ (2014)</v>
      </c>
      <c r="L636" t="str">
        <f>""</f>
        <v/>
      </c>
      <c r="M636" t="str">
        <f>""</f>
        <v/>
      </c>
      <c r="N636" t="str">
        <f>"auxiliar.caixa@oticadinizfloripa.com.br"</f>
        <v>auxiliar.caixa@oticadinizfloripa.com.br</v>
      </c>
      <c r="O636" t="str">
        <f>""</f>
        <v/>
      </c>
      <c r="P636" t="str">
        <f>"AVENIDA LEDIO JOAO MARTINS"</f>
        <v>AVENIDA LEDIO JOAO MARTINS</v>
      </c>
      <c r="Q636" t="str">
        <f>"649"</f>
        <v>649</v>
      </c>
      <c r="R636" t="str">
        <f>"LOJA 03"</f>
        <v>LOJA 03</v>
      </c>
      <c r="S636" t="str">
        <f>"1259"</f>
        <v>1259</v>
      </c>
      <c r="T636" t="str">
        <f>"88102000"</f>
        <v>88102000</v>
      </c>
      <c r="U636" t="str">
        <f>"KOBRASOL"</f>
        <v>KOBRASOL</v>
      </c>
      <c r="V636" t="str">
        <f>"SÃO JOSÉ"</f>
        <v>SÃO JOSÉ</v>
      </c>
      <c r="W636" t="str">
        <f t="shared" si="319"/>
        <v>SC</v>
      </c>
      <c r="X636" t="str">
        <f t="shared" si="322"/>
        <v>48</v>
      </c>
      <c r="Y636" t="str">
        <f>"34626111"</f>
        <v>34626111</v>
      </c>
      <c r="Z636" t="str">
        <f>""</f>
        <v/>
      </c>
      <c r="AA636" t="str">
        <f>""</f>
        <v/>
      </c>
      <c r="AB636" t="str">
        <f>""</f>
        <v/>
      </c>
      <c r="AC636" t="str">
        <f>""</f>
        <v/>
      </c>
      <c r="AD636" t="str">
        <f>""</f>
        <v/>
      </c>
      <c r="AE636" t="str">
        <f>""</f>
        <v/>
      </c>
      <c r="AF636" t="str">
        <f>""</f>
        <v/>
      </c>
      <c r="AG636" t="str">
        <f>"S"</f>
        <v>S</v>
      </c>
      <c r="AH636" t="str">
        <f>""</f>
        <v/>
      </c>
      <c r="AI636" t="str">
        <f>""</f>
        <v/>
      </c>
      <c r="AJ636" t="str">
        <f>""</f>
        <v/>
      </c>
      <c r="AK636" t="str">
        <f>""</f>
        <v/>
      </c>
      <c r="AL636" t="str">
        <f>""</f>
        <v/>
      </c>
      <c r="AM636" t="str">
        <f>""</f>
        <v/>
      </c>
      <c r="AN636" t="str">
        <f>""</f>
        <v/>
      </c>
      <c r="AO636" t="str">
        <f>""</f>
        <v/>
      </c>
      <c r="AP636" t="str">
        <f>""</f>
        <v/>
      </c>
      <c r="AQ636" t="str">
        <f t="shared" si="324"/>
        <v>N</v>
      </c>
      <c r="AR636" t="str">
        <f t="shared" si="324"/>
        <v>N</v>
      </c>
      <c r="AS636" t="str">
        <f t="shared" si="324"/>
        <v>N</v>
      </c>
      <c r="AT636" t="str">
        <f t="shared" si="324"/>
        <v>N</v>
      </c>
      <c r="AU636" t="str">
        <f t="shared" si="324"/>
        <v>N</v>
      </c>
      <c r="AV636" t="str">
        <f>""</f>
        <v/>
      </c>
      <c r="AW636" t="str">
        <f>""</f>
        <v/>
      </c>
      <c r="AX636" t="str">
        <f>""</f>
        <v/>
      </c>
      <c r="AY636" t="str">
        <f>""</f>
        <v/>
      </c>
      <c r="AZ636" t="str">
        <f>""</f>
        <v/>
      </c>
      <c r="BA636" t="str">
        <f>""</f>
        <v/>
      </c>
      <c r="BB636" t="str">
        <f>""</f>
        <v/>
      </c>
      <c r="BC636" t="str">
        <f>"04/04/2022 13:39:52"</f>
        <v>04/04/2022 13:39:52</v>
      </c>
      <c r="BD636" t="str">
        <f>""</f>
        <v/>
      </c>
      <c r="BE636" t="str">
        <f>""</f>
        <v/>
      </c>
      <c r="BF636" t="str">
        <f t="shared" si="295"/>
        <v>A</v>
      </c>
      <c r="BG636" t="str">
        <f>""</f>
        <v/>
      </c>
      <c r="BH636" t="str">
        <f t="shared" si="321"/>
        <v>0,00</v>
      </c>
      <c r="BI636" t="str">
        <f t="shared" si="307"/>
        <v>EVENTUAL</v>
      </c>
      <c r="BJ636" t="str">
        <f t="shared" si="296"/>
        <v>1</v>
      </c>
      <c r="BK636" t="str">
        <f t="shared" si="297"/>
        <v>Farmacia</v>
      </c>
      <c r="BL636" t="str">
        <f>""</f>
        <v/>
      </c>
      <c r="BM636" t="str">
        <f>"VARILUX ESPECIALISTA SELECT"</f>
        <v>VARILUX ESPECIALISTA SELECT</v>
      </c>
      <c r="BN636" t="str">
        <f>"NA"</f>
        <v>NA</v>
      </c>
      <c r="BO636" t="str">
        <f>"FOCO VARILUX DIGITAL"</f>
        <v>FOCO VARILUX DIGITAL</v>
      </c>
      <c r="BP636" t="str">
        <f>""</f>
        <v/>
      </c>
      <c r="BQ636" t="str">
        <f>""</f>
        <v/>
      </c>
      <c r="BR636" t="str">
        <f>""</f>
        <v/>
      </c>
      <c r="BS636" t="str">
        <f>"04/04/2022"</f>
        <v>04/04/2022</v>
      </c>
      <c r="BT636" t="str">
        <f>""</f>
        <v/>
      </c>
      <c r="BU636" t="str">
        <f>""</f>
        <v/>
      </c>
      <c r="BV636" t="str">
        <f>"2"</f>
        <v>2</v>
      </c>
      <c r="BW636" t="str">
        <f>"3"</f>
        <v>3</v>
      </c>
    </row>
    <row r="637" spans="1:75" x14ac:dyDescent="0.35">
      <c r="A637">
        <v>156889</v>
      </c>
      <c r="B637" t="str">
        <f t="shared" si="291"/>
        <v>A</v>
      </c>
      <c r="C637" t="str">
        <f t="shared" si="292"/>
        <v>80</v>
      </c>
      <c r="D637" t="str">
        <f t="shared" si="316"/>
        <v>11121002</v>
      </c>
      <c r="E637" t="str">
        <f t="shared" si="317"/>
        <v>121002</v>
      </c>
      <c r="F637" t="str">
        <f t="shared" si="318"/>
        <v>CINTHIA NORONHA</v>
      </c>
      <c r="G637" t="str">
        <f>"18226064000251"</f>
        <v>18226064000251</v>
      </c>
      <c r="H637" t="str">
        <f>"0"</f>
        <v>0</v>
      </c>
      <c r="I637" t="str">
        <f t="shared" si="293"/>
        <v>CONTA OPTICA</v>
      </c>
      <c r="J637" t="str">
        <f>"DELTROP COMERCIO DE PRODUTOS OPTICOS EIRELI EPP"</f>
        <v>DELTROP COMERCIO DE PRODUTOS OPTICOS EIRELI EPP</v>
      </c>
      <c r="K637" t="str">
        <f>"OTICA DINIZ (2015)"</f>
        <v>OTICA DINIZ (2015)</v>
      </c>
      <c r="L637" t="str">
        <f>""</f>
        <v/>
      </c>
      <c r="M637" t="str">
        <f>""</f>
        <v/>
      </c>
      <c r="N637" t="str">
        <f>"auxiliar.caixa@oticadinizfloripa.com.br"</f>
        <v>auxiliar.caixa@oticadinizfloripa.com.br</v>
      </c>
      <c r="O637" t="str">
        <f>""</f>
        <v/>
      </c>
      <c r="P637" t="str">
        <f>"LEOBERTO LEAL"</f>
        <v>LEOBERTO LEAL</v>
      </c>
      <c r="Q637" t="str">
        <f>"604"</f>
        <v>604</v>
      </c>
      <c r="R637" t="str">
        <f>"LOJA 3"</f>
        <v>LOJA 3</v>
      </c>
      <c r="S637" t="str">
        <f>"1259"</f>
        <v>1259</v>
      </c>
      <c r="T637" t="str">
        <f>"88117000"</f>
        <v>88117000</v>
      </c>
      <c r="U637" t="str">
        <f>"BARREIROS"</f>
        <v>BARREIROS</v>
      </c>
      <c r="V637" t="str">
        <f>"SAO JOSE"</f>
        <v>SAO JOSE</v>
      </c>
      <c r="W637" t="str">
        <f t="shared" si="319"/>
        <v>SC</v>
      </c>
      <c r="X637" t="str">
        <f t="shared" si="322"/>
        <v>48</v>
      </c>
      <c r="Y637" t="str">
        <f>"30625110"</f>
        <v>30625110</v>
      </c>
      <c r="Z637" t="str">
        <f>""</f>
        <v/>
      </c>
      <c r="AA637" t="str">
        <f>""</f>
        <v/>
      </c>
      <c r="AB637" t="str">
        <f>""</f>
        <v/>
      </c>
      <c r="AC637" t="str">
        <f>""</f>
        <v/>
      </c>
      <c r="AD637" t="str">
        <f>""</f>
        <v/>
      </c>
      <c r="AE637" t="str">
        <f>""</f>
        <v/>
      </c>
      <c r="AF637" t="str">
        <f>""</f>
        <v/>
      </c>
      <c r="AG637" t="str">
        <f>""</f>
        <v/>
      </c>
      <c r="AH637" t="str">
        <f>""</f>
        <v/>
      </c>
      <c r="AI637" t="str">
        <f>""</f>
        <v/>
      </c>
      <c r="AJ637" t="str">
        <f>""</f>
        <v/>
      </c>
      <c r="AK637" t="str">
        <f>""</f>
        <v/>
      </c>
      <c r="AL637" t="str">
        <f>""</f>
        <v/>
      </c>
      <c r="AM637" t="str">
        <f>""</f>
        <v/>
      </c>
      <c r="AN637" t="str">
        <f>""</f>
        <v/>
      </c>
      <c r="AO637" t="str">
        <f>""</f>
        <v/>
      </c>
      <c r="AP637" t="str">
        <f>""</f>
        <v/>
      </c>
      <c r="AQ637" t="str">
        <f>""</f>
        <v/>
      </c>
      <c r="AR637" t="str">
        <f>""</f>
        <v/>
      </c>
      <c r="AS637" t="str">
        <f>""</f>
        <v/>
      </c>
      <c r="AT637" t="str">
        <f>""</f>
        <v/>
      </c>
      <c r="AU637" t="str">
        <f>""</f>
        <v/>
      </c>
      <c r="AV637" t="str">
        <f>""</f>
        <v/>
      </c>
      <c r="AW637" t="str">
        <f>""</f>
        <v/>
      </c>
      <c r="AX637" t="str">
        <f>""</f>
        <v/>
      </c>
      <c r="AY637" t="str">
        <f>""</f>
        <v/>
      </c>
      <c r="AZ637" t="str">
        <f>""</f>
        <v/>
      </c>
      <c r="BA637" t="str">
        <f>""</f>
        <v/>
      </c>
      <c r="BB637" t="str">
        <f>"06/07/2023 12:07:48"</f>
        <v>06/07/2023 12:07:48</v>
      </c>
      <c r="BC637" t="str">
        <f>""</f>
        <v/>
      </c>
      <c r="BD637" t="str">
        <f>""</f>
        <v/>
      </c>
      <c r="BE637" t="str">
        <f>""</f>
        <v/>
      </c>
      <c r="BF637" t="str">
        <f t="shared" si="295"/>
        <v>A</v>
      </c>
      <c r="BG637" t="str">
        <f>""</f>
        <v/>
      </c>
      <c r="BH637" t="str">
        <f>""</f>
        <v/>
      </c>
      <c r="BI637" t="str">
        <f t="shared" si="307"/>
        <v>EVENTUAL</v>
      </c>
      <c r="BJ637" t="str">
        <f t="shared" si="296"/>
        <v>1</v>
      </c>
      <c r="BK637" t="str">
        <f t="shared" si="297"/>
        <v>Farmacia</v>
      </c>
      <c r="BL637" t="str">
        <f>""</f>
        <v/>
      </c>
      <c r="BM637" t="str">
        <f>""</f>
        <v/>
      </c>
      <c r="BN637" t="str">
        <f>""</f>
        <v/>
      </c>
      <c r="BO637" t="str">
        <f>""</f>
        <v/>
      </c>
      <c r="BP637" t="str">
        <f>""</f>
        <v/>
      </c>
      <c r="BQ637" t="str">
        <f>""</f>
        <v/>
      </c>
      <c r="BR637" t="str">
        <f>"06/07/2023"</f>
        <v>06/07/2023</v>
      </c>
      <c r="BS637" t="str">
        <f>""</f>
        <v/>
      </c>
      <c r="BT637" t="str">
        <f>""</f>
        <v/>
      </c>
      <c r="BU637" t="str">
        <f>""</f>
        <v/>
      </c>
      <c r="BV637" t="str">
        <f>""</f>
        <v/>
      </c>
      <c r="BW637" t="str">
        <f>"Não visitado"</f>
        <v>Não visitado</v>
      </c>
    </row>
    <row r="638" spans="1:75" x14ac:dyDescent="0.35">
      <c r="A638">
        <v>118688</v>
      </c>
      <c r="B638" t="str">
        <f t="shared" si="291"/>
        <v>A</v>
      </c>
      <c r="C638" t="str">
        <f t="shared" si="292"/>
        <v>80</v>
      </c>
      <c r="D638" t="str">
        <f t="shared" si="316"/>
        <v>11121002</v>
      </c>
      <c r="E638" t="str">
        <f t="shared" si="317"/>
        <v>121002</v>
      </c>
      <c r="F638" t="str">
        <f t="shared" si="318"/>
        <v>CINTHIA NORONHA</v>
      </c>
      <c r="G638" t="str">
        <f>"07862057000149"</f>
        <v>07862057000149</v>
      </c>
      <c r="H638" t="str">
        <f>""</f>
        <v/>
      </c>
      <c r="I638" t="str">
        <f t="shared" si="293"/>
        <v>CONTA OPTICA</v>
      </c>
      <c r="J638" t="str">
        <f>"DENISE MEDEIROS COSTA GELOSA ME"</f>
        <v>DENISE MEDEIROS COSTA GELOSA ME</v>
      </c>
      <c r="K638" t="str">
        <f>"OTICA CATEDRAL (02) (879)"</f>
        <v>OTICA CATEDRAL (02) (879)</v>
      </c>
      <c r="L638" t="str">
        <f>""</f>
        <v/>
      </c>
      <c r="M638" t="str">
        <f>""</f>
        <v/>
      </c>
      <c r="N638" t="str">
        <f>"oticacatedral2@hotmail.com"</f>
        <v>oticacatedral2@hotmail.com</v>
      </c>
      <c r="O638" t="str">
        <f>""</f>
        <v/>
      </c>
      <c r="P638" t="str">
        <f>"AVENIDA MARCOLINO MARTINS CABRAL"</f>
        <v>AVENIDA MARCOLINO MARTINS CABRAL</v>
      </c>
      <c r="Q638" t="str">
        <f>"2069"</f>
        <v>2069</v>
      </c>
      <c r="R638" t="str">
        <f>"SALA 01"</f>
        <v>SALA 01</v>
      </c>
      <c r="S638" t="str">
        <f>"1268"</f>
        <v>1268</v>
      </c>
      <c r="T638" t="str">
        <f>"88705001"</f>
        <v>88705001</v>
      </c>
      <c r="U638" t="str">
        <f>"VILA MOEMA"</f>
        <v>VILA MOEMA</v>
      </c>
      <c r="V638" t="str">
        <f>"TUBARÃO"</f>
        <v>TUBARÃO</v>
      </c>
      <c r="W638" t="str">
        <f t="shared" si="319"/>
        <v>SC</v>
      </c>
      <c r="X638" t="str">
        <f t="shared" si="322"/>
        <v>48</v>
      </c>
      <c r="Y638" t="str">
        <f>"36223846"</f>
        <v>36223846</v>
      </c>
      <c r="Z638" t="str">
        <f>""</f>
        <v/>
      </c>
      <c r="AA638" t="str">
        <f>""</f>
        <v/>
      </c>
      <c r="AB638" t="str">
        <f>""</f>
        <v/>
      </c>
      <c r="AC638" t="str">
        <f>""</f>
        <v/>
      </c>
      <c r="AD638" t="str">
        <f>""</f>
        <v/>
      </c>
      <c r="AE638" t="str">
        <f>""</f>
        <v/>
      </c>
      <c r="AF638" t="str">
        <f>""</f>
        <v/>
      </c>
      <c r="AG638" t="str">
        <f>""</f>
        <v/>
      </c>
      <c r="AH638" t="str">
        <f>""</f>
        <v/>
      </c>
      <c r="AI638" t="str">
        <f>""</f>
        <v/>
      </c>
      <c r="AJ638" t="str">
        <f>"0"</f>
        <v>0</v>
      </c>
      <c r="AK638" t="str">
        <f>"0"</f>
        <v>0</v>
      </c>
      <c r="AL638" t="str">
        <f>"0"</f>
        <v>0</v>
      </c>
      <c r="AM638" t="str">
        <f>""</f>
        <v/>
      </c>
      <c r="AN638" t="str">
        <f>""</f>
        <v/>
      </c>
      <c r="AO638" t="str">
        <f>""</f>
        <v/>
      </c>
      <c r="AP638" t="str">
        <f>""</f>
        <v/>
      </c>
      <c r="AQ638" t="str">
        <f>""</f>
        <v/>
      </c>
      <c r="AR638" t="str">
        <f>""</f>
        <v/>
      </c>
      <c r="AS638" t="str">
        <f>""</f>
        <v/>
      </c>
      <c r="AT638" t="str">
        <f>""</f>
        <v/>
      </c>
      <c r="AU638" t="str">
        <f>""</f>
        <v/>
      </c>
      <c r="AV638" t="str">
        <f>""</f>
        <v/>
      </c>
      <c r="AW638" t="str">
        <f>""</f>
        <v/>
      </c>
      <c r="AX638" t="str">
        <f>""</f>
        <v/>
      </c>
      <c r="AY638" t="str">
        <f>""</f>
        <v/>
      </c>
      <c r="AZ638" t="str">
        <f>""</f>
        <v/>
      </c>
      <c r="BA638" t="str">
        <f>""</f>
        <v/>
      </c>
      <c r="BB638" t="str">
        <f>""</f>
        <v/>
      </c>
      <c r="BC638" t="str">
        <f>""</f>
        <v/>
      </c>
      <c r="BD638" t="str">
        <f>""</f>
        <v/>
      </c>
      <c r="BE638" t="str">
        <f>""</f>
        <v/>
      </c>
      <c r="BF638" t="str">
        <f t="shared" si="295"/>
        <v>A</v>
      </c>
      <c r="BG638" t="str">
        <f>"0,00"</f>
        <v>0,00</v>
      </c>
      <c r="BH638" t="str">
        <f>"0,00"</f>
        <v>0,00</v>
      </c>
      <c r="BI638" t="str">
        <f t="shared" si="307"/>
        <v>EVENTUAL</v>
      </c>
      <c r="BJ638" t="str">
        <f t="shared" si="296"/>
        <v>1</v>
      </c>
      <c r="BK638" t="str">
        <f t="shared" si="297"/>
        <v>Farmacia</v>
      </c>
      <c r="BL638" t="str">
        <f>""</f>
        <v/>
      </c>
      <c r="BM638" t="str">
        <f>"NÃO É VARILUX ESPECIALISTA"</f>
        <v>NÃO É VARILUX ESPECIALISTA</v>
      </c>
      <c r="BN638" t="str">
        <f>"NA"</f>
        <v>NA</v>
      </c>
      <c r="BO638" t="str">
        <f>"FOCO VARILUX"</f>
        <v>FOCO VARILUX</v>
      </c>
      <c r="BP638" t="str">
        <f>""</f>
        <v/>
      </c>
      <c r="BQ638" t="str">
        <f>""</f>
        <v/>
      </c>
      <c r="BR638" t="str">
        <f>""</f>
        <v/>
      </c>
      <c r="BS638" t="str">
        <f>""</f>
        <v/>
      </c>
      <c r="BT638" t="str">
        <f>""</f>
        <v/>
      </c>
      <c r="BU638" t="str">
        <f>""</f>
        <v/>
      </c>
      <c r="BV638" t="str">
        <f>"7"</f>
        <v>7</v>
      </c>
      <c r="BW638" t="str">
        <f>"32"</f>
        <v>32</v>
      </c>
    </row>
    <row r="639" spans="1:75" x14ac:dyDescent="0.35">
      <c r="A639">
        <v>156857</v>
      </c>
      <c r="B639" t="str">
        <f t="shared" si="291"/>
        <v>A</v>
      </c>
      <c r="C639" t="str">
        <f t="shared" si="292"/>
        <v>80</v>
      </c>
      <c r="D639" t="str">
        <f t="shared" si="316"/>
        <v>11121002</v>
      </c>
      <c r="E639" t="str">
        <f t="shared" si="317"/>
        <v>121002</v>
      </c>
      <c r="F639" t="str">
        <f t="shared" si="318"/>
        <v>CINTHIA NORONHA</v>
      </c>
      <c r="G639" t="str">
        <f>"49561505000114"</f>
        <v>49561505000114</v>
      </c>
      <c r="H639" t="str">
        <f>"0"</f>
        <v>0</v>
      </c>
      <c r="I639" t="str">
        <f t="shared" si="293"/>
        <v>CONTA OPTICA</v>
      </c>
      <c r="J639" t="str">
        <f>"DENY OTICA E ACESSORIOS LTDA"</f>
        <v>DENY OTICA E ACESSORIOS LTDA</v>
      </c>
      <c r="K639" t="str">
        <f>"DENY OTICA E ACESSORIOS (4671)"</f>
        <v>DENY OTICA E ACESSORIOS (4671)</v>
      </c>
      <c r="L639" t="str">
        <f>""</f>
        <v/>
      </c>
      <c r="M639" t="str">
        <f>""</f>
        <v/>
      </c>
      <c r="N639" t="str">
        <f>"DENYOTICAEACESSORIOS@HOTMAIL.COM"</f>
        <v>DENYOTICAEACESSORIOS@HOTMAIL.COM</v>
      </c>
      <c r="O639" t="str">
        <f>""</f>
        <v/>
      </c>
      <c r="P639" t="str">
        <f>"RUA JOSE MATHIAS ZIMMERMANN"</f>
        <v>RUA JOSE MATHIAS ZIMMERMANN</v>
      </c>
      <c r="Q639" t="str">
        <f>"49"</f>
        <v>49</v>
      </c>
      <c r="R639" t="str">
        <f>"SALA 04"</f>
        <v>SALA 04</v>
      </c>
      <c r="S639" t="str">
        <f>""</f>
        <v/>
      </c>
      <c r="T639" t="str">
        <f>"88122200"</f>
        <v>88122200</v>
      </c>
      <c r="U639" t="str">
        <f>"SERTAO DO MARUIM"</f>
        <v>SERTAO DO MARUIM</v>
      </c>
      <c r="V639" t="str">
        <f>"SAO JOSE"</f>
        <v>SAO JOSE</v>
      </c>
      <c r="W639" t="str">
        <f t="shared" si="319"/>
        <v>SC</v>
      </c>
      <c r="X639" t="str">
        <f t="shared" si="322"/>
        <v>48</v>
      </c>
      <c r="Y639" t="str">
        <f>"996411056"</f>
        <v>996411056</v>
      </c>
      <c r="Z639" t="str">
        <f>""</f>
        <v/>
      </c>
      <c r="AA639" t="str">
        <f>""</f>
        <v/>
      </c>
      <c r="AB639" t="str">
        <f>""</f>
        <v/>
      </c>
      <c r="AC639" t="str">
        <f>""</f>
        <v/>
      </c>
      <c r="AD639" t="str">
        <f>""</f>
        <v/>
      </c>
      <c r="AE639" t="str">
        <f>""</f>
        <v/>
      </c>
      <c r="AF639" t="str">
        <f>""</f>
        <v/>
      </c>
      <c r="AG639" t="str">
        <f>""</f>
        <v/>
      </c>
      <c r="AH639" t="str">
        <f>""</f>
        <v/>
      </c>
      <c r="AI639" t="str">
        <f>""</f>
        <v/>
      </c>
      <c r="AJ639" t="str">
        <f>""</f>
        <v/>
      </c>
      <c r="AK639" t="str">
        <f>""</f>
        <v/>
      </c>
      <c r="AL639" t="str">
        <f>""</f>
        <v/>
      </c>
      <c r="AM639" t="str">
        <f>""</f>
        <v/>
      </c>
      <c r="AN639" t="str">
        <f>""</f>
        <v/>
      </c>
      <c r="AO639" t="str">
        <f>""</f>
        <v/>
      </c>
      <c r="AP639" t="str">
        <f>""</f>
        <v/>
      </c>
      <c r="AQ639" t="str">
        <f>""</f>
        <v/>
      </c>
      <c r="AR639" t="str">
        <f>""</f>
        <v/>
      </c>
      <c r="AS639" t="str">
        <f>""</f>
        <v/>
      </c>
      <c r="AT639" t="str">
        <f>""</f>
        <v/>
      </c>
      <c r="AU639" t="str">
        <f>""</f>
        <v/>
      </c>
      <c r="AV639" t="str">
        <f>""</f>
        <v/>
      </c>
      <c r="AW639" t="str">
        <f>""</f>
        <v/>
      </c>
      <c r="AX639" t="str">
        <f>""</f>
        <v/>
      </c>
      <c r="AY639" t="str">
        <f>""</f>
        <v/>
      </c>
      <c r="AZ639" t="str">
        <f>""</f>
        <v/>
      </c>
      <c r="BA639" t="str">
        <f>""</f>
        <v/>
      </c>
      <c r="BB639" t="str">
        <f>"06/07/2023 12:07:48"</f>
        <v>06/07/2023 12:07:48</v>
      </c>
      <c r="BC639" t="str">
        <f>""</f>
        <v/>
      </c>
      <c r="BD639" t="str">
        <f>""</f>
        <v/>
      </c>
      <c r="BE639" t="str">
        <f>""</f>
        <v/>
      </c>
      <c r="BF639" t="str">
        <f t="shared" si="295"/>
        <v>A</v>
      </c>
      <c r="BG639" t="str">
        <f>""</f>
        <v/>
      </c>
      <c r="BH639" t="str">
        <f>""</f>
        <v/>
      </c>
      <c r="BI639" t="str">
        <f t="shared" si="307"/>
        <v>EVENTUAL</v>
      </c>
      <c r="BJ639" t="str">
        <f t="shared" si="296"/>
        <v>1</v>
      </c>
      <c r="BK639" t="str">
        <f t="shared" si="297"/>
        <v>Farmacia</v>
      </c>
      <c r="BL639" t="str">
        <f>""</f>
        <v/>
      </c>
      <c r="BM639" t="str">
        <f>""</f>
        <v/>
      </c>
      <c r="BN639" t="str">
        <f>""</f>
        <v/>
      </c>
      <c r="BO639" t="str">
        <f>""</f>
        <v/>
      </c>
      <c r="BP639" t="str">
        <f>""</f>
        <v/>
      </c>
      <c r="BQ639" t="str">
        <f>""</f>
        <v/>
      </c>
      <c r="BR639" t="str">
        <f>"06/07/2023"</f>
        <v>06/07/2023</v>
      </c>
      <c r="BS639" t="str">
        <f>""</f>
        <v/>
      </c>
      <c r="BT639" t="str">
        <f>""</f>
        <v/>
      </c>
      <c r="BU639" t="str">
        <f>""</f>
        <v/>
      </c>
      <c r="BV639" t="str">
        <f>""</f>
        <v/>
      </c>
      <c r="BW639" t="str">
        <f>"Não visitado"</f>
        <v>Não visitado</v>
      </c>
    </row>
    <row r="640" spans="1:75" x14ac:dyDescent="0.35">
      <c r="A640">
        <v>134288</v>
      </c>
      <c r="B640" t="str">
        <f t="shared" si="291"/>
        <v>A</v>
      </c>
      <c r="C640" t="str">
        <f t="shared" si="292"/>
        <v>80</v>
      </c>
      <c r="D640" t="str">
        <f t="shared" si="316"/>
        <v>11121002</v>
      </c>
      <c r="E640" t="str">
        <f t="shared" si="317"/>
        <v>121002</v>
      </c>
      <c r="F640" t="str">
        <f t="shared" si="318"/>
        <v>CINTHIA NORONHA</v>
      </c>
      <c r="G640" t="str">
        <f>"85117539000188"</f>
        <v>85117539000188</v>
      </c>
      <c r="H640" t="str">
        <f>""</f>
        <v/>
      </c>
      <c r="I640" t="str">
        <f t="shared" si="293"/>
        <v>CONTA OPTICA</v>
      </c>
      <c r="J640" t="str">
        <f>"DESTERRO JOIAS LTDA - EPP"</f>
        <v>DESTERRO JOIAS LTDA - EPP</v>
      </c>
      <c r="K640" t="str">
        <f>"OTICA DESTERRO (513)"</f>
        <v>OTICA DESTERRO (513)</v>
      </c>
      <c r="L640" t="str">
        <f>""</f>
        <v/>
      </c>
      <c r="M640" t="str">
        <f>""</f>
        <v/>
      </c>
      <c r="N640" t="str">
        <f>"michellefraga20@hotmail.com"</f>
        <v>michellefraga20@hotmail.com</v>
      </c>
      <c r="O640" t="str">
        <f>""</f>
        <v/>
      </c>
      <c r="P640" t="str">
        <f>"RUA FELIPE SCHMIDT"</f>
        <v>RUA FELIPE SCHMIDT</v>
      </c>
      <c r="Q640" t="str">
        <f>"249"</f>
        <v>249</v>
      </c>
      <c r="R640" t="str">
        <f>"LOJA 04"</f>
        <v>LOJA 04</v>
      </c>
      <c r="S640" t="str">
        <f>"1254"</f>
        <v>1254</v>
      </c>
      <c r="T640" t="str">
        <f>"88010902"</f>
        <v>88010902</v>
      </c>
      <c r="U640" t="str">
        <f>"CENTRO"</f>
        <v>CENTRO</v>
      </c>
      <c r="V640" t="str">
        <f>"FLORIANÓPOLIS"</f>
        <v>FLORIANÓPOLIS</v>
      </c>
      <c r="W640" t="str">
        <f t="shared" si="319"/>
        <v>SC</v>
      </c>
      <c r="X640" t="str">
        <f t="shared" si="322"/>
        <v>48</v>
      </c>
      <c r="Y640" t="str">
        <f>"32223734"</f>
        <v>32223734</v>
      </c>
      <c r="Z640" t="str">
        <f>""</f>
        <v/>
      </c>
      <c r="AA640" t="str">
        <f>""</f>
        <v/>
      </c>
      <c r="AB640" t="str">
        <f>""</f>
        <v/>
      </c>
      <c r="AC640" t="str">
        <f>""</f>
        <v/>
      </c>
      <c r="AD640" t="str">
        <f>""</f>
        <v/>
      </c>
      <c r="AE640" t="str">
        <f>""</f>
        <v/>
      </c>
      <c r="AF640" t="str">
        <f>""</f>
        <v/>
      </c>
      <c r="AG640" t="str">
        <f>"S"</f>
        <v>S</v>
      </c>
      <c r="AH640" t="str">
        <f>""</f>
        <v/>
      </c>
      <c r="AI640" t="str">
        <f>""</f>
        <v/>
      </c>
      <c r="AJ640" t="str">
        <f>"0"</f>
        <v>0</v>
      </c>
      <c r="AK640" t="str">
        <f>"0"</f>
        <v>0</v>
      </c>
      <c r="AL640" t="str">
        <f>"0"</f>
        <v>0</v>
      </c>
      <c r="AM640" t="str">
        <f>""</f>
        <v/>
      </c>
      <c r="AN640" t="str">
        <f>""</f>
        <v/>
      </c>
      <c r="AO640" t="str">
        <f>""</f>
        <v/>
      </c>
      <c r="AP640" t="str">
        <f>""</f>
        <v/>
      </c>
      <c r="AQ640" t="str">
        <f>"N"</f>
        <v>N</v>
      </c>
      <c r="AR640" t="str">
        <f>"N"</f>
        <v>N</v>
      </c>
      <c r="AS640" t="str">
        <f>"N"</f>
        <v>N</v>
      </c>
      <c r="AT640" t="str">
        <f>"N"</f>
        <v>N</v>
      </c>
      <c r="AU640" t="str">
        <f>"N"</f>
        <v>N</v>
      </c>
      <c r="AV640" t="str">
        <f>""</f>
        <v/>
      </c>
      <c r="AW640" t="str">
        <f>""</f>
        <v/>
      </c>
      <c r="AX640" t="str">
        <f>""</f>
        <v/>
      </c>
      <c r="AY640" t="str">
        <f>""</f>
        <v/>
      </c>
      <c r="AZ640" t="str">
        <f>""</f>
        <v/>
      </c>
      <c r="BA640" t="str">
        <f>""</f>
        <v/>
      </c>
      <c r="BB640" t="str">
        <f>""</f>
        <v/>
      </c>
      <c r="BC640" t="str">
        <f>"03/05/2022 09:45:08"</f>
        <v>03/05/2022 09:45:08</v>
      </c>
      <c r="BD640" t="str">
        <f>""</f>
        <v/>
      </c>
      <c r="BE640" t="str">
        <f>""</f>
        <v/>
      </c>
      <c r="BF640" t="str">
        <f t="shared" si="295"/>
        <v>A</v>
      </c>
      <c r="BG640" t="str">
        <f>"0,00"</f>
        <v>0,00</v>
      </c>
      <c r="BH640" t="str">
        <f>"0,00"</f>
        <v>0,00</v>
      </c>
      <c r="BI640" t="str">
        <f t="shared" si="307"/>
        <v>EVENTUAL</v>
      </c>
      <c r="BJ640" t="str">
        <f t="shared" si="296"/>
        <v>1</v>
      </c>
      <c r="BK640" t="str">
        <f t="shared" si="297"/>
        <v>Farmacia</v>
      </c>
      <c r="BL640" t="str">
        <f>""</f>
        <v/>
      </c>
      <c r="BM640" t="str">
        <f>"VARILUX ESPECIALISTA PLATINE"</f>
        <v>VARILUX ESPECIALISTA PLATINE</v>
      </c>
      <c r="BN640" t="str">
        <f>"NA"</f>
        <v>NA</v>
      </c>
      <c r="BO640" t="str">
        <f>"FOCO VARILUX DIGITAL"</f>
        <v>FOCO VARILUX DIGITAL</v>
      </c>
      <c r="BP640" t="str">
        <f>""</f>
        <v/>
      </c>
      <c r="BQ640" t="str">
        <f>""</f>
        <v/>
      </c>
      <c r="BR640" t="str">
        <f>""</f>
        <v/>
      </c>
      <c r="BS640" t="str">
        <f>"03/05/2022"</f>
        <v>03/05/2022</v>
      </c>
      <c r="BT640" t="str">
        <f>""</f>
        <v/>
      </c>
      <c r="BU640" t="str">
        <f>""</f>
        <v/>
      </c>
      <c r="BV640" t="str">
        <f>"1"</f>
        <v>1</v>
      </c>
      <c r="BW640" t="str">
        <f>"24"</f>
        <v>24</v>
      </c>
    </row>
    <row r="641" spans="1:75" x14ac:dyDescent="0.35">
      <c r="A641">
        <v>156883</v>
      </c>
      <c r="B641" t="str">
        <f t="shared" si="291"/>
        <v>A</v>
      </c>
      <c r="C641" t="str">
        <f t="shared" si="292"/>
        <v>80</v>
      </c>
      <c r="D641" t="str">
        <f t="shared" si="316"/>
        <v>11121002</v>
      </c>
      <c r="E641" t="str">
        <f t="shared" si="317"/>
        <v>121002</v>
      </c>
      <c r="F641" t="str">
        <f t="shared" si="318"/>
        <v>CINTHIA NORONHA</v>
      </c>
      <c r="G641" t="str">
        <f>"24981510000155"</f>
        <v>24981510000155</v>
      </c>
      <c r="H641" t="str">
        <f>"0"</f>
        <v>0</v>
      </c>
      <c r="I641" t="str">
        <f t="shared" si="293"/>
        <v>CONTA OPTICA</v>
      </c>
      <c r="J641" t="str">
        <f>"DI NAPOLI OTICA LTDA - ME"</f>
        <v>DI NAPOLI OTICA LTDA - ME</v>
      </c>
      <c r="K641" t="str">
        <f>"OJO BY MR. RAY (3318)"</f>
        <v>OJO BY MR. RAY (3318)</v>
      </c>
      <c r="L641" t="str">
        <f>""</f>
        <v/>
      </c>
      <c r="M641" t="str">
        <f>""</f>
        <v/>
      </c>
      <c r="N641" t="str">
        <f>"BRUNODINAPOLI.OJO@GMAIL.COM"</f>
        <v>BRUNODINAPOLI.OJO@GMAIL.COM</v>
      </c>
      <c r="O641" t="str">
        <f>""</f>
        <v/>
      </c>
      <c r="P641" t="str">
        <f>"RUA MADRE BENVENUTA"</f>
        <v>RUA MADRE BENVENUTA</v>
      </c>
      <c r="Q641" t="str">
        <f>"687"</f>
        <v>687</v>
      </c>
      <c r="R641" t="str">
        <f>"LOJA 221"</f>
        <v>LOJA 221</v>
      </c>
      <c r="S641" t="str">
        <f>"1257"</f>
        <v>1257</v>
      </c>
      <c r="T641" t="str">
        <f>"88035970"</f>
        <v>88035970</v>
      </c>
      <c r="U641" t="str">
        <f>"SANTA MONICA"</f>
        <v>SANTA MONICA</v>
      </c>
      <c r="V641" t="str">
        <f>"FLORIANOPOLIS"</f>
        <v>FLORIANOPOLIS</v>
      </c>
      <c r="W641" t="str">
        <f t="shared" si="319"/>
        <v>SC</v>
      </c>
      <c r="X641" t="str">
        <f t="shared" si="322"/>
        <v>48</v>
      </c>
      <c r="Y641" t="str">
        <f>"32066630"</f>
        <v>32066630</v>
      </c>
      <c r="Z641" t="str">
        <f>""</f>
        <v/>
      </c>
      <c r="AA641" t="str">
        <f>""</f>
        <v/>
      </c>
      <c r="AB641" t="str">
        <f>""</f>
        <v/>
      </c>
      <c r="AC641" t="str">
        <f>""</f>
        <v/>
      </c>
      <c r="AD641" t="str">
        <f>""</f>
        <v/>
      </c>
      <c r="AE641" t="str">
        <f>""</f>
        <v/>
      </c>
      <c r="AF641" t="str">
        <f>""</f>
        <v/>
      </c>
      <c r="AG641" t="str">
        <f>""</f>
        <v/>
      </c>
      <c r="AH641" t="str">
        <f>""</f>
        <v/>
      </c>
      <c r="AI641" t="str">
        <f>""</f>
        <v/>
      </c>
      <c r="AJ641" t="str">
        <f>""</f>
        <v/>
      </c>
      <c r="AK641" t="str">
        <f>""</f>
        <v/>
      </c>
      <c r="AL641" t="str">
        <f>""</f>
        <v/>
      </c>
      <c r="AM641" t="str">
        <f>""</f>
        <v/>
      </c>
      <c r="AN641" t="str">
        <f>""</f>
        <v/>
      </c>
      <c r="AO641" t="str">
        <f>""</f>
        <v/>
      </c>
      <c r="AP641" t="str">
        <f>""</f>
        <v/>
      </c>
      <c r="AQ641" t="str">
        <f>""</f>
        <v/>
      </c>
      <c r="AR641" t="str">
        <f>""</f>
        <v/>
      </c>
      <c r="AS641" t="str">
        <f>""</f>
        <v/>
      </c>
      <c r="AT641" t="str">
        <f>""</f>
        <v/>
      </c>
      <c r="AU641" t="str">
        <f>""</f>
        <v/>
      </c>
      <c r="AV641" t="str">
        <f>""</f>
        <v/>
      </c>
      <c r="AW641" t="str">
        <f>""</f>
        <v/>
      </c>
      <c r="AX641" t="str">
        <f>""</f>
        <v/>
      </c>
      <c r="AY641" t="str">
        <f>""</f>
        <v/>
      </c>
      <c r="AZ641" t="str">
        <f>""</f>
        <v/>
      </c>
      <c r="BA641" t="str">
        <f>""</f>
        <v/>
      </c>
      <c r="BB641" t="str">
        <f>"06/07/2023 12:07:48"</f>
        <v>06/07/2023 12:07:48</v>
      </c>
      <c r="BC641" t="str">
        <f>""</f>
        <v/>
      </c>
      <c r="BD641" t="str">
        <f>""</f>
        <v/>
      </c>
      <c r="BE641" t="str">
        <f>""</f>
        <v/>
      </c>
      <c r="BF641" t="str">
        <f t="shared" si="295"/>
        <v>A</v>
      </c>
      <c r="BG641" t="str">
        <f>""</f>
        <v/>
      </c>
      <c r="BH641" t="str">
        <f>""</f>
        <v/>
      </c>
      <c r="BI641" t="str">
        <f t="shared" si="307"/>
        <v>EVENTUAL</v>
      </c>
      <c r="BJ641" t="str">
        <f t="shared" si="296"/>
        <v>1</v>
      </c>
      <c r="BK641" t="str">
        <f t="shared" si="297"/>
        <v>Farmacia</v>
      </c>
      <c r="BL641" t="str">
        <f>""</f>
        <v/>
      </c>
      <c r="BM641" t="str">
        <f>""</f>
        <v/>
      </c>
      <c r="BN641" t="str">
        <f>""</f>
        <v/>
      </c>
      <c r="BO641" t="str">
        <f>""</f>
        <v/>
      </c>
      <c r="BP641" t="str">
        <f>""</f>
        <v/>
      </c>
      <c r="BQ641" t="str">
        <f>""</f>
        <v/>
      </c>
      <c r="BR641" t="str">
        <f>"06/07/2023"</f>
        <v>06/07/2023</v>
      </c>
      <c r="BS641" t="str">
        <f>""</f>
        <v/>
      </c>
      <c r="BT641" t="str">
        <f>""</f>
        <v/>
      </c>
      <c r="BU641" t="str">
        <f>""</f>
        <v/>
      </c>
      <c r="BV641" t="str">
        <f>""</f>
        <v/>
      </c>
      <c r="BW641" t="str">
        <f>"Não visitado"</f>
        <v>Não visitado</v>
      </c>
    </row>
    <row r="642" spans="1:75" x14ac:dyDescent="0.35">
      <c r="A642">
        <v>156915</v>
      </c>
      <c r="B642" t="str">
        <f t="shared" ref="B642:B705" si="325">"A"</f>
        <v>A</v>
      </c>
      <c r="C642" t="str">
        <f t="shared" ref="C642:C705" si="326">"80"</f>
        <v>80</v>
      </c>
      <c r="D642" t="str">
        <f t="shared" si="316"/>
        <v>11121002</v>
      </c>
      <c r="E642" t="str">
        <f t="shared" si="317"/>
        <v>121002</v>
      </c>
      <c r="F642" t="str">
        <f t="shared" si="318"/>
        <v>CINTHIA NORONHA</v>
      </c>
      <c r="G642" t="str">
        <f>"42143549000185"</f>
        <v>42143549000185</v>
      </c>
      <c r="H642" t="str">
        <f>"0"</f>
        <v>0</v>
      </c>
      <c r="I642" t="str">
        <f t="shared" ref="I642:I705" si="327">"CONTA OPTICA"</f>
        <v>CONTA OPTICA</v>
      </c>
      <c r="J642" t="str">
        <f>"DIEGO MATOS 05056088986"</f>
        <v>DIEGO MATOS 05056088986</v>
      </c>
      <c r="K642" t="str">
        <f>"AMMI OPTICA (4505)"</f>
        <v>AMMI OPTICA (4505)</v>
      </c>
      <c r="L642" t="str">
        <f>""</f>
        <v/>
      </c>
      <c r="M642" t="str">
        <f>""</f>
        <v/>
      </c>
      <c r="N642" t="str">
        <f>"CONTATOAMMIOPTICA@HOTMAIL.COM"</f>
        <v>CONTATOAMMIOPTICA@HOTMAIL.COM</v>
      </c>
      <c r="O642" t="str">
        <f>""</f>
        <v/>
      </c>
      <c r="P642" t="str">
        <f>"MONSENHOR FREDERICO TOMBROCK"</f>
        <v>MONSENHOR FREDERICO TOMBROCK</v>
      </c>
      <c r="Q642" t="str">
        <f>"824"</f>
        <v>824</v>
      </c>
      <c r="R642" t="str">
        <f>""</f>
        <v/>
      </c>
      <c r="S642" t="str">
        <f>"1268"</f>
        <v>1268</v>
      </c>
      <c r="T642" t="str">
        <f>"88730000"</f>
        <v>88730000</v>
      </c>
      <c r="U642" t="str">
        <f>"CENTRO"</f>
        <v>CENTRO</v>
      </c>
      <c r="V642" t="str">
        <f>"SAO LUDGERO"</f>
        <v>SAO LUDGERO</v>
      </c>
      <c r="W642" t="str">
        <f t="shared" si="319"/>
        <v>SC</v>
      </c>
      <c r="X642" t="str">
        <f t="shared" si="322"/>
        <v>48</v>
      </c>
      <c r="Y642" t="str">
        <f>"988108860"</f>
        <v>988108860</v>
      </c>
      <c r="Z642" t="str">
        <f>""</f>
        <v/>
      </c>
      <c r="AA642" t="str">
        <f>""</f>
        <v/>
      </c>
      <c r="AB642" t="str">
        <f>""</f>
        <v/>
      </c>
      <c r="AC642" t="str">
        <f>""</f>
        <v/>
      </c>
      <c r="AD642" t="str">
        <f>""</f>
        <v/>
      </c>
      <c r="AE642" t="str">
        <f>""</f>
        <v/>
      </c>
      <c r="AF642" t="str">
        <f>""</f>
        <v/>
      </c>
      <c r="AG642" t="str">
        <f>""</f>
        <v/>
      </c>
      <c r="AH642" t="str">
        <f>""</f>
        <v/>
      </c>
      <c r="AI642" t="str">
        <f>""</f>
        <v/>
      </c>
      <c r="AJ642" t="str">
        <f>""</f>
        <v/>
      </c>
      <c r="AK642" t="str">
        <f>""</f>
        <v/>
      </c>
      <c r="AL642" t="str">
        <f>""</f>
        <v/>
      </c>
      <c r="AM642" t="str">
        <f>""</f>
        <v/>
      </c>
      <c r="AN642" t="str">
        <f>""</f>
        <v/>
      </c>
      <c r="AO642" t="str">
        <f>""</f>
        <v/>
      </c>
      <c r="AP642" t="str">
        <f>""</f>
        <v/>
      </c>
      <c r="AQ642" t="str">
        <f>""</f>
        <v/>
      </c>
      <c r="AR642" t="str">
        <f>""</f>
        <v/>
      </c>
      <c r="AS642" t="str">
        <f>""</f>
        <v/>
      </c>
      <c r="AT642" t="str">
        <f>""</f>
        <v/>
      </c>
      <c r="AU642" t="str">
        <f>""</f>
        <v/>
      </c>
      <c r="AV642" t="str">
        <f>""</f>
        <v/>
      </c>
      <c r="AW642" t="str">
        <f>""</f>
        <v/>
      </c>
      <c r="AX642" t="str">
        <f>""</f>
        <v/>
      </c>
      <c r="AY642" t="str">
        <f>""</f>
        <v/>
      </c>
      <c r="AZ642" t="str">
        <f>""</f>
        <v/>
      </c>
      <c r="BA642" t="str">
        <f>""</f>
        <v/>
      </c>
      <c r="BB642" t="str">
        <f>"06/07/2023 12:07:48"</f>
        <v>06/07/2023 12:07:48</v>
      </c>
      <c r="BC642" t="str">
        <f>""</f>
        <v/>
      </c>
      <c r="BD642" t="str">
        <f>""</f>
        <v/>
      </c>
      <c r="BE642" t="str">
        <f>""</f>
        <v/>
      </c>
      <c r="BF642" t="str">
        <f t="shared" ref="BF642:BF705" si="328">"A"</f>
        <v>A</v>
      </c>
      <c r="BG642" t="str">
        <f>""</f>
        <v/>
      </c>
      <c r="BH642" t="str">
        <f>""</f>
        <v/>
      </c>
      <c r="BI642" t="str">
        <f t="shared" si="307"/>
        <v>EVENTUAL</v>
      </c>
      <c r="BJ642" t="str">
        <f t="shared" ref="BJ642:BJ705" si="329">"1"</f>
        <v>1</v>
      </c>
      <c r="BK642" t="str">
        <f t="shared" ref="BK642:BK705" si="330">"Farmacia"</f>
        <v>Farmacia</v>
      </c>
      <c r="BL642" t="str">
        <f>""</f>
        <v/>
      </c>
      <c r="BM642" t="str">
        <f>""</f>
        <v/>
      </c>
      <c r="BN642" t="str">
        <f>""</f>
        <v/>
      </c>
      <c r="BO642" t="str">
        <f>""</f>
        <v/>
      </c>
      <c r="BP642" t="str">
        <f>""</f>
        <v/>
      </c>
      <c r="BQ642" t="str">
        <f>""</f>
        <v/>
      </c>
      <c r="BR642" t="str">
        <f>"06/07/2023"</f>
        <v>06/07/2023</v>
      </c>
      <c r="BS642" t="str">
        <f>""</f>
        <v/>
      </c>
      <c r="BT642" t="str">
        <f>""</f>
        <v/>
      </c>
      <c r="BU642" t="str">
        <f>""</f>
        <v/>
      </c>
      <c r="BV642" t="str">
        <f>""</f>
        <v/>
      </c>
      <c r="BW642" t="str">
        <f>"Não visitado"</f>
        <v>Não visitado</v>
      </c>
    </row>
    <row r="643" spans="1:75" x14ac:dyDescent="0.35">
      <c r="A643">
        <v>134273</v>
      </c>
      <c r="B643" t="str">
        <f t="shared" si="325"/>
        <v>A</v>
      </c>
      <c r="C643" t="str">
        <f t="shared" si="326"/>
        <v>80</v>
      </c>
      <c r="D643" t="str">
        <f t="shared" si="316"/>
        <v>11121002</v>
      </c>
      <c r="E643" t="str">
        <f t="shared" si="317"/>
        <v>121002</v>
      </c>
      <c r="F643" t="str">
        <f t="shared" si="318"/>
        <v>CINTHIA NORONHA</v>
      </c>
      <c r="G643" t="str">
        <f>"75283333000174"</f>
        <v>75283333000174</v>
      </c>
      <c r="H643" t="str">
        <f>""</f>
        <v/>
      </c>
      <c r="I643" t="str">
        <f t="shared" si="327"/>
        <v>CONTA OPTICA</v>
      </c>
      <c r="J643" t="str">
        <f>"DOMINGOS ROBERTO MONDADORI"</f>
        <v>DOMINGOS ROBERTO MONDADORI</v>
      </c>
      <c r="K643" t="str">
        <f>"OMINGOS ROBERTO MONDADORI COMERCIO (92)"</f>
        <v>OMINGOS ROBERTO MONDADORI COMERCIO (92)</v>
      </c>
      <c r="L643" t="str">
        <f>""</f>
        <v/>
      </c>
      <c r="M643" t="str">
        <f>""</f>
        <v/>
      </c>
      <c r="N643" t="str">
        <f>"opticamondadori@hotmail.com"</f>
        <v>opticamondadori@hotmail.com</v>
      </c>
      <c r="O643" t="str">
        <f>""</f>
        <v/>
      </c>
      <c r="P643" t="str">
        <f>"RUA PREFEITO JOSE KEHRIG"</f>
        <v>RUA PREFEITO JOSE KEHRIG</v>
      </c>
      <c r="Q643" t="str">
        <f>"5713"</f>
        <v>5713</v>
      </c>
      <c r="R643" t="str">
        <f>""</f>
        <v/>
      </c>
      <c r="S643" t="str">
        <f>"1259"</f>
        <v>1259</v>
      </c>
      <c r="T643" t="str">
        <f>"88140000"</f>
        <v>88140000</v>
      </c>
      <c r="U643" t="str">
        <f>"CENTRO"</f>
        <v>CENTRO</v>
      </c>
      <c r="V643" t="str">
        <f>"SANTO AMARO DA IMPERATRIZ"</f>
        <v>SANTO AMARO DA IMPERATRIZ</v>
      </c>
      <c r="W643" t="str">
        <f t="shared" si="319"/>
        <v>SC</v>
      </c>
      <c r="X643" t="str">
        <f t="shared" si="322"/>
        <v>48</v>
      </c>
      <c r="Y643" t="str">
        <f>"32451142"</f>
        <v>32451142</v>
      </c>
      <c r="Z643" t="str">
        <f>""</f>
        <v/>
      </c>
      <c r="AA643" t="str">
        <f>""</f>
        <v/>
      </c>
      <c r="AB643" t="str">
        <f>""</f>
        <v/>
      </c>
      <c r="AC643" t="str">
        <f>""</f>
        <v/>
      </c>
      <c r="AD643" t="str">
        <f>""</f>
        <v/>
      </c>
      <c r="AE643" t="str">
        <f>""</f>
        <v/>
      </c>
      <c r="AF643" t="str">
        <f>""</f>
        <v/>
      </c>
      <c r="AG643" t="str">
        <f>""</f>
        <v/>
      </c>
      <c r="AH643" t="str">
        <f>""</f>
        <v/>
      </c>
      <c r="AI643" t="str">
        <f>""</f>
        <v/>
      </c>
      <c r="AJ643" t="str">
        <f>"0"</f>
        <v>0</v>
      </c>
      <c r="AK643" t="str">
        <f>"0"</f>
        <v>0</v>
      </c>
      <c r="AL643" t="str">
        <f>"0"</f>
        <v>0</v>
      </c>
      <c r="AM643" t="str">
        <f>""</f>
        <v/>
      </c>
      <c r="AN643" t="str">
        <f>""</f>
        <v/>
      </c>
      <c r="AO643" t="str">
        <f>""</f>
        <v/>
      </c>
      <c r="AP643" t="str">
        <f>""</f>
        <v/>
      </c>
      <c r="AQ643" t="str">
        <f>""</f>
        <v/>
      </c>
      <c r="AR643" t="str">
        <f>""</f>
        <v/>
      </c>
      <c r="AS643" t="str">
        <f>""</f>
        <v/>
      </c>
      <c r="AT643" t="str">
        <f>""</f>
        <v/>
      </c>
      <c r="AU643" t="str">
        <f>""</f>
        <v/>
      </c>
      <c r="AV643" t="str">
        <f>""</f>
        <v/>
      </c>
      <c r="AW643" t="str">
        <f>""</f>
        <v/>
      </c>
      <c r="AX643" t="str">
        <f>""</f>
        <v/>
      </c>
      <c r="AY643" t="str">
        <f>""</f>
        <v/>
      </c>
      <c r="AZ643" t="str">
        <f>""</f>
        <v/>
      </c>
      <c r="BA643" t="str">
        <f>""</f>
        <v/>
      </c>
      <c r="BB643" t="str">
        <f>""</f>
        <v/>
      </c>
      <c r="BC643" t="str">
        <f>""</f>
        <v/>
      </c>
      <c r="BD643" t="str">
        <f>""</f>
        <v/>
      </c>
      <c r="BE643" t="str">
        <f>""</f>
        <v/>
      </c>
      <c r="BF643" t="str">
        <f t="shared" si="328"/>
        <v>A</v>
      </c>
      <c r="BG643" t="str">
        <f>"0,00"</f>
        <v>0,00</v>
      </c>
      <c r="BH643" t="str">
        <f>"0,00"</f>
        <v>0,00</v>
      </c>
      <c r="BI643" t="str">
        <f t="shared" si="307"/>
        <v>EVENTUAL</v>
      </c>
      <c r="BJ643" t="str">
        <f t="shared" si="329"/>
        <v>1</v>
      </c>
      <c r="BK643" t="str">
        <f t="shared" si="330"/>
        <v>Farmacia</v>
      </c>
      <c r="BL643" t="str">
        <f>""</f>
        <v/>
      </c>
      <c r="BM643" t="str">
        <f>"NÃO É VARILUX ESPECIALISTA"</f>
        <v>NÃO É VARILUX ESPECIALISTA</v>
      </c>
      <c r="BN643" t="str">
        <f>"NA"</f>
        <v>NA</v>
      </c>
      <c r="BO643" t="str">
        <f>"FOCO VARILUX"</f>
        <v>FOCO VARILUX</v>
      </c>
      <c r="BP643" t="str">
        <f>""</f>
        <v/>
      </c>
      <c r="BQ643" t="str">
        <f>""</f>
        <v/>
      </c>
      <c r="BR643" t="str">
        <f>""</f>
        <v/>
      </c>
      <c r="BS643" t="str">
        <f>""</f>
        <v/>
      </c>
      <c r="BT643" t="str">
        <f>""</f>
        <v/>
      </c>
      <c r="BU643" t="str">
        <f>""</f>
        <v/>
      </c>
      <c r="BV643" t="str">
        <f>"8"</f>
        <v>8</v>
      </c>
      <c r="BW643" t="str">
        <f>"Não visitado"</f>
        <v>Não visitado</v>
      </c>
    </row>
    <row r="644" spans="1:75" x14ac:dyDescent="0.35">
      <c r="A644">
        <v>134477</v>
      </c>
      <c r="B644" t="str">
        <f t="shared" si="325"/>
        <v>A</v>
      </c>
      <c r="C644" t="str">
        <f t="shared" si="326"/>
        <v>80</v>
      </c>
      <c r="D644" t="str">
        <f t="shared" si="316"/>
        <v>11121002</v>
      </c>
      <c r="E644" t="str">
        <f t="shared" si="317"/>
        <v>121002</v>
      </c>
      <c r="F644" t="str">
        <f t="shared" si="318"/>
        <v>CINTHIA NORONHA</v>
      </c>
      <c r="G644" t="str">
        <f>"17474064000127"</f>
        <v>17474064000127</v>
      </c>
      <c r="H644" t="str">
        <f>""</f>
        <v/>
      </c>
      <c r="I644" t="str">
        <f t="shared" si="327"/>
        <v>CONTA OPTICA</v>
      </c>
      <c r="J644" t="str">
        <f>"DOMINGOS ROBERTO MONDADORI FILHO 04307646932"</f>
        <v>DOMINGOS ROBERTO MONDADORI FILHO 04307646932</v>
      </c>
      <c r="K644" t="str">
        <f>"RELOJOARIA E OTICA MONDADORI (2260)"</f>
        <v>RELOJOARIA E OTICA MONDADORI (2260)</v>
      </c>
      <c r="L644" t="str">
        <f>""</f>
        <v/>
      </c>
      <c r="M644" t="str">
        <f>""</f>
        <v/>
      </c>
      <c r="N644" t="str">
        <f>"betomondadori_sc@hotmail.com"</f>
        <v>betomondadori_sc@hotmail.com</v>
      </c>
      <c r="O644" t="str">
        <f>""</f>
        <v/>
      </c>
      <c r="P644" t="str">
        <f>"AVENIDA BOM JESUS DE NAZARE"</f>
        <v>AVENIDA BOM JESUS DE NAZARE</v>
      </c>
      <c r="Q644" t="str">
        <f>"728"</f>
        <v>728</v>
      </c>
      <c r="R644" t="str">
        <f>"SALA 04"</f>
        <v>SALA 04</v>
      </c>
      <c r="S644" t="str">
        <f>"1259"</f>
        <v>1259</v>
      </c>
      <c r="T644" t="str">
        <f>"88135100"</f>
        <v>88135100</v>
      </c>
      <c r="U644" t="str">
        <f>"ARIRIU"</f>
        <v>ARIRIU</v>
      </c>
      <c r="V644" t="str">
        <f>"PALHOCA"</f>
        <v>PALHOCA</v>
      </c>
      <c r="W644" t="str">
        <f t="shared" si="319"/>
        <v>SC</v>
      </c>
      <c r="X644" t="str">
        <f t="shared" si="322"/>
        <v>48</v>
      </c>
      <c r="Y644" t="str">
        <f>"33412849"</f>
        <v>33412849</v>
      </c>
      <c r="Z644" t="str">
        <f>""</f>
        <v/>
      </c>
      <c r="AA644" t="str">
        <f>""</f>
        <v/>
      </c>
      <c r="AB644" t="str">
        <f>""</f>
        <v/>
      </c>
      <c r="AC644" t="str">
        <f>""</f>
        <v/>
      </c>
      <c r="AD644" t="str">
        <f>""</f>
        <v/>
      </c>
      <c r="AE644" t="str">
        <f>""</f>
        <v/>
      </c>
      <c r="AF644" t="str">
        <f>""</f>
        <v/>
      </c>
      <c r="AG644" t="str">
        <f>""</f>
        <v/>
      </c>
      <c r="AH644" t="str">
        <f>""</f>
        <v/>
      </c>
      <c r="AI644" t="str">
        <f>""</f>
        <v/>
      </c>
      <c r="AJ644" t="str">
        <f>""</f>
        <v/>
      </c>
      <c r="AK644" t="str">
        <f>""</f>
        <v/>
      </c>
      <c r="AL644" t="str">
        <f>""</f>
        <v/>
      </c>
      <c r="AM644" t="str">
        <f>""</f>
        <v/>
      </c>
      <c r="AN644" t="str">
        <f>""</f>
        <v/>
      </c>
      <c r="AO644" t="str">
        <f>""</f>
        <v/>
      </c>
      <c r="AP644" t="str">
        <f>""</f>
        <v/>
      </c>
      <c r="AQ644" t="str">
        <f>""</f>
        <v/>
      </c>
      <c r="AR644" t="str">
        <f>""</f>
        <v/>
      </c>
      <c r="AS644" t="str">
        <f>""</f>
        <v/>
      </c>
      <c r="AT644" t="str">
        <f>""</f>
        <v/>
      </c>
      <c r="AU644" t="str">
        <f>""</f>
        <v/>
      </c>
      <c r="AV644" t="str">
        <f>""</f>
        <v/>
      </c>
      <c r="AW644" t="str">
        <f>""</f>
        <v/>
      </c>
      <c r="AX644" t="str">
        <f>""</f>
        <v/>
      </c>
      <c r="AY644" t="str">
        <f>""</f>
        <v/>
      </c>
      <c r="AZ644" t="str">
        <f>""</f>
        <v/>
      </c>
      <c r="BA644" t="str">
        <f>""</f>
        <v/>
      </c>
      <c r="BB644" t="str">
        <f>""</f>
        <v/>
      </c>
      <c r="BC644" t="str">
        <f>""</f>
        <v/>
      </c>
      <c r="BD644" t="str">
        <f>""</f>
        <v/>
      </c>
      <c r="BE644" t="str">
        <f>""</f>
        <v/>
      </c>
      <c r="BF644" t="str">
        <f t="shared" si="328"/>
        <v>A</v>
      </c>
      <c r="BG644" t="str">
        <f>""</f>
        <v/>
      </c>
      <c r="BH644" t="str">
        <f>""</f>
        <v/>
      </c>
      <c r="BI644" t="str">
        <f t="shared" si="307"/>
        <v>EVENTUAL</v>
      </c>
      <c r="BJ644" t="str">
        <f t="shared" si="329"/>
        <v>1</v>
      </c>
      <c r="BK644" t="str">
        <f t="shared" si="330"/>
        <v>Farmacia</v>
      </c>
      <c r="BL644" t="str">
        <f>""</f>
        <v/>
      </c>
      <c r="BM644" t="str">
        <f>"NÃO É VARILUX ESPECIALISTA"</f>
        <v>NÃO É VARILUX ESPECIALISTA</v>
      </c>
      <c r="BN644" t="str">
        <f>"NA"</f>
        <v>NA</v>
      </c>
      <c r="BO644" t="str">
        <f>"OUTROS"</f>
        <v>OUTROS</v>
      </c>
      <c r="BP644" t="str">
        <f>""</f>
        <v/>
      </c>
      <c r="BQ644" t="str">
        <f>""</f>
        <v/>
      </c>
      <c r="BR644" t="str">
        <f>""</f>
        <v/>
      </c>
      <c r="BS644" t="str">
        <f>""</f>
        <v/>
      </c>
      <c r="BT644" t="str">
        <f>""</f>
        <v/>
      </c>
      <c r="BU644" t="str">
        <f>""</f>
        <v/>
      </c>
      <c r="BV644" t="str">
        <f>"9"</f>
        <v>9</v>
      </c>
      <c r="BW644" t="str">
        <f>"219"</f>
        <v>219</v>
      </c>
    </row>
    <row r="645" spans="1:75" x14ac:dyDescent="0.35">
      <c r="A645">
        <v>157699</v>
      </c>
      <c r="B645" t="str">
        <f t="shared" si="325"/>
        <v>A</v>
      </c>
      <c r="C645" t="str">
        <f t="shared" si="326"/>
        <v>80</v>
      </c>
      <c r="D645" t="str">
        <f t="shared" si="316"/>
        <v>11121002</v>
      </c>
      <c r="E645" t="str">
        <f t="shared" si="317"/>
        <v>121002</v>
      </c>
      <c r="F645" t="str">
        <f t="shared" si="318"/>
        <v>CINTHIA NORONHA</v>
      </c>
      <c r="G645" t="str">
        <f>"34859719000102"</f>
        <v>34859719000102</v>
      </c>
      <c r="H645" t="str">
        <f>"0"</f>
        <v>0</v>
      </c>
      <c r="I645" t="str">
        <f t="shared" si="327"/>
        <v>CONTA OPTICA</v>
      </c>
      <c r="J645" t="str">
        <f>"DRIELLE ALEXNDRA HEEP"</f>
        <v>DRIELLE ALEXNDRA HEEP</v>
      </c>
      <c r="K645" t="str">
        <f>"OTICA RELUZ (4073)"</f>
        <v>OTICA RELUZ (4073)</v>
      </c>
      <c r="L645" t="str">
        <f>""</f>
        <v/>
      </c>
      <c r="M645" t="str">
        <f>""</f>
        <v/>
      </c>
      <c r="N645" t="str">
        <f>"OTICARELUZSC@GMAIL.COM"</f>
        <v>OTICARELUZSC@GMAIL.COM</v>
      </c>
      <c r="O645" t="str">
        <f>""</f>
        <v/>
      </c>
      <c r="P645" t="str">
        <f>"RUA JOAO GUALBERTO SOARES"</f>
        <v>RUA JOAO GUALBERTO SOARES</v>
      </c>
      <c r="Q645" t="str">
        <f>"229"</f>
        <v>229</v>
      </c>
      <c r="R645" t="str">
        <f>"LOJA"</f>
        <v>LOJA</v>
      </c>
      <c r="S645" t="str">
        <f>"1257"</f>
        <v>1257</v>
      </c>
      <c r="T645" t="str">
        <f>"88058300"</f>
        <v>88058300</v>
      </c>
      <c r="U645" t="str">
        <f>"INGLESES DO RIO VERMELHO"</f>
        <v>INGLESES DO RIO VERMELHO</v>
      </c>
      <c r="V645" t="str">
        <f>"FLORIANOPOLIS"</f>
        <v>FLORIANOPOLIS</v>
      </c>
      <c r="W645" t="str">
        <f t="shared" si="319"/>
        <v>SC</v>
      </c>
      <c r="X645" t="str">
        <f t="shared" si="322"/>
        <v>48</v>
      </c>
      <c r="Y645" t="str">
        <f>"32079375"</f>
        <v>32079375</v>
      </c>
      <c r="Z645" t="str">
        <f>""</f>
        <v/>
      </c>
      <c r="AA645" t="str">
        <f>""</f>
        <v/>
      </c>
      <c r="AB645" t="str">
        <f>""</f>
        <v/>
      </c>
      <c r="AC645" t="str">
        <f>""</f>
        <v/>
      </c>
      <c r="AD645" t="str">
        <f>""</f>
        <v/>
      </c>
      <c r="AE645" t="str">
        <f>""</f>
        <v/>
      </c>
      <c r="AF645" t="str">
        <f>""</f>
        <v/>
      </c>
      <c r="AG645" t="str">
        <f>""</f>
        <v/>
      </c>
      <c r="AH645" t="str">
        <f>""</f>
        <v/>
      </c>
      <c r="AI645" t="str">
        <f>""</f>
        <v/>
      </c>
      <c r="AJ645" t="str">
        <f>""</f>
        <v/>
      </c>
      <c r="AK645" t="str">
        <f>""</f>
        <v/>
      </c>
      <c r="AL645" t="str">
        <f>""</f>
        <v/>
      </c>
      <c r="AM645" t="str">
        <f>""</f>
        <v/>
      </c>
      <c r="AN645" t="str">
        <f>""</f>
        <v/>
      </c>
      <c r="AO645" t="str">
        <f>""</f>
        <v/>
      </c>
      <c r="AP645" t="str">
        <f>""</f>
        <v/>
      </c>
      <c r="AQ645" t="str">
        <f>""</f>
        <v/>
      </c>
      <c r="AR645" t="str">
        <f>""</f>
        <v/>
      </c>
      <c r="AS645" t="str">
        <f>""</f>
        <v/>
      </c>
      <c r="AT645" t="str">
        <f>""</f>
        <v/>
      </c>
      <c r="AU645" t="str">
        <f>""</f>
        <v/>
      </c>
      <c r="AV645" t="str">
        <f>""</f>
        <v/>
      </c>
      <c r="AW645" t="str">
        <f>""</f>
        <v/>
      </c>
      <c r="AX645" t="str">
        <f>""</f>
        <v/>
      </c>
      <c r="AY645" t="str">
        <f>""</f>
        <v/>
      </c>
      <c r="AZ645" t="str">
        <f>""</f>
        <v/>
      </c>
      <c r="BA645" t="str">
        <f>""</f>
        <v/>
      </c>
      <c r="BB645" t="str">
        <f>"11/07/2023 02:19:56"</f>
        <v>11/07/2023 02:19:56</v>
      </c>
      <c r="BC645" t="str">
        <f>""</f>
        <v/>
      </c>
      <c r="BD645" t="str">
        <f>""</f>
        <v/>
      </c>
      <c r="BE645" t="str">
        <f>""</f>
        <v/>
      </c>
      <c r="BF645" t="str">
        <f t="shared" si="328"/>
        <v>A</v>
      </c>
      <c r="BG645" t="str">
        <f>""</f>
        <v/>
      </c>
      <c r="BH645" t="str">
        <f>""</f>
        <v/>
      </c>
      <c r="BI645" t="str">
        <f t="shared" si="307"/>
        <v>EVENTUAL</v>
      </c>
      <c r="BJ645" t="str">
        <f t="shared" si="329"/>
        <v>1</v>
      </c>
      <c r="BK645" t="str">
        <f t="shared" si="330"/>
        <v>Farmacia</v>
      </c>
      <c r="BL645" t="str">
        <f>""</f>
        <v/>
      </c>
      <c r="BM645" t="str">
        <f>""</f>
        <v/>
      </c>
      <c r="BN645" t="str">
        <f>""</f>
        <v/>
      </c>
      <c r="BO645" t="str">
        <f>""</f>
        <v/>
      </c>
      <c r="BP645" t="str">
        <f>""</f>
        <v/>
      </c>
      <c r="BQ645" t="str">
        <f>""</f>
        <v/>
      </c>
      <c r="BR645" t="str">
        <f>"11/07/2023"</f>
        <v>11/07/2023</v>
      </c>
      <c r="BS645" t="str">
        <f>""</f>
        <v/>
      </c>
      <c r="BT645" t="str">
        <f>""</f>
        <v/>
      </c>
      <c r="BU645" t="str">
        <f>""</f>
        <v/>
      </c>
      <c r="BV645" t="str">
        <f>""</f>
        <v/>
      </c>
      <c r="BW645" t="str">
        <f>"Não visitado"</f>
        <v>Não visitado</v>
      </c>
    </row>
    <row r="646" spans="1:75" x14ac:dyDescent="0.35">
      <c r="A646">
        <v>134385</v>
      </c>
      <c r="B646" t="str">
        <f t="shared" si="325"/>
        <v>A</v>
      </c>
      <c r="C646" t="str">
        <f t="shared" si="326"/>
        <v>80</v>
      </c>
      <c r="D646" t="str">
        <f t="shared" si="316"/>
        <v>11121002</v>
      </c>
      <c r="E646" t="str">
        <f t="shared" si="317"/>
        <v>121002</v>
      </c>
      <c r="F646" t="str">
        <f t="shared" si="318"/>
        <v>CINTHIA NORONHA</v>
      </c>
      <c r="G646" t="str">
        <f>"23636034000504"</f>
        <v>23636034000504</v>
      </c>
      <c r="H646" t="str">
        <f>""</f>
        <v/>
      </c>
      <c r="I646" t="str">
        <f t="shared" si="327"/>
        <v>CONTA OPTICA</v>
      </c>
      <c r="J646" t="str">
        <f>"DRIFORTE COMERCIO DE PRODUTOS OPTICOS EIRELI"</f>
        <v>DRIFORTE COMERCIO DE PRODUTOS OPTICOS EIRELI</v>
      </c>
      <c r="K646" t="str">
        <f>"OTICA DINIZ (4074)"</f>
        <v>OTICA DINIZ (4074)</v>
      </c>
      <c r="L646" t="str">
        <f>""</f>
        <v/>
      </c>
      <c r="M646" t="str">
        <f>""</f>
        <v/>
      </c>
      <c r="N646" t="str">
        <f>"auxiliar.caixa@oticadinizfloripa.com.br"</f>
        <v>auxiliar.caixa@oticadinizfloripa.com.br</v>
      </c>
      <c r="O646" t="str">
        <f>""</f>
        <v/>
      </c>
      <c r="P646" t="str">
        <f>"ROD SC 281"</f>
        <v>ROD SC 281</v>
      </c>
      <c r="Q646" t="str">
        <f>"SN"</f>
        <v>SN</v>
      </c>
      <c r="R646" t="str">
        <f>"LOJA 118"</f>
        <v>LOJA 118</v>
      </c>
      <c r="S646" t="str">
        <f>""</f>
        <v/>
      </c>
      <c r="T646" t="str">
        <f>"88106115"</f>
        <v>88106115</v>
      </c>
      <c r="U646" t="str">
        <f>"PICADAS DO SUL"</f>
        <v>PICADAS DO SUL</v>
      </c>
      <c r="V646" t="str">
        <f>"SÃO JOSÉ"</f>
        <v>SÃO JOSÉ</v>
      </c>
      <c r="W646" t="str">
        <f t="shared" si="319"/>
        <v>SC</v>
      </c>
      <c r="X646" t="str">
        <f t="shared" si="322"/>
        <v>48</v>
      </c>
      <c r="Y646" t="str">
        <f>"30625114"</f>
        <v>30625114</v>
      </c>
      <c r="Z646" t="str">
        <f>""</f>
        <v/>
      </c>
      <c r="AA646" t="str">
        <f>""</f>
        <v/>
      </c>
      <c r="AB646" t="str">
        <f>""</f>
        <v/>
      </c>
      <c r="AC646" t="str">
        <f>""</f>
        <v/>
      </c>
      <c r="AD646" t="str">
        <f>""</f>
        <v/>
      </c>
      <c r="AE646" t="str">
        <f>""</f>
        <v/>
      </c>
      <c r="AF646" t="str">
        <f>""</f>
        <v/>
      </c>
      <c r="AG646" t="str">
        <f>"S"</f>
        <v>S</v>
      </c>
      <c r="AH646" t="str">
        <f>""</f>
        <v/>
      </c>
      <c r="AI646" t="str">
        <f>""</f>
        <v/>
      </c>
      <c r="AJ646" t="str">
        <f>""</f>
        <v/>
      </c>
      <c r="AK646" t="str">
        <f>""</f>
        <v/>
      </c>
      <c r="AL646" t="str">
        <f>""</f>
        <v/>
      </c>
      <c r="AM646" t="str">
        <f>""</f>
        <v/>
      </c>
      <c r="AN646" t="str">
        <f>""</f>
        <v/>
      </c>
      <c r="AO646" t="str">
        <f>""</f>
        <v/>
      </c>
      <c r="AP646" t="str">
        <f>""</f>
        <v/>
      </c>
      <c r="AQ646" t="str">
        <f t="shared" ref="AQ646:AU648" si="331">"N"</f>
        <v>N</v>
      </c>
      <c r="AR646" t="str">
        <f t="shared" si="331"/>
        <v>N</v>
      </c>
      <c r="AS646" t="str">
        <f t="shared" si="331"/>
        <v>N</v>
      </c>
      <c r="AT646" t="str">
        <f t="shared" si="331"/>
        <v>N</v>
      </c>
      <c r="AU646" t="str">
        <f t="shared" si="331"/>
        <v>N</v>
      </c>
      <c r="AV646" t="str">
        <f>""</f>
        <v/>
      </c>
      <c r="AW646" t="str">
        <f>""</f>
        <v/>
      </c>
      <c r="AX646" t="str">
        <f>""</f>
        <v/>
      </c>
      <c r="AY646" t="str">
        <f>""</f>
        <v/>
      </c>
      <c r="AZ646" t="str">
        <f>""</f>
        <v/>
      </c>
      <c r="BA646" t="str">
        <f>""</f>
        <v/>
      </c>
      <c r="BB646" t="str">
        <f>""</f>
        <v/>
      </c>
      <c r="BC646" t="str">
        <f>"19/04/2022 17:52:05"</f>
        <v>19/04/2022 17:52:05</v>
      </c>
      <c r="BD646" t="str">
        <f>""</f>
        <v/>
      </c>
      <c r="BE646" t="str">
        <f>""</f>
        <v/>
      </c>
      <c r="BF646" t="str">
        <f t="shared" si="328"/>
        <v>A</v>
      </c>
      <c r="BG646" t="str">
        <f>""</f>
        <v/>
      </c>
      <c r="BH646" t="str">
        <f t="shared" ref="BH646:BH651" si="332">"0,00"</f>
        <v>0,00</v>
      </c>
      <c r="BI646" t="str">
        <f t="shared" si="307"/>
        <v>EVENTUAL</v>
      </c>
      <c r="BJ646" t="str">
        <f t="shared" si="329"/>
        <v>1</v>
      </c>
      <c r="BK646" t="str">
        <f t="shared" si="330"/>
        <v>Farmacia</v>
      </c>
      <c r="BL646" t="str">
        <f>""</f>
        <v/>
      </c>
      <c r="BM646" t="str">
        <f>"NÃO É VARILUX ESPECIALISTA"</f>
        <v>NÃO É VARILUX ESPECIALISTA</v>
      </c>
      <c r="BN646" t="str">
        <f t="shared" ref="BN646:BN651" si="333">"NA"</f>
        <v>NA</v>
      </c>
      <c r="BO646" t="str">
        <f>"FOCO KODAK 2"</f>
        <v>FOCO KODAK 2</v>
      </c>
      <c r="BP646" t="str">
        <f>""</f>
        <v/>
      </c>
      <c r="BQ646" t="str">
        <f>""</f>
        <v/>
      </c>
      <c r="BR646" t="str">
        <f>""</f>
        <v/>
      </c>
      <c r="BS646" t="str">
        <f>"19/04/2022"</f>
        <v>19/04/2022</v>
      </c>
      <c r="BT646" t="str">
        <f>""</f>
        <v/>
      </c>
      <c r="BU646" t="str">
        <f>""</f>
        <v/>
      </c>
      <c r="BV646" t="str">
        <f>""</f>
        <v/>
      </c>
      <c r="BW646" t="str">
        <f>"3"</f>
        <v>3</v>
      </c>
    </row>
    <row r="647" spans="1:75" x14ac:dyDescent="0.35">
      <c r="A647">
        <v>134489</v>
      </c>
      <c r="B647" t="str">
        <f t="shared" si="325"/>
        <v>A</v>
      </c>
      <c r="C647" t="str">
        <f t="shared" si="326"/>
        <v>80</v>
      </c>
      <c r="D647" t="str">
        <f t="shared" si="316"/>
        <v>11121002</v>
      </c>
      <c r="E647" t="str">
        <f t="shared" si="317"/>
        <v>121002</v>
      </c>
      <c r="F647" t="str">
        <f t="shared" si="318"/>
        <v>CINTHIA NORONHA</v>
      </c>
      <c r="G647" t="str">
        <f>"23636034000172"</f>
        <v>23636034000172</v>
      </c>
      <c r="H647" t="str">
        <f>""</f>
        <v/>
      </c>
      <c r="I647" t="str">
        <f t="shared" si="327"/>
        <v>CONTA OPTICA</v>
      </c>
      <c r="J647" t="str">
        <f>"DRIFORTE COMERCIO DE PRODUTOS OPTICOS EIRELI EPP"</f>
        <v>DRIFORTE COMERCIO DE PRODUTOS OPTICOS EIRELI EPP</v>
      </c>
      <c r="K647" t="str">
        <f>"OTICA DINIZ (2278)"</f>
        <v>OTICA DINIZ (2278)</v>
      </c>
      <c r="L647" t="str">
        <f>""</f>
        <v/>
      </c>
      <c r="M647" t="str">
        <f>""</f>
        <v/>
      </c>
      <c r="N647" t="str">
        <f>"mca@floripa.com.br"</f>
        <v>mca@floripa.com.br</v>
      </c>
      <c r="O647" t="str">
        <f>""</f>
        <v/>
      </c>
      <c r="P647" t="str">
        <f>"RUA GETULIO VARGAS"</f>
        <v>RUA GETULIO VARGAS</v>
      </c>
      <c r="Q647" t="str">
        <f>"122"</f>
        <v>122</v>
      </c>
      <c r="R647" t="str">
        <f>""</f>
        <v/>
      </c>
      <c r="S647" t="str">
        <f>"1259"</f>
        <v>1259</v>
      </c>
      <c r="T647" t="str">
        <f>"88160128"</f>
        <v>88160128</v>
      </c>
      <c r="U647" t="str">
        <f>"CENTRO"</f>
        <v>CENTRO</v>
      </c>
      <c r="V647" t="str">
        <f>"BIGUAÇU"</f>
        <v>BIGUAÇU</v>
      </c>
      <c r="W647" t="str">
        <f t="shared" si="319"/>
        <v>SC</v>
      </c>
      <c r="X647" t="str">
        <f t="shared" si="322"/>
        <v>48</v>
      </c>
      <c r="Y647" t="str">
        <f>"30625105"</f>
        <v>30625105</v>
      </c>
      <c r="Z647" t="str">
        <f>""</f>
        <v/>
      </c>
      <c r="AA647" t="str">
        <f>""</f>
        <v/>
      </c>
      <c r="AB647" t="str">
        <f>""</f>
        <v/>
      </c>
      <c r="AC647" t="str">
        <f>""</f>
        <v/>
      </c>
      <c r="AD647" t="str">
        <f>""</f>
        <v/>
      </c>
      <c r="AE647" t="str">
        <f>""</f>
        <v/>
      </c>
      <c r="AF647" t="str">
        <f>""</f>
        <v/>
      </c>
      <c r="AG647" t="str">
        <f>"S"</f>
        <v>S</v>
      </c>
      <c r="AH647" t="str">
        <f>""</f>
        <v/>
      </c>
      <c r="AI647" t="str">
        <f>""</f>
        <v/>
      </c>
      <c r="AJ647" t="str">
        <f>""</f>
        <v/>
      </c>
      <c r="AK647" t="str">
        <f>""</f>
        <v/>
      </c>
      <c r="AL647" t="str">
        <f>""</f>
        <v/>
      </c>
      <c r="AM647" t="str">
        <f>""</f>
        <v/>
      </c>
      <c r="AN647" t="str">
        <f>""</f>
        <v/>
      </c>
      <c r="AO647" t="str">
        <f>""</f>
        <v/>
      </c>
      <c r="AP647" t="str">
        <f>""</f>
        <v/>
      </c>
      <c r="AQ647" t="str">
        <f t="shared" si="331"/>
        <v>N</v>
      </c>
      <c r="AR647" t="str">
        <f t="shared" si="331"/>
        <v>N</v>
      </c>
      <c r="AS647" t="str">
        <f t="shared" si="331"/>
        <v>N</v>
      </c>
      <c r="AT647" t="str">
        <f t="shared" si="331"/>
        <v>N</v>
      </c>
      <c r="AU647" t="str">
        <f t="shared" si="331"/>
        <v>N</v>
      </c>
      <c r="AV647" t="str">
        <f>""</f>
        <v/>
      </c>
      <c r="AW647" t="str">
        <f>""</f>
        <v/>
      </c>
      <c r="AX647" t="str">
        <f>""</f>
        <v/>
      </c>
      <c r="AY647" t="str">
        <f>""</f>
        <v/>
      </c>
      <c r="AZ647" t="str">
        <f>""</f>
        <v/>
      </c>
      <c r="BA647" t="str">
        <f>""</f>
        <v/>
      </c>
      <c r="BB647" t="str">
        <f>""</f>
        <v/>
      </c>
      <c r="BC647" t="str">
        <f>"08/11/2021 10:54:13"</f>
        <v>08/11/2021 10:54:13</v>
      </c>
      <c r="BD647" t="str">
        <f>""</f>
        <v/>
      </c>
      <c r="BE647" t="str">
        <f>""</f>
        <v/>
      </c>
      <c r="BF647" t="str">
        <f t="shared" si="328"/>
        <v>A</v>
      </c>
      <c r="BG647" t="str">
        <f>""</f>
        <v/>
      </c>
      <c r="BH647" t="str">
        <f t="shared" si="332"/>
        <v>0,00</v>
      </c>
      <c r="BI647" t="str">
        <f t="shared" si="307"/>
        <v>EVENTUAL</v>
      </c>
      <c r="BJ647" t="str">
        <f t="shared" si="329"/>
        <v>1</v>
      </c>
      <c r="BK647" t="str">
        <f t="shared" si="330"/>
        <v>Farmacia</v>
      </c>
      <c r="BL647" t="str">
        <f>""</f>
        <v/>
      </c>
      <c r="BM647" t="str">
        <f>"NÃO É VARILUX ESPECIALISTA"</f>
        <v>NÃO É VARILUX ESPECIALISTA</v>
      </c>
      <c r="BN647" t="str">
        <f t="shared" si="333"/>
        <v>NA</v>
      </c>
      <c r="BO647" t="str">
        <f>"FOCO KODAK 2"</f>
        <v>FOCO KODAK 2</v>
      </c>
      <c r="BP647" t="str">
        <f>""</f>
        <v/>
      </c>
      <c r="BQ647" t="str">
        <f>""</f>
        <v/>
      </c>
      <c r="BR647" t="str">
        <f>""</f>
        <v/>
      </c>
      <c r="BS647" t="str">
        <f>"08/11/2021"</f>
        <v>08/11/2021</v>
      </c>
      <c r="BT647" t="str">
        <f>""</f>
        <v/>
      </c>
      <c r="BU647" t="str">
        <f>""</f>
        <v/>
      </c>
      <c r="BV647" t="str">
        <f>"4"</f>
        <v>4</v>
      </c>
      <c r="BW647" t="str">
        <f>"15"</f>
        <v>15</v>
      </c>
    </row>
    <row r="648" spans="1:75" x14ac:dyDescent="0.35">
      <c r="A648">
        <v>134233</v>
      </c>
      <c r="B648" t="str">
        <f t="shared" si="325"/>
        <v>A</v>
      </c>
      <c r="C648" t="str">
        <f t="shared" si="326"/>
        <v>80</v>
      </c>
      <c r="D648" t="str">
        <f t="shared" si="316"/>
        <v>11121002</v>
      </c>
      <c r="E648" t="str">
        <f t="shared" si="317"/>
        <v>121002</v>
      </c>
      <c r="F648" t="str">
        <f t="shared" si="318"/>
        <v>CINTHIA NORONHA</v>
      </c>
      <c r="G648" t="str">
        <f>"12306077000173"</f>
        <v>12306077000173</v>
      </c>
      <c r="H648" t="str">
        <f>""</f>
        <v/>
      </c>
      <c r="I648" t="str">
        <f t="shared" si="327"/>
        <v>CONTA OPTICA</v>
      </c>
      <c r="J648" t="str">
        <f>"DU MARREL COM DE OCULOS E RELOJOARIA LTDA ME"</f>
        <v>DU MARREL COM DE OCULOS E RELOJOARIA LTDA ME</v>
      </c>
      <c r="K648" t="str">
        <f>"DU MARREL (1752)"</f>
        <v>DU MARREL (1752)</v>
      </c>
      <c r="L648" t="str">
        <f>""</f>
        <v/>
      </c>
      <c r="M648" t="str">
        <f>""</f>
        <v/>
      </c>
      <c r="N648" t="str">
        <f>"dumarrelopticaerelojoaria@hotmail.com"</f>
        <v>dumarrelopticaerelojoaria@hotmail.com</v>
      </c>
      <c r="O648" t="str">
        <f>""</f>
        <v/>
      </c>
      <c r="P648" t="str">
        <f>"RODOVIA ARMANDO CALIL BULS"</f>
        <v>RODOVIA ARMANDO CALIL BULS</v>
      </c>
      <c r="Q648" t="str">
        <f>"6744"</f>
        <v>6744</v>
      </c>
      <c r="R648" t="str">
        <f>"SALA 03"</f>
        <v>SALA 03</v>
      </c>
      <c r="S648" t="str">
        <f>"1257"</f>
        <v>1257</v>
      </c>
      <c r="T648" t="str">
        <f>"88058100"</f>
        <v>88058100</v>
      </c>
      <c r="U648" t="str">
        <f>"INGLESES DO RIO VERMELHO"</f>
        <v>INGLESES DO RIO VERMELHO</v>
      </c>
      <c r="V648" t="str">
        <f>"FLORIANÓPOLIS"</f>
        <v>FLORIANÓPOLIS</v>
      </c>
      <c r="W648" t="str">
        <f t="shared" si="319"/>
        <v>SC</v>
      </c>
      <c r="X648" t="str">
        <f t="shared" si="322"/>
        <v>48</v>
      </c>
      <c r="Y648" t="str">
        <f>"32692318"</f>
        <v>32692318</v>
      </c>
      <c r="Z648" t="str">
        <f>""</f>
        <v/>
      </c>
      <c r="AA648" t="str">
        <f>""</f>
        <v/>
      </c>
      <c r="AB648" t="str">
        <f>""</f>
        <v/>
      </c>
      <c r="AC648" t="str">
        <f>""</f>
        <v/>
      </c>
      <c r="AD648" t="str">
        <f>""</f>
        <v/>
      </c>
      <c r="AE648" t="str">
        <f>""</f>
        <v/>
      </c>
      <c r="AF648" t="str">
        <f>""</f>
        <v/>
      </c>
      <c r="AG648" t="str">
        <f>"S"</f>
        <v>S</v>
      </c>
      <c r="AH648" t="str">
        <f>""</f>
        <v/>
      </c>
      <c r="AI648" t="str">
        <f>""</f>
        <v/>
      </c>
      <c r="AJ648" t="str">
        <f t="shared" ref="AJ648:AL649" si="334">"0"</f>
        <v>0</v>
      </c>
      <c r="AK648" t="str">
        <f t="shared" si="334"/>
        <v>0</v>
      </c>
      <c r="AL648" t="str">
        <f t="shared" si="334"/>
        <v>0</v>
      </c>
      <c r="AM648" t="str">
        <f>""</f>
        <v/>
      </c>
      <c r="AN648" t="str">
        <f>""</f>
        <v/>
      </c>
      <c r="AO648" t="str">
        <f>""</f>
        <v/>
      </c>
      <c r="AP648" t="str">
        <f>""</f>
        <v/>
      </c>
      <c r="AQ648" t="str">
        <f t="shared" si="331"/>
        <v>N</v>
      </c>
      <c r="AR648" t="str">
        <f t="shared" si="331"/>
        <v>N</v>
      </c>
      <c r="AS648" t="str">
        <f t="shared" si="331"/>
        <v>N</v>
      </c>
      <c r="AT648" t="str">
        <f t="shared" si="331"/>
        <v>N</v>
      </c>
      <c r="AU648" t="str">
        <f t="shared" si="331"/>
        <v>N</v>
      </c>
      <c r="AV648" t="str">
        <f>""</f>
        <v/>
      </c>
      <c r="AW648" t="str">
        <f>""</f>
        <v/>
      </c>
      <c r="AX648" t="str">
        <f>""</f>
        <v/>
      </c>
      <c r="AY648" t="str">
        <f>""</f>
        <v/>
      </c>
      <c r="AZ648" t="str">
        <f>""</f>
        <v/>
      </c>
      <c r="BA648" t="str">
        <f>""</f>
        <v/>
      </c>
      <c r="BB648" t="str">
        <f>""</f>
        <v/>
      </c>
      <c r="BC648" t="str">
        <f>"07/07/2023 15:59:15"</f>
        <v>07/07/2023 15:59:15</v>
      </c>
      <c r="BD648" t="str">
        <f>""</f>
        <v/>
      </c>
      <c r="BE648" t="str">
        <f>""</f>
        <v/>
      </c>
      <c r="BF648" t="str">
        <f t="shared" si="328"/>
        <v>A</v>
      </c>
      <c r="BG648" t="str">
        <f>"0,00"</f>
        <v>0,00</v>
      </c>
      <c r="BH648" t="str">
        <f t="shared" si="332"/>
        <v>0,00</v>
      </c>
      <c r="BI648" t="str">
        <f t="shared" si="307"/>
        <v>EVENTUAL</v>
      </c>
      <c r="BJ648" t="str">
        <f t="shared" si="329"/>
        <v>1</v>
      </c>
      <c r="BK648" t="str">
        <f t="shared" si="330"/>
        <v>Farmacia</v>
      </c>
      <c r="BL648" t="str">
        <f>""</f>
        <v/>
      </c>
      <c r="BM648" t="str">
        <f>"VARILUX ESPECIALISTA SELECT"</f>
        <v>VARILUX ESPECIALISTA SELECT</v>
      </c>
      <c r="BN648" t="str">
        <f t="shared" si="333"/>
        <v>NA</v>
      </c>
      <c r="BO648" t="str">
        <f>"FOCO VARILUX DIGITAL"</f>
        <v>FOCO VARILUX DIGITAL</v>
      </c>
      <c r="BP648" t="str">
        <f>""</f>
        <v/>
      </c>
      <c r="BQ648" t="str">
        <f>""</f>
        <v/>
      </c>
      <c r="BR648" t="str">
        <f>""</f>
        <v/>
      </c>
      <c r="BS648" t="str">
        <f>"07/07/2023"</f>
        <v>07/07/2023</v>
      </c>
      <c r="BT648" t="str">
        <f>""</f>
        <v/>
      </c>
      <c r="BU648" t="str">
        <f>""</f>
        <v/>
      </c>
      <c r="BV648" t="str">
        <f>"5"</f>
        <v>5</v>
      </c>
      <c r="BW648" t="str">
        <f>"24"</f>
        <v>24</v>
      </c>
    </row>
    <row r="649" spans="1:75" x14ac:dyDescent="0.35">
      <c r="A649">
        <v>3</v>
      </c>
      <c r="B649" t="str">
        <f t="shared" si="325"/>
        <v>A</v>
      </c>
      <c r="C649" t="str">
        <f t="shared" si="326"/>
        <v>80</v>
      </c>
      <c r="D649" t="str">
        <f t="shared" si="316"/>
        <v>11121002</v>
      </c>
      <c r="E649" t="str">
        <f t="shared" si="317"/>
        <v>121002</v>
      </c>
      <c r="F649" t="str">
        <f t="shared" si="318"/>
        <v>CINTHIA NORONHA</v>
      </c>
      <c r="G649" t="str">
        <f>"00309460000104"</f>
        <v>00309460000104</v>
      </c>
      <c r="H649" t="str">
        <f>""</f>
        <v/>
      </c>
      <c r="I649" t="str">
        <f t="shared" si="327"/>
        <v>CONTA OPTICA</v>
      </c>
      <c r="J649" t="str">
        <f>"E F B COMERCIO DE JOIAS E RELOGIOS LTDA - EPP"</f>
        <v>E F B COMERCIO DE JOIAS E RELOGIOS LTDA - EPP</v>
      </c>
      <c r="K649" t="str">
        <f>"ALCIDINO JOALHERIA E OTICA (447)"</f>
        <v>ALCIDINO JOALHERIA E OTICA (447)</v>
      </c>
      <c r="L649" t="str">
        <f>""</f>
        <v/>
      </c>
      <c r="M649" t="str">
        <f>""</f>
        <v/>
      </c>
      <c r="N649" t="str">
        <f>"financeiro_alcidino@yahoo.com.br"</f>
        <v>financeiro_alcidino@yahoo.com.br</v>
      </c>
      <c r="O649" t="str">
        <f>""</f>
        <v/>
      </c>
      <c r="P649" t="str">
        <f>"RUA GETULIO VARGAS"</f>
        <v>RUA GETULIO VARGAS</v>
      </c>
      <c r="Q649" t="str">
        <f>"192"</f>
        <v>192</v>
      </c>
      <c r="R649" t="str">
        <f>"SALA 02"</f>
        <v>SALA 02</v>
      </c>
      <c r="S649" t="str">
        <f>"1270"</f>
        <v>1270</v>
      </c>
      <c r="T649" t="str">
        <f>"88960000"</f>
        <v>88960000</v>
      </c>
      <c r="U649" t="str">
        <f>"CENTRO"</f>
        <v>CENTRO</v>
      </c>
      <c r="V649" t="str">
        <f>"SOMBRIO"</f>
        <v>SOMBRIO</v>
      </c>
      <c r="W649" t="str">
        <f t="shared" si="319"/>
        <v>SC</v>
      </c>
      <c r="X649" t="str">
        <f t="shared" si="322"/>
        <v>48</v>
      </c>
      <c r="Y649" t="str">
        <f>"35330259"</f>
        <v>35330259</v>
      </c>
      <c r="Z649" t="str">
        <f>""</f>
        <v/>
      </c>
      <c r="AA649" t="str">
        <f>""</f>
        <v/>
      </c>
      <c r="AB649" t="str">
        <f>""</f>
        <v/>
      </c>
      <c r="AC649" t="str">
        <f>""</f>
        <v/>
      </c>
      <c r="AD649" t="str">
        <f>""</f>
        <v/>
      </c>
      <c r="AE649" t="str">
        <f>""</f>
        <v/>
      </c>
      <c r="AF649" t="str">
        <f>""</f>
        <v/>
      </c>
      <c r="AG649" t="str">
        <f>""</f>
        <v/>
      </c>
      <c r="AH649" t="str">
        <f>""</f>
        <v/>
      </c>
      <c r="AI649" t="str">
        <f>""</f>
        <v/>
      </c>
      <c r="AJ649" t="str">
        <f t="shared" si="334"/>
        <v>0</v>
      </c>
      <c r="AK649" t="str">
        <f t="shared" si="334"/>
        <v>0</v>
      </c>
      <c r="AL649" t="str">
        <f t="shared" si="334"/>
        <v>0</v>
      </c>
      <c r="AM649" t="str">
        <f>""</f>
        <v/>
      </c>
      <c r="AN649" t="str">
        <f>""</f>
        <v/>
      </c>
      <c r="AO649" t="str">
        <f>""</f>
        <v/>
      </c>
      <c r="AP649" t="str">
        <f>""</f>
        <v/>
      </c>
      <c r="AQ649" t="str">
        <f>""</f>
        <v/>
      </c>
      <c r="AR649" t="str">
        <f>""</f>
        <v/>
      </c>
      <c r="AS649" t="str">
        <f>""</f>
        <v/>
      </c>
      <c r="AT649" t="str">
        <f>""</f>
        <v/>
      </c>
      <c r="AU649" t="str">
        <f>""</f>
        <v/>
      </c>
      <c r="AV649" t="str">
        <f>""</f>
        <v/>
      </c>
      <c r="AW649" t="str">
        <f>""</f>
        <v/>
      </c>
      <c r="AX649" t="str">
        <f>""</f>
        <v/>
      </c>
      <c r="AY649" t="str">
        <f>""</f>
        <v/>
      </c>
      <c r="AZ649" t="str">
        <f>""</f>
        <v/>
      </c>
      <c r="BA649" t="str">
        <f>""</f>
        <v/>
      </c>
      <c r="BB649" t="str">
        <f>"27/07/2018 09:25:30"</f>
        <v>27/07/2018 09:25:30</v>
      </c>
      <c r="BC649" t="str">
        <f>""</f>
        <v/>
      </c>
      <c r="BD649" t="str">
        <f>""</f>
        <v/>
      </c>
      <c r="BE649" t="str">
        <f>"3"</f>
        <v>3</v>
      </c>
      <c r="BF649" t="str">
        <f t="shared" si="328"/>
        <v>A</v>
      </c>
      <c r="BG649" t="str">
        <f>"0,00"</f>
        <v>0,00</v>
      </c>
      <c r="BH649" t="str">
        <f t="shared" si="332"/>
        <v>0,00</v>
      </c>
      <c r="BI649" t="str">
        <f t="shared" si="307"/>
        <v>EVENTUAL</v>
      </c>
      <c r="BJ649" t="str">
        <f t="shared" si="329"/>
        <v>1</v>
      </c>
      <c r="BK649" t="str">
        <f t="shared" si="330"/>
        <v>Farmacia</v>
      </c>
      <c r="BL649" t="str">
        <f>""</f>
        <v/>
      </c>
      <c r="BM649" t="str">
        <f>"NÃO É VARILUX ESPECIALISTA"</f>
        <v>NÃO É VARILUX ESPECIALISTA</v>
      </c>
      <c r="BN649" t="str">
        <f t="shared" si="333"/>
        <v>NA</v>
      </c>
      <c r="BO649" t="str">
        <f>"FOCO VARILUX DIGITAL"</f>
        <v>FOCO VARILUX DIGITAL</v>
      </c>
      <c r="BP649" t="str">
        <f>""</f>
        <v/>
      </c>
      <c r="BQ649" t="str">
        <f>""</f>
        <v/>
      </c>
      <c r="BR649" t="str">
        <f>"27/07/2018"</f>
        <v>27/07/2018</v>
      </c>
      <c r="BS649" t="str">
        <f>""</f>
        <v/>
      </c>
      <c r="BT649" t="str">
        <f>""</f>
        <v/>
      </c>
      <c r="BU649" t="str">
        <f>""</f>
        <v/>
      </c>
      <c r="BV649" t="str">
        <f>"1"</f>
        <v>1</v>
      </c>
      <c r="BW649" t="str">
        <f>"Não visitado"</f>
        <v>Não visitado</v>
      </c>
    </row>
    <row r="650" spans="1:75" x14ac:dyDescent="0.35">
      <c r="A650">
        <v>138020</v>
      </c>
      <c r="B650" t="str">
        <f t="shared" si="325"/>
        <v>A</v>
      </c>
      <c r="C650" t="str">
        <f t="shared" si="326"/>
        <v>80</v>
      </c>
      <c r="D650" t="str">
        <f t="shared" si="316"/>
        <v>11121002</v>
      </c>
      <c r="E650" t="str">
        <f t="shared" si="317"/>
        <v>121002</v>
      </c>
      <c r="F650" t="str">
        <f t="shared" si="318"/>
        <v>CINTHIA NORONHA</v>
      </c>
      <c r="G650" t="str">
        <f>"36656656000104"</f>
        <v>36656656000104</v>
      </c>
      <c r="H650" t="str">
        <f>"0"</f>
        <v>0</v>
      </c>
      <c r="I650" t="str">
        <f t="shared" si="327"/>
        <v>CONTA OPTICA</v>
      </c>
      <c r="J650" t="str">
        <f>"E. M. OPTICA LTDA"</f>
        <v>E. M. OPTICA LTDA</v>
      </c>
      <c r="K650" t="str">
        <f>"E. M. OPTICA (4320)"</f>
        <v>E. M. OPTICA (4320)</v>
      </c>
      <c r="L650" t="str">
        <f>""</f>
        <v/>
      </c>
      <c r="M650" t="str">
        <f>""</f>
        <v/>
      </c>
      <c r="N650" t="str">
        <f>"OTTICAVIDA@OUTLOOK.COM"</f>
        <v>OTTICAVIDA@OUTLOOK.COM</v>
      </c>
      <c r="O650" t="str">
        <f>""</f>
        <v/>
      </c>
      <c r="P650" t="str">
        <f>"VARGAS"</f>
        <v>VARGAS</v>
      </c>
      <c r="Q650" t="str">
        <f>"15"</f>
        <v>15</v>
      </c>
      <c r="R650" t="str">
        <f>"SALA 03"</f>
        <v>SALA 03</v>
      </c>
      <c r="S650" t="str">
        <f>"1270"</f>
        <v>1270</v>
      </c>
      <c r="T650" t="str">
        <f>"88960000"</f>
        <v>88960000</v>
      </c>
      <c r="U650" t="str">
        <f>"CENTRO"</f>
        <v>CENTRO</v>
      </c>
      <c r="V650" t="str">
        <f>"SOMBRIO"</f>
        <v>SOMBRIO</v>
      </c>
      <c r="W650" t="str">
        <f t="shared" si="319"/>
        <v>SC</v>
      </c>
      <c r="X650" t="str">
        <f>"55"</f>
        <v>55</v>
      </c>
      <c r="Y650" t="str">
        <f>"981703243"</f>
        <v>981703243</v>
      </c>
      <c r="Z650" t="str">
        <f>""</f>
        <v/>
      </c>
      <c r="AA650" t="str">
        <f>""</f>
        <v/>
      </c>
      <c r="AB650" t="str">
        <f>""</f>
        <v/>
      </c>
      <c r="AC650" t="str">
        <f>""</f>
        <v/>
      </c>
      <c r="AD650" t="str">
        <f>""</f>
        <v/>
      </c>
      <c r="AE650" t="str">
        <f>""</f>
        <v/>
      </c>
      <c r="AF650" t="str">
        <f>""</f>
        <v/>
      </c>
      <c r="AG650" t="str">
        <f>"S"</f>
        <v>S</v>
      </c>
      <c r="AH650" t="str">
        <f>""</f>
        <v/>
      </c>
      <c r="AI650" t="str">
        <f>""</f>
        <v/>
      </c>
      <c r="AJ650" t="str">
        <f>""</f>
        <v/>
      </c>
      <c r="AK650" t="str">
        <f>""</f>
        <v/>
      </c>
      <c r="AL650" t="str">
        <f>""</f>
        <v/>
      </c>
      <c r="AM650" t="str">
        <f>""</f>
        <v/>
      </c>
      <c r="AN650" t="str">
        <f>""</f>
        <v/>
      </c>
      <c r="AO650" t="str">
        <f>""</f>
        <v/>
      </c>
      <c r="AP650" t="str">
        <f>""</f>
        <v/>
      </c>
      <c r="AQ650" t="str">
        <f t="shared" ref="AQ650:AU651" si="335">"N"</f>
        <v>N</v>
      </c>
      <c r="AR650" t="str">
        <f t="shared" si="335"/>
        <v>N</v>
      </c>
      <c r="AS650" t="str">
        <f t="shared" si="335"/>
        <v>N</v>
      </c>
      <c r="AT650" t="str">
        <f t="shared" si="335"/>
        <v>N</v>
      </c>
      <c r="AU650" t="str">
        <f t="shared" si="335"/>
        <v>N</v>
      </c>
      <c r="AV650" t="str">
        <f>""</f>
        <v/>
      </c>
      <c r="AW650" t="str">
        <f>""</f>
        <v/>
      </c>
      <c r="AX650" t="str">
        <f>""</f>
        <v/>
      </c>
      <c r="AY650" t="str">
        <f>""</f>
        <v/>
      </c>
      <c r="AZ650" t="str">
        <f>""</f>
        <v/>
      </c>
      <c r="BA650" t="str">
        <f>""</f>
        <v/>
      </c>
      <c r="BB650" t="str">
        <f>"01/07/2021 13:53:04"</f>
        <v>01/07/2021 13:53:04</v>
      </c>
      <c r="BC650" t="str">
        <f>"07/01/2022 11:53:33"</f>
        <v>07/01/2022 11:53:33</v>
      </c>
      <c r="BD650" t="str">
        <f>""</f>
        <v/>
      </c>
      <c r="BE650" t="str">
        <f>""</f>
        <v/>
      </c>
      <c r="BF650" t="str">
        <f t="shared" si="328"/>
        <v>A</v>
      </c>
      <c r="BG650" t="str">
        <f>""</f>
        <v/>
      </c>
      <c r="BH650" t="str">
        <f t="shared" si="332"/>
        <v>0,00</v>
      </c>
      <c r="BI650" t="str">
        <f t="shared" si="307"/>
        <v>EVENTUAL</v>
      </c>
      <c r="BJ650" t="str">
        <f t="shared" si="329"/>
        <v>1</v>
      </c>
      <c r="BK650" t="str">
        <f t="shared" si="330"/>
        <v>Farmacia</v>
      </c>
      <c r="BL650" t="str">
        <f>""</f>
        <v/>
      </c>
      <c r="BM650" t="str">
        <f>"NÃO É VARILUX ESPECIALISTA"</f>
        <v>NÃO É VARILUX ESPECIALISTA</v>
      </c>
      <c r="BN650" t="str">
        <f t="shared" si="333"/>
        <v>NA</v>
      </c>
      <c r="BO650" t="str">
        <f>"FOCO VARILUX"</f>
        <v>FOCO VARILUX</v>
      </c>
      <c r="BP650" t="str">
        <f>""</f>
        <v/>
      </c>
      <c r="BQ650" t="str">
        <f>""</f>
        <v/>
      </c>
      <c r="BR650" t="str">
        <f>"01/07/2021"</f>
        <v>01/07/2021</v>
      </c>
      <c r="BS650" t="str">
        <f>"07/01/2022"</f>
        <v>07/01/2022</v>
      </c>
      <c r="BT650" t="str">
        <f>""</f>
        <v/>
      </c>
      <c r="BU650" t="str">
        <f>""</f>
        <v/>
      </c>
      <c r="BV650" t="str">
        <f>""</f>
        <v/>
      </c>
      <c r="BW650" t="str">
        <f>"Não visitado"</f>
        <v>Não visitado</v>
      </c>
    </row>
    <row r="651" spans="1:75" x14ac:dyDescent="0.35">
      <c r="A651">
        <v>134547</v>
      </c>
      <c r="B651" t="str">
        <f t="shared" si="325"/>
        <v>A</v>
      </c>
      <c r="C651" t="str">
        <f t="shared" si="326"/>
        <v>80</v>
      </c>
      <c r="D651" t="str">
        <f t="shared" si="316"/>
        <v>11121002</v>
      </c>
      <c r="E651" t="str">
        <f t="shared" si="317"/>
        <v>121002</v>
      </c>
      <c r="F651" t="str">
        <f t="shared" si="318"/>
        <v>CINTHIA NORONHA</v>
      </c>
      <c r="G651" t="str">
        <f>"39439452000100"</f>
        <v>39439452000100</v>
      </c>
      <c r="H651" t="str">
        <f>""</f>
        <v/>
      </c>
      <c r="I651" t="str">
        <f t="shared" si="327"/>
        <v>CONTA OPTICA</v>
      </c>
      <c r="J651" t="str">
        <f>"EDSON OSMAR FURTADO 03521132943"</f>
        <v>EDSON OSMAR FURTADO 03521132943</v>
      </c>
      <c r="K651" t="str">
        <f>"OTICA STYLLUS (4213)"</f>
        <v>OTICA STYLLUS (4213)</v>
      </c>
      <c r="L651" t="str">
        <f>""</f>
        <v/>
      </c>
      <c r="M651" t="str">
        <f>""</f>
        <v/>
      </c>
      <c r="N651" t="str">
        <f>"gisele.vithor37@gmail.com"</f>
        <v>gisele.vithor37@gmail.com</v>
      </c>
      <c r="O651" t="str">
        <f>""</f>
        <v/>
      </c>
      <c r="P651" t="str">
        <f>"RUA CONEGO RODOLFO MACHADO"</f>
        <v>RUA CONEGO RODOLFO MACHADO</v>
      </c>
      <c r="Q651" t="str">
        <f>"1098"</f>
        <v>1098</v>
      </c>
      <c r="R651" t="str">
        <f>"LOJA 10"</f>
        <v>LOJA 10</v>
      </c>
      <c r="S651" t="str">
        <f>""</f>
        <v/>
      </c>
      <c r="T651" t="str">
        <f>"88161732"</f>
        <v>88161732</v>
      </c>
      <c r="U651" t="str">
        <f>"RIO CAVEIRAS"</f>
        <v>RIO CAVEIRAS</v>
      </c>
      <c r="V651" t="str">
        <f>"BIGUAÇU"</f>
        <v>BIGUAÇU</v>
      </c>
      <c r="W651" t="str">
        <f t="shared" si="319"/>
        <v>SC</v>
      </c>
      <c r="X651" t="str">
        <f>"48"</f>
        <v>48</v>
      </c>
      <c r="Y651" t="str">
        <f>"991828171"</f>
        <v>991828171</v>
      </c>
      <c r="Z651" t="str">
        <f>""</f>
        <v/>
      </c>
      <c r="AA651" t="str">
        <f>""</f>
        <v/>
      </c>
      <c r="AB651" t="str">
        <f>""</f>
        <v/>
      </c>
      <c r="AC651" t="str">
        <f>""</f>
        <v/>
      </c>
      <c r="AD651" t="str">
        <f>""</f>
        <v/>
      </c>
      <c r="AE651" t="str">
        <f>""</f>
        <v/>
      </c>
      <c r="AF651" t="str">
        <f>""</f>
        <v/>
      </c>
      <c r="AG651" t="str">
        <f>"S"</f>
        <v>S</v>
      </c>
      <c r="AH651" t="str">
        <f>""</f>
        <v/>
      </c>
      <c r="AI651" t="str">
        <f>""</f>
        <v/>
      </c>
      <c r="AJ651" t="str">
        <f>""</f>
        <v/>
      </c>
      <c r="AK651" t="str">
        <f>""</f>
        <v/>
      </c>
      <c r="AL651" t="str">
        <f>""</f>
        <v/>
      </c>
      <c r="AM651" t="str">
        <f>""</f>
        <v/>
      </c>
      <c r="AN651" t="str">
        <f>""</f>
        <v/>
      </c>
      <c r="AO651" t="str">
        <f>""</f>
        <v/>
      </c>
      <c r="AP651" t="str">
        <f>""</f>
        <v/>
      </c>
      <c r="AQ651" t="str">
        <f t="shared" si="335"/>
        <v>N</v>
      </c>
      <c r="AR651" t="str">
        <f t="shared" si="335"/>
        <v>N</v>
      </c>
      <c r="AS651" t="str">
        <f t="shared" si="335"/>
        <v>N</v>
      </c>
      <c r="AT651" t="str">
        <f t="shared" si="335"/>
        <v>N</v>
      </c>
      <c r="AU651" t="str">
        <f t="shared" si="335"/>
        <v>N</v>
      </c>
      <c r="AV651" t="str">
        <f>""</f>
        <v/>
      </c>
      <c r="AW651" t="str">
        <f>""</f>
        <v/>
      </c>
      <c r="AX651" t="str">
        <f>""</f>
        <v/>
      </c>
      <c r="AY651" t="str">
        <f>""</f>
        <v/>
      </c>
      <c r="AZ651" t="str">
        <f>""</f>
        <v/>
      </c>
      <c r="BA651" t="str">
        <f>""</f>
        <v/>
      </c>
      <c r="BB651" t="str">
        <f>""</f>
        <v/>
      </c>
      <c r="BC651" t="str">
        <f>"11/04/2022 09:29:24"</f>
        <v>11/04/2022 09:29:24</v>
      </c>
      <c r="BD651" t="str">
        <f>""</f>
        <v/>
      </c>
      <c r="BE651" t="str">
        <f>""</f>
        <v/>
      </c>
      <c r="BF651" t="str">
        <f t="shared" si="328"/>
        <v>A</v>
      </c>
      <c r="BG651" t="str">
        <f>""</f>
        <v/>
      </c>
      <c r="BH651" t="str">
        <f t="shared" si="332"/>
        <v>0,00</v>
      </c>
      <c r="BI651" t="str">
        <f t="shared" si="307"/>
        <v>EVENTUAL</v>
      </c>
      <c r="BJ651" t="str">
        <f t="shared" si="329"/>
        <v>1</v>
      </c>
      <c r="BK651" t="str">
        <f t="shared" si="330"/>
        <v>Farmacia</v>
      </c>
      <c r="BL651" t="str">
        <f>""</f>
        <v/>
      </c>
      <c r="BM651" t="str">
        <f>"NÃO É VARILUX ESPECIALISTA"</f>
        <v>NÃO É VARILUX ESPECIALISTA</v>
      </c>
      <c r="BN651" t="str">
        <f t="shared" si="333"/>
        <v>NA</v>
      </c>
      <c r="BO651" t="str">
        <f>"FOCO KODAK 2"</f>
        <v>FOCO KODAK 2</v>
      </c>
      <c r="BP651" t="str">
        <f>""</f>
        <v/>
      </c>
      <c r="BQ651" t="str">
        <f>""</f>
        <v/>
      </c>
      <c r="BR651" t="str">
        <f>""</f>
        <v/>
      </c>
      <c r="BS651" t="str">
        <f>"11/04/2022"</f>
        <v>11/04/2022</v>
      </c>
      <c r="BT651" t="str">
        <f>""</f>
        <v/>
      </c>
      <c r="BU651" t="str">
        <f>""</f>
        <v/>
      </c>
      <c r="BV651" t="str">
        <f>""</f>
        <v/>
      </c>
      <c r="BW651" t="str">
        <f>"21"</f>
        <v>21</v>
      </c>
    </row>
    <row r="652" spans="1:75" x14ac:dyDescent="0.35">
      <c r="A652">
        <v>159571</v>
      </c>
      <c r="B652" t="str">
        <f t="shared" si="325"/>
        <v>A</v>
      </c>
      <c r="C652" t="str">
        <f t="shared" si="326"/>
        <v>80</v>
      </c>
      <c r="D652" t="str">
        <f t="shared" si="316"/>
        <v>11121002</v>
      </c>
      <c r="E652" t="str">
        <f t="shared" si="317"/>
        <v>121002</v>
      </c>
      <c r="F652" t="str">
        <f t="shared" si="318"/>
        <v>CINTHIA NORONHA</v>
      </c>
      <c r="G652" t="str">
        <f>"51826065000121"</f>
        <v>51826065000121</v>
      </c>
      <c r="H652" t="str">
        <f>""</f>
        <v/>
      </c>
      <c r="I652" t="str">
        <f t="shared" si="327"/>
        <v>CONTA OPTICA</v>
      </c>
      <c r="J652" t="str">
        <f>"EDUARDO ARAUJO TESTA LTDA"</f>
        <v>EDUARDO ARAUJO TESTA LTDA</v>
      </c>
      <c r="K652" t="str">
        <f>"CHILLI BEANS (4778)"</f>
        <v>CHILLI BEANS (4778)</v>
      </c>
      <c r="L652" t="str">
        <f>""</f>
        <v/>
      </c>
      <c r="M652" t="str">
        <f>""</f>
        <v/>
      </c>
      <c r="N652" t="str">
        <f>"ADM.FERRONATTOEPAZA@GMAIL.COM"</f>
        <v>ADM.FERRONATTOEPAZA@GMAIL.COM</v>
      </c>
      <c r="O652" t="str">
        <f>""</f>
        <v/>
      </c>
      <c r="P652" t="str">
        <f>"RUA R GERONCIO THIVES"</f>
        <v>RUA R GERONCIO THIVES</v>
      </c>
      <c r="Q652" t="str">
        <f>"1079"</f>
        <v>1079</v>
      </c>
      <c r="R652" t="str">
        <f>"QUIOSQ42"</f>
        <v>QUIOSQ42</v>
      </c>
      <c r="S652" t="str">
        <f>"1259"</f>
        <v>1259</v>
      </c>
      <c r="T652" t="str">
        <f>"88117900"</f>
        <v>88117900</v>
      </c>
      <c r="U652" t="str">
        <f>"BARREIROS"</f>
        <v>BARREIROS</v>
      </c>
      <c r="V652" t="str">
        <f>"SAO JOSE"</f>
        <v>SAO JOSE</v>
      </c>
      <c r="W652" t="str">
        <f t="shared" si="319"/>
        <v>SC</v>
      </c>
      <c r="X652" t="str">
        <f>"42"</f>
        <v>42</v>
      </c>
      <c r="Y652" t="str">
        <f>"998585101"</f>
        <v>998585101</v>
      </c>
      <c r="Z652" t="str">
        <f>""</f>
        <v/>
      </c>
      <c r="AA652" t="str">
        <f>""</f>
        <v/>
      </c>
      <c r="AB652" t="str">
        <f>""</f>
        <v/>
      </c>
      <c r="AC652" t="str">
        <f>""</f>
        <v/>
      </c>
      <c r="AD652" t="str">
        <f>""</f>
        <v/>
      </c>
      <c r="AE652" t="str">
        <f>""</f>
        <v/>
      </c>
      <c r="AF652" t="str">
        <f>""</f>
        <v/>
      </c>
      <c r="AG652" t="str">
        <f>""</f>
        <v/>
      </c>
      <c r="AH652" t="str">
        <f>""</f>
        <v/>
      </c>
      <c r="AI652" t="str">
        <f>""</f>
        <v/>
      </c>
      <c r="AJ652" t="str">
        <f>""</f>
        <v/>
      </c>
      <c r="AK652" t="str">
        <f>""</f>
        <v/>
      </c>
      <c r="AL652" t="str">
        <f>""</f>
        <v/>
      </c>
      <c r="AM652" t="str">
        <f>""</f>
        <v/>
      </c>
      <c r="AN652" t="str">
        <f>""</f>
        <v/>
      </c>
      <c r="AO652" t="str">
        <f>""</f>
        <v/>
      </c>
      <c r="AP652" t="str">
        <f>""</f>
        <v/>
      </c>
      <c r="AQ652" t="str">
        <f>""</f>
        <v/>
      </c>
      <c r="AR652" t="str">
        <f>""</f>
        <v/>
      </c>
      <c r="AS652" t="str">
        <f>""</f>
        <v/>
      </c>
      <c r="AT652" t="str">
        <f>""</f>
        <v/>
      </c>
      <c r="AU652" t="str">
        <f>""</f>
        <v/>
      </c>
      <c r="AV652" t="str">
        <f>""</f>
        <v/>
      </c>
      <c r="AW652" t="str">
        <f>""</f>
        <v/>
      </c>
      <c r="AX652" t="str">
        <f>""</f>
        <v/>
      </c>
      <c r="AY652" t="str">
        <f>""</f>
        <v/>
      </c>
      <c r="AZ652" t="str">
        <f>""</f>
        <v/>
      </c>
      <c r="BA652" t="str">
        <f>""</f>
        <v/>
      </c>
      <c r="BB652" t="str">
        <f>"25/09/2023 11:47:13"</f>
        <v>25/09/2023 11:47:13</v>
      </c>
      <c r="BC652" t="str">
        <f>""</f>
        <v/>
      </c>
      <c r="BD652" t="str">
        <f>""</f>
        <v/>
      </c>
      <c r="BE652" t="str">
        <f>""</f>
        <v/>
      </c>
      <c r="BF652" t="str">
        <f t="shared" si="328"/>
        <v>A</v>
      </c>
      <c r="BG652" t="str">
        <f>""</f>
        <v/>
      </c>
      <c r="BH652" t="str">
        <f>""</f>
        <v/>
      </c>
      <c r="BI652" t="str">
        <f t="shared" si="307"/>
        <v>EVENTUAL</v>
      </c>
      <c r="BJ652" t="str">
        <f t="shared" si="329"/>
        <v>1</v>
      </c>
      <c r="BK652" t="str">
        <f t="shared" si="330"/>
        <v>Farmacia</v>
      </c>
      <c r="BL652" t="str">
        <f>""</f>
        <v/>
      </c>
      <c r="BM652" t="str">
        <f>""</f>
        <v/>
      </c>
      <c r="BN652" t="str">
        <f>""</f>
        <v/>
      </c>
      <c r="BO652" t="str">
        <f>""</f>
        <v/>
      </c>
      <c r="BP652" t="str">
        <f>""</f>
        <v/>
      </c>
      <c r="BQ652" t="str">
        <f>""</f>
        <v/>
      </c>
      <c r="BR652" t="str">
        <f>"25/09/2023"</f>
        <v>25/09/2023</v>
      </c>
      <c r="BS652" t="str">
        <f>""</f>
        <v/>
      </c>
      <c r="BT652" t="str">
        <f>""</f>
        <v/>
      </c>
      <c r="BU652" t="str">
        <f>""</f>
        <v/>
      </c>
      <c r="BV652" t="str">
        <f>""</f>
        <v/>
      </c>
      <c r="BW652" t="str">
        <f>"Não visitado"</f>
        <v>Não visitado</v>
      </c>
    </row>
    <row r="653" spans="1:75" x14ac:dyDescent="0.35">
      <c r="A653">
        <v>159573</v>
      </c>
      <c r="B653" t="str">
        <f t="shared" si="325"/>
        <v>A</v>
      </c>
      <c r="C653" t="str">
        <f t="shared" si="326"/>
        <v>80</v>
      </c>
      <c r="D653" t="str">
        <f t="shared" si="316"/>
        <v>11121002</v>
      </c>
      <c r="E653" t="str">
        <f t="shared" si="317"/>
        <v>121002</v>
      </c>
      <c r="F653" t="str">
        <f t="shared" si="318"/>
        <v>CINTHIA NORONHA</v>
      </c>
      <c r="G653" t="str">
        <f>"51826065000202"</f>
        <v>51826065000202</v>
      </c>
      <c r="H653" t="str">
        <f>""</f>
        <v/>
      </c>
      <c r="I653" t="str">
        <f t="shared" si="327"/>
        <v>CONTA OPTICA</v>
      </c>
      <c r="J653" t="str">
        <f>"EDUARDO ARAUJO TESTA LTDA"</f>
        <v>EDUARDO ARAUJO TESTA LTDA</v>
      </c>
      <c r="K653" t="str">
        <f>"CHILLI BEANS (4776)"</f>
        <v>CHILLI BEANS (4776)</v>
      </c>
      <c r="L653" t="str">
        <f>""</f>
        <v/>
      </c>
      <c r="M653" t="str">
        <f>""</f>
        <v/>
      </c>
      <c r="N653" t="str">
        <f>"ADM.FERRONATTOEPAZA@GMAIL.COM"</f>
        <v>ADM.FERRONATTOEPAZA@GMAIL.COM</v>
      </c>
      <c r="O653" t="str">
        <f>""</f>
        <v/>
      </c>
      <c r="P653" t="str">
        <f>"RUA R GERONCIO THIVES"</f>
        <v>RUA R GERONCIO THIVES</v>
      </c>
      <c r="Q653" t="str">
        <f>"1079"</f>
        <v>1079</v>
      </c>
      <c r="R653" t="str">
        <f>"LOJA 244"</f>
        <v>LOJA 244</v>
      </c>
      <c r="S653" t="str">
        <f>"1259"</f>
        <v>1259</v>
      </c>
      <c r="T653" t="str">
        <f>"88117900"</f>
        <v>88117900</v>
      </c>
      <c r="U653" t="str">
        <f>"BARREIROS"</f>
        <v>BARREIROS</v>
      </c>
      <c r="V653" t="str">
        <f>"SAO JOSE"</f>
        <v>SAO JOSE</v>
      </c>
      <c r="W653" t="str">
        <f t="shared" si="319"/>
        <v>SC</v>
      </c>
      <c r="X653" t="str">
        <f>"42"</f>
        <v>42</v>
      </c>
      <c r="Y653" t="str">
        <f>"998585101"</f>
        <v>998585101</v>
      </c>
      <c r="Z653" t="str">
        <f>""</f>
        <v/>
      </c>
      <c r="AA653" t="str">
        <f>""</f>
        <v/>
      </c>
      <c r="AB653" t="str">
        <f>""</f>
        <v/>
      </c>
      <c r="AC653" t="str">
        <f>""</f>
        <v/>
      </c>
      <c r="AD653" t="str">
        <f>""</f>
        <v/>
      </c>
      <c r="AE653" t="str">
        <f>""</f>
        <v/>
      </c>
      <c r="AF653" t="str">
        <f>""</f>
        <v/>
      </c>
      <c r="AG653" t="str">
        <f>""</f>
        <v/>
      </c>
      <c r="AH653" t="str">
        <f>""</f>
        <v/>
      </c>
      <c r="AI653" t="str">
        <f>""</f>
        <v/>
      </c>
      <c r="AJ653" t="str">
        <f>""</f>
        <v/>
      </c>
      <c r="AK653" t="str">
        <f>""</f>
        <v/>
      </c>
      <c r="AL653" t="str">
        <f>""</f>
        <v/>
      </c>
      <c r="AM653" t="str">
        <f>""</f>
        <v/>
      </c>
      <c r="AN653" t="str">
        <f>""</f>
        <v/>
      </c>
      <c r="AO653" t="str">
        <f>""</f>
        <v/>
      </c>
      <c r="AP653" t="str">
        <f>""</f>
        <v/>
      </c>
      <c r="AQ653" t="str">
        <f>""</f>
        <v/>
      </c>
      <c r="AR653" t="str">
        <f>""</f>
        <v/>
      </c>
      <c r="AS653" t="str">
        <f>""</f>
        <v/>
      </c>
      <c r="AT653" t="str">
        <f>""</f>
        <v/>
      </c>
      <c r="AU653" t="str">
        <f>""</f>
        <v/>
      </c>
      <c r="AV653" t="str">
        <f>""</f>
        <v/>
      </c>
      <c r="AW653" t="str">
        <f>""</f>
        <v/>
      </c>
      <c r="AX653" t="str">
        <f>""</f>
        <v/>
      </c>
      <c r="AY653" t="str">
        <f>""</f>
        <v/>
      </c>
      <c r="AZ653" t="str">
        <f>""</f>
        <v/>
      </c>
      <c r="BA653" t="str">
        <f>""</f>
        <v/>
      </c>
      <c r="BB653" t="str">
        <f>"25/09/2023 11:47:13"</f>
        <v>25/09/2023 11:47:13</v>
      </c>
      <c r="BC653" t="str">
        <f>""</f>
        <v/>
      </c>
      <c r="BD653" t="str">
        <f>""</f>
        <v/>
      </c>
      <c r="BE653" t="str">
        <f>""</f>
        <v/>
      </c>
      <c r="BF653" t="str">
        <f t="shared" si="328"/>
        <v>A</v>
      </c>
      <c r="BG653" t="str">
        <f>""</f>
        <v/>
      </c>
      <c r="BH653" t="str">
        <f>""</f>
        <v/>
      </c>
      <c r="BI653" t="str">
        <f t="shared" si="307"/>
        <v>EVENTUAL</v>
      </c>
      <c r="BJ653" t="str">
        <f t="shared" si="329"/>
        <v>1</v>
      </c>
      <c r="BK653" t="str">
        <f t="shared" si="330"/>
        <v>Farmacia</v>
      </c>
      <c r="BL653" t="str">
        <f>""</f>
        <v/>
      </c>
      <c r="BM653" t="str">
        <f>""</f>
        <v/>
      </c>
      <c r="BN653" t="str">
        <f>""</f>
        <v/>
      </c>
      <c r="BO653" t="str">
        <f>""</f>
        <v/>
      </c>
      <c r="BP653" t="str">
        <f>""</f>
        <v/>
      </c>
      <c r="BQ653" t="str">
        <f>""</f>
        <v/>
      </c>
      <c r="BR653" t="str">
        <f>"25/09/2023"</f>
        <v>25/09/2023</v>
      </c>
      <c r="BS653" t="str">
        <f>""</f>
        <v/>
      </c>
      <c r="BT653" t="str">
        <f>""</f>
        <v/>
      </c>
      <c r="BU653" t="str">
        <f>""</f>
        <v/>
      </c>
      <c r="BV653" t="str">
        <f>""</f>
        <v/>
      </c>
      <c r="BW653" t="str">
        <f>"Não visitado"</f>
        <v>Não visitado</v>
      </c>
    </row>
    <row r="654" spans="1:75" x14ac:dyDescent="0.35">
      <c r="A654">
        <v>157665</v>
      </c>
      <c r="B654" t="str">
        <f t="shared" si="325"/>
        <v>A</v>
      </c>
      <c r="C654" t="str">
        <f t="shared" si="326"/>
        <v>80</v>
      </c>
      <c r="D654" t="str">
        <f t="shared" si="316"/>
        <v>11121002</v>
      </c>
      <c r="E654" t="str">
        <f t="shared" si="317"/>
        <v>121002</v>
      </c>
      <c r="F654" t="str">
        <f t="shared" si="318"/>
        <v>CINTHIA NORONHA</v>
      </c>
      <c r="G654" t="str">
        <f>"97547260000113"</f>
        <v>97547260000113</v>
      </c>
      <c r="H654" t="str">
        <f>"0"</f>
        <v>0</v>
      </c>
      <c r="I654" t="str">
        <f t="shared" si="327"/>
        <v>CONTA OPTICA</v>
      </c>
      <c r="J654" t="str">
        <f>"EDUARDO ISIDORO ME"</f>
        <v>EDUARDO ISIDORO ME</v>
      </c>
      <c r="K654" t="str">
        <f>"RELOJOARIA E OTICA NSA (1857)"</f>
        <v>RELOJOARIA E OTICA NSA (1857)</v>
      </c>
      <c r="L654" t="str">
        <f>""</f>
        <v/>
      </c>
      <c r="M654" t="str">
        <f>""</f>
        <v/>
      </c>
      <c r="N654" t="str">
        <f>""</f>
        <v/>
      </c>
      <c r="O654" t="str">
        <f>""</f>
        <v/>
      </c>
      <c r="P654" t="str">
        <f>"RUA IRMAOS TREVISOL"</f>
        <v>RUA IRMAOS TREVISOL</v>
      </c>
      <c r="Q654" t="str">
        <f>"1270"</f>
        <v>1270</v>
      </c>
      <c r="R654" t="str">
        <f>"SALA 02"</f>
        <v>SALA 02</v>
      </c>
      <c r="S654" t="str">
        <f>"1270"</f>
        <v>1270</v>
      </c>
      <c r="T654" t="str">
        <f>"88950000"</f>
        <v>88950000</v>
      </c>
      <c r="U654" t="str">
        <f>"CENTRO"</f>
        <v>CENTRO</v>
      </c>
      <c r="V654" t="str">
        <f>"JACINTO MACHADO"</f>
        <v>JACINTO MACHADO</v>
      </c>
      <c r="W654" t="str">
        <f t="shared" si="319"/>
        <v>SC</v>
      </c>
      <c r="X654" t="str">
        <f>"48"</f>
        <v>48</v>
      </c>
      <c r="Y654" t="str">
        <f>"98165828"</f>
        <v>98165828</v>
      </c>
      <c r="Z654" t="str">
        <f>""</f>
        <v/>
      </c>
      <c r="AA654" t="str">
        <f>""</f>
        <v/>
      </c>
      <c r="AB654" t="str">
        <f>""</f>
        <v/>
      </c>
      <c r="AC654" t="str">
        <f>""</f>
        <v/>
      </c>
      <c r="AD654" t="str">
        <f>""</f>
        <v/>
      </c>
      <c r="AE654" t="str">
        <f>""</f>
        <v/>
      </c>
      <c r="AF654" t="str">
        <f>""</f>
        <v/>
      </c>
      <c r="AG654" t="str">
        <f>""</f>
        <v/>
      </c>
      <c r="AH654" t="str">
        <f>""</f>
        <v/>
      </c>
      <c r="AI654" t="str">
        <f>""</f>
        <v/>
      </c>
      <c r="AJ654" t="str">
        <f>""</f>
        <v/>
      </c>
      <c r="AK654" t="str">
        <f>""</f>
        <v/>
      </c>
      <c r="AL654" t="str">
        <f>""</f>
        <v/>
      </c>
      <c r="AM654" t="str">
        <f>""</f>
        <v/>
      </c>
      <c r="AN654" t="str">
        <f>""</f>
        <v/>
      </c>
      <c r="AO654" t="str">
        <f>""</f>
        <v/>
      </c>
      <c r="AP654" t="str">
        <f>""</f>
        <v/>
      </c>
      <c r="AQ654" t="str">
        <f>""</f>
        <v/>
      </c>
      <c r="AR654" t="str">
        <f>""</f>
        <v/>
      </c>
      <c r="AS654" t="str">
        <f>""</f>
        <v/>
      </c>
      <c r="AT654" t="str">
        <f>""</f>
        <v/>
      </c>
      <c r="AU654" t="str">
        <f>""</f>
        <v/>
      </c>
      <c r="AV654" t="str">
        <f>""</f>
        <v/>
      </c>
      <c r="AW654" t="str">
        <f>""</f>
        <v/>
      </c>
      <c r="AX654" t="str">
        <f>""</f>
        <v/>
      </c>
      <c r="AY654" t="str">
        <f>""</f>
        <v/>
      </c>
      <c r="AZ654" t="str">
        <f>""</f>
        <v/>
      </c>
      <c r="BA654" t="str">
        <f>""</f>
        <v/>
      </c>
      <c r="BB654" t="str">
        <f>"11/07/2023 02:19:56"</f>
        <v>11/07/2023 02:19:56</v>
      </c>
      <c r="BC654" t="str">
        <f>""</f>
        <v/>
      </c>
      <c r="BD654" t="str">
        <f>""</f>
        <v/>
      </c>
      <c r="BE654" t="str">
        <f>""</f>
        <v/>
      </c>
      <c r="BF654" t="str">
        <f t="shared" si="328"/>
        <v>A</v>
      </c>
      <c r="BG654" t="str">
        <f>""</f>
        <v/>
      </c>
      <c r="BH654" t="str">
        <f>""</f>
        <v/>
      </c>
      <c r="BI654" t="str">
        <f t="shared" si="307"/>
        <v>EVENTUAL</v>
      </c>
      <c r="BJ654" t="str">
        <f t="shared" si="329"/>
        <v>1</v>
      </c>
      <c r="BK654" t="str">
        <f t="shared" si="330"/>
        <v>Farmacia</v>
      </c>
      <c r="BL654" t="str">
        <f>""</f>
        <v/>
      </c>
      <c r="BM654" t="str">
        <f>""</f>
        <v/>
      </c>
      <c r="BN654" t="str">
        <f>""</f>
        <v/>
      </c>
      <c r="BO654" t="str">
        <f>""</f>
        <v/>
      </c>
      <c r="BP654" t="str">
        <f>""</f>
        <v/>
      </c>
      <c r="BQ654" t="str">
        <f>""</f>
        <v/>
      </c>
      <c r="BR654" t="str">
        <f>"11/07/2023"</f>
        <v>11/07/2023</v>
      </c>
      <c r="BS654" t="str">
        <f>""</f>
        <v/>
      </c>
      <c r="BT654" t="str">
        <f>""</f>
        <v/>
      </c>
      <c r="BU654" t="str">
        <f>""</f>
        <v/>
      </c>
      <c r="BV654" t="str">
        <f>""</f>
        <v/>
      </c>
      <c r="BW654" t="str">
        <f>"64"</f>
        <v>64</v>
      </c>
    </row>
    <row r="655" spans="1:75" x14ac:dyDescent="0.35">
      <c r="A655">
        <v>134221</v>
      </c>
      <c r="B655" t="str">
        <f t="shared" si="325"/>
        <v>A</v>
      </c>
      <c r="C655" t="str">
        <f t="shared" si="326"/>
        <v>80</v>
      </c>
      <c r="D655" t="str">
        <f t="shared" si="316"/>
        <v>11121002</v>
      </c>
      <c r="E655" t="str">
        <f t="shared" si="317"/>
        <v>121002</v>
      </c>
      <c r="F655" t="str">
        <f t="shared" si="318"/>
        <v>CINTHIA NORONHA</v>
      </c>
      <c r="G655" t="str">
        <f>"10013754000130"</f>
        <v>10013754000130</v>
      </c>
      <c r="H655" t="str">
        <f>""</f>
        <v/>
      </c>
      <c r="I655" t="str">
        <f t="shared" si="327"/>
        <v>CONTA OPTICA</v>
      </c>
      <c r="J655" t="str">
        <f>"EGA OPTICA LTDA ME"</f>
        <v>EGA OPTICA LTDA ME</v>
      </c>
      <c r="K655" t="str">
        <f>"OPTICA VISUALITY (1429)"</f>
        <v>OPTICA VISUALITY (1429)</v>
      </c>
      <c r="L655" t="str">
        <f>""</f>
        <v/>
      </c>
      <c r="M655" t="str">
        <f>""</f>
        <v/>
      </c>
      <c r="N655" t="str">
        <f>"opticavisuality@hotmail.com"</f>
        <v>opticavisuality@hotmail.com</v>
      </c>
      <c r="O655" t="str">
        <f>""</f>
        <v/>
      </c>
      <c r="P655" t="str">
        <f>"RUA JOAO GUALBERTO SOARES"</f>
        <v>RUA JOAO GUALBERTO SOARES</v>
      </c>
      <c r="Q655" t="str">
        <f>"641"</f>
        <v>641</v>
      </c>
      <c r="R655" t="str">
        <f>"LJ 02"</f>
        <v>LJ 02</v>
      </c>
      <c r="S655" t="str">
        <f>"1257"</f>
        <v>1257</v>
      </c>
      <c r="T655" t="str">
        <f>"88058300"</f>
        <v>88058300</v>
      </c>
      <c r="U655" t="str">
        <f>"INGLESES DO RIO VERMELHO"</f>
        <v>INGLESES DO RIO VERMELHO</v>
      </c>
      <c r="V655" t="str">
        <f>"FLORIANÓPOLIS"</f>
        <v>FLORIANÓPOLIS</v>
      </c>
      <c r="W655" t="str">
        <f t="shared" si="319"/>
        <v>SC</v>
      </c>
      <c r="X655" t="str">
        <f>"48"</f>
        <v>48</v>
      </c>
      <c r="Y655" t="str">
        <f>"32660346"</f>
        <v>32660346</v>
      </c>
      <c r="Z655" t="str">
        <f>""</f>
        <v/>
      </c>
      <c r="AA655" t="str">
        <f>""</f>
        <v/>
      </c>
      <c r="AB655" t="str">
        <f>""</f>
        <v/>
      </c>
      <c r="AC655" t="str">
        <f>""</f>
        <v/>
      </c>
      <c r="AD655" t="str">
        <f>""</f>
        <v/>
      </c>
      <c r="AE655" t="str">
        <f>""</f>
        <v/>
      </c>
      <c r="AF655" t="str">
        <f>""</f>
        <v/>
      </c>
      <c r="AG655" t="str">
        <f>"S"</f>
        <v>S</v>
      </c>
      <c r="AH655" t="str">
        <f>""</f>
        <v/>
      </c>
      <c r="AI655" t="str">
        <f>""</f>
        <v/>
      </c>
      <c r="AJ655" t="str">
        <f>"0"</f>
        <v>0</v>
      </c>
      <c r="AK655" t="str">
        <f>"0"</f>
        <v>0</v>
      </c>
      <c r="AL655" t="str">
        <f>"0"</f>
        <v>0</v>
      </c>
      <c r="AM655" t="str">
        <f>""</f>
        <v/>
      </c>
      <c r="AN655" t="str">
        <f>""</f>
        <v/>
      </c>
      <c r="AO655" t="str">
        <f>""</f>
        <v/>
      </c>
      <c r="AP655" t="str">
        <f>""</f>
        <v/>
      </c>
      <c r="AQ655" t="str">
        <f>"N"</f>
        <v>N</v>
      </c>
      <c r="AR655" t="str">
        <f>"N"</f>
        <v>N</v>
      </c>
      <c r="AS655" t="str">
        <f>"N"</f>
        <v>N</v>
      </c>
      <c r="AT655" t="str">
        <f>"N"</f>
        <v>N</v>
      </c>
      <c r="AU655" t="str">
        <f>"N"</f>
        <v>N</v>
      </c>
      <c r="AV655" t="str">
        <f>""</f>
        <v/>
      </c>
      <c r="AW655" t="str">
        <f>""</f>
        <v/>
      </c>
      <c r="AX655" t="str">
        <f>""</f>
        <v/>
      </c>
      <c r="AY655" t="str">
        <f>""</f>
        <v/>
      </c>
      <c r="AZ655" t="str">
        <f>""</f>
        <v/>
      </c>
      <c r="BA655" t="str">
        <f>""</f>
        <v/>
      </c>
      <c r="BB655" t="str">
        <f>""</f>
        <v/>
      </c>
      <c r="BC655" t="str">
        <f>"07/07/2023 14:49:25"</f>
        <v>07/07/2023 14:49:25</v>
      </c>
      <c r="BD655" t="str">
        <f>""</f>
        <v/>
      </c>
      <c r="BE655" t="str">
        <f>""</f>
        <v/>
      </c>
      <c r="BF655" t="str">
        <f t="shared" si="328"/>
        <v>A</v>
      </c>
      <c r="BG655" t="str">
        <f>"0,00"</f>
        <v>0,00</v>
      </c>
      <c r="BH655" t="str">
        <f>"0,00"</f>
        <v>0,00</v>
      </c>
      <c r="BI655" t="str">
        <f t="shared" si="307"/>
        <v>EVENTUAL</v>
      </c>
      <c r="BJ655" t="str">
        <f t="shared" si="329"/>
        <v>1</v>
      </c>
      <c r="BK655" t="str">
        <f t="shared" si="330"/>
        <v>Farmacia</v>
      </c>
      <c r="BL655" t="str">
        <f>""</f>
        <v/>
      </c>
      <c r="BM655" t="str">
        <f>"NÃO É VARILUX ESPECIALISTA"</f>
        <v>NÃO É VARILUX ESPECIALISTA</v>
      </c>
      <c r="BN655" t="str">
        <f>"NA"</f>
        <v>NA</v>
      </c>
      <c r="BO655" t="str">
        <f>"FOCO VARILUX DIGITAL"</f>
        <v>FOCO VARILUX DIGITAL</v>
      </c>
      <c r="BP655" t="str">
        <f>""</f>
        <v/>
      </c>
      <c r="BQ655" t="str">
        <f>""</f>
        <v/>
      </c>
      <c r="BR655" t="str">
        <f>""</f>
        <v/>
      </c>
      <c r="BS655" t="str">
        <f>"07/07/2023"</f>
        <v>07/07/2023</v>
      </c>
      <c r="BT655" t="str">
        <f>""</f>
        <v/>
      </c>
      <c r="BU655" t="str">
        <f>""</f>
        <v/>
      </c>
      <c r="BV655" t="str">
        <f>"9"</f>
        <v>9</v>
      </c>
      <c r="BW655" t="str">
        <f>"2"</f>
        <v>2</v>
      </c>
    </row>
    <row r="656" spans="1:75" x14ac:dyDescent="0.35">
      <c r="A656">
        <v>157661</v>
      </c>
      <c r="B656" t="str">
        <f t="shared" si="325"/>
        <v>A</v>
      </c>
      <c r="C656" t="str">
        <f t="shared" si="326"/>
        <v>80</v>
      </c>
      <c r="D656" t="str">
        <f t="shared" si="316"/>
        <v>11121002</v>
      </c>
      <c r="E656" t="str">
        <f t="shared" si="317"/>
        <v>121002</v>
      </c>
      <c r="F656" t="str">
        <f t="shared" si="318"/>
        <v>CINTHIA NORONHA</v>
      </c>
      <c r="G656" t="str">
        <f>"10779632000159"</f>
        <v>10779632000159</v>
      </c>
      <c r="H656" t="str">
        <f>"0"</f>
        <v>0</v>
      </c>
      <c r="I656" t="str">
        <f t="shared" si="327"/>
        <v>CONTA OPTICA</v>
      </c>
      <c r="J656" t="str">
        <f>"EL FARO INDUSTRIA E COMERCIO LTDA"</f>
        <v>EL FARO INDUSTRIA E COMERCIO LTDA</v>
      </c>
      <c r="K656" t="str">
        <f>"EL FARO INDUSTRIA E COMERCIO LTDA (3322)"</f>
        <v>EL FARO INDUSTRIA E COMERCIO LTDA (3322)</v>
      </c>
      <c r="L656" t="str">
        <f>""</f>
        <v/>
      </c>
      <c r="M656" t="str">
        <f>""</f>
        <v/>
      </c>
      <c r="N656" t="str">
        <f>"COMPRAS@ELFARO.COM.BR"</f>
        <v>COMPRAS@ELFARO.COM.BR</v>
      </c>
      <c r="O656" t="str">
        <f>""</f>
        <v/>
      </c>
      <c r="P656" t="str">
        <f>"SC 434"</f>
        <v>SC 434</v>
      </c>
      <c r="Q656" t="str">
        <f>"#VALUE!"</f>
        <v>#VALUE!</v>
      </c>
      <c r="R656" t="str">
        <f>"SALA 01"</f>
        <v>SALA 01</v>
      </c>
      <c r="S656" t="str">
        <f>"1265"</f>
        <v>1265</v>
      </c>
      <c r="T656" t="str">
        <f>"88495000"</f>
        <v>88495000</v>
      </c>
      <c r="U656" t="str">
        <f>"PALHOCINHA"</f>
        <v>PALHOCINHA</v>
      </c>
      <c r="V656" t="str">
        <f>"GAROPABA"</f>
        <v>GAROPABA</v>
      </c>
      <c r="W656" t="str">
        <f t="shared" si="319"/>
        <v>SC</v>
      </c>
      <c r="X656" t="str">
        <f>"48"</f>
        <v>48</v>
      </c>
      <c r="Y656" t="str">
        <f>"32547600"</f>
        <v>32547600</v>
      </c>
      <c r="Z656" t="str">
        <f>""</f>
        <v/>
      </c>
      <c r="AA656" t="str">
        <f>""</f>
        <v/>
      </c>
      <c r="AB656" t="str">
        <f>""</f>
        <v/>
      </c>
      <c r="AC656" t="str">
        <f>""</f>
        <v/>
      </c>
      <c r="AD656" t="str">
        <f>""</f>
        <v/>
      </c>
      <c r="AE656" t="str">
        <f>""</f>
        <v/>
      </c>
      <c r="AF656" t="str">
        <f>""</f>
        <v/>
      </c>
      <c r="AG656" t="str">
        <f>""</f>
        <v/>
      </c>
      <c r="AH656" t="str">
        <f>""</f>
        <v/>
      </c>
      <c r="AI656" t="str">
        <f>""</f>
        <v/>
      </c>
      <c r="AJ656" t="str">
        <f>""</f>
        <v/>
      </c>
      <c r="AK656" t="str">
        <f>""</f>
        <v/>
      </c>
      <c r="AL656" t="str">
        <f>""</f>
        <v/>
      </c>
      <c r="AM656" t="str">
        <f>""</f>
        <v/>
      </c>
      <c r="AN656" t="str">
        <f>""</f>
        <v/>
      </c>
      <c r="AO656" t="str">
        <f>""</f>
        <v/>
      </c>
      <c r="AP656" t="str">
        <f>""</f>
        <v/>
      </c>
      <c r="AQ656" t="str">
        <f>""</f>
        <v/>
      </c>
      <c r="AR656" t="str">
        <f>""</f>
        <v/>
      </c>
      <c r="AS656" t="str">
        <f>""</f>
        <v/>
      </c>
      <c r="AT656" t="str">
        <f>""</f>
        <v/>
      </c>
      <c r="AU656" t="str">
        <f>""</f>
        <v/>
      </c>
      <c r="AV656" t="str">
        <f>""</f>
        <v/>
      </c>
      <c r="AW656" t="str">
        <f>""</f>
        <v/>
      </c>
      <c r="AX656" t="str">
        <f>""</f>
        <v/>
      </c>
      <c r="AY656" t="str">
        <f>""</f>
        <v/>
      </c>
      <c r="AZ656" t="str">
        <f>""</f>
        <v/>
      </c>
      <c r="BA656" t="str">
        <f>""</f>
        <v/>
      </c>
      <c r="BB656" t="str">
        <f>"11/07/2023 02:19:56"</f>
        <v>11/07/2023 02:19:56</v>
      </c>
      <c r="BC656" t="str">
        <f>""</f>
        <v/>
      </c>
      <c r="BD656" t="str">
        <f>""</f>
        <v/>
      </c>
      <c r="BE656" t="str">
        <f>""</f>
        <v/>
      </c>
      <c r="BF656" t="str">
        <f t="shared" si="328"/>
        <v>A</v>
      </c>
      <c r="BG656" t="str">
        <f>""</f>
        <v/>
      </c>
      <c r="BH656" t="str">
        <f>""</f>
        <v/>
      </c>
      <c r="BI656" t="str">
        <f t="shared" si="307"/>
        <v>EVENTUAL</v>
      </c>
      <c r="BJ656" t="str">
        <f t="shared" si="329"/>
        <v>1</v>
      </c>
      <c r="BK656" t="str">
        <f t="shared" si="330"/>
        <v>Farmacia</v>
      </c>
      <c r="BL656" t="str">
        <f>""</f>
        <v/>
      </c>
      <c r="BM656" t="str">
        <f>""</f>
        <v/>
      </c>
      <c r="BN656" t="str">
        <f>""</f>
        <v/>
      </c>
      <c r="BO656" t="str">
        <f>""</f>
        <v/>
      </c>
      <c r="BP656" t="str">
        <f>""</f>
        <v/>
      </c>
      <c r="BQ656" t="str">
        <f>""</f>
        <v/>
      </c>
      <c r="BR656" t="str">
        <f>"11/07/2023"</f>
        <v>11/07/2023</v>
      </c>
      <c r="BS656" t="str">
        <f>""</f>
        <v/>
      </c>
      <c r="BT656" t="str">
        <f>""</f>
        <v/>
      </c>
      <c r="BU656" t="str">
        <f>""</f>
        <v/>
      </c>
      <c r="BV656" t="str">
        <f>""</f>
        <v/>
      </c>
      <c r="BW656" t="str">
        <f>"Não visitado"</f>
        <v>Não visitado</v>
      </c>
    </row>
    <row r="657" spans="1:75" x14ac:dyDescent="0.35">
      <c r="A657">
        <v>152758</v>
      </c>
      <c r="B657" t="str">
        <f t="shared" si="325"/>
        <v>A</v>
      </c>
      <c r="C657" t="str">
        <f t="shared" si="326"/>
        <v>80</v>
      </c>
      <c r="D657" t="str">
        <f t="shared" si="316"/>
        <v>11121002</v>
      </c>
      <c r="E657" t="str">
        <f t="shared" si="317"/>
        <v>121002</v>
      </c>
      <c r="F657" t="str">
        <f t="shared" si="318"/>
        <v>CINTHIA NORONHA</v>
      </c>
      <c r="G657" t="str">
        <f>"42948131000145"</f>
        <v>42948131000145</v>
      </c>
      <c r="H657" t="str">
        <f>"0"</f>
        <v>0</v>
      </c>
      <c r="I657" t="str">
        <f t="shared" si="327"/>
        <v>CONTA OPTICA</v>
      </c>
      <c r="J657" t="str">
        <f>"ELAINE CRISTINA DA SILVA MARTINS"</f>
        <v>ELAINE CRISTINA DA SILVA MARTINS</v>
      </c>
      <c r="K657" t="str">
        <f>"OTICAHDEMAIS"</f>
        <v>OTICAHDEMAIS</v>
      </c>
      <c r="L657" t="str">
        <f>""</f>
        <v/>
      </c>
      <c r="M657" t="str">
        <f>""</f>
        <v/>
      </c>
      <c r="N657" t="str">
        <f>"oticademais.saojose@gmail.com"</f>
        <v>oticademais.saojose@gmail.com</v>
      </c>
      <c r="O657" t="str">
        <f>""</f>
        <v/>
      </c>
      <c r="P657" t="str">
        <f>"RUA MANOEL SEBASTIAO DE SOUZA"</f>
        <v>RUA MANOEL SEBASTIAO DE SOUZA</v>
      </c>
      <c r="Q657" t="str">
        <f>"16"</f>
        <v>16</v>
      </c>
      <c r="R657" t="str">
        <f>"SALA 02"</f>
        <v>SALA 02</v>
      </c>
      <c r="S657" t="str">
        <f>""</f>
        <v/>
      </c>
      <c r="T657" t="str">
        <f>"88106602"</f>
        <v>88106602</v>
      </c>
      <c r="U657" t="str">
        <f>"FORQUILHINHA"</f>
        <v>FORQUILHINHA</v>
      </c>
      <c r="V657" t="str">
        <f>"SAO JOSE"</f>
        <v>SAO JOSE</v>
      </c>
      <c r="W657" t="str">
        <f t="shared" si="319"/>
        <v>SC</v>
      </c>
      <c r="X657" t="str">
        <f>""</f>
        <v/>
      </c>
      <c r="Y657" t="str">
        <f>""</f>
        <v/>
      </c>
      <c r="Z657" t="str">
        <f>""</f>
        <v/>
      </c>
      <c r="AA657" t="str">
        <f>""</f>
        <v/>
      </c>
      <c r="AB657" t="str">
        <f>""</f>
        <v/>
      </c>
      <c r="AC657" t="str">
        <f>""</f>
        <v/>
      </c>
      <c r="AD657" t="str">
        <f>""</f>
        <v/>
      </c>
      <c r="AE657" t="str">
        <f>""</f>
        <v/>
      </c>
      <c r="AF657" t="str">
        <f>""</f>
        <v/>
      </c>
      <c r="AG657" t="str">
        <f>""</f>
        <v/>
      </c>
      <c r="AH657" t="str">
        <f>""</f>
        <v/>
      </c>
      <c r="AI657" t="str">
        <f>""</f>
        <v/>
      </c>
      <c r="AJ657" t="str">
        <f>""</f>
        <v/>
      </c>
      <c r="AK657" t="str">
        <f>""</f>
        <v/>
      </c>
      <c r="AL657" t="str">
        <f>""</f>
        <v/>
      </c>
      <c r="AM657" t="str">
        <f>""</f>
        <v/>
      </c>
      <c r="AN657" t="str">
        <f>""</f>
        <v/>
      </c>
      <c r="AO657" t="str">
        <f>""</f>
        <v/>
      </c>
      <c r="AP657" t="str">
        <f>""</f>
        <v/>
      </c>
      <c r="AQ657" t="str">
        <f>""</f>
        <v/>
      </c>
      <c r="AR657" t="str">
        <f>""</f>
        <v/>
      </c>
      <c r="AS657" t="str">
        <f>""</f>
        <v/>
      </c>
      <c r="AT657" t="str">
        <f>""</f>
        <v/>
      </c>
      <c r="AU657" t="str">
        <f>""</f>
        <v/>
      </c>
      <c r="AV657" t="str">
        <f>""</f>
        <v/>
      </c>
      <c r="AW657" t="str">
        <f>""</f>
        <v/>
      </c>
      <c r="AX657" t="str">
        <f>""</f>
        <v/>
      </c>
      <c r="AY657" t="str">
        <f>""</f>
        <v/>
      </c>
      <c r="AZ657" t="str">
        <f>""</f>
        <v/>
      </c>
      <c r="BA657" t="str">
        <f>""</f>
        <v/>
      </c>
      <c r="BB657" t="str">
        <f>"03/04/2023 13:34:29"</f>
        <v>03/04/2023 13:34:29</v>
      </c>
      <c r="BC657" t="str">
        <f>""</f>
        <v/>
      </c>
      <c r="BD657" t="str">
        <f>""</f>
        <v/>
      </c>
      <c r="BE657" t="str">
        <f>""</f>
        <v/>
      </c>
      <c r="BF657" t="str">
        <f t="shared" si="328"/>
        <v>A</v>
      </c>
      <c r="BG657" t="str">
        <f>""</f>
        <v/>
      </c>
      <c r="BH657" t="str">
        <f>""</f>
        <v/>
      </c>
      <c r="BI657" t="str">
        <f t="shared" si="307"/>
        <v>EVENTUAL</v>
      </c>
      <c r="BJ657" t="str">
        <f t="shared" si="329"/>
        <v>1</v>
      </c>
      <c r="BK657" t="str">
        <f t="shared" si="330"/>
        <v>Farmacia</v>
      </c>
      <c r="BL657" t="str">
        <f>""</f>
        <v/>
      </c>
      <c r="BM657" t="str">
        <f>""</f>
        <v/>
      </c>
      <c r="BN657" t="str">
        <f>""</f>
        <v/>
      </c>
      <c r="BO657" t="str">
        <f>""</f>
        <v/>
      </c>
      <c r="BP657" t="str">
        <f>""</f>
        <v/>
      </c>
      <c r="BQ657" t="str">
        <f>""</f>
        <v/>
      </c>
      <c r="BR657" t="str">
        <f>"03/04/2023"</f>
        <v>03/04/2023</v>
      </c>
      <c r="BS657" t="str">
        <f>""</f>
        <v/>
      </c>
      <c r="BT657" t="str">
        <f>""</f>
        <v/>
      </c>
      <c r="BU657" t="str">
        <f>""</f>
        <v/>
      </c>
      <c r="BV657" t="str">
        <f>""</f>
        <v/>
      </c>
      <c r="BW657" t="str">
        <f>"Não visitado"</f>
        <v>Não visitado</v>
      </c>
    </row>
    <row r="658" spans="1:75" x14ac:dyDescent="0.35">
      <c r="A658">
        <v>127718</v>
      </c>
      <c r="B658" t="str">
        <f t="shared" si="325"/>
        <v>A</v>
      </c>
      <c r="C658" t="str">
        <f t="shared" si="326"/>
        <v>80</v>
      </c>
      <c r="D658" t="str">
        <f t="shared" si="316"/>
        <v>11121002</v>
      </c>
      <c r="E658" t="str">
        <f t="shared" si="317"/>
        <v>121002</v>
      </c>
      <c r="F658" t="str">
        <f t="shared" si="318"/>
        <v>CINTHIA NORONHA</v>
      </c>
      <c r="G658" t="str">
        <f>"03546338000131"</f>
        <v>03546338000131</v>
      </c>
      <c r="H658" t="str">
        <f>"0"</f>
        <v>0</v>
      </c>
      <c r="I658" t="str">
        <f t="shared" si="327"/>
        <v>CONTA OPTICA</v>
      </c>
      <c r="J658" t="str">
        <f>"ELIANA D AVILA DA SILVA &amp; CIA LTDA ME"</f>
        <v>ELIANA D AVILA DA SILVA &amp; CIA LTDA ME</v>
      </c>
      <c r="K658" t="str">
        <f>"CASA DOS OCULOS (643)"</f>
        <v>CASA DOS OCULOS (643)</v>
      </c>
      <c r="L658" t="str">
        <f>""</f>
        <v/>
      </c>
      <c r="M658" t="str">
        <f>""</f>
        <v/>
      </c>
      <c r="N658" t="str">
        <f>""</f>
        <v/>
      </c>
      <c r="O658" t="str">
        <f>""</f>
        <v/>
      </c>
      <c r="P658" t="str">
        <f>"AVENIDA BEIRA MAR"</f>
        <v>AVENIDA BEIRA MAR</v>
      </c>
      <c r="Q658" t="str">
        <f>"970"</f>
        <v>970</v>
      </c>
      <c r="R658" t="str">
        <f>""</f>
        <v/>
      </c>
      <c r="S658" t="str">
        <f>"1270"</f>
        <v>1270</v>
      </c>
      <c r="T658" t="str">
        <f>"88955000"</f>
        <v>88955000</v>
      </c>
      <c r="U658" t="str">
        <f>"JARDIM ULTRAMAR"</f>
        <v>JARDIM ULTRAMAR</v>
      </c>
      <c r="V658" t="str">
        <f>"BALNEARIO GAIVOTA"</f>
        <v>BALNEARIO GAIVOTA</v>
      </c>
      <c r="W658" t="str">
        <f t="shared" si="319"/>
        <v>SC</v>
      </c>
      <c r="X658" t="str">
        <f t="shared" ref="X658:X673" si="336">"48"</f>
        <v>48</v>
      </c>
      <c r="Y658" t="str">
        <f>"35830027"</f>
        <v>35830027</v>
      </c>
      <c r="Z658" t="str">
        <f>""</f>
        <v/>
      </c>
      <c r="AA658" t="str">
        <f>""</f>
        <v/>
      </c>
      <c r="AB658" t="str">
        <f>""</f>
        <v/>
      </c>
      <c r="AC658" t="str">
        <f>""</f>
        <v/>
      </c>
      <c r="AD658" t="str">
        <f>""</f>
        <v/>
      </c>
      <c r="AE658" t="str">
        <f>""</f>
        <v/>
      </c>
      <c r="AF658" t="str">
        <f>""</f>
        <v/>
      </c>
      <c r="AG658" t="str">
        <f>""</f>
        <v/>
      </c>
      <c r="AH658" t="str">
        <f>""</f>
        <v/>
      </c>
      <c r="AI658" t="str">
        <f>""</f>
        <v/>
      </c>
      <c r="AJ658" t="str">
        <f>""</f>
        <v/>
      </c>
      <c r="AK658" t="str">
        <f>""</f>
        <v/>
      </c>
      <c r="AL658" t="str">
        <f>""</f>
        <v/>
      </c>
      <c r="AM658" t="str">
        <f>""</f>
        <v/>
      </c>
      <c r="AN658" t="str">
        <f>""</f>
        <v/>
      </c>
      <c r="AO658" t="str">
        <f>""</f>
        <v/>
      </c>
      <c r="AP658" t="str">
        <f>""</f>
        <v/>
      </c>
      <c r="AQ658" t="str">
        <f>""</f>
        <v/>
      </c>
      <c r="AR658" t="str">
        <f>""</f>
        <v/>
      </c>
      <c r="AS658" t="str">
        <f>""</f>
        <v/>
      </c>
      <c r="AT658" t="str">
        <f>""</f>
        <v/>
      </c>
      <c r="AU658" t="str">
        <f>""</f>
        <v/>
      </c>
      <c r="AV658" t="str">
        <f>""</f>
        <v/>
      </c>
      <c r="AW658" t="str">
        <f>""</f>
        <v/>
      </c>
      <c r="AX658" t="str">
        <f>""</f>
        <v/>
      </c>
      <c r="AY658" t="str">
        <f>""</f>
        <v/>
      </c>
      <c r="AZ658" t="str">
        <f>""</f>
        <v/>
      </c>
      <c r="BA658" t="str">
        <f>""</f>
        <v/>
      </c>
      <c r="BB658" t="str">
        <f>"07/10/2020 09:08:38"</f>
        <v>07/10/2020 09:08:38</v>
      </c>
      <c r="BC658" t="str">
        <f>""</f>
        <v/>
      </c>
      <c r="BD658" t="str">
        <f>""</f>
        <v/>
      </c>
      <c r="BE658" t="str">
        <f>""</f>
        <v/>
      </c>
      <c r="BF658" t="str">
        <f t="shared" si="328"/>
        <v>A</v>
      </c>
      <c r="BG658" t="str">
        <f>""</f>
        <v/>
      </c>
      <c r="BH658" t="str">
        <f>""</f>
        <v/>
      </c>
      <c r="BI658" t="str">
        <f t="shared" si="307"/>
        <v>EVENTUAL</v>
      </c>
      <c r="BJ658" t="str">
        <f t="shared" si="329"/>
        <v>1</v>
      </c>
      <c r="BK658" t="str">
        <f t="shared" si="330"/>
        <v>Farmacia</v>
      </c>
      <c r="BL658" t="str">
        <f>""</f>
        <v/>
      </c>
      <c r="BM658" t="str">
        <f t="shared" ref="BM658:BM663" si="337">"NÃO É VARILUX ESPECIALISTA"</f>
        <v>NÃO É VARILUX ESPECIALISTA</v>
      </c>
      <c r="BN658" t="str">
        <f t="shared" ref="BN658:BN663" si="338">"NA"</f>
        <v>NA</v>
      </c>
      <c r="BO658" t="str">
        <f>"OUTROS"</f>
        <v>OUTROS</v>
      </c>
      <c r="BP658" t="str">
        <f>""</f>
        <v/>
      </c>
      <c r="BQ658" t="str">
        <f>""</f>
        <v/>
      </c>
      <c r="BR658" t="str">
        <f>"07/10/2020"</f>
        <v>07/10/2020</v>
      </c>
      <c r="BS658" t="str">
        <f>""</f>
        <v/>
      </c>
      <c r="BT658" t="str">
        <f>""</f>
        <v/>
      </c>
      <c r="BU658" t="str">
        <f>""</f>
        <v/>
      </c>
      <c r="BV658" t="str">
        <f t="shared" ref="BV658:BV663" si="339">"9"</f>
        <v>9</v>
      </c>
      <c r="BW658" t="str">
        <f>"Não visitado"</f>
        <v>Não visitado</v>
      </c>
    </row>
    <row r="659" spans="1:75" x14ac:dyDescent="0.35">
      <c r="A659">
        <v>118681</v>
      </c>
      <c r="B659" t="str">
        <f t="shared" si="325"/>
        <v>A</v>
      </c>
      <c r="C659" t="str">
        <f t="shared" si="326"/>
        <v>80</v>
      </c>
      <c r="D659" t="str">
        <f t="shared" si="316"/>
        <v>11121002</v>
      </c>
      <c r="E659" t="str">
        <f t="shared" si="317"/>
        <v>121002</v>
      </c>
      <c r="F659" t="str">
        <f t="shared" si="318"/>
        <v>CINTHIA NORONHA</v>
      </c>
      <c r="G659" t="str">
        <f>"03546338000212"</f>
        <v>03546338000212</v>
      </c>
      <c r="H659" t="str">
        <f>""</f>
        <v/>
      </c>
      <c r="I659" t="str">
        <f t="shared" si="327"/>
        <v>CONTA OPTICA</v>
      </c>
      <c r="J659" t="str">
        <f>"ELIANA D AVILA DA SILVA E CIA LTDA"</f>
        <v>ELIANA D AVILA DA SILVA E CIA LTDA</v>
      </c>
      <c r="K659" t="str">
        <f>"CASA DOS OCULOS (1934)"</f>
        <v>CASA DOS OCULOS (1934)</v>
      </c>
      <c r="L659" t="str">
        <f>""</f>
        <v/>
      </c>
      <c r="M659" t="str">
        <f>""</f>
        <v/>
      </c>
      <c r="N659" t="str">
        <f>"casadosoculos_otica@hotmail.com"</f>
        <v>casadosoculos_otica@hotmail.com</v>
      </c>
      <c r="O659" t="str">
        <f>""</f>
        <v/>
      </c>
      <c r="P659" t="str">
        <f>"RUA PADRE JOAO REITZ"</f>
        <v>RUA PADRE JOAO REITZ</v>
      </c>
      <c r="Q659" t="str">
        <f>"401"</f>
        <v>401</v>
      </c>
      <c r="R659" t="str">
        <f>"SALA 01"</f>
        <v>SALA 01</v>
      </c>
      <c r="S659" t="str">
        <f>"1270"</f>
        <v>1270</v>
      </c>
      <c r="T659" t="str">
        <f>"88960000"</f>
        <v>88960000</v>
      </c>
      <c r="U659" t="str">
        <f>"CENTRO"</f>
        <v>CENTRO</v>
      </c>
      <c r="V659" t="str">
        <f>"SOMBRIO"</f>
        <v>SOMBRIO</v>
      </c>
      <c r="W659" t="str">
        <f t="shared" si="319"/>
        <v>SC</v>
      </c>
      <c r="X659" t="str">
        <f t="shared" si="336"/>
        <v>48</v>
      </c>
      <c r="Y659" t="str">
        <f>"35333958"</f>
        <v>35333958</v>
      </c>
      <c r="Z659" t="str">
        <f>""</f>
        <v/>
      </c>
      <c r="AA659" t="str">
        <f>""</f>
        <v/>
      </c>
      <c r="AB659" t="str">
        <f>""</f>
        <v/>
      </c>
      <c r="AC659" t="str">
        <f>""</f>
        <v/>
      </c>
      <c r="AD659" t="str">
        <f>""</f>
        <v/>
      </c>
      <c r="AE659" t="str">
        <f>""</f>
        <v/>
      </c>
      <c r="AF659" t="str">
        <f>""</f>
        <v/>
      </c>
      <c r="AG659" t="str">
        <f>""</f>
        <v/>
      </c>
      <c r="AH659" t="str">
        <f>""</f>
        <v/>
      </c>
      <c r="AI659" t="str">
        <f>""</f>
        <v/>
      </c>
      <c r="AJ659" t="str">
        <f t="shared" ref="AJ659:AL660" si="340">"0"</f>
        <v>0</v>
      </c>
      <c r="AK659" t="str">
        <f t="shared" si="340"/>
        <v>0</v>
      </c>
      <c r="AL659" t="str">
        <f t="shared" si="340"/>
        <v>0</v>
      </c>
      <c r="AM659" t="str">
        <f>""</f>
        <v/>
      </c>
      <c r="AN659" t="str">
        <f>""</f>
        <v/>
      </c>
      <c r="AO659" t="str">
        <f>""</f>
        <v/>
      </c>
      <c r="AP659" t="str">
        <f>""</f>
        <v/>
      </c>
      <c r="AQ659" t="str">
        <f>""</f>
        <v/>
      </c>
      <c r="AR659" t="str">
        <f>""</f>
        <v/>
      </c>
      <c r="AS659" t="str">
        <f>""</f>
        <v/>
      </c>
      <c r="AT659" t="str">
        <f>""</f>
        <v/>
      </c>
      <c r="AU659" t="str">
        <f>""</f>
        <v/>
      </c>
      <c r="AV659" t="str">
        <f>""</f>
        <v/>
      </c>
      <c r="AW659" t="str">
        <f>""</f>
        <v/>
      </c>
      <c r="AX659" t="str">
        <f>""</f>
        <v/>
      </c>
      <c r="AY659" t="str">
        <f>""</f>
        <v/>
      </c>
      <c r="AZ659" t="str">
        <f>""</f>
        <v/>
      </c>
      <c r="BA659" t="str">
        <f>""</f>
        <v/>
      </c>
      <c r="BB659" t="str">
        <f>""</f>
        <v/>
      </c>
      <c r="BC659" t="str">
        <f>""</f>
        <v/>
      </c>
      <c r="BD659" t="str">
        <f>""</f>
        <v/>
      </c>
      <c r="BE659" t="str">
        <f>""</f>
        <v/>
      </c>
      <c r="BF659" t="str">
        <f t="shared" si="328"/>
        <v>A</v>
      </c>
      <c r="BG659" t="str">
        <f>"0,00"</f>
        <v>0,00</v>
      </c>
      <c r="BH659" t="str">
        <f>"0,00"</f>
        <v>0,00</v>
      </c>
      <c r="BI659" t="str">
        <f t="shared" si="307"/>
        <v>EVENTUAL</v>
      </c>
      <c r="BJ659" t="str">
        <f t="shared" si="329"/>
        <v>1</v>
      </c>
      <c r="BK659" t="str">
        <f t="shared" si="330"/>
        <v>Farmacia</v>
      </c>
      <c r="BL659" t="str">
        <f>""</f>
        <v/>
      </c>
      <c r="BM659" t="str">
        <f t="shared" si="337"/>
        <v>NÃO É VARILUX ESPECIALISTA</v>
      </c>
      <c r="BN659" t="str">
        <f t="shared" si="338"/>
        <v>NA</v>
      </c>
      <c r="BO659" t="str">
        <f>"FOCO VARILUX"</f>
        <v>FOCO VARILUX</v>
      </c>
      <c r="BP659" t="str">
        <f>""</f>
        <v/>
      </c>
      <c r="BQ659" t="str">
        <f>""</f>
        <v/>
      </c>
      <c r="BR659" t="str">
        <f>""</f>
        <v/>
      </c>
      <c r="BS659" t="str">
        <f>""</f>
        <v/>
      </c>
      <c r="BT659" t="str">
        <f>""</f>
        <v/>
      </c>
      <c r="BU659" t="str">
        <f>""</f>
        <v/>
      </c>
      <c r="BV659" t="str">
        <f t="shared" si="339"/>
        <v>9</v>
      </c>
      <c r="BW659" t="str">
        <f>"39"</f>
        <v>39</v>
      </c>
    </row>
    <row r="660" spans="1:75" x14ac:dyDescent="0.35">
      <c r="A660">
        <v>134308</v>
      </c>
      <c r="B660" t="str">
        <f t="shared" si="325"/>
        <v>A</v>
      </c>
      <c r="C660" t="str">
        <f t="shared" si="326"/>
        <v>80</v>
      </c>
      <c r="D660" t="str">
        <f t="shared" si="316"/>
        <v>11121002</v>
      </c>
      <c r="E660" t="str">
        <f t="shared" si="317"/>
        <v>121002</v>
      </c>
      <c r="F660" t="str">
        <f t="shared" si="318"/>
        <v>CINTHIA NORONHA</v>
      </c>
      <c r="G660" t="str">
        <f>"26719397000160"</f>
        <v>26719397000160</v>
      </c>
      <c r="H660" t="str">
        <f>""</f>
        <v/>
      </c>
      <c r="I660" t="str">
        <f t="shared" si="327"/>
        <v>CONTA OPTICA</v>
      </c>
      <c r="J660" t="str">
        <f>"ELIANA INACIO PEREIRA"</f>
        <v>ELIANA INACIO PEREIRA</v>
      </c>
      <c r="K660" t="str">
        <f>"MARROM MIX (3928)"</f>
        <v>MARROM MIX (3928)</v>
      </c>
      <c r="L660" t="str">
        <f>""</f>
        <v/>
      </c>
      <c r="M660" t="str">
        <f>""</f>
        <v/>
      </c>
      <c r="N660" t="str">
        <f>"marrommixconsertos@gmail.com"</f>
        <v>marrommixconsertos@gmail.com</v>
      </c>
      <c r="O660" t="str">
        <f>""</f>
        <v/>
      </c>
      <c r="P660" t="str">
        <f>"RUA LISBOA"</f>
        <v>RUA LISBOA</v>
      </c>
      <c r="Q660" t="str">
        <f>"468"</f>
        <v>468</v>
      </c>
      <c r="R660" t="str">
        <f>"QDR 14-LOTE 03"</f>
        <v>QDR 14-LOTE 03</v>
      </c>
      <c r="S660" t="str">
        <f>"1259"</f>
        <v>1259</v>
      </c>
      <c r="T660" t="str">
        <f>"88107350"</f>
        <v>88107350</v>
      </c>
      <c r="U660" t="str">
        <f>"FORQUILHAS"</f>
        <v>FORQUILHAS</v>
      </c>
      <c r="V660" t="str">
        <f>"SÃO JOSÉ"</f>
        <v>SÃO JOSÉ</v>
      </c>
      <c r="W660" t="str">
        <f t="shared" si="319"/>
        <v>SC</v>
      </c>
      <c r="X660" t="str">
        <f t="shared" si="336"/>
        <v>48</v>
      </c>
      <c r="Y660" t="str">
        <f>"33729519"</f>
        <v>33729519</v>
      </c>
      <c r="Z660" t="str">
        <f>""</f>
        <v/>
      </c>
      <c r="AA660" t="str">
        <f>""</f>
        <v/>
      </c>
      <c r="AB660" t="str">
        <f>""</f>
        <v/>
      </c>
      <c r="AC660" t="str">
        <f>""</f>
        <v/>
      </c>
      <c r="AD660" t="str">
        <f>""</f>
        <v/>
      </c>
      <c r="AE660" t="str">
        <f>""</f>
        <v/>
      </c>
      <c r="AF660" t="str">
        <f>""</f>
        <v/>
      </c>
      <c r="AG660" t="str">
        <f>"S"</f>
        <v>S</v>
      </c>
      <c r="AH660" t="str">
        <f>""</f>
        <v/>
      </c>
      <c r="AI660" t="str">
        <f>""</f>
        <v/>
      </c>
      <c r="AJ660" t="str">
        <f t="shared" si="340"/>
        <v>0</v>
      </c>
      <c r="AK660" t="str">
        <f t="shared" si="340"/>
        <v>0</v>
      </c>
      <c r="AL660" t="str">
        <f t="shared" si="340"/>
        <v>0</v>
      </c>
      <c r="AM660" t="str">
        <f>""</f>
        <v/>
      </c>
      <c r="AN660" t="str">
        <f>""</f>
        <v/>
      </c>
      <c r="AO660" t="str">
        <f>""</f>
        <v/>
      </c>
      <c r="AP660" t="str">
        <f>""</f>
        <v/>
      </c>
      <c r="AQ660" t="str">
        <f>"N"</f>
        <v>N</v>
      </c>
      <c r="AR660" t="str">
        <f>"N"</f>
        <v>N</v>
      </c>
      <c r="AS660" t="str">
        <f>"N"</f>
        <v>N</v>
      </c>
      <c r="AT660" t="str">
        <f>"N"</f>
        <v>N</v>
      </c>
      <c r="AU660" t="str">
        <f>"N"</f>
        <v>N</v>
      </c>
      <c r="AV660" t="str">
        <f>""</f>
        <v/>
      </c>
      <c r="AW660" t="str">
        <f>""</f>
        <v/>
      </c>
      <c r="AX660" t="str">
        <f>""</f>
        <v/>
      </c>
      <c r="AY660" t="str">
        <f>""</f>
        <v/>
      </c>
      <c r="AZ660" t="str">
        <f>""</f>
        <v/>
      </c>
      <c r="BA660" t="str">
        <f>""</f>
        <v/>
      </c>
      <c r="BB660" t="str">
        <f>""</f>
        <v/>
      </c>
      <c r="BC660" t="str">
        <f>"07/07/2023 10:07:28"</f>
        <v>07/07/2023 10:07:28</v>
      </c>
      <c r="BD660" t="str">
        <f>""</f>
        <v/>
      </c>
      <c r="BE660" t="str">
        <f>""</f>
        <v/>
      </c>
      <c r="BF660" t="str">
        <f t="shared" si="328"/>
        <v>A</v>
      </c>
      <c r="BG660" t="str">
        <f>"0,00"</f>
        <v>0,00</v>
      </c>
      <c r="BH660" t="str">
        <f>"0,00"</f>
        <v>0,00</v>
      </c>
      <c r="BI660" t="str">
        <f t="shared" si="307"/>
        <v>EVENTUAL</v>
      </c>
      <c r="BJ660" t="str">
        <f t="shared" si="329"/>
        <v>1</v>
      </c>
      <c r="BK660" t="str">
        <f t="shared" si="330"/>
        <v>Farmacia</v>
      </c>
      <c r="BL660" t="str">
        <f>""</f>
        <v/>
      </c>
      <c r="BM660" t="str">
        <f t="shared" si="337"/>
        <v>NÃO É VARILUX ESPECIALISTA</v>
      </c>
      <c r="BN660" t="str">
        <f t="shared" si="338"/>
        <v>NA</v>
      </c>
      <c r="BO660" t="str">
        <f>"OUTROS"</f>
        <v>OUTROS</v>
      </c>
      <c r="BP660" t="str">
        <f>""</f>
        <v/>
      </c>
      <c r="BQ660" t="str">
        <f>""</f>
        <v/>
      </c>
      <c r="BR660" t="str">
        <f>""</f>
        <v/>
      </c>
      <c r="BS660" t="str">
        <f>"07/07/2023"</f>
        <v>07/07/2023</v>
      </c>
      <c r="BT660" t="str">
        <f>""</f>
        <v/>
      </c>
      <c r="BU660" t="str">
        <f>""</f>
        <v/>
      </c>
      <c r="BV660" t="str">
        <f t="shared" si="339"/>
        <v>9</v>
      </c>
      <c r="BW660" t="str">
        <f>"140"</f>
        <v>140</v>
      </c>
    </row>
    <row r="661" spans="1:75" x14ac:dyDescent="0.35">
      <c r="A661">
        <v>120547</v>
      </c>
      <c r="B661" t="str">
        <f t="shared" si="325"/>
        <v>A</v>
      </c>
      <c r="C661" t="str">
        <f t="shared" si="326"/>
        <v>80</v>
      </c>
      <c r="D661" t="str">
        <f t="shared" si="316"/>
        <v>11121002</v>
      </c>
      <c r="E661" t="str">
        <f t="shared" si="317"/>
        <v>121002</v>
      </c>
      <c r="F661" t="str">
        <f t="shared" si="318"/>
        <v>CINTHIA NORONHA</v>
      </c>
      <c r="G661" t="str">
        <f>"07357581000162"</f>
        <v>07357581000162</v>
      </c>
      <c r="H661" t="str">
        <f>"0"</f>
        <v>0</v>
      </c>
      <c r="I661" t="str">
        <f t="shared" si="327"/>
        <v>CONTA OPTICA</v>
      </c>
      <c r="J661" t="str">
        <f>"ELIANE JUREMA DA SILVA LEANDRO ME"</f>
        <v>ELIANE JUREMA DA SILVA LEANDRO ME</v>
      </c>
      <c r="K661" t="str">
        <f>"OTICA NOVA VIDA (696)"</f>
        <v>OTICA NOVA VIDA (696)</v>
      </c>
      <c r="L661" t="str">
        <f>""</f>
        <v/>
      </c>
      <c r="M661" t="str">
        <f>""</f>
        <v/>
      </c>
      <c r="N661" t="str">
        <f>"juliano_ph@hotmail.com"</f>
        <v>juliano_ph@hotmail.com</v>
      </c>
      <c r="O661" t="str">
        <f>""</f>
        <v/>
      </c>
      <c r="P661" t="str">
        <f>"AVENIDA PREFEITO NELSON MARTINS"</f>
        <v>AVENIDA PREFEITO NELSON MARTINS</v>
      </c>
      <c r="Q661" t="str">
        <f>"50"</f>
        <v>50</v>
      </c>
      <c r="R661" t="str">
        <f>"SALA 02"</f>
        <v>SALA 02</v>
      </c>
      <c r="S661" t="str">
        <f>"1259"</f>
        <v>1259</v>
      </c>
      <c r="T661" t="str">
        <f>"88130300"</f>
        <v>88130300</v>
      </c>
      <c r="U661" t="str">
        <f>"CENTRO"</f>
        <v>CENTRO</v>
      </c>
      <c r="V661" t="str">
        <f>"PALHOCA"</f>
        <v>PALHOCA</v>
      </c>
      <c r="W661" t="str">
        <f t="shared" si="319"/>
        <v>SC</v>
      </c>
      <c r="X661" t="str">
        <f t="shared" si="336"/>
        <v>48</v>
      </c>
      <c r="Y661" t="str">
        <f>"30332411"</f>
        <v>30332411</v>
      </c>
      <c r="Z661" t="str">
        <f>""</f>
        <v/>
      </c>
      <c r="AA661" t="str">
        <f>""</f>
        <v/>
      </c>
      <c r="AB661" t="str">
        <f>""</f>
        <v/>
      </c>
      <c r="AC661" t="str">
        <f>""</f>
        <v/>
      </c>
      <c r="AD661" t="str">
        <f>""</f>
        <v/>
      </c>
      <c r="AE661" t="str">
        <f>""</f>
        <v/>
      </c>
      <c r="AF661" t="str">
        <f>""</f>
        <v/>
      </c>
      <c r="AG661" t="str">
        <f>""</f>
        <v/>
      </c>
      <c r="AH661" t="str">
        <f>""</f>
        <v/>
      </c>
      <c r="AI661" t="str">
        <f>""</f>
        <v/>
      </c>
      <c r="AJ661" t="str">
        <f>""</f>
        <v/>
      </c>
      <c r="AK661" t="str">
        <f>""</f>
        <v/>
      </c>
      <c r="AL661" t="str">
        <f>""</f>
        <v/>
      </c>
      <c r="AM661" t="str">
        <f>""</f>
        <v/>
      </c>
      <c r="AN661" t="str">
        <f>""</f>
        <v/>
      </c>
      <c r="AO661" t="str">
        <f>""</f>
        <v/>
      </c>
      <c r="AP661" t="str">
        <f>""</f>
        <v/>
      </c>
      <c r="AQ661" t="str">
        <f>""</f>
        <v/>
      </c>
      <c r="AR661" t="str">
        <f>""</f>
        <v/>
      </c>
      <c r="AS661" t="str">
        <f>""</f>
        <v/>
      </c>
      <c r="AT661" t="str">
        <f>""</f>
        <v/>
      </c>
      <c r="AU661" t="str">
        <f>""</f>
        <v/>
      </c>
      <c r="AV661" t="str">
        <f>""</f>
        <v/>
      </c>
      <c r="AW661" t="str">
        <f>""</f>
        <v/>
      </c>
      <c r="AX661" t="str">
        <f>""</f>
        <v/>
      </c>
      <c r="AY661" t="str">
        <f>""</f>
        <v/>
      </c>
      <c r="AZ661" t="str">
        <f>""</f>
        <v/>
      </c>
      <c r="BA661" t="str">
        <f>""</f>
        <v/>
      </c>
      <c r="BB661" t="str">
        <f>"22/09/2020 15:29:33"</f>
        <v>22/09/2020 15:29:33</v>
      </c>
      <c r="BC661" t="str">
        <f>""</f>
        <v/>
      </c>
      <c r="BD661" t="str">
        <f>""</f>
        <v/>
      </c>
      <c r="BE661" t="str">
        <f>""</f>
        <v/>
      </c>
      <c r="BF661" t="str">
        <f t="shared" si="328"/>
        <v>A</v>
      </c>
      <c r="BG661" t="str">
        <f>""</f>
        <v/>
      </c>
      <c r="BH661" t="str">
        <f>""</f>
        <v/>
      </c>
      <c r="BI661" t="str">
        <f t="shared" si="307"/>
        <v>EVENTUAL</v>
      </c>
      <c r="BJ661" t="str">
        <f t="shared" si="329"/>
        <v>1</v>
      </c>
      <c r="BK661" t="str">
        <f t="shared" si="330"/>
        <v>Farmacia</v>
      </c>
      <c r="BL661" t="str">
        <f>""</f>
        <v/>
      </c>
      <c r="BM661" t="str">
        <f t="shared" si="337"/>
        <v>NÃO É VARILUX ESPECIALISTA</v>
      </c>
      <c r="BN661" t="str">
        <f t="shared" si="338"/>
        <v>NA</v>
      </c>
      <c r="BO661" t="str">
        <f>"OUTROS"</f>
        <v>OUTROS</v>
      </c>
      <c r="BP661" t="str">
        <f>""</f>
        <v/>
      </c>
      <c r="BQ661" t="str">
        <f>""</f>
        <v/>
      </c>
      <c r="BR661" t="str">
        <f>"22/09/2020"</f>
        <v>22/09/2020</v>
      </c>
      <c r="BS661" t="str">
        <f>""</f>
        <v/>
      </c>
      <c r="BT661" t="str">
        <f>""</f>
        <v/>
      </c>
      <c r="BU661" t="str">
        <f>""</f>
        <v/>
      </c>
      <c r="BV661" t="str">
        <f t="shared" si="339"/>
        <v>9</v>
      </c>
      <c r="BW661" t="str">
        <f>"Não visitado"</f>
        <v>Não visitado</v>
      </c>
    </row>
    <row r="662" spans="1:75" x14ac:dyDescent="0.35">
      <c r="A662">
        <v>144374</v>
      </c>
      <c r="B662" t="str">
        <f t="shared" si="325"/>
        <v>A</v>
      </c>
      <c r="C662" t="str">
        <f t="shared" si="326"/>
        <v>80</v>
      </c>
      <c r="D662" t="str">
        <f t="shared" si="316"/>
        <v>11121002</v>
      </c>
      <c r="E662" t="str">
        <f t="shared" si="317"/>
        <v>121002</v>
      </c>
      <c r="F662" t="str">
        <f t="shared" si="318"/>
        <v>CINTHIA NORONHA</v>
      </c>
      <c r="G662" t="str">
        <f>"80169659000105"</f>
        <v>80169659000105</v>
      </c>
      <c r="H662" t="str">
        <f>""</f>
        <v/>
      </c>
      <c r="I662" t="str">
        <f t="shared" si="327"/>
        <v>CONTA OPTICA</v>
      </c>
      <c r="J662" t="str">
        <f>"ELIAS JOALHERIA E OTICA LTDA EPP"</f>
        <v>ELIAS JOALHERIA E OTICA LTDA EPP</v>
      </c>
      <c r="K662" t="str">
        <f>"ELIAS JOALHERIA E OTICA (65)"</f>
        <v>ELIAS JOALHERIA E OTICA (65)</v>
      </c>
      <c r="L662" t="str">
        <f>""</f>
        <v/>
      </c>
      <c r="M662" t="str">
        <f>""</f>
        <v/>
      </c>
      <c r="N662" t="str">
        <f>"oticaelias@hotmail.com"</f>
        <v>oticaelias@hotmail.com</v>
      </c>
      <c r="O662" t="str">
        <f>""</f>
        <v/>
      </c>
      <c r="P662" t="str">
        <f>"AVENIDA 25 DE JULHO"</f>
        <v>AVENIDA 25 DE JULHO</v>
      </c>
      <c r="Q662" t="str">
        <f>"2585"</f>
        <v>2585</v>
      </c>
      <c r="R662" t="str">
        <f>"SALA 03"</f>
        <v>SALA 03</v>
      </c>
      <c r="S662" t="str">
        <f>"1269"</f>
        <v>1269</v>
      </c>
      <c r="T662" t="str">
        <f>"88850000"</f>
        <v>88850000</v>
      </c>
      <c r="U662" t="str">
        <f>"CENTRO"</f>
        <v>CENTRO</v>
      </c>
      <c r="V662" t="str">
        <f>"FORQUILHINHA"</f>
        <v>FORQUILHINHA</v>
      </c>
      <c r="W662" t="str">
        <f t="shared" ref="W662:W693" si="341">"SC"</f>
        <v>SC</v>
      </c>
      <c r="X662" t="str">
        <f t="shared" si="336"/>
        <v>48</v>
      </c>
      <c r="Y662" t="str">
        <f>"34631321"</f>
        <v>34631321</v>
      </c>
      <c r="Z662" t="str">
        <f>""</f>
        <v/>
      </c>
      <c r="AA662" t="str">
        <f>""</f>
        <v/>
      </c>
      <c r="AB662" t="str">
        <f>""</f>
        <v/>
      </c>
      <c r="AC662" t="str">
        <f>""</f>
        <v/>
      </c>
      <c r="AD662" t="str">
        <f>""</f>
        <v/>
      </c>
      <c r="AE662" t="str">
        <f>""</f>
        <v/>
      </c>
      <c r="AF662" t="str">
        <f>""</f>
        <v/>
      </c>
      <c r="AG662" t="str">
        <f>""</f>
        <v/>
      </c>
      <c r="AH662" t="str">
        <f>""</f>
        <v/>
      </c>
      <c r="AI662" t="str">
        <f>""</f>
        <v/>
      </c>
      <c r="AJ662" t="str">
        <f t="shared" ref="AJ662:AL663" si="342">"0"</f>
        <v>0</v>
      </c>
      <c r="AK662" t="str">
        <f t="shared" si="342"/>
        <v>0</v>
      </c>
      <c r="AL662" t="str">
        <f t="shared" si="342"/>
        <v>0</v>
      </c>
      <c r="AM662" t="str">
        <f>""</f>
        <v/>
      </c>
      <c r="AN662" t="str">
        <f>""</f>
        <v/>
      </c>
      <c r="AO662" t="str">
        <f>""</f>
        <v/>
      </c>
      <c r="AP662" t="str">
        <f>""</f>
        <v/>
      </c>
      <c r="AQ662" t="str">
        <f>""</f>
        <v/>
      </c>
      <c r="AR662" t="str">
        <f>""</f>
        <v/>
      </c>
      <c r="AS662" t="str">
        <f>""</f>
        <v/>
      </c>
      <c r="AT662" t="str">
        <f>""</f>
        <v/>
      </c>
      <c r="AU662" t="str">
        <f>""</f>
        <v/>
      </c>
      <c r="AV662" t="str">
        <f>""</f>
        <v/>
      </c>
      <c r="AW662" t="str">
        <f>""</f>
        <v/>
      </c>
      <c r="AX662" t="str">
        <f>""</f>
        <v/>
      </c>
      <c r="AY662" t="str">
        <f>""</f>
        <v/>
      </c>
      <c r="AZ662" t="str">
        <f>""</f>
        <v/>
      </c>
      <c r="BA662" t="str">
        <f>""</f>
        <v/>
      </c>
      <c r="BB662" t="str">
        <f>""</f>
        <v/>
      </c>
      <c r="BC662" t="str">
        <f>""</f>
        <v/>
      </c>
      <c r="BD662" t="str">
        <f>""</f>
        <v/>
      </c>
      <c r="BE662" t="str">
        <f>""</f>
        <v/>
      </c>
      <c r="BF662" t="str">
        <f t="shared" si="328"/>
        <v>A</v>
      </c>
      <c r="BG662" t="str">
        <f>"0,00"</f>
        <v>0,00</v>
      </c>
      <c r="BH662" t="str">
        <f>"0,00"</f>
        <v>0,00</v>
      </c>
      <c r="BI662" t="str">
        <f t="shared" si="307"/>
        <v>EVENTUAL</v>
      </c>
      <c r="BJ662" t="str">
        <f t="shared" si="329"/>
        <v>1</v>
      </c>
      <c r="BK662" t="str">
        <f t="shared" si="330"/>
        <v>Farmacia</v>
      </c>
      <c r="BL662" t="str">
        <f>""</f>
        <v/>
      </c>
      <c r="BM662" t="str">
        <f t="shared" si="337"/>
        <v>NÃO É VARILUX ESPECIALISTA</v>
      </c>
      <c r="BN662" t="str">
        <f t="shared" si="338"/>
        <v>NA</v>
      </c>
      <c r="BO662" t="str">
        <f>"FOCO VARILUX"</f>
        <v>FOCO VARILUX</v>
      </c>
      <c r="BP662" t="str">
        <f>""</f>
        <v/>
      </c>
      <c r="BQ662" t="str">
        <f>""</f>
        <v/>
      </c>
      <c r="BR662" t="str">
        <f>""</f>
        <v/>
      </c>
      <c r="BS662" t="str">
        <f>""</f>
        <v/>
      </c>
      <c r="BT662" t="str">
        <f>""</f>
        <v/>
      </c>
      <c r="BU662" t="str">
        <f>""</f>
        <v/>
      </c>
      <c r="BV662" t="str">
        <f t="shared" si="339"/>
        <v>9</v>
      </c>
      <c r="BW662" t="str">
        <f>"252"</f>
        <v>252</v>
      </c>
    </row>
    <row r="663" spans="1:75" x14ac:dyDescent="0.35">
      <c r="A663">
        <v>144794</v>
      </c>
      <c r="B663" t="str">
        <f t="shared" si="325"/>
        <v>A</v>
      </c>
      <c r="C663" t="str">
        <f t="shared" si="326"/>
        <v>80</v>
      </c>
      <c r="D663" t="str">
        <f t="shared" si="316"/>
        <v>11121002</v>
      </c>
      <c r="E663" t="str">
        <f t="shared" si="317"/>
        <v>121002</v>
      </c>
      <c r="F663" t="str">
        <f t="shared" si="318"/>
        <v>CINTHIA NORONHA</v>
      </c>
      <c r="G663" t="str">
        <f>"37645035000198"</f>
        <v>37645035000198</v>
      </c>
      <c r="H663" t="str">
        <f>""</f>
        <v/>
      </c>
      <c r="I663" t="str">
        <f t="shared" si="327"/>
        <v>CONTA OPTICA</v>
      </c>
      <c r="J663" t="str">
        <f>"ELISA FERNANDES GOULART LTDA"</f>
        <v>ELISA FERNANDES GOULART LTDA</v>
      </c>
      <c r="K663" t="str">
        <f>"RAFISA JOIAS (4217)"</f>
        <v>RAFISA JOIAS (4217)</v>
      </c>
      <c r="L663" t="str">
        <f>""</f>
        <v/>
      </c>
      <c r="M663" t="str">
        <f>""</f>
        <v/>
      </c>
      <c r="N663" t="str">
        <f>"rafisajoias@gmail.com"</f>
        <v>rafisajoias@gmail.com</v>
      </c>
      <c r="O663" t="str">
        <f>""</f>
        <v/>
      </c>
      <c r="P663" t="str">
        <f>"RUA CONSELHEIRO JOAO ZANETTE"</f>
        <v>RUA CONSELHEIRO JOAO ZANETTE</v>
      </c>
      <c r="Q663" t="str">
        <f>"93"</f>
        <v>93</v>
      </c>
      <c r="R663" t="str">
        <f>"SALA 102"</f>
        <v>SALA 102</v>
      </c>
      <c r="S663" t="str">
        <f>"1269"</f>
        <v>1269</v>
      </c>
      <c r="T663" t="str">
        <f>"88801050"</f>
        <v>88801050</v>
      </c>
      <c r="U663" t="str">
        <f>"CENTRO"</f>
        <v>CENTRO</v>
      </c>
      <c r="V663" t="str">
        <f>"CRICIÚMA"</f>
        <v>CRICIÚMA</v>
      </c>
      <c r="W663" t="str">
        <f t="shared" si="341"/>
        <v>SC</v>
      </c>
      <c r="X663" t="str">
        <f t="shared" si="336"/>
        <v>48</v>
      </c>
      <c r="Y663" t="str">
        <f>"996308727"</f>
        <v>996308727</v>
      </c>
      <c r="Z663" t="str">
        <f>""</f>
        <v/>
      </c>
      <c r="AA663" t="str">
        <f>""</f>
        <v/>
      </c>
      <c r="AB663" t="str">
        <f>""</f>
        <v/>
      </c>
      <c r="AC663" t="str">
        <f>""</f>
        <v/>
      </c>
      <c r="AD663" t="str">
        <f>""</f>
        <v/>
      </c>
      <c r="AE663" t="str">
        <f>""</f>
        <v/>
      </c>
      <c r="AF663" t="str">
        <f>""</f>
        <v/>
      </c>
      <c r="AG663" t="str">
        <f>""</f>
        <v/>
      </c>
      <c r="AH663" t="str">
        <f>""</f>
        <v/>
      </c>
      <c r="AI663" t="str">
        <f>""</f>
        <v/>
      </c>
      <c r="AJ663" t="str">
        <f t="shared" si="342"/>
        <v>0</v>
      </c>
      <c r="AK663" t="str">
        <f t="shared" si="342"/>
        <v>0</v>
      </c>
      <c r="AL663" t="str">
        <f t="shared" si="342"/>
        <v>0</v>
      </c>
      <c r="AM663" t="str">
        <f>""</f>
        <v/>
      </c>
      <c r="AN663" t="str">
        <f>""</f>
        <v/>
      </c>
      <c r="AO663" t="str">
        <f>""</f>
        <v/>
      </c>
      <c r="AP663" t="str">
        <f>""</f>
        <v/>
      </c>
      <c r="AQ663" t="str">
        <f>""</f>
        <v/>
      </c>
      <c r="AR663" t="str">
        <f>""</f>
        <v/>
      </c>
      <c r="AS663" t="str">
        <f>""</f>
        <v/>
      </c>
      <c r="AT663" t="str">
        <f>""</f>
        <v/>
      </c>
      <c r="AU663" t="str">
        <f>""</f>
        <v/>
      </c>
      <c r="AV663" t="str">
        <f>""</f>
        <v/>
      </c>
      <c r="AW663" t="str">
        <f>""</f>
        <v/>
      </c>
      <c r="AX663" t="str">
        <f>""</f>
        <v/>
      </c>
      <c r="AY663" t="str">
        <f>""</f>
        <v/>
      </c>
      <c r="AZ663" t="str">
        <f>""</f>
        <v/>
      </c>
      <c r="BA663" t="str">
        <f>""</f>
        <v/>
      </c>
      <c r="BB663" t="str">
        <f>""</f>
        <v/>
      </c>
      <c r="BC663" t="str">
        <f>""</f>
        <v/>
      </c>
      <c r="BD663" t="str">
        <f>""</f>
        <v/>
      </c>
      <c r="BE663" t="str">
        <f>""</f>
        <v/>
      </c>
      <c r="BF663" t="str">
        <f t="shared" si="328"/>
        <v>A</v>
      </c>
      <c r="BG663" t="str">
        <f>"0,00"</f>
        <v>0,00</v>
      </c>
      <c r="BH663" t="str">
        <f>"0,00"</f>
        <v>0,00</v>
      </c>
      <c r="BI663" t="str">
        <f t="shared" si="307"/>
        <v>EVENTUAL</v>
      </c>
      <c r="BJ663" t="str">
        <f t="shared" si="329"/>
        <v>1</v>
      </c>
      <c r="BK663" t="str">
        <f t="shared" si="330"/>
        <v>Farmacia</v>
      </c>
      <c r="BL663" t="str">
        <f>""</f>
        <v/>
      </c>
      <c r="BM663" t="str">
        <f t="shared" si="337"/>
        <v>NÃO É VARILUX ESPECIALISTA</v>
      </c>
      <c r="BN663" t="str">
        <f t="shared" si="338"/>
        <v>NA</v>
      </c>
      <c r="BO663" t="str">
        <f>"FOCO KODAK 2"</f>
        <v>FOCO KODAK 2</v>
      </c>
      <c r="BP663" t="str">
        <f>""</f>
        <v/>
      </c>
      <c r="BQ663" t="str">
        <f>""</f>
        <v/>
      </c>
      <c r="BR663" t="str">
        <f>""</f>
        <v/>
      </c>
      <c r="BS663" t="str">
        <f>""</f>
        <v/>
      </c>
      <c r="BT663" t="str">
        <f>""</f>
        <v/>
      </c>
      <c r="BU663" t="str">
        <f>""</f>
        <v/>
      </c>
      <c r="BV663" t="str">
        <f t="shared" si="339"/>
        <v>9</v>
      </c>
      <c r="BW663" t="str">
        <f>"Não visitado"</f>
        <v>Não visitado</v>
      </c>
    </row>
    <row r="664" spans="1:75" x14ac:dyDescent="0.35">
      <c r="A664">
        <v>156912</v>
      </c>
      <c r="B664" t="str">
        <f t="shared" si="325"/>
        <v>A</v>
      </c>
      <c r="C664" t="str">
        <f t="shared" si="326"/>
        <v>80</v>
      </c>
      <c r="D664" t="str">
        <f t="shared" si="316"/>
        <v>11121002</v>
      </c>
      <c r="E664" t="str">
        <f t="shared" si="317"/>
        <v>121002</v>
      </c>
      <c r="F664" t="str">
        <f t="shared" si="318"/>
        <v>CINTHIA NORONHA</v>
      </c>
      <c r="G664" t="str">
        <f>"45955522000185"</f>
        <v>45955522000185</v>
      </c>
      <c r="H664" t="str">
        <f>"0"</f>
        <v>0</v>
      </c>
      <c r="I664" t="str">
        <f t="shared" si="327"/>
        <v>CONTA OPTICA</v>
      </c>
      <c r="J664" t="str">
        <f>"ELISANGELA CARDOSO 05283142973"</f>
        <v>ELISANGELA CARDOSO 05283142973</v>
      </c>
      <c r="K664" t="str">
        <f>"OTICA ELIS (4516)"</f>
        <v>OTICA ELIS (4516)</v>
      </c>
      <c r="L664" t="str">
        <f>""</f>
        <v/>
      </c>
      <c r="M664" t="str">
        <f>""</f>
        <v/>
      </c>
      <c r="N664" t="str">
        <f>"LISOPTICAA@GMAIL.COM"</f>
        <v>LISOPTICAA@GMAIL.COM</v>
      </c>
      <c r="O664" t="str">
        <f>""</f>
        <v/>
      </c>
      <c r="P664" t="str">
        <f>"RUA WENCESLAU BRAZ"</f>
        <v>RUA WENCESLAU BRAZ</v>
      </c>
      <c r="Q664" t="str">
        <f>"377"</f>
        <v>377</v>
      </c>
      <c r="R664" t="str">
        <f>"SALA 02"</f>
        <v>SALA 02</v>
      </c>
      <c r="S664" t="str">
        <f>""</f>
        <v/>
      </c>
      <c r="T664" t="str">
        <f>"88706003"</f>
        <v>88706003</v>
      </c>
      <c r="U664" t="str">
        <f>"VILA MOEMA"</f>
        <v>VILA MOEMA</v>
      </c>
      <c r="V664" t="str">
        <f>"TUBARAO"</f>
        <v>TUBARAO</v>
      </c>
      <c r="W664" t="str">
        <f t="shared" si="341"/>
        <v>SC</v>
      </c>
      <c r="X664" t="str">
        <f t="shared" si="336"/>
        <v>48</v>
      </c>
      <c r="Y664" t="str">
        <f>"996313947"</f>
        <v>996313947</v>
      </c>
      <c r="Z664" t="str">
        <f>""</f>
        <v/>
      </c>
      <c r="AA664" t="str">
        <f>""</f>
        <v/>
      </c>
      <c r="AB664" t="str">
        <f>""</f>
        <v/>
      </c>
      <c r="AC664" t="str">
        <f>""</f>
        <v/>
      </c>
      <c r="AD664" t="str">
        <f>""</f>
        <v/>
      </c>
      <c r="AE664" t="str">
        <f>""</f>
        <v/>
      </c>
      <c r="AF664" t="str">
        <f>""</f>
        <v/>
      </c>
      <c r="AG664" t="str">
        <f>""</f>
        <v/>
      </c>
      <c r="AH664" t="str">
        <f>""</f>
        <v/>
      </c>
      <c r="AI664" t="str">
        <f>""</f>
        <v/>
      </c>
      <c r="AJ664" t="str">
        <f>""</f>
        <v/>
      </c>
      <c r="AK664" t="str">
        <f>""</f>
        <v/>
      </c>
      <c r="AL664" t="str">
        <f>""</f>
        <v/>
      </c>
      <c r="AM664" t="str">
        <f>""</f>
        <v/>
      </c>
      <c r="AN664" t="str">
        <f>""</f>
        <v/>
      </c>
      <c r="AO664" t="str">
        <f>""</f>
        <v/>
      </c>
      <c r="AP664" t="str">
        <f>""</f>
        <v/>
      </c>
      <c r="AQ664" t="str">
        <f>""</f>
        <v/>
      </c>
      <c r="AR664" t="str">
        <f>""</f>
        <v/>
      </c>
      <c r="AS664" t="str">
        <f>""</f>
        <v/>
      </c>
      <c r="AT664" t="str">
        <f>""</f>
        <v/>
      </c>
      <c r="AU664" t="str">
        <f>""</f>
        <v/>
      </c>
      <c r="AV664" t="str">
        <f>""</f>
        <v/>
      </c>
      <c r="AW664" t="str">
        <f>""</f>
        <v/>
      </c>
      <c r="AX664" t="str">
        <f>""</f>
        <v/>
      </c>
      <c r="AY664" t="str">
        <f>""</f>
        <v/>
      </c>
      <c r="AZ664" t="str">
        <f>""</f>
        <v/>
      </c>
      <c r="BA664" t="str">
        <f>""</f>
        <v/>
      </c>
      <c r="BB664" t="str">
        <f>"06/07/2023 12:07:48"</f>
        <v>06/07/2023 12:07:48</v>
      </c>
      <c r="BC664" t="str">
        <f>""</f>
        <v/>
      </c>
      <c r="BD664" t="str">
        <f>""</f>
        <v/>
      </c>
      <c r="BE664" t="str">
        <f>""</f>
        <v/>
      </c>
      <c r="BF664" t="str">
        <f t="shared" si="328"/>
        <v>A</v>
      </c>
      <c r="BG664" t="str">
        <f>""</f>
        <v/>
      </c>
      <c r="BH664" t="str">
        <f>""</f>
        <v/>
      </c>
      <c r="BI664" t="str">
        <f t="shared" si="307"/>
        <v>EVENTUAL</v>
      </c>
      <c r="BJ664" t="str">
        <f t="shared" si="329"/>
        <v>1</v>
      </c>
      <c r="BK664" t="str">
        <f t="shared" si="330"/>
        <v>Farmacia</v>
      </c>
      <c r="BL664" t="str">
        <f>""</f>
        <v/>
      </c>
      <c r="BM664" t="str">
        <f>""</f>
        <v/>
      </c>
      <c r="BN664" t="str">
        <f>""</f>
        <v/>
      </c>
      <c r="BO664" t="str">
        <f>""</f>
        <v/>
      </c>
      <c r="BP664" t="str">
        <f>""</f>
        <v/>
      </c>
      <c r="BQ664" t="str">
        <f>""</f>
        <v/>
      </c>
      <c r="BR664" t="str">
        <f>"06/07/2023"</f>
        <v>06/07/2023</v>
      </c>
      <c r="BS664" t="str">
        <f>""</f>
        <v/>
      </c>
      <c r="BT664" t="str">
        <f>""</f>
        <v/>
      </c>
      <c r="BU664" t="str">
        <f>""</f>
        <v/>
      </c>
      <c r="BV664" t="str">
        <f>""</f>
        <v/>
      </c>
      <c r="BW664" t="str">
        <f>"25"</f>
        <v>25</v>
      </c>
    </row>
    <row r="665" spans="1:75" x14ac:dyDescent="0.35">
      <c r="A665">
        <v>118679</v>
      </c>
      <c r="B665" t="str">
        <f t="shared" si="325"/>
        <v>A</v>
      </c>
      <c r="C665" t="str">
        <f t="shared" si="326"/>
        <v>80</v>
      </c>
      <c r="D665" t="str">
        <f t="shared" si="316"/>
        <v>11121002</v>
      </c>
      <c r="E665" t="str">
        <f t="shared" si="317"/>
        <v>121002</v>
      </c>
      <c r="F665" t="str">
        <f t="shared" si="318"/>
        <v>CINTHIA NORONHA</v>
      </c>
      <c r="G665" t="str">
        <f>"02883984000121"</f>
        <v>02883984000121</v>
      </c>
      <c r="H665" t="str">
        <f>""</f>
        <v/>
      </c>
      <c r="I665" t="str">
        <f t="shared" si="327"/>
        <v>CONTA OPTICA</v>
      </c>
      <c r="J665" t="str">
        <f>"ENEGBERTO ELY ME"</f>
        <v>ENEGBERTO ELY ME</v>
      </c>
      <c r="K665" t="str">
        <f>"ENEGBERTO ELY ME (125)"</f>
        <v>ENEGBERTO ELY ME (125)</v>
      </c>
      <c r="L665" t="str">
        <f>""</f>
        <v/>
      </c>
      <c r="M665" t="str">
        <f>""</f>
        <v/>
      </c>
      <c r="N665" t="str">
        <f>"joao.joalheiro@hotmail.com"</f>
        <v>joao.joalheiro@hotmail.com</v>
      </c>
      <c r="O665" t="str">
        <f>""</f>
        <v/>
      </c>
      <c r="P665" t="str">
        <f>"RUA MARECHAL DEODORO"</f>
        <v>RUA MARECHAL DEODORO</v>
      </c>
      <c r="Q665" t="str">
        <f>"21"</f>
        <v>21</v>
      </c>
      <c r="R665" t="str">
        <f>"SALA D"</f>
        <v>SALA D</v>
      </c>
      <c r="S665" t="str">
        <f>"1268"</f>
        <v>1268</v>
      </c>
      <c r="T665" t="str">
        <f>"88701010"</f>
        <v>88701010</v>
      </c>
      <c r="U665" t="str">
        <f>"CENTRO"</f>
        <v>CENTRO</v>
      </c>
      <c r="V665" t="str">
        <f>"TUBARÃO"</f>
        <v>TUBARÃO</v>
      </c>
      <c r="W665" t="str">
        <f t="shared" si="341"/>
        <v>SC</v>
      </c>
      <c r="X665" t="str">
        <f t="shared" si="336"/>
        <v>48</v>
      </c>
      <c r="Y665" t="str">
        <f>"30536988"</f>
        <v>30536988</v>
      </c>
      <c r="Z665" t="str">
        <f>""</f>
        <v/>
      </c>
      <c r="AA665" t="str">
        <f>""</f>
        <v/>
      </c>
      <c r="AB665" t="str">
        <f>""</f>
        <v/>
      </c>
      <c r="AC665" t="str">
        <f>""</f>
        <v/>
      </c>
      <c r="AD665" t="str">
        <f>""</f>
        <v/>
      </c>
      <c r="AE665" t="str">
        <f>""</f>
        <v/>
      </c>
      <c r="AF665" t="str">
        <f>""</f>
        <v/>
      </c>
      <c r="AG665" t="str">
        <f>""</f>
        <v/>
      </c>
      <c r="AH665" t="str">
        <f>""</f>
        <v/>
      </c>
      <c r="AI665" t="str">
        <f>""</f>
        <v/>
      </c>
      <c r="AJ665" t="str">
        <f>"0"</f>
        <v>0</v>
      </c>
      <c r="AK665" t="str">
        <f>"0"</f>
        <v>0</v>
      </c>
      <c r="AL665" t="str">
        <f>"0"</f>
        <v>0</v>
      </c>
      <c r="AM665" t="str">
        <f>""</f>
        <v/>
      </c>
      <c r="AN665" t="str">
        <f>""</f>
        <v/>
      </c>
      <c r="AO665" t="str">
        <f>""</f>
        <v/>
      </c>
      <c r="AP665" t="str">
        <f>""</f>
        <v/>
      </c>
      <c r="AQ665" t="str">
        <f>""</f>
        <v/>
      </c>
      <c r="AR665" t="str">
        <f>""</f>
        <v/>
      </c>
      <c r="AS665" t="str">
        <f>""</f>
        <v/>
      </c>
      <c r="AT665" t="str">
        <f>""</f>
        <v/>
      </c>
      <c r="AU665" t="str">
        <f>""</f>
        <v/>
      </c>
      <c r="AV665" t="str">
        <f>""</f>
        <v/>
      </c>
      <c r="AW665" t="str">
        <f>""</f>
        <v/>
      </c>
      <c r="AX665" t="str">
        <f>""</f>
        <v/>
      </c>
      <c r="AY665" t="str">
        <f>""</f>
        <v/>
      </c>
      <c r="AZ665" t="str">
        <f>""</f>
        <v/>
      </c>
      <c r="BA665" t="str">
        <f>""</f>
        <v/>
      </c>
      <c r="BB665" t="str">
        <f>""</f>
        <v/>
      </c>
      <c r="BC665" t="str">
        <f>""</f>
        <v/>
      </c>
      <c r="BD665" t="str">
        <f>""</f>
        <v/>
      </c>
      <c r="BE665" t="str">
        <f>""</f>
        <v/>
      </c>
      <c r="BF665" t="str">
        <f t="shared" si="328"/>
        <v>A</v>
      </c>
      <c r="BG665" t="str">
        <f>"0,00"</f>
        <v>0,00</v>
      </c>
      <c r="BH665" t="str">
        <f>"0,00"</f>
        <v>0,00</v>
      </c>
      <c r="BI665" t="str">
        <f t="shared" si="307"/>
        <v>EVENTUAL</v>
      </c>
      <c r="BJ665" t="str">
        <f t="shared" si="329"/>
        <v>1</v>
      </c>
      <c r="BK665" t="str">
        <f t="shared" si="330"/>
        <v>Farmacia</v>
      </c>
      <c r="BL665" t="str">
        <f>""</f>
        <v/>
      </c>
      <c r="BM665" t="str">
        <f>"NÃO É VARILUX ESPECIALISTA"</f>
        <v>NÃO É VARILUX ESPECIALISTA</v>
      </c>
      <c r="BN665" t="str">
        <f>"NA"</f>
        <v>NA</v>
      </c>
      <c r="BO665" t="str">
        <f>"FOCO VARILUX"</f>
        <v>FOCO VARILUX</v>
      </c>
      <c r="BP665" t="str">
        <f>""</f>
        <v/>
      </c>
      <c r="BQ665" t="str">
        <f>""</f>
        <v/>
      </c>
      <c r="BR665" t="str">
        <f>""</f>
        <v/>
      </c>
      <c r="BS665" t="str">
        <f>""</f>
        <v/>
      </c>
      <c r="BT665" t="str">
        <f>""</f>
        <v/>
      </c>
      <c r="BU665" t="str">
        <f>""</f>
        <v/>
      </c>
      <c r="BV665" t="str">
        <f>"9"</f>
        <v>9</v>
      </c>
      <c r="BW665" t="str">
        <f>"17"</f>
        <v>17</v>
      </c>
    </row>
    <row r="666" spans="1:75" x14ac:dyDescent="0.35">
      <c r="A666">
        <v>157710</v>
      </c>
      <c r="B666" t="str">
        <f t="shared" si="325"/>
        <v>A</v>
      </c>
      <c r="C666" t="str">
        <f t="shared" si="326"/>
        <v>80</v>
      </c>
      <c r="D666" t="str">
        <f t="shared" si="316"/>
        <v>11121002</v>
      </c>
      <c r="E666" t="str">
        <f t="shared" si="317"/>
        <v>121002</v>
      </c>
      <c r="F666" t="str">
        <f t="shared" si="318"/>
        <v>CINTHIA NORONHA</v>
      </c>
      <c r="G666" t="str">
        <f>"16776344000127"</f>
        <v>16776344000127</v>
      </c>
      <c r="H666" t="str">
        <f>"0"</f>
        <v>0</v>
      </c>
      <c r="I666" t="str">
        <f t="shared" si="327"/>
        <v>CONTA OPTICA</v>
      </c>
      <c r="J666" t="str">
        <f>"ENRO GUSTAVO VENTURELLA ME"</f>
        <v>ENRO GUSTAVO VENTURELLA ME</v>
      </c>
      <c r="K666" t="str">
        <f>"INSTITUTO THEA OPTOMETRIA COMPORT. INTERNACIONAL (2075)"</f>
        <v>INSTITUTO THEA OPTOMETRIA COMPORT. INTERNACIONAL (2075)</v>
      </c>
      <c r="L666" t="str">
        <f>""</f>
        <v/>
      </c>
      <c r="M666" t="str">
        <f>""</f>
        <v/>
      </c>
      <c r="N666" t="str">
        <f>"INSTITUTOTHEA@GMAIL.COM"</f>
        <v>INSTITUTOTHEA@GMAIL.COM</v>
      </c>
      <c r="O666" t="str">
        <f>""</f>
        <v/>
      </c>
      <c r="P666" t="str">
        <f>"RUA EMILIO BLUM"</f>
        <v>RUA EMILIO BLUM</v>
      </c>
      <c r="Q666" t="str">
        <f>"131"</f>
        <v>131</v>
      </c>
      <c r="R666" t="str">
        <f>"BL.. B SL1007"</f>
        <v>BL.. B SL1007</v>
      </c>
      <c r="S666" t="str">
        <f>"1256"</f>
        <v>1256</v>
      </c>
      <c r="T666" t="str">
        <f>"88020010"</f>
        <v>88020010</v>
      </c>
      <c r="U666" t="str">
        <f>"CENTRO"</f>
        <v>CENTRO</v>
      </c>
      <c r="V666" t="str">
        <f>"FLORIANOPOLIS"</f>
        <v>FLORIANOPOLIS</v>
      </c>
      <c r="W666" t="str">
        <f t="shared" si="341"/>
        <v>SC</v>
      </c>
      <c r="X666" t="str">
        <f t="shared" si="336"/>
        <v>48</v>
      </c>
      <c r="Y666" t="str">
        <f>"33656003"</f>
        <v>33656003</v>
      </c>
      <c r="Z666" t="str">
        <f>""</f>
        <v/>
      </c>
      <c r="AA666" t="str">
        <f>""</f>
        <v/>
      </c>
      <c r="AB666" t="str">
        <f>""</f>
        <v/>
      </c>
      <c r="AC666" t="str">
        <f>""</f>
        <v/>
      </c>
      <c r="AD666" t="str">
        <f>""</f>
        <v/>
      </c>
      <c r="AE666" t="str">
        <f>""</f>
        <v/>
      </c>
      <c r="AF666" t="str">
        <f>""</f>
        <v/>
      </c>
      <c r="AG666" t="str">
        <f>""</f>
        <v/>
      </c>
      <c r="AH666" t="str">
        <f>""</f>
        <v/>
      </c>
      <c r="AI666" t="str">
        <f>""</f>
        <v/>
      </c>
      <c r="AJ666" t="str">
        <f>""</f>
        <v/>
      </c>
      <c r="AK666" t="str">
        <f>""</f>
        <v/>
      </c>
      <c r="AL666" t="str">
        <f>""</f>
        <v/>
      </c>
      <c r="AM666" t="str">
        <f>""</f>
        <v/>
      </c>
      <c r="AN666" t="str">
        <f>""</f>
        <v/>
      </c>
      <c r="AO666" t="str">
        <f>""</f>
        <v/>
      </c>
      <c r="AP666" t="str">
        <f>""</f>
        <v/>
      </c>
      <c r="AQ666" t="str">
        <f>""</f>
        <v/>
      </c>
      <c r="AR666" t="str">
        <f>""</f>
        <v/>
      </c>
      <c r="AS666" t="str">
        <f>""</f>
        <v/>
      </c>
      <c r="AT666" t="str">
        <f>""</f>
        <v/>
      </c>
      <c r="AU666" t="str">
        <f>""</f>
        <v/>
      </c>
      <c r="AV666" t="str">
        <f>""</f>
        <v/>
      </c>
      <c r="AW666" t="str">
        <f>""</f>
        <v/>
      </c>
      <c r="AX666" t="str">
        <f>""</f>
        <v/>
      </c>
      <c r="AY666" t="str">
        <f>""</f>
        <v/>
      </c>
      <c r="AZ666" t="str">
        <f>""</f>
        <v/>
      </c>
      <c r="BA666" t="str">
        <f>""</f>
        <v/>
      </c>
      <c r="BB666" t="str">
        <f>"11/07/2023 02:19:56"</f>
        <v>11/07/2023 02:19:56</v>
      </c>
      <c r="BC666" t="str">
        <f>""</f>
        <v/>
      </c>
      <c r="BD666" t="str">
        <f>""</f>
        <v/>
      </c>
      <c r="BE666" t="str">
        <f>""</f>
        <v/>
      </c>
      <c r="BF666" t="str">
        <f t="shared" si="328"/>
        <v>A</v>
      </c>
      <c r="BG666" t="str">
        <f>""</f>
        <v/>
      </c>
      <c r="BH666" t="str">
        <f>""</f>
        <v/>
      </c>
      <c r="BI666" t="str">
        <f t="shared" si="307"/>
        <v>EVENTUAL</v>
      </c>
      <c r="BJ666" t="str">
        <f t="shared" si="329"/>
        <v>1</v>
      </c>
      <c r="BK666" t="str">
        <f t="shared" si="330"/>
        <v>Farmacia</v>
      </c>
      <c r="BL666" t="str">
        <f>""</f>
        <v/>
      </c>
      <c r="BM666" t="str">
        <f>""</f>
        <v/>
      </c>
      <c r="BN666" t="str">
        <f>""</f>
        <v/>
      </c>
      <c r="BO666" t="str">
        <f>""</f>
        <v/>
      </c>
      <c r="BP666" t="str">
        <f>""</f>
        <v/>
      </c>
      <c r="BQ666" t="str">
        <f>""</f>
        <v/>
      </c>
      <c r="BR666" t="str">
        <f>"11/07/2023"</f>
        <v>11/07/2023</v>
      </c>
      <c r="BS666" t="str">
        <f>""</f>
        <v/>
      </c>
      <c r="BT666" t="str">
        <f>""</f>
        <v/>
      </c>
      <c r="BU666" t="str">
        <f>""</f>
        <v/>
      </c>
      <c r="BV666" t="str">
        <f>""</f>
        <v/>
      </c>
      <c r="BW666" t="str">
        <f>"Não visitado"</f>
        <v>Não visitado</v>
      </c>
    </row>
    <row r="667" spans="1:75" x14ac:dyDescent="0.35">
      <c r="A667">
        <v>134279</v>
      </c>
      <c r="B667" t="str">
        <f t="shared" si="325"/>
        <v>A</v>
      </c>
      <c r="C667" t="str">
        <f t="shared" si="326"/>
        <v>80</v>
      </c>
      <c r="D667" t="str">
        <f t="shared" si="316"/>
        <v>11121002</v>
      </c>
      <c r="E667" t="str">
        <f t="shared" si="317"/>
        <v>121002</v>
      </c>
      <c r="F667" t="str">
        <f t="shared" si="318"/>
        <v>CINTHIA NORONHA</v>
      </c>
      <c r="G667" t="str">
        <f>"79823647000173"</f>
        <v>79823647000173</v>
      </c>
      <c r="H667" t="str">
        <f>""</f>
        <v/>
      </c>
      <c r="I667" t="str">
        <f t="shared" si="327"/>
        <v>CONTA OPTICA</v>
      </c>
      <c r="J667" t="str">
        <f>"ERNI HEITOR FELTEN ME"</f>
        <v>ERNI HEITOR FELTEN ME</v>
      </c>
      <c r="K667" t="str">
        <f>"OTICA SECULUS (1773)"</f>
        <v>OTICA SECULUS (1773)</v>
      </c>
      <c r="L667" t="str">
        <f>""</f>
        <v/>
      </c>
      <c r="M667" t="str">
        <f>""</f>
        <v/>
      </c>
      <c r="N667" t="str">
        <f>"oticaerelojoariaseculus@hotmail.com"</f>
        <v>oticaerelojoariaseculus@hotmail.com</v>
      </c>
      <c r="O667" t="str">
        <f>""</f>
        <v/>
      </c>
      <c r="P667" t="str">
        <f>"RUA SAO PEDRO"</f>
        <v>RUA SAO PEDRO</v>
      </c>
      <c r="Q667" t="str">
        <f>"656"</f>
        <v>656</v>
      </c>
      <c r="R667" t="str">
        <f>""</f>
        <v/>
      </c>
      <c r="S667" t="str">
        <f>"1259"</f>
        <v>1259</v>
      </c>
      <c r="T667" t="str">
        <f>"88113250"</f>
        <v>88113250</v>
      </c>
      <c r="U667" t="str">
        <f>"AREIAS"</f>
        <v>AREIAS</v>
      </c>
      <c r="V667" t="str">
        <f>"SÃO JOSÉ"</f>
        <v>SÃO JOSÉ</v>
      </c>
      <c r="W667" t="str">
        <f t="shared" si="341"/>
        <v>SC</v>
      </c>
      <c r="X667" t="str">
        <f t="shared" si="336"/>
        <v>48</v>
      </c>
      <c r="Y667" t="str">
        <f>"32464104"</f>
        <v>32464104</v>
      </c>
      <c r="Z667" t="str">
        <f>""</f>
        <v/>
      </c>
      <c r="AA667" t="str">
        <f>""</f>
        <v/>
      </c>
      <c r="AB667" t="str">
        <f>""</f>
        <v/>
      </c>
      <c r="AC667" t="str">
        <f>""</f>
        <v/>
      </c>
      <c r="AD667" t="str">
        <f>""</f>
        <v/>
      </c>
      <c r="AE667" t="str">
        <f>""</f>
        <v/>
      </c>
      <c r="AF667" t="str">
        <f>""</f>
        <v/>
      </c>
      <c r="AG667" t="str">
        <f>"S"</f>
        <v>S</v>
      </c>
      <c r="AH667" t="str">
        <f>""</f>
        <v/>
      </c>
      <c r="AI667" t="str">
        <f>""</f>
        <v/>
      </c>
      <c r="AJ667" t="str">
        <f>"0"</f>
        <v>0</v>
      </c>
      <c r="AK667" t="str">
        <f>"0"</f>
        <v>0</v>
      </c>
      <c r="AL667" t="str">
        <f>"0"</f>
        <v>0</v>
      </c>
      <c r="AM667" t="str">
        <f>""</f>
        <v/>
      </c>
      <c r="AN667" t="str">
        <f>""</f>
        <v/>
      </c>
      <c r="AO667" t="str">
        <f>""</f>
        <v/>
      </c>
      <c r="AP667" t="str">
        <f>""</f>
        <v/>
      </c>
      <c r="AQ667" t="str">
        <f>"N"</f>
        <v>N</v>
      </c>
      <c r="AR667" t="str">
        <f>"N"</f>
        <v>N</v>
      </c>
      <c r="AS667" t="str">
        <f>"N"</f>
        <v>N</v>
      </c>
      <c r="AT667" t="str">
        <f>"N"</f>
        <v>N</v>
      </c>
      <c r="AU667" t="str">
        <f>"N"</f>
        <v>N</v>
      </c>
      <c r="AV667" t="str">
        <f>""</f>
        <v/>
      </c>
      <c r="AW667" t="str">
        <f>""</f>
        <v/>
      </c>
      <c r="AX667" t="str">
        <f>""</f>
        <v/>
      </c>
      <c r="AY667" t="str">
        <f>""</f>
        <v/>
      </c>
      <c r="AZ667" t="str">
        <f>""</f>
        <v/>
      </c>
      <c r="BA667" t="str">
        <f>""</f>
        <v/>
      </c>
      <c r="BB667" t="str">
        <f>""</f>
        <v/>
      </c>
      <c r="BC667" t="str">
        <f>"11/11/2021 14:48:41"</f>
        <v>11/11/2021 14:48:41</v>
      </c>
      <c r="BD667" t="str">
        <f>""</f>
        <v/>
      </c>
      <c r="BE667" t="str">
        <f>""</f>
        <v/>
      </c>
      <c r="BF667" t="str">
        <f t="shared" si="328"/>
        <v>A</v>
      </c>
      <c r="BG667" t="str">
        <f>"0,00"</f>
        <v>0,00</v>
      </c>
      <c r="BH667" t="str">
        <f>"0,00"</f>
        <v>0,00</v>
      </c>
      <c r="BI667" t="str">
        <f t="shared" si="307"/>
        <v>EVENTUAL</v>
      </c>
      <c r="BJ667" t="str">
        <f t="shared" si="329"/>
        <v>1</v>
      </c>
      <c r="BK667" t="str">
        <f t="shared" si="330"/>
        <v>Farmacia</v>
      </c>
      <c r="BL667" t="str">
        <f>""</f>
        <v/>
      </c>
      <c r="BM667" t="str">
        <f>"NÃO É VARILUX ESPECIALISTA"</f>
        <v>NÃO É VARILUX ESPECIALISTA</v>
      </c>
      <c r="BN667" t="str">
        <f>"NA"</f>
        <v>NA</v>
      </c>
      <c r="BO667" t="str">
        <f>"FOCO VARILUX"</f>
        <v>FOCO VARILUX</v>
      </c>
      <c r="BP667" t="str">
        <f>""</f>
        <v/>
      </c>
      <c r="BQ667" t="str">
        <f>""</f>
        <v/>
      </c>
      <c r="BR667" t="str">
        <f>""</f>
        <v/>
      </c>
      <c r="BS667" t="str">
        <f>"11/11/2021"</f>
        <v>11/11/2021</v>
      </c>
      <c r="BT667" t="str">
        <f>""</f>
        <v/>
      </c>
      <c r="BU667" t="str">
        <f>""</f>
        <v/>
      </c>
      <c r="BV667" t="str">
        <f>"9"</f>
        <v>9</v>
      </c>
      <c r="BW667" t="str">
        <f>"25"</f>
        <v>25</v>
      </c>
    </row>
    <row r="668" spans="1:75" x14ac:dyDescent="0.35">
      <c r="A668">
        <v>156923</v>
      </c>
      <c r="B668" t="str">
        <f t="shared" si="325"/>
        <v>A</v>
      </c>
      <c r="C668" t="str">
        <f t="shared" si="326"/>
        <v>80</v>
      </c>
      <c r="D668" t="str">
        <f t="shared" si="316"/>
        <v>11121002</v>
      </c>
      <c r="E668" t="str">
        <f t="shared" si="317"/>
        <v>121002</v>
      </c>
      <c r="F668" t="str">
        <f t="shared" si="318"/>
        <v>CINTHIA NORONHA</v>
      </c>
      <c r="G668" t="str">
        <f>"43771469000137"</f>
        <v>43771469000137</v>
      </c>
      <c r="H668" t="str">
        <f>"0"</f>
        <v>0</v>
      </c>
      <c r="I668" t="str">
        <f t="shared" si="327"/>
        <v>CONTA OPTICA</v>
      </c>
      <c r="J668" t="str">
        <f>"ESPANHA ACESSORIOS DE MODA LTDA"</f>
        <v>ESPANHA ACESSORIOS DE MODA LTDA</v>
      </c>
      <c r="K668" t="str">
        <f>"CHILLI BEANS (4424)"</f>
        <v>CHILLI BEANS (4424)</v>
      </c>
      <c r="L668" t="str">
        <f>""</f>
        <v/>
      </c>
      <c r="M668" t="str">
        <f>""</f>
        <v/>
      </c>
      <c r="N668" t="str">
        <f>"MARIANE.MOSENA@CHILLISC.COM.BR"</f>
        <v>MARIANE.MOSENA@CHILLISC.COM.BR</v>
      </c>
      <c r="O668" t="str">
        <f>""</f>
        <v/>
      </c>
      <c r="P668" t="str">
        <f>"JORGE ELIAS DE LUCCA"</f>
        <v>JORGE ELIAS DE LUCCA</v>
      </c>
      <c r="Q668" t="str">
        <f>"677"</f>
        <v>677</v>
      </c>
      <c r="R668" t="str">
        <f>"SL 36"</f>
        <v>SL 36</v>
      </c>
      <c r="S668" t="str">
        <f>"1269"</f>
        <v>1269</v>
      </c>
      <c r="T668" t="str">
        <f>"88813390"</f>
        <v>88813390</v>
      </c>
      <c r="U668" t="str">
        <f>"NOSSA SENHORA DA SALETE"</f>
        <v>NOSSA SENHORA DA SALETE</v>
      </c>
      <c r="V668" t="str">
        <f>"CRICIUMA"</f>
        <v>CRICIUMA</v>
      </c>
      <c r="W668" t="str">
        <f t="shared" si="341"/>
        <v>SC</v>
      </c>
      <c r="X668" t="str">
        <f t="shared" si="336"/>
        <v>48</v>
      </c>
      <c r="Y668" t="str">
        <f>"991012525"</f>
        <v>991012525</v>
      </c>
      <c r="Z668" t="str">
        <f>""</f>
        <v/>
      </c>
      <c r="AA668" t="str">
        <f>""</f>
        <v/>
      </c>
      <c r="AB668" t="str">
        <f>""</f>
        <v/>
      </c>
      <c r="AC668" t="str">
        <f>""</f>
        <v/>
      </c>
      <c r="AD668" t="str">
        <f>""</f>
        <v/>
      </c>
      <c r="AE668" t="str">
        <f>""</f>
        <v/>
      </c>
      <c r="AF668" t="str">
        <f>""</f>
        <v/>
      </c>
      <c r="AG668" t="str">
        <f>""</f>
        <v/>
      </c>
      <c r="AH668" t="str">
        <f>""</f>
        <v/>
      </c>
      <c r="AI668" t="str">
        <f>""</f>
        <v/>
      </c>
      <c r="AJ668" t="str">
        <f>""</f>
        <v/>
      </c>
      <c r="AK668" t="str">
        <f>""</f>
        <v/>
      </c>
      <c r="AL668" t="str">
        <f>""</f>
        <v/>
      </c>
      <c r="AM668" t="str">
        <f>""</f>
        <v/>
      </c>
      <c r="AN668" t="str">
        <f>""</f>
        <v/>
      </c>
      <c r="AO668" t="str">
        <f>""</f>
        <v/>
      </c>
      <c r="AP668" t="str">
        <f>""</f>
        <v/>
      </c>
      <c r="AQ668" t="str">
        <f>""</f>
        <v/>
      </c>
      <c r="AR668" t="str">
        <f>""</f>
        <v/>
      </c>
      <c r="AS668" t="str">
        <f>""</f>
        <v/>
      </c>
      <c r="AT668" t="str">
        <f>""</f>
        <v/>
      </c>
      <c r="AU668" t="str">
        <f>""</f>
        <v/>
      </c>
      <c r="AV668" t="str">
        <f>""</f>
        <v/>
      </c>
      <c r="AW668" t="str">
        <f>""</f>
        <v/>
      </c>
      <c r="AX668" t="str">
        <f>""</f>
        <v/>
      </c>
      <c r="AY668" t="str">
        <f>""</f>
        <v/>
      </c>
      <c r="AZ668" t="str">
        <f>""</f>
        <v/>
      </c>
      <c r="BA668" t="str">
        <f>""</f>
        <v/>
      </c>
      <c r="BB668" t="str">
        <f>"06/07/2023 12:07:48"</f>
        <v>06/07/2023 12:07:48</v>
      </c>
      <c r="BC668" t="str">
        <f>""</f>
        <v/>
      </c>
      <c r="BD668" t="str">
        <f>""</f>
        <v/>
      </c>
      <c r="BE668" t="str">
        <f>""</f>
        <v/>
      </c>
      <c r="BF668" t="str">
        <f t="shared" si="328"/>
        <v>A</v>
      </c>
      <c r="BG668" t="str">
        <f>""</f>
        <v/>
      </c>
      <c r="BH668" t="str">
        <f>""</f>
        <v/>
      </c>
      <c r="BI668" t="str">
        <f t="shared" si="307"/>
        <v>EVENTUAL</v>
      </c>
      <c r="BJ668" t="str">
        <f t="shared" si="329"/>
        <v>1</v>
      </c>
      <c r="BK668" t="str">
        <f t="shared" si="330"/>
        <v>Farmacia</v>
      </c>
      <c r="BL668" t="str">
        <f>""</f>
        <v/>
      </c>
      <c r="BM668" t="str">
        <f>""</f>
        <v/>
      </c>
      <c r="BN668" t="str">
        <f>""</f>
        <v/>
      </c>
      <c r="BO668" t="str">
        <f>""</f>
        <v/>
      </c>
      <c r="BP668" t="str">
        <f>""</f>
        <v/>
      </c>
      <c r="BQ668" t="str">
        <f>""</f>
        <v/>
      </c>
      <c r="BR668" t="str">
        <f>"06/07/2023"</f>
        <v>06/07/2023</v>
      </c>
      <c r="BS668" t="str">
        <f>""</f>
        <v/>
      </c>
      <c r="BT668" t="str">
        <f>""</f>
        <v/>
      </c>
      <c r="BU668" t="str">
        <f>""</f>
        <v/>
      </c>
      <c r="BV668" t="str">
        <f>""</f>
        <v/>
      </c>
      <c r="BW668" t="str">
        <f>"85"</f>
        <v>85</v>
      </c>
    </row>
    <row r="669" spans="1:75" x14ac:dyDescent="0.35">
      <c r="A669">
        <v>134260</v>
      </c>
      <c r="B669" t="str">
        <f t="shared" si="325"/>
        <v>A</v>
      </c>
      <c r="C669" t="str">
        <f t="shared" si="326"/>
        <v>80</v>
      </c>
      <c r="D669" t="str">
        <f t="shared" si="316"/>
        <v>11121002</v>
      </c>
      <c r="E669" t="str">
        <f t="shared" si="317"/>
        <v>121002</v>
      </c>
      <c r="F669" t="str">
        <f t="shared" si="318"/>
        <v>CINTHIA NORONHA</v>
      </c>
      <c r="G669" t="str">
        <f>"24513569000119"</f>
        <v>24513569000119</v>
      </c>
      <c r="H669" t="str">
        <f>""</f>
        <v/>
      </c>
      <c r="I669" t="str">
        <f t="shared" si="327"/>
        <v>CONTA OPTICA</v>
      </c>
      <c r="J669" t="str">
        <f>"ESPINDOLA COMERCIO VAREJISTA DE ARTIGOS DE OPTICA LTDA"</f>
        <v>ESPINDOLA COMERCIO VAREJISTA DE ARTIGOS DE OPTICA LTDA</v>
      </c>
      <c r="K669" t="str">
        <f>"OTICA SANTO LUXO (3319)"</f>
        <v>OTICA SANTO LUXO (3319)</v>
      </c>
      <c r="L669" t="str">
        <f>""</f>
        <v/>
      </c>
      <c r="M669" t="str">
        <f>""</f>
        <v/>
      </c>
      <c r="N669" t="str">
        <f>"mmartins038@hotmail.com"</f>
        <v>mmartins038@hotmail.com</v>
      </c>
      <c r="O669" t="str">
        <f>""</f>
        <v/>
      </c>
      <c r="P669" t="str">
        <f>"RUA VEREADOR ARTHUR MANOEL MARIANO"</f>
        <v>RUA VEREADOR ARTHUR MANOEL MARIANO</v>
      </c>
      <c r="Q669" t="str">
        <f>"1486"</f>
        <v>1486</v>
      </c>
      <c r="R669" t="str">
        <f>""</f>
        <v/>
      </c>
      <c r="S669" t="str">
        <f>"1259"</f>
        <v>1259</v>
      </c>
      <c r="T669" t="str">
        <f>"88106501"</f>
        <v>88106501</v>
      </c>
      <c r="U669" t="str">
        <f>"FORQUILHINHA"</f>
        <v>FORQUILHINHA</v>
      </c>
      <c r="V669" t="str">
        <f>"SÃO JOSÉ"</f>
        <v>SÃO JOSÉ</v>
      </c>
      <c r="W669" t="str">
        <f t="shared" si="341"/>
        <v>SC</v>
      </c>
      <c r="X669" t="str">
        <f t="shared" si="336"/>
        <v>48</v>
      </c>
      <c r="Y669" t="str">
        <f>"30581002"</f>
        <v>30581002</v>
      </c>
      <c r="Z669" t="str">
        <f>""</f>
        <v/>
      </c>
      <c r="AA669" t="str">
        <f>""</f>
        <v/>
      </c>
      <c r="AB669" t="str">
        <f>""</f>
        <v/>
      </c>
      <c r="AC669" t="str">
        <f>""</f>
        <v/>
      </c>
      <c r="AD669" t="str">
        <f>""</f>
        <v/>
      </c>
      <c r="AE669" t="str">
        <f>""</f>
        <v/>
      </c>
      <c r="AF669" t="str">
        <f>""</f>
        <v/>
      </c>
      <c r="AG669" t="str">
        <f>"S"</f>
        <v>S</v>
      </c>
      <c r="AH669" t="str">
        <f>""</f>
        <v/>
      </c>
      <c r="AI669" t="str">
        <f>""</f>
        <v/>
      </c>
      <c r="AJ669" t="str">
        <f t="shared" ref="AJ669:AL670" si="343">"0"</f>
        <v>0</v>
      </c>
      <c r="AK669" t="str">
        <f t="shared" si="343"/>
        <v>0</v>
      </c>
      <c r="AL669" t="str">
        <f t="shared" si="343"/>
        <v>0</v>
      </c>
      <c r="AM669" t="str">
        <f>""</f>
        <v/>
      </c>
      <c r="AN669" t="str">
        <f>""</f>
        <v/>
      </c>
      <c r="AO669" t="str">
        <f>""</f>
        <v/>
      </c>
      <c r="AP669" t="str">
        <f>""</f>
        <v/>
      </c>
      <c r="AQ669" t="str">
        <f>"N"</f>
        <v>N</v>
      </c>
      <c r="AR669" t="str">
        <f>"N"</f>
        <v>N</v>
      </c>
      <c r="AS669" t="str">
        <f>"N"</f>
        <v>N</v>
      </c>
      <c r="AT669" t="str">
        <f>"N"</f>
        <v>N</v>
      </c>
      <c r="AU669" t="str">
        <f>"N"</f>
        <v>N</v>
      </c>
      <c r="AV669" t="str">
        <f>""</f>
        <v/>
      </c>
      <c r="AW669" t="str">
        <f>""</f>
        <v/>
      </c>
      <c r="AX669" t="str">
        <f>""</f>
        <v/>
      </c>
      <c r="AY669" t="str">
        <f>""</f>
        <v/>
      </c>
      <c r="AZ669" t="str">
        <f>""</f>
        <v/>
      </c>
      <c r="BA669" t="str">
        <f>""</f>
        <v/>
      </c>
      <c r="BB669" t="str">
        <f>""</f>
        <v/>
      </c>
      <c r="BC669" t="str">
        <f>"17/01/2023 17:09:41"</f>
        <v>17/01/2023 17:09:41</v>
      </c>
      <c r="BD669" t="str">
        <f>""</f>
        <v/>
      </c>
      <c r="BE669" t="str">
        <f>""</f>
        <v/>
      </c>
      <c r="BF669" t="str">
        <f t="shared" si="328"/>
        <v>A</v>
      </c>
      <c r="BG669" t="str">
        <f>"0,00"</f>
        <v>0,00</v>
      </c>
      <c r="BH669" t="str">
        <f>"0,00"</f>
        <v>0,00</v>
      </c>
      <c r="BI669" t="str">
        <f t="shared" si="307"/>
        <v>EVENTUAL</v>
      </c>
      <c r="BJ669" t="str">
        <f t="shared" si="329"/>
        <v>1</v>
      </c>
      <c r="BK669" t="str">
        <f t="shared" si="330"/>
        <v>Farmacia</v>
      </c>
      <c r="BL669" t="str">
        <f>""</f>
        <v/>
      </c>
      <c r="BM669" t="str">
        <f>"NÃO É VARILUX ESPECIALISTA"</f>
        <v>NÃO É VARILUX ESPECIALISTA</v>
      </c>
      <c r="BN669" t="str">
        <f>"NA"</f>
        <v>NA</v>
      </c>
      <c r="BO669" t="str">
        <f>"OUTROS"</f>
        <v>OUTROS</v>
      </c>
      <c r="BP669" t="str">
        <f>""</f>
        <v/>
      </c>
      <c r="BQ669" t="str">
        <f>""</f>
        <v/>
      </c>
      <c r="BR669" t="str">
        <f>""</f>
        <v/>
      </c>
      <c r="BS669" t="str">
        <f>"17/01/2023"</f>
        <v>17/01/2023</v>
      </c>
      <c r="BT669" t="str">
        <f>""</f>
        <v/>
      </c>
      <c r="BU669" t="str">
        <f>""</f>
        <v/>
      </c>
      <c r="BV669" t="str">
        <f>"3"</f>
        <v>3</v>
      </c>
      <c r="BW669" t="str">
        <f>"100"</f>
        <v>100</v>
      </c>
    </row>
    <row r="670" spans="1:75" x14ac:dyDescent="0.35">
      <c r="A670">
        <v>144332</v>
      </c>
      <c r="B670" t="str">
        <f t="shared" si="325"/>
        <v>A</v>
      </c>
      <c r="C670" t="str">
        <f t="shared" si="326"/>
        <v>80</v>
      </c>
      <c r="D670" t="str">
        <f t="shared" si="316"/>
        <v>11121002</v>
      </c>
      <c r="E670" t="str">
        <f t="shared" si="317"/>
        <v>121002</v>
      </c>
      <c r="F670" t="str">
        <f t="shared" si="318"/>
        <v>CINTHIA NORONHA</v>
      </c>
      <c r="G670" t="str">
        <f>"12849080000133"</f>
        <v>12849080000133</v>
      </c>
      <c r="H670" t="str">
        <f>""</f>
        <v/>
      </c>
      <c r="I670" t="str">
        <f t="shared" si="327"/>
        <v>CONTA OPTICA</v>
      </c>
      <c r="J670" t="str">
        <f>"ESPORTIVA COMERCIO OPTICO LTDA ME"</f>
        <v>ESPORTIVA COMERCIO OPTICO LTDA ME</v>
      </c>
      <c r="K670" t="str">
        <f>"OPTICA ESPORTIVA (1786)"</f>
        <v>OPTICA ESPORTIVA (1786)</v>
      </c>
      <c r="L670" t="str">
        <f>""</f>
        <v/>
      </c>
      <c r="M670" t="str">
        <f>""</f>
        <v/>
      </c>
      <c r="N670" t="str">
        <f>"opticaesportiva@hotmail.com"</f>
        <v>opticaesportiva@hotmail.com</v>
      </c>
      <c r="O670" t="str">
        <f>""</f>
        <v/>
      </c>
      <c r="P670" t="str">
        <f>"AVENIDA CORONEL JOAO FERNSANDES"</f>
        <v>AVENIDA CORONEL JOAO FERNSANDES</v>
      </c>
      <c r="Q670" t="str">
        <f>"155"</f>
        <v>155</v>
      </c>
      <c r="R670" t="str">
        <f>""</f>
        <v/>
      </c>
      <c r="S670" t="str">
        <f>"1270"</f>
        <v>1270</v>
      </c>
      <c r="T670" t="str">
        <f>"88900005"</f>
        <v>88900005</v>
      </c>
      <c r="U670" t="str">
        <f>"CENTRO"</f>
        <v>CENTRO</v>
      </c>
      <c r="V670" t="str">
        <f>"ARARANGUÁ"</f>
        <v>ARARANGUÁ</v>
      </c>
      <c r="W670" t="str">
        <f t="shared" si="341"/>
        <v>SC</v>
      </c>
      <c r="X670" t="str">
        <f t="shared" si="336"/>
        <v>48</v>
      </c>
      <c r="Y670" t="str">
        <f>"35240957"</f>
        <v>35240957</v>
      </c>
      <c r="Z670" t="str">
        <f>""</f>
        <v/>
      </c>
      <c r="AA670" t="str">
        <f>""</f>
        <v/>
      </c>
      <c r="AB670" t="str">
        <f>""</f>
        <v/>
      </c>
      <c r="AC670" t="str">
        <f>""</f>
        <v/>
      </c>
      <c r="AD670" t="str">
        <f>""</f>
        <v/>
      </c>
      <c r="AE670" t="str">
        <f>""</f>
        <v/>
      </c>
      <c r="AF670" t="str">
        <f>""</f>
        <v/>
      </c>
      <c r="AG670" t="str">
        <f>""</f>
        <v/>
      </c>
      <c r="AH670" t="str">
        <f>""</f>
        <v/>
      </c>
      <c r="AI670" t="str">
        <f>""</f>
        <v/>
      </c>
      <c r="AJ670" t="str">
        <f t="shared" si="343"/>
        <v>0</v>
      </c>
      <c r="AK670" t="str">
        <f t="shared" si="343"/>
        <v>0</v>
      </c>
      <c r="AL670" t="str">
        <f t="shared" si="343"/>
        <v>0</v>
      </c>
      <c r="AM670" t="str">
        <f>""</f>
        <v/>
      </c>
      <c r="AN670" t="str">
        <f>""</f>
        <v/>
      </c>
      <c r="AO670" t="str">
        <f>""</f>
        <v/>
      </c>
      <c r="AP670" t="str">
        <f>""</f>
        <v/>
      </c>
      <c r="AQ670" t="str">
        <f>""</f>
        <v/>
      </c>
      <c r="AR670" t="str">
        <f>""</f>
        <v/>
      </c>
      <c r="AS670" t="str">
        <f>""</f>
        <v/>
      </c>
      <c r="AT670" t="str">
        <f>""</f>
        <v/>
      </c>
      <c r="AU670" t="str">
        <f>""</f>
        <v/>
      </c>
      <c r="AV670" t="str">
        <f>""</f>
        <v/>
      </c>
      <c r="AW670" t="str">
        <f>""</f>
        <v/>
      </c>
      <c r="AX670" t="str">
        <f>""</f>
        <v/>
      </c>
      <c r="AY670" t="str">
        <f>""</f>
        <v/>
      </c>
      <c r="AZ670" t="str">
        <f>""</f>
        <v/>
      </c>
      <c r="BA670" t="str">
        <f>""</f>
        <v/>
      </c>
      <c r="BB670" t="str">
        <f>""</f>
        <v/>
      </c>
      <c r="BC670" t="str">
        <f>""</f>
        <v/>
      </c>
      <c r="BD670" t="str">
        <f>""</f>
        <v/>
      </c>
      <c r="BE670" t="str">
        <f>""</f>
        <v/>
      </c>
      <c r="BF670" t="str">
        <f t="shared" si="328"/>
        <v>A</v>
      </c>
      <c r="BG670" t="str">
        <f>"0,00"</f>
        <v>0,00</v>
      </c>
      <c r="BH670" t="str">
        <f>"0,00"</f>
        <v>0,00</v>
      </c>
      <c r="BI670" t="str">
        <f t="shared" si="307"/>
        <v>EVENTUAL</v>
      </c>
      <c r="BJ670" t="str">
        <f t="shared" si="329"/>
        <v>1</v>
      </c>
      <c r="BK670" t="str">
        <f t="shared" si="330"/>
        <v>Farmacia</v>
      </c>
      <c r="BL670" t="str">
        <f>""</f>
        <v/>
      </c>
      <c r="BM670" t="str">
        <f>"CREDENCIADO VARILUX"</f>
        <v>CREDENCIADO VARILUX</v>
      </c>
      <c r="BN670" t="str">
        <f>"EL360"</f>
        <v>EL360</v>
      </c>
      <c r="BO670" t="str">
        <f>"FOCO VARILUX DIGITAL"</f>
        <v>FOCO VARILUX DIGITAL</v>
      </c>
      <c r="BP670" t="str">
        <f>""</f>
        <v/>
      </c>
      <c r="BQ670" t="str">
        <f>""</f>
        <v/>
      </c>
      <c r="BR670" t="str">
        <f>""</f>
        <v/>
      </c>
      <c r="BS670" t="str">
        <f>""</f>
        <v/>
      </c>
      <c r="BT670" t="str">
        <f>""</f>
        <v/>
      </c>
      <c r="BU670" t="str">
        <f>""</f>
        <v/>
      </c>
      <c r="BV670" t="str">
        <f>"5"</f>
        <v>5</v>
      </c>
      <c r="BW670" t="str">
        <f>"Não visitado"</f>
        <v>Não visitado</v>
      </c>
    </row>
    <row r="671" spans="1:75" x14ac:dyDescent="0.35">
      <c r="A671">
        <v>127667</v>
      </c>
      <c r="B671" t="str">
        <f t="shared" si="325"/>
        <v>A</v>
      </c>
      <c r="C671" t="str">
        <f t="shared" si="326"/>
        <v>80</v>
      </c>
      <c r="D671" t="str">
        <f t="shared" si="316"/>
        <v>11121002</v>
      </c>
      <c r="E671" t="str">
        <f t="shared" si="317"/>
        <v>121002</v>
      </c>
      <c r="F671" t="str">
        <f t="shared" si="318"/>
        <v>CINTHIA NORONHA</v>
      </c>
      <c r="G671" t="str">
        <f>"31677041000140"</f>
        <v>31677041000140</v>
      </c>
      <c r="H671" t="str">
        <f>"0"</f>
        <v>0</v>
      </c>
      <c r="I671" t="str">
        <f t="shared" si="327"/>
        <v>CONTA OPTICA</v>
      </c>
      <c r="J671" t="str">
        <f>"ESTIJ OTICA EIRELE"</f>
        <v>ESTIJ OTICA EIRELE</v>
      </c>
      <c r="K671" t="str">
        <f>"OTICAS CAROL (3936)"</f>
        <v>OTICAS CAROL (3936)</v>
      </c>
      <c r="L671" t="str">
        <f>""</f>
        <v/>
      </c>
      <c r="M671" t="str">
        <f>""</f>
        <v/>
      </c>
      <c r="N671" t="str">
        <f>"financeiro.floripa@oticascarol.com.br"</f>
        <v>financeiro.floripa@oticascarol.com.br</v>
      </c>
      <c r="O671" t="str">
        <f>""</f>
        <v/>
      </c>
      <c r="P671" t="str">
        <f>"RUA GENERAL LIBERATO BITTENCOURT"</f>
        <v>RUA GENERAL LIBERATO BITTENCOURT</v>
      </c>
      <c r="Q671" t="str">
        <f>"1757"</f>
        <v>1757</v>
      </c>
      <c r="R671" t="str">
        <f>"ANDAR TERREO"</f>
        <v>ANDAR TERREO</v>
      </c>
      <c r="S671" t="str">
        <f>"1258"</f>
        <v>1258</v>
      </c>
      <c r="T671" t="str">
        <f>"88070800"</f>
        <v>88070800</v>
      </c>
      <c r="U671" t="str">
        <f>"ESTREITO"</f>
        <v>ESTREITO</v>
      </c>
      <c r="V671" t="str">
        <f>"FLORIANOPOLIS"</f>
        <v>FLORIANOPOLIS</v>
      </c>
      <c r="W671" t="str">
        <f t="shared" si="341"/>
        <v>SC</v>
      </c>
      <c r="X671" t="str">
        <f t="shared" si="336"/>
        <v>48</v>
      </c>
      <c r="Y671" t="str">
        <f>"33042306"</f>
        <v>33042306</v>
      </c>
      <c r="Z671" t="str">
        <f>""</f>
        <v/>
      </c>
      <c r="AA671" t="str">
        <f>""</f>
        <v/>
      </c>
      <c r="AB671" t="str">
        <f>""</f>
        <v/>
      </c>
      <c r="AC671" t="str">
        <f>""</f>
        <v/>
      </c>
      <c r="AD671" t="str">
        <f>""</f>
        <v/>
      </c>
      <c r="AE671" t="str">
        <f>""</f>
        <v/>
      </c>
      <c r="AF671" t="str">
        <f>""</f>
        <v/>
      </c>
      <c r="AG671" t="str">
        <f>""</f>
        <v/>
      </c>
      <c r="AH671" t="str">
        <f>""</f>
        <v/>
      </c>
      <c r="AI671" t="str">
        <f>""</f>
        <v/>
      </c>
      <c r="AJ671" t="str">
        <f>""</f>
        <v/>
      </c>
      <c r="AK671" t="str">
        <f>""</f>
        <v/>
      </c>
      <c r="AL671" t="str">
        <f>""</f>
        <v/>
      </c>
      <c r="AM671" t="str">
        <f>""</f>
        <v/>
      </c>
      <c r="AN671" t="str">
        <f>""</f>
        <v/>
      </c>
      <c r="AO671" t="str">
        <f>""</f>
        <v/>
      </c>
      <c r="AP671" t="str">
        <f>""</f>
        <v/>
      </c>
      <c r="AQ671" t="str">
        <f>""</f>
        <v/>
      </c>
      <c r="AR671" t="str">
        <f>""</f>
        <v/>
      </c>
      <c r="AS671" t="str">
        <f>""</f>
        <v/>
      </c>
      <c r="AT671" t="str">
        <f>""</f>
        <v/>
      </c>
      <c r="AU671" t="str">
        <f>""</f>
        <v/>
      </c>
      <c r="AV671" t="str">
        <f>""</f>
        <v/>
      </c>
      <c r="AW671" t="str">
        <f>""</f>
        <v/>
      </c>
      <c r="AX671" t="str">
        <f>""</f>
        <v/>
      </c>
      <c r="AY671" t="str">
        <f>""</f>
        <v/>
      </c>
      <c r="AZ671" t="str">
        <f>""</f>
        <v/>
      </c>
      <c r="BA671" t="str">
        <f>""</f>
        <v/>
      </c>
      <c r="BB671" t="str">
        <f>"07/10/2020 09:08:38"</f>
        <v>07/10/2020 09:08:38</v>
      </c>
      <c r="BC671" t="str">
        <f>""</f>
        <v/>
      </c>
      <c r="BD671" t="str">
        <f>""</f>
        <v/>
      </c>
      <c r="BE671" t="str">
        <f>""</f>
        <v/>
      </c>
      <c r="BF671" t="str">
        <f t="shared" si="328"/>
        <v>A</v>
      </c>
      <c r="BG671" t="str">
        <f>""</f>
        <v/>
      </c>
      <c r="BH671" t="str">
        <f>""</f>
        <v/>
      </c>
      <c r="BI671" t="str">
        <f t="shared" si="307"/>
        <v>EVENTUAL</v>
      </c>
      <c r="BJ671" t="str">
        <f t="shared" si="329"/>
        <v>1</v>
      </c>
      <c r="BK671" t="str">
        <f t="shared" si="330"/>
        <v>Farmacia</v>
      </c>
      <c r="BL671" t="str">
        <f>""</f>
        <v/>
      </c>
      <c r="BM671" t="str">
        <f>"NÃO É VARILUX ESPECIALISTA"</f>
        <v>NÃO É VARILUX ESPECIALISTA</v>
      </c>
      <c r="BN671" t="str">
        <f>"NA"</f>
        <v>NA</v>
      </c>
      <c r="BO671" t="str">
        <f>"FOCO VARILUX DIGITAL"</f>
        <v>FOCO VARILUX DIGITAL</v>
      </c>
      <c r="BP671" t="str">
        <f>""</f>
        <v/>
      </c>
      <c r="BQ671" t="str">
        <f>""</f>
        <v/>
      </c>
      <c r="BR671" t="str">
        <f>"07/10/2020"</f>
        <v>07/10/2020</v>
      </c>
      <c r="BS671" t="str">
        <f>""</f>
        <v/>
      </c>
      <c r="BT671" t="str">
        <f>""</f>
        <v/>
      </c>
      <c r="BU671" t="str">
        <f>""</f>
        <v/>
      </c>
      <c r="BV671" t="str">
        <f>"1"</f>
        <v>1</v>
      </c>
      <c r="BW671" t="str">
        <f>"395"</f>
        <v>395</v>
      </c>
    </row>
    <row r="672" spans="1:75" x14ac:dyDescent="0.35">
      <c r="A672">
        <v>134401</v>
      </c>
      <c r="B672" t="str">
        <f t="shared" si="325"/>
        <v>A</v>
      </c>
      <c r="C672" t="str">
        <f t="shared" si="326"/>
        <v>80</v>
      </c>
      <c r="D672" t="str">
        <f t="shared" si="316"/>
        <v>11121002</v>
      </c>
      <c r="E672" t="str">
        <f t="shared" si="317"/>
        <v>121002</v>
      </c>
      <c r="F672" t="str">
        <f t="shared" si="318"/>
        <v>CINTHIA NORONHA</v>
      </c>
      <c r="G672" t="str">
        <f>"31677041000574"</f>
        <v>31677041000574</v>
      </c>
      <c r="H672" t="str">
        <f>""</f>
        <v/>
      </c>
      <c r="I672" t="str">
        <f t="shared" si="327"/>
        <v>CONTA OPTICA</v>
      </c>
      <c r="J672" t="str">
        <f>"ESTIJ OTICA LTDA"</f>
        <v>ESTIJ OTICA LTDA</v>
      </c>
      <c r="K672" t="str">
        <f>"OTICAS CAROL (4148)"</f>
        <v>OTICAS CAROL (4148)</v>
      </c>
      <c r="L672" t="str">
        <f>""</f>
        <v/>
      </c>
      <c r="M672" t="str">
        <f>""</f>
        <v/>
      </c>
      <c r="N672" t="str">
        <f>"financeiro.floripa@oticascarol.com.br"</f>
        <v>financeiro.floripa@oticascarol.com.br</v>
      </c>
      <c r="O672" t="str">
        <f>""</f>
        <v/>
      </c>
      <c r="P672" t="str">
        <f>"RUA HENRIQUE VERA DO NASCIMENTO"</f>
        <v>RUA HENRIQUE VERA DO NASCIMENTO</v>
      </c>
      <c r="Q672" t="str">
        <f>"395"</f>
        <v>395</v>
      </c>
      <c r="R672" t="str">
        <f>"LOJA 03"</f>
        <v>LOJA 03</v>
      </c>
      <c r="S672" t="str">
        <f>"1257"</f>
        <v>1257</v>
      </c>
      <c r="T672" t="str">
        <f>"88062020"</f>
        <v>88062020</v>
      </c>
      <c r="U672" t="str">
        <f>"LAGOA DA CONCEICAO"</f>
        <v>LAGOA DA CONCEICAO</v>
      </c>
      <c r="V672" t="str">
        <f>"FLORIANÓPOLIS"</f>
        <v>FLORIANÓPOLIS</v>
      </c>
      <c r="W672" t="str">
        <f t="shared" si="341"/>
        <v>SC</v>
      </c>
      <c r="X672" t="str">
        <f t="shared" si="336"/>
        <v>48</v>
      </c>
      <c r="Y672" t="str">
        <f>"32067992"</f>
        <v>32067992</v>
      </c>
      <c r="Z672" t="str">
        <f>""</f>
        <v/>
      </c>
      <c r="AA672" t="str">
        <f>""</f>
        <v/>
      </c>
      <c r="AB672" t="str">
        <f>""</f>
        <v/>
      </c>
      <c r="AC672" t="str">
        <f>""</f>
        <v/>
      </c>
      <c r="AD672" t="str">
        <f>""</f>
        <v/>
      </c>
      <c r="AE672" t="str">
        <f>""</f>
        <v/>
      </c>
      <c r="AF672" t="str">
        <f>""</f>
        <v/>
      </c>
      <c r="AG672" t="str">
        <f>"S"</f>
        <v>S</v>
      </c>
      <c r="AH672" t="str">
        <f>""</f>
        <v/>
      </c>
      <c r="AI672" t="str">
        <f>""</f>
        <v/>
      </c>
      <c r="AJ672" t="str">
        <f>""</f>
        <v/>
      </c>
      <c r="AK672" t="str">
        <f>""</f>
        <v/>
      </c>
      <c r="AL672" t="str">
        <f>""</f>
        <v/>
      </c>
      <c r="AM672" t="str">
        <f>""</f>
        <v/>
      </c>
      <c r="AN672" t="str">
        <f>""</f>
        <v/>
      </c>
      <c r="AO672" t="str">
        <f>""</f>
        <v/>
      </c>
      <c r="AP672" t="str">
        <f>""</f>
        <v/>
      </c>
      <c r="AQ672" t="str">
        <f>"N"</f>
        <v>N</v>
      </c>
      <c r="AR672" t="str">
        <f>"N"</f>
        <v>N</v>
      </c>
      <c r="AS672" t="str">
        <f>"N"</f>
        <v>N</v>
      </c>
      <c r="AT672" t="str">
        <f>"N"</f>
        <v>N</v>
      </c>
      <c r="AU672" t="str">
        <f>"N"</f>
        <v>N</v>
      </c>
      <c r="AV672" t="str">
        <f>""</f>
        <v/>
      </c>
      <c r="AW672" t="str">
        <f>""</f>
        <v/>
      </c>
      <c r="AX672" t="str">
        <f>""</f>
        <v/>
      </c>
      <c r="AY672" t="str">
        <f>""</f>
        <v/>
      </c>
      <c r="AZ672" t="str">
        <f>""</f>
        <v/>
      </c>
      <c r="BA672" t="str">
        <f>""</f>
        <v/>
      </c>
      <c r="BB672" t="str">
        <f>""</f>
        <v/>
      </c>
      <c r="BC672" t="str">
        <f>"17/01/2022 15:21:51"</f>
        <v>17/01/2022 15:21:51</v>
      </c>
      <c r="BD672" t="str">
        <f>""</f>
        <v/>
      </c>
      <c r="BE672" t="str">
        <f>""</f>
        <v/>
      </c>
      <c r="BF672" t="str">
        <f t="shared" si="328"/>
        <v>A</v>
      </c>
      <c r="BG672" t="str">
        <f>""</f>
        <v/>
      </c>
      <c r="BH672" t="str">
        <f>"0,00"</f>
        <v>0,00</v>
      </c>
      <c r="BI672" t="str">
        <f t="shared" ref="BI672:BI735" si="344">"EVENTUAL"</f>
        <v>EVENTUAL</v>
      </c>
      <c r="BJ672" t="str">
        <f t="shared" si="329"/>
        <v>1</v>
      </c>
      <c r="BK672" t="str">
        <f t="shared" si="330"/>
        <v>Farmacia</v>
      </c>
      <c r="BL672" t="str">
        <f>""</f>
        <v/>
      </c>
      <c r="BM672" t="str">
        <f>"VARILUX ESPECIALISTA SELECT"</f>
        <v>VARILUX ESPECIALISTA SELECT</v>
      </c>
      <c r="BN672" t="str">
        <f>"NA"</f>
        <v>NA</v>
      </c>
      <c r="BO672" t="str">
        <f>"FOCO VARILUX DIGITAL"</f>
        <v>FOCO VARILUX DIGITAL</v>
      </c>
      <c r="BP672" t="str">
        <f>""</f>
        <v/>
      </c>
      <c r="BQ672" t="str">
        <f>""</f>
        <v/>
      </c>
      <c r="BR672" t="str">
        <f>""</f>
        <v/>
      </c>
      <c r="BS672" t="str">
        <f>"17/01/2022"</f>
        <v>17/01/2022</v>
      </c>
      <c r="BT672" t="str">
        <f>""</f>
        <v/>
      </c>
      <c r="BU672" t="str">
        <f>""</f>
        <v/>
      </c>
      <c r="BV672" t="str">
        <f>"1"</f>
        <v>1</v>
      </c>
      <c r="BW672" t="str">
        <f>"85"</f>
        <v>85</v>
      </c>
    </row>
    <row r="673" spans="1:75" x14ac:dyDescent="0.35">
      <c r="A673">
        <v>135178</v>
      </c>
      <c r="B673" t="str">
        <f t="shared" si="325"/>
        <v>A</v>
      </c>
      <c r="C673" t="str">
        <f t="shared" si="326"/>
        <v>80</v>
      </c>
      <c r="D673" t="str">
        <f t="shared" si="316"/>
        <v>11121002</v>
      </c>
      <c r="E673" t="str">
        <f t="shared" si="317"/>
        <v>121002</v>
      </c>
      <c r="F673" t="str">
        <f t="shared" si="318"/>
        <v>CINTHIA NORONHA</v>
      </c>
      <c r="G673" t="str">
        <f>"41451744000100"</f>
        <v>41451744000100</v>
      </c>
      <c r="H673" t="str">
        <f>"0"</f>
        <v>0</v>
      </c>
      <c r="I673" t="str">
        <f t="shared" si="327"/>
        <v>CONTA OPTICA</v>
      </c>
      <c r="J673" t="str">
        <f>"ESTRE COMERCIO DE PRODUTOS OTICOS LTDA"</f>
        <v>ESTRE COMERCIO DE PRODUTOS OTICOS LTDA</v>
      </c>
      <c r="K673" t="str">
        <f>"OTICAS CAROL (4307)"</f>
        <v>OTICAS CAROL (4307)</v>
      </c>
      <c r="L673" t="str">
        <f>""</f>
        <v/>
      </c>
      <c r="M673" t="str">
        <f>""</f>
        <v/>
      </c>
      <c r="N673" t="str">
        <f>"FINANCEIRO.FLORIPA@OTICASCAROL.COM.BR"</f>
        <v>FINANCEIRO.FLORIPA@OTICASCAROL.COM.BR</v>
      </c>
      <c r="O673" t="str">
        <f>""</f>
        <v/>
      </c>
      <c r="P673" t="str">
        <f>"RUA GENERAL LIBERATO BITTENCOURT"</f>
        <v>RUA GENERAL LIBERATO BITTENCOURT</v>
      </c>
      <c r="Q673" t="str">
        <f>"1757"</f>
        <v>1757</v>
      </c>
      <c r="R673" t="str">
        <f>"ANDAR TERREO"</f>
        <v>ANDAR TERREO</v>
      </c>
      <c r="S673" t="str">
        <f>"1258"</f>
        <v>1258</v>
      </c>
      <c r="T673" t="str">
        <f>"88070800"</f>
        <v>88070800</v>
      </c>
      <c r="U673" t="str">
        <f>"ESTREITO"</f>
        <v>ESTREITO</v>
      </c>
      <c r="V673" t="str">
        <f>"FLORIANOPOLIS"</f>
        <v>FLORIANOPOLIS</v>
      </c>
      <c r="W673" t="str">
        <f t="shared" si="341"/>
        <v>SC</v>
      </c>
      <c r="X673" t="str">
        <f t="shared" si="336"/>
        <v>48</v>
      </c>
      <c r="Y673" t="str">
        <f>"33042306"</f>
        <v>33042306</v>
      </c>
      <c r="Z673" t="str">
        <f>""</f>
        <v/>
      </c>
      <c r="AA673" t="str">
        <f>""</f>
        <v/>
      </c>
      <c r="AB673" t="str">
        <f>""</f>
        <v/>
      </c>
      <c r="AC673" t="str">
        <f>""</f>
        <v/>
      </c>
      <c r="AD673" t="str">
        <f>""</f>
        <v/>
      </c>
      <c r="AE673" t="str">
        <f>""</f>
        <v/>
      </c>
      <c r="AF673" t="str">
        <f>""</f>
        <v/>
      </c>
      <c r="AG673" t="str">
        <f>""</f>
        <v/>
      </c>
      <c r="AH673" t="str">
        <f>""</f>
        <v/>
      </c>
      <c r="AI673" t="str">
        <f>""</f>
        <v/>
      </c>
      <c r="AJ673" t="str">
        <f>""</f>
        <v/>
      </c>
      <c r="AK673" t="str">
        <f>""</f>
        <v/>
      </c>
      <c r="AL673" t="str">
        <f>""</f>
        <v/>
      </c>
      <c r="AM673" t="str">
        <f>""</f>
        <v/>
      </c>
      <c r="AN673" t="str">
        <f>""</f>
        <v/>
      </c>
      <c r="AO673" t="str">
        <f>""</f>
        <v/>
      </c>
      <c r="AP673" t="str">
        <f>""</f>
        <v/>
      </c>
      <c r="AQ673" t="str">
        <f>""</f>
        <v/>
      </c>
      <c r="AR673" t="str">
        <f>""</f>
        <v/>
      </c>
      <c r="AS673" t="str">
        <f>""</f>
        <v/>
      </c>
      <c r="AT673" t="str">
        <f>""</f>
        <v/>
      </c>
      <c r="AU673" t="str">
        <f>""</f>
        <v/>
      </c>
      <c r="AV673" t="str">
        <f>""</f>
        <v/>
      </c>
      <c r="AW673" t="str">
        <f>""</f>
        <v/>
      </c>
      <c r="AX673" t="str">
        <f>""</f>
        <v/>
      </c>
      <c r="AY673" t="str">
        <f>""</f>
        <v/>
      </c>
      <c r="AZ673" t="str">
        <f>""</f>
        <v/>
      </c>
      <c r="BA673" t="str">
        <f>""</f>
        <v/>
      </c>
      <c r="BB673" t="str">
        <f>"30/04/2021 10:16:11"</f>
        <v>30/04/2021 10:16:11</v>
      </c>
      <c r="BC673" t="str">
        <f>""</f>
        <v/>
      </c>
      <c r="BD673" t="str">
        <f>""</f>
        <v/>
      </c>
      <c r="BE673" t="str">
        <f>""</f>
        <v/>
      </c>
      <c r="BF673" t="str">
        <f t="shared" si="328"/>
        <v>A</v>
      </c>
      <c r="BG673" t="str">
        <f>""</f>
        <v/>
      </c>
      <c r="BH673" t="str">
        <f>""</f>
        <v/>
      </c>
      <c r="BI673" t="str">
        <f t="shared" si="344"/>
        <v>EVENTUAL</v>
      </c>
      <c r="BJ673" t="str">
        <f t="shared" si="329"/>
        <v>1</v>
      </c>
      <c r="BK673" t="str">
        <f t="shared" si="330"/>
        <v>Farmacia</v>
      </c>
      <c r="BL673" t="str">
        <f>""</f>
        <v/>
      </c>
      <c r="BM673" t="str">
        <f>"VARILUX ESPECIALISTA PLATINE"</f>
        <v>VARILUX ESPECIALISTA PLATINE</v>
      </c>
      <c r="BN673" t="str">
        <f>"NA"</f>
        <v>NA</v>
      </c>
      <c r="BO673" t="str">
        <f>"FOCO VARILUX DIGITAL"</f>
        <v>FOCO VARILUX DIGITAL</v>
      </c>
      <c r="BP673" t="str">
        <f>""</f>
        <v/>
      </c>
      <c r="BQ673" t="str">
        <f>""</f>
        <v/>
      </c>
      <c r="BR673" t="str">
        <f>"30/04/2021"</f>
        <v>30/04/2021</v>
      </c>
      <c r="BS673" t="str">
        <f>""</f>
        <v/>
      </c>
      <c r="BT673" t="str">
        <f>""</f>
        <v/>
      </c>
      <c r="BU673" t="str">
        <f>""</f>
        <v/>
      </c>
      <c r="BV673" t="str">
        <f>""</f>
        <v/>
      </c>
      <c r="BW673" t="str">
        <f>"345"</f>
        <v>345</v>
      </c>
    </row>
    <row r="674" spans="1:75" x14ac:dyDescent="0.35">
      <c r="A674">
        <v>152756</v>
      </c>
      <c r="B674" t="str">
        <f t="shared" si="325"/>
        <v>A</v>
      </c>
      <c r="C674" t="str">
        <f t="shared" si="326"/>
        <v>80</v>
      </c>
      <c r="D674" t="str">
        <f t="shared" si="316"/>
        <v>11121002</v>
      </c>
      <c r="E674" t="str">
        <f t="shared" si="317"/>
        <v>121002</v>
      </c>
      <c r="F674" t="str">
        <f t="shared" si="318"/>
        <v>CINTHIA NORONHA</v>
      </c>
      <c r="G674" t="str">
        <f>"44209795000118"</f>
        <v>44209795000118</v>
      </c>
      <c r="H674" t="str">
        <f>"0"</f>
        <v>0</v>
      </c>
      <c r="I674" t="str">
        <f t="shared" si="327"/>
        <v>CONTA OPTICA</v>
      </c>
      <c r="J674" t="str">
        <f>"ESTREITO OTICA RIO BRANCO LTDA"</f>
        <v>ESTREITO OTICA RIO BRANCO LTDA</v>
      </c>
      <c r="K674" t="str">
        <f>"OTICA RIO BRANCO ESTREITO"</f>
        <v>OTICA RIO BRANCO ESTREITO</v>
      </c>
      <c r="L674" t="str">
        <f>""</f>
        <v/>
      </c>
      <c r="M674" t="str">
        <f>""</f>
        <v/>
      </c>
      <c r="N674" t="str">
        <f>"financeiro@oticariobranco.com.br"</f>
        <v>financeiro@oticariobranco.com.br</v>
      </c>
      <c r="O674" t="str">
        <f>""</f>
        <v/>
      </c>
      <c r="P674" t="str">
        <f>"RUA GENERAL LIBERATO BITTENCOURT"</f>
        <v>RUA GENERAL LIBERATO BITTENCOURT</v>
      </c>
      <c r="Q674" t="str">
        <f>"1773"</f>
        <v>1773</v>
      </c>
      <c r="R674" t="str">
        <f>"FUNDOS SALA 002"</f>
        <v>FUNDOS SALA 002</v>
      </c>
      <c r="S674" t="str">
        <f>"1258"</f>
        <v>1258</v>
      </c>
      <c r="T674" t="str">
        <f>"88070800"</f>
        <v>88070800</v>
      </c>
      <c r="U674" t="str">
        <f>"CANTO"</f>
        <v>CANTO</v>
      </c>
      <c r="V674" t="str">
        <f>"FLORIANOPOLIS"</f>
        <v>FLORIANOPOLIS</v>
      </c>
      <c r="W674" t="str">
        <f t="shared" si="341"/>
        <v>SC</v>
      </c>
      <c r="X674" t="str">
        <f>""</f>
        <v/>
      </c>
      <c r="Y674" t="str">
        <f>""</f>
        <v/>
      </c>
      <c r="Z674" t="str">
        <f>""</f>
        <v/>
      </c>
      <c r="AA674" t="str">
        <f>""</f>
        <v/>
      </c>
      <c r="AB674" t="str">
        <f>""</f>
        <v/>
      </c>
      <c r="AC674" t="str">
        <f>""</f>
        <v/>
      </c>
      <c r="AD674" t="str">
        <f>""</f>
        <v/>
      </c>
      <c r="AE674" t="str">
        <f>""</f>
        <v/>
      </c>
      <c r="AF674" t="str">
        <f>""</f>
        <v/>
      </c>
      <c r="AG674" t="str">
        <f>""</f>
        <v/>
      </c>
      <c r="AH674" t="str">
        <f>""</f>
        <v/>
      </c>
      <c r="AI674" t="str">
        <f>""</f>
        <v/>
      </c>
      <c r="AJ674" t="str">
        <f>""</f>
        <v/>
      </c>
      <c r="AK674" t="str">
        <f>""</f>
        <v/>
      </c>
      <c r="AL674" t="str">
        <f>""</f>
        <v/>
      </c>
      <c r="AM674" t="str">
        <f>""</f>
        <v/>
      </c>
      <c r="AN674" t="str">
        <f>""</f>
        <v/>
      </c>
      <c r="AO674" t="str">
        <f>""</f>
        <v/>
      </c>
      <c r="AP674" t="str">
        <f>""</f>
        <v/>
      </c>
      <c r="AQ674" t="str">
        <f>""</f>
        <v/>
      </c>
      <c r="AR674" t="str">
        <f>""</f>
        <v/>
      </c>
      <c r="AS674" t="str">
        <f>""</f>
        <v/>
      </c>
      <c r="AT674" t="str">
        <f>""</f>
        <v/>
      </c>
      <c r="AU674" t="str">
        <f>""</f>
        <v/>
      </c>
      <c r="AV674" t="str">
        <f>""</f>
        <v/>
      </c>
      <c r="AW674" t="str">
        <f>""</f>
        <v/>
      </c>
      <c r="AX674" t="str">
        <f>""</f>
        <v/>
      </c>
      <c r="AY674" t="str">
        <f>""</f>
        <v/>
      </c>
      <c r="AZ674" t="str">
        <f>""</f>
        <v/>
      </c>
      <c r="BA674" t="str">
        <f>""</f>
        <v/>
      </c>
      <c r="BB674" t="str">
        <f>"03/04/2023 13:34:29"</f>
        <v>03/04/2023 13:34:29</v>
      </c>
      <c r="BC674" t="str">
        <f>""</f>
        <v/>
      </c>
      <c r="BD674" t="str">
        <f>""</f>
        <v/>
      </c>
      <c r="BE674" t="str">
        <f>""</f>
        <v/>
      </c>
      <c r="BF674" t="str">
        <f t="shared" si="328"/>
        <v>A</v>
      </c>
      <c r="BG674" t="str">
        <f>""</f>
        <v/>
      </c>
      <c r="BH674" t="str">
        <f>""</f>
        <v/>
      </c>
      <c r="BI674" t="str">
        <f t="shared" si="344"/>
        <v>EVENTUAL</v>
      </c>
      <c r="BJ674" t="str">
        <f t="shared" si="329"/>
        <v>1</v>
      </c>
      <c r="BK674" t="str">
        <f t="shared" si="330"/>
        <v>Farmacia</v>
      </c>
      <c r="BL674" t="str">
        <f>""</f>
        <v/>
      </c>
      <c r="BM674" t="str">
        <f>""</f>
        <v/>
      </c>
      <c r="BN674" t="str">
        <f>""</f>
        <v/>
      </c>
      <c r="BO674" t="str">
        <f>""</f>
        <v/>
      </c>
      <c r="BP674" t="str">
        <f>""</f>
        <v/>
      </c>
      <c r="BQ674" t="str">
        <f>""</f>
        <v/>
      </c>
      <c r="BR674" t="str">
        <f>"03/04/2023"</f>
        <v>03/04/2023</v>
      </c>
      <c r="BS674" t="str">
        <f>""</f>
        <v/>
      </c>
      <c r="BT674" t="str">
        <f>""</f>
        <v/>
      </c>
      <c r="BU674" t="str">
        <f>""</f>
        <v/>
      </c>
      <c r="BV674" t="str">
        <f>""</f>
        <v/>
      </c>
      <c r="BW674" t="str">
        <f>"Não visitado"</f>
        <v>Não visitado</v>
      </c>
    </row>
    <row r="675" spans="1:75" x14ac:dyDescent="0.35">
      <c r="A675">
        <v>156856</v>
      </c>
      <c r="B675" t="str">
        <f t="shared" si="325"/>
        <v>A</v>
      </c>
      <c r="C675" t="str">
        <f t="shared" si="326"/>
        <v>80</v>
      </c>
      <c r="D675" t="str">
        <f t="shared" si="316"/>
        <v>11121002</v>
      </c>
      <c r="E675" t="str">
        <f t="shared" si="317"/>
        <v>121002</v>
      </c>
      <c r="F675" t="str">
        <f t="shared" si="318"/>
        <v>CINTHIA NORONHA</v>
      </c>
      <c r="G675" t="str">
        <f>"49632624000110"</f>
        <v>49632624000110</v>
      </c>
      <c r="H675" t="str">
        <f>"0"</f>
        <v>0</v>
      </c>
      <c r="I675" t="str">
        <f t="shared" si="327"/>
        <v>CONTA OPTICA</v>
      </c>
      <c r="J675" t="str">
        <f>"ETB COMERCIO DE ARTIGOS DE OPTICA LTDA"</f>
        <v>ETB COMERCIO DE ARTIGOS DE OPTICA LTDA</v>
      </c>
      <c r="K675" t="str">
        <f>"OTICA CELYN (4690)"</f>
        <v>OTICA CELYN (4690)</v>
      </c>
      <c r="L675" t="str">
        <f>""</f>
        <v/>
      </c>
      <c r="M675" t="str">
        <f>""</f>
        <v/>
      </c>
      <c r="N675" t="str">
        <f>"OTICACELYN2@GMAIL.COM"</f>
        <v>OTICACELYN2@GMAIL.COM</v>
      </c>
      <c r="O675" t="str">
        <f>""</f>
        <v/>
      </c>
      <c r="P675" t="str">
        <f>"RUA NOSSA SENHORA APARECIDA"</f>
        <v>RUA NOSSA SENHORA APARECIDA</v>
      </c>
      <c r="Q675" t="str">
        <f>"642"</f>
        <v>642</v>
      </c>
      <c r="R675" t="str">
        <f>"LOJA 01"</f>
        <v>LOJA 01</v>
      </c>
      <c r="S675" t="str">
        <f>""</f>
        <v/>
      </c>
      <c r="T675" t="str">
        <f>"88133400"</f>
        <v>88133400</v>
      </c>
      <c r="U675" t="str">
        <f>"JARDIM ELDORADO"</f>
        <v>JARDIM ELDORADO</v>
      </c>
      <c r="V675" t="str">
        <f>"PALHOCA"</f>
        <v>PALHOCA</v>
      </c>
      <c r="W675" t="str">
        <f t="shared" si="341"/>
        <v>SC</v>
      </c>
      <c r="X675" t="str">
        <f t="shared" ref="X675:X689" si="345">"48"</f>
        <v>48</v>
      </c>
      <c r="Y675" t="str">
        <f>"999130289"</f>
        <v>999130289</v>
      </c>
      <c r="Z675" t="str">
        <f>""</f>
        <v/>
      </c>
      <c r="AA675" t="str">
        <f>""</f>
        <v/>
      </c>
      <c r="AB675" t="str">
        <f>""</f>
        <v/>
      </c>
      <c r="AC675" t="str">
        <f>""</f>
        <v/>
      </c>
      <c r="AD675" t="str">
        <f>""</f>
        <v/>
      </c>
      <c r="AE675" t="str">
        <f>""</f>
        <v/>
      </c>
      <c r="AF675" t="str">
        <f>""</f>
        <v/>
      </c>
      <c r="AG675" t="str">
        <f>""</f>
        <v/>
      </c>
      <c r="AH675" t="str">
        <f>""</f>
        <v/>
      </c>
      <c r="AI675" t="str">
        <f>""</f>
        <v/>
      </c>
      <c r="AJ675" t="str">
        <f>""</f>
        <v/>
      </c>
      <c r="AK675" t="str">
        <f>""</f>
        <v/>
      </c>
      <c r="AL675" t="str">
        <f>""</f>
        <v/>
      </c>
      <c r="AM675" t="str">
        <f>""</f>
        <v/>
      </c>
      <c r="AN675" t="str">
        <f>""</f>
        <v/>
      </c>
      <c r="AO675" t="str">
        <f>""</f>
        <v/>
      </c>
      <c r="AP675" t="str">
        <f>""</f>
        <v/>
      </c>
      <c r="AQ675" t="str">
        <f>""</f>
        <v/>
      </c>
      <c r="AR675" t="str">
        <f>""</f>
        <v/>
      </c>
      <c r="AS675" t="str">
        <f>""</f>
        <v/>
      </c>
      <c r="AT675" t="str">
        <f>""</f>
        <v/>
      </c>
      <c r="AU675" t="str">
        <f>""</f>
        <v/>
      </c>
      <c r="AV675" t="str">
        <f>""</f>
        <v/>
      </c>
      <c r="AW675" t="str">
        <f>""</f>
        <v/>
      </c>
      <c r="AX675" t="str">
        <f>""</f>
        <v/>
      </c>
      <c r="AY675" t="str">
        <f>""</f>
        <v/>
      </c>
      <c r="AZ675" t="str">
        <f>""</f>
        <v/>
      </c>
      <c r="BA675" t="str">
        <f>""</f>
        <v/>
      </c>
      <c r="BB675" t="str">
        <f>"06/07/2023 12:07:48"</f>
        <v>06/07/2023 12:07:48</v>
      </c>
      <c r="BC675" t="str">
        <f>""</f>
        <v/>
      </c>
      <c r="BD675" t="str">
        <f>""</f>
        <v/>
      </c>
      <c r="BE675" t="str">
        <f>""</f>
        <v/>
      </c>
      <c r="BF675" t="str">
        <f t="shared" si="328"/>
        <v>A</v>
      </c>
      <c r="BG675" t="str">
        <f>""</f>
        <v/>
      </c>
      <c r="BH675" t="str">
        <f>""</f>
        <v/>
      </c>
      <c r="BI675" t="str">
        <f t="shared" si="344"/>
        <v>EVENTUAL</v>
      </c>
      <c r="BJ675" t="str">
        <f t="shared" si="329"/>
        <v>1</v>
      </c>
      <c r="BK675" t="str">
        <f t="shared" si="330"/>
        <v>Farmacia</v>
      </c>
      <c r="BL675" t="str">
        <f>""</f>
        <v/>
      </c>
      <c r="BM675" t="str">
        <f>""</f>
        <v/>
      </c>
      <c r="BN675" t="str">
        <f>""</f>
        <v/>
      </c>
      <c r="BO675" t="str">
        <f>""</f>
        <v/>
      </c>
      <c r="BP675" t="str">
        <f>""</f>
        <v/>
      </c>
      <c r="BQ675" t="str">
        <f>""</f>
        <v/>
      </c>
      <c r="BR675" t="str">
        <f>"06/07/2023"</f>
        <v>06/07/2023</v>
      </c>
      <c r="BS675" t="str">
        <f>""</f>
        <v/>
      </c>
      <c r="BT675" t="str">
        <f>""</f>
        <v/>
      </c>
      <c r="BU675" t="str">
        <f>""</f>
        <v/>
      </c>
      <c r="BV675" t="str">
        <f>""</f>
        <v/>
      </c>
      <c r="BW675" t="str">
        <f>"17"</f>
        <v>17</v>
      </c>
    </row>
    <row r="676" spans="1:75" x14ac:dyDescent="0.35">
      <c r="A676">
        <v>144811</v>
      </c>
      <c r="B676" t="str">
        <f t="shared" si="325"/>
        <v>A</v>
      </c>
      <c r="C676" t="str">
        <f t="shared" si="326"/>
        <v>80</v>
      </c>
      <c r="D676" t="str">
        <f t="shared" si="316"/>
        <v>11121002</v>
      </c>
      <c r="E676" t="str">
        <f t="shared" si="317"/>
        <v>121002</v>
      </c>
      <c r="F676" t="str">
        <f t="shared" si="318"/>
        <v>CINTHIA NORONHA</v>
      </c>
      <c r="G676" t="str">
        <f>"40479183000194"</f>
        <v>40479183000194</v>
      </c>
      <c r="H676" t="str">
        <f>""</f>
        <v/>
      </c>
      <c r="I676" t="str">
        <f t="shared" si="327"/>
        <v>CONTA OPTICA</v>
      </c>
      <c r="J676" t="str">
        <f>"EXCELENCIA OTICA CRICIUMA LTDA"</f>
        <v>EXCELENCIA OTICA CRICIUMA LTDA</v>
      </c>
      <c r="K676" t="str">
        <f>"OPT OCULOS (4305)"</f>
        <v>OPT OCULOS (4305)</v>
      </c>
      <c r="L676" t="str">
        <f>""</f>
        <v/>
      </c>
      <c r="M676" t="str">
        <f>""</f>
        <v/>
      </c>
      <c r="N676" t="str">
        <f>"renata.mafra@optoculos.com.br"</f>
        <v>renata.mafra@optoculos.com.br</v>
      </c>
      <c r="O676" t="str">
        <f>""</f>
        <v/>
      </c>
      <c r="P676" t="str">
        <f>"AVENIDA CENTENARIO"</f>
        <v>AVENIDA CENTENARIO</v>
      </c>
      <c r="Q676" t="str">
        <f>"3964"</f>
        <v>3964</v>
      </c>
      <c r="R676" t="str">
        <f>""</f>
        <v/>
      </c>
      <c r="S676" t="str">
        <f>""</f>
        <v/>
      </c>
      <c r="T676" t="str">
        <f>"88802502"</f>
        <v>88802502</v>
      </c>
      <c r="U676" t="str">
        <f>"SAO CRISTOVAO"</f>
        <v>SAO CRISTOVAO</v>
      </c>
      <c r="V676" t="str">
        <f>"CRICIÚMA"</f>
        <v>CRICIÚMA</v>
      </c>
      <c r="W676" t="str">
        <f t="shared" si="341"/>
        <v>SC</v>
      </c>
      <c r="X676" t="str">
        <f t="shared" si="345"/>
        <v>48</v>
      </c>
      <c r="Y676" t="str">
        <f>"31988392"</f>
        <v>31988392</v>
      </c>
      <c r="Z676" t="str">
        <f>""</f>
        <v/>
      </c>
      <c r="AA676" t="str">
        <f>""</f>
        <v/>
      </c>
      <c r="AB676" t="str">
        <f>""</f>
        <v/>
      </c>
      <c r="AC676" t="str">
        <f>""</f>
        <v/>
      </c>
      <c r="AD676" t="str">
        <f>""</f>
        <v/>
      </c>
      <c r="AE676" t="str">
        <f>""</f>
        <v/>
      </c>
      <c r="AF676" t="str">
        <f>""</f>
        <v/>
      </c>
      <c r="AG676" t="str">
        <f>""</f>
        <v/>
      </c>
      <c r="AH676" t="str">
        <f>""</f>
        <v/>
      </c>
      <c r="AI676" t="str">
        <f>""</f>
        <v/>
      </c>
      <c r="AJ676" t="str">
        <f t="shared" ref="AJ676:AL677" si="346">"0"</f>
        <v>0</v>
      </c>
      <c r="AK676" t="str">
        <f t="shared" si="346"/>
        <v>0</v>
      </c>
      <c r="AL676" t="str">
        <f t="shared" si="346"/>
        <v>0</v>
      </c>
      <c r="AM676" t="str">
        <f>""</f>
        <v/>
      </c>
      <c r="AN676" t="str">
        <f>""</f>
        <v/>
      </c>
      <c r="AO676" t="str">
        <f>""</f>
        <v/>
      </c>
      <c r="AP676" t="str">
        <f>""</f>
        <v/>
      </c>
      <c r="AQ676" t="str">
        <f>""</f>
        <v/>
      </c>
      <c r="AR676" t="str">
        <f>""</f>
        <v/>
      </c>
      <c r="AS676" t="str">
        <f>""</f>
        <v/>
      </c>
      <c r="AT676" t="str">
        <f>""</f>
        <v/>
      </c>
      <c r="AU676" t="str">
        <f>""</f>
        <v/>
      </c>
      <c r="AV676" t="str">
        <f>""</f>
        <v/>
      </c>
      <c r="AW676" t="str">
        <f>""</f>
        <v/>
      </c>
      <c r="AX676" t="str">
        <f>""</f>
        <v/>
      </c>
      <c r="AY676" t="str">
        <f>""</f>
        <v/>
      </c>
      <c r="AZ676" t="str">
        <f>""</f>
        <v/>
      </c>
      <c r="BA676" t="str">
        <f>""</f>
        <v/>
      </c>
      <c r="BB676" t="str">
        <f>""</f>
        <v/>
      </c>
      <c r="BC676" t="str">
        <f>""</f>
        <v/>
      </c>
      <c r="BD676" t="str">
        <f>""</f>
        <v/>
      </c>
      <c r="BE676" t="str">
        <f>""</f>
        <v/>
      </c>
      <c r="BF676" t="str">
        <f t="shared" si="328"/>
        <v>A</v>
      </c>
      <c r="BG676" t="str">
        <f>"0,00"</f>
        <v>0,00</v>
      </c>
      <c r="BH676" t="str">
        <f>"0,00"</f>
        <v>0,00</v>
      </c>
      <c r="BI676" t="str">
        <f t="shared" si="344"/>
        <v>EVENTUAL</v>
      </c>
      <c r="BJ676" t="str">
        <f t="shared" si="329"/>
        <v>1</v>
      </c>
      <c r="BK676" t="str">
        <f t="shared" si="330"/>
        <v>Farmacia</v>
      </c>
      <c r="BL676" t="str">
        <f>""</f>
        <v/>
      </c>
      <c r="BM676" t="str">
        <f>"NÃO É VARILUX ESPECIALISTA"</f>
        <v>NÃO É VARILUX ESPECIALISTA</v>
      </c>
      <c r="BN676" t="str">
        <f>"NA"</f>
        <v>NA</v>
      </c>
      <c r="BO676" t="str">
        <f>""</f>
        <v/>
      </c>
      <c r="BP676" t="str">
        <f>""</f>
        <v/>
      </c>
      <c r="BQ676" t="str">
        <f>""</f>
        <v/>
      </c>
      <c r="BR676" t="str">
        <f>""</f>
        <v/>
      </c>
      <c r="BS676" t="str">
        <f>""</f>
        <v/>
      </c>
      <c r="BT676" t="str">
        <f>""</f>
        <v/>
      </c>
      <c r="BU676" t="str">
        <f>""</f>
        <v/>
      </c>
      <c r="BV676" t="str">
        <f>""</f>
        <v/>
      </c>
      <c r="BW676" t="str">
        <f>"87"</f>
        <v>87</v>
      </c>
    </row>
    <row r="677" spans="1:75" x14ac:dyDescent="0.35">
      <c r="A677">
        <v>144648</v>
      </c>
      <c r="B677" t="str">
        <f t="shared" si="325"/>
        <v>A</v>
      </c>
      <c r="C677" t="str">
        <f t="shared" si="326"/>
        <v>80</v>
      </c>
      <c r="D677" t="str">
        <f t="shared" si="316"/>
        <v>11121002</v>
      </c>
      <c r="E677" t="str">
        <f t="shared" si="317"/>
        <v>121002</v>
      </c>
      <c r="F677" t="str">
        <f t="shared" si="318"/>
        <v>CINTHIA NORONHA</v>
      </c>
      <c r="G677" t="str">
        <f>"37027080000189"</f>
        <v>37027080000189</v>
      </c>
      <c r="H677" t="str">
        <f>""</f>
        <v/>
      </c>
      <c r="I677" t="str">
        <f t="shared" si="327"/>
        <v>CONTA OPTICA</v>
      </c>
      <c r="J677" t="str">
        <f>"FABIANA COLOMBO VITALI"</f>
        <v>FABIANA COLOMBO VITALI</v>
      </c>
      <c r="K677" t="str">
        <f>"OTICAS AMABILE (4181)"</f>
        <v>OTICAS AMABILE (4181)</v>
      </c>
      <c r="L677" t="str">
        <f>""</f>
        <v/>
      </c>
      <c r="M677" t="str">
        <f>""</f>
        <v/>
      </c>
      <c r="N677" t="str">
        <f>"fabianacolombo2501@gmail.com"</f>
        <v>fabianacolombo2501@gmail.com</v>
      </c>
      <c r="O677" t="str">
        <f>""</f>
        <v/>
      </c>
      <c r="P677" t="str">
        <f>"AVENIDA NEREU RAMOS"</f>
        <v>AVENIDA NEREU RAMOS</v>
      </c>
      <c r="Q677" t="str">
        <f>"1419"</f>
        <v>1419</v>
      </c>
      <c r="R677" t="str">
        <f>"SALA 03"</f>
        <v>SALA 03</v>
      </c>
      <c r="S677" t="str">
        <f>"1268"</f>
        <v>1268</v>
      </c>
      <c r="T677" t="str">
        <f>"88750000"</f>
        <v>88750000</v>
      </c>
      <c r="U677" t="str">
        <f>"CENTRO"</f>
        <v>CENTRO</v>
      </c>
      <c r="V677" t="str">
        <f>"BRAÇO DO NORTE"</f>
        <v>BRAÇO DO NORTE</v>
      </c>
      <c r="W677" t="str">
        <f t="shared" si="341"/>
        <v>SC</v>
      </c>
      <c r="X677" t="str">
        <f t="shared" si="345"/>
        <v>48</v>
      </c>
      <c r="Y677" t="str">
        <f>"36600958"</f>
        <v>36600958</v>
      </c>
      <c r="Z677" t="str">
        <f>""</f>
        <v/>
      </c>
      <c r="AA677" t="str">
        <f>""</f>
        <v/>
      </c>
      <c r="AB677" t="str">
        <f>""</f>
        <v/>
      </c>
      <c r="AC677" t="str">
        <f>""</f>
        <v/>
      </c>
      <c r="AD677" t="str">
        <f>""</f>
        <v/>
      </c>
      <c r="AE677" t="str">
        <f>""</f>
        <v/>
      </c>
      <c r="AF677" t="str">
        <f>""</f>
        <v/>
      </c>
      <c r="AG677" t="str">
        <f>""</f>
        <v/>
      </c>
      <c r="AH677" t="str">
        <f>""</f>
        <v/>
      </c>
      <c r="AI677" t="str">
        <f>""</f>
        <v/>
      </c>
      <c r="AJ677" t="str">
        <f t="shared" si="346"/>
        <v>0</v>
      </c>
      <c r="AK677" t="str">
        <f t="shared" si="346"/>
        <v>0</v>
      </c>
      <c r="AL677" t="str">
        <f t="shared" si="346"/>
        <v>0</v>
      </c>
      <c r="AM677" t="str">
        <f>""</f>
        <v/>
      </c>
      <c r="AN677" t="str">
        <f>""</f>
        <v/>
      </c>
      <c r="AO677" t="str">
        <f>""</f>
        <v/>
      </c>
      <c r="AP677" t="str">
        <f>""</f>
        <v/>
      </c>
      <c r="AQ677" t="str">
        <f>""</f>
        <v/>
      </c>
      <c r="AR677" t="str">
        <f>""</f>
        <v/>
      </c>
      <c r="AS677" t="str">
        <f>""</f>
        <v/>
      </c>
      <c r="AT677" t="str">
        <f>""</f>
        <v/>
      </c>
      <c r="AU677" t="str">
        <f>""</f>
        <v/>
      </c>
      <c r="AV677" t="str">
        <f>""</f>
        <v/>
      </c>
      <c r="AW677" t="str">
        <f>""</f>
        <v/>
      </c>
      <c r="AX677" t="str">
        <f>""</f>
        <v/>
      </c>
      <c r="AY677" t="str">
        <f>""</f>
        <v/>
      </c>
      <c r="AZ677" t="str">
        <f>""</f>
        <v/>
      </c>
      <c r="BA677" t="str">
        <f>""</f>
        <v/>
      </c>
      <c r="BB677" t="str">
        <f>""</f>
        <v/>
      </c>
      <c r="BC677" t="str">
        <f>""</f>
        <v/>
      </c>
      <c r="BD677" t="str">
        <f>""</f>
        <v/>
      </c>
      <c r="BE677" t="str">
        <f>""</f>
        <v/>
      </c>
      <c r="BF677" t="str">
        <f t="shared" si="328"/>
        <v>A</v>
      </c>
      <c r="BG677" t="str">
        <f>"0,00"</f>
        <v>0,00</v>
      </c>
      <c r="BH677" t="str">
        <f>"0,00"</f>
        <v>0,00</v>
      </c>
      <c r="BI677" t="str">
        <f t="shared" si="344"/>
        <v>EVENTUAL</v>
      </c>
      <c r="BJ677" t="str">
        <f t="shared" si="329"/>
        <v>1</v>
      </c>
      <c r="BK677" t="str">
        <f t="shared" si="330"/>
        <v>Farmacia</v>
      </c>
      <c r="BL677" t="str">
        <f>""</f>
        <v/>
      </c>
      <c r="BM677" t="str">
        <f>"NÃO É VARILUX ESPECIALISTA"</f>
        <v>NÃO É VARILUX ESPECIALISTA</v>
      </c>
      <c r="BN677" t="str">
        <f>"NA"</f>
        <v>NA</v>
      </c>
      <c r="BO677" t="str">
        <f>"OUTROS"</f>
        <v>OUTROS</v>
      </c>
      <c r="BP677" t="str">
        <f>""</f>
        <v/>
      </c>
      <c r="BQ677" t="str">
        <f>""</f>
        <v/>
      </c>
      <c r="BR677" t="str">
        <f>""</f>
        <v/>
      </c>
      <c r="BS677" t="str">
        <f>""</f>
        <v/>
      </c>
      <c r="BT677" t="str">
        <f>""</f>
        <v/>
      </c>
      <c r="BU677" t="str">
        <f>""</f>
        <v/>
      </c>
      <c r="BV677" t="str">
        <f>"9"</f>
        <v>9</v>
      </c>
      <c r="BW677" t="str">
        <f>"119"</f>
        <v>119</v>
      </c>
    </row>
    <row r="678" spans="1:75" x14ac:dyDescent="0.35">
      <c r="A678">
        <v>156881</v>
      </c>
      <c r="B678" t="str">
        <f t="shared" si="325"/>
        <v>A</v>
      </c>
      <c r="C678" t="str">
        <f t="shared" si="326"/>
        <v>80</v>
      </c>
      <c r="D678" t="str">
        <f t="shared" si="316"/>
        <v>11121002</v>
      </c>
      <c r="E678" t="str">
        <f t="shared" si="317"/>
        <v>121002</v>
      </c>
      <c r="F678" t="str">
        <f t="shared" si="318"/>
        <v>CINTHIA NORONHA</v>
      </c>
      <c r="G678" t="str">
        <f>"33704519000290"</f>
        <v>33704519000290</v>
      </c>
      <c r="H678" t="str">
        <f>"0"</f>
        <v>0</v>
      </c>
      <c r="I678" t="str">
        <f t="shared" si="327"/>
        <v>CONTA OPTICA</v>
      </c>
      <c r="J678" t="str">
        <f>"FABIO MARQUES LIOTTI COMERCIO DE OCULOS"</f>
        <v>FABIO MARQUES LIOTTI COMERCIO DE OCULOS</v>
      </c>
      <c r="K678" t="str">
        <f>"MERCADAO DOS OCULOS 01 (4084)"</f>
        <v>MERCADAO DOS OCULOS 01 (4084)</v>
      </c>
      <c r="L678" t="str">
        <f>""</f>
        <v/>
      </c>
      <c r="M678" t="str">
        <f>""</f>
        <v/>
      </c>
      <c r="N678" t="str">
        <f>"SC-FLORIANOPOLIS01@MERCADAODOSOCULOS.COM.BR"</f>
        <v>SC-FLORIANOPOLIS01@MERCADAODOSOCULOS.COM.BR</v>
      </c>
      <c r="O678" t="str">
        <f>""</f>
        <v/>
      </c>
      <c r="P678" t="str">
        <f>"RUA DEODORO"</f>
        <v>RUA DEODORO</v>
      </c>
      <c r="Q678" t="str">
        <f>"189"</f>
        <v>189</v>
      </c>
      <c r="R678" t="str">
        <f>""</f>
        <v/>
      </c>
      <c r="S678" t="str">
        <f>"1254"</f>
        <v>1254</v>
      </c>
      <c r="T678" t="str">
        <f>"88010020"</f>
        <v>88010020</v>
      </c>
      <c r="U678" t="str">
        <f>"CENTRO"</f>
        <v>CENTRO</v>
      </c>
      <c r="V678" t="str">
        <f>"FLORIANOPOLIS"</f>
        <v>FLORIANOPOLIS</v>
      </c>
      <c r="W678" t="str">
        <f t="shared" si="341"/>
        <v>SC</v>
      </c>
      <c r="X678" t="str">
        <f t="shared" si="345"/>
        <v>48</v>
      </c>
      <c r="Y678" t="str">
        <f>"30850593"</f>
        <v>30850593</v>
      </c>
      <c r="Z678" t="str">
        <f>""</f>
        <v/>
      </c>
      <c r="AA678" t="str">
        <f>""</f>
        <v/>
      </c>
      <c r="AB678" t="str">
        <f>""</f>
        <v/>
      </c>
      <c r="AC678" t="str">
        <f>""</f>
        <v/>
      </c>
      <c r="AD678" t="str">
        <f>""</f>
        <v/>
      </c>
      <c r="AE678" t="str">
        <f>""</f>
        <v/>
      </c>
      <c r="AF678" t="str">
        <f>""</f>
        <v/>
      </c>
      <c r="AG678" t="str">
        <f>""</f>
        <v/>
      </c>
      <c r="AH678" t="str">
        <f>""</f>
        <v/>
      </c>
      <c r="AI678" t="str">
        <f>""</f>
        <v/>
      </c>
      <c r="AJ678" t="str">
        <f>""</f>
        <v/>
      </c>
      <c r="AK678" t="str">
        <f>""</f>
        <v/>
      </c>
      <c r="AL678" t="str">
        <f>""</f>
        <v/>
      </c>
      <c r="AM678" t="str">
        <f>""</f>
        <v/>
      </c>
      <c r="AN678" t="str">
        <f>""</f>
        <v/>
      </c>
      <c r="AO678" t="str">
        <f>""</f>
        <v/>
      </c>
      <c r="AP678" t="str">
        <f>""</f>
        <v/>
      </c>
      <c r="AQ678" t="str">
        <f>""</f>
        <v/>
      </c>
      <c r="AR678" t="str">
        <f>""</f>
        <v/>
      </c>
      <c r="AS678" t="str">
        <f>""</f>
        <v/>
      </c>
      <c r="AT678" t="str">
        <f>""</f>
        <v/>
      </c>
      <c r="AU678" t="str">
        <f>""</f>
        <v/>
      </c>
      <c r="AV678" t="str">
        <f>""</f>
        <v/>
      </c>
      <c r="AW678" t="str">
        <f>""</f>
        <v/>
      </c>
      <c r="AX678" t="str">
        <f>""</f>
        <v/>
      </c>
      <c r="AY678" t="str">
        <f>""</f>
        <v/>
      </c>
      <c r="AZ678" t="str">
        <f>""</f>
        <v/>
      </c>
      <c r="BA678" t="str">
        <f>""</f>
        <v/>
      </c>
      <c r="BB678" t="str">
        <f>"06/07/2023 12:07:48"</f>
        <v>06/07/2023 12:07:48</v>
      </c>
      <c r="BC678" t="str">
        <f>""</f>
        <v/>
      </c>
      <c r="BD678" t="str">
        <f>""</f>
        <v/>
      </c>
      <c r="BE678" t="str">
        <f>""</f>
        <v/>
      </c>
      <c r="BF678" t="str">
        <f t="shared" si="328"/>
        <v>A</v>
      </c>
      <c r="BG678" t="str">
        <f>""</f>
        <v/>
      </c>
      <c r="BH678" t="str">
        <f>""</f>
        <v/>
      </c>
      <c r="BI678" t="str">
        <f t="shared" si="344"/>
        <v>EVENTUAL</v>
      </c>
      <c r="BJ678" t="str">
        <f t="shared" si="329"/>
        <v>1</v>
      </c>
      <c r="BK678" t="str">
        <f t="shared" si="330"/>
        <v>Farmacia</v>
      </c>
      <c r="BL678" t="str">
        <f>""</f>
        <v/>
      </c>
      <c r="BM678" t="str">
        <f>""</f>
        <v/>
      </c>
      <c r="BN678" t="str">
        <f>""</f>
        <v/>
      </c>
      <c r="BO678" t="str">
        <f>""</f>
        <v/>
      </c>
      <c r="BP678" t="str">
        <f>""</f>
        <v/>
      </c>
      <c r="BQ678" t="str">
        <f>""</f>
        <v/>
      </c>
      <c r="BR678" t="str">
        <f>"06/07/2023"</f>
        <v>06/07/2023</v>
      </c>
      <c r="BS678" t="str">
        <f>""</f>
        <v/>
      </c>
      <c r="BT678" t="str">
        <f>""</f>
        <v/>
      </c>
      <c r="BU678" t="str">
        <f>""</f>
        <v/>
      </c>
      <c r="BV678" t="str">
        <f>""</f>
        <v/>
      </c>
      <c r="BW678" t="str">
        <f>"Não visitado"</f>
        <v>Não visitado</v>
      </c>
    </row>
    <row r="679" spans="1:75" x14ac:dyDescent="0.35">
      <c r="A679">
        <v>134314</v>
      </c>
      <c r="B679" t="str">
        <f t="shared" si="325"/>
        <v>A</v>
      </c>
      <c r="C679" t="str">
        <f t="shared" si="326"/>
        <v>80</v>
      </c>
      <c r="D679" t="str">
        <f t="shared" si="316"/>
        <v>11121002</v>
      </c>
      <c r="E679" t="str">
        <f t="shared" si="317"/>
        <v>121002</v>
      </c>
      <c r="F679" t="str">
        <f t="shared" si="318"/>
        <v>CINTHIA NORONHA</v>
      </c>
      <c r="G679" t="str">
        <f>"33704519000100"</f>
        <v>33704519000100</v>
      </c>
      <c r="H679" t="str">
        <f>""</f>
        <v/>
      </c>
      <c r="I679" t="str">
        <f t="shared" si="327"/>
        <v>CONTA OPTICA</v>
      </c>
      <c r="J679" t="str">
        <f>"FABIO MARQUES LIOTTI COMERCIO DE OCULOS"</f>
        <v>FABIO MARQUES LIOTTI COMERCIO DE OCULOS</v>
      </c>
      <c r="K679" t="str">
        <f>"OCULARIUM OTICA (4028)"</f>
        <v>OCULARIUM OTICA (4028)</v>
      </c>
      <c r="L679" t="str">
        <f>""</f>
        <v/>
      </c>
      <c r="M679" t="str">
        <f>""</f>
        <v/>
      </c>
      <c r="N679" t="str">
        <f>"florianopolis01@ocularium.com.br"</f>
        <v>florianopolis01@ocularium.com.br</v>
      </c>
      <c r="O679" t="str">
        <f>""</f>
        <v/>
      </c>
      <c r="P679" t="str">
        <f>"RUA FELIPE SCHMIDT"</f>
        <v>RUA FELIPE SCHMIDT</v>
      </c>
      <c r="Q679" t="str">
        <f>"198"</f>
        <v>198</v>
      </c>
      <c r="R679" t="str">
        <f>"- ATE 348/349"</f>
        <v>- ATE 348/349</v>
      </c>
      <c r="S679" t="str">
        <f>"1254"</f>
        <v>1254</v>
      </c>
      <c r="T679" t="str">
        <f>"88010000"</f>
        <v>88010000</v>
      </c>
      <c r="U679" t="str">
        <f>"CENTRO"</f>
        <v>CENTRO</v>
      </c>
      <c r="V679" t="str">
        <f>"FLORIANOPOLIS"</f>
        <v>FLORIANOPOLIS</v>
      </c>
      <c r="W679" t="str">
        <f t="shared" si="341"/>
        <v>SC</v>
      </c>
      <c r="X679" t="str">
        <f t="shared" si="345"/>
        <v>48</v>
      </c>
      <c r="Y679" t="str">
        <f>"33330493"</f>
        <v>33330493</v>
      </c>
      <c r="Z679" t="str">
        <f>""</f>
        <v/>
      </c>
      <c r="AA679" t="str">
        <f>""</f>
        <v/>
      </c>
      <c r="AB679" t="str">
        <f>""</f>
        <v/>
      </c>
      <c r="AC679" t="str">
        <f>""</f>
        <v/>
      </c>
      <c r="AD679" t="str">
        <f>""</f>
        <v/>
      </c>
      <c r="AE679" t="str">
        <f>""</f>
        <v/>
      </c>
      <c r="AF679" t="str">
        <f>""</f>
        <v/>
      </c>
      <c r="AG679" t="str">
        <f>""</f>
        <v/>
      </c>
      <c r="AH679" t="str">
        <f>""</f>
        <v/>
      </c>
      <c r="AI679" t="str">
        <f>""</f>
        <v/>
      </c>
      <c r="AJ679" t="str">
        <f>"0"</f>
        <v>0</v>
      </c>
      <c r="AK679" t="str">
        <f>"0"</f>
        <v>0</v>
      </c>
      <c r="AL679" t="str">
        <f>"0"</f>
        <v>0</v>
      </c>
      <c r="AM679" t="str">
        <f>""</f>
        <v/>
      </c>
      <c r="AN679" t="str">
        <f>""</f>
        <v/>
      </c>
      <c r="AO679" t="str">
        <f>""</f>
        <v/>
      </c>
      <c r="AP679" t="str">
        <f>""</f>
        <v/>
      </c>
      <c r="AQ679" t="str">
        <f>""</f>
        <v/>
      </c>
      <c r="AR679" t="str">
        <f>""</f>
        <v/>
      </c>
      <c r="AS679" t="str">
        <f>""</f>
        <v/>
      </c>
      <c r="AT679" t="str">
        <f>""</f>
        <v/>
      </c>
      <c r="AU679" t="str">
        <f>""</f>
        <v/>
      </c>
      <c r="AV679" t="str">
        <f>""</f>
        <v/>
      </c>
      <c r="AW679" t="str">
        <f>""</f>
        <v/>
      </c>
      <c r="AX679" t="str">
        <f>""</f>
        <v/>
      </c>
      <c r="AY679" t="str">
        <f>""</f>
        <v/>
      </c>
      <c r="AZ679" t="str">
        <f>""</f>
        <v/>
      </c>
      <c r="BA679" t="str">
        <f>""</f>
        <v/>
      </c>
      <c r="BB679" t="str">
        <f>""</f>
        <v/>
      </c>
      <c r="BC679" t="str">
        <f>""</f>
        <v/>
      </c>
      <c r="BD679" t="str">
        <f>""</f>
        <v/>
      </c>
      <c r="BE679" t="str">
        <f>""</f>
        <v/>
      </c>
      <c r="BF679" t="str">
        <f t="shared" si="328"/>
        <v>A</v>
      </c>
      <c r="BG679" t="str">
        <f>"0,00"</f>
        <v>0,00</v>
      </c>
      <c r="BH679" t="str">
        <f>"0,00"</f>
        <v>0,00</v>
      </c>
      <c r="BI679" t="str">
        <f t="shared" si="344"/>
        <v>EVENTUAL</v>
      </c>
      <c r="BJ679" t="str">
        <f t="shared" si="329"/>
        <v>1</v>
      </c>
      <c r="BK679" t="str">
        <f t="shared" si="330"/>
        <v>Farmacia</v>
      </c>
      <c r="BL679" t="str">
        <f>""</f>
        <v/>
      </c>
      <c r="BM679" t="str">
        <f>"NÃO É VARILUX ESPECIALISTA"</f>
        <v>NÃO É VARILUX ESPECIALISTA</v>
      </c>
      <c r="BN679" t="str">
        <f>"NA"</f>
        <v>NA</v>
      </c>
      <c r="BO679" t="str">
        <f>"FOCO VARILUX"</f>
        <v>FOCO VARILUX</v>
      </c>
      <c r="BP679" t="str">
        <f>""</f>
        <v/>
      </c>
      <c r="BQ679" t="str">
        <f>""</f>
        <v/>
      </c>
      <c r="BR679" t="str">
        <f>""</f>
        <v/>
      </c>
      <c r="BS679" t="str">
        <f>""</f>
        <v/>
      </c>
      <c r="BT679" t="str">
        <f>""</f>
        <v/>
      </c>
      <c r="BU679" t="str">
        <f>""</f>
        <v/>
      </c>
      <c r="BV679" t="str">
        <f>"9"</f>
        <v>9</v>
      </c>
      <c r="BW679" t="str">
        <f>"827"</f>
        <v>827</v>
      </c>
    </row>
    <row r="680" spans="1:75" x14ac:dyDescent="0.35">
      <c r="A680">
        <v>134473</v>
      </c>
      <c r="B680" t="str">
        <f t="shared" si="325"/>
        <v>A</v>
      </c>
      <c r="C680" t="str">
        <f t="shared" si="326"/>
        <v>80</v>
      </c>
      <c r="D680" t="str">
        <f t="shared" si="316"/>
        <v>11121002</v>
      </c>
      <c r="E680" t="str">
        <f t="shared" si="317"/>
        <v>121002</v>
      </c>
      <c r="F680" t="str">
        <f t="shared" si="318"/>
        <v>CINTHIA NORONHA</v>
      </c>
      <c r="G680" t="str">
        <f>"17273265000166"</f>
        <v>17273265000166</v>
      </c>
      <c r="H680" t="str">
        <f>""</f>
        <v/>
      </c>
      <c r="I680" t="str">
        <f t="shared" si="327"/>
        <v>CONTA OPTICA</v>
      </c>
      <c r="J680" t="str">
        <f>"FABRICIO BRANDAO XAVIER EIRELI"</f>
        <v>FABRICIO BRANDAO XAVIER EIRELI</v>
      </c>
      <c r="K680" t="str">
        <f>"OTICAS CAROL (1964)"</f>
        <v>OTICAS CAROL (1964)</v>
      </c>
      <c r="L680" t="str">
        <f>""</f>
        <v/>
      </c>
      <c r="M680" t="str">
        <f>""</f>
        <v/>
      </c>
      <c r="N680" t="str">
        <f>"produtosc@oticascarol.com.br"</f>
        <v>produtosc@oticascarol.com.br</v>
      </c>
      <c r="O680" t="str">
        <f>""</f>
        <v/>
      </c>
      <c r="P680" t="str">
        <f>"RUA JOSE MARIA DA LUZ"</f>
        <v>RUA JOSE MARIA DA LUZ</v>
      </c>
      <c r="Q680" t="str">
        <f>"2856"</f>
        <v>2856</v>
      </c>
      <c r="R680" t="str">
        <f>""</f>
        <v/>
      </c>
      <c r="S680" t="str">
        <f>"1259"</f>
        <v>1259</v>
      </c>
      <c r="T680" t="str">
        <f>"88131000"</f>
        <v>88131000</v>
      </c>
      <c r="U680" t="str">
        <f>"CENTRO"</f>
        <v>CENTRO</v>
      </c>
      <c r="V680" t="str">
        <f>"PALHOCA"</f>
        <v>PALHOCA</v>
      </c>
      <c r="W680" t="str">
        <f t="shared" si="341"/>
        <v>SC</v>
      </c>
      <c r="X680" t="str">
        <f t="shared" si="345"/>
        <v>48</v>
      </c>
      <c r="Y680" t="str">
        <f>"30937718"</f>
        <v>30937718</v>
      </c>
      <c r="Z680" t="str">
        <f>""</f>
        <v/>
      </c>
      <c r="AA680" t="str">
        <f>""</f>
        <v/>
      </c>
      <c r="AB680" t="str">
        <f>""</f>
        <v/>
      </c>
      <c r="AC680" t="str">
        <f>""</f>
        <v/>
      </c>
      <c r="AD680" t="str">
        <f>""</f>
        <v/>
      </c>
      <c r="AE680" t="str">
        <f>""</f>
        <v/>
      </c>
      <c r="AF680" t="str">
        <f>""</f>
        <v/>
      </c>
      <c r="AG680" t="str">
        <f>""</f>
        <v/>
      </c>
      <c r="AH680" t="str">
        <f>""</f>
        <v/>
      </c>
      <c r="AI680" t="str">
        <f>""</f>
        <v/>
      </c>
      <c r="AJ680" t="str">
        <f>""</f>
        <v/>
      </c>
      <c r="AK680" t="str">
        <f>""</f>
        <v/>
      </c>
      <c r="AL680" t="str">
        <f>""</f>
        <v/>
      </c>
      <c r="AM680" t="str">
        <f>""</f>
        <v/>
      </c>
      <c r="AN680" t="str">
        <f>""</f>
        <v/>
      </c>
      <c r="AO680" t="str">
        <f>""</f>
        <v/>
      </c>
      <c r="AP680" t="str">
        <f>""</f>
        <v/>
      </c>
      <c r="AQ680" t="str">
        <f>""</f>
        <v/>
      </c>
      <c r="AR680" t="str">
        <f>""</f>
        <v/>
      </c>
      <c r="AS680" t="str">
        <f>""</f>
        <v/>
      </c>
      <c r="AT680" t="str">
        <f>""</f>
        <v/>
      </c>
      <c r="AU680" t="str">
        <f>""</f>
        <v/>
      </c>
      <c r="AV680" t="str">
        <f>""</f>
        <v/>
      </c>
      <c r="AW680" t="str">
        <f>""</f>
        <v/>
      </c>
      <c r="AX680" t="str">
        <f>""</f>
        <v/>
      </c>
      <c r="AY680" t="str">
        <f>""</f>
        <v/>
      </c>
      <c r="AZ680" t="str">
        <f>""</f>
        <v/>
      </c>
      <c r="BA680" t="str">
        <f>""</f>
        <v/>
      </c>
      <c r="BB680" t="str">
        <f>""</f>
        <v/>
      </c>
      <c r="BC680" t="str">
        <f>""</f>
        <v/>
      </c>
      <c r="BD680" t="str">
        <f>""</f>
        <v/>
      </c>
      <c r="BE680" t="str">
        <f>""</f>
        <v/>
      </c>
      <c r="BF680" t="str">
        <f t="shared" si="328"/>
        <v>A</v>
      </c>
      <c r="BG680" t="str">
        <f>""</f>
        <v/>
      </c>
      <c r="BH680" t="str">
        <f>""</f>
        <v/>
      </c>
      <c r="BI680" t="str">
        <f t="shared" si="344"/>
        <v>EVENTUAL</v>
      </c>
      <c r="BJ680" t="str">
        <f t="shared" si="329"/>
        <v>1</v>
      </c>
      <c r="BK680" t="str">
        <f t="shared" si="330"/>
        <v>Farmacia</v>
      </c>
      <c r="BL680" t="str">
        <f>""</f>
        <v/>
      </c>
      <c r="BM680" t="str">
        <f>"VARILUX ESPECIALISTA PLATINE"</f>
        <v>VARILUX ESPECIALISTA PLATINE</v>
      </c>
      <c r="BN680" t="str">
        <f>"NA"</f>
        <v>NA</v>
      </c>
      <c r="BO680" t="str">
        <f>"FOCO VARILUX DIGITAL"</f>
        <v>FOCO VARILUX DIGITAL</v>
      </c>
      <c r="BP680" t="str">
        <f>""</f>
        <v/>
      </c>
      <c r="BQ680" t="str">
        <f>""</f>
        <v/>
      </c>
      <c r="BR680" t="str">
        <f>""</f>
        <v/>
      </c>
      <c r="BS680" t="str">
        <f>""</f>
        <v/>
      </c>
      <c r="BT680" t="str">
        <f>""</f>
        <v/>
      </c>
      <c r="BU680" t="str">
        <f>""</f>
        <v/>
      </c>
      <c r="BV680" t="str">
        <f>"1"</f>
        <v>1</v>
      </c>
      <c r="BW680" t="str">
        <f>"Não visitado"</f>
        <v>Não visitado</v>
      </c>
    </row>
    <row r="681" spans="1:75" x14ac:dyDescent="0.35">
      <c r="A681">
        <v>134251</v>
      </c>
      <c r="B681" t="str">
        <f t="shared" si="325"/>
        <v>A</v>
      </c>
      <c r="C681" t="str">
        <f t="shared" si="326"/>
        <v>80</v>
      </c>
      <c r="D681" t="str">
        <f t="shared" si="316"/>
        <v>11121002</v>
      </c>
      <c r="E681" t="str">
        <f t="shared" si="317"/>
        <v>121002</v>
      </c>
      <c r="F681" t="str">
        <f t="shared" si="318"/>
        <v>CINTHIA NORONHA</v>
      </c>
      <c r="G681" t="str">
        <f>"17273265000328"</f>
        <v>17273265000328</v>
      </c>
      <c r="H681" t="str">
        <f>""</f>
        <v/>
      </c>
      <c r="I681" t="str">
        <f t="shared" si="327"/>
        <v>CONTA OPTICA</v>
      </c>
      <c r="J681" t="str">
        <f>"FABRICIO BRANDAO XAVIER EIRELI"</f>
        <v>FABRICIO BRANDAO XAVIER EIRELI</v>
      </c>
      <c r="K681" t="str">
        <f>"OTICAS CAROL (3302)"</f>
        <v>OTICAS CAROL (3302)</v>
      </c>
      <c r="L681" t="str">
        <f>""</f>
        <v/>
      </c>
      <c r="M681" t="str">
        <f>""</f>
        <v/>
      </c>
      <c r="N681" t="str">
        <f>"produtosc@oticascarol.com.br"</f>
        <v>produtosc@oticascarol.com.br</v>
      </c>
      <c r="O681" t="str">
        <f>""</f>
        <v/>
      </c>
      <c r="P681" t="str">
        <f>"RUA BARAO DO RIO BRANCO"</f>
        <v>RUA BARAO DO RIO BRANCO</v>
      </c>
      <c r="Q681" t="str">
        <f>"94"</f>
        <v>94</v>
      </c>
      <c r="R681" t="str">
        <f>"LOJA 2"</f>
        <v>LOJA 2</v>
      </c>
      <c r="S681" t="str">
        <f>"1259"</f>
        <v>1259</v>
      </c>
      <c r="T681" t="str">
        <f>"88130100"</f>
        <v>88130100</v>
      </c>
      <c r="U681" t="str">
        <f>"CENTRO"</f>
        <v>CENTRO</v>
      </c>
      <c r="V681" t="str">
        <f>"FLORIANOPOLIS"</f>
        <v>FLORIANOPOLIS</v>
      </c>
      <c r="W681" t="str">
        <f t="shared" si="341"/>
        <v>SC</v>
      </c>
      <c r="X681" t="str">
        <f t="shared" si="345"/>
        <v>48</v>
      </c>
      <c r="Y681" t="str">
        <f>"30863290"</f>
        <v>30863290</v>
      </c>
      <c r="Z681" t="str">
        <f>""</f>
        <v/>
      </c>
      <c r="AA681" t="str">
        <f>""</f>
        <v/>
      </c>
      <c r="AB681" t="str">
        <f>""</f>
        <v/>
      </c>
      <c r="AC681" t="str">
        <f>""</f>
        <v/>
      </c>
      <c r="AD681" t="str">
        <f>""</f>
        <v/>
      </c>
      <c r="AE681" t="str">
        <f>""</f>
        <v/>
      </c>
      <c r="AF681" t="str">
        <f>""</f>
        <v/>
      </c>
      <c r="AG681" t="str">
        <f>""</f>
        <v/>
      </c>
      <c r="AH681" t="str">
        <f>""</f>
        <v/>
      </c>
      <c r="AI681" t="str">
        <f>""</f>
        <v/>
      </c>
      <c r="AJ681" t="str">
        <f>"0"</f>
        <v>0</v>
      </c>
      <c r="AK681" t="str">
        <f>"0"</f>
        <v>0</v>
      </c>
      <c r="AL681" t="str">
        <f>"0"</f>
        <v>0</v>
      </c>
      <c r="AM681" t="str">
        <f>""</f>
        <v/>
      </c>
      <c r="AN681" t="str">
        <f>""</f>
        <v/>
      </c>
      <c r="AO681" t="str">
        <f>""</f>
        <v/>
      </c>
      <c r="AP681" t="str">
        <f>""</f>
        <v/>
      </c>
      <c r="AQ681" t="str">
        <f>""</f>
        <v/>
      </c>
      <c r="AR681" t="str">
        <f>""</f>
        <v/>
      </c>
      <c r="AS681" t="str">
        <f>""</f>
        <v/>
      </c>
      <c r="AT681" t="str">
        <f>""</f>
        <v/>
      </c>
      <c r="AU681" t="str">
        <f>""</f>
        <v/>
      </c>
      <c r="AV681" t="str">
        <f>""</f>
        <v/>
      </c>
      <c r="AW681" t="str">
        <f>""</f>
        <v/>
      </c>
      <c r="AX681" t="str">
        <f>""</f>
        <v/>
      </c>
      <c r="AY681" t="str">
        <f>""</f>
        <v/>
      </c>
      <c r="AZ681" t="str">
        <f>""</f>
        <v/>
      </c>
      <c r="BA681" t="str">
        <f>""</f>
        <v/>
      </c>
      <c r="BB681" t="str">
        <f>""</f>
        <v/>
      </c>
      <c r="BC681" t="str">
        <f>""</f>
        <v/>
      </c>
      <c r="BD681" t="str">
        <f>""</f>
        <v/>
      </c>
      <c r="BE681" t="str">
        <f>""</f>
        <v/>
      </c>
      <c r="BF681" t="str">
        <f t="shared" si="328"/>
        <v>A</v>
      </c>
      <c r="BG681" t="str">
        <f>"0,00"</f>
        <v>0,00</v>
      </c>
      <c r="BH681" t="str">
        <f>"0,00"</f>
        <v>0,00</v>
      </c>
      <c r="BI681" t="str">
        <f t="shared" si="344"/>
        <v>EVENTUAL</v>
      </c>
      <c r="BJ681" t="str">
        <f t="shared" si="329"/>
        <v>1</v>
      </c>
      <c r="BK681" t="str">
        <f t="shared" si="330"/>
        <v>Farmacia</v>
      </c>
      <c r="BL681" t="str">
        <f>""</f>
        <v/>
      </c>
      <c r="BM681" t="str">
        <f>"VARILUX ESPECIALISTA PLATINE"</f>
        <v>VARILUX ESPECIALISTA PLATINE</v>
      </c>
      <c r="BN681" t="str">
        <f>"NA"</f>
        <v>NA</v>
      </c>
      <c r="BO681" t="str">
        <f>"FOCO VARILUX DIGITAL"</f>
        <v>FOCO VARILUX DIGITAL</v>
      </c>
      <c r="BP681" t="str">
        <f>""</f>
        <v/>
      </c>
      <c r="BQ681" t="str">
        <f>""</f>
        <v/>
      </c>
      <c r="BR681" t="str">
        <f>""</f>
        <v/>
      </c>
      <c r="BS681" t="str">
        <f>""</f>
        <v/>
      </c>
      <c r="BT681" t="str">
        <f>""</f>
        <v/>
      </c>
      <c r="BU681" t="str">
        <f>""</f>
        <v/>
      </c>
      <c r="BV681" t="str">
        <f>"1"</f>
        <v>1</v>
      </c>
      <c r="BW681" t="str">
        <f>"Não visitado"</f>
        <v>Não visitado</v>
      </c>
    </row>
    <row r="682" spans="1:75" x14ac:dyDescent="0.35">
      <c r="A682">
        <v>134480</v>
      </c>
      <c r="B682" t="str">
        <f t="shared" si="325"/>
        <v>A</v>
      </c>
      <c r="C682" t="str">
        <f t="shared" si="326"/>
        <v>80</v>
      </c>
      <c r="D682" t="str">
        <f t="shared" si="316"/>
        <v>11121002</v>
      </c>
      <c r="E682" t="str">
        <f t="shared" si="317"/>
        <v>121002</v>
      </c>
      <c r="F682" t="str">
        <f t="shared" si="318"/>
        <v>CINTHIA NORONHA</v>
      </c>
      <c r="G682" t="str">
        <f>"18083777000122"</f>
        <v>18083777000122</v>
      </c>
      <c r="H682" t="str">
        <f>""</f>
        <v/>
      </c>
      <c r="I682" t="str">
        <f t="shared" si="327"/>
        <v>CONTA OPTICA</v>
      </c>
      <c r="J682" t="str">
        <f>"FAM ACESSORIOS DE MODA LTDA EPP"</f>
        <v>FAM ACESSORIOS DE MODA LTDA EPP</v>
      </c>
      <c r="K682" t="str">
        <f>"CHILLI BEANS (3309)"</f>
        <v>CHILLI BEANS (3309)</v>
      </c>
      <c r="L682" t="str">
        <f>""</f>
        <v/>
      </c>
      <c r="M682" t="str">
        <f>""</f>
        <v/>
      </c>
      <c r="N682" t="str">
        <f>"mariane.mosena@chillisc.com.br"</f>
        <v>mariane.mosena@chillisc.com.br</v>
      </c>
      <c r="O682" t="str">
        <f>""</f>
        <v/>
      </c>
      <c r="P682" t="str">
        <f>"RUA JOSE CARLOS DAUX"</f>
        <v>RUA JOSE CARLOS DAUX</v>
      </c>
      <c r="Q682" t="str">
        <f>"3116"</f>
        <v>3116</v>
      </c>
      <c r="R682" t="str">
        <f>"CHILLI BEANS"</f>
        <v>CHILLI BEANS</v>
      </c>
      <c r="S682" t="str">
        <f>"1257"</f>
        <v>1257</v>
      </c>
      <c r="T682" t="str">
        <f>"88030000"</f>
        <v>88030000</v>
      </c>
      <c r="U682" t="str">
        <f>"JOAO PAULO"</f>
        <v>JOAO PAULO</v>
      </c>
      <c r="V682" t="str">
        <f>"FLORIANÓPOLIS"</f>
        <v>FLORIANÓPOLIS</v>
      </c>
      <c r="W682" t="str">
        <f t="shared" si="341"/>
        <v>SC</v>
      </c>
      <c r="X682" t="str">
        <f t="shared" si="345"/>
        <v>48</v>
      </c>
      <c r="Y682" t="str">
        <f>"33380131"</f>
        <v>33380131</v>
      </c>
      <c r="Z682" t="str">
        <f>""</f>
        <v/>
      </c>
      <c r="AA682" t="str">
        <f>""</f>
        <v/>
      </c>
      <c r="AB682" t="str">
        <f>""</f>
        <v/>
      </c>
      <c r="AC682" t="str">
        <f>""</f>
        <v/>
      </c>
      <c r="AD682" t="str">
        <f>""</f>
        <v/>
      </c>
      <c r="AE682" t="str">
        <f>""</f>
        <v/>
      </c>
      <c r="AF682" t="str">
        <f>""</f>
        <v/>
      </c>
      <c r="AG682" t="str">
        <f>"S"</f>
        <v>S</v>
      </c>
      <c r="AH682" t="str">
        <f>""</f>
        <v/>
      </c>
      <c r="AI682" t="str">
        <f>""</f>
        <v/>
      </c>
      <c r="AJ682" t="str">
        <f>""</f>
        <v/>
      </c>
      <c r="AK682" t="str">
        <f>""</f>
        <v/>
      </c>
      <c r="AL682" t="str">
        <f>""</f>
        <v/>
      </c>
      <c r="AM682" t="str">
        <f>""</f>
        <v/>
      </c>
      <c r="AN682" t="str">
        <f>""</f>
        <v/>
      </c>
      <c r="AO682" t="str">
        <f>""</f>
        <v/>
      </c>
      <c r="AP682" t="str">
        <f>""</f>
        <v/>
      </c>
      <c r="AQ682" t="str">
        <f>"N"</f>
        <v>N</v>
      </c>
      <c r="AR682" t="str">
        <f>"N"</f>
        <v>N</v>
      </c>
      <c r="AS682" t="str">
        <f>"N"</f>
        <v>N</v>
      </c>
      <c r="AT682" t="str">
        <f>"N"</f>
        <v>N</v>
      </c>
      <c r="AU682" t="str">
        <f>"N"</f>
        <v>N</v>
      </c>
      <c r="AV682" t="str">
        <f>""</f>
        <v/>
      </c>
      <c r="AW682" t="str">
        <f>""</f>
        <v/>
      </c>
      <c r="AX682" t="str">
        <f>""</f>
        <v/>
      </c>
      <c r="AY682" t="str">
        <f>""</f>
        <v/>
      </c>
      <c r="AZ682" t="str">
        <f>""</f>
        <v/>
      </c>
      <c r="BA682" t="str">
        <f>""</f>
        <v/>
      </c>
      <c r="BB682" t="str">
        <f>""</f>
        <v/>
      </c>
      <c r="BC682" t="str">
        <f>"23/08/2021 17:49:50"</f>
        <v>23/08/2021 17:49:50</v>
      </c>
      <c r="BD682" t="str">
        <f>""</f>
        <v/>
      </c>
      <c r="BE682" t="str">
        <f>""</f>
        <v/>
      </c>
      <c r="BF682" t="str">
        <f t="shared" si="328"/>
        <v>A</v>
      </c>
      <c r="BG682" t="str">
        <f>""</f>
        <v/>
      </c>
      <c r="BH682" t="str">
        <f>"0,00"</f>
        <v>0,00</v>
      </c>
      <c r="BI682" t="str">
        <f t="shared" si="344"/>
        <v>EVENTUAL</v>
      </c>
      <c r="BJ682" t="str">
        <f t="shared" si="329"/>
        <v>1</v>
      </c>
      <c r="BK682" t="str">
        <f t="shared" si="330"/>
        <v>Farmacia</v>
      </c>
      <c r="BL682" t="str">
        <f>""</f>
        <v/>
      </c>
      <c r="BM682" t="str">
        <f>"NÃO É VARILUX ESPECIALISTA"</f>
        <v>NÃO É VARILUX ESPECIALISTA</v>
      </c>
      <c r="BN682" t="str">
        <f>"NA"</f>
        <v>NA</v>
      </c>
      <c r="BO682" t="str">
        <f>"FOCO VARILUX"</f>
        <v>FOCO VARILUX</v>
      </c>
      <c r="BP682" t="str">
        <f>""</f>
        <v/>
      </c>
      <c r="BQ682" t="str">
        <f>""</f>
        <v/>
      </c>
      <c r="BR682" t="str">
        <f>""</f>
        <v/>
      </c>
      <c r="BS682" t="str">
        <f>"23/08/2021"</f>
        <v>23/08/2021</v>
      </c>
      <c r="BT682" t="str">
        <f>""</f>
        <v/>
      </c>
      <c r="BU682" t="str">
        <f>""</f>
        <v/>
      </c>
      <c r="BV682" t="str">
        <f>"1"</f>
        <v>1</v>
      </c>
      <c r="BW682" t="str">
        <f>"372"</f>
        <v>372</v>
      </c>
    </row>
    <row r="683" spans="1:75" x14ac:dyDescent="0.35">
      <c r="A683">
        <v>156951</v>
      </c>
      <c r="B683" t="str">
        <f t="shared" si="325"/>
        <v>A</v>
      </c>
      <c r="C683" t="str">
        <f t="shared" si="326"/>
        <v>80</v>
      </c>
      <c r="D683" t="str">
        <f t="shared" si="316"/>
        <v>11121002</v>
      </c>
      <c r="E683" t="str">
        <f t="shared" si="317"/>
        <v>121002</v>
      </c>
      <c r="F683" t="str">
        <f t="shared" si="318"/>
        <v>CINTHIA NORONHA</v>
      </c>
      <c r="G683" t="str">
        <f>"48048602000145"</f>
        <v>48048602000145</v>
      </c>
      <c r="H683" t="str">
        <f>"0"</f>
        <v>0</v>
      </c>
      <c r="I683" t="str">
        <f t="shared" si="327"/>
        <v>CONTA OPTICA</v>
      </c>
      <c r="J683" t="str">
        <f>"FC OTICA KOBRASOL LTDA"</f>
        <v>FC OTICA KOBRASOL LTDA</v>
      </c>
      <c r="K683" t="str">
        <f>"OTICA KOBRASOL (4582)"</f>
        <v>OTICA KOBRASOL (4582)</v>
      </c>
      <c r="L683" t="str">
        <f>""</f>
        <v/>
      </c>
      <c r="M683" t="str">
        <f>""</f>
        <v/>
      </c>
      <c r="N683" t="str">
        <f>"KOBRASOLOTICA@GMAIL.COM"</f>
        <v>KOBRASOLOTICA@GMAIL.COM</v>
      </c>
      <c r="O683" t="str">
        <f>""</f>
        <v/>
      </c>
      <c r="P683" t="str">
        <f>"DELAMAR JOSE DA SILVA"</f>
        <v>DELAMAR JOSE DA SILVA</v>
      </c>
      <c r="Q683" t="str">
        <f>"100"</f>
        <v>100</v>
      </c>
      <c r="R683" t="str">
        <f>"LOJA 01"</f>
        <v>LOJA 01</v>
      </c>
      <c r="S683" t="str">
        <f>"1259"</f>
        <v>1259</v>
      </c>
      <c r="T683" t="str">
        <f>"88102100"</f>
        <v>88102100</v>
      </c>
      <c r="U683" t="str">
        <f>"KOBRASOL"</f>
        <v>KOBRASOL</v>
      </c>
      <c r="V683" t="str">
        <f>"SAO JOSE"</f>
        <v>SAO JOSE</v>
      </c>
      <c r="W683" t="str">
        <f t="shared" si="341"/>
        <v>SC</v>
      </c>
      <c r="X683" t="str">
        <f t="shared" si="345"/>
        <v>48</v>
      </c>
      <c r="Y683" t="str">
        <f>"30582040"</f>
        <v>30582040</v>
      </c>
      <c r="Z683" t="str">
        <f>""</f>
        <v/>
      </c>
      <c r="AA683" t="str">
        <f>""</f>
        <v/>
      </c>
      <c r="AB683" t="str">
        <f>""</f>
        <v/>
      </c>
      <c r="AC683" t="str">
        <f>""</f>
        <v/>
      </c>
      <c r="AD683" t="str">
        <f>""</f>
        <v/>
      </c>
      <c r="AE683" t="str">
        <f>""</f>
        <v/>
      </c>
      <c r="AF683" t="str">
        <f>""</f>
        <v/>
      </c>
      <c r="AG683" t="str">
        <f>""</f>
        <v/>
      </c>
      <c r="AH683" t="str">
        <f>""</f>
        <v/>
      </c>
      <c r="AI683" t="str">
        <f>""</f>
        <v/>
      </c>
      <c r="AJ683" t="str">
        <f>""</f>
        <v/>
      </c>
      <c r="AK683" t="str">
        <f>""</f>
        <v/>
      </c>
      <c r="AL683" t="str">
        <f>""</f>
        <v/>
      </c>
      <c r="AM683" t="str">
        <f>""</f>
        <v/>
      </c>
      <c r="AN683" t="str">
        <f>""</f>
        <v/>
      </c>
      <c r="AO683" t="str">
        <f>""</f>
        <v/>
      </c>
      <c r="AP683" t="str">
        <f>""</f>
        <v/>
      </c>
      <c r="AQ683" t="str">
        <f>""</f>
        <v/>
      </c>
      <c r="AR683" t="str">
        <f>""</f>
        <v/>
      </c>
      <c r="AS683" t="str">
        <f>""</f>
        <v/>
      </c>
      <c r="AT683" t="str">
        <f>""</f>
        <v/>
      </c>
      <c r="AU683" t="str">
        <f>""</f>
        <v/>
      </c>
      <c r="AV683" t="str">
        <f>""</f>
        <v/>
      </c>
      <c r="AW683" t="str">
        <f>""</f>
        <v/>
      </c>
      <c r="AX683" t="str">
        <f>""</f>
        <v/>
      </c>
      <c r="AY683" t="str">
        <f>""</f>
        <v/>
      </c>
      <c r="AZ683" t="str">
        <f>""</f>
        <v/>
      </c>
      <c r="BA683" t="str">
        <f>""</f>
        <v/>
      </c>
      <c r="BB683" t="str">
        <f>"06/07/2023 12:07:48"</f>
        <v>06/07/2023 12:07:48</v>
      </c>
      <c r="BC683" t="str">
        <f>""</f>
        <v/>
      </c>
      <c r="BD683" t="str">
        <f>""</f>
        <v/>
      </c>
      <c r="BE683" t="str">
        <f>""</f>
        <v/>
      </c>
      <c r="BF683" t="str">
        <f t="shared" si="328"/>
        <v>A</v>
      </c>
      <c r="BG683" t="str">
        <f>""</f>
        <v/>
      </c>
      <c r="BH683" t="str">
        <f>""</f>
        <v/>
      </c>
      <c r="BI683" t="str">
        <f t="shared" si="344"/>
        <v>EVENTUAL</v>
      </c>
      <c r="BJ683" t="str">
        <f t="shared" si="329"/>
        <v>1</v>
      </c>
      <c r="BK683" t="str">
        <f t="shared" si="330"/>
        <v>Farmacia</v>
      </c>
      <c r="BL683" t="str">
        <f>""</f>
        <v/>
      </c>
      <c r="BM683" t="str">
        <f>""</f>
        <v/>
      </c>
      <c r="BN683" t="str">
        <f>""</f>
        <v/>
      </c>
      <c r="BO683" t="str">
        <f>""</f>
        <v/>
      </c>
      <c r="BP683" t="str">
        <f>""</f>
        <v/>
      </c>
      <c r="BQ683" t="str">
        <f>""</f>
        <v/>
      </c>
      <c r="BR683" t="str">
        <f>"06/07/2023"</f>
        <v>06/07/2023</v>
      </c>
      <c r="BS683" t="str">
        <f>""</f>
        <v/>
      </c>
      <c r="BT683" t="str">
        <f>""</f>
        <v/>
      </c>
      <c r="BU683" t="str">
        <f>""</f>
        <v/>
      </c>
      <c r="BV683" t="str">
        <f>""</f>
        <v/>
      </c>
      <c r="BW683" t="str">
        <f>"32"</f>
        <v>32</v>
      </c>
    </row>
    <row r="684" spans="1:75" x14ac:dyDescent="0.35">
      <c r="A684">
        <v>134445</v>
      </c>
      <c r="B684" t="str">
        <f t="shared" si="325"/>
        <v>A</v>
      </c>
      <c r="C684" t="str">
        <f t="shared" si="326"/>
        <v>80</v>
      </c>
      <c r="D684" t="str">
        <f t="shared" si="316"/>
        <v>11121002</v>
      </c>
      <c r="E684" t="str">
        <f t="shared" si="317"/>
        <v>121002</v>
      </c>
      <c r="F684" t="str">
        <f t="shared" si="318"/>
        <v>CINTHIA NORONHA</v>
      </c>
      <c r="G684" t="str">
        <f>"36655085000355"</f>
        <v>36655085000355</v>
      </c>
      <c r="H684" t="str">
        <f>""</f>
        <v/>
      </c>
      <c r="I684" t="str">
        <f t="shared" si="327"/>
        <v>CONTA OPTICA</v>
      </c>
      <c r="J684" t="str">
        <f>"FEISA COMERCIO DE PRODUTOS OTICOS LTDA"</f>
        <v>FEISA COMERCIO DE PRODUTOS OTICOS LTDA</v>
      </c>
      <c r="K684" t="str">
        <f>"OTICAS CAROL (4189)"</f>
        <v>OTICAS CAROL (4189)</v>
      </c>
      <c r="L684" t="str">
        <f>""</f>
        <v/>
      </c>
      <c r="M684" t="str">
        <f>""</f>
        <v/>
      </c>
      <c r="N684" t="str">
        <f>"adm.sc@oticascarol.com.br"</f>
        <v>adm.sc@oticascarol.com.br</v>
      </c>
      <c r="O684" t="str">
        <f>""</f>
        <v/>
      </c>
      <c r="P684" t="str">
        <f>"AVENIDA PREFEITO OSMAR CUNHA"</f>
        <v>AVENIDA PREFEITO OSMAR CUNHA</v>
      </c>
      <c r="Q684" t="str">
        <f>"416"</f>
        <v>416</v>
      </c>
      <c r="R684" t="str">
        <f>"LOJA 08"</f>
        <v>LOJA 08</v>
      </c>
      <c r="S684" t="str">
        <f>"1255"</f>
        <v>1255</v>
      </c>
      <c r="T684" t="str">
        <f>"88015100"</f>
        <v>88015100</v>
      </c>
      <c r="U684" t="str">
        <f>"CENTRO"</f>
        <v>CENTRO</v>
      </c>
      <c r="V684" t="str">
        <f>"FLORIANOPOLIS"</f>
        <v>FLORIANOPOLIS</v>
      </c>
      <c r="W684" t="str">
        <f t="shared" si="341"/>
        <v>SC</v>
      </c>
      <c r="X684" t="str">
        <f t="shared" si="345"/>
        <v>48</v>
      </c>
      <c r="Y684" t="str">
        <f>"999106479"</f>
        <v>999106479</v>
      </c>
      <c r="Z684" t="str">
        <f>""</f>
        <v/>
      </c>
      <c r="AA684" t="str">
        <f>""</f>
        <v/>
      </c>
      <c r="AB684" t="str">
        <f>""</f>
        <v/>
      </c>
      <c r="AC684" t="str">
        <f>""</f>
        <v/>
      </c>
      <c r="AD684" t="str">
        <f>""</f>
        <v/>
      </c>
      <c r="AE684" t="str">
        <f>""</f>
        <v/>
      </c>
      <c r="AF684" t="str">
        <f>""</f>
        <v/>
      </c>
      <c r="AG684" t="str">
        <f>""</f>
        <v/>
      </c>
      <c r="AH684" t="str">
        <f>""</f>
        <v/>
      </c>
      <c r="AI684" t="str">
        <f>""</f>
        <v/>
      </c>
      <c r="AJ684" t="str">
        <f>""</f>
        <v/>
      </c>
      <c r="AK684" t="str">
        <f>""</f>
        <v/>
      </c>
      <c r="AL684" t="str">
        <f>""</f>
        <v/>
      </c>
      <c r="AM684" t="str">
        <f>""</f>
        <v/>
      </c>
      <c r="AN684" t="str">
        <f>""</f>
        <v/>
      </c>
      <c r="AO684" t="str">
        <f>""</f>
        <v/>
      </c>
      <c r="AP684" t="str">
        <f>""</f>
        <v/>
      </c>
      <c r="AQ684" t="str">
        <f>""</f>
        <v/>
      </c>
      <c r="AR684" t="str">
        <f>""</f>
        <v/>
      </c>
      <c r="AS684" t="str">
        <f>""</f>
        <v/>
      </c>
      <c r="AT684" t="str">
        <f>""</f>
        <v/>
      </c>
      <c r="AU684" t="str">
        <f>""</f>
        <v/>
      </c>
      <c r="AV684" t="str">
        <f>""</f>
        <v/>
      </c>
      <c r="AW684" t="str">
        <f>""</f>
        <v/>
      </c>
      <c r="AX684" t="str">
        <f>""</f>
        <v/>
      </c>
      <c r="AY684" t="str">
        <f>""</f>
        <v/>
      </c>
      <c r="AZ684" t="str">
        <f>""</f>
        <v/>
      </c>
      <c r="BA684" t="str">
        <f>""</f>
        <v/>
      </c>
      <c r="BB684" t="str">
        <f>""</f>
        <v/>
      </c>
      <c r="BC684" t="str">
        <f>""</f>
        <v/>
      </c>
      <c r="BD684" t="str">
        <f>""</f>
        <v/>
      </c>
      <c r="BE684" t="str">
        <f>""</f>
        <v/>
      </c>
      <c r="BF684" t="str">
        <f t="shared" si="328"/>
        <v>A</v>
      </c>
      <c r="BG684" t="str">
        <f>""</f>
        <v/>
      </c>
      <c r="BH684" t="str">
        <f>""</f>
        <v/>
      </c>
      <c r="BI684" t="str">
        <f t="shared" si="344"/>
        <v>EVENTUAL</v>
      </c>
      <c r="BJ684" t="str">
        <f t="shared" si="329"/>
        <v>1</v>
      </c>
      <c r="BK684" t="str">
        <f t="shared" si="330"/>
        <v>Farmacia</v>
      </c>
      <c r="BL684" t="str">
        <f>""</f>
        <v/>
      </c>
      <c r="BM684" t="str">
        <f>"VARILUX ESPECIALISTA SELECT"</f>
        <v>VARILUX ESPECIALISTA SELECT</v>
      </c>
      <c r="BN684" t="str">
        <f>"NA"</f>
        <v>NA</v>
      </c>
      <c r="BO684" t="str">
        <f>"FOCO VARILUX DIGITAL"</f>
        <v>FOCO VARILUX DIGITAL</v>
      </c>
      <c r="BP684" t="str">
        <f>""</f>
        <v/>
      </c>
      <c r="BQ684" t="str">
        <f>""</f>
        <v/>
      </c>
      <c r="BR684" t="str">
        <f>""</f>
        <v/>
      </c>
      <c r="BS684" t="str">
        <f>""</f>
        <v/>
      </c>
      <c r="BT684" t="str">
        <f>""</f>
        <v/>
      </c>
      <c r="BU684" t="str">
        <f>""</f>
        <v/>
      </c>
      <c r="BV684" t="str">
        <f>"9"</f>
        <v>9</v>
      </c>
      <c r="BW684" t="str">
        <f>"Não visitado"</f>
        <v>Não visitado</v>
      </c>
    </row>
    <row r="685" spans="1:75" x14ac:dyDescent="0.35">
      <c r="A685">
        <v>134425</v>
      </c>
      <c r="B685" t="str">
        <f t="shared" si="325"/>
        <v>A</v>
      </c>
      <c r="C685" t="str">
        <f t="shared" si="326"/>
        <v>80</v>
      </c>
      <c r="D685" t="str">
        <f t="shared" si="316"/>
        <v>11121002</v>
      </c>
      <c r="E685" t="str">
        <f t="shared" si="317"/>
        <v>121002</v>
      </c>
      <c r="F685" t="str">
        <f t="shared" si="318"/>
        <v>CINTHIA NORONHA</v>
      </c>
      <c r="G685" t="str">
        <f>"36655085000193"</f>
        <v>36655085000193</v>
      </c>
      <c r="H685" t="str">
        <f>""</f>
        <v/>
      </c>
      <c r="I685" t="str">
        <f t="shared" si="327"/>
        <v>CONTA OPTICA</v>
      </c>
      <c r="J685" t="str">
        <f>"FEISA COMERCIO DE PRODUTOS OTICOS LTDA"</f>
        <v>FEISA COMERCIO DE PRODUTOS OTICOS LTDA</v>
      </c>
      <c r="K685" t="str">
        <f>"OTICAS CAROL (4119)"</f>
        <v>OTICAS CAROL (4119)</v>
      </c>
      <c r="L685" t="str">
        <f>""</f>
        <v/>
      </c>
      <c r="M685" t="str">
        <f>""</f>
        <v/>
      </c>
      <c r="N685" t="str">
        <f>"oticascarolfloripa@gmail.com.br"</f>
        <v>oticascarolfloripa@gmail.com.br</v>
      </c>
      <c r="O685" t="str">
        <f>""</f>
        <v/>
      </c>
      <c r="P685" t="str">
        <f>"AVENIDA PREFEITO OSMAR CUNHA"</f>
        <v>AVENIDA PREFEITO OSMAR CUNHA</v>
      </c>
      <c r="Q685" t="str">
        <f>"183"</f>
        <v>183</v>
      </c>
      <c r="R685" t="str">
        <f>""</f>
        <v/>
      </c>
      <c r="S685" t="str">
        <f>"1255"</f>
        <v>1255</v>
      </c>
      <c r="T685" t="str">
        <f>"88015100"</f>
        <v>88015100</v>
      </c>
      <c r="U685" t="str">
        <f>"CENTRO"</f>
        <v>CENTRO</v>
      </c>
      <c r="V685" t="str">
        <f>"FLORIANOPOLIS"</f>
        <v>FLORIANOPOLIS</v>
      </c>
      <c r="W685" t="str">
        <f t="shared" si="341"/>
        <v>SC</v>
      </c>
      <c r="X685" t="str">
        <f t="shared" si="345"/>
        <v>48</v>
      </c>
      <c r="Y685" t="str">
        <f>"33713996"</f>
        <v>33713996</v>
      </c>
      <c r="Z685" t="str">
        <f>""</f>
        <v/>
      </c>
      <c r="AA685" t="str">
        <f>""</f>
        <v/>
      </c>
      <c r="AB685" t="str">
        <f>""</f>
        <v/>
      </c>
      <c r="AC685" t="str">
        <f>""</f>
        <v/>
      </c>
      <c r="AD685" t="str">
        <f>""</f>
        <v/>
      </c>
      <c r="AE685" t="str">
        <f>""</f>
        <v/>
      </c>
      <c r="AF685" t="str">
        <f>""</f>
        <v/>
      </c>
      <c r="AG685" t="str">
        <f>""</f>
        <v/>
      </c>
      <c r="AH685" t="str">
        <f>""</f>
        <v/>
      </c>
      <c r="AI685" t="str">
        <f>""</f>
        <v/>
      </c>
      <c r="AJ685" t="str">
        <f>""</f>
        <v/>
      </c>
      <c r="AK685" t="str">
        <f>""</f>
        <v/>
      </c>
      <c r="AL685" t="str">
        <f>""</f>
        <v/>
      </c>
      <c r="AM685" t="str">
        <f>""</f>
        <v/>
      </c>
      <c r="AN685" t="str">
        <f>""</f>
        <v/>
      </c>
      <c r="AO685" t="str">
        <f>""</f>
        <v/>
      </c>
      <c r="AP685" t="str">
        <f>""</f>
        <v/>
      </c>
      <c r="AQ685" t="str">
        <f>""</f>
        <v/>
      </c>
      <c r="AR685" t="str">
        <f>""</f>
        <v/>
      </c>
      <c r="AS685" t="str">
        <f>""</f>
        <v/>
      </c>
      <c r="AT685" t="str">
        <f>""</f>
        <v/>
      </c>
      <c r="AU685" t="str">
        <f>""</f>
        <v/>
      </c>
      <c r="AV685" t="str">
        <f>""</f>
        <v/>
      </c>
      <c r="AW685" t="str">
        <f>""</f>
        <v/>
      </c>
      <c r="AX685" t="str">
        <f>""</f>
        <v/>
      </c>
      <c r="AY685" t="str">
        <f>""</f>
        <v/>
      </c>
      <c r="AZ685" t="str">
        <f>""</f>
        <v/>
      </c>
      <c r="BA685" t="str">
        <f>""</f>
        <v/>
      </c>
      <c r="BB685" t="str">
        <f>""</f>
        <v/>
      </c>
      <c r="BC685" t="str">
        <f>""</f>
        <v/>
      </c>
      <c r="BD685" t="str">
        <f>""</f>
        <v/>
      </c>
      <c r="BE685" t="str">
        <f>""</f>
        <v/>
      </c>
      <c r="BF685" t="str">
        <f t="shared" si="328"/>
        <v>A</v>
      </c>
      <c r="BG685" t="str">
        <f>""</f>
        <v/>
      </c>
      <c r="BH685" t="str">
        <f>""</f>
        <v/>
      </c>
      <c r="BI685" t="str">
        <f t="shared" si="344"/>
        <v>EVENTUAL</v>
      </c>
      <c r="BJ685" t="str">
        <f t="shared" si="329"/>
        <v>1</v>
      </c>
      <c r="BK685" t="str">
        <f t="shared" si="330"/>
        <v>Farmacia</v>
      </c>
      <c r="BL685" t="str">
        <f>""</f>
        <v/>
      </c>
      <c r="BM685" t="str">
        <f>"VARILUX ESPECIALISTA SELECT"</f>
        <v>VARILUX ESPECIALISTA SELECT</v>
      </c>
      <c r="BN685" t="str">
        <f>"NA"</f>
        <v>NA</v>
      </c>
      <c r="BO685" t="str">
        <f>"FOCO VARILUX DIGITAL"</f>
        <v>FOCO VARILUX DIGITAL</v>
      </c>
      <c r="BP685" t="str">
        <f>""</f>
        <v/>
      </c>
      <c r="BQ685" t="str">
        <f>""</f>
        <v/>
      </c>
      <c r="BR685" t="str">
        <f>""</f>
        <v/>
      </c>
      <c r="BS685" t="str">
        <f>""</f>
        <v/>
      </c>
      <c r="BT685" t="str">
        <f>""</f>
        <v/>
      </c>
      <c r="BU685" t="str">
        <f>""</f>
        <v/>
      </c>
      <c r="BV685" t="str">
        <f>"9"</f>
        <v>9</v>
      </c>
      <c r="BW685" t="str">
        <f>"Não visitado"</f>
        <v>Não visitado</v>
      </c>
    </row>
    <row r="686" spans="1:75" x14ac:dyDescent="0.35">
      <c r="A686">
        <v>144358</v>
      </c>
      <c r="B686" t="str">
        <f t="shared" si="325"/>
        <v>A</v>
      </c>
      <c r="C686" t="str">
        <f t="shared" si="326"/>
        <v>80</v>
      </c>
      <c r="D686" t="str">
        <f t="shared" si="316"/>
        <v>11121002</v>
      </c>
      <c r="E686" t="str">
        <f t="shared" si="317"/>
        <v>121002</v>
      </c>
      <c r="F686" t="str">
        <f t="shared" si="318"/>
        <v>CINTHIA NORONHA</v>
      </c>
      <c r="G686" t="str">
        <f>"28435515000133"</f>
        <v>28435515000133</v>
      </c>
      <c r="H686" t="str">
        <f>""</f>
        <v/>
      </c>
      <c r="I686" t="str">
        <f t="shared" si="327"/>
        <v>CONTA OPTICA</v>
      </c>
      <c r="J686" t="str">
        <f>"FELIPE ALMEIDA DE SOUZA 05132534910"</f>
        <v>FELIPE ALMEIDA DE SOUZA 05132534910</v>
      </c>
      <c r="K686" t="str">
        <f>"PUPILA OPTICA &amp; JOALHEIRA (3838)"</f>
        <v>PUPILA OPTICA &amp; JOALHEIRA (3838)</v>
      </c>
      <c r="L686" t="str">
        <f>""</f>
        <v/>
      </c>
      <c r="M686" t="str">
        <f>""</f>
        <v/>
      </c>
      <c r="N686" t="str">
        <f>"pupilaopticaejoalheria@gmail.com"</f>
        <v>pupilaopticaejoalheria@gmail.com</v>
      </c>
      <c r="O686" t="str">
        <f>""</f>
        <v/>
      </c>
      <c r="P686" t="str">
        <f>"RUA ANTONIO SAVI"</f>
        <v>RUA ANTONIO SAVI</v>
      </c>
      <c r="Q686" t="str">
        <f>"41"</f>
        <v>41</v>
      </c>
      <c r="R686" t="str">
        <f>"SLA 2"</f>
        <v>SLA 2</v>
      </c>
      <c r="S686" t="str">
        <f>"1270"</f>
        <v>1270</v>
      </c>
      <c r="T686" t="str">
        <f>"88940000"</f>
        <v>88940000</v>
      </c>
      <c r="U686" t="str">
        <f>"CENTRO"</f>
        <v>CENTRO</v>
      </c>
      <c r="V686" t="str">
        <f>"TIMBÉ DO SUL"</f>
        <v>TIMBÉ DO SUL</v>
      </c>
      <c r="W686" t="str">
        <f t="shared" si="341"/>
        <v>SC</v>
      </c>
      <c r="X686" t="str">
        <f t="shared" si="345"/>
        <v>48</v>
      </c>
      <c r="Y686" t="str">
        <f>"35361271"</f>
        <v>35361271</v>
      </c>
      <c r="Z686" t="str">
        <f>""</f>
        <v/>
      </c>
      <c r="AA686" t="str">
        <f>""</f>
        <v/>
      </c>
      <c r="AB686" t="str">
        <f>""</f>
        <v/>
      </c>
      <c r="AC686" t="str">
        <f>""</f>
        <v/>
      </c>
      <c r="AD686" t="str">
        <f>""</f>
        <v/>
      </c>
      <c r="AE686" t="str">
        <f>""</f>
        <v/>
      </c>
      <c r="AF686" t="str">
        <f>""</f>
        <v/>
      </c>
      <c r="AG686" t="str">
        <f>""</f>
        <v/>
      </c>
      <c r="AH686" t="str">
        <f>""</f>
        <v/>
      </c>
      <c r="AI686" t="str">
        <f>""</f>
        <v/>
      </c>
      <c r="AJ686" t="str">
        <f t="shared" ref="AJ686:AL687" si="347">"0"</f>
        <v>0</v>
      </c>
      <c r="AK686" t="str">
        <f t="shared" si="347"/>
        <v>0</v>
      </c>
      <c r="AL686" t="str">
        <f t="shared" si="347"/>
        <v>0</v>
      </c>
      <c r="AM686" t="str">
        <f>""</f>
        <v/>
      </c>
      <c r="AN686" t="str">
        <f>""</f>
        <v/>
      </c>
      <c r="AO686" t="str">
        <f>""</f>
        <v/>
      </c>
      <c r="AP686" t="str">
        <f>""</f>
        <v/>
      </c>
      <c r="AQ686" t="str">
        <f>""</f>
        <v/>
      </c>
      <c r="AR686" t="str">
        <f>""</f>
        <v/>
      </c>
      <c r="AS686" t="str">
        <f>""</f>
        <v/>
      </c>
      <c r="AT686" t="str">
        <f>""</f>
        <v/>
      </c>
      <c r="AU686" t="str">
        <f>""</f>
        <v/>
      </c>
      <c r="AV686" t="str">
        <f>""</f>
        <v/>
      </c>
      <c r="AW686" t="str">
        <f>""</f>
        <v/>
      </c>
      <c r="AX686" t="str">
        <f>""</f>
        <v/>
      </c>
      <c r="AY686" t="str">
        <f>""</f>
        <v/>
      </c>
      <c r="AZ686" t="str">
        <f>""</f>
        <v/>
      </c>
      <c r="BA686" t="str">
        <f>""</f>
        <v/>
      </c>
      <c r="BB686" t="str">
        <f>""</f>
        <v/>
      </c>
      <c r="BC686" t="str">
        <f>""</f>
        <v/>
      </c>
      <c r="BD686" t="str">
        <f>""</f>
        <v/>
      </c>
      <c r="BE686" t="str">
        <f>""</f>
        <v/>
      </c>
      <c r="BF686" t="str">
        <f t="shared" si="328"/>
        <v>A</v>
      </c>
      <c r="BG686" t="str">
        <f>"0,00"</f>
        <v>0,00</v>
      </c>
      <c r="BH686" t="str">
        <f>"0,00"</f>
        <v>0,00</v>
      </c>
      <c r="BI686" t="str">
        <f t="shared" si="344"/>
        <v>EVENTUAL</v>
      </c>
      <c r="BJ686" t="str">
        <f t="shared" si="329"/>
        <v>1</v>
      </c>
      <c r="BK686" t="str">
        <f t="shared" si="330"/>
        <v>Farmacia</v>
      </c>
      <c r="BL686" t="str">
        <f>""</f>
        <v/>
      </c>
      <c r="BM686" t="str">
        <f>"NÃO É VARILUX ESPECIALISTA"</f>
        <v>NÃO É VARILUX ESPECIALISTA</v>
      </c>
      <c r="BN686" t="str">
        <f>"NA"</f>
        <v>NA</v>
      </c>
      <c r="BO686" t="str">
        <f>"OUTROS"</f>
        <v>OUTROS</v>
      </c>
      <c r="BP686" t="str">
        <f>""</f>
        <v/>
      </c>
      <c r="BQ686" t="str">
        <f>""</f>
        <v/>
      </c>
      <c r="BR686" t="str">
        <f>""</f>
        <v/>
      </c>
      <c r="BS686" t="str">
        <f>""</f>
        <v/>
      </c>
      <c r="BT686" t="str">
        <f>""</f>
        <v/>
      </c>
      <c r="BU686" t="str">
        <f>""</f>
        <v/>
      </c>
      <c r="BV686" t="str">
        <f>"9"</f>
        <v>9</v>
      </c>
      <c r="BW686" t="str">
        <f>"168"</f>
        <v>168</v>
      </c>
    </row>
    <row r="687" spans="1:75" x14ac:dyDescent="0.35">
      <c r="A687">
        <v>139957</v>
      </c>
      <c r="B687" t="str">
        <f t="shared" si="325"/>
        <v>A</v>
      </c>
      <c r="C687" t="str">
        <f t="shared" si="326"/>
        <v>80</v>
      </c>
      <c r="D687" t="str">
        <f t="shared" si="316"/>
        <v>11121002</v>
      </c>
      <c r="E687" t="str">
        <f t="shared" si="317"/>
        <v>121002</v>
      </c>
      <c r="F687" t="str">
        <f t="shared" si="318"/>
        <v>CINTHIA NORONHA</v>
      </c>
      <c r="G687" t="str">
        <f>"09606522000106"</f>
        <v>09606522000106</v>
      </c>
      <c r="H687" t="str">
        <f>"0"</f>
        <v>0</v>
      </c>
      <c r="I687" t="str">
        <f t="shared" si="327"/>
        <v>CONTA OPTICA</v>
      </c>
      <c r="J687" t="str">
        <f>"FELIPE DE SOUZA ROSSI"</f>
        <v>FELIPE DE SOUZA ROSSI</v>
      </c>
      <c r="K687" t="str">
        <f>"OTICA POPULAR 96 (4376)"</f>
        <v>OTICA POPULAR 96 (4376)</v>
      </c>
      <c r="L687" t="str">
        <f>""</f>
        <v/>
      </c>
      <c r="M687" t="str">
        <f>""</f>
        <v/>
      </c>
      <c r="N687" t="str">
        <f>"oticapopular96@gmail.com"</f>
        <v>oticapopular96@gmail.com</v>
      </c>
      <c r="O687" t="str">
        <f>""</f>
        <v/>
      </c>
      <c r="P687" t="str">
        <f>"RUA FRANCISCO TOLENTINO"</f>
        <v>RUA FRANCISCO TOLENTINO</v>
      </c>
      <c r="Q687" t="str">
        <f>"315"</f>
        <v>315</v>
      </c>
      <c r="R687" t="str">
        <f>"BOX 96"</f>
        <v>BOX 96</v>
      </c>
      <c r="S687" t="str">
        <f>""</f>
        <v/>
      </c>
      <c r="T687" t="str">
        <f>"88010913"</f>
        <v>88010913</v>
      </c>
      <c r="U687" t="str">
        <f>"CENTRO"</f>
        <v>CENTRO</v>
      </c>
      <c r="V687" t="str">
        <f>"FLORIANÓPOLIS"</f>
        <v>FLORIANÓPOLIS</v>
      </c>
      <c r="W687" t="str">
        <f t="shared" si="341"/>
        <v>SC</v>
      </c>
      <c r="X687" t="str">
        <f t="shared" si="345"/>
        <v>48</v>
      </c>
      <c r="Y687" t="str">
        <f>"991113370"</f>
        <v>991113370</v>
      </c>
      <c r="Z687" t="str">
        <f>""</f>
        <v/>
      </c>
      <c r="AA687" t="str">
        <f>""</f>
        <v/>
      </c>
      <c r="AB687" t="str">
        <f>""</f>
        <v/>
      </c>
      <c r="AC687" t="str">
        <f>""</f>
        <v/>
      </c>
      <c r="AD687" t="str">
        <f>""</f>
        <v/>
      </c>
      <c r="AE687" t="str">
        <f>""</f>
        <v/>
      </c>
      <c r="AF687" t="str">
        <f>""</f>
        <v/>
      </c>
      <c r="AG687" t="str">
        <f>""</f>
        <v/>
      </c>
      <c r="AH687" t="str">
        <f>""</f>
        <v/>
      </c>
      <c r="AI687" t="str">
        <f>""</f>
        <v/>
      </c>
      <c r="AJ687" t="str">
        <f t="shared" si="347"/>
        <v>0</v>
      </c>
      <c r="AK687" t="str">
        <f t="shared" si="347"/>
        <v>0</v>
      </c>
      <c r="AL687" t="str">
        <f t="shared" si="347"/>
        <v>0</v>
      </c>
      <c r="AM687" t="str">
        <f>""</f>
        <v/>
      </c>
      <c r="AN687" t="str">
        <f>""</f>
        <v/>
      </c>
      <c r="AO687" t="str">
        <f>""</f>
        <v/>
      </c>
      <c r="AP687" t="str">
        <f>""</f>
        <v/>
      </c>
      <c r="AQ687" t="str">
        <f>""</f>
        <v/>
      </c>
      <c r="AR687" t="str">
        <f>""</f>
        <v/>
      </c>
      <c r="AS687" t="str">
        <f>""</f>
        <v/>
      </c>
      <c r="AT687" t="str">
        <f>""</f>
        <v/>
      </c>
      <c r="AU687" t="str">
        <f>""</f>
        <v/>
      </c>
      <c r="AV687" t="str">
        <f>""</f>
        <v/>
      </c>
      <c r="AW687" t="str">
        <f>""</f>
        <v/>
      </c>
      <c r="AX687" t="str">
        <f>""</f>
        <v/>
      </c>
      <c r="AY687" t="str">
        <f>""</f>
        <v/>
      </c>
      <c r="AZ687" t="str">
        <f>""</f>
        <v/>
      </c>
      <c r="BA687" t="str">
        <f>""</f>
        <v/>
      </c>
      <c r="BB687" t="str">
        <f>"18/08/2021 08:46:18"</f>
        <v>18/08/2021 08:46:18</v>
      </c>
      <c r="BC687" t="str">
        <f>""</f>
        <v/>
      </c>
      <c r="BD687" t="str">
        <f>""</f>
        <v/>
      </c>
      <c r="BE687" t="str">
        <f>""</f>
        <v/>
      </c>
      <c r="BF687" t="str">
        <f t="shared" si="328"/>
        <v>A</v>
      </c>
      <c r="BG687" t="str">
        <f>"0,00"</f>
        <v>0,00</v>
      </c>
      <c r="BH687" t="str">
        <f>"0,00"</f>
        <v>0,00</v>
      </c>
      <c r="BI687" t="str">
        <f t="shared" si="344"/>
        <v>EVENTUAL</v>
      </c>
      <c r="BJ687" t="str">
        <f t="shared" si="329"/>
        <v>1</v>
      </c>
      <c r="BK687" t="str">
        <f t="shared" si="330"/>
        <v>Farmacia</v>
      </c>
      <c r="BL687" t="str">
        <f>""</f>
        <v/>
      </c>
      <c r="BM687" t="str">
        <f>"NÃO É VARILUX ESPECIALISTA"</f>
        <v>NÃO É VARILUX ESPECIALISTA</v>
      </c>
      <c r="BN687" t="str">
        <f>"NA"</f>
        <v>NA</v>
      </c>
      <c r="BO687" t="str">
        <f>"OUTROS"</f>
        <v>OUTROS</v>
      </c>
      <c r="BP687" t="str">
        <f>""</f>
        <v/>
      </c>
      <c r="BQ687" t="str">
        <f>""</f>
        <v/>
      </c>
      <c r="BR687" t="str">
        <f>"18/08/2021"</f>
        <v>18/08/2021</v>
      </c>
      <c r="BS687" t="str">
        <f>""</f>
        <v/>
      </c>
      <c r="BT687" t="str">
        <f>""</f>
        <v/>
      </c>
      <c r="BU687" t="str">
        <f>""</f>
        <v/>
      </c>
      <c r="BV687" t="str">
        <f>""</f>
        <v/>
      </c>
      <c r="BW687" t="str">
        <f>"Não visitado"</f>
        <v>Não visitado</v>
      </c>
    </row>
    <row r="688" spans="1:75" x14ac:dyDescent="0.35">
      <c r="A688">
        <v>157680</v>
      </c>
      <c r="B688" t="str">
        <f t="shared" si="325"/>
        <v>A</v>
      </c>
      <c r="C688" t="str">
        <f t="shared" si="326"/>
        <v>80</v>
      </c>
      <c r="D688" t="str">
        <f t="shared" si="316"/>
        <v>11121002</v>
      </c>
      <c r="E688" t="str">
        <f t="shared" si="317"/>
        <v>121002</v>
      </c>
      <c r="F688" t="str">
        <f t="shared" si="318"/>
        <v>CINTHIA NORONHA</v>
      </c>
      <c r="G688" t="str">
        <f>"04297346000316"</f>
        <v>04297346000316</v>
      </c>
      <c r="H688" t="str">
        <f>"0"</f>
        <v>0</v>
      </c>
      <c r="I688" t="str">
        <f t="shared" si="327"/>
        <v>CONTA OPTICA</v>
      </c>
      <c r="J688" t="str">
        <f>"FELIPE RAISER DA CRUZ ME"</f>
        <v>FELIPE RAISER DA CRUZ ME</v>
      </c>
      <c r="K688" t="str">
        <f>"FELIPE RAISER DA CRUZ (13167)"</f>
        <v>FELIPE RAISER DA CRUZ (13167)</v>
      </c>
      <c r="L688" t="str">
        <f>""</f>
        <v/>
      </c>
      <c r="M688" t="str">
        <f>""</f>
        <v/>
      </c>
      <c r="N688" t="str">
        <f>""</f>
        <v/>
      </c>
      <c r="O688" t="str">
        <f>""</f>
        <v/>
      </c>
      <c r="P688" t="str">
        <f>"RUA IRMAOS VIEIRA"</f>
        <v>RUA IRMAOS VIEIRA</v>
      </c>
      <c r="Q688" t="str">
        <f>"23"</f>
        <v>23</v>
      </c>
      <c r="R688" t="str">
        <f>"SUBSOLO ANEXO"</f>
        <v>SUBSOLO ANEXO</v>
      </c>
      <c r="S688" t="str">
        <f>""</f>
        <v/>
      </c>
      <c r="T688" t="str">
        <f>"88101290"</f>
        <v>88101290</v>
      </c>
      <c r="U688" t="str">
        <f>"CAMPINAS"</f>
        <v>CAMPINAS</v>
      </c>
      <c r="V688" t="str">
        <f>"SAO JOSE"</f>
        <v>SAO JOSE</v>
      </c>
      <c r="W688" t="str">
        <f t="shared" si="341"/>
        <v>SC</v>
      </c>
      <c r="X688" t="str">
        <f t="shared" si="345"/>
        <v>48</v>
      </c>
      <c r="Y688" t="str">
        <f>"2427659"</f>
        <v>2427659</v>
      </c>
      <c r="Z688" t="str">
        <f>""</f>
        <v/>
      </c>
      <c r="AA688" t="str">
        <f>""</f>
        <v/>
      </c>
      <c r="AB688" t="str">
        <f>""</f>
        <v/>
      </c>
      <c r="AC688" t="str">
        <f>""</f>
        <v/>
      </c>
      <c r="AD688" t="str">
        <f>""</f>
        <v/>
      </c>
      <c r="AE688" t="str">
        <f>""</f>
        <v/>
      </c>
      <c r="AF688" t="str">
        <f>""</f>
        <v/>
      </c>
      <c r="AG688" t="str">
        <f>""</f>
        <v/>
      </c>
      <c r="AH688" t="str">
        <f>""</f>
        <v/>
      </c>
      <c r="AI688" t="str">
        <f>""</f>
        <v/>
      </c>
      <c r="AJ688" t="str">
        <f>""</f>
        <v/>
      </c>
      <c r="AK688" t="str">
        <f>""</f>
        <v/>
      </c>
      <c r="AL688" t="str">
        <f>""</f>
        <v/>
      </c>
      <c r="AM688" t="str">
        <f>""</f>
        <v/>
      </c>
      <c r="AN688" t="str">
        <f>""</f>
        <v/>
      </c>
      <c r="AO688" t="str">
        <f>""</f>
        <v/>
      </c>
      <c r="AP688" t="str">
        <f>""</f>
        <v/>
      </c>
      <c r="AQ688" t="str">
        <f>""</f>
        <v/>
      </c>
      <c r="AR688" t="str">
        <f>""</f>
        <v/>
      </c>
      <c r="AS688" t="str">
        <f>""</f>
        <v/>
      </c>
      <c r="AT688" t="str">
        <f>""</f>
        <v/>
      </c>
      <c r="AU688" t="str">
        <f>""</f>
        <v/>
      </c>
      <c r="AV688" t="str">
        <f>""</f>
        <v/>
      </c>
      <c r="AW688" t="str">
        <f>""</f>
        <v/>
      </c>
      <c r="AX688" t="str">
        <f>""</f>
        <v/>
      </c>
      <c r="AY688" t="str">
        <f>""</f>
        <v/>
      </c>
      <c r="AZ688" t="str">
        <f>""</f>
        <v/>
      </c>
      <c r="BA688" t="str">
        <f>""</f>
        <v/>
      </c>
      <c r="BB688" t="str">
        <f>"11/07/2023 02:19:56"</f>
        <v>11/07/2023 02:19:56</v>
      </c>
      <c r="BC688" t="str">
        <f>""</f>
        <v/>
      </c>
      <c r="BD688" t="str">
        <f>""</f>
        <v/>
      </c>
      <c r="BE688" t="str">
        <f>""</f>
        <v/>
      </c>
      <c r="BF688" t="str">
        <f t="shared" si="328"/>
        <v>A</v>
      </c>
      <c r="BG688" t="str">
        <f>""</f>
        <v/>
      </c>
      <c r="BH688" t="str">
        <f>""</f>
        <v/>
      </c>
      <c r="BI688" t="str">
        <f t="shared" si="344"/>
        <v>EVENTUAL</v>
      </c>
      <c r="BJ688" t="str">
        <f t="shared" si="329"/>
        <v>1</v>
      </c>
      <c r="BK688" t="str">
        <f t="shared" si="330"/>
        <v>Farmacia</v>
      </c>
      <c r="BL688" t="str">
        <f>""</f>
        <v/>
      </c>
      <c r="BM688" t="str">
        <f>""</f>
        <v/>
      </c>
      <c r="BN688" t="str">
        <f>""</f>
        <v/>
      </c>
      <c r="BO688" t="str">
        <f>""</f>
        <v/>
      </c>
      <c r="BP688" t="str">
        <f>""</f>
        <v/>
      </c>
      <c r="BQ688" t="str">
        <f>""</f>
        <v/>
      </c>
      <c r="BR688" t="str">
        <f>"11/07/2023"</f>
        <v>11/07/2023</v>
      </c>
      <c r="BS688" t="str">
        <f>""</f>
        <v/>
      </c>
      <c r="BT688" t="str">
        <f>""</f>
        <v/>
      </c>
      <c r="BU688" t="str">
        <f>""</f>
        <v/>
      </c>
      <c r="BV688" t="str">
        <f>""</f>
        <v/>
      </c>
      <c r="BW688" t="str">
        <f>"Não visitado"</f>
        <v>Não visitado</v>
      </c>
    </row>
    <row r="689" spans="1:75" x14ac:dyDescent="0.35">
      <c r="A689">
        <v>136656</v>
      </c>
      <c r="B689" t="str">
        <f t="shared" si="325"/>
        <v>A</v>
      </c>
      <c r="C689" t="str">
        <f t="shared" si="326"/>
        <v>80</v>
      </c>
      <c r="D689" t="str">
        <f t="shared" si="316"/>
        <v>11121002</v>
      </c>
      <c r="E689" t="str">
        <f t="shared" si="317"/>
        <v>121002</v>
      </c>
      <c r="F689" t="str">
        <f t="shared" si="318"/>
        <v>CINTHIA NORONHA</v>
      </c>
      <c r="G689" t="str">
        <f>"42258281000127"</f>
        <v>42258281000127</v>
      </c>
      <c r="H689" t="str">
        <f>"0"</f>
        <v>0</v>
      </c>
      <c r="I689" t="str">
        <f t="shared" si="327"/>
        <v>CONTA OPTICA</v>
      </c>
      <c r="J689" t="str">
        <f>"FELIX UDALRICO OSINAGA ROSALES 70074883151"</f>
        <v>FELIX UDALRICO OSINAGA ROSALES 70074883151</v>
      </c>
      <c r="K689" t="str">
        <f>"OTICAS PRECISO OCULOS (4335)"</f>
        <v>OTICAS PRECISO OCULOS (4335)</v>
      </c>
      <c r="L689" t="str">
        <f>""</f>
        <v/>
      </c>
      <c r="M689" t="str">
        <f>""</f>
        <v/>
      </c>
      <c r="N689" t="str">
        <f>"OTICASPRECISOOCULOS@GMAIL.COM"</f>
        <v>OTICASPRECISOOCULOS@GMAIL.COM</v>
      </c>
      <c r="O689" t="str">
        <f>""</f>
        <v/>
      </c>
      <c r="P689" t="str">
        <f>"DAS NACOES"</f>
        <v>DAS NACOES</v>
      </c>
      <c r="Q689" t="str">
        <f>"538"</f>
        <v>538</v>
      </c>
      <c r="R689" t="str">
        <f>"LOJA 08"</f>
        <v>LOJA 08</v>
      </c>
      <c r="S689" t="str">
        <f>"1257"</f>
        <v>1257</v>
      </c>
      <c r="T689" t="str">
        <f>"88054010"</f>
        <v>88054010</v>
      </c>
      <c r="U689" t="str">
        <f>"CANASVIEIRAS"</f>
        <v>CANASVIEIRAS</v>
      </c>
      <c r="V689" t="str">
        <f>"FLORIANÓPOLIS"</f>
        <v>FLORIANÓPOLIS</v>
      </c>
      <c r="W689" t="str">
        <f t="shared" si="341"/>
        <v>SC</v>
      </c>
      <c r="X689" t="str">
        <f t="shared" si="345"/>
        <v>48</v>
      </c>
      <c r="Y689" t="str">
        <f>"999406654"</f>
        <v>999406654</v>
      </c>
      <c r="Z689" t="str">
        <f>""</f>
        <v/>
      </c>
      <c r="AA689" t="str">
        <f>""</f>
        <v/>
      </c>
      <c r="AB689" t="str">
        <f>""</f>
        <v/>
      </c>
      <c r="AC689" t="str">
        <f>""</f>
        <v/>
      </c>
      <c r="AD689" t="str">
        <f>""</f>
        <v/>
      </c>
      <c r="AE689" t="str">
        <f>""</f>
        <v/>
      </c>
      <c r="AF689" t="str">
        <f>""</f>
        <v/>
      </c>
      <c r="AG689" t="str">
        <f>"S"</f>
        <v>S</v>
      </c>
      <c r="AH689" t="str">
        <f>""</f>
        <v/>
      </c>
      <c r="AI689" t="str">
        <f>""</f>
        <v/>
      </c>
      <c r="AJ689" t="str">
        <f>""</f>
        <v/>
      </c>
      <c r="AK689" t="str">
        <f>""</f>
        <v/>
      </c>
      <c r="AL689" t="str">
        <f>""</f>
        <v/>
      </c>
      <c r="AM689" t="str">
        <f>""</f>
        <v/>
      </c>
      <c r="AN689" t="str">
        <f>""</f>
        <v/>
      </c>
      <c r="AO689" t="str">
        <f>""</f>
        <v/>
      </c>
      <c r="AP689" t="str">
        <f>""</f>
        <v/>
      </c>
      <c r="AQ689" t="str">
        <f>"N"</f>
        <v>N</v>
      </c>
      <c r="AR689" t="str">
        <f>"N"</f>
        <v>N</v>
      </c>
      <c r="AS689" t="str">
        <f>"N"</f>
        <v>N</v>
      </c>
      <c r="AT689" t="str">
        <f>"N"</f>
        <v>N</v>
      </c>
      <c r="AU689" t="str">
        <f>"N"</f>
        <v>N</v>
      </c>
      <c r="AV689" t="str">
        <f>""</f>
        <v/>
      </c>
      <c r="AW689" t="str">
        <f>""</f>
        <v/>
      </c>
      <c r="AX689" t="str">
        <f>""</f>
        <v/>
      </c>
      <c r="AY689" t="str">
        <f>""</f>
        <v/>
      </c>
      <c r="AZ689" t="str">
        <f>""</f>
        <v/>
      </c>
      <c r="BA689" t="str">
        <f>""</f>
        <v/>
      </c>
      <c r="BB689" t="str">
        <f>"22/06/2021 10:47:38"</f>
        <v>22/06/2021 10:47:38</v>
      </c>
      <c r="BC689" t="str">
        <f>"06/05/2022 13:57:50"</f>
        <v>06/05/2022 13:57:50</v>
      </c>
      <c r="BD689" t="str">
        <f>""</f>
        <v/>
      </c>
      <c r="BE689" t="str">
        <f>""</f>
        <v/>
      </c>
      <c r="BF689" t="str">
        <f t="shared" si="328"/>
        <v>A</v>
      </c>
      <c r="BG689" t="str">
        <f>""</f>
        <v/>
      </c>
      <c r="BH689" t="str">
        <f>"0,00"</f>
        <v>0,00</v>
      </c>
      <c r="BI689" t="str">
        <f t="shared" si="344"/>
        <v>EVENTUAL</v>
      </c>
      <c r="BJ689" t="str">
        <f t="shared" si="329"/>
        <v>1</v>
      </c>
      <c r="BK689" t="str">
        <f t="shared" si="330"/>
        <v>Farmacia</v>
      </c>
      <c r="BL689" t="str">
        <f>""</f>
        <v/>
      </c>
      <c r="BM689" t="str">
        <f>"NÃO É VARILUX ESPECIALISTA"</f>
        <v>NÃO É VARILUX ESPECIALISTA</v>
      </c>
      <c r="BN689" t="str">
        <f>"NA"</f>
        <v>NA</v>
      </c>
      <c r="BO689" t="str">
        <f>"FOCO KODAK 2"</f>
        <v>FOCO KODAK 2</v>
      </c>
      <c r="BP689" t="str">
        <f>""</f>
        <v/>
      </c>
      <c r="BQ689" t="str">
        <f>""</f>
        <v/>
      </c>
      <c r="BR689" t="str">
        <f>"22/06/2021"</f>
        <v>22/06/2021</v>
      </c>
      <c r="BS689" t="str">
        <f>"06/05/2022"</f>
        <v>06/05/2022</v>
      </c>
      <c r="BT689" t="str">
        <f>""</f>
        <v/>
      </c>
      <c r="BU689" t="str">
        <f>""</f>
        <v/>
      </c>
      <c r="BV689" t="str">
        <f>""</f>
        <v/>
      </c>
      <c r="BW689" t="str">
        <f>"161"</f>
        <v>161</v>
      </c>
    </row>
    <row r="690" spans="1:75" x14ac:dyDescent="0.35">
      <c r="A690">
        <v>120536</v>
      </c>
      <c r="B690" t="str">
        <f t="shared" si="325"/>
        <v>A</v>
      </c>
      <c r="C690" t="str">
        <f t="shared" si="326"/>
        <v>80</v>
      </c>
      <c r="D690" t="str">
        <f t="shared" si="316"/>
        <v>11121002</v>
      </c>
      <c r="E690" t="str">
        <f t="shared" si="317"/>
        <v>121002</v>
      </c>
      <c r="F690" t="str">
        <f t="shared" si="318"/>
        <v>CINTHIA NORONHA</v>
      </c>
      <c r="G690" t="str">
        <f>"05129508000108"</f>
        <v>05129508000108</v>
      </c>
      <c r="H690" t="str">
        <f>"0"</f>
        <v>0</v>
      </c>
      <c r="I690" t="str">
        <f t="shared" si="327"/>
        <v>CONTA OPTICA</v>
      </c>
      <c r="J690" t="str">
        <f>"FENIX DOURADA JOALHERIA E OTICA LTDA ME"</f>
        <v>FENIX DOURADA JOALHERIA E OTICA LTDA ME</v>
      </c>
      <c r="K690" t="str">
        <f>"MONDADORI SAO JOAO (1130)"</f>
        <v>MONDADORI SAO JOAO (1130)</v>
      </c>
      <c r="L690" t="str">
        <f>""</f>
        <v/>
      </c>
      <c r="M690" t="str">
        <f>""</f>
        <v/>
      </c>
      <c r="N690" t="str">
        <f>"mondadori_sjd@hotmail.com"</f>
        <v>mondadori_sjd@hotmail.com</v>
      </c>
      <c r="O690" t="str">
        <f>""</f>
        <v/>
      </c>
      <c r="P690" t="str">
        <f>"RUA CORONEL PEDRO DEMORO"</f>
        <v>RUA CORONEL PEDRO DEMORO</v>
      </c>
      <c r="Q690" t="str">
        <f>"2057"</f>
        <v>2057</v>
      </c>
      <c r="R690" t="str">
        <f>""</f>
        <v/>
      </c>
      <c r="S690" t="str">
        <f>"1258"</f>
        <v>1258</v>
      </c>
      <c r="T690" t="str">
        <f>"88075300"</f>
        <v>88075300</v>
      </c>
      <c r="U690" t="str">
        <f>"BALNEARIO"</f>
        <v>BALNEARIO</v>
      </c>
      <c r="V690" t="str">
        <f>"FLORIANOPOLIS"</f>
        <v>FLORIANOPOLIS</v>
      </c>
      <c r="W690" t="str">
        <f t="shared" si="341"/>
        <v>SC</v>
      </c>
      <c r="X690" t="str">
        <f>""</f>
        <v/>
      </c>
      <c r="Y690" t="str">
        <f>""</f>
        <v/>
      </c>
      <c r="Z690" t="str">
        <f>""</f>
        <v/>
      </c>
      <c r="AA690" t="str">
        <f>""</f>
        <v/>
      </c>
      <c r="AB690" t="str">
        <f>""</f>
        <v/>
      </c>
      <c r="AC690" t="str">
        <f>""</f>
        <v/>
      </c>
      <c r="AD690" t="str">
        <f>""</f>
        <v/>
      </c>
      <c r="AE690" t="str">
        <f>""</f>
        <v/>
      </c>
      <c r="AF690" t="str">
        <f>""</f>
        <v/>
      </c>
      <c r="AG690" t="str">
        <f>""</f>
        <v/>
      </c>
      <c r="AH690" t="str">
        <f>""</f>
        <v/>
      </c>
      <c r="AI690" t="str">
        <f>""</f>
        <v/>
      </c>
      <c r="AJ690" t="str">
        <f>""</f>
        <v/>
      </c>
      <c r="AK690" t="str">
        <f>""</f>
        <v/>
      </c>
      <c r="AL690" t="str">
        <f>""</f>
        <v/>
      </c>
      <c r="AM690" t="str">
        <f>""</f>
        <v/>
      </c>
      <c r="AN690" t="str">
        <f>""</f>
        <v/>
      </c>
      <c r="AO690" t="str">
        <f>""</f>
        <v/>
      </c>
      <c r="AP690" t="str">
        <f>""</f>
        <v/>
      </c>
      <c r="AQ690" t="str">
        <f>""</f>
        <v/>
      </c>
      <c r="AR690" t="str">
        <f>""</f>
        <v/>
      </c>
      <c r="AS690" t="str">
        <f>""</f>
        <v/>
      </c>
      <c r="AT690" t="str">
        <f>""</f>
        <v/>
      </c>
      <c r="AU690" t="str">
        <f>""</f>
        <v/>
      </c>
      <c r="AV690" t="str">
        <f>""</f>
        <v/>
      </c>
      <c r="AW690" t="str">
        <f>""</f>
        <v/>
      </c>
      <c r="AX690" t="str">
        <f>""</f>
        <v/>
      </c>
      <c r="AY690" t="str">
        <f>""</f>
        <v/>
      </c>
      <c r="AZ690" t="str">
        <f>""</f>
        <v/>
      </c>
      <c r="BA690" t="str">
        <f>""</f>
        <v/>
      </c>
      <c r="BB690" t="str">
        <f>"22/09/2020 15:29:33"</f>
        <v>22/09/2020 15:29:33</v>
      </c>
      <c r="BC690" t="str">
        <f>""</f>
        <v/>
      </c>
      <c r="BD690" t="str">
        <f>""</f>
        <v/>
      </c>
      <c r="BE690" t="str">
        <f>""</f>
        <v/>
      </c>
      <c r="BF690" t="str">
        <f t="shared" si="328"/>
        <v>A</v>
      </c>
      <c r="BG690" t="str">
        <f>""</f>
        <v/>
      </c>
      <c r="BH690" t="str">
        <f>""</f>
        <v/>
      </c>
      <c r="BI690" t="str">
        <f t="shared" si="344"/>
        <v>EVENTUAL</v>
      </c>
      <c r="BJ690" t="str">
        <f t="shared" si="329"/>
        <v>1</v>
      </c>
      <c r="BK690" t="str">
        <f t="shared" si="330"/>
        <v>Farmacia</v>
      </c>
      <c r="BL690" t="str">
        <f>""</f>
        <v/>
      </c>
      <c r="BM690" t="str">
        <f>"NÃO É VARILUX ESPECIALISTA"</f>
        <v>NÃO É VARILUX ESPECIALISTA</v>
      </c>
      <c r="BN690" t="str">
        <f>"NA"</f>
        <v>NA</v>
      </c>
      <c r="BO690" t="str">
        <f>"OUTROS"</f>
        <v>OUTROS</v>
      </c>
      <c r="BP690" t="str">
        <f>""</f>
        <v/>
      </c>
      <c r="BQ690" t="str">
        <f>""</f>
        <v/>
      </c>
      <c r="BR690" t="str">
        <f>"22/09/2020"</f>
        <v>22/09/2020</v>
      </c>
      <c r="BS690" t="str">
        <f>""</f>
        <v/>
      </c>
      <c r="BT690" t="str">
        <f>""</f>
        <v/>
      </c>
      <c r="BU690" t="str">
        <f>""</f>
        <v/>
      </c>
      <c r="BV690" t="str">
        <f>"9"</f>
        <v>9</v>
      </c>
      <c r="BW690" t="str">
        <f>"Não visitado"</f>
        <v>Não visitado</v>
      </c>
    </row>
    <row r="691" spans="1:75" x14ac:dyDescent="0.35">
      <c r="A691">
        <v>614</v>
      </c>
      <c r="B691" t="str">
        <f t="shared" si="325"/>
        <v>A</v>
      </c>
      <c r="C691" t="str">
        <f t="shared" si="326"/>
        <v>80</v>
      </c>
      <c r="D691" t="str">
        <f t="shared" si="316"/>
        <v>11121002</v>
      </c>
      <c r="E691" t="str">
        <f t="shared" si="317"/>
        <v>121002</v>
      </c>
      <c r="F691" t="str">
        <f t="shared" si="318"/>
        <v>CINTHIA NORONHA</v>
      </c>
      <c r="G691" t="str">
        <f>"19864789000157"</f>
        <v>19864789000157</v>
      </c>
      <c r="H691" t="str">
        <f>""</f>
        <v/>
      </c>
      <c r="I691" t="str">
        <f t="shared" si="327"/>
        <v>CONTA OPTICA</v>
      </c>
      <c r="J691" t="str">
        <f>"FERNANDA MAIA DA NOVA ME"</f>
        <v>FERNANDA MAIA DA NOVA ME</v>
      </c>
      <c r="K691" t="str">
        <f>"RELOJOARIA E OTICA MAK (2210)"</f>
        <v>RELOJOARIA E OTICA MAK (2210)</v>
      </c>
      <c r="L691" t="str">
        <f>""</f>
        <v/>
      </c>
      <c r="M691" t="str">
        <f>""</f>
        <v/>
      </c>
      <c r="N691" t="str">
        <f>"oticamak@gmail.com"</f>
        <v>oticamak@gmail.com</v>
      </c>
      <c r="O691" t="str">
        <f>""</f>
        <v/>
      </c>
      <c r="P691" t="str">
        <f>"RUA LEOBERTO LEAL"</f>
        <v>RUA LEOBERTO LEAL</v>
      </c>
      <c r="Q691" t="str">
        <f>"599"</f>
        <v>599</v>
      </c>
      <c r="R691" t="str">
        <f>"LOJA 03"</f>
        <v>LOJA 03</v>
      </c>
      <c r="S691" t="str">
        <f>"1259"</f>
        <v>1259</v>
      </c>
      <c r="T691" t="str">
        <f>"88117001"</f>
        <v>88117001</v>
      </c>
      <c r="U691" t="str">
        <f>"BARREIROS"</f>
        <v>BARREIROS</v>
      </c>
      <c r="V691" t="str">
        <f>"SÃO JOSÉ"</f>
        <v>SÃO JOSÉ</v>
      </c>
      <c r="W691" t="str">
        <f t="shared" si="341"/>
        <v>SC</v>
      </c>
      <c r="X691" t="str">
        <f t="shared" ref="X691:X698" si="348">"48"</f>
        <v>48</v>
      </c>
      <c r="Y691" t="str">
        <f>"30352505"</f>
        <v>30352505</v>
      </c>
      <c r="Z691" t="str">
        <f>""</f>
        <v/>
      </c>
      <c r="AA691" t="str">
        <f>""</f>
        <v/>
      </c>
      <c r="AB691" t="str">
        <f>""</f>
        <v/>
      </c>
      <c r="AC691" t="str">
        <f>""</f>
        <v/>
      </c>
      <c r="AD691" t="str">
        <f>""</f>
        <v/>
      </c>
      <c r="AE691" t="str">
        <f>""</f>
        <v/>
      </c>
      <c r="AF691" t="str">
        <f>""</f>
        <v/>
      </c>
      <c r="AG691" t="str">
        <f>"S"</f>
        <v>S</v>
      </c>
      <c r="AH691" t="str">
        <f>""</f>
        <v/>
      </c>
      <c r="AI691" t="str">
        <f>""</f>
        <v/>
      </c>
      <c r="AJ691" t="str">
        <f t="shared" ref="AJ691:AL692" si="349">"0"</f>
        <v>0</v>
      </c>
      <c r="AK691" t="str">
        <f t="shared" si="349"/>
        <v>0</v>
      </c>
      <c r="AL691" t="str">
        <f t="shared" si="349"/>
        <v>0</v>
      </c>
      <c r="AM691" t="str">
        <f>""</f>
        <v/>
      </c>
      <c r="AN691" t="str">
        <f>""</f>
        <v/>
      </c>
      <c r="AO691" t="str">
        <f>""</f>
        <v/>
      </c>
      <c r="AP691" t="str">
        <f>""</f>
        <v/>
      </c>
      <c r="AQ691" t="str">
        <f t="shared" ref="AQ691:AU692" si="350">"N"</f>
        <v>N</v>
      </c>
      <c r="AR691" t="str">
        <f t="shared" si="350"/>
        <v>N</v>
      </c>
      <c r="AS691" t="str">
        <f t="shared" si="350"/>
        <v>N</v>
      </c>
      <c r="AT691" t="str">
        <f t="shared" si="350"/>
        <v>N</v>
      </c>
      <c r="AU691" t="str">
        <f t="shared" si="350"/>
        <v>N</v>
      </c>
      <c r="AV691" t="str">
        <f>""</f>
        <v/>
      </c>
      <c r="AW691" t="str">
        <f>""</f>
        <v/>
      </c>
      <c r="AX691" t="str">
        <f>""</f>
        <v/>
      </c>
      <c r="AY691" t="str">
        <f>""</f>
        <v/>
      </c>
      <c r="AZ691" t="str">
        <f>""</f>
        <v/>
      </c>
      <c r="BA691" t="str">
        <f>""</f>
        <v/>
      </c>
      <c r="BB691" t="str">
        <f>"27/07/2018 09:25:47"</f>
        <v>27/07/2018 09:25:47</v>
      </c>
      <c r="BC691" t="str">
        <f>"07/04/2022 15:09:50"</f>
        <v>07/04/2022 15:09:50</v>
      </c>
      <c r="BD691" t="str">
        <f>""</f>
        <v/>
      </c>
      <c r="BE691" t="str">
        <f>"614"</f>
        <v>614</v>
      </c>
      <c r="BF691" t="str">
        <f t="shared" si="328"/>
        <v>A</v>
      </c>
      <c r="BG691" t="str">
        <f>"0,00"</f>
        <v>0,00</v>
      </c>
      <c r="BH691" t="str">
        <f>"0,00"</f>
        <v>0,00</v>
      </c>
      <c r="BI691" t="str">
        <f t="shared" si="344"/>
        <v>EVENTUAL</v>
      </c>
      <c r="BJ691" t="str">
        <f t="shared" si="329"/>
        <v>1</v>
      </c>
      <c r="BK691" t="str">
        <f t="shared" si="330"/>
        <v>Farmacia</v>
      </c>
      <c r="BL691" t="str">
        <f>""</f>
        <v/>
      </c>
      <c r="BM691" t="str">
        <f>"NÃO É VARILUX ESPECIALISTA"</f>
        <v>NÃO É VARILUX ESPECIALISTA</v>
      </c>
      <c r="BN691" t="str">
        <f>"NA"</f>
        <v>NA</v>
      </c>
      <c r="BO691" t="str">
        <f>"FOCO VARILUX DIGITAL"</f>
        <v>FOCO VARILUX DIGITAL</v>
      </c>
      <c r="BP691" t="str">
        <f>""</f>
        <v/>
      </c>
      <c r="BQ691" t="str">
        <f>""</f>
        <v/>
      </c>
      <c r="BR691" t="str">
        <f>"27/07/2018"</f>
        <v>27/07/2018</v>
      </c>
      <c r="BS691" t="str">
        <f>"07/04/2022"</f>
        <v>07/04/2022</v>
      </c>
      <c r="BT691" t="str">
        <f>""</f>
        <v/>
      </c>
      <c r="BU691" t="str">
        <f>""</f>
        <v/>
      </c>
      <c r="BV691" t="str">
        <f>"9"</f>
        <v>9</v>
      </c>
      <c r="BW691" t="str">
        <f>"129"</f>
        <v>129</v>
      </c>
    </row>
    <row r="692" spans="1:75" x14ac:dyDescent="0.35">
      <c r="A692">
        <v>556</v>
      </c>
      <c r="B692" t="str">
        <f t="shared" si="325"/>
        <v>A</v>
      </c>
      <c r="C692" t="str">
        <f t="shared" si="326"/>
        <v>80</v>
      </c>
      <c r="D692" t="str">
        <f t="shared" ref="D692:D755" si="351">"11121002"</f>
        <v>11121002</v>
      </c>
      <c r="E692" t="str">
        <f t="shared" ref="E692:E755" si="352">"121002"</f>
        <v>121002</v>
      </c>
      <c r="F692" t="str">
        <f t="shared" ref="F692:F755" si="353">"CINTHIA NORONHA"</f>
        <v>CINTHIA NORONHA</v>
      </c>
      <c r="G692" t="str">
        <f>"13823706000103"</f>
        <v>13823706000103</v>
      </c>
      <c r="H692" t="str">
        <f>""</f>
        <v/>
      </c>
      <c r="I692" t="str">
        <f t="shared" si="327"/>
        <v>CONTA OPTICA</v>
      </c>
      <c r="J692" t="str">
        <f>"FERNANDA MARIANA ALVES ME"</f>
        <v>FERNANDA MARIANA ALVES ME</v>
      </c>
      <c r="K692" t="str">
        <f>"M &amp; F CIA DOS OCULOS (2097)"</f>
        <v>M &amp; F CIA DOS OCULOS (2097)</v>
      </c>
      <c r="L692" t="str">
        <f>""</f>
        <v/>
      </c>
      <c r="M692" t="str">
        <f>""</f>
        <v/>
      </c>
      <c r="N692" t="str">
        <f>"opticamf@hotmail.com"</f>
        <v>opticamf@hotmail.com</v>
      </c>
      <c r="O692" t="str">
        <f>""</f>
        <v/>
      </c>
      <c r="P692" t="str">
        <f>"AVENIDA PEDRO JOSE DE AZEVEDO"</f>
        <v>AVENIDA PEDRO JOSE DE AZEVEDO</v>
      </c>
      <c r="Q692" t="str">
        <f>"SN"</f>
        <v>SN</v>
      </c>
      <c r="R692" t="str">
        <f>""</f>
        <v/>
      </c>
      <c r="S692" t="str">
        <f>"1259"</f>
        <v>1259</v>
      </c>
      <c r="T692" t="str">
        <f>"88160118"</f>
        <v>88160118</v>
      </c>
      <c r="U692" t="str">
        <f>"CENTRO"</f>
        <v>CENTRO</v>
      </c>
      <c r="V692" t="str">
        <f>"BIGUAÇU"</f>
        <v>BIGUAÇU</v>
      </c>
      <c r="W692" t="str">
        <f t="shared" si="341"/>
        <v>SC</v>
      </c>
      <c r="X692" t="str">
        <f t="shared" si="348"/>
        <v>48</v>
      </c>
      <c r="Y692" t="str">
        <f>"32781197"</f>
        <v>32781197</v>
      </c>
      <c r="Z692" t="str">
        <f>""</f>
        <v/>
      </c>
      <c r="AA692" t="str">
        <f>""</f>
        <v/>
      </c>
      <c r="AB692" t="str">
        <f>""</f>
        <v/>
      </c>
      <c r="AC692" t="str">
        <f>""</f>
        <v/>
      </c>
      <c r="AD692" t="str">
        <f>""</f>
        <v/>
      </c>
      <c r="AE692" t="str">
        <f>""</f>
        <v/>
      </c>
      <c r="AF692" t="str">
        <f>""</f>
        <v/>
      </c>
      <c r="AG692" t="str">
        <f>"S"</f>
        <v>S</v>
      </c>
      <c r="AH692" t="str">
        <f>""</f>
        <v/>
      </c>
      <c r="AI692" t="str">
        <f>""</f>
        <v/>
      </c>
      <c r="AJ692" t="str">
        <f t="shared" si="349"/>
        <v>0</v>
      </c>
      <c r="AK692" t="str">
        <f t="shared" si="349"/>
        <v>0</v>
      </c>
      <c r="AL692" t="str">
        <f t="shared" si="349"/>
        <v>0</v>
      </c>
      <c r="AM692" t="str">
        <f>""</f>
        <v/>
      </c>
      <c r="AN692" t="str">
        <f>""</f>
        <v/>
      </c>
      <c r="AO692" t="str">
        <f>""</f>
        <v/>
      </c>
      <c r="AP692" t="str">
        <f>""</f>
        <v/>
      </c>
      <c r="AQ692" t="str">
        <f t="shared" si="350"/>
        <v>N</v>
      </c>
      <c r="AR692" t="str">
        <f t="shared" si="350"/>
        <v>N</v>
      </c>
      <c r="AS692" t="str">
        <f t="shared" si="350"/>
        <v>N</v>
      </c>
      <c r="AT692" t="str">
        <f t="shared" si="350"/>
        <v>N</v>
      </c>
      <c r="AU692" t="str">
        <f t="shared" si="350"/>
        <v>N</v>
      </c>
      <c r="AV692" t="str">
        <f>""</f>
        <v/>
      </c>
      <c r="AW692" t="str">
        <f>""</f>
        <v/>
      </c>
      <c r="AX692" t="str">
        <f>""</f>
        <v/>
      </c>
      <c r="AY692" t="str">
        <f>""</f>
        <v/>
      </c>
      <c r="AZ692" t="str">
        <f>""</f>
        <v/>
      </c>
      <c r="BA692" t="str">
        <f>""</f>
        <v/>
      </c>
      <c r="BB692" t="str">
        <f>"27/07/2018 09:25:46"</f>
        <v>27/07/2018 09:25:46</v>
      </c>
      <c r="BC692" t="str">
        <f>"05/04/2022 11:06:50"</f>
        <v>05/04/2022 11:06:50</v>
      </c>
      <c r="BD692" t="str">
        <f>""</f>
        <v/>
      </c>
      <c r="BE692" t="str">
        <f>"556"</f>
        <v>556</v>
      </c>
      <c r="BF692" t="str">
        <f t="shared" si="328"/>
        <v>A</v>
      </c>
      <c r="BG692" t="str">
        <f>"0,00"</f>
        <v>0,00</v>
      </c>
      <c r="BH692" t="str">
        <f>"0,00"</f>
        <v>0,00</v>
      </c>
      <c r="BI692" t="str">
        <f t="shared" si="344"/>
        <v>EVENTUAL</v>
      </c>
      <c r="BJ692" t="str">
        <f t="shared" si="329"/>
        <v>1</v>
      </c>
      <c r="BK692" t="str">
        <f t="shared" si="330"/>
        <v>Farmacia</v>
      </c>
      <c r="BL692" t="str">
        <f>""</f>
        <v/>
      </c>
      <c r="BM692" t="str">
        <f>"NÃO É VARILUX ESPECIALISTA"</f>
        <v>NÃO É VARILUX ESPECIALISTA</v>
      </c>
      <c r="BN692" t="str">
        <f>"NA"</f>
        <v>NA</v>
      </c>
      <c r="BO692" t="str">
        <f>"FOCO KODAK 2"</f>
        <v>FOCO KODAK 2</v>
      </c>
      <c r="BP692" t="str">
        <f>""</f>
        <v/>
      </c>
      <c r="BQ692" t="str">
        <f>""</f>
        <v/>
      </c>
      <c r="BR692" t="str">
        <f>"27/07/2018"</f>
        <v>27/07/2018</v>
      </c>
      <c r="BS692" t="str">
        <f>"05/04/2022"</f>
        <v>05/04/2022</v>
      </c>
      <c r="BT692" t="str">
        <f>""</f>
        <v/>
      </c>
      <c r="BU692" t="str">
        <f>""</f>
        <v/>
      </c>
      <c r="BV692" t="str">
        <f>"9"</f>
        <v>9</v>
      </c>
      <c r="BW692" t="str">
        <f>"10"</f>
        <v>10</v>
      </c>
    </row>
    <row r="693" spans="1:75" x14ac:dyDescent="0.35">
      <c r="A693">
        <v>159577</v>
      </c>
      <c r="B693" t="str">
        <f t="shared" si="325"/>
        <v>A</v>
      </c>
      <c r="C693" t="str">
        <f t="shared" si="326"/>
        <v>80</v>
      </c>
      <c r="D693" t="str">
        <f t="shared" si="351"/>
        <v>11121002</v>
      </c>
      <c r="E693" t="str">
        <f t="shared" si="352"/>
        <v>121002</v>
      </c>
      <c r="F693" t="str">
        <f t="shared" si="353"/>
        <v>CINTHIA NORONHA</v>
      </c>
      <c r="G693" t="str">
        <f>"50136465000142"</f>
        <v>50136465000142</v>
      </c>
      <c r="H693" t="str">
        <f>""</f>
        <v/>
      </c>
      <c r="I693" t="str">
        <f t="shared" si="327"/>
        <v>CONTA OPTICA</v>
      </c>
      <c r="J693" t="str">
        <f>"FERNANDA MONDADORI OPTICAS LTDA"</f>
        <v>FERNANDA MONDADORI OPTICAS LTDA</v>
      </c>
      <c r="K693" t="str">
        <f>"MONDADORI OPTICAS (4772)"</f>
        <v>MONDADORI OPTICAS (4772)</v>
      </c>
      <c r="L693" t="str">
        <f>""</f>
        <v/>
      </c>
      <c r="M693" t="str">
        <f>""</f>
        <v/>
      </c>
      <c r="N693" t="str">
        <f>"FERNANDAMONDADORI@GMAIL.COM"</f>
        <v>FERNANDAMONDADORI@GMAIL.COM</v>
      </c>
      <c r="O693" t="str">
        <f>""</f>
        <v/>
      </c>
      <c r="P693" t="str">
        <f>"RUA VEREADOR ARTHUR MANOEL MARIANO"</f>
        <v>RUA VEREADOR ARTHUR MANOEL MARIANO</v>
      </c>
      <c r="Q693" t="str">
        <f>"1463"</f>
        <v>1463</v>
      </c>
      <c r="R693" t="str">
        <f>""</f>
        <v/>
      </c>
      <c r="S693" t="str">
        <f>"1259"</f>
        <v>1259</v>
      </c>
      <c r="T693" t="str">
        <f>"88106501"</f>
        <v>88106501</v>
      </c>
      <c r="U693" t="str">
        <f>"FORQUILHINHAS"</f>
        <v>FORQUILHINHAS</v>
      </c>
      <c r="V693" t="str">
        <f>"SAO JOSE"</f>
        <v>SAO JOSE</v>
      </c>
      <c r="W693" t="str">
        <f t="shared" si="341"/>
        <v>SC</v>
      </c>
      <c r="X693" t="str">
        <f t="shared" si="348"/>
        <v>48</v>
      </c>
      <c r="Y693" t="str">
        <f>"31120789"</f>
        <v>31120789</v>
      </c>
      <c r="Z693" t="str">
        <f>""</f>
        <v/>
      </c>
      <c r="AA693" t="str">
        <f>""</f>
        <v/>
      </c>
      <c r="AB693" t="str">
        <f>""</f>
        <v/>
      </c>
      <c r="AC693" t="str">
        <f>""</f>
        <v/>
      </c>
      <c r="AD693" t="str">
        <f>""</f>
        <v/>
      </c>
      <c r="AE693" t="str">
        <f>""</f>
        <v/>
      </c>
      <c r="AF693" t="str">
        <f>""</f>
        <v/>
      </c>
      <c r="AG693" t="str">
        <f>""</f>
        <v/>
      </c>
      <c r="AH693" t="str">
        <f>""</f>
        <v/>
      </c>
      <c r="AI693" t="str">
        <f>""</f>
        <v/>
      </c>
      <c r="AJ693" t="str">
        <f>""</f>
        <v/>
      </c>
      <c r="AK693" t="str">
        <f>""</f>
        <v/>
      </c>
      <c r="AL693" t="str">
        <f>""</f>
        <v/>
      </c>
      <c r="AM693" t="str">
        <f>""</f>
        <v/>
      </c>
      <c r="AN693" t="str">
        <f>""</f>
        <v/>
      </c>
      <c r="AO693" t="str">
        <f>""</f>
        <v/>
      </c>
      <c r="AP693" t="str">
        <f>""</f>
        <v/>
      </c>
      <c r="AQ693" t="str">
        <f>""</f>
        <v/>
      </c>
      <c r="AR693" t="str">
        <f>""</f>
        <v/>
      </c>
      <c r="AS693" t="str">
        <f>""</f>
        <v/>
      </c>
      <c r="AT693" t="str">
        <f>""</f>
        <v/>
      </c>
      <c r="AU693" t="str">
        <f>""</f>
        <v/>
      </c>
      <c r="AV693" t="str">
        <f>""</f>
        <v/>
      </c>
      <c r="AW693" t="str">
        <f>""</f>
        <v/>
      </c>
      <c r="AX693" t="str">
        <f>""</f>
        <v/>
      </c>
      <c r="AY693" t="str">
        <f>""</f>
        <v/>
      </c>
      <c r="AZ693" t="str">
        <f>""</f>
        <v/>
      </c>
      <c r="BA693" t="str">
        <f>""</f>
        <v/>
      </c>
      <c r="BB693" t="str">
        <f>"25/09/2023 11:47:13"</f>
        <v>25/09/2023 11:47:13</v>
      </c>
      <c r="BC693" t="str">
        <f>""</f>
        <v/>
      </c>
      <c r="BD693" t="str">
        <f>""</f>
        <v/>
      </c>
      <c r="BE693" t="str">
        <f>""</f>
        <v/>
      </c>
      <c r="BF693" t="str">
        <f t="shared" si="328"/>
        <v>A</v>
      </c>
      <c r="BG693" t="str">
        <f>""</f>
        <v/>
      </c>
      <c r="BH693" t="str">
        <f>""</f>
        <v/>
      </c>
      <c r="BI693" t="str">
        <f t="shared" si="344"/>
        <v>EVENTUAL</v>
      </c>
      <c r="BJ693" t="str">
        <f t="shared" si="329"/>
        <v>1</v>
      </c>
      <c r="BK693" t="str">
        <f t="shared" si="330"/>
        <v>Farmacia</v>
      </c>
      <c r="BL693" t="str">
        <f>""</f>
        <v/>
      </c>
      <c r="BM693" t="str">
        <f>""</f>
        <v/>
      </c>
      <c r="BN693" t="str">
        <f>""</f>
        <v/>
      </c>
      <c r="BO693" t="str">
        <f>""</f>
        <v/>
      </c>
      <c r="BP693" t="str">
        <f>""</f>
        <v/>
      </c>
      <c r="BQ693" t="str">
        <f>""</f>
        <v/>
      </c>
      <c r="BR693" t="str">
        <f>"25/09/2023"</f>
        <v>25/09/2023</v>
      </c>
      <c r="BS693" t="str">
        <f>""</f>
        <v/>
      </c>
      <c r="BT693" t="str">
        <f>""</f>
        <v/>
      </c>
      <c r="BU693" t="str">
        <f>""</f>
        <v/>
      </c>
      <c r="BV693" t="str">
        <f>""</f>
        <v/>
      </c>
      <c r="BW693" t="str">
        <f>"31"</f>
        <v>31</v>
      </c>
    </row>
    <row r="694" spans="1:75" x14ac:dyDescent="0.35">
      <c r="A694">
        <v>157590</v>
      </c>
      <c r="B694" t="str">
        <f t="shared" si="325"/>
        <v>A</v>
      </c>
      <c r="C694" t="str">
        <f t="shared" si="326"/>
        <v>80</v>
      </c>
      <c r="D694" t="str">
        <f t="shared" si="351"/>
        <v>11121002</v>
      </c>
      <c r="E694" t="str">
        <f t="shared" si="352"/>
        <v>121002</v>
      </c>
      <c r="F694" t="str">
        <f t="shared" si="353"/>
        <v>CINTHIA NORONHA</v>
      </c>
      <c r="G694" t="str">
        <f>"05207092000107"</f>
        <v>05207092000107</v>
      </c>
      <c r="H694" t="str">
        <f>"0"</f>
        <v>0</v>
      </c>
      <c r="I694" t="str">
        <f t="shared" si="327"/>
        <v>CONTA OPTICA</v>
      </c>
      <c r="J694" t="str">
        <f>"FERNANDES E FERNANDES LTDA  EPP"</f>
        <v>FERNANDES E FERNANDES LTDA  EPP</v>
      </c>
      <c r="K694" t="str">
        <f>"ALCIDINO JOALHERIA E OTICA  (560)"</f>
        <v>ALCIDINO JOALHERIA E OTICA  (560)</v>
      </c>
      <c r="L694" t="str">
        <f>""</f>
        <v/>
      </c>
      <c r="M694" t="str">
        <f>""</f>
        <v/>
      </c>
      <c r="N694" t="str">
        <f>"ALCIDINOFINANCEIRO@GMAIL.COM"</f>
        <v>ALCIDINOFINANCEIRO@GMAIL.COM</v>
      </c>
      <c r="O694" t="str">
        <f>""</f>
        <v/>
      </c>
      <c r="P694" t="str">
        <f>"RUA LAURO MULLER"</f>
        <v>RUA LAURO MULLER</v>
      </c>
      <c r="Q694" t="str">
        <f>"98"</f>
        <v>98</v>
      </c>
      <c r="R694" t="str">
        <f>""</f>
        <v/>
      </c>
      <c r="S694" t="str">
        <f>"1268"</f>
        <v>1268</v>
      </c>
      <c r="T694" t="str">
        <f>"88701100"</f>
        <v>88701100</v>
      </c>
      <c r="U694" t="str">
        <f>"CENTRO"</f>
        <v>CENTRO</v>
      </c>
      <c r="V694" t="str">
        <f>"TUBARAO"</f>
        <v>TUBARAO</v>
      </c>
      <c r="W694" t="str">
        <f t="shared" ref="W694:W725" si="354">"SC"</f>
        <v>SC</v>
      </c>
      <c r="X694" t="str">
        <f t="shared" si="348"/>
        <v>48</v>
      </c>
      <c r="Y694" t="str">
        <f>"36266155"</f>
        <v>36266155</v>
      </c>
      <c r="Z694" t="str">
        <f>""</f>
        <v/>
      </c>
      <c r="AA694" t="str">
        <f>""</f>
        <v/>
      </c>
      <c r="AB694" t="str">
        <f>""</f>
        <v/>
      </c>
      <c r="AC694" t="str">
        <f>""</f>
        <v/>
      </c>
      <c r="AD694" t="str">
        <f>""</f>
        <v/>
      </c>
      <c r="AE694" t="str">
        <f>""</f>
        <v/>
      </c>
      <c r="AF694" t="str">
        <f>""</f>
        <v/>
      </c>
      <c r="AG694" t="str">
        <f>""</f>
        <v/>
      </c>
      <c r="AH694" t="str">
        <f>""</f>
        <v/>
      </c>
      <c r="AI694" t="str">
        <f>""</f>
        <v/>
      </c>
      <c r="AJ694" t="str">
        <f>""</f>
        <v/>
      </c>
      <c r="AK694" t="str">
        <f>""</f>
        <v/>
      </c>
      <c r="AL694" t="str">
        <f>""</f>
        <v/>
      </c>
      <c r="AM694" t="str">
        <f>""</f>
        <v/>
      </c>
      <c r="AN694" t="str">
        <f>""</f>
        <v/>
      </c>
      <c r="AO694" t="str">
        <f>""</f>
        <v/>
      </c>
      <c r="AP694" t="str">
        <f>""</f>
        <v/>
      </c>
      <c r="AQ694" t="str">
        <f>""</f>
        <v/>
      </c>
      <c r="AR694" t="str">
        <f>""</f>
        <v/>
      </c>
      <c r="AS694" t="str">
        <f>""</f>
        <v/>
      </c>
      <c r="AT694" t="str">
        <f>""</f>
        <v/>
      </c>
      <c r="AU694" t="str">
        <f>""</f>
        <v/>
      </c>
      <c r="AV694" t="str">
        <f>""</f>
        <v/>
      </c>
      <c r="AW694" t="str">
        <f>""</f>
        <v/>
      </c>
      <c r="AX694" t="str">
        <f>""</f>
        <v/>
      </c>
      <c r="AY694" t="str">
        <f>""</f>
        <v/>
      </c>
      <c r="AZ694" t="str">
        <f>""</f>
        <v/>
      </c>
      <c r="BA694" t="str">
        <f>""</f>
        <v/>
      </c>
      <c r="BB694" t="str">
        <f>"11/07/2023 02:19:56"</f>
        <v>11/07/2023 02:19:56</v>
      </c>
      <c r="BC694" t="str">
        <f>""</f>
        <v/>
      </c>
      <c r="BD694" t="str">
        <f>""</f>
        <v/>
      </c>
      <c r="BE694" t="str">
        <f>""</f>
        <v/>
      </c>
      <c r="BF694" t="str">
        <f t="shared" si="328"/>
        <v>A</v>
      </c>
      <c r="BG694" t="str">
        <f>""</f>
        <v/>
      </c>
      <c r="BH694" t="str">
        <f>""</f>
        <v/>
      </c>
      <c r="BI694" t="str">
        <f t="shared" si="344"/>
        <v>EVENTUAL</v>
      </c>
      <c r="BJ694" t="str">
        <f t="shared" si="329"/>
        <v>1</v>
      </c>
      <c r="BK694" t="str">
        <f t="shared" si="330"/>
        <v>Farmacia</v>
      </c>
      <c r="BL694" t="str">
        <f>""</f>
        <v/>
      </c>
      <c r="BM694" t="str">
        <f>""</f>
        <v/>
      </c>
      <c r="BN694" t="str">
        <f>""</f>
        <v/>
      </c>
      <c r="BO694" t="str">
        <f>""</f>
        <v/>
      </c>
      <c r="BP694" t="str">
        <f>""</f>
        <v/>
      </c>
      <c r="BQ694" t="str">
        <f>""</f>
        <v/>
      </c>
      <c r="BR694" t="str">
        <f>"11/07/2023"</f>
        <v>11/07/2023</v>
      </c>
      <c r="BS694" t="str">
        <f>""</f>
        <v/>
      </c>
      <c r="BT694" t="str">
        <f>""</f>
        <v/>
      </c>
      <c r="BU694" t="str">
        <f>""</f>
        <v/>
      </c>
      <c r="BV694" t="str">
        <f>""</f>
        <v/>
      </c>
      <c r="BW694" t="str">
        <f>"11"</f>
        <v>11</v>
      </c>
    </row>
    <row r="695" spans="1:75" x14ac:dyDescent="0.35">
      <c r="A695">
        <v>48</v>
      </c>
      <c r="B695" t="str">
        <f t="shared" si="325"/>
        <v>A</v>
      </c>
      <c r="C695" t="str">
        <f t="shared" si="326"/>
        <v>80</v>
      </c>
      <c r="D695" t="str">
        <f t="shared" si="351"/>
        <v>11121002</v>
      </c>
      <c r="E695" t="str">
        <f t="shared" si="352"/>
        <v>121002</v>
      </c>
      <c r="F695" t="str">
        <f t="shared" si="353"/>
        <v>CINTHIA NORONHA</v>
      </c>
      <c r="G695" t="str">
        <f>"04318822000176"</f>
        <v>04318822000176</v>
      </c>
      <c r="H695" t="str">
        <f>""</f>
        <v/>
      </c>
      <c r="I695" t="str">
        <f t="shared" si="327"/>
        <v>CONTA OPTICA</v>
      </c>
      <c r="J695" t="str">
        <f>"FERNANDES E SOCCAS LTDA"</f>
        <v>FERNANDES E SOCCAS LTDA</v>
      </c>
      <c r="K695" t="str">
        <f>"JOALHERIA E OTICA ALCIDINO (19)"</f>
        <v>JOALHERIA E OTICA ALCIDINO (19)</v>
      </c>
      <c r="L695" t="str">
        <f>""</f>
        <v/>
      </c>
      <c r="M695" t="str">
        <f>""</f>
        <v/>
      </c>
      <c r="N695" t="str">
        <f>"financeiro_alcidino@yahoo.com.br"</f>
        <v>financeiro_alcidino@yahoo.com.br</v>
      </c>
      <c r="O695" t="str">
        <f>""</f>
        <v/>
      </c>
      <c r="P695" t="str">
        <f>"PRACA NEREU RAMOS"</f>
        <v>PRACA NEREU RAMOS</v>
      </c>
      <c r="Q695" t="str">
        <f>"364"</f>
        <v>364</v>
      </c>
      <c r="R695" t="str">
        <f>"SALA 05"</f>
        <v>SALA 05</v>
      </c>
      <c r="S695" t="str">
        <f>"1269"</f>
        <v>1269</v>
      </c>
      <c r="T695" t="str">
        <f>"88801500"</f>
        <v>88801500</v>
      </c>
      <c r="U695" t="str">
        <f>"CENTRO"</f>
        <v>CENTRO</v>
      </c>
      <c r="V695" t="str">
        <f>"CRICIÚMA"</f>
        <v>CRICIÚMA</v>
      </c>
      <c r="W695" t="str">
        <f t="shared" si="354"/>
        <v>SC</v>
      </c>
      <c r="X695" t="str">
        <f t="shared" si="348"/>
        <v>48</v>
      </c>
      <c r="Y695" t="str">
        <f>"34334813"</f>
        <v>34334813</v>
      </c>
      <c r="Z695" t="str">
        <f>""</f>
        <v/>
      </c>
      <c r="AA695" t="str">
        <f>""</f>
        <v/>
      </c>
      <c r="AB695" t="str">
        <f>""</f>
        <v/>
      </c>
      <c r="AC695" t="str">
        <f>""</f>
        <v/>
      </c>
      <c r="AD695" t="str">
        <f>""</f>
        <v/>
      </c>
      <c r="AE695" t="str">
        <f>""</f>
        <v/>
      </c>
      <c r="AF695" t="str">
        <f>""</f>
        <v/>
      </c>
      <c r="AG695" t="str">
        <f>""</f>
        <v/>
      </c>
      <c r="AH695" t="str">
        <f>""</f>
        <v/>
      </c>
      <c r="AI695" t="str">
        <f>""</f>
        <v/>
      </c>
      <c r="AJ695" t="str">
        <f>"0"</f>
        <v>0</v>
      </c>
      <c r="AK695" t="str">
        <f>"0"</f>
        <v>0</v>
      </c>
      <c r="AL695" t="str">
        <f>"0"</f>
        <v>0</v>
      </c>
      <c r="AM695" t="str">
        <f>""</f>
        <v/>
      </c>
      <c r="AN695" t="str">
        <f>""</f>
        <v/>
      </c>
      <c r="AO695" t="str">
        <f>""</f>
        <v/>
      </c>
      <c r="AP695" t="str">
        <f>""</f>
        <v/>
      </c>
      <c r="AQ695" t="str">
        <f>""</f>
        <v/>
      </c>
      <c r="AR695" t="str">
        <f>""</f>
        <v/>
      </c>
      <c r="AS695" t="str">
        <f>""</f>
        <v/>
      </c>
      <c r="AT695" t="str">
        <f>""</f>
        <v/>
      </c>
      <c r="AU695" t="str">
        <f>""</f>
        <v/>
      </c>
      <c r="AV695" t="str">
        <f>""</f>
        <v/>
      </c>
      <c r="AW695" t="str">
        <f>""</f>
        <v/>
      </c>
      <c r="AX695" t="str">
        <f>""</f>
        <v/>
      </c>
      <c r="AY695" t="str">
        <f>""</f>
        <v/>
      </c>
      <c r="AZ695" t="str">
        <f>""</f>
        <v/>
      </c>
      <c r="BA695" t="str">
        <f>""</f>
        <v/>
      </c>
      <c r="BB695" t="str">
        <f>"27/07/2018 09:25:31"</f>
        <v>27/07/2018 09:25:31</v>
      </c>
      <c r="BC695" t="str">
        <f>""</f>
        <v/>
      </c>
      <c r="BD695" t="str">
        <f>""</f>
        <v/>
      </c>
      <c r="BE695" t="str">
        <f>"48"</f>
        <v>48</v>
      </c>
      <c r="BF695" t="str">
        <f t="shared" si="328"/>
        <v>A</v>
      </c>
      <c r="BG695" t="str">
        <f>"0,00"</f>
        <v>0,00</v>
      </c>
      <c r="BH695" t="str">
        <f>"0,00"</f>
        <v>0,00</v>
      </c>
      <c r="BI695" t="str">
        <f t="shared" si="344"/>
        <v>EVENTUAL</v>
      </c>
      <c r="BJ695" t="str">
        <f t="shared" si="329"/>
        <v>1</v>
      </c>
      <c r="BK695" t="str">
        <f t="shared" si="330"/>
        <v>Farmacia</v>
      </c>
      <c r="BL695" t="str">
        <f>""</f>
        <v/>
      </c>
      <c r="BM695" t="str">
        <f>"NÃO É VARILUX ESPECIALISTA"</f>
        <v>NÃO É VARILUX ESPECIALISTA</v>
      </c>
      <c r="BN695" t="str">
        <f>"NA"</f>
        <v>NA</v>
      </c>
      <c r="BO695" t="str">
        <f>"FOCO VARILUX DIGITAL"</f>
        <v>FOCO VARILUX DIGITAL</v>
      </c>
      <c r="BP695" t="str">
        <f>""</f>
        <v/>
      </c>
      <c r="BQ695" t="str">
        <f>""</f>
        <v/>
      </c>
      <c r="BR695" t="str">
        <f>"27/07/2018"</f>
        <v>27/07/2018</v>
      </c>
      <c r="BS695" t="str">
        <f>""</f>
        <v/>
      </c>
      <c r="BT695" t="str">
        <f>""</f>
        <v/>
      </c>
      <c r="BU695" t="str">
        <f>""</f>
        <v/>
      </c>
      <c r="BV695" t="str">
        <f>"9"</f>
        <v>9</v>
      </c>
      <c r="BW695" t="str">
        <f>"10"</f>
        <v>10</v>
      </c>
    </row>
    <row r="696" spans="1:75" x14ac:dyDescent="0.35">
      <c r="A696">
        <v>159583</v>
      </c>
      <c r="B696" t="str">
        <f t="shared" si="325"/>
        <v>A</v>
      </c>
      <c r="C696" t="str">
        <f t="shared" si="326"/>
        <v>80</v>
      </c>
      <c r="D696" t="str">
        <f t="shared" si="351"/>
        <v>11121002</v>
      </c>
      <c r="E696" t="str">
        <f t="shared" si="352"/>
        <v>121002</v>
      </c>
      <c r="F696" t="str">
        <f t="shared" si="353"/>
        <v>CINTHIA NORONHA</v>
      </c>
      <c r="G696" t="str">
        <f>"50671086000152"</f>
        <v>50671086000152</v>
      </c>
      <c r="H696" t="str">
        <f>""</f>
        <v/>
      </c>
      <c r="I696" t="str">
        <f t="shared" si="327"/>
        <v>CONTA OPTICA</v>
      </c>
      <c r="J696" t="str">
        <f>"FERNANDO COMERCIO OPTICOS LTDA"</f>
        <v>FERNANDO COMERCIO OPTICOS LTDA</v>
      </c>
      <c r="K696" t="str">
        <f>"MERCADAO DOS OCULOS PALHOÇA02 (4764)"</f>
        <v>MERCADAO DOS OCULOS PALHOÇA02 (4764)</v>
      </c>
      <c r="L696" t="str">
        <f>""</f>
        <v/>
      </c>
      <c r="M696" t="str">
        <f>""</f>
        <v/>
      </c>
      <c r="N696" t="str">
        <f>"SC-PALHOCA02@MERCADAODOSOCULOS.COM.BR"</f>
        <v>SC-PALHOCA02@MERCADAODOSOCULOS.COM.BR</v>
      </c>
      <c r="O696" t="str">
        <f>""</f>
        <v/>
      </c>
      <c r="P696" t="str">
        <f>"ANICETO ZACCHI"</f>
        <v>ANICETO ZACCHI</v>
      </c>
      <c r="Q696" t="str">
        <f>"1074"</f>
        <v>1074</v>
      </c>
      <c r="R696" t="str">
        <f>""</f>
        <v/>
      </c>
      <c r="S696" t="str">
        <f>"1259"</f>
        <v>1259</v>
      </c>
      <c r="T696" t="str">
        <f>"88130301"</f>
        <v>88130301</v>
      </c>
      <c r="U696" t="str">
        <f>"PONTE DE IMARUIM"</f>
        <v>PONTE DE IMARUIM</v>
      </c>
      <c r="V696" t="str">
        <f>"PALHOCA"</f>
        <v>PALHOCA</v>
      </c>
      <c r="W696" t="str">
        <f t="shared" si="354"/>
        <v>SC</v>
      </c>
      <c r="X696" t="str">
        <f t="shared" si="348"/>
        <v>48</v>
      </c>
      <c r="Y696" t="str">
        <f>"991502857"</f>
        <v>991502857</v>
      </c>
      <c r="Z696" t="str">
        <f>""</f>
        <v/>
      </c>
      <c r="AA696" t="str">
        <f>""</f>
        <v/>
      </c>
      <c r="AB696" t="str">
        <f>""</f>
        <v/>
      </c>
      <c r="AC696" t="str">
        <f>""</f>
        <v/>
      </c>
      <c r="AD696" t="str">
        <f>""</f>
        <v/>
      </c>
      <c r="AE696" t="str">
        <f>""</f>
        <v/>
      </c>
      <c r="AF696" t="str">
        <f>""</f>
        <v/>
      </c>
      <c r="AG696" t="str">
        <f>""</f>
        <v/>
      </c>
      <c r="AH696" t="str">
        <f>""</f>
        <v/>
      </c>
      <c r="AI696" t="str">
        <f>""</f>
        <v/>
      </c>
      <c r="AJ696" t="str">
        <f>""</f>
        <v/>
      </c>
      <c r="AK696" t="str">
        <f>""</f>
        <v/>
      </c>
      <c r="AL696" t="str">
        <f>""</f>
        <v/>
      </c>
      <c r="AM696" t="str">
        <f>""</f>
        <v/>
      </c>
      <c r="AN696" t="str">
        <f>""</f>
        <v/>
      </c>
      <c r="AO696" t="str">
        <f>""</f>
        <v/>
      </c>
      <c r="AP696" t="str">
        <f>""</f>
        <v/>
      </c>
      <c r="AQ696" t="str">
        <f>""</f>
        <v/>
      </c>
      <c r="AR696" t="str">
        <f>""</f>
        <v/>
      </c>
      <c r="AS696" t="str">
        <f>""</f>
        <v/>
      </c>
      <c r="AT696" t="str">
        <f>""</f>
        <v/>
      </c>
      <c r="AU696" t="str">
        <f>""</f>
        <v/>
      </c>
      <c r="AV696" t="str">
        <f>""</f>
        <v/>
      </c>
      <c r="AW696" t="str">
        <f>""</f>
        <v/>
      </c>
      <c r="AX696" t="str">
        <f>""</f>
        <v/>
      </c>
      <c r="AY696" t="str">
        <f>""</f>
        <v/>
      </c>
      <c r="AZ696" t="str">
        <f>""</f>
        <v/>
      </c>
      <c r="BA696" t="str">
        <f>""</f>
        <v/>
      </c>
      <c r="BB696" t="str">
        <f>"25/09/2023 11:47:13"</f>
        <v>25/09/2023 11:47:13</v>
      </c>
      <c r="BC696" t="str">
        <f>""</f>
        <v/>
      </c>
      <c r="BD696" t="str">
        <f>""</f>
        <v/>
      </c>
      <c r="BE696" t="str">
        <f>""</f>
        <v/>
      </c>
      <c r="BF696" t="str">
        <f t="shared" si="328"/>
        <v>A</v>
      </c>
      <c r="BG696" t="str">
        <f>""</f>
        <v/>
      </c>
      <c r="BH696" t="str">
        <f>""</f>
        <v/>
      </c>
      <c r="BI696" t="str">
        <f t="shared" si="344"/>
        <v>EVENTUAL</v>
      </c>
      <c r="BJ696" t="str">
        <f t="shared" si="329"/>
        <v>1</v>
      </c>
      <c r="BK696" t="str">
        <f t="shared" si="330"/>
        <v>Farmacia</v>
      </c>
      <c r="BL696" t="str">
        <f>""</f>
        <v/>
      </c>
      <c r="BM696" t="str">
        <f>""</f>
        <v/>
      </c>
      <c r="BN696" t="str">
        <f>""</f>
        <v/>
      </c>
      <c r="BO696" t="str">
        <f>""</f>
        <v/>
      </c>
      <c r="BP696" t="str">
        <f>""</f>
        <v/>
      </c>
      <c r="BQ696" t="str">
        <f>""</f>
        <v/>
      </c>
      <c r="BR696" t="str">
        <f>"25/09/2023"</f>
        <v>25/09/2023</v>
      </c>
      <c r="BS696" t="str">
        <f>""</f>
        <v/>
      </c>
      <c r="BT696" t="str">
        <f>""</f>
        <v/>
      </c>
      <c r="BU696" t="str">
        <f>""</f>
        <v/>
      </c>
      <c r="BV696" t="str">
        <f>""</f>
        <v/>
      </c>
      <c r="BW696" t="str">
        <f>"Não visitado"</f>
        <v>Não visitado</v>
      </c>
    </row>
    <row r="697" spans="1:75" x14ac:dyDescent="0.35">
      <c r="A697">
        <v>144499</v>
      </c>
      <c r="B697" t="str">
        <f t="shared" si="325"/>
        <v>A</v>
      </c>
      <c r="C697" t="str">
        <f t="shared" si="326"/>
        <v>80</v>
      </c>
      <c r="D697" t="str">
        <f t="shared" si="351"/>
        <v>11121002</v>
      </c>
      <c r="E697" t="str">
        <f t="shared" si="352"/>
        <v>121002</v>
      </c>
      <c r="F697" t="str">
        <f t="shared" si="353"/>
        <v>CINTHIA NORONHA</v>
      </c>
      <c r="G697" t="str">
        <f>"31218461000169"</f>
        <v>31218461000169</v>
      </c>
      <c r="H697" t="str">
        <f>""</f>
        <v/>
      </c>
      <c r="I697" t="str">
        <f t="shared" si="327"/>
        <v>CONTA OPTICA</v>
      </c>
      <c r="J697" t="str">
        <f>"FERNANDO FREITAS DE SOUZA"</f>
        <v>FERNANDO FREITAS DE SOUZA</v>
      </c>
      <c r="K697" t="str">
        <f>"OTICA LAIS (3911)"</f>
        <v>OTICA LAIS (3911)</v>
      </c>
      <c r="L697" t="str">
        <f>""</f>
        <v/>
      </c>
      <c r="M697" t="str">
        <f>""</f>
        <v/>
      </c>
      <c r="N697" t="str">
        <f>"oticalais@yahoo.com"</f>
        <v>oticalais@yahoo.com</v>
      </c>
      <c r="O697" t="str">
        <f>""</f>
        <v/>
      </c>
      <c r="P697" t="str">
        <f>"RUA DOS IMIGRANTES"</f>
        <v>RUA DOS IMIGRANTES</v>
      </c>
      <c r="Q697" t="str">
        <f>"1800"</f>
        <v>1800</v>
      </c>
      <c r="R697" t="str">
        <f>"SL 03"</f>
        <v>SL 03</v>
      </c>
      <c r="S697" t="str">
        <f>""</f>
        <v/>
      </c>
      <c r="T697" t="str">
        <f>"88817600"</f>
        <v>88817600</v>
      </c>
      <c r="U697" t="str">
        <f>"RIO MAINA"</f>
        <v>RIO MAINA</v>
      </c>
      <c r="V697" t="str">
        <f>"CRICIÚMA"</f>
        <v>CRICIÚMA</v>
      </c>
      <c r="W697" t="str">
        <f t="shared" si="354"/>
        <v>SC</v>
      </c>
      <c r="X697" t="str">
        <f t="shared" si="348"/>
        <v>48</v>
      </c>
      <c r="Y697" t="str">
        <f>"34428347"</f>
        <v>34428347</v>
      </c>
      <c r="Z697" t="str">
        <f>""</f>
        <v/>
      </c>
      <c r="AA697" t="str">
        <f>""</f>
        <v/>
      </c>
      <c r="AB697" t="str">
        <f>""</f>
        <v/>
      </c>
      <c r="AC697" t="str">
        <f>""</f>
        <v/>
      </c>
      <c r="AD697" t="str">
        <f>""</f>
        <v/>
      </c>
      <c r="AE697" t="str">
        <f>""</f>
        <v/>
      </c>
      <c r="AF697" t="str">
        <f>""</f>
        <v/>
      </c>
      <c r="AG697" t="str">
        <f>""</f>
        <v/>
      </c>
      <c r="AH697" t="str">
        <f>""</f>
        <v/>
      </c>
      <c r="AI697" t="str">
        <f>""</f>
        <v/>
      </c>
      <c r="AJ697" t="str">
        <f t="shared" ref="AJ697:AL698" si="355">"0"</f>
        <v>0</v>
      </c>
      <c r="AK697" t="str">
        <f t="shared" si="355"/>
        <v>0</v>
      </c>
      <c r="AL697" t="str">
        <f t="shared" si="355"/>
        <v>0</v>
      </c>
      <c r="AM697" t="str">
        <f>""</f>
        <v/>
      </c>
      <c r="AN697" t="str">
        <f>""</f>
        <v/>
      </c>
      <c r="AO697" t="str">
        <f>""</f>
        <v/>
      </c>
      <c r="AP697" t="str">
        <f>""</f>
        <v/>
      </c>
      <c r="AQ697" t="str">
        <f>""</f>
        <v/>
      </c>
      <c r="AR697" t="str">
        <f>""</f>
        <v/>
      </c>
      <c r="AS697" t="str">
        <f>""</f>
        <v/>
      </c>
      <c r="AT697" t="str">
        <f>""</f>
        <v/>
      </c>
      <c r="AU697" t="str">
        <f>""</f>
        <v/>
      </c>
      <c r="AV697" t="str">
        <f>""</f>
        <v/>
      </c>
      <c r="AW697" t="str">
        <f>""</f>
        <v/>
      </c>
      <c r="AX697" t="str">
        <f>""</f>
        <v/>
      </c>
      <c r="AY697" t="str">
        <f>""</f>
        <v/>
      </c>
      <c r="AZ697" t="str">
        <f>""</f>
        <v/>
      </c>
      <c r="BA697" t="str">
        <f>""</f>
        <v/>
      </c>
      <c r="BB697" t="str">
        <f>""</f>
        <v/>
      </c>
      <c r="BC697" t="str">
        <f>""</f>
        <v/>
      </c>
      <c r="BD697" t="str">
        <f>""</f>
        <v/>
      </c>
      <c r="BE697" t="str">
        <f>""</f>
        <v/>
      </c>
      <c r="BF697" t="str">
        <f t="shared" si="328"/>
        <v>A</v>
      </c>
      <c r="BG697" t="str">
        <f>"0,00"</f>
        <v>0,00</v>
      </c>
      <c r="BH697" t="str">
        <f>"0,00"</f>
        <v>0,00</v>
      </c>
      <c r="BI697" t="str">
        <f t="shared" si="344"/>
        <v>EVENTUAL</v>
      </c>
      <c r="BJ697" t="str">
        <f t="shared" si="329"/>
        <v>1</v>
      </c>
      <c r="BK697" t="str">
        <f t="shared" si="330"/>
        <v>Farmacia</v>
      </c>
      <c r="BL697" t="str">
        <f>""</f>
        <v/>
      </c>
      <c r="BM697" t="str">
        <f>"NÃO É VARILUX ESPECIALISTA"</f>
        <v>NÃO É VARILUX ESPECIALISTA</v>
      </c>
      <c r="BN697" t="str">
        <f>"NA"</f>
        <v>NA</v>
      </c>
      <c r="BO697" t="str">
        <f>"OUTROS"</f>
        <v>OUTROS</v>
      </c>
      <c r="BP697" t="str">
        <f>""</f>
        <v/>
      </c>
      <c r="BQ697" t="str">
        <f>""</f>
        <v/>
      </c>
      <c r="BR697" t="str">
        <f>""</f>
        <v/>
      </c>
      <c r="BS697" t="str">
        <f>""</f>
        <v/>
      </c>
      <c r="BT697" t="str">
        <f>""</f>
        <v/>
      </c>
      <c r="BU697" t="str">
        <f>""</f>
        <v/>
      </c>
      <c r="BV697" t="str">
        <f>"9"</f>
        <v>9</v>
      </c>
      <c r="BW697" t="str">
        <f>"Não visitado"</f>
        <v>Não visitado</v>
      </c>
    </row>
    <row r="698" spans="1:75" x14ac:dyDescent="0.35">
      <c r="A698">
        <v>134272</v>
      </c>
      <c r="B698" t="str">
        <f t="shared" si="325"/>
        <v>A</v>
      </c>
      <c r="C698" t="str">
        <f t="shared" si="326"/>
        <v>80</v>
      </c>
      <c r="D698" t="str">
        <f t="shared" si="351"/>
        <v>11121002</v>
      </c>
      <c r="E698" t="str">
        <f t="shared" si="352"/>
        <v>121002</v>
      </c>
      <c r="F698" t="str">
        <f t="shared" si="353"/>
        <v>CINTHIA NORONHA</v>
      </c>
      <c r="G698" t="str">
        <f>"30386108000125"</f>
        <v>30386108000125</v>
      </c>
      <c r="H698" t="str">
        <f>""</f>
        <v/>
      </c>
      <c r="I698" t="str">
        <f t="shared" si="327"/>
        <v>CONTA OPTICA</v>
      </c>
      <c r="J698" t="str">
        <f>"FERNANDO SILVA EIRELI"</f>
        <v>FERNANDO SILVA EIRELI</v>
      </c>
      <c r="K698" t="str">
        <f>"OUTLET DOS OCULOS (3893)"</f>
        <v>OUTLET DOS OCULOS (3893)</v>
      </c>
      <c r="L698" t="str">
        <f>""</f>
        <v/>
      </c>
      <c r="M698" t="str">
        <f>""</f>
        <v/>
      </c>
      <c r="N698" t="str">
        <f>"ferpapr22@bol.com.br"</f>
        <v>ferpapr22@bol.com.br</v>
      </c>
      <c r="O698" t="str">
        <f>""</f>
        <v/>
      </c>
      <c r="P698" t="str">
        <f>"RUA FULVIO ADUCCI"</f>
        <v>RUA FULVIO ADUCCI</v>
      </c>
      <c r="Q698" t="str">
        <f>"1319"</f>
        <v>1319</v>
      </c>
      <c r="R698" t="str">
        <f>""</f>
        <v/>
      </c>
      <c r="S698" t="str">
        <f>"1258"</f>
        <v>1258</v>
      </c>
      <c r="T698" t="str">
        <f>"88075001"</f>
        <v>88075001</v>
      </c>
      <c r="U698" t="str">
        <f>"ESTREITO"</f>
        <v>ESTREITO</v>
      </c>
      <c r="V698" t="str">
        <f>"FLORIANÓPOLIS"</f>
        <v>FLORIANÓPOLIS</v>
      </c>
      <c r="W698" t="str">
        <f t="shared" si="354"/>
        <v>SC</v>
      </c>
      <c r="X698" t="str">
        <f t="shared" si="348"/>
        <v>48</v>
      </c>
      <c r="Y698" t="str">
        <f>"30679464"</f>
        <v>30679464</v>
      </c>
      <c r="Z698" t="str">
        <f>""</f>
        <v/>
      </c>
      <c r="AA698" t="str">
        <f>""</f>
        <v/>
      </c>
      <c r="AB698" t="str">
        <f>""</f>
        <v/>
      </c>
      <c r="AC698" t="str">
        <f>""</f>
        <v/>
      </c>
      <c r="AD698" t="str">
        <f>""</f>
        <v/>
      </c>
      <c r="AE698" t="str">
        <f>""</f>
        <v/>
      </c>
      <c r="AF698" t="str">
        <f>""</f>
        <v/>
      </c>
      <c r="AG698" t="str">
        <f>"S"</f>
        <v>S</v>
      </c>
      <c r="AH698" t="str">
        <f>""</f>
        <v/>
      </c>
      <c r="AI698" t="str">
        <f>""</f>
        <v/>
      </c>
      <c r="AJ698" t="str">
        <f t="shared" si="355"/>
        <v>0</v>
      </c>
      <c r="AK698" t="str">
        <f t="shared" si="355"/>
        <v>0</v>
      </c>
      <c r="AL698" t="str">
        <f t="shared" si="355"/>
        <v>0</v>
      </c>
      <c r="AM698" t="str">
        <f>""</f>
        <v/>
      </c>
      <c r="AN698" t="str">
        <f>""</f>
        <v/>
      </c>
      <c r="AO698" t="str">
        <f>""</f>
        <v/>
      </c>
      <c r="AP698" t="str">
        <f>""</f>
        <v/>
      </c>
      <c r="AQ698" t="str">
        <f>"N"</f>
        <v>N</v>
      </c>
      <c r="AR698" t="str">
        <f>"N"</f>
        <v>N</v>
      </c>
      <c r="AS698" t="str">
        <f>"N"</f>
        <v>N</v>
      </c>
      <c r="AT698" t="str">
        <f>"N"</f>
        <v>N</v>
      </c>
      <c r="AU698" t="str">
        <f>"N"</f>
        <v>N</v>
      </c>
      <c r="AV698" t="str">
        <f>""</f>
        <v/>
      </c>
      <c r="AW698" t="str">
        <f>""</f>
        <v/>
      </c>
      <c r="AX698" t="str">
        <f>""</f>
        <v/>
      </c>
      <c r="AY698" t="str">
        <f>""</f>
        <v/>
      </c>
      <c r="AZ698" t="str">
        <f>""</f>
        <v/>
      </c>
      <c r="BA698" t="str">
        <f>""</f>
        <v/>
      </c>
      <c r="BB698" t="str">
        <f>""</f>
        <v/>
      </c>
      <c r="BC698" t="str">
        <f>"19/04/2022 09:50:27"</f>
        <v>19/04/2022 09:50:27</v>
      </c>
      <c r="BD698" t="str">
        <f>""</f>
        <v/>
      </c>
      <c r="BE698" t="str">
        <f>""</f>
        <v/>
      </c>
      <c r="BF698" t="str">
        <f t="shared" si="328"/>
        <v>A</v>
      </c>
      <c r="BG698" t="str">
        <f>"0,00"</f>
        <v>0,00</v>
      </c>
      <c r="BH698" t="str">
        <f>"0,00"</f>
        <v>0,00</v>
      </c>
      <c r="BI698" t="str">
        <f t="shared" si="344"/>
        <v>EVENTUAL</v>
      </c>
      <c r="BJ698" t="str">
        <f t="shared" si="329"/>
        <v>1</v>
      </c>
      <c r="BK698" t="str">
        <f t="shared" si="330"/>
        <v>Farmacia</v>
      </c>
      <c r="BL698" t="str">
        <f>""</f>
        <v/>
      </c>
      <c r="BM698" t="str">
        <f>"NÃO É VARILUX ESPECIALISTA"</f>
        <v>NÃO É VARILUX ESPECIALISTA</v>
      </c>
      <c r="BN698" t="str">
        <f>"NA"</f>
        <v>NA</v>
      </c>
      <c r="BO698" t="str">
        <f>"OUTROS"</f>
        <v>OUTROS</v>
      </c>
      <c r="BP698" t="str">
        <f>""</f>
        <v/>
      </c>
      <c r="BQ698" t="str">
        <f>""</f>
        <v/>
      </c>
      <c r="BR698" t="str">
        <f>""</f>
        <v/>
      </c>
      <c r="BS698" t="str">
        <f>"19/04/2022"</f>
        <v>19/04/2022</v>
      </c>
      <c r="BT698" t="str">
        <f>""</f>
        <v/>
      </c>
      <c r="BU698" t="str">
        <f>""</f>
        <v/>
      </c>
      <c r="BV698" t="str">
        <f>"9"</f>
        <v>9</v>
      </c>
      <c r="BW698" t="str">
        <f>"4"</f>
        <v>4</v>
      </c>
    </row>
    <row r="699" spans="1:75" x14ac:dyDescent="0.35">
      <c r="A699">
        <v>157687</v>
      </c>
      <c r="B699" t="str">
        <f t="shared" si="325"/>
        <v>A</v>
      </c>
      <c r="C699" t="str">
        <f t="shared" si="326"/>
        <v>80</v>
      </c>
      <c r="D699" t="str">
        <f t="shared" si="351"/>
        <v>11121002</v>
      </c>
      <c r="E699" t="str">
        <f t="shared" si="352"/>
        <v>121002</v>
      </c>
      <c r="F699" t="str">
        <f t="shared" si="353"/>
        <v>CINTHIA NORONHA</v>
      </c>
      <c r="G699" t="str">
        <f>"43733040000155"</f>
        <v>43733040000155</v>
      </c>
      <c r="H699" t="str">
        <f>"0"</f>
        <v>0</v>
      </c>
      <c r="I699" t="str">
        <f t="shared" si="327"/>
        <v>CONTA OPTICA</v>
      </c>
      <c r="J699" t="str">
        <f>"FG COMERCIO DE ARTIGOS OPTICOS LTDA"</f>
        <v>FG COMERCIO DE ARTIGOS OPTICOS LTDA</v>
      </c>
      <c r="K699" t="str">
        <f>"OTICA REAL (4410)"</f>
        <v>OTICA REAL (4410)</v>
      </c>
      <c r="L699" t="str">
        <f>""</f>
        <v/>
      </c>
      <c r="M699" t="str">
        <f>""</f>
        <v/>
      </c>
      <c r="N699" t="str">
        <f>"FABIAN@OTICAREAL.COM"</f>
        <v>FABIAN@OTICAREAL.COM</v>
      </c>
      <c r="O699" t="str">
        <f>""</f>
        <v/>
      </c>
      <c r="P699" t="str">
        <f>"RUA TENENTE SILVEIRA"</f>
        <v>RUA TENENTE SILVEIRA</v>
      </c>
      <c r="Q699" t="str">
        <f>"100"</f>
        <v>100</v>
      </c>
      <c r="R699" t="str">
        <f>"LOJA 1"</f>
        <v>LOJA 1</v>
      </c>
      <c r="S699" t="str">
        <f>"1254"</f>
        <v>1254</v>
      </c>
      <c r="T699" t="str">
        <f>"88010300"</f>
        <v>88010300</v>
      </c>
      <c r="U699" t="str">
        <f>"CENTRO"</f>
        <v>CENTRO</v>
      </c>
      <c r="V699" t="str">
        <f>"FLORIANOPOLIS"</f>
        <v>FLORIANOPOLIS</v>
      </c>
      <c r="W699" t="str">
        <f t="shared" si="354"/>
        <v>SC</v>
      </c>
      <c r="X699" t="str">
        <f>"51"</f>
        <v>51</v>
      </c>
      <c r="Y699" t="str">
        <f>"30541723"</f>
        <v>30541723</v>
      </c>
      <c r="Z699" t="str">
        <f>""</f>
        <v/>
      </c>
      <c r="AA699" t="str">
        <f>""</f>
        <v/>
      </c>
      <c r="AB699" t="str">
        <f>""</f>
        <v/>
      </c>
      <c r="AC699" t="str">
        <f>""</f>
        <v/>
      </c>
      <c r="AD699" t="str">
        <f>""</f>
        <v/>
      </c>
      <c r="AE699" t="str">
        <f>""</f>
        <v/>
      </c>
      <c r="AF699" t="str">
        <f>""</f>
        <v/>
      </c>
      <c r="AG699" t="str">
        <f>""</f>
        <v/>
      </c>
      <c r="AH699" t="str">
        <f>""</f>
        <v/>
      </c>
      <c r="AI699" t="str">
        <f>""</f>
        <v/>
      </c>
      <c r="AJ699" t="str">
        <f>""</f>
        <v/>
      </c>
      <c r="AK699" t="str">
        <f>""</f>
        <v/>
      </c>
      <c r="AL699" t="str">
        <f>""</f>
        <v/>
      </c>
      <c r="AM699" t="str">
        <f>""</f>
        <v/>
      </c>
      <c r="AN699" t="str">
        <f>""</f>
        <v/>
      </c>
      <c r="AO699" t="str">
        <f>""</f>
        <v/>
      </c>
      <c r="AP699" t="str">
        <f>""</f>
        <v/>
      </c>
      <c r="AQ699" t="str">
        <f>""</f>
        <v/>
      </c>
      <c r="AR699" t="str">
        <f>""</f>
        <v/>
      </c>
      <c r="AS699" t="str">
        <f>""</f>
        <v/>
      </c>
      <c r="AT699" t="str">
        <f>""</f>
        <v/>
      </c>
      <c r="AU699" t="str">
        <f>""</f>
        <v/>
      </c>
      <c r="AV699" t="str">
        <f>""</f>
        <v/>
      </c>
      <c r="AW699" t="str">
        <f>""</f>
        <v/>
      </c>
      <c r="AX699" t="str">
        <f>""</f>
        <v/>
      </c>
      <c r="AY699" t="str">
        <f>""</f>
        <v/>
      </c>
      <c r="AZ699" t="str">
        <f>""</f>
        <v/>
      </c>
      <c r="BA699" t="str">
        <f>""</f>
        <v/>
      </c>
      <c r="BB699" t="str">
        <f>"11/07/2023 02:19:56"</f>
        <v>11/07/2023 02:19:56</v>
      </c>
      <c r="BC699" t="str">
        <f>""</f>
        <v/>
      </c>
      <c r="BD699" t="str">
        <f>""</f>
        <v/>
      </c>
      <c r="BE699" t="str">
        <f>""</f>
        <v/>
      </c>
      <c r="BF699" t="str">
        <f t="shared" si="328"/>
        <v>A</v>
      </c>
      <c r="BG699" t="str">
        <f>""</f>
        <v/>
      </c>
      <c r="BH699" t="str">
        <f>""</f>
        <v/>
      </c>
      <c r="BI699" t="str">
        <f t="shared" si="344"/>
        <v>EVENTUAL</v>
      </c>
      <c r="BJ699" t="str">
        <f t="shared" si="329"/>
        <v>1</v>
      </c>
      <c r="BK699" t="str">
        <f t="shared" si="330"/>
        <v>Farmacia</v>
      </c>
      <c r="BL699" t="str">
        <f>""</f>
        <v/>
      </c>
      <c r="BM699" t="str">
        <f>""</f>
        <v/>
      </c>
      <c r="BN699" t="str">
        <f>""</f>
        <v/>
      </c>
      <c r="BO699" t="str">
        <f>""</f>
        <v/>
      </c>
      <c r="BP699" t="str">
        <f>""</f>
        <v/>
      </c>
      <c r="BQ699" t="str">
        <f>""</f>
        <v/>
      </c>
      <c r="BR699" t="str">
        <f>"11/07/2023"</f>
        <v>11/07/2023</v>
      </c>
      <c r="BS699" t="str">
        <f>""</f>
        <v/>
      </c>
      <c r="BT699" t="str">
        <f>""</f>
        <v/>
      </c>
      <c r="BU699" t="str">
        <f>""</f>
        <v/>
      </c>
      <c r="BV699" t="str">
        <f>""</f>
        <v/>
      </c>
      <c r="BW699" t="str">
        <f>"127"</f>
        <v>127</v>
      </c>
    </row>
    <row r="700" spans="1:75" x14ac:dyDescent="0.35">
      <c r="A700">
        <v>144507</v>
      </c>
      <c r="B700" t="str">
        <f t="shared" si="325"/>
        <v>A</v>
      </c>
      <c r="C700" t="str">
        <f t="shared" si="326"/>
        <v>80</v>
      </c>
      <c r="D700" t="str">
        <f t="shared" si="351"/>
        <v>11121002</v>
      </c>
      <c r="E700" t="str">
        <f t="shared" si="352"/>
        <v>121002</v>
      </c>
      <c r="F700" t="str">
        <f t="shared" si="353"/>
        <v>CINTHIA NORONHA</v>
      </c>
      <c r="G700" t="str">
        <f>"32712118000139"</f>
        <v>32712118000139</v>
      </c>
      <c r="H700" t="str">
        <f>""</f>
        <v/>
      </c>
      <c r="I700" t="str">
        <f t="shared" si="327"/>
        <v>CONTA OPTICA</v>
      </c>
      <c r="J700" t="str">
        <f>"FG OTICAS EIRELI"</f>
        <v>FG OTICAS EIRELI</v>
      </c>
      <c r="K700" t="str">
        <f>"OTICA DINIZ (3989)"</f>
        <v>OTICA DINIZ (3989)</v>
      </c>
      <c r="L700" t="str">
        <f>""</f>
        <v/>
      </c>
      <c r="M700" t="str">
        <f>""</f>
        <v/>
      </c>
      <c r="N700" t="str">
        <f>"fabiana.vitali@oticasdinizsul.com.br"</f>
        <v>fabiana.vitali@oticasdinizsul.com.br</v>
      </c>
      <c r="O700" t="str">
        <f>""</f>
        <v/>
      </c>
      <c r="P700" t="str">
        <f>"RUA MARCOLINO MARTINS CABRAL"</f>
        <v>RUA MARCOLINO MARTINS CABRAL</v>
      </c>
      <c r="Q700" t="str">
        <f>"1001"</f>
        <v>1001</v>
      </c>
      <c r="R700" t="str">
        <f>"SALA 2"</f>
        <v>SALA 2</v>
      </c>
      <c r="S700" t="str">
        <f>"1268"</f>
        <v>1268</v>
      </c>
      <c r="T700" t="str">
        <f>"88701001"</f>
        <v>88701001</v>
      </c>
      <c r="U700" t="str">
        <f>"CENTRO"</f>
        <v>CENTRO</v>
      </c>
      <c r="V700" t="str">
        <f>"TUBARÃO"</f>
        <v>TUBARÃO</v>
      </c>
      <c r="W700" t="str">
        <f t="shared" si="354"/>
        <v>SC</v>
      </c>
      <c r="X700" t="str">
        <f t="shared" ref="X700:X709" si="356">"48"</f>
        <v>48</v>
      </c>
      <c r="Y700" t="str">
        <f>"30455818"</f>
        <v>30455818</v>
      </c>
      <c r="Z700" t="str">
        <f>""</f>
        <v/>
      </c>
      <c r="AA700" t="str">
        <f>""</f>
        <v/>
      </c>
      <c r="AB700" t="str">
        <f>""</f>
        <v/>
      </c>
      <c r="AC700" t="str">
        <f>""</f>
        <v/>
      </c>
      <c r="AD700" t="str">
        <f>""</f>
        <v/>
      </c>
      <c r="AE700" t="str">
        <f>""</f>
        <v/>
      </c>
      <c r="AF700" t="str">
        <f>""</f>
        <v/>
      </c>
      <c r="AG700" t="str">
        <f>""</f>
        <v/>
      </c>
      <c r="AH700" t="str">
        <f>""</f>
        <v/>
      </c>
      <c r="AI700" t="str">
        <f>""</f>
        <v/>
      </c>
      <c r="AJ700" t="str">
        <f t="shared" ref="AJ700:AL702" si="357">"0"</f>
        <v>0</v>
      </c>
      <c r="AK700" t="str">
        <f t="shared" si="357"/>
        <v>0</v>
      </c>
      <c r="AL700" t="str">
        <f t="shared" si="357"/>
        <v>0</v>
      </c>
      <c r="AM700" t="str">
        <f>""</f>
        <v/>
      </c>
      <c r="AN700" t="str">
        <f>""</f>
        <v/>
      </c>
      <c r="AO700" t="str">
        <f>""</f>
        <v/>
      </c>
      <c r="AP700" t="str">
        <f>""</f>
        <v/>
      </c>
      <c r="AQ700" t="str">
        <f>""</f>
        <v/>
      </c>
      <c r="AR700" t="str">
        <f>""</f>
        <v/>
      </c>
      <c r="AS700" t="str">
        <f>""</f>
        <v/>
      </c>
      <c r="AT700" t="str">
        <f>""</f>
        <v/>
      </c>
      <c r="AU700" t="str">
        <f>""</f>
        <v/>
      </c>
      <c r="AV700" t="str">
        <f>""</f>
        <v/>
      </c>
      <c r="AW700" t="str">
        <f>""</f>
        <v/>
      </c>
      <c r="AX700" t="str">
        <f>""</f>
        <v/>
      </c>
      <c r="AY700" t="str">
        <f>""</f>
        <v/>
      </c>
      <c r="AZ700" t="str">
        <f>""</f>
        <v/>
      </c>
      <c r="BA700" t="str">
        <f>""</f>
        <v/>
      </c>
      <c r="BB700" t="str">
        <f>""</f>
        <v/>
      </c>
      <c r="BC700" t="str">
        <f>""</f>
        <v/>
      </c>
      <c r="BD700" t="str">
        <f>""</f>
        <v/>
      </c>
      <c r="BE700" t="str">
        <f>""</f>
        <v/>
      </c>
      <c r="BF700" t="str">
        <f t="shared" si="328"/>
        <v>A</v>
      </c>
      <c r="BG700" t="str">
        <f t="shared" ref="BG700:BH702" si="358">"0,00"</f>
        <v>0,00</v>
      </c>
      <c r="BH700" t="str">
        <f t="shared" si="358"/>
        <v>0,00</v>
      </c>
      <c r="BI700" t="str">
        <f t="shared" si="344"/>
        <v>EVENTUAL</v>
      </c>
      <c r="BJ700" t="str">
        <f t="shared" si="329"/>
        <v>1</v>
      </c>
      <c r="BK700" t="str">
        <f t="shared" si="330"/>
        <v>Farmacia</v>
      </c>
      <c r="BL700" t="str">
        <f>""</f>
        <v/>
      </c>
      <c r="BM700" t="str">
        <f>"NÃO É VARILUX ESPECIALISTA"</f>
        <v>NÃO É VARILUX ESPECIALISTA</v>
      </c>
      <c r="BN700" t="str">
        <f>"NA"</f>
        <v>NA</v>
      </c>
      <c r="BO700" t="str">
        <f>"OUTROS"</f>
        <v>OUTROS</v>
      </c>
      <c r="BP700" t="str">
        <f>""</f>
        <v/>
      </c>
      <c r="BQ700" t="str">
        <f>""</f>
        <v/>
      </c>
      <c r="BR700" t="str">
        <f>""</f>
        <v/>
      </c>
      <c r="BS700" t="str">
        <f>""</f>
        <v/>
      </c>
      <c r="BT700" t="str">
        <f>""</f>
        <v/>
      </c>
      <c r="BU700" t="str">
        <f>""</f>
        <v/>
      </c>
      <c r="BV700" t="str">
        <f>"9"</f>
        <v>9</v>
      </c>
      <c r="BW700" t="str">
        <f>"Não visitado"</f>
        <v>Não visitado</v>
      </c>
    </row>
    <row r="701" spans="1:75" x14ac:dyDescent="0.35">
      <c r="A701">
        <v>134322</v>
      </c>
      <c r="B701" t="str">
        <f t="shared" si="325"/>
        <v>A</v>
      </c>
      <c r="C701" t="str">
        <f t="shared" si="326"/>
        <v>80</v>
      </c>
      <c r="D701" t="str">
        <f t="shared" si="351"/>
        <v>11121002</v>
      </c>
      <c r="E701" t="str">
        <f t="shared" si="352"/>
        <v>121002</v>
      </c>
      <c r="F701" t="str">
        <f t="shared" si="353"/>
        <v>CINTHIA NORONHA</v>
      </c>
      <c r="G701" t="str">
        <f>"32911517000129"</f>
        <v>32911517000129</v>
      </c>
      <c r="H701" t="str">
        <f>""</f>
        <v/>
      </c>
      <c r="I701" t="str">
        <f t="shared" si="327"/>
        <v>CONTA OPTICA</v>
      </c>
      <c r="J701" t="str">
        <f>"FILIPE AQUINO ISBRECHT"</f>
        <v>FILIPE AQUINO ISBRECHT</v>
      </c>
      <c r="K701" t="str">
        <f>"CONFIOTICA (3993)"</f>
        <v>CONFIOTICA (3993)</v>
      </c>
      <c r="L701" t="str">
        <f>""</f>
        <v/>
      </c>
      <c r="M701" t="str">
        <f>""</f>
        <v/>
      </c>
      <c r="N701" t="str">
        <f>"confiotica.campeche@gmail.com"</f>
        <v>confiotica.campeche@gmail.com</v>
      </c>
      <c r="O701" t="str">
        <f>""</f>
        <v/>
      </c>
      <c r="P701" t="str">
        <f>"AVENIDA PEQUENO PRINCIPE"</f>
        <v>AVENIDA PEQUENO PRINCIPE</v>
      </c>
      <c r="Q701" t="str">
        <f>"2020"</f>
        <v>2020</v>
      </c>
      <c r="R701" t="str">
        <f>"SALA 3"</f>
        <v>SALA 3</v>
      </c>
      <c r="S701" t="str">
        <f>"1257"</f>
        <v>1257</v>
      </c>
      <c r="T701" t="str">
        <f>"88063000"</f>
        <v>88063000</v>
      </c>
      <c r="U701" t="str">
        <f>"CAMPECHE"</f>
        <v>CAMPECHE</v>
      </c>
      <c r="V701" t="str">
        <f>"FLORIANÓPOLIS"</f>
        <v>FLORIANÓPOLIS</v>
      </c>
      <c r="W701" t="str">
        <f t="shared" si="354"/>
        <v>SC</v>
      </c>
      <c r="X701" t="str">
        <f t="shared" si="356"/>
        <v>48</v>
      </c>
      <c r="Y701" t="str">
        <f>"988369361"</f>
        <v>988369361</v>
      </c>
      <c r="Z701" t="str">
        <f>""</f>
        <v/>
      </c>
      <c r="AA701" t="str">
        <f>""</f>
        <v/>
      </c>
      <c r="AB701" t="str">
        <f>""</f>
        <v/>
      </c>
      <c r="AC701" t="str">
        <f>""</f>
        <v/>
      </c>
      <c r="AD701" t="str">
        <f>""</f>
        <v/>
      </c>
      <c r="AE701" t="str">
        <f>""</f>
        <v/>
      </c>
      <c r="AF701" t="str">
        <f>""</f>
        <v/>
      </c>
      <c r="AG701" t="str">
        <f>"S"</f>
        <v>S</v>
      </c>
      <c r="AH701" t="str">
        <f>""</f>
        <v/>
      </c>
      <c r="AI701" t="str">
        <f>""</f>
        <v/>
      </c>
      <c r="AJ701" t="str">
        <f t="shared" si="357"/>
        <v>0</v>
      </c>
      <c r="AK701" t="str">
        <f t="shared" si="357"/>
        <v>0</v>
      </c>
      <c r="AL701" t="str">
        <f t="shared" si="357"/>
        <v>0</v>
      </c>
      <c r="AM701" t="str">
        <f>""</f>
        <v/>
      </c>
      <c r="AN701" t="str">
        <f>""</f>
        <v/>
      </c>
      <c r="AO701" t="str">
        <f>""</f>
        <v/>
      </c>
      <c r="AP701" t="str">
        <f>""</f>
        <v/>
      </c>
      <c r="AQ701" t="str">
        <f t="shared" ref="AQ701:AU702" si="359">"N"</f>
        <v>N</v>
      </c>
      <c r="AR701" t="str">
        <f t="shared" si="359"/>
        <v>N</v>
      </c>
      <c r="AS701" t="str">
        <f t="shared" si="359"/>
        <v>N</v>
      </c>
      <c r="AT701" t="str">
        <f t="shared" si="359"/>
        <v>N</v>
      </c>
      <c r="AU701" t="str">
        <f t="shared" si="359"/>
        <v>N</v>
      </c>
      <c r="AV701" t="str">
        <f>""</f>
        <v/>
      </c>
      <c r="AW701" t="str">
        <f>""</f>
        <v/>
      </c>
      <c r="AX701" t="str">
        <f>""</f>
        <v/>
      </c>
      <c r="AY701" t="str">
        <f>""</f>
        <v/>
      </c>
      <c r="AZ701" t="str">
        <f>""</f>
        <v/>
      </c>
      <c r="BA701" t="str">
        <f>""</f>
        <v/>
      </c>
      <c r="BB701" t="str">
        <f>""</f>
        <v/>
      </c>
      <c r="BC701" t="str">
        <f>"15/02/2022 10:04:54"</f>
        <v>15/02/2022 10:04:54</v>
      </c>
      <c r="BD701" t="str">
        <f>""</f>
        <v/>
      </c>
      <c r="BE701" t="str">
        <f>""</f>
        <v/>
      </c>
      <c r="BF701" t="str">
        <f t="shared" si="328"/>
        <v>A</v>
      </c>
      <c r="BG701" t="str">
        <f t="shared" si="358"/>
        <v>0,00</v>
      </c>
      <c r="BH701" t="str">
        <f t="shared" si="358"/>
        <v>0,00</v>
      </c>
      <c r="BI701" t="str">
        <f t="shared" si="344"/>
        <v>EVENTUAL</v>
      </c>
      <c r="BJ701" t="str">
        <f t="shared" si="329"/>
        <v>1</v>
      </c>
      <c r="BK701" t="str">
        <f t="shared" si="330"/>
        <v>Farmacia</v>
      </c>
      <c r="BL701" t="str">
        <f>""</f>
        <v/>
      </c>
      <c r="BM701" t="str">
        <f>"NÃO É VARILUX ESPECIALISTA"</f>
        <v>NÃO É VARILUX ESPECIALISTA</v>
      </c>
      <c r="BN701" t="str">
        <f>"NA"</f>
        <v>NA</v>
      </c>
      <c r="BO701" t="str">
        <f>"FOCO VARILUX"</f>
        <v>FOCO VARILUX</v>
      </c>
      <c r="BP701" t="str">
        <f>""</f>
        <v/>
      </c>
      <c r="BQ701" t="str">
        <f>""</f>
        <v/>
      </c>
      <c r="BR701" t="str">
        <f>""</f>
        <v/>
      </c>
      <c r="BS701" t="str">
        <f>"15/02/2022"</f>
        <v>15/02/2022</v>
      </c>
      <c r="BT701" t="str">
        <f>""</f>
        <v/>
      </c>
      <c r="BU701" t="str">
        <f>""</f>
        <v/>
      </c>
      <c r="BV701" t="str">
        <f>"6"</f>
        <v>6</v>
      </c>
      <c r="BW701" t="str">
        <f>"1"</f>
        <v>1</v>
      </c>
    </row>
    <row r="702" spans="1:75" x14ac:dyDescent="0.35">
      <c r="A702">
        <v>134236</v>
      </c>
      <c r="B702" t="str">
        <f t="shared" si="325"/>
        <v>A</v>
      </c>
      <c r="C702" t="str">
        <f t="shared" si="326"/>
        <v>80</v>
      </c>
      <c r="D702" t="str">
        <f t="shared" si="351"/>
        <v>11121002</v>
      </c>
      <c r="E702" t="str">
        <f t="shared" si="352"/>
        <v>121002</v>
      </c>
      <c r="F702" t="str">
        <f t="shared" si="353"/>
        <v>CINTHIA NORONHA</v>
      </c>
      <c r="G702" t="str">
        <f>"13511907000167"</f>
        <v>13511907000167</v>
      </c>
      <c r="H702" t="str">
        <f>""</f>
        <v/>
      </c>
      <c r="I702" t="str">
        <f t="shared" si="327"/>
        <v>CONTA OPTICA</v>
      </c>
      <c r="J702" t="str">
        <f>"FKF COMERCIO DE PRESENTES EIRELI - EPP"</f>
        <v>FKF COMERCIO DE PRESENTES EIRELI - EPP</v>
      </c>
      <c r="K702" t="str">
        <f>"AUGUSTO JOIAS (2253)"</f>
        <v>AUGUSTO JOIAS (2253)</v>
      </c>
      <c r="L702" t="str">
        <f>""</f>
        <v/>
      </c>
      <c r="M702" t="str">
        <f>""</f>
        <v/>
      </c>
      <c r="N702" t="str">
        <f>"ajbk.adm.01@gmail.com"</f>
        <v>ajbk.adm.01@gmail.com</v>
      </c>
      <c r="O702" t="str">
        <f>""</f>
        <v/>
      </c>
      <c r="P702" t="str">
        <f>"RUA GERONCIO THIVES"</f>
        <v>RUA GERONCIO THIVES</v>
      </c>
      <c r="Q702" t="str">
        <f>"1079"</f>
        <v>1079</v>
      </c>
      <c r="R702" t="str">
        <f>"LOJA 443"</f>
        <v>LOJA 443</v>
      </c>
      <c r="S702" t="str">
        <f>"1259"</f>
        <v>1259</v>
      </c>
      <c r="T702" t="str">
        <f>"88117900"</f>
        <v>88117900</v>
      </c>
      <c r="U702" t="str">
        <f>"BARREIROS"</f>
        <v>BARREIROS</v>
      </c>
      <c r="V702" t="str">
        <f>"SÃO JOSÉ"</f>
        <v>SÃO JOSÉ</v>
      </c>
      <c r="W702" t="str">
        <f t="shared" si="354"/>
        <v>SC</v>
      </c>
      <c r="X702" t="str">
        <f t="shared" si="356"/>
        <v>48</v>
      </c>
      <c r="Y702" t="str">
        <f>"30343790"</f>
        <v>30343790</v>
      </c>
      <c r="Z702" t="str">
        <f>""</f>
        <v/>
      </c>
      <c r="AA702" t="str">
        <f>""</f>
        <v/>
      </c>
      <c r="AB702" t="str">
        <f>""</f>
        <v/>
      </c>
      <c r="AC702" t="str">
        <f>""</f>
        <v/>
      </c>
      <c r="AD702" t="str">
        <f>""</f>
        <v/>
      </c>
      <c r="AE702" t="str">
        <f>""</f>
        <v/>
      </c>
      <c r="AF702" t="str">
        <f>""</f>
        <v/>
      </c>
      <c r="AG702" t="str">
        <f>"S"</f>
        <v>S</v>
      </c>
      <c r="AH702" t="str">
        <f>""</f>
        <v/>
      </c>
      <c r="AI702" t="str">
        <f>""</f>
        <v/>
      </c>
      <c r="AJ702" t="str">
        <f t="shared" si="357"/>
        <v>0</v>
      </c>
      <c r="AK702" t="str">
        <f t="shared" si="357"/>
        <v>0</v>
      </c>
      <c r="AL702" t="str">
        <f t="shared" si="357"/>
        <v>0</v>
      </c>
      <c r="AM702" t="str">
        <f>""</f>
        <v/>
      </c>
      <c r="AN702" t="str">
        <f>""</f>
        <v/>
      </c>
      <c r="AO702" t="str">
        <f>""</f>
        <v/>
      </c>
      <c r="AP702" t="str">
        <f>""</f>
        <v/>
      </c>
      <c r="AQ702" t="str">
        <f t="shared" si="359"/>
        <v>N</v>
      </c>
      <c r="AR702" t="str">
        <f t="shared" si="359"/>
        <v>N</v>
      </c>
      <c r="AS702" t="str">
        <f t="shared" si="359"/>
        <v>N</v>
      </c>
      <c r="AT702" t="str">
        <f t="shared" si="359"/>
        <v>N</v>
      </c>
      <c r="AU702" t="str">
        <f t="shared" si="359"/>
        <v>N</v>
      </c>
      <c r="AV702" t="str">
        <f>""</f>
        <v/>
      </c>
      <c r="AW702" t="str">
        <f>""</f>
        <v/>
      </c>
      <c r="AX702" t="str">
        <f>""</f>
        <v/>
      </c>
      <c r="AY702" t="str">
        <f>""</f>
        <v/>
      </c>
      <c r="AZ702" t="str">
        <f>""</f>
        <v/>
      </c>
      <c r="BA702" t="str">
        <f>""</f>
        <v/>
      </c>
      <c r="BB702" t="str">
        <f>""</f>
        <v/>
      </c>
      <c r="BC702" t="str">
        <f>"10/09/2021 17:17:12"</f>
        <v>10/09/2021 17:17:12</v>
      </c>
      <c r="BD702" t="str">
        <f>""</f>
        <v/>
      </c>
      <c r="BE702" t="str">
        <f>""</f>
        <v/>
      </c>
      <c r="BF702" t="str">
        <f t="shared" si="328"/>
        <v>A</v>
      </c>
      <c r="BG702" t="str">
        <f t="shared" si="358"/>
        <v>0,00</v>
      </c>
      <c r="BH702" t="str">
        <f t="shared" si="358"/>
        <v>0,00</v>
      </c>
      <c r="BI702" t="str">
        <f t="shared" si="344"/>
        <v>EVENTUAL</v>
      </c>
      <c r="BJ702" t="str">
        <f t="shared" si="329"/>
        <v>1</v>
      </c>
      <c r="BK702" t="str">
        <f t="shared" si="330"/>
        <v>Farmacia</v>
      </c>
      <c r="BL702" t="str">
        <f>""</f>
        <v/>
      </c>
      <c r="BM702" t="str">
        <f>"CREDENCIADO VARILUX"</f>
        <v>CREDENCIADO VARILUX</v>
      </c>
      <c r="BN702" t="str">
        <f>"NA"</f>
        <v>NA</v>
      </c>
      <c r="BO702" t="str">
        <f>"FOCO VARILUX DIGITAL"</f>
        <v>FOCO VARILUX DIGITAL</v>
      </c>
      <c r="BP702" t="str">
        <f>""</f>
        <v/>
      </c>
      <c r="BQ702" t="str">
        <f>""</f>
        <v/>
      </c>
      <c r="BR702" t="str">
        <f>""</f>
        <v/>
      </c>
      <c r="BS702" t="str">
        <f>"10/09/2021"</f>
        <v>10/09/2021</v>
      </c>
      <c r="BT702" t="str">
        <f>""</f>
        <v/>
      </c>
      <c r="BU702" t="str">
        <f>""</f>
        <v/>
      </c>
      <c r="BV702" t="str">
        <f>"1"</f>
        <v>1</v>
      </c>
      <c r="BW702" t="str">
        <f>"675"</f>
        <v>675</v>
      </c>
    </row>
    <row r="703" spans="1:75" x14ac:dyDescent="0.35">
      <c r="A703">
        <v>157703</v>
      </c>
      <c r="B703" t="str">
        <f t="shared" si="325"/>
        <v>A</v>
      </c>
      <c r="C703" t="str">
        <f t="shared" si="326"/>
        <v>80</v>
      </c>
      <c r="D703" t="str">
        <f t="shared" si="351"/>
        <v>11121002</v>
      </c>
      <c r="E703" t="str">
        <f t="shared" si="352"/>
        <v>121002</v>
      </c>
      <c r="F703" t="str">
        <f t="shared" si="353"/>
        <v>CINTHIA NORONHA</v>
      </c>
      <c r="G703" t="str">
        <f>"09449812000193"</f>
        <v>09449812000193</v>
      </c>
      <c r="H703" t="str">
        <f>"0"</f>
        <v>0</v>
      </c>
      <c r="I703" t="str">
        <f t="shared" si="327"/>
        <v>CONTA OPTICA</v>
      </c>
      <c r="J703" t="str">
        <f>"FLORIPRATAS JOIAS E ACESSORIOS LTDA"</f>
        <v>FLORIPRATAS JOIAS E ACESSORIOS LTDA</v>
      </c>
      <c r="K703" t="str">
        <f>"FLORIPRATAS (3926)"</f>
        <v>FLORIPRATAS (3926)</v>
      </c>
      <c r="L703" t="str">
        <f>""</f>
        <v/>
      </c>
      <c r="M703" t="str">
        <f>""</f>
        <v/>
      </c>
      <c r="N703" t="str">
        <f>"HICKELJR@GMAIL.COM"</f>
        <v>HICKELJR@GMAIL.COM</v>
      </c>
      <c r="O703" t="str">
        <f>""</f>
        <v/>
      </c>
      <c r="P703" t="str">
        <f>"RUA FELIPE SCHIMIDT"</f>
        <v>RUA FELIPE SCHIMIDT</v>
      </c>
      <c r="Q703" t="str">
        <f>"249"</f>
        <v>249</v>
      </c>
      <c r="R703" t="str">
        <f>"LOJA 10"</f>
        <v>LOJA 10</v>
      </c>
      <c r="S703" t="str">
        <f>"1254"</f>
        <v>1254</v>
      </c>
      <c r="T703" t="str">
        <f>"88010100"</f>
        <v>88010100</v>
      </c>
      <c r="U703" t="str">
        <f>"CENTRO"</f>
        <v>CENTRO</v>
      </c>
      <c r="V703" t="str">
        <f>"FLORIANOPOLIS"</f>
        <v>FLORIANOPOLIS</v>
      </c>
      <c r="W703" t="str">
        <f t="shared" si="354"/>
        <v>SC</v>
      </c>
      <c r="X703" t="str">
        <f t="shared" si="356"/>
        <v>48</v>
      </c>
      <c r="Y703" t="str">
        <f>"32075165"</f>
        <v>32075165</v>
      </c>
      <c r="Z703" t="str">
        <f>""</f>
        <v/>
      </c>
      <c r="AA703" t="str">
        <f>""</f>
        <v/>
      </c>
      <c r="AB703" t="str">
        <f>""</f>
        <v/>
      </c>
      <c r="AC703" t="str">
        <f>""</f>
        <v/>
      </c>
      <c r="AD703" t="str">
        <f>""</f>
        <v/>
      </c>
      <c r="AE703" t="str">
        <f>""</f>
        <v/>
      </c>
      <c r="AF703" t="str">
        <f>""</f>
        <v/>
      </c>
      <c r="AG703" t="str">
        <f>""</f>
        <v/>
      </c>
      <c r="AH703" t="str">
        <f>""</f>
        <v/>
      </c>
      <c r="AI703" t="str">
        <f>""</f>
        <v/>
      </c>
      <c r="AJ703" t="str">
        <f>""</f>
        <v/>
      </c>
      <c r="AK703" t="str">
        <f>""</f>
        <v/>
      </c>
      <c r="AL703" t="str">
        <f>""</f>
        <v/>
      </c>
      <c r="AM703" t="str">
        <f>""</f>
        <v/>
      </c>
      <c r="AN703" t="str">
        <f>""</f>
        <v/>
      </c>
      <c r="AO703" t="str">
        <f>""</f>
        <v/>
      </c>
      <c r="AP703" t="str">
        <f>""</f>
        <v/>
      </c>
      <c r="AQ703" t="str">
        <f>""</f>
        <v/>
      </c>
      <c r="AR703" t="str">
        <f>""</f>
        <v/>
      </c>
      <c r="AS703" t="str">
        <f>""</f>
        <v/>
      </c>
      <c r="AT703" t="str">
        <f>""</f>
        <v/>
      </c>
      <c r="AU703" t="str">
        <f>""</f>
        <v/>
      </c>
      <c r="AV703" t="str">
        <f>""</f>
        <v/>
      </c>
      <c r="AW703" t="str">
        <f>""</f>
        <v/>
      </c>
      <c r="AX703" t="str">
        <f>""</f>
        <v/>
      </c>
      <c r="AY703" t="str">
        <f>""</f>
        <v/>
      </c>
      <c r="AZ703" t="str">
        <f>""</f>
        <v/>
      </c>
      <c r="BA703" t="str">
        <f>""</f>
        <v/>
      </c>
      <c r="BB703" t="str">
        <f>"11/07/2023 02:19:56"</f>
        <v>11/07/2023 02:19:56</v>
      </c>
      <c r="BC703" t="str">
        <f>""</f>
        <v/>
      </c>
      <c r="BD703" t="str">
        <f>""</f>
        <v/>
      </c>
      <c r="BE703" t="str">
        <f>""</f>
        <v/>
      </c>
      <c r="BF703" t="str">
        <f t="shared" si="328"/>
        <v>A</v>
      </c>
      <c r="BG703" t="str">
        <f>""</f>
        <v/>
      </c>
      <c r="BH703" t="str">
        <f>""</f>
        <v/>
      </c>
      <c r="BI703" t="str">
        <f t="shared" si="344"/>
        <v>EVENTUAL</v>
      </c>
      <c r="BJ703" t="str">
        <f t="shared" si="329"/>
        <v>1</v>
      </c>
      <c r="BK703" t="str">
        <f t="shared" si="330"/>
        <v>Farmacia</v>
      </c>
      <c r="BL703" t="str">
        <f>""</f>
        <v/>
      </c>
      <c r="BM703" t="str">
        <f>""</f>
        <v/>
      </c>
      <c r="BN703" t="str">
        <f>""</f>
        <v/>
      </c>
      <c r="BO703" t="str">
        <f>""</f>
        <v/>
      </c>
      <c r="BP703" t="str">
        <f>""</f>
        <v/>
      </c>
      <c r="BQ703" t="str">
        <f>""</f>
        <v/>
      </c>
      <c r="BR703" t="str">
        <f>"11/07/2023"</f>
        <v>11/07/2023</v>
      </c>
      <c r="BS703" t="str">
        <f>""</f>
        <v/>
      </c>
      <c r="BT703" t="str">
        <f>""</f>
        <v/>
      </c>
      <c r="BU703" t="str">
        <f>""</f>
        <v/>
      </c>
      <c r="BV703" t="str">
        <f>""</f>
        <v/>
      </c>
      <c r="BW703" t="str">
        <f>"Não visitado"</f>
        <v>Não visitado</v>
      </c>
    </row>
    <row r="704" spans="1:75" x14ac:dyDescent="0.35">
      <c r="A704">
        <v>157597</v>
      </c>
      <c r="B704" t="str">
        <f t="shared" si="325"/>
        <v>A</v>
      </c>
      <c r="C704" t="str">
        <f t="shared" si="326"/>
        <v>80</v>
      </c>
      <c r="D704" t="str">
        <f t="shared" si="351"/>
        <v>11121002</v>
      </c>
      <c r="E704" t="str">
        <f t="shared" si="352"/>
        <v>121002</v>
      </c>
      <c r="F704" t="str">
        <f t="shared" si="353"/>
        <v>CINTHIA NORONHA</v>
      </c>
      <c r="G704" t="str">
        <f>"08963756000148"</f>
        <v>08963756000148</v>
      </c>
      <c r="H704" t="str">
        <f>"0"</f>
        <v>0</v>
      </c>
      <c r="I704" t="str">
        <f t="shared" si="327"/>
        <v>CONTA OPTICA</v>
      </c>
      <c r="J704" t="str">
        <f>"FOCOSS COMERCIO DE OPTICA EIRELI"</f>
        <v>FOCOSS COMERCIO DE OPTICA EIRELI</v>
      </c>
      <c r="K704" t="str">
        <f>"OTICA BRASIL (1332)"</f>
        <v>OTICA BRASIL (1332)</v>
      </c>
      <c r="L704" t="str">
        <f>""</f>
        <v/>
      </c>
      <c r="M704" t="str">
        <f>""</f>
        <v/>
      </c>
      <c r="N704" t="str">
        <f>""</f>
        <v/>
      </c>
      <c r="O704" t="str">
        <f>""</f>
        <v/>
      </c>
      <c r="P704" t="str">
        <f>"RUA DARIO JOAO DE SOUZA"</f>
        <v>RUA DARIO JOAO DE SOUZA</v>
      </c>
      <c r="Q704" t="str">
        <f>"61"</f>
        <v>61</v>
      </c>
      <c r="R704" t="str">
        <f>"SL03"</f>
        <v>SL03</v>
      </c>
      <c r="S704" t="str">
        <f>""</f>
        <v/>
      </c>
      <c r="T704" t="str">
        <f>"88053760"</f>
        <v>88053760</v>
      </c>
      <c r="U704" t="str">
        <f>"JURERE"</f>
        <v>JURERE</v>
      </c>
      <c r="V704" t="str">
        <f>"FLORIANOPOLIS"</f>
        <v>FLORIANOPOLIS</v>
      </c>
      <c r="W704" t="str">
        <f t="shared" si="354"/>
        <v>SC</v>
      </c>
      <c r="X704" t="str">
        <f t="shared" si="356"/>
        <v>48</v>
      </c>
      <c r="Y704" t="str">
        <f>"32322250"</f>
        <v>32322250</v>
      </c>
      <c r="Z704" t="str">
        <f>""</f>
        <v/>
      </c>
      <c r="AA704" t="str">
        <f>""</f>
        <v/>
      </c>
      <c r="AB704" t="str">
        <f>""</f>
        <v/>
      </c>
      <c r="AC704" t="str">
        <f>""</f>
        <v/>
      </c>
      <c r="AD704" t="str">
        <f>""</f>
        <v/>
      </c>
      <c r="AE704" t="str">
        <f>""</f>
        <v/>
      </c>
      <c r="AF704" t="str">
        <f>""</f>
        <v/>
      </c>
      <c r="AG704" t="str">
        <f>""</f>
        <v/>
      </c>
      <c r="AH704" t="str">
        <f>""</f>
        <v/>
      </c>
      <c r="AI704" t="str">
        <f>""</f>
        <v/>
      </c>
      <c r="AJ704" t="str">
        <f>""</f>
        <v/>
      </c>
      <c r="AK704" t="str">
        <f>""</f>
        <v/>
      </c>
      <c r="AL704" t="str">
        <f>""</f>
        <v/>
      </c>
      <c r="AM704" t="str">
        <f>""</f>
        <v/>
      </c>
      <c r="AN704" t="str">
        <f>""</f>
        <v/>
      </c>
      <c r="AO704" t="str">
        <f>""</f>
        <v/>
      </c>
      <c r="AP704" t="str">
        <f>""</f>
        <v/>
      </c>
      <c r="AQ704" t="str">
        <f>""</f>
        <v/>
      </c>
      <c r="AR704" t="str">
        <f>""</f>
        <v/>
      </c>
      <c r="AS704" t="str">
        <f>""</f>
        <v/>
      </c>
      <c r="AT704" t="str">
        <f>""</f>
        <v/>
      </c>
      <c r="AU704" t="str">
        <f>""</f>
        <v/>
      </c>
      <c r="AV704" t="str">
        <f>""</f>
        <v/>
      </c>
      <c r="AW704" t="str">
        <f>""</f>
        <v/>
      </c>
      <c r="AX704" t="str">
        <f>""</f>
        <v/>
      </c>
      <c r="AY704" t="str">
        <f>""</f>
        <v/>
      </c>
      <c r="AZ704" t="str">
        <f>""</f>
        <v/>
      </c>
      <c r="BA704" t="str">
        <f>""</f>
        <v/>
      </c>
      <c r="BB704" t="str">
        <f>"11/07/2023 02:19:56"</f>
        <v>11/07/2023 02:19:56</v>
      </c>
      <c r="BC704" t="str">
        <f>""</f>
        <v/>
      </c>
      <c r="BD704" t="str">
        <f>""</f>
        <v/>
      </c>
      <c r="BE704" t="str">
        <f>""</f>
        <v/>
      </c>
      <c r="BF704" t="str">
        <f t="shared" si="328"/>
        <v>A</v>
      </c>
      <c r="BG704" t="str">
        <f>""</f>
        <v/>
      </c>
      <c r="BH704" t="str">
        <f>""</f>
        <v/>
      </c>
      <c r="BI704" t="str">
        <f t="shared" si="344"/>
        <v>EVENTUAL</v>
      </c>
      <c r="BJ704" t="str">
        <f t="shared" si="329"/>
        <v>1</v>
      </c>
      <c r="BK704" t="str">
        <f t="shared" si="330"/>
        <v>Farmacia</v>
      </c>
      <c r="BL704" t="str">
        <f>""</f>
        <v/>
      </c>
      <c r="BM704" t="str">
        <f>""</f>
        <v/>
      </c>
      <c r="BN704" t="str">
        <f>""</f>
        <v/>
      </c>
      <c r="BO704" t="str">
        <f>""</f>
        <v/>
      </c>
      <c r="BP704" t="str">
        <f>""</f>
        <v/>
      </c>
      <c r="BQ704" t="str">
        <f>""</f>
        <v/>
      </c>
      <c r="BR704" t="str">
        <f>"11/07/2023"</f>
        <v>11/07/2023</v>
      </c>
      <c r="BS704" t="str">
        <f>""</f>
        <v/>
      </c>
      <c r="BT704" t="str">
        <f>""</f>
        <v/>
      </c>
      <c r="BU704" t="str">
        <f>""</f>
        <v/>
      </c>
      <c r="BV704" t="str">
        <f>""</f>
        <v/>
      </c>
      <c r="BW704" t="str">
        <f>"67"</f>
        <v>67</v>
      </c>
    </row>
    <row r="705" spans="1:75" x14ac:dyDescent="0.35">
      <c r="A705">
        <v>156913</v>
      </c>
      <c r="B705" t="str">
        <f t="shared" si="325"/>
        <v>A</v>
      </c>
      <c r="C705" t="str">
        <f t="shared" si="326"/>
        <v>80</v>
      </c>
      <c r="D705" t="str">
        <f t="shared" si="351"/>
        <v>11121002</v>
      </c>
      <c r="E705" t="str">
        <f t="shared" si="352"/>
        <v>121002</v>
      </c>
      <c r="F705" t="str">
        <f t="shared" si="353"/>
        <v>CINTHIA NORONHA</v>
      </c>
      <c r="G705" t="str">
        <f>"44110931000118"</f>
        <v>44110931000118</v>
      </c>
      <c r="H705" t="str">
        <f>"0"</f>
        <v>0</v>
      </c>
      <c r="I705" t="str">
        <f t="shared" si="327"/>
        <v>CONTA OPTICA</v>
      </c>
      <c r="J705" t="str">
        <f>"FR OTICA E ACESSORIOS LTDA"</f>
        <v>FR OTICA E ACESSORIOS LTDA</v>
      </c>
      <c r="K705" t="str">
        <f>"MILA K - JOALHERIA E OTICA (4512)"</f>
        <v>MILA K - JOALHERIA E OTICA (4512)</v>
      </c>
      <c r="L705" t="str">
        <f>""</f>
        <v/>
      </c>
      <c r="M705" t="str">
        <f>""</f>
        <v/>
      </c>
      <c r="N705" t="str">
        <f>"FRACESSORIOSEOTICA@GMAIL.COM"</f>
        <v>FRACESSORIOSEOTICA@GMAIL.COM</v>
      </c>
      <c r="O705" t="str">
        <f>""</f>
        <v/>
      </c>
      <c r="P705" t="str">
        <f>"RUA NEREU RAMOS"</f>
        <v>RUA NEREU RAMOS</v>
      </c>
      <c r="Q705" t="str">
        <f>"688"</f>
        <v>688</v>
      </c>
      <c r="R705" t="str">
        <f>""</f>
        <v/>
      </c>
      <c r="S705" t="str">
        <f>"1268"</f>
        <v>1268</v>
      </c>
      <c r="T705" t="str">
        <f>"88780000"</f>
        <v>88780000</v>
      </c>
      <c r="U705" t="str">
        <f>"CENTRO"</f>
        <v>CENTRO</v>
      </c>
      <c r="V705" t="str">
        <f>"IMBITUBA"</f>
        <v>IMBITUBA</v>
      </c>
      <c r="W705" t="str">
        <f t="shared" si="354"/>
        <v>SC</v>
      </c>
      <c r="X705" t="str">
        <f t="shared" si="356"/>
        <v>48</v>
      </c>
      <c r="Y705" t="str">
        <f>"999732078"</f>
        <v>999732078</v>
      </c>
      <c r="Z705" t="str">
        <f>""</f>
        <v/>
      </c>
      <c r="AA705" t="str">
        <f>""</f>
        <v/>
      </c>
      <c r="AB705" t="str">
        <f>""</f>
        <v/>
      </c>
      <c r="AC705" t="str">
        <f>""</f>
        <v/>
      </c>
      <c r="AD705" t="str">
        <f>""</f>
        <v/>
      </c>
      <c r="AE705" t="str">
        <f>""</f>
        <v/>
      </c>
      <c r="AF705" t="str">
        <f>""</f>
        <v/>
      </c>
      <c r="AG705" t="str">
        <f>""</f>
        <v/>
      </c>
      <c r="AH705" t="str">
        <f>""</f>
        <v/>
      </c>
      <c r="AI705" t="str">
        <f>""</f>
        <v/>
      </c>
      <c r="AJ705" t="str">
        <f>""</f>
        <v/>
      </c>
      <c r="AK705" t="str">
        <f>""</f>
        <v/>
      </c>
      <c r="AL705" t="str">
        <f>""</f>
        <v/>
      </c>
      <c r="AM705" t="str">
        <f>""</f>
        <v/>
      </c>
      <c r="AN705" t="str">
        <f>""</f>
        <v/>
      </c>
      <c r="AO705" t="str">
        <f>""</f>
        <v/>
      </c>
      <c r="AP705" t="str">
        <f>""</f>
        <v/>
      </c>
      <c r="AQ705" t="str">
        <f>""</f>
        <v/>
      </c>
      <c r="AR705" t="str">
        <f>""</f>
        <v/>
      </c>
      <c r="AS705" t="str">
        <f>""</f>
        <v/>
      </c>
      <c r="AT705" t="str">
        <f>""</f>
        <v/>
      </c>
      <c r="AU705" t="str">
        <f>""</f>
        <v/>
      </c>
      <c r="AV705" t="str">
        <f>""</f>
        <v/>
      </c>
      <c r="AW705" t="str">
        <f>""</f>
        <v/>
      </c>
      <c r="AX705" t="str">
        <f>""</f>
        <v/>
      </c>
      <c r="AY705" t="str">
        <f>""</f>
        <v/>
      </c>
      <c r="AZ705" t="str">
        <f>""</f>
        <v/>
      </c>
      <c r="BA705" t="str">
        <f>""</f>
        <v/>
      </c>
      <c r="BB705" t="str">
        <f>"06/07/2023 12:07:48"</f>
        <v>06/07/2023 12:07:48</v>
      </c>
      <c r="BC705" t="str">
        <f>""</f>
        <v/>
      </c>
      <c r="BD705" t="str">
        <f>""</f>
        <v/>
      </c>
      <c r="BE705" t="str">
        <f>""</f>
        <v/>
      </c>
      <c r="BF705" t="str">
        <f t="shared" si="328"/>
        <v>A</v>
      </c>
      <c r="BG705" t="str">
        <f>""</f>
        <v/>
      </c>
      <c r="BH705" t="str">
        <f>""</f>
        <v/>
      </c>
      <c r="BI705" t="str">
        <f t="shared" si="344"/>
        <v>EVENTUAL</v>
      </c>
      <c r="BJ705" t="str">
        <f t="shared" si="329"/>
        <v>1</v>
      </c>
      <c r="BK705" t="str">
        <f t="shared" si="330"/>
        <v>Farmacia</v>
      </c>
      <c r="BL705" t="str">
        <f>""</f>
        <v/>
      </c>
      <c r="BM705" t="str">
        <f>""</f>
        <v/>
      </c>
      <c r="BN705" t="str">
        <f>""</f>
        <v/>
      </c>
      <c r="BO705" t="str">
        <f>""</f>
        <v/>
      </c>
      <c r="BP705" t="str">
        <f>""</f>
        <v/>
      </c>
      <c r="BQ705" t="str">
        <f>""</f>
        <v/>
      </c>
      <c r="BR705" t="str">
        <f>"06/07/2023"</f>
        <v>06/07/2023</v>
      </c>
      <c r="BS705" t="str">
        <f>""</f>
        <v/>
      </c>
      <c r="BT705" t="str">
        <f>""</f>
        <v/>
      </c>
      <c r="BU705" t="str">
        <f>""</f>
        <v/>
      </c>
      <c r="BV705" t="str">
        <f>""</f>
        <v/>
      </c>
      <c r="BW705" t="str">
        <f>"Não visitado"</f>
        <v>Não visitado</v>
      </c>
    </row>
    <row r="706" spans="1:75" x14ac:dyDescent="0.35">
      <c r="A706">
        <v>120554</v>
      </c>
      <c r="B706" t="str">
        <f t="shared" ref="B706:B769" si="360">"A"</f>
        <v>A</v>
      </c>
      <c r="C706" t="str">
        <f t="shared" ref="C706:C769" si="361">"80"</f>
        <v>80</v>
      </c>
      <c r="D706" t="str">
        <f t="shared" si="351"/>
        <v>11121002</v>
      </c>
      <c r="E706" t="str">
        <f t="shared" si="352"/>
        <v>121002</v>
      </c>
      <c r="F706" t="str">
        <f t="shared" si="353"/>
        <v>CINTHIA NORONHA</v>
      </c>
      <c r="G706" t="str">
        <f>"08334258000136"</f>
        <v>08334258000136</v>
      </c>
      <c r="H706" t="str">
        <f>"0"</f>
        <v>0</v>
      </c>
      <c r="I706" t="str">
        <f t="shared" ref="I706:I769" si="362">"CONTA OPTICA"</f>
        <v>CONTA OPTICA</v>
      </c>
      <c r="J706" t="str">
        <f>"FRANCINE COMERCIO DE PROD. OPTICOS LTDA ME"</f>
        <v>FRANCINE COMERCIO DE PROD. OPTICOS LTDA ME</v>
      </c>
      <c r="K706" t="str">
        <f>"OTICA FRANCINE (1375)"</f>
        <v>OTICA FRANCINE (1375)</v>
      </c>
      <c r="L706" t="str">
        <f>""</f>
        <v/>
      </c>
      <c r="M706" t="str">
        <f>""</f>
        <v/>
      </c>
      <c r="N706" t="str">
        <f>"oticafrancine@yahoo.com.br"</f>
        <v>oticafrancine@yahoo.com.br</v>
      </c>
      <c r="O706" t="str">
        <f>""</f>
        <v/>
      </c>
      <c r="P706" t="str">
        <f>"AVENIDA BRASIL"</f>
        <v>AVENIDA BRASIL</v>
      </c>
      <c r="Q706" t="str">
        <f>"518"</f>
        <v>518</v>
      </c>
      <c r="R706" t="str">
        <f>"LOJA 01"</f>
        <v>LOJA 01</v>
      </c>
      <c r="S706" t="str">
        <f>"1259"</f>
        <v>1259</v>
      </c>
      <c r="T706" t="str">
        <f>"88110500"</f>
        <v>88110500</v>
      </c>
      <c r="U706" t="str">
        <f>"BELA VISTA"</f>
        <v>BELA VISTA</v>
      </c>
      <c r="V706" t="str">
        <f>"SAO JOSE"</f>
        <v>SAO JOSE</v>
      </c>
      <c r="W706" t="str">
        <f t="shared" si="354"/>
        <v>SC</v>
      </c>
      <c r="X706" t="str">
        <f t="shared" si="356"/>
        <v>48</v>
      </c>
      <c r="Y706" t="str">
        <f>"33468385"</f>
        <v>33468385</v>
      </c>
      <c r="Z706" t="str">
        <f>""</f>
        <v/>
      </c>
      <c r="AA706" t="str">
        <f>""</f>
        <v/>
      </c>
      <c r="AB706" t="str">
        <f>""</f>
        <v/>
      </c>
      <c r="AC706" t="str">
        <f>""</f>
        <v/>
      </c>
      <c r="AD706" t="str">
        <f>""</f>
        <v/>
      </c>
      <c r="AE706" t="str">
        <f>""</f>
        <v/>
      </c>
      <c r="AF706" t="str">
        <f>""</f>
        <v/>
      </c>
      <c r="AG706" t="str">
        <f>""</f>
        <v/>
      </c>
      <c r="AH706" t="str">
        <f>""</f>
        <v/>
      </c>
      <c r="AI706" t="str">
        <f>""</f>
        <v/>
      </c>
      <c r="AJ706" t="str">
        <f>""</f>
        <v/>
      </c>
      <c r="AK706" t="str">
        <f>""</f>
        <v/>
      </c>
      <c r="AL706" t="str">
        <f>""</f>
        <v/>
      </c>
      <c r="AM706" t="str">
        <f>""</f>
        <v/>
      </c>
      <c r="AN706" t="str">
        <f>""</f>
        <v/>
      </c>
      <c r="AO706" t="str">
        <f>""</f>
        <v/>
      </c>
      <c r="AP706" t="str">
        <f>""</f>
        <v/>
      </c>
      <c r="AQ706" t="str">
        <f>""</f>
        <v/>
      </c>
      <c r="AR706" t="str">
        <f>""</f>
        <v/>
      </c>
      <c r="AS706" t="str">
        <f>""</f>
        <v/>
      </c>
      <c r="AT706" t="str">
        <f>""</f>
        <v/>
      </c>
      <c r="AU706" t="str">
        <f>""</f>
        <v/>
      </c>
      <c r="AV706" t="str">
        <f>""</f>
        <v/>
      </c>
      <c r="AW706" t="str">
        <f>""</f>
        <v/>
      </c>
      <c r="AX706" t="str">
        <f>""</f>
        <v/>
      </c>
      <c r="AY706" t="str">
        <f>""</f>
        <v/>
      </c>
      <c r="AZ706" t="str">
        <f>""</f>
        <v/>
      </c>
      <c r="BA706" t="str">
        <f>""</f>
        <v/>
      </c>
      <c r="BB706" t="str">
        <f>"22/09/2020 15:29:33"</f>
        <v>22/09/2020 15:29:33</v>
      </c>
      <c r="BC706" t="str">
        <f>""</f>
        <v/>
      </c>
      <c r="BD706" t="str">
        <f>""</f>
        <v/>
      </c>
      <c r="BE706" t="str">
        <f>""</f>
        <v/>
      </c>
      <c r="BF706" t="str">
        <f t="shared" ref="BF706:BF769" si="363">"A"</f>
        <v>A</v>
      </c>
      <c r="BG706" t="str">
        <f>""</f>
        <v/>
      </c>
      <c r="BH706" t="str">
        <f>""</f>
        <v/>
      </c>
      <c r="BI706" t="str">
        <f t="shared" si="344"/>
        <v>EVENTUAL</v>
      </c>
      <c r="BJ706" t="str">
        <f t="shared" ref="BJ706:BJ769" si="364">"1"</f>
        <v>1</v>
      </c>
      <c r="BK706" t="str">
        <f t="shared" ref="BK706:BK769" si="365">"Farmacia"</f>
        <v>Farmacia</v>
      </c>
      <c r="BL706" t="str">
        <f>""</f>
        <v/>
      </c>
      <c r="BM706" t="str">
        <f>"NÃO É VARILUX ESPECIALISTA"</f>
        <v>NÃO É VARILUX ESPECIALISTA</v>
      </c>
      <c r="BN706" t="str">
        <f>"NA"</f>
        <v>NA</v>
      </c>
      <c r="BO706" t="str">
        <f>"OUTROS"</f>
        <v>OUTROS</v>
      </c>
      <c r="BP706" t="str">
        <f>""</f>
        <v/>
      </c>
      <c r="BQ706" t="str">
        <f>""</f>
        <v/>
      </c>
      <c r="BR706" t="str">
        <f>"22/09/2020"</f>
        <v>22/09/2020</v>
      </c>
      <c r="BS706" t="str">
        <f>""</f>
        <v/>
      </c>
      <c r="BT706" t="str">
        <f>""</f>
        <v/>
      </c>
      <c r="BU706" t="str">
        <f>""</f>
        <v/>
      </c>
      <c r="BV706" t="str">
        <f>"9"</f>
        <v>9</v>
      </c>
      <c r="BW706" t="str">
        <f>"Não visitado"</f>
        <v>Não visitado</v>
      </c>
    </row>
    <row r="707" spans="1:75" x14ac:dyDescent="0.35">
      <c r="A707">
        <v>134255</v>
      </c>
      <c r="B707" t="str">
        <f t="shared" si="360"/>
        <v>A</v>
      </c>
      <c r="C707" t="str">
        <f t="shared" si="361"/>
        <v>80</v>
      </c>
      <c r="D707" t="str">
        <f t="shared" si="351"/>
        <v>11121002</v>
      </c>
      <c r="E707" t="str">
        <f t="shared" si="352"/>
        <v>121002</v>
      </c>
      <c r="F707" t="str">
        <f t="shared" si="353"/>
        <v>CINTHIA NORONHA</v>
      </c>
      <c r="G707" t="str">
        <f>"20958479000180"</f>
        <v>20958479000180</v>
      </c>
      <c r="H707" t="str">
        <f>""</f>
        <v/>
      </c>
      <c r="I707" t="str">
        <f t="shared" si="362"/>
        <v>CONTA OPTICA</v>
      </c>
      <c r="J707" t="str">
        <f>"FRASSETTO JOALHERIA E OTICA EIRELI EPP"</f>
        <v>FRASSETTO JOALHERIA E OTICA EIRELI EPP</v>
      </c>
      <c r="K707" t="str">
        <f>"QUEVEDO (2168)"</f>
        <v>QUEVEDO (2168)</v>
      </c>
      <c r="L707" t="str">
        <f>""</f>
        <v/>
      </c>
      <c r="M707" t="str">
        <f>""</f>
        <v/>
      </c>
      <c r="N707" t="str">
        <f>"expediente@quevedo.com.br"</f>
        <v>expediente@quevedo.com.br</v>
      </c>
      <c r="O707" t="str">
        <f>""</f>
        <v/>
      </c>
      <c r="P707" t="str">
        <f>"RUA PREFEITO JOSE KOERING"</f>
        <v>RUA PREFEITO JOSE KOERING</v>
      </c>
      <c r="Q707" t="str">
        <f>"5665"</f>
        <v>5665</v>
      </c>
      <c r="R707" t="str">
        <f>"SALA 02 TERREO"</f>
        <v>SALA 02 TERREO</v>
      </c>
      <c r="S707" t="str">
        <f>"1259"</f>
        <v>1259</v>
      </c>
      <c r="T707" t="str">
        <f>"88140000"</f>
        <v>88140000</v>
      </c>
      <c r="U707" t="str">
        <f>"CENTRO"</f>
        <v>CENTRO</v>
      </c>
      <c r="V707" t="str">
        <f>"SANTO AMARO DA IMPERATRIZ"</f>
        <v>SANTO AMARO DA IMPERATRIZ</v>
      </c>
      <c r="W707" t="str">
        <f t="shared" si="354"/>
        <v>SC</v>
      </c>
      <c r="X707" t="str">
        <f t="shared" si="356"/>
        <v>48</v>
      </c>
      <c r="Y707" t="str">
        <f>"32451804"</f>
        <v>32451804</v>
      </c>
      <c r="Z707" t="str">
        <f>""</f>
        <v/>
      </c>
      <c r="AA707" t="str">
        <f>""</f>
        <v/>
      </c>
      <c r="AB707" t="str">
        <f>""</f>
        <v/>
      </c>
      <c r="AC707" t="str">
        <f>""</f>
        <v/>
      </c>
      <c r="AD707" t="str">
        <f>""</f>
        <v/>
      </c>
      <c r="AE707" t="str">
        <f>""</f>
        <v/>
      </c>
      <c r="AF707" t="str">
        <f>""</f>
        <v/>
      </c>
      <c r="AG707" t="str">
        <f>"S"</f>
        <v>S</v>
      </c>
      <c r="AH707" t="str">
        <f>""</f>
        <v/>
      </c>
      <c r="AI707" t="str">
        <f>""</f>
        <v/>
      </c>
      <c r="AJ707" t="str">
        <f>"0"</f>
        <v>0</v>
      </c>
      <c r="AK707" t="str">
        <f>"0"</f>
        <v>0</v>
      </c>
      <c r="AL707" t="str">
        <f>"0"</f>
        <v>0</v>
      </c>
      <c r="AM707" t="str">
        <f>""</f>
        <v/>
      </c>
      <c r="AN707" t="str">
        <f>""</f>
        <v/>
      </c>
      <c r="AO707" t="str">
        <f>""</f>
        <v/>
      </c>
      <c r="AP707" t="str">
        <f>""</f>
        <v/>
      </c>
      <c r="AQ707" t="str">
        <f>"N"</f>
        <v>N</v>
      </c>
      <c r="AR707" t="str">
        <f>"N"</f>
        <v>N</v>
      </c>
      <c r="AS707" t="str">
        <f>"N"</f>
        <v>N</v>
      </c>
      <c r="AT707" t="str">
        <f>"N"</f>
        <v>N</v>
      </c>
      <c r="AU707" t="str">
        <f>"N"</f>
        <v>N</v>
      </c>
      <c r="AV707" t="str">
        <f>""</f>
        <v/>
      </c>
      <c r="AW707" t="str">
        <f>""</f>
        <v/>
      </c>
      <c r="AX707" t="str">
        <f>""</f>
        <v/>
      </c>
      <c r="AY707" t="str">
        <f>""</f>
        <v/>
      </c>
      <c r="AZ707" t="str">
        <f>""</f>
        <v/>
      </c>
      <c r="BA707" t="str">
        <f>""</f>
        <v/>
      </c>
      <c r="BB707" t="str">
        <f>""</f>
        <v/>
      </c>
      <c r="BC707" t="str">
        <f>"10/11/2021 13:38:15"</f>
        <v>10/11/2021 13:38:15</v>
      </c>
      <c r="BD707" t="str">
        <f>""</f>
        <v/>
      </c>
      <c r="BE707" t="str">
        <f>""</f>
        <v/>
      </c>
      <c r="BF707" t="str">
        <f t="shared" si="363"/>
        <v>A</v>
      </c>
      <c r="BG707" t="str">
        <f>"0,00"</f>
        <v>0,00</v>
      </c>
      <c r="BH707" t="str">
        <f>"0,00"</f>
        <v>0,00</v>
      </c>
      <c r="BI707" t="str">
        <f t="shared" si="344"/>
        <v>EVENTUAL</v>
      </c>
      <c r="BJ707" t="str">
        <f t="shared" si="364"/>
        <v>1</v>
      </c>
      <c r="BK707" t="str">
        <f t="shared" si="365"/>
        <v>Farmacia</v>
      </c>
      <c r="BL707" t="str">
        <f>""</f>
        <v/>
      </c>
      <c r="BM707" t="str">
        <f>"NÃO É VARILUX ESPECIALISTA"</f>
        <v>NÃO É VARILUX ESPECIALISTA</v>
      </c>
      <c r="BN707" t="str">
        <f>"NA"</f>
        <v>NA</v>
      </c>
      <c r="BO707" t="str">
        <f>"OUTROS"</f>
        <v>OUTROS</v>
      </c>
      <c r="BP707" t="str">
        <f>""</f>
        <v/>
      </c>
      <c r="BQ707" t="str">
        <f>""</f>
        <v/>
      </c>
      <c r="BR707" t="str">
        <f>""</f>
        <v/>
      </c>
      <c r="BS707" t="str">
        <f>"10/11/2021"</f>
        <v>10/11/2021</v>
      </c>
      <c r="BT707" t="str">
        <f>""</f>
        <v/>
      </c>
      <c r="BU707" t="str">
        <f>""</f>
        <v/>
      </c>
      <c r="BV707" t="str">
        <f>"8"</f>
        <v>8</v>
      </c>
      <c r="BW707" t="str">
        <f>"744"</f>
        <v>744</v>
      </c>
    </row>
    <row r="708" spans="1:75" x14ac:dyDescent="0.35">
      <c r="A708">
        <v>134323</v>
      </c>
      <c r="B708" t="str">
        <f t="shared" si="360"/>
        <v>A</v>
      </c>
      <c r="C708" t="str">
        <f t="shared" si="361"/>
        <v>80</v>
      </c>
      <c r="D708" t="str">
        <f t="shared" si="351"/>
        <v>11121002</v>
      </c>
      <c r="E708" t="str">
        <f t="shared" si="352"/>
        <v>121002</v>
      </c>
      <c r="F708" t="str">
        <f t="shared" si="353"/>
        <v>CINTHIA NORONHA</v>
      </c>
      <c r="G708" t="str">
        <f>"35018884000196"</f>
        <v>35018884000196</v>
      </c>
      <c r="H708" t="str">
        <f>""</f>
        <v/>
      </c>
      <c r="I708" t="str">
        <f t="shared" si="362"/>
        <v>CONTA OPTICA</v>
      </c>
      <c r="J708" t="str">
        <f>"FS OTICA EIRELI"</f>
        <v>FS OTICA EIRELI</v>
      </c>
      <c r="K708" t="str">
        <f>"OTICAS CAROL (4064)"</f>
        <v>OTICAS CAROL (4064)</v>
      </c>
      <c r="L708" t="str">
        <f>""</f>
        <v/>
      </c>
      <c r="M708" t="str">
        <f>""</f>
        <v/>
      </c>
      <c r="N708" t="str">
        <f>"loja2024@oticascarol.com.br"</f>
        <v>loja2024@oticascarol.com.br</v>
      </c>
      <c r="O708" t="str">
        <f>""</f>
        <v/>
      </c>
      <c r="P708" t="str">
        <f>"RUA FELIPE SCHMIDT"</f>
        <v>RUA FELIPE SCHMIDT</v>
      </c>
      <c r="Q708" t="str">
        <f>"447"</f>
        <v>447</v>
      </c>
      <c r="R708" t="str">
        <f>"LOJA 03"</f>
        <v>LOJA 03</v>
      </c>
      <c r="S708" t="str">
        <f>"1254"</f>
        <v>1254</v>
      </c>
      <c r="T708" t="str">
        <f>"88010001"</f>
        <v>88010001</v>
      </c>
      <c r="U708" t="str">
        <f>"CENTRO"</f>
        <v>CENTRO</v>
      </c>
      <c r="V708" t="str">
        <f>"FLORIANOPOLIS"</f>
        <v>FLORIANOPOLIS</v>
      </c>
      <c r="W708" t="str">
        <f t="shared" si="354"/>
        <v>SC</v>
      </c>
      <c r="X708" t="str">
        <f t="shared" si="356"/>
        <v>48</v>
      </c>
      <c r="Y708" t="str">
        <f>"33339992"</f>
        <v>33339992</v>
      </c>
      <c r="Z708" t="str">
        <f>""</f>
        <v/>
      </c>
      <c r="AA708" t="str">
        <f>""</f>
        <v/>
      </c>
      <c r="AB708" t="str">
        <f>""</f>
        <v/>
      </c>
      <c r="AC708" t="str">
        <f>""</f>
        <v/>
      </c>
      <c r="AD708" t="str">
        <f>""</f>
        <v/>
      </c>
      <c r="AE708" t="str">
        <f>""</f>
        <v/>
      </c>
      <c r="AF708" t="str">
        <f>""</f>
        <v/>
      </c>
      <c r="AG708" t="str">
        <f>""</f>
        <v/>
      </c>
      <c r="AH708" t="str">
        <f>""</f>
        <v/>
      </c>
      <c r="AI708" t="str">
        <f>""</f>
        <v/>
      </c>
      <c r="AJ708" t="str">
        <f>""</f>
        <v/>
      </c>
      <c r="AK708" t="str">
        <f>""</f>
        <v/>
      </c>
      <c r="AL708" t="str">
        <f>""</f>
        <v/>
      </c>
      <c r="AM708" t="str">
        <f>""</f>
        <v/>
      </c>
      <c r="AN708" t="str">
        <f>""</f>
        <v/>
      </c>
      <c r="AO708" t="str">
        <f>""</f>
        <v/>
      </c>
      <c r="AP708" t="str">
        <f>""</f>
        <v/>
      </c>
      <c r="AQ708" t="str">
        <f>""</f>
        <v/>
      </c>
      <c r="AR708" t="str">
        <f>""</f>
        <v/>
      </c>
      <c r="AS708" t="str">
        <f>""</f>
        <v/>
      </c>
      <c r="AT708" t="str">
        <f>""</f>
        <v/>
      </c>
      <c r="AU708" t="str">
        <f>""</f>
        <v/>
      </c>
      <c r="AV708" t="str">
        <f>""</f>
        <v/>
      </c>
      <c r="AW708" t="str">
        <f>""</f>
        <v/>
      </c>
      <c r="AX708" t="str">
        <f>""</f>
        <v/>
      </c>
      <c r="AY708" t="str">
        <f>""</f>
        <v/>
      </c>
      <c r="AZ708" t="str">
        <f>""</f>
        <v/>
      </c>
      <c r="BA708" t="str">
        <f>""</f>
        <v/>
      </c>
      <c r="BB708" t="str">
        <f>""</f>
        <v/>
      </c>
      <c r="BC708" t="str">
        <f>""</f>
        <v/>
      </c>
      <c r="BD708" t="str">
        <f>""</f>
        <v/>
      </c>
      <c r="BE708" t="str">
        <f>""</f>
        <v/>
      </c>
      <c r="BF708" t="str">
        <f t="shared" si="363"/>
        <v>A</v>
      </c>
      <c r="BG708" t="str">
        <f>""</f>
        <v/>
      </c>
      <c r="BH708" t="str">
        <f>""</f>
        <v/>
      </c>
      <c r="BI708" t="str">
        <f t="shared" si="344"/>
        <v>EVENTUAL</v>
      </c>
      <c r="BJ708" t="str">
        <f t="shared" si="364"/>
        <v>1</v>
      </c>
      <c r="BK708" t="str">
        <f t="shared" si="365"/>
        <v>Farmacia</v>
      </c>
      <c r="BL708" t="str">
        <f>""</f>
        <v/>
      </c>
      <c r="BM708" t="str">
        <f>"VARILUX ESPECIALISTA SELECT"</f>
        <v>VARILUX ESPECIALISTA SELECT</v>
      </c>
      <c r="BN708" t="str">
        <f>"NA"</f>
        <v>NA</v>
      </c>
      <c r="BO708" t="str">
        <f>"FOCO VARILUX DIGITAL"</f>
        <v>FOCO VARILUX DIGITAL</v>
      </c>
      <c r="BP708" t="str">
        <f>""</f>
        <v/>
      </c>
      <c r="BQ708" t="str">
        <f>""</f>
        <v/>
      </c>
      <c r="BR708" t="str">
        <f>""</f>
        <v/>
      </c>
      <c r="BS708" t="str">
        <f>""</f>
        <v/>
      </c>
      <c r="BT708" t="str">
        <f>""</f>
        <v/>
      </c>
      <c r="BU708" t="str">
        <f>""</f>
        <v/>
      </c>
      <c r="BV708" t="str">
        <f>"9"</f>
        <v>9</v>
      </c>
      <c r="BW708" t="str">
        <f>"Não visitado"</f>
        <v>Não visitado</v>
      </c>
    </row>
    <row r="709" spans="1:75" x14ac:dyDescent="0.35">
      <c r="A709">
        <v>134417</v>
      </c>
      <c r="B709" t="str">
        <f t="shared" si="360"/>
        <v>A</v>
      </c>
      <c r="C709" t="str">
        <f t="shared" si="361"/>
        <v>80</v>
      </c>
      <c r="D709" t="str">
        <f t="shared" si="351"/>
        <v>11121002</v>
      </c>
      <c r="E709" t="str">
        <f t="shared" si="352"/>
        <v>121002</v>
      </c>
      <c r="F709" t="str">
        <f t="shared" si="353"/>
        <v>CINTHIA NORONHA</v>
      </c>
      <c r="G709" t="str">
        <f>"35018884000277"</f>
        <v>35018884000277</v>
      </c>
      <c r="H709" t="str">
        <f>""</f>
        <v/>
      </c>
      <c r="I709" t="str">
        <f t="shared" si="362"/>
        <v>CONTA OPTICA</v>
      </c>
      <c r="J709" t="str">
        <f>"FS OTICA LTDA"</f>
        <v>FS OTICA LTDA</v>
      </c>
      <c r="K709" t="str">
        <f>"OTICAS CAROL (4147)"</f>
        <v>OTICAS CAROL (4147)</v>
      </c>
      <c r="L709" t="str">
        <f>""</f>
        <v/>
      </c>
      <c r="M709" t="str">
        <f>""</f>
        <v/>
      </c>
      <c r="N709" t="str">
        <f>"auditoria.floripa@oticascarol.com.br"</f>
        <v>auditoria.floripa@oticascarol.com.br</v>
      </c>
      <c r="O709" t="str">
        <f>""</f>
        <v/>
      </c>
      <c r="P709" t="str">
        <f>"AVENIDA LEDIO JOAO MARTINS"</f>
        <v>AVENIDA LEDIO JOAO MARTINS</v>
      </c>
      <c r="Q709" t="str">
        <f>"721"</f>
        <v>721</v>
      </c>
      <c r="R709" t="str">
        <f>"SALA 17"</f>
        <v>SALA 17</v>
      </c>
      <c r="S709" t="str">
        <f>"1259"</f>
        <v>1259</v>
      </c>
      <c r="T709" t="str">
        <f>"88102001"</f>
        <v>88102001</v>
      </c>
      <c r="U709" t="str">
        <f>"KOBRASOL"</f>
        <v>KOBRASOL</v>
      </c>
      <c r="V709" t="str">
        <f>"SAO JOSE"</f>
        <v>SAO JOSE</v>
      </c>
      <c r="W709" t="str">
        <f t="shared" si="354"/>
        <v>SC</v>
      </c>
      <c r="X709" t="str">
        <f t="shared" si="356"/>
        <v>48</v>
      </c>
      <c r="Y709" t="str">
        <f>"30471588"</f>
        <v>30471588</v>
      </c>
      <c r="Z709" t="str">
        <f>""</f>
        <v/>
      </c>
      <c r="AA709" t="str">
        <f>""</f>
        <v/>
      </c>
      <c r="AB709" t="str">
        <f>""</f>
        <v/>
      </c>
      <c r="AC709" t="str">
        <f>""</f>
        <v/>
      </c>
      <c r="AD709" t="str">
        <f>""</f>
        <v/>
      </c>
      <c r="AE709" t="str">
        <f>""</f>
        <v/>
      </c>
      <c r="AF709" t="str">
        <f>""</f>
        <v/>
      </c>
      <c r="AG709" t="str">
        <f>""</f>
        <v/>
      </c>
      <c r="AH709" t="str">
        <f>""</f>
        <v/>
      </c>
      <c r="AI709" t="str">
        <f>""</f>
        <v/>
      </c>
      <c r="AJ709" t="str">
        <f>""</f>
        <v/>
      </c>
      <c r="AK709" t="str">
        <f>""</f>
        <v/>
      </c>
      <c r="AL709" t="str">
        <f>""</f>
        <v/>
      </c>
      <c r="AM709" t="str">
        <f>""</f>
        <v/>
      </c>
      <c r="AN709" t="str">
        <f>""</f>
        <v/>
      </c>
      <c r="AO709" t="str">
        <f>""</f>
        <v/>
      </c>
      <c r="AP709" t="str">
        <f>""</f>
        <v/>
      </c>
      <c r="AQ709" t="str">
        <f>""</f>
        <v/>
      </c>
      <c r="AR709" t="str">
        <f>""</f>
        <v/>
      </c>
      <c r="AS709" t="str">
        <f>""</f>
        <v/>
      </c>
      <c r="AT709" t="str">
        <f>""</f>
        <v/>
      </c>
      <c r="AU709" t="str">
        <f>""</f>
        <v/>
      </c>
      <c r="AV709" t="str">
        <f>""</f>
        <v/>
      </c>
      <c r="AW709" t="str">
        <f>""</f>
        <v/>
      </c>
      <c r="AX709" t="str">
        <f>""</f>
        <v/>
      </c>
      <c r="AY709" t="str">
        <f>""</f>
        <v/>
      </c>
      <c r="AZ709" t="str">
        <f>""</f>
        <v/>
      </c>
      <c r="BA709" t="str">
        <f>""</f>
        <v/>
      </c>
      <c r="BB709" t="str">
        <f>""</f>
        <v/>
      </c>
      <c r="BC709" t="str">
        <f>""</f>
        <v/>
      </c>
      <c r="BD709" t="str">
        <f>""</f>
        <v/>
      </c>
      <c r="BE709" t="str">
        <f>""</f>
        <v/>
      </c>
      <c r="BF709" t="str">
        <f t="shared" si="363"/>
        <v>A</v>
      </c>
      <c r="BG709" t="str">
        <f>""</f>
        <v/>
      </c>
      <c r="BH709" t="str">
        <f>""</f>
        <v/>
      </c>
      <c r="BI709" t="str">
        <f t="shared" si="344"/>
        <v>EVENTUAL</v>
      </c>
      <c r="BJ709" t="str">
        <f t="shared" si="364"/>
        <v>1</v>
      </c>
      <c r="BK709" t="str">
        <f t="shared" si="365"/>
        <v>Farmacia</v>
      </c>
      <c r="BL709" t="str">
        <f>""</f>
        <v/>
      </c>
      <c r="BM709" t="str">
        <f>"VARILUX ESPECIALISTA PLATINE"</f>
        <v>VARILUX ESPECIALISTA PLATINE</v>
      </c>
      <c r="BN709" t="str">
        <f>"NA"</f>
        <v>NA</v>
      </c>
      <c r="BO709" t="str">
        <f>"FOCO VARILUX DIGITAL"</f>
        <v>FOCO VARILUX DIGITAL</v>
      </c>
      <c r="BP709" t="str">
        <f>""</f>
        <v/>
      </c>
      <c r="BQ709" t="str">
        <f>""</f>
        <v/>
      </c>
      <c r="BR709" t="str">
        <f>""</f>
        <v/>
      </c>
      <c r="BS709" t="str">
        <f>""</f>
        <v/>
      </c>
      <c r="BT709" t="str">
        <f>""</f>
        <v/>
      </c>
      <c r="BU709" t="str">
        <f>""</f>
        <v/>
      </c>
      <c r="BV709" t="str">
        <f>"1"</f>
        <v>1</v>
      </c>
      <c r="BW709" t="str">
        <f>"Não visitado"</f>
        <v>Não visitado</v>
      </c>
    </row>
    <row r="710" spans="1:75" x14ac:dyDescent="0.35">
      <c r="A710">
        <v>152754</v>
      </c>
      <c r="B710" t="str">
        <f t="shared" si="360"/>
        <v>A</v>
      </c>
      <c r="C710" t="str">
        <f t="shared" si="361"/>
        <v>80</v>
      </c>
      <c r="D710" t="str">
        <f t="shared" si="351"/>
        <v>11121002</v>
      </c>
      <c r="E710" t="str">
        <f t="shared" si="352"/>
        <v>121002</v>
      </c>
      <c r="F710" t="str">
        <f t="shared" si="353"/>
        <v>CINTHIA NORONHA</v>
      </c>
      <c r="G710" t="str">
        <f>"21980177000171"</f>
        <v>21980177000171</v>
      </c>
      <c r="H710" t="str">
        <f>"0"</f>
        <v>0</v>
      </c>
      <c r="I710" t="str">
        <f t="shared" si="362"/>
        <v>CONTA OPTICA</v>
      </c>
      <c r="J710" t="str">
        <f>"FTS COMERCIO DE JOIAS EIRELI"</f>
        <v>FTS COMERCIO DE JOIAS EIRELI</v>
      </c>
      <c r="K710" t="str">
        <f>"DEMITRIUS OTICA"</f>
        <v>DEMITRIUS OTICA</v>
      </c>
      <c r="L710" t="str">
        <f>""</f>
        <v/>
      </c>
      <c r="M710" t="str">
        <f>""</f>
        <v/>
      </c>
      <c r="N710" t="str">
        <f>"felipetibau@gmail.com"</f>
        <v>felipetibau@gmail.com</v>
      </c>
      <c r="O710" t="str">
        <f>""</f>
        <v/>
      </c>
      <c r="P710" t="str">
        <f>"RUA WANDERLEI JUNIOR"</f>
        <v>RUA WANDERLEI JUNIOR</v>
      </c>
      <c r="Q710" t="str">
        <f>"256"</f>
        <v>256</v>
      </c>
      <c r="R710" t="str">
        <f>"LOJA 174"</f>
        <v>LOJA 174</v>
      </c>
      <c r="S710" t="str">
        <f>"1259"</f>
        <v>1259</v>
      </c>
      <c r="T710" t="str">
        <f>"88101010"</f>
        <v>88101010</v>
      </c>
      <c r="U710" t="str">
        <f>"CAMPINAS"</f>
        <v>CAMPINAS</v>
      </c>
      <c r="V710" t="str">
        <f>"SAO JOSE"</f>
        <v>SAO JOSE</v>
      </c>
      <c r="W710" t="str">
        <f t="shared" si="354"/>
        <v>SC</v>
      </c>
      <c r="X710" t="str">
        <f>""</f>
        <v/>
      </c>
      <c r="Y710" t="str">
        <f>""</f>
        <v/>
      </c>
      <c r="Z710" t="str">
        <f>""</f>
        <v/>
      </c>
      <c r="AA710" t="str">
        <f>""</f>
        <v/>
      </c>
      <c r="AB710" t="str">
        <f>""</f>
        <v/>
      </c>
      <c r="AC710" t="str">
        <f>""</f>
        <v/>
      </c>
      <c r="AD710" t="str">
        <f>""</f>
        <v/>
      </c>
      <c r="AE710" t="str">
        <f>""</f>
        <v/>
      </c>
      <c r="AF710" t="str">
        <f>""</f>
        <v/>
      </c>
      <c r="AG710" t="str">
        <f>""</f>
        <v/>
      </c>
      <c r="AH710" t="str">
        <f>""</f>
        <v/>
      </c>
      <c r="AI710" t="str">
        <f>""</f>
        <v/>
      </c>
      <c r="AJ710" t="str">
        <f>""</f>
        <v/>
      </c>
      <c r="AK710" t="str">
        <f>""</f>
        <v/>
      </c>
      <c r="AL710" t="str">
        <f>""</f>
        <v/>
      </c>
      <c r="AM710" t="str">
        <f>""</f>
        <v/>
      </c>
      <c r="AN710" t="str">
        <f>""</f>
        <v/>
      </c>
      <c r="AO710" t="str">
        <f>""</f>
        <v/>
      </c>
      <c r="AP710" t="str">
        <f>""</f>
        <v/>
      </c>
      <c r="AQ710" t="str">
        <f>""</f>
        <v/>
      </c>
      <c r="AR710" t="str">
        <f>""</f>
        <v/>
      </c>
      <c r="AS710" t="str">
        <f>""</f>
        <v/>
      </c>
      <c r="AT710" t="str">
        <f>""</f>
        <v/>
      </c>
      <c r="AU710" t="str">
        <f>""</f>
        <v/>
      </c>
      <c r="AV710" t="str">
        <f>""</f>
        <v/>
      </c>
      <c r="AW710" t="str">
        <f>""</f>
        <v/>
      </c>
      <c r="AX710" t="str">
        <f>""</f>
        <v/>
      </c>
      <c r="AY710" t="str">
        <f>""</f>
        <v/>
      </c>
      <c r="AZ710" t="str">
        <f>""</f>
        <v/>
      </c>
      <c r="BA710" t="str">
        <f>""</f>
        <v/>
      </c>
      <c r="BB710" t="str">
        <f>"03/04/2023 13:34:29"</f>
        <v>03/04/2023 13:34:29</v>
      </c>
      <c r="BC710" t="str">
        <f>""</f>
        <v/>
      </c>
      <c r="BD710" t="str">
        <f>""</f>
        <v/>
      </c>
      <c r="BE710" t="str">
        <f>""</f>
        <v/>
      </c>
      <c r="BF710" t="str">
        <f t="shared" si="363"/>
        <v>A</v>
      </c>
      <c r="BG710" t="str">
        <f>""</f>
        <v/>
      </c>
      <c r="BH710" t="str">
        <f>""</f>
        <v/>
      </c>
      <c r="BI710" t="str">
        <f t="shared" si="344"/>
        <v>EVENTUAL</v>
      </c>
      <c r="BJ710" t="str">
        <f t="shared" si="364"/>
        <v>1</v>
      </c>
      <c r="BK710" t="str">
        <f t="shared" si="365"/>
        <v>Farmacia</v>
      </c>
      <c r="BL710" t="str">
        <f>""</f>
        <v/>
      </c>
      <c r="BM710" t="str">
        <f>""</f>
        <v/>
      </c>
      <c r="BN710" t="str">
        <f>""</f>
        <v/>
      </c>
      <c r="BO710" t="str">
        <f>""</f>
        <v/>
      </c>
      <c r="BP710" t="str">
        <f>""</f>
        <v/>
      </c>
      <c r="BQ710" t="str">
        <f>""</f>
        <v/>
      </c>
      <c r="BR710" t="str">
        <f>"03/04/2023"</f>
        <v>03/04/2023</v>
      </c>
      <c r="BS710" t="str">
        <f>""</f>
        <v/>
      </c>
      <c r="BT710" t="str">
        <f>""</f>
        <v/>
      </c>
      <c r="BU710" t="str">
        <f>""</f>
        <v/>
      </c>
      <c r="BV710" t="str">
        <f>""</f>
        <v/>
      </c>
      <c r="BW710" t="str">
        <f>"91"</f>
        <v>91</v>
      </c>
    </row>
    <row r="711" spans="1:75" x14ac:dyDescent="0.35">
      <c r="A711">
        <v>156907</v>
      </c>
      <c r="B711" t="str">
        <f t="shared" si="360"/>
        <v>A</v>
      </c>
      <c r="C711" t="str">
        <f t="shared" si="361"/>
        <v>80</v>
      </c>
      <c r="D711" t="str">
        <f t="shared" si="351"/>
        <v>11121002</v>
      </c>
      <c r="E711" t="str">
        <f t="shared" si="352"/>
        <v>121002</v>
      </c>
      <c r="F711" t="str">
        <f t="shared" si="353"/>
        <v>CINTHIA NORONHA</v>
      </c>
      <c r="G711" t="str">
        <f>"27415763000150"</f>
        <v>27415763000150</v>
      </c>
      <c r="H711" t="str">
        <f>"0"</f>
        <v>0</v>
      </c>
      <c r="I711" t="str">
        <f t="shared" si="362"/>
        <v>CONTA OPTICA</v>
      </c>
      <c r="J711" t="str">
        <f>"G2 COMERCIO DE OCULOS DE SOL LTDA"</f>
        <v>G2 COMERCIO DE OCULOS DE SOL LTDA</v>
      </c>
      <c r="K711" t="str">
        <f>"GEROR (4547)"</f>
        <v>GEROR (4547)</v>
      </c>
      <c r="L711" t="str">
        <f>""</f>
        <v/>
      </c>
      <c r="M711" t="str">
        <f>""</f>
        <v/>
      </c>
      <c r="N711" t="str">
        <f>"GRILLOBRENDOM@GMAIL.COM"</f>
        <v>GRILLOBRENDOM@GMAIL.COM</v>
      </c>
      <c r="O711" t="str">
        <f>""</f>
        <v/>
      </c>
      <c r="P711" t="str">
        <f>"JORGE ELIAS DE LUCCA"</f>
        <v>JORGE ELIAS DE LUCCA</v>
      </c>
      <c r="Q711" t="str">
        <f>"677"</f>
        <v>677</v>
      </c>
      <c r="R711" t="str">
        <f>"TERREOQ. 01"</f>
        <v>TERREOQ. 01</v>
      </c>
      <c r="S711" t="str">
        <f>"1269"</f>
        <v>1269</v>
      </c>
      <c r="T711" t="str">
        <f>"88813390"</f>
        <v>88813390</v>
      </c>
      <c r="U711" t="str">
        <f>"NOSSA SENHORA DA SALETE"</f>
        <v>NOSSA SENHORA DA SALETE</v>
      </c>
      <c r="V711" t="str">
        <f>"CRICIUMA"</f>
        <v>CRICIUMA</v>
      </c>
      <c r="W711" t="str">
        <f t="shared" si="354"/>
        <v>SC</v>
      </c>
      <c r="X711" t="str">
        <f>"48"</f>
        <v>48</v>
      </c>
      <c r="Y711" t="str">
        <f>"996197954"</f>
        <v>996197954</v>
      </c>
      <c r="Z711" t="str">
        <f>""</f>
        <v/>
      </c>
      <c r="AA711" t="str">
        <f>""</f>
        <v/>
      </c>
      <c r="AB711" t="str">
        <f>""</f>
        <v/>
      </c>
      <c r="AC711" t="str">
        <f>""</f>
        <v/>
      </c>
      <c r="AD711" t="str">
        <f>""</f>
        <v/>
      </c>
      <c r="AE711" t="str">
        <f>""</f>
        <v/>
      </c>
      <c r="AF711" t="str">
        <f>""</f>
        <v/>
      </c>
      <c r="AG711" t="str">
        <f>""</f>
        <v/>
      </c>
      <c r="AH711" t="str">
        <f>""</f>
        <v/>
      </c>
      <c r="AI711" t="str">
        <f>""</f>
        <v/>
      </c>
      <c r="AJ711" t="str">
        <f>""</f>
        <v/>
      </c>
      <c r="AK711" t="str">
        <f>""</f>
        <v/>
      </c>
      <c r="AL711" t="str">
        <f>""</f>
        <v/>
      </c>
      <c r="AM711" t="str">
        <f>""</f>
        <v/>
      </c>
      <c r="AN711" t="str">
        <f>""</f>
        <v/>
      </c>
      <c r="AO711" t="str">
        <f>""</f>
        <v/>
      </c>
      <c r="AP711" t="str">
        <f>""</f>
        <v/>
      </c>
      <c r="AQ711" t="str">
        <f>""</f>
        <v/>
      </c>
      <c r="AR711" t="str">
        <f>""</f>
        <v/>
      </c>
      <c r="AS711" t="str">
        <f>""</f>
        <v/>
      </c>
      <c r="AT711" t="str">
        <f>""</f>
        <v/>
      </c>
      <c r="AU711" t="str">
        <f>""</f>
        <v/>
      </c>
      <c r="AV711" t="str">
        <f>""</f>
        <v/>
      </c>
      <c r="AW711" t="str">
        <f>""</f>
        <v/>
      </c>
      <c r="AX711" t="str">
        <f>""</f>
        <v/>
      </c>
      <c r="AY711" t="str">
        <f>""</f>
        <v/>
      </c>
      <c r="AZ711" t="str">
        <f>""</f>
        <v/>
      </c>
      <c r="BA711" t="str">
        <f>""</f>
        <v/>
      </c>
      <c r="BB711" t="str">
        <f>"06/07/2023 12:07:48"</f>
        <v>06/07/2023 12:07:48</v>
      </c>
      <c r="BC711" t="str">
        <f>""</f>
        <v/>
      </c>
      <c r="BD711" t="str">
        <f>""</f>
        <v/>
      </c>
      <c r="BE711" t="str">
        <f>""</f>
        <v/>
      </c>
      <c r="BF711" t="str">
        <f t="shared" si="363"/>
        <v>A</v>
      </c>
      <c r="BG711" t="str">
        <f>""</f>
        <v/>
      </c>
      <c r="BH711" t="str">
        <f>""</f>
        <v/>
      </c>
      <c r="BI711" t="str">
        <f t="shared" si="344"/>
        <v>EVENTUAL</v>
      </c>
      <c r="BJ711" t="str">
        <f t="shared" si="364"/>
        <v>1</v>
      </c>
      <c r="BK711" t="str">
        <f t="shared" si="365"/>
        <v>Farmacia</v>
      </c>
      <c r="BL711" t="str">
        <f>""</f>
        <v/>
      </c>
      <c r="BM711" t="str">
        <f>""</f>
        <v/>
      </c>
      <c r="BN711" t="str">
        <f>""</f>
        <v/>
      </c>
      <c r="BO711" t="str">
        <f>""</f>
        <v/>
      </c>
      <c r="BP711" t="str">
        <f>""</f>
        <v/>
      </c>
      <c r="BQ711" t="str">
        <f>""</f>
        <v/>
      </c>
      <c r="BR711" t="str">
        <f>"06/07/2023"</f>
        <v>06/07/2023</v>
      </c>
      <c r="BS711" t="str">
        <f>""</f>
        <v/>
      </c>
      <c r="BT711" t="str">
        <f>""</f>
        <v/>
      </c>
      <c r="BU711" t="str">
        <f>""</f>
        <v/>
      </c>
      <c r="BV711" t="str">
        <f>""</f>
        <v/>
      </c>
      <c r="BW711" t="str">
        <f>"Não visitado"</f>
        <v>Não visitado</v>
      </c>
    </row>
    <row r="712" spans="1:75" x14ac:dyDescent="0.35">
      <c r="A712">
        <v>157727</v>
      </c>
      <c r="B712" t="str">
        <f t="shared" si="360"/>
        <v>A</v>
      </c>
      <c r="C712" t="str">
        <f t="shared" si="361"/>
        <v>80</v>
      </c>
      <c r="D712" t="str">
        <f t="shared" si="351"/>
        <v>11121002</v>
      </c>
      <c r="E712" t="str">
        <f t="shared" si="352"/>
        <v>121002</v>
      </c>
      <c r="F712" t="str">
        <f t="shared" si="353"/>
        <v>CINTHIA NORONHA</v>
      </c>
      <c r="G712" t="str">
        <f>"08343102000200"</f>
        <v>08343102000200</v>
      </c>
      <c r="H712" t="str">
        <f>"0"</f>
        <v>0</v>
      </c>
      <c r="I712" t="str">
        <f t="shared" si="362"/>
        <v>CONTA OPTICA</v>
      </c>
      <c r="J712" t="str">
        <f>"GENESIS JOALHERIA E OTICA LTDA ME"</f>
        <v>GENESIS JOALHERIA E OTICA LTDA ME</v>
      </c>
      <c r="K712" t="str">
        <f>"OTICA MONDADORI (1288)"</f>
        <v>OTICA MONDADORI (1288)</v>
      </c>
      <c r="L712" t="str">
        <f>""</f>
        <v/>
      </c>
      <c r="M712" t="str">
        <f>""</f>
        <v/>
      </c>
      <c r="N712" t="str">
        <f>""</f>
        <v/>
      </c>
      <c r="O712" t="str">
        <f>""</f>
        <v/>
      </c>
      <c r="P712" t="str">
        <f>"RUA CORONEL PEDRO DEMORO"</f>
        <v>RUA CORONEL PEDRO DEMORO</v>
      </c>
      <c r="Q712" t="str">
        <f>"2057"</f>
        <v>2057</v>
      </c>
      <c r="R712" t="str">
        <f>""</f>
        <v/>
      </c>
      <c r="S712" t="str">
        <f>"1258"</f>
        <v>1258</v>
      </c>
      <c r="T712" t="str">
        <f>"88075300"</f>
        <v>88075300</v>
      </c>
      <c r="U712" t="str">
        <f>"BALNEARIO"</f>
        <v>BALNEARIO</v>
      </c>
      <c r="V712" t="str">
        <f>"FLORIANOPOLIS"</f>
        <v>FLORIANOPOLIS</v>
      </c>
      <c r="W712" t="str">
        <f t="shared" si="354"/>
        <v>SC</v>
      </c>
      <c r="X712" t="str">
        <f>""</f>
        <v/>
      </c>
      <c r="Y712" t="str">
        <f>""</f>
        <v/>
      </c>
      <c r="Z712" t="str">
        <f>""</f>
        <v/>
      </c>
      <c r="AA712" t="str">
        <f>""</f>
        <v/>
      </c>
      <c r="AB712" t="str">
        <f>""</f>
        <v/>
      </c>
      <c r="AC712" t="str">
        <f>""</f>
        <v/>
      </c>
      <c r="AD712" t="str">
        <f>""</f>
        <v/>
      </c>
      <c r="AE712" t="str">
        <f>""</f>
        <v/>
      </c>
      <c r="AF712" t="str">
        <f>""</f>
        <v/>
      </c>
      <c r="AG712" t="str">
        <f>""</f>
        <v/>
      </c>
      <c r="AH712" t="str">
        <f>""</f>
        <v/>
      </c>
      <c r="AI712" t="str">
        <f>""</f>
        <v/>
      </c>
      <c r="AJ712" t="str">
        <f>""</f>
        <v/>
      </c>
      <c r="AK712" t="str">
        <f>""</f>
        <v/>
      </c>
      <c r="AL712" t="str">
        <f>""</f>
        <v/>
      </c>
      <c r="AM712" t="str">
        <f>""</f>
        <v/>
      </c>
      <c r="AN712" t="str">
        <f>""</f>
        <v/>
      </c>
      <c r="AO712" t="str">
        <f>""</f>
        <v/>
      </c>
      <c r="AP712" t="str">
        <f>""</f>
        <v/>
      </c>
      <c r="AQ712" t="str">
        <f>""</f>
        <v/>
      </c>
      <c r="AR712" t="str">
        <f>""</f>
        <v/>
      </c>
      <c r="AS712" t="str">
        <f>""</f>
        <v/>
      </c>
      <c r="AT712" t="str">
        <f>""</f>
        <v/>
      </c>
      <c r="AU712" t="str">
        <f>""</f>
        <v/>
      </c>
      <c r="AV712" t="str">
        <f>""</f>
        <v/>
      </c>
      <c r="AW712" t="str">
        <f>""</f>
        <v/>
      </c>
      <c r="AX712" t="str">
        <f>""</f>
        <v/>
      </c>
      <c r="AY712" t="str">
        <f>""</f>
        <v/>
      </c>
      <c r="AZ712" t="str">
        <f>""</f>
        <v/>
      </c>
      <c r="BA712" t="str">
        <f>""</f>
        <v/>
      </c>
      <c r="BB712" t="str">
        <f>"11/07/2023 02:19:56"</f>
        <v>11/07/2023 02:19:56</v>
      </c>
      <c r="BC712" t="str">
        <f>""</f>
        <v/>
      </c>
      <c r="BD712" t="str">
        <f>""</f>
        <v/>
      </c>
      <c r="BE712" t="str">
        <f>""</f>
        <v/>
      </c>
      <c r="BF712" t="str">
        <f t="shared" si="363"/>
        <v>A</v>
      </c>
      <c r="BG712" t="str">
        <f>""</f>
        <v/>
      </c>
      <c r="BH712" t="str">
        <f>""</f>
        <v/>
      </c>
      <c r="BI712" t="str">
        <f t="shared" si="344"/>
        <v>EVENTUAL</v>
      </c>
      <c r="BJ712" t="str">
        <f t="shared" si="364"/>
        <v>1</v>
      </c>
      <c r="BK712" t="str">
        <f t="shared" si="365"/>
        <v>Farmacia</v>
      </c>
      <c r="BL712" t="str">
        <f>""</f>
        <v/>
      </c>
      <c r="BM712" t="str">
        <f>""</f>
        <v/>
      </c>
      <c r="BN712" t="str">
        <f>""</f>
        <v/>
      </c>
      <c r="BO712" t="str">
        <f>""</f>
        <v/>
      </c>
      <c r="BP712" t="str">
        <f>""</f>
        <v/>
      </c>
      <c r="BQ712" t="str">
        <f>""</f>
        <v/>
      </c>
      <c r="BR712" t="str">
        <f>"11/07/2023"</f>
        <v>11/07/2023</v>
      </c>
      <c r="BS712" t="str">
        <f>""</f>
        <v/>
      </c>
      <c r="BT712" t="str">
        <f>""</f>
        <v/>
      </c>
      <c r="BU712" t="str">
        <f>""</f>
        <v/>
      </c>
      <c r="BV712" t="str">
        <f>""</f>
        <v/>
      </c>
      <c r="BW712" t="str">
        <f>"Não visitado"</f>
        <v>Não visitado</v>
      </c>
    </row>
    <row r="713" spans="1:75" x14ac:dyDescent="0.35">
      <c r="A713">
        <v>144395</v>
      </c>
      <c r="B713" t="str">
        <f t="shared" si="360"/>
        <v>A</v>
      </c>
      <c r="C713" t="str">
        <f t="shared" si="361"/>
        <v>80</v>
      </c>
      <c r="D713" t="str">
        <f t="shared" si="351"/>
        <v>11121002</v>
      </c>
      <c r="E713" t="str">
        <f t="shared" si="352"/>
        <v>121002</v>
      </c>
      <c r="F713" t="str">
        <f t="shared" si="353"/>
        <v>CINTHIA NORONHA</v>
      </c>
      <c r="G713" t="str">
        <f>"86301140000115"</f>
        <v>86301140000115</v>
      </c>
      <c r="H713" t="str">
        <f>""</f>
        <v/>
      </c>
      <c r="I713" t="str">
        <f t="shared" si="362"/>
        <v>CONTA OPTICA</v>
      </c>
      <c r="J713" t="str">
        <f>"GERCI FRITZEN"</f>
        <v>GERCI FRITZEN</v>
      </c>
      <c r="K713" t="str">
        <f>"GERCI FRITZEN (494)"</f>
        <v>GERCI FRITZEN (494)</v>
      </c>
      <c r="L713" t="str">
        <f>""</f>
        <v/>
      </c>
      <c r="M713" t="str">
        <f>""</f>
        <v/>
      </c>
      <c r="N713" t="str">
        <f>"vitorventurini@gmail.com"</f>
        <v>vitorventurini@gmail.com</v>
      </c>
      <c r="O713" t="str">
        <f>""</f>
        <v/>
      </c>
      <c r="P713" t="str">
        <f>"AVENIDA MUNICIPAL"</f>
        <v>AVENIDA MUNICIPAL</v>
      </c>
      <c r="Q713" t="str">
        <f>"47"</f>
        <v>47</v>
      </c>
      <c r="R713" t="str">
        <f>""</f>
        <v/>
      </c>
      <c r="S713" t="str">
        <f>"1269"</f>
        <v>1269</v>
      </c>
      <c r="T713" t="str">
        <f>"88860000"</f>
        <v>88860000</v>
      </c>
      <c r="U713" t="str">
        <f>"NAO INFORMADO"</f>
        <v>NAO INFORMADO</v>
      </c>
      <c r="V713" t="str">
        <f>"SIDERÓPOLIS"</f>
        <v>SIDERÓPOLIS</v>
      </c>
      <c r="W713" t="str">
        <f t="shared" si="354"/>
        <v>SC</v>
      </c>
      <c r="X713" t="str">
        <f>"48"</f>
        <v>48</v>
      </c>
      <c r="Y713" t="str">
        <f>"34353069"</f>
        <v>34353069</v>
      </c>
      <c r="Z713" t="str">
        <f>""</f>
        <v/>
      </c>
      <c r="AA713" t="str">
        <f>""</f>
        <v/>
      </c>
      <c r="AB713" t="str">
        <f>""</f>
        <v/>
      </c>
      <c r="AC713" t="str">
        <f>""</f>
        <v/>
      </c>
      <c r="AD713" t="str">
        <f>""</f>
        <v/>
      </c>
      <c r="AE713" t="str">
        <f>""</f>
        <v/>
      </c>
      <c r="AF713" t="str">
        <f>""</f>
        <v/>
      </c>
      <c r="AG713" t="str">
        <f>""</f>
        <v/>
      </c>
      <c r="AH713" t="str">
        <f>""</f>
        <v/>
      </c>
      <c r="AI713" t="str">
        <f>""</f>
        <v/>
      </c>
      <c r="AJ713" t="str">
        <f t="shared" ref="AJ713:AL715" si="366">"0"</f>
        <v>0</v>
      </c>
      <c r="AK713" t="str">
        <f t="shared" si="366"/>
        <v>0</v>
      </c>
      <c r="AL713" t="str">
        <f t="shared" si="366"/>
        <v>0</v>
      </c>
      <c r="AM713" t="str">
        <f>""</f>
        <v/>
      </c>
      <c r="AN713" t="str">
        <f>""</f>
        <v/>
      </c>
      <c r="AO713" t="str">
        <f>""</f>
        <v/>
      </c>
      <c r="AP713" t="str">
        <f>""</f>
        <v/>
      </c>
      <c r="AQ713" t="str">
        <f>""</f>
        <v/>
      </c>
      <c r="AR713" t="str">
        <f>""</f>
        <v/>
      </c>
      <c r="AS713" t="str">
        <f>""</f>
        <v/>
      </c>
      <c r="AT713" t="str">
        <f>""</f>
        <v/>
      </c>
      <c r="AU713" t="str">
        <f>""</f>
        <v/>
      </c>
      <c r="AV713" t="str">
        <f>""</f>
        <v/>
      </c>
      <c r="AW713" t="str">
        <f>""</f>
        <v/>
      </c>
      <c r="AX713" t="str">
        <f>""</f>
        <v/>
      </c>
      <c r="AY713" t="str">
        <f>""</f>
        <v/>
      </c>
      <c r="AZ713" t="str">
        <f>""</f>
        <v/>
      </c>
      <c r="BA713" t="str">
        <f>""</f>
        <v/>
      </c>
      <c r="BB713" t="str">
        <f>""</f>
        <v/>
      </c>
      <c r="BC713" t="str">
        <f>""</f>
        <v/>
      </c>
      <c r="BD713" t="str">
        <f>""</f>
        <v/>
      </c>
      <c r="BE713" t="str">
        <f>""</f>
        <v/>
      </c>
      <c r="BF713" t="str">
        <f t="shared" si="363"/>
        <v>A</v>
      </c>
      <c r="BG713" t="str">
        <f t="shared" ref="BG713:BH715" si="367">"0,00"</f>
        <v>0,00</v>
      </c>
      <c r="BH713" t="str">
        <f t="shared" si="367"/>
        <v>0,00</v>
      </c>
      <c r="BI713" t="str">
        <f t="shared" si="344"/>
        <v>EVENTUAL</v>
      </c>
      <c r="BJ713" t="str">
        <f t="shared" si="364"/>
        <v>1</v>
      </c>
      <c r="BK713" t="str">
        <f t="shared" si="365"/>
        <v>Farmacia</v>
      </c>
      <c r="BL713" t="str">
        <f>""</f>
        <v/>
      </c>
      <c r="BM713" t="str">
        <f>"NÃO É VARILUX ESPECIALISTA"</f>
        <v>NÃO É VARILUX ESPECIALISTA</v>
      </c>
      <c r="BN713" t="str">
        <f>"NA"</f>
        <v>NA</v>
      </c>
      <c r="BO713" t="str">
        <f>"FOCO VARILUX"</f>
        <v>FOCO VARILUX</v>
      </c>
      <c r="BP713" t="str">
        <f>""</f>
        <v/>
      </c>
      <c r="BQ713" t="str">
        <f>""</f>
        <v/>
      </c>
      <c r="BR713" t="str">
        <f>""</f>
        <v/>
      </c>
      <c r="BS713" t="str">
        <f>""</f>
        <v/>
      </c>
      <c r="BT713" t="str">
        <f>""</f>
        <v/>
      </c>
      <c r="BU713" t="str">
        <f>""</f>
        <v/>
      </c>
      <c r="BV713" t="str">
        <f>"9"</f>
        <v>9</v>
      </c>
      <c r="BW713" t="str">
        <f>"177"</f>
        <v>177</v>
      </c>
    </row>
    <row r="714" spans="1:75" x14ac:dyDescent="0.35">
      <c r="A714">
        <v>134280</v>
      </c>
      <c r="B714" t="str">
        <f t="shared" si="360"/>
        <v>A</v>
      </c>
      <c r="C714" t="str">
        <f t="shared" si="361"/>
        <v>80</v>
      </c>
      <c r="D714" t="str">
        <f t="shared" si="351"/>
        <v>11121002</v>
      </c>
      <c r="E714" t="str">
        <f t="shared" si="352"/>
        <v>121002</v>
      </c>
      <c r="F714" t="str">
        <f t="shared" si="353"/>
        <v>CINTHIA NORONHA</v>
      </c>
      <c r="G714" t="str">
        <f>"80484694000119"</f>
        <v>80484694000119</v>
      </c>
      <c r="H714" t="str">
        <f>""</f>
        <v/>
      </c>
      <c r="I714" t="str">
        <f t="shared" si="362"/>
        <v>CONTA OPTICA</v>
      </c>
      <c r="J714" t="str">
        <f>"GERVASIO TADEU CORDEIRO ME"</f>
        <v>GERVASIO TADEU CORDEIRO ME</v>
      </c>
      <c r="K714" t="str">
        <f>"CORDEIRO (290)"</f>
        <v>CORDEIRO (290)</v>
      </c>
      <c r="L714" t="str">
        <f>""</f>
        <v/>
      </c>
      <c r="M714" t="str">
        <f>""</f>
        <v/>
      </c>
      <c r="N714" t="str">
        <f>"relojoaria@oticacordeiro.com.br"</f>
        <v>relojoaria@oticacordeiro.com.br</v>
      </c>
      <c r="O714" t="str">
        <f>""</f>
        <v/>
      </c>
      <c r="P714" t="str">
        <f>"RUA MAJOR J.A. DE CAMPOS"</f>
        <v>RUA MAJOR J.A. DE CAMPOS</v>
      </c>
      <c r="Q714" t="str">
        <f>"6008"</f>
        <v>6008</v>
      </c>
      <c r="R714" t="str">
        <f>"SL 4"</f>
        <v>SL 4</v>
      </c>
      <c r="S714" t="str">
        <f>"1259"</f>
        <v>1259</v>
      </c>
      <c r="T714" t="str">
        <f>"88140000"</f>
        <v>88140000</v>
      </c>
      <c r="U714" t="str">
        <f t="shared" ref="U714:U719" si="368">"CENTRO"</f>
        <v>CENTRO</v>
      </c>
      <c r="V714" t="str">
        <f>"SANTO AMARO DA IMPERATRIZ"</f>
        <v>SANTO AMARO DA IMPERATRIZ</v>
      </c>
      <c r="W714" t="str">
        <f t="shared" si="354"/>
        <v>SC</v>
      </c>
      <c r="X714" t="str">
        <f>"48"</f>
        <v>48</v>
      </c>
      <c r="Y714" t="str">
        <f>"32451559"</f>
        <v>32451559</v>
      </c>
      <c r="Z714" t="str">
        <f>""</f>
        <v/>
      </c>
      <c r="AA714" t="str">
        <f>""</f>
        <v/>
      </c>
      <c r="AB714" t="str">
        <f>""</f>
        <v/>
      </c>
      <c r="AC714" t="str">
        <f>""</f>
        <v/>
      </c>
      <c r="AD714" t="str">
        <f>""</f>
        <v/>
      </c>
      <c r="AE714" t="str">
        <f>""</f>
        <v/>
      </c>
      <c r="AF714" t="str">
        <f>""</f>
        <v/>
      </c>
      <c r="AG714" t="str">
        <f>"S"</f>
        <v>S</v>
      </c>
      <c r="AH714" t="str">
        <f>""</f>
        <v/>
      </c>
      <c r="AI714" t="str">
        <f>""</f>
        <v/>
      </c>
      <c r="AJ714" t="str">
        <f t="shared" si="366"/>
        <v>0</v>
      </c>
      <c r="AK714" t="str">
        <f t="shared" si="366"/>
        <v>0</v>
      </c>
      <c r="AL714" t="str">
        <f t="shared" si="366"/>
        <v>0</v>
      </c>
      <c r="AM714" t="str">
        <f>""</f>
        <v/>
      </c>
      <c r="AN714" t="str">
        <f>""</f>
        <v/>
      </c>
      <c r="AO714" t="str">
        <f>""</f>
        <v/>
      </c>
      <c r="AP714" t="str">
        <f>""</f>
        <v/>
      </c>
      <c r="AQ714" t="str">
        <f>"N"</f>
        <v>N</v>
      </c>
      <c r="AR714" t="str">
        <f>"N"</f>
        <v>N</v>
      </c>
      <c r="AS714" t="str">
        <f>"N"</f>
        <v>N</v>
      </c>
      <c r="AT714" t="str">
        <f>"N"</f>
        <v>N</v>
      </c>
      <c r="AU714" t="str">
        <f>"N"</f>
        <v>N</v>
      </c>
      <c r="AV714" t="str">
        <f>""</f>
        <v/>
      </c>
      <c r="AW714" t="str">
        <f>""</f>
        <v/>
      </c>
      <c r="AX714" t="str">
        <f>""</f>
        <v/>
      </c>
      <c r="AY714" t="str">
        <f>""</f>
        <v/>
      </c>
      <c r="AZ714" t="str">
        <f>""</f>
        <v/>
      </c>
      <c r="BA714" t="str">
        <f>""</f>
        <v/>
      </c>
      <c r="BB714" t="str">
        <f>""</f>
        <v/>
      </c>
      <c r="BC714" t="str">
        <f>"05/05/2022 09:00:20"</f>
        <v>05/05/2022 09:00:20</v>
      </c>
      <c r="BD714" t="str">
        <f>""</f>
        <v/>
      </c>
      <c r="BE714" t="str">
        <f>""</f>
        <v/>
      </c>
      <c r="BF714" t="str">
        <f t="shared" si="363"/>
        <v>A</v>
      </c>
      <c r="BG714" t="str">
        <f t="shared" si="367"/>
        <v>0,00</v>
      </c>
      <c r="BH714" t="str">
        <f t="shared" si="367"/>
        <v>0,00</v>
      </c>
      <c r="BI714" t="str">
        <f t="shared" si="344"/>
        <v>EVENTUAL</v>
      </c>
      <c r="BJ714" t="str">
        <f t="shared" si="364"/>
        <v>1</v>
      </c>
      <c r="BK714" t="str">
        <f t="shared" si="365"/>
        <v>Farmacia</v>
      </c>
      <c r="BL714" t="str">
        <f>""</f>
        <v/>
      </c>
      <c r="BM714" t="str">
        <f>"VARILUX ESPECIALISTA SELECT"</f>
        <v>VARILUX ESPECIALISTA SELECT</v>
      </c>
      <c r="BN714" t="str">
        <f>"NA"</f>
        <v>NA</v>
      </c>
      <c r="BO714" t="str">
        <f>"FOCO VARILUX DIGITAL"</f>
        <v>FOCO VARILUX DIGITAL</v>
      </c>
      <c r="BP714" t="str">
        <f>""</f>
        <v/>
      </c>
      <c r="BQ714" t="str">
        <f>""</f>
        <v/>
      </c>
      <c r="BR714" t="str">
        <f>""</f>
        <v/>
      </c>
      <c r="BS714" t="str">
        <f>"05/05/2022"</f>
        <v>05/05/2022</v>
      </c>
      <c r="BT714" t="str">
        <f>""</f>
        <v/>
      </c>
      <c r="BU714" t="str">
        <f>""</f>
        <v/>
      </c>
      <c r="BV714" t="str">
        <f>"1"</f>
        <v>1</v>
      </c>
      <c r="BW714" t="str">
        <f>"4"</f>
        <v>4</v>
      </c>
    </row>
    <row r="715" spans="1:75" x14ac:dyDescent="0.35">
      <c r="A715">
        <v>134302</v>
      </c>
      <c r="B715" t="str">
        <f t="shared" si="360"/>
        <v>A</v>
      </c>
      <c r="C715" t="str">
        <f t="shared" si="361"/>
        <v>80</v>
      </c>
      <c r="D715" t="str">
        <f t="shared" si="351"/>
        <v>11121002</v>
      </c>
      <c r="E715" t="str">
        <f t="shared" si="352"/>
        <v>121002</v>
      </c>
      <c r="F715" t="str">
        <f t="shared" si="353"/>
        <v>CINTHIA NORONHA</v>
      </c>
      <c r="G715" t="str">
        <f>"29289776000155"</f>
        <v>29289776000155</v>
      </c>
      <c r="H715" t="str">
        <f>""</f>
        <v/>
      </c>
      <c r="I715" t="str">
        <f t="shared" si="362"/>
        <v>CONTA OPTICA</v>
      </c>
      <c r="J715" t="str">
        <f>"GESIELE DE LIZ VARGAS"</f>
        <v>GESIELE DE LIZ VARGAS</v>
      </c>
      <c r="K715" t="str">
        <f>"OPTICA OLIVER (3885)"</f>
        <v>OPTICA OLIVER (3885)</v>
      </c>
      <c r="L715" t="str">
        <f>""</f>
        <v/>
      </c>
      <c r="M715" t="str">
        <f>""</f>
        <v/>
      </c>
      <c r="N715" t="str">
        <f>"gesielevargas298@gmail.com"</f>
        <v>gesielevargas298@gmail.com</v>
      </c>
      <c r="O715" t="str">
        <f>""</f>
        <v/>
      </c>
      <c r="P715" t="str">
        <f>"RUA PRESIDENTE NEREU RAMOS"</f>
        <v>RUA PRESIDENTE NEREU RAMOS</v>
      </c>
      <c r="Q715" t="str">
        <f>"303"</f>
        <v>303</v>
      </c>
      <c r="R715" t="str">
        <f>"SALA 21"</f>
        <v>SALA 21</v>
      </c>
      <c r="S715" t="str">
        <f>"1266"</f>
        <v>1266</v>
      </c>
      <c r="T715" t="str">
        <f>"88502170"</f>
        <v>88502170</v>
      </c>
      <c r="U715" t="str">
        <f t="shared" si="368"/>
        <v>CENTRO</v>
      </c>
      <c r="V715" t="str">
        <f>"LAGES"</f>
        <v>LAGES</v>
      </c>
      <c r="W715" t="str">
        <f t="shared" si="354"/>
        <v>SC</v>
      </c>
      <c r="X715" t="str">
        <f>"49"</f>
        <v>49</v>
      </c>
      <c r="Y715" t="str">
        <f>"998320832"</f>
        <v>998320832</v>
      </c>
      <c r="Z715" t="str">
        <f>""</f>
        <v/>
      </c>
      <c r="AA715" t="str">
        <f>""</f>
        <v/>
      </c>
      <c r="AB715" t="str">
        <f>""</f>
        <v/>
      </c>
      <c r="AC715" t="str">
        <f>""</f>
        <v/>
      </c>
      <c r="AD715" t="str">
        <f>""</f>
        <v/>
      </c>
      <c r="AE715" t="str">
        <f>""</f>
        <v/>
      </c>
      <c r="AF715" t="str">
        <f>""</f>
        <v/>
      </c>
      <c r="AG715" t="str">
        <f>""</f>
        <v/>
      </c>
      <c r="AH715" t="str">
        <f>""</f>
        <v/>
      </c>
      <c r="AI715" t="str">
        <f>""</f>
        <v/>
      </c>
      <c r="AJ715" t="str">
        <f t="shared" si="366"/>
        <v>0</v>
      </c>
      <c r="AK715" t="str">
        <f t="shared" si="366"/>
        <v>0</v>
      </c>
      <c r="AL715" t="str">
        <f t="shared" si="366"/>
        <v>0</v>
      </c>
      <c r="AM715" t="str">
        <f>""</f>
        <v/>
      </c>
      <c r="AN715" t="str">
        <f>""</f>
        <v/>
      </c>
      <c r="AO715" t="str">
        <f>""</f>
        <v/>
      </c>
      <c r="AP715" t="str">
        <f>""</f>
        <v/>
      </c>
      <c r="AQ715" t="str">
        <f>""</f>
        <v/>
      </c>
      <c r="AR715" t="str">
        <f>""</f>
        <v/>
      </c>
      <c r="AS715" t="str">
        <f>""</f>
        <v/>
      </c>
      <c r="AT715" t="str">
        <f>""</f>
        <v/>
      </c>
      <c r="AU715" t="str">
        <f>""</f>
        <v/>
      </c>
      <c r="AV715" t="str">
        <f>""</f>
        <v/>
      </c>
      <c r="AW715" t="str">
        <f>""</f>
        <v/>
      </c>
      <c r="AX715" t="str">
        <f>""</f>
        <v/>
      </c>
      <c r="AY715" t="str">
        <f>""</f>
        <v/>
      </c>
      <c r="AZ715" t="str">
        <f>""</f>
        <v/>
      </c>
      <c r="BA715" t="str">
        <f>""</f>
        <v/>
      </c>
      <c r="BB715" t="str">
        <f>""</f>
        <v/>
      </c>
      <c r="BC715" t="str">
        <f>""</f>
        <v/>
      </c>
      <c r="BD715" t="str">
        <f>""</f>
        <v/>
      </c>
      <c r="BE715" t="str">
        <f>""</f>
        <v/>
      </c>
      <c r="BF715" t="str">
        <f t="shared" si="363"/>
        <v>A</v>
      </c>
      <c r="BG715" t="str">
        <f t="shared" si="367"/>
        <v>0,00</v>
      </c>
      <c r="BH715" t="str">
        <f t="shared" si="367"/>
        <v>0,00</v>
      </c>
      <c r="BI715" t="str">
        <f t="shared" si="344"/>
        <v>EVENTUAL</v>
      </c>
      <c r="BJ715" t="str">
        <f t="shared" si="364"/>
        <v>1</v>
      </c>
      <c r="BK715" t="str">
        <f t="shared" si="365"/>
        <v>Farmacia</v>
      </c>
      <c r="BL715" t="str">
        <f>""</f>
        <v/>
      </c>
      <c r="BM715" t="str">
        <f>"NÃO É VARILUX ESPECIALISTA"</f>
        <v>NÃO É VARILUX ESPECIALISTA</v>
      </c>
      <c r="BN715" t="str">
        <f>"NA"</f>
        <v>NA</v>
      </c>
      <c r="BO715" t="str">
        <f>"OUTROS"</f>
        <v>OUTROS</v>
      </c>
      <c r="BP715" t="str">
        <f>""</f>
        <v/>
      </c>
      <c r="BQ715" t="str">
        <f>""</f>
        <v/>
      </c>
      <c r="BR715" t="str">
        <f>""</f>
        <v/>
      </c>
      <c r="BS715" t="str">
        <f>""</f>
        <v/>
      </c>
      <c r="BT715" t="str">
        <f>""</f>
        <v/>
      </c>
      <c r="BU715" t="str">
        <f>""</f>
        <v/>
      </c>
      <c r="BV715" t="str">
        <f>"4"</f>
        <v>4</v>
      </c>
      <c r="BW715" t="str">
        <f>"847"</f>
        <v>847</v>
      </c>
    </row>
    <row r="716" spans="1:75" x14ac:dyDescent="0.35">
      <c r="A716">
        <v>157604</v>
      </c>
      <c r="B716" t="str">
        <f t="shared" si="360"/>
        <v>A</v>
      </c>
      <c r="C716" t="str">
        <f t="shared" si="361"/>
        <v>80</v>
      </c>
      <c r="D716" t="str">
        <f t="shared" si="351"/>
        <v>11121002</v>
      </c>
      <c r="E716" t="str">
        <f t="shared" si="352"/>
        <v>121002</v>
      </c>
      <c r="F716" t="str">
        <f t="shared" si="353"/>
        <v>CINTHIA NORONHA</v>
      </c>
      <c r="G716" t="str">
        <f>"49422059000167"</f>
        <v>49422059000167</v>
      </c>
      <c r="H716" t="str">
        <f>"0"</f>
        <v>0</v>
      </c>
      <c r="I716" t="str">
        <f t="shared" si="362"/>
        <v>CONTA OPTICA</v>
      </c>
      <c r="J716" t="str">
        <f>"GGM OPTICAL LTDA"</f>
        <v>GGM OPTICAL LTDA</v>
      </c>
      <c r="K716" t="str">
        <f>"OTICAS MORIGUTI (4636)"</f>
        <v>OTICAS MORIGUTI (4636)</v>
      </c>
      <c r="L716" t="str">
        <f>""</f>
        <v/>
      </c>
      <c r="M716" t="str">
        <f>""</f>
        <v/>
      </c>
      <c r="N716" t="str">
        <f>"PAULO.MORIGUTI@OTICASMORIGUTI.COM.BR"</f>
        <v>PAULO.MORIGUTI@OTICASMORIGUTI.COM.BR</v>
      </c>
      <c r="O716" t="str">
        <f>""</f>
        <v/>
      </c>
      <c r="P716" t="str">
        <f>"TROMPOWSKI"</f>
        <v>TROMPOWSKI</v>
      </c>
      <c r="Q716" t="str">
        <f>"354"</f>
        <v>354</v>
      </c>
      <c r="R716" t="str">
        <f>"SALA 502 BOX 09"</f>
        <v>SALA 502 BOX 09</v>
      </c>
      <c r="S716" t="str">
        <f>""</f>
        <v/>
      </c>
      <c r="T716" t="str">
        <f>"88015300"</f>
        <v>88015300</v>
      </c>
      <c r="U716" t="str">
        <f t="shared" si="368"/>
        <v>CENTRO</v>
      </c>
      <c r="V716" t="str">
        <f>"FLORIANOPOLIS"</f>
        <v>FLORIANOPOLIS</v>
      </c>
      <c r="W716" t="str">
        <f t="shared" si="354"/>
        <v>SC</v>
      </c>
      <c r="X716" t="str">
        <f>"48"</f>
        <v>48</v>
      </c>
      <c r="Y716" t="str">
        <f>"991497761"</f>
        <v>991497761</v>
      </c>
      <c r="Z716" t="str">
        <f>""</f>
        <v/>
      </c>
      <c r="AA716" t="str">
        <f>""</f>
        <v/>
      </c>
      <c r="AB716" t="str">
        <f>""</f>
        <v/>
      </c>
      <c r="AC716" t="str">
        <f>""</f>
        <v/>
      </c>
      <c r="AD716" t="str">
        <f>""</f>
        <v/>
      </c>
      <c r="AE716" t="str">
        <f>""</f>
        <v/>
      </c>
      <c r="AF716" t="str">
        <f>""</f>
        <v/>
      </c>
      <c r="AG716" t="str">
        <f>""</f>
        <v/>
      </c>
      <c r="AH716" t="str">
        <f>""</f>
        <v/>
      </c>
      <c r="AI716" t="str">
        <f>""</f>
        <v/>
      </c>
      <c r="AJ716" t="str">
        <f>""</f>
        <v/>
      </c>
      <c r="AK716" t="str">
        <f>""</f>
        <v/>
      </c>
      <c r="AL716" t="str">
        <f>""</f>
        <v/>
      </c>
      <c r="AM716" t="str">
        <f>""</f>
        <v/>
      </c>
      <c r="AN716" t="str">
        <f>""</f>
        <v/>
      </c>
      <c r="AO716" t="str">
        <f>""</f>
        <v/>
      </c>
      <c r="AP716" t="str">
        <f>""</f>
        <v/>
      </c>
      <c r="AQ716" t="str">
        <f>""</f>
        <v/>
      </c>
      <c r="AR716" t="str">
        <f>""</f>
        <v/>
      </c>
      <c r="AS716" t="str">
        <f>""</f>
        <v/>
      </c>
      <c r="AT716" t="str">
        <f>""</f>
        <v/>
      </c>
      <c r="AU716" t="str">
        <f>""</f>
        <v/>
      </c>
      <c r="AV716" t="str">
        <f>""</f>
        <v/>
      </c>
      <c r="AW716" t="str">
        <f>""</f>
        <v/>
      </c>
      <c r="AX716" t="str">
        <f>""</f>
        <v/>
      </c>
      <c r="AY716" t="str">
        <f>""</f>
        <v/>
      </c>
      <c r="AZ716" t="str">
        <f>""</f>
        <v/>
      </c>
      <c r="BA716" t="str">
        <f>""</f>
        <v/>
      </c>
      <c r="BB716" t="str">
        <f>"11/07/2023 02:19:56"</f>
        <v>11/07/2023 02:19:56</v>
      </c>
      <c r="BC716" t="str">
        <f>""</f>
        <v/>
      </c>
      <c r="BD716" t="str">
        <f>""</f>
        <v/>
      </c>
      <c r="BE716" t="str">
        <f>""</f>
        <v/>
      </c>
      <c r="BF716" t="str">
        <f t="shared" si="363"/>
        <v>A</v>
      </c>
      <c r="BG716" t="str">
        <f>""</f>
        <v/>
      </c>
      <c r="BH716" t="str">
        <f>""</f>
        <v/>
      </c>
      <c r="BI716" t="str">
        <f t="shared" si="344"/>
        <v>EVENTUAL</v>
      </c>
      <c r="BJ716" t="str">
        <f t="shared" si="364"/>
        <v>1</v>
      </c>
      <c r="BK716" t="str">
        <f t="shared" si="365"/>
        <v>Farmacia</v>
      </c>
      <c r="BL716" t="str">
        <f>""</f>
        <v/>
      </c>
      <c r="BM716" t="str">
        <f>""</f>
        <v/>
      </c>
      <c r="BN716" t="str">
        <f>""</f>
        <v/>
      </c>
      <c r="BO716" t="str">
        <f>""</f>
        <v/>
      </c>
      <c r="BP716" t="str">
        <f>""</f>
        <v/>
      </c>
      <c r="BQ716" t="str">
        <f>""</f>
        <v/>
      </c>
      <c r="BR716" t="str">
        <f>"11/07/2023"</f>
        <v>11/07/2023</v>
      </c>
      <c r="BS716" t="str">
        <f>""</f>
        <v/>
      </c>
      <c r="BT716" t="str">
        <f>""</f>
        <v/>
      </c>
      <c r="BU716" t="str">
        <f>""</f>
        <v/>
      </c>
      <c r="BV716" t="str">
        <f>""</f>
        <v/>
      </c>
      <c r="BW716" t="str">
        <f>"107"</f>
        <v>107</v>
      </c>
    </row>
    <row r="717" spans="1:75" x14ac:dyDescent="0.35">
      <c r="A717">
        <v>144553</v>
      </c>
      <c r="B717" t="str">
        <f t="shared" si="360"/>
        <v>A</v>
      </c>
      <c r="C717" t="str">
        <f t="shared" si="361"/>
        <v>80</v>
      </c>
      <c r="D717" t="str">
        <f t="shared" si="351"/>
        <v>11121002</v>
      </c>
      <c r="E717" t="str">
        <f t="shared" si="352"/>
        <v>121002</v>
      </c>
      <c r="F717" t="str">
        <f t="shared" si="353"/>
        <v>CINTHIA NORONHA</v>
      </c>
      <c r="G717" t="str">
        <f>"80484678000126"</f>
        <v>80484678000126</v>
      </c>
      <c r="H717" t="str">
        <f>""</f>
        <v/>
      </c>
      <c r="I717" t="str">
        <f t="shared" si="362"/>
        <v>CONTA OPTICA</v>
      </c>
      <c r="J717" t="str">
        <f>"GISDANY ARTEFATOS DE METAIS"</f>
        <v>GISDANY ARTEFATOS DE METAIS</v>
      </c>
      <c r="K717" t="str">
        <f>"GISDANY ARTEFATOS DE METAIS (2294)"</f>
        <v>GISDANY ARTEFATOS DE METAIS (2294)</v>
      </c>
      <c r="L717" t="str">
        <f>""</f>
        <v/>
      </c>
      <c r="M717" t="str">
        <f>""</f>
        <v/>
      </c>
      <c r="N717" t="str">
        <f>"gisdany@gisdany.com.br"</f>
        <v>gisdany@gisdany.com.br</v>
      </c>
      <c r="O717" t="str">
        <f>""</f>
        <v/>
      </c>
      <c r="P717" t="str">
        <f>"RUA GETULIO VARGAS"</f>
        <v>RUA GETULIO VARGAS</v>
      </c>
      <c r="Q717" t="str">
        <f>"175"</f>
        <v>175</v>
      </c>
      <c r="R717" t="str">
        <f>""</f>
        <v/>
      </c>
      <c r="S717" t="str">
        <f>"1269"</f>
        <v>1269</v>
      </c>
      <c r="T717" t="str">
        <f>"88801500"</f>
        <v>88801500</v>
      </c>
      <c r="U717" t="str">
        <f t="shared" si="368"/>
        <v>CENTRO</v>
      </c>
      <c r="V717" t="str">
        <f>"CRICIÚMA"</f>
        <v>CRICIÚMA</v>
      </c>
      <c r="W717" t="str">
        <f t="shared" si="354"/>
        <v>SC</v>
      </c>
      <c r="X717" t="str">
        <f>"48"</f>
        <v>48</v>
      </c>
      <c r="Y717" t="str">
        <f>"34336156"</f>
        <v>34336156</v>
      </c>
      <c r="Z717" t="str">
        <f>""</f>
        <v/>
      </c>
      <c r="AA717" t="str">
        <f>""</f>
        <v/>
      </c>
      <c r="AB717" t="str">
        <f>""</f>
        <v/>
      </c>
      <c r="AC717" t="str">
        <f>""</f>
        <v/>
      </c>
      <c r="AD717" t="str">
        <f>""</f>
        <v/>
      </c>
      <c r="AE717" t="str">
        <f>""</f>
        <v/>
      </c>
      <c r="AF717" t="str">
        <f>""</f>
        <v/>
      </c>
      <c r="AG717" t="str">
        <f>""</f>
        <v/>
      </c>
      <c r="AH717" t="str">
        <f>""</f>
        <v/>
      </c>
      <c r="AI717" t="str">
        <f>""</f>
        <v/>
      </c>
      <c r="AJ717" t="str">
        <f t="shared" ref="AJ717:AL718" si="369">"0"</f>
        <v>0</v>
      </c>
      <c r="AK717" t="str">
        <f t="shared" si="369"/>
        <v>0</v>
      </c>
      <c r="AL717" t="str">
        <f t="shared" si="369"/>
        <v>0</v>
      </c>
      <c r="AM717" t="str">
        <f>""</f>
        <v/>
      </c>
      <c r="AN717" t="str">
        <f>""</f>
        <v/>
      </c>
      <c r="AO717" t="str">
        <f>""</f>
        <v/>
      </c>
      <c r="AP717" t="str">
        <f>""</f>
        <v/>
      </c>
      <c r="AQ717" t="str">
        <f>""</f>
        <v/>
      </c>
      <c r="AR717" t="str">
        <f>""</f>
        <v/>
      </c>
      <c r="AS717" t="str">
        <f>""</f>
        <v/>
      </c>
      <c r="AT717" t="str">
        <f>""</f>
        <v/>
      </c>
      <c r="AU717" t="str">
        <f>""</f>
        <v/>
      </c>
      <c r="AV717" t="str">
        <f>""</f>
        <v/>
      </c>
      <c r="AW717" t="str">
        <f>""</f>
        <v/>
      </c>
      <c r="AX717" t="str">
        <f>""</f>
        <v/>
      </c>
      <c r="AY717" t="str">
        <f>""</f>
        <v/>
      </c>
      <c r="AZ717" t="str">
        <f>""</f>
        <v/>
      </c>
      <c r="BA717" t="str">
        <f>""</f>
        <v/>
      </c>
      <c r="BB717" t="str">
        <f>""</f>
        <v/>
      </c>
      <c r="BC717" t="str">
        <f>""</f>
        <v/>
      </c>
      <c r="BD717" t="str">
        <f>""</f>
        <v/>
      </c>
      <c r="BE717" t="str">
        <f>""</f>
        <v/>
      </c>
      <c r="BF717" t="str">
        <f t="shared" si="363"/>
        <v>A</v>
      </c>
      <c r="BG717" t="str">
        <f>"0,00"</f>
        <v>0,00</v>
      </c>
      <c r="BH717" t="str">
        <f>"0,00"</f>
        <v>0,00</v>
      </c>
      <c r="BI717" t="str">
        <f t="shared" si="344"/>
        <v>EVENTUAL</v>
      </c>
      <c r="BJ717" t="str">
        <f t="shared" si="364"/>
        <v>1</v>
      </c>
      <c r="BK717" t="str">
        <f t="shared" si="365"/>
        <v>Farmacia</v>
      </c>
      <c r="BL717" t="str">
        <f>""</f>
        <v/>
      </c>
      <c r="BM717" t="str">
        <f>"NÃO É VARILUX ESPECIALISTA"</f>
        <v>NÃO É VARILUX ESPECIALISTA</v>
      </c>
      <c r="BN717" t="str">
        <f>"EL360"</f>
        <v>EL360</v>
      </c>
      <c r="BO717" t="str">
        <f>"FOCO VARILUX"</f>
        <v>FOCO VARILUX</v>
      </c>
      <c r="BP717" t="str">
        <f>""</f>
        <v/>
      </c>
      <c r="BQ717" t="str">
        <f>""</f>
        <v/>
      </c>
      <c r="BR717" t="str">
        <f>""</f>
        <v/>
      </c>
      <c r="BS717" t="str">
        <f>""</f>
        <v/>
      </c>
      <c r="BT717" t="str">
        <f>""</f>
        <v/>
      </c>
      <c r="BU717" t="str">
        <f>""</f>
        <v/>
      </c>
      <c r="BV717" t="str">
        <f>"9"</f>
        <v>9</v>
      </c>
      <c r="BW717" t="str">
        <f>"1"</f>
        <v>1</v>
      </c>
    </row>
    <row r="718" spans="1:75" x14ac:dyDescent="0.35">
      <c r="A718">
        <v>134321</v>
      </c>
      <c r="B718" t="str">
        <f t="shared" si="360"/>
        <v>A</v>
      </c>
      <c r="C718" t="str">
        <f t="shared" si="361"/>
        <v>80</v>
      </c>
      <c r="D718" t="str">
        <f t="shared" si="351"/>
        <v>11121002</v>
      </c>
      <c r="E718" t="str">
        <f t="shared" si="352"/>
        <v>121002</v>
      </c>
      <c r="F718" t="str">
        <f t="shared" si="353"/>
        <v>CINTHIA NORONHA</v>
      </c>
      <c r="G718" t="str">
        <f>"25216869000107"</f>
        <v>25216869000107</v>
      </c>
      <c r="H718" t="str">
        <f>""</f>
        <v/>
      </c>
      <c r="I718" t="str">
        <f t="shared" si="362"/>
        <v>CONTA OPTICA</v>
      </c>
      <c r="J718" t="str">
        <f>"GISELI PELEGRINI FERNANDES"</f>
        <v>GISELI PELEGRINI FERNANDES</v>
      </c>
      <c r="K718" t="str">
        <f>"JOALHERIA E OTICA EDUARDO (3996)"</f>
        <v>JOALHERIA E OTICA EDUARDO (3996)</v>
      </c>
      <c r="L718" t="str">
        <f>""</f>
        <v/>
      </c>
      <c r="M718" t="str">
        <f>""</f>
        <v/>
      </c>
      <c r="N718" t="str">
        <f>"vvinicius_silvaa@hotmail.com"</f>
        <v>vvinicius_silvaa@hotmail.com</v>
      </c>
      <c r="O718" t="str">
        <f>""</f>
        <v/>
      </c>
      <c r="P718" t="str">
        <f>"RUA FELIPE SCHMIDT"</f>
        <v>RUA FELIPE SCHMIDT</v>
      </c>
      <c r="Q718" t="str">
        <f>"249"</f>
        <v>249</v>
      </c>
      <c r="R718" t="str">
        <f>"SALA 109"</f>
        <v>SALA 109</v>
      </c>
      <c r="S718" t="str">
        <f>"1254"</f>
        <v>1254</v>
      </c>
      <c r="T718" t="str">
        <f>"88010001"</f>
        <v>88010001</v>
      </c>
      <c r="U718" t="str">
        <f t="shared" si="368"/>
        <v>CENTRO</v>
      </c>
      <c r="V718" t="str">
        <f>"FLORIANOPOLIS"</f>
        <v>FLORIANOPOLIS</v>
      </c>
      <c r="W718" t="str">
        <f t="shared" si="354"/>
        <v>SC</v>
      </c>
      <c r="X718" t="str">
        <f>"48"</f>
        <v>48</v>
      </c>
      <c r="Y718" t="str">
        <f>"30283088"</f>
        <v>30283088</v>
      </c>
      <c r="Z718" t="str">
        <f>""</f>
        <v/>
      </c>
      <c r="AA718" t="str">
        <f>""</f>
        <v/>
      </c>
      <c r="AB718" t="str">
        <f>""</f>
        <v/>
      </c>
      <c r="AC718" t="str">
        <f>""</f>
        <v/>
      </c>
      <c r="AD718" t="str">
        <f>""</f>
        <v/>
      </c>
      <c r="AE718" t="str">
        <f>""</f>
        <v/>
      </c>
      <c r="AF718" t="str">
        <f>""</f>
        <v/>
      </c>
      <c r="AG718" t="str">
        <f>""</f>
        <v/>
      </c>
      <c r="AH718" t="str">
        <f>""</f>
        <v/>
      </c>
      <c r="AI718" t="str">
        <f>""</f>
        <v/>
      </c>
      <c r="AJ718" t="str">
        <f t="shared" si="369"/>
        <v>0</v>
      </c>
      <c r="AK718" t="str">
        <f t="shared" si="369"/>
        <v>0</v>
      </c>
      <c r="AL718" t="str">
        <f t="shared" si="369"/>
        <v>0</v>
      </c>
      <c r="AM718" t="str">
        <f>""</f>
        <v/>
      </c>
      <c r="AN718" t="str">
        <f>""</f>
        <v/>
      </c>
      <c r="AO718" t="str">
        <f>""</f>
        <v/>
      </c>
      <c r="AP718" t="str">
        <f>""</f>
        <v/>
      </c>
      <c r="AQ718" t="str">
        <f>""</f>
        <v/>
      </c>
      <c r="AR718" t="str">
        <f>""</f>
        <v/>
      </c>
      <c r="AS718" t="str">
        <f>""</f>
        <v/>
      </c>
      <c r="AT718" t="str">
        <f>""</f>
        <v/>
      </c>
      <c r="AU718" t="str">
        <f>""</f>
        <v/>
      </c>
      <c r="AV718" t="str">
        <f>""</f>
        <v/>
      </c>
      <c r="AW718" t="str">
        <f>""</f>
        <v/>
      </c>
      <c r="AX718" t="str">
        <f>""</f>
        <v/>
      </c>
      <c r="AY718" t="str">
        <f>""</f>
        <v/>
      </c>
      <c r="AZ718" t="str">
        <f>""</f>
        <v/>
      </c>
      <c r="BA718" t="str">
        <f>""</f>
        <v/>
      </c>
      <c r="BB718" t="str">
        <f>""</f>
        <v/>
      </c>
      <c r="BC718" t="str">
        <f>""</f>
        <v/>
      </c>
      <c r="BD718" t="str">
        <f>""</f>
        <v/>
      </c>
      <c r="BE718" t="str">
        <f>""</f>
        <v/>
      </c>
      <c r="BF718" t="str">
        <f t="shared" si="363"/>
        <v>A</v>
      </c>
      <c r="BG718" t="str">
        <f>"0,00"</f>
        <v>0,00</v>
      </c>
      <c r="BH718" t="str">
        <f>"0,00"</f>
        <v>0,00</v>
      </c>
      <c r="BI718" t="str">
        <f t="shared" si="344"/>
        <v>EVENTUAL</v>
      </c>
      <c r="BJ718" t="str">
        <f t="shared" si="364"/>
        <v>1</v>
      </c>
      <c r="BK718" t="str">
        <f t="shared" si="365"/>
        <v>Farmacia</v>
      </c>
      <c r="BL718" t="str">
        <f>""</f>
        <v/>
      </c>
      <c r="BM718" t="str">
        <f>"NÃO É VARILUX ESPECIALISTA"</f>
        <v>NÃO É VARILUX ESPECIALISTA</v>
      </c>
      <c r="BN718" t="str">
        <f>"NA"</f>
        <v>NA</v>
      </c>
      <c r="BO718" t="str">
        <f>"FOCO VARILUX"</f>
        <v>FOCO VARILUX</v>
      </c>
      <c r="BP718" t="str">
        <f>""</f>
        <v/>
      </c>
      <c r="BQ718" t="str">
        <f>""</f>
        <v/>
      </c>
      <c r="BR718" t="str">
        <f>""</f>
        <v/>
      </c>
      <c r="BS718" t="str">
        <f>""</f>
        <v/>
      </c>
      <c r="BT718" t="str">
        <f>""</f>
        <v/>
      </c>
      <c r="BU718" t="str">
        <f>""</f>
        <v/>
      </c>
      <c r="BV718" t="str">
        <f>"1"</f>
        <v>1</v>
      </c>
      <c r="BW718" t="str">
        <f>"906"</f>
        <v>906</v>
      </c>
    </row>
    <row r="719" spans="1:75" x14ac:dyDescent="0.35">
      <c r="A719">
        <v>152723</v>
      </c>
      <c r="B719" t="str">
        <f t="shared" si="360"/>
        <v>A</v>
      </c>
      <c r="C719" t="str">
        <f t="shared" si="361"/>
        <v>80</v>
      </c>
      <c r="D719" t="str">
        <f t="shared" si="351"/>
        <v>11121002</v>
      </c>
      <c r="E719" t="str">
        <f t="shared" si="352"/>
        <v>121002</v>
      </c>
      <c r="F719" t="str">
        <f t="shared" si="353"/>
        <v>CINTHIA NORONHA</v>
      </c>
      <c r="G719" t="str">
        <f>"44522473000205"</f>
        <v>44522473000205</v>
      </c>
      <c r="H719" t="str">
        <f>"0"</f>
        <v>0</v>
      </c>
      <c r="I719" t="str">
        <f t="shared" si="362"/>
        <v>CONTA OPTICA</v>
      </c>
      <c r="J719" t="str">
        <f>"GIVANILDO FONTES OTICAS LTDA"</f>
        <v>GIVANILDO FONTES OTICAS LTDA</v>
      </c>
      <c r="K719" t="str">
        <f>"OTICAS DINIZ"</f>
        <v>OTICAS DINIZ</v>
      </c>
      <c r="L719" t="str">
        <f>""</f>
        <v/>
      </c>
      <c r="M719" t="str">
        <f>""</f>
        <v/>
      </c>
      <c r="N719" t="str">
        <f>"financeirooticasdiniz@gmail.com"</f>
        <v>financeirooticasdiniz@gmail.com</v>
      </c>
      <c r="O719" t="str">
        <f>""</f>
        <v/>
      </c>
      <c r="P719" t="str">
        <f>"RUA MARECHAL DEODORO"</f>
        <v>RUA MARECHAL DEODORO</v>
      </c>
      <c r="Q719" t="str">
        <f>"33"</f>
        <v>33</v>
      </c>
      <c r="R719" t="str">
        <f>"- ATE 377/378"</f>
        <v>- ATE 377/378</v>
      </c>
      <c r="S719" t="str">
        <f>"1266"</f>
        <v>1266</v>
      </c>
      <c r="T719" t="str">
        <f>"88501000"</f>
        <v>88501000</v>
      </c>
      <c r="U719" t="str">
        <f t="shared" si="368"/>
        <v>CENTRO</v>
      </c>
      <c r="V719" t="str">
        <f>"LAGES"</f>
        <v>LAGES</v>
      </c>
      <c r="W719" t="str">
        <f t="shared" si="354"/>
        <v>SC</v>
      </c>
      <c r="X719" t="str">
        <f>""</f>
        <v/>
      </c>
      <c r="Y719" t="str">
        <f>""</f>
        <v/>
      </c>
      <c r="Z719" t="str">
        <f>""</f>
        <v/>
      </c>
      <c r="AA719" t="str">
        <f>""</f>
        <v/>
      </c>
      <c r="AB719" t="str">
        <f>""</f>
        <v/>
      </c>
      <c r="AC719" t="str">
        <f>""</f>
        <v/>
      </c>
      <c r="AD719" t="str">
        <f>""</f>
        <v/>
      </c>
      <c r="AE719" t="str">
        <f>""</f>
        <v/>
      </c>
      <c r="AF719" t="str">
        <f>""</f>
        <v/>
      </c>
      <c r="AG719" t="str">
        <f>""</f>
        <v/>
      </c>
      <c r="AH719" t="str">
        <f>""</f>
        <v/>
      </c>
      <c r="AI719" t="str">
        <f>""</f>
        <v/>
      </c>
      <c r="AJ719" t="str">
        <f>""</f>
        <v/>
      </c>
      <c r="AK719" t="str">
        <f>""</f>
        <v/>
      </c>
      <c r="AL719" t="str">
        <f>""</f>
        <v/>
      </c>
      <c r="AM719" t="str">
        <f>""</f>
        <v/>
      </c>
      <c r="AN719" t="str">
        <f>""</f>
        <v/>
      </c>
      <c r="AO719" t="str">
        <f>""</f>
        <v/>
      </c>
      <c r="AP719" t="str">
        <f>""</f>
        <v/>
      </c>
      <c r="AQ719" t="str">
        <f>""</f>
        <v/>
      </c>
      <c r="AR719" t="str">
        <f>""</f>
        <v/>
      </c>
      <c r="AS719" t="str">
        <f>""</f>
        <v/>
      </c>
      <c r="AT719" t="str">
        <f>""</f>
        <v/>
      </c>
      <c r="AU719" t="str">
        <f>""</f>
        <v/>
      </c>
      <c r="AV719" t="str">
        <f>""</f>
        <v/>
      </c>
      <c r="AW719" t="str">
        <f>""</f>
        <v/>
      </c>
      <c r="AX719" t="str">
        <f>""</f>
        <v/>
      </c>
      <c r="AY719" t="str">
        <f>""</f>
        <v/>
      </c>
      <c r="AZ719" t="str">
        <f>""</f>
        <v/>
      </c>
      <c r="BA719" t="str">
        <f>""</f>
        <v/>
      </c>
      <c r="BB719" t="str">
        <f>"03/04/2023 13:34:29"</f>
        <v>03/04/2023 13:34:29</v>
      </c>
      <c r="BC719" t="str">
        <f>""</f>
        <v/>
      </c>
      <c r="BD719" t="str">
        <f>""</f>
        <v/>
      </c>
      <c r="BE719" t="str">
        <f>""</f>
        <v/>
      </c>
      <c r="BF719" t="str">
        <f t="shared" si="363"/>
        <v>A</v>
      </c>
      <c r="BG719" t="str">
        <f>""</f>
        <v/>
      </c>
      <c r="BH719" t="str">
        <f>""</f>
        <v/>
      </c>
      <c r="BI719" t="str">
        <f t="shared" si="344"/>
        <v>EVENTUAL</v>
      </c>
      <c r="BJ719" t="str">
        <f t="shared" si="364"/>
        <v>1</v>
      </c>
      <c r="BK719" t="str">
        <f t="shared" si="365"/>
        <v>Farmacia</v>
      </c>
      <c r="BL719" t="str">
        <f>""</f>
        <v/>
      </c>
      <c r="BM719" t="str">
        <f>""</f>
        <v/>
      </c>
      <c r="BN719" t="str">
        <f>""</f>
        <v/>
      </c>
      <c r="BO719" t="str">
        <f>""</f>
        <v/>
      </c>
      <c r="BP719" t="str">
        <f>""</f>
        <v/>
      </c>
      <c r="BQ719" t="str">
        <f>""</f>
        <v/>
      </c>
      <c r="BR719" t="str">
        <f>"03/04/2023"</f>
        <v>03/04/2023</v>
      </c>
      <c r="BS719" t="str">
        <f>""</f>
        <v/>
      </c>
      <c r="BT719" t="str">
        <f>""</f>
        <v/>
      </c>
      <c r="BU719" t="str">
        <f>""</f>
        <v/>
      </c>
      <c r="BV719" t="str">
        <f>""</f>
        <v/>
      </c>
      <c r="BW719" t="str">
        <f>"Não visitado"</f>
        <v>Não visitado</v>
      </c>
    </row>
    <row r="720" spans="1:75" x14ac:dyDescent="0.35">
      <c r="A720">
        <v>134561</v>
      </c>
      <c r="B720" t="str">
        <f t="shared" si="360"/>
        <v>A</v>
      </c>
      <c r="C720" t="str">
        <f t="shared" si="361"/>
        <v>80</v>
      </c>
      <c r="D720" t="str">
        <f t="shared" si="351"/>
        <v>11121002</v>
      </c>
      <c r="E720" t="str">
        <f t="shared" si="352"/>
        <v>121002</v>
      </c>
      <c r="F720" t="str">
        <f t="shared" si="353"/>
        <v>CINTHIA NORONHA</v>
      </c>
      <c r="G720" t="str">
        <f>"34927492000187"</f>
        <v>34927492000187</v>
      </c>
      <c r="H720" t="str">
        <f>""</f>
        <v/>
      </c>
      <c r="I720" t="str">
        <f t="shared" si="362"/>
        <v>CONTA OPTICA</v>
      </c>
      <c r="J720" t="str">
        <f>"GLAUCI CHRISTINA ROSA 00935350900"</f>
        <v>GLAUCI CHRISTINA ROSA 00935350900</v>
      </c>
      <c r="K720" t="str">
        <f>"CRISBEL STORE (4256)"</f>
        <v>CRISBEL STORE (4256)</v>
      </c>
      <c r="L720" t="str">
        <f>""</f>
        <v/>
      </c>
      <c r="M720" t="str">
        <f>""</f>
        <v/>
      </c>
      <c r="N720" t="str">
        <f>"oticacrisbel85@gmail.com"</f>
        <v>oticacrisbel85@gmail.com</v>
      </c>
      <c r="O720" t="str">
        <f>""</f>
        <v/>
      </c>
      <c r="P720" t="str">
        <f>"RUA CRISTOVAO MACHADO DE CAMPOS"</f>
        <v>RUA CRISTOVAO MACHADO DE CAMPOS</v>
      </c>
      <c r="Q720" t="str">
        <f>"625"</f>
        <v>625</v>
      </c>
      <c r="R720" t="str">
        <f>""</f>
        <v/>
      </c>
      <c r="S720" t="str">
        <f>"1257"</f>
        <v>1257</v>
      </c>
      <c r="T720" t="str">
        <f>"88036002"</f>
        <v>88036002</v>
      </c>
      <c r="U720" t="str">
        <f>"VARGEM GRANDE"</f>
        <v>VARGEM GRANDE</v>
      </c>
      <c r="V720" t="str">
        <f>"FLORIANÓPOLIS"</f>
        <v>FLORIANÓPOLIS</v>
      </c>
      <c r="W720" t="str">
        <f t="shared" si="354"/>
        <v>SC</v>
      </c>
      <c r="X720" t="str">
        <f t="shared" ref="X720:X746" si="370">"48"</f>
        <v>48</v>
      </c>
      <c r="Y720" t="str">
        <f>"999462043"</f>
        <v>999462043</v>
      </c>
      <c r="Z720" t="str">
        <f>""</f>
        <v/>
      </c>
      <c r="AA720" t="str">
        <f>""</f>
        <v/>
      </c>
      <c r="AB720" t="str">
        <f>""</f>
        <v/>
      </c>
      <c r="AC720" t="str">
        <f>""</f>
        <v/>
      </c>
      <c r="AD720" t="str">
        <f>""</f>
        <v/>
      </c>
      <c r="AE720" t="str">
        <f>""</f>
        <v/>
      </c>
      <c r="AF720" t="str">
        <f>""</f>
        <v/>
      </c>
      <c r="AG720" t="str">
        <f>"S"</f>
        <v>S</v>
      </c>
      <c r="AH720" t="str">
        <f>""</f>
        <v/>
      </c>
      <c r="AI720" t="str">
        <f>""</f>
        <v/>
      </c>
      <c r="AJ720" t="str">
        <f>""</f>
        <v/>
      </c>
      <c r="AK720" t="str">
        <f>""</f>
        <v/>
      </c>
      <c r="AL720" t="str">
        <f>""</f>
        <v/>
      </c>
      <c r="AM720" t="str">
        <f>""</f>
        <v/>
      </c>
      <c r="AN720" t="str">
        <f>""</f>
        <v/>
      </c>
      <c r="AO720" t="str">
        <f>""</f>
        <v/>
      </c>
      <c r="AP720" t="str">
        <f>""</f>
        <v/>
      </c>
      <c r="AQ720" t="str">
        <f>"N"</f>
        <v>N</v>
      </c>
      <c r="AR720" t="str">
        <f>"N"</f>
        <v>N</v>
      </c>
      <c r="AS720" t="str">
        <f>"N"</f>
        <v>N</v>
      </c>
      <c r="AT720" t="str">
        <f>"N"</f>
        <v>N</v>
      </c>
      <c r="AU720" t="str">
        <f>"N"</f>
        <v>N</v>
      </c>
      <c r="AV720" t="str">
        <f>""</f>
        <v/>
      </c>
      <c r="AW720" t="str">
        <f>""</f>
        <v/>
      </c>
      <c r="AX720" t="str">
        <f>""</f>
        <v/>
      </c>
      <c r="AY720" t="str">
        <f>""</f>
        <v/>
      </c>
      <c r="AZ720" t="str">
        <f>""</f>
        <v/>
      </c>
      <c r="BA720" t="str">
        <f>""</f>
        <v/>
      </c>
      <c r="BB720" t="str">
        <f>""</f>
        <v/>
      </c>
      <c r="BC720" t="str">
        <f>"04/04/2022 14:05:26"</f>
        <v>04/04/2022 14:05:26</v>
      </c>
      <c r="BD720" t="str">
        <f>""</f>
        <v/>
      </c>
      <c r="BE720" t="str">
        <f>""</f>
        <v/>
      </c>
      <c r="BF720" t="str">
        <f t="shared" si="363"/>
        <v>A</v>
      </c>
      <c r="BG720" t="str">
        <f>""</f>
        <v/>
      </c>
      <c r="BH720" t="str">
        <f>"0,00"</f>
        <v>0,00</v>
      </c>
      <c r="BI720" t="str">
        <f t="shared" si="344"/>
        <v>EVENTUAL</v>
      </c>
      <c r="BJ720" t="str">
        <f t="shared" si="364"/>
        <v>1</v>
      </c>
      <c r="BK720" t="str">
        <f t="shared" si="365"/>
        <v>Farmacia</v>
      </c>
      <c r="BL720" t="str">
        <f>""</f>
        <v/>
      </c>
      <c r="BM720" t="str">
        <f>"NÃO É VARILUX ESPECIALISTA"</f>
        <v>NÃO É VARILUX ESPECIALISTA</v>
      </c>
      <c r="BN720" t="str">
        <f>"NA"</f>
        <v>NA</v>
      </c>
      <c r="BO720" t="str">
        <f>""</f>
        <v/>
      </c>
      <c r="BP720" t="str">
        <f>""</f>
        <v/>
      </c>
      <c r="BQ720" t="str">
        <f>""</f>
        <v/>
      </c>
      <c r="BR720" t="str">
        <f>""</f>
        <v/>
      </c>
      <c r="BS720" t="str">
        <f>"04/04/2022"</f>
        <v>04/04/2022</v>
      </c>
      <c r="BT720" t="str">
        <f>""</f>
        <v/>
      </c>
      <c r="BU720" t="str">
        <f>""</f>
        <v/>
      </c>
      <c r="BV720" t="str">
        <f>""</f>
        <v/>
      </c>
      <c r="BW720" t="str">
        <f>"155"</f>
        <v>155</v>
      </c>
    </row>
    <row r="721" spans="1:75" x14ac:dyDescent="0.35">
      <c r="A721">
        <v>144623</v>
      </c>
      <c r="B721" t="str">
        <f t="shared" si="360"/>
        <v>A</v>
      </c>
      <c r="C721" t="str">
        <f t="shared" si="361"/>
        <v>80</v>
      </c>
      <c r="D721" t="str">
        <f t="shared" si="351"/>
        <v>11121002</v>
      </c>
      <c r="E721" t="str">
        <f t="shared" si="352"/>
        <v>121002</v>
      </c>
      <c r="F721" t="str">
        <f t="shared" si="353"/>
        <v>CINTHIA NORONHA</v>
      </c>
      <c r="G721" t="str">
        <f>"19586639000129"</f>
        <v>19586639000129</v>
      </c>
      <c r="H721" t="str">
        <f>""</f>
        <v/>
      </c>
      <c r="I721" t="str">
        <f t="shared" si="362"/>
        <v>CONTA OPTICA</v>
      </c>
      <c r="J721" t="str">
        <f>"GOLDEN COMERCIO E DISTRIBUICAO DE PRODUTOS OPTICOS LTDA -ME"</f>
        <v>GOLDEN COMERCIO E DISTRIBUICAO DE PRODUTOS OPTICOS LTDA -ME</v>
      </c>
      <c r="K721" t="str">
        <f>"JL OTICA (3992)"</f>
        <v>JL OTICA (3992)</v>
      </c>
      <c r="L721" t="str">
        <f>""</f>
        <v/>
      </c>
      <c r="M721" t="str">
        <f>""</f>
        <v/>
      </c>
      <c r="N721" t="str">
        <f>"jl.otica@hotmail.com"</f>
        <v>jl.otica@hotmail.com</v>
      </c>
      <c r="O721" t="str">
        <f>""</f>
        <v/>
      </c>
      <c r="P721" t="str">
        <f>"RUA XANXERE"</f>
        <v>RUA XANXERE</v>
      </c>
      <c r="Q721" t="str">
        <f>"201"</f>
        <v>201</v>
      </c>
      <c r="R721" t="str">
        <f>""</f>
        <v/>
      </c>
      <c r="S721" t="str">
        <f>""</f>
        <v/>
      </c>
      <c r="T721" t="str">
        <f>"88815150"</f>
        <v>88815150</v>
      </c>
      <c r="U721" t="str">
        <f>"CEARA"</f>
        <v>CEARA</v>
      </c>
      <c r="V721" t="str">
        <f>"CRICIÚMA"</f>
        <v>CRICIÚMA</v>
      </c>
      <c r="W721" t="str">
        <f t="shared" si="354"/>
        <v>SC</v>
      </c>
      <c r="X721" t="str">
        <f t="shared" si="370"/>
        <v>48</v>
      </c>
      <c r="Y721" t="str">
        <f>"34622742"</f>
        <v>34622742</v>
      </c>
      <c r="Z721" t="str">
        <f>""</f>
        <v/>
      </c>
      <c r="AA721" t="str">
        <f>""</f>
        <v/>
      </c>
      <c r="AB721" t="str">
        <f>""</f>
        <v/>
      </c>
      <c r="AC721" t="str">
        <f>""</f>
        <v/>
      </c>
      <c r="AD721" t="str">
        <f>""</f>
        <v/>
      </c>
      <c r="AE721" t="str">
        <f>""</f>
        <v/>
      </c>
      <c r="AF721" t="str">
        <f>""</f>
        <v/>
      </c>
      <c r="AG721" t="str">
        <f>""</f>
        <v/>
      </c>
      <c r="AH721" t="str">
        <f>""</f>
        <v/>
      </c>
      <c r="AI721" t="str">
        <f>""</f>
        <v/>
      </c>
      <c r="AJ721" t="str">
        <f>"0"</f>
        <v>0</v>
      </c>
      <c r="AK721" t="str">
        <f>"0"</f>
        <v>0</v>
      </c>
      <c r="AL721" t="str">
        <f>"0"</f>
        <v>0</v>
      </c>
      <c r="AM721" t="str">
        <f>""</f>
        <v/>
      </c>
      <c r="AN721" t="str">
        <f>""</f>
        <v/>
      </c>
      <c r="AO721" t="str">
        <f>""</f>
        <v/>
      </c>
      <c r="AP721" t="str">
        <f>""</f>
        <v/>
      </c>
      <c r="AQ721" t="str">
        <f>""</f>
        <v/>
      </c>
      <c r="AR721" t="str">
        <f>""</f>
        <v/>
      </c>
      <c r="AS721" t="str">
        <f>""</f>
        <v/>
      </c>
      <c r="AT721" t="str">
        <f>""</f>
        <v/>
      </c>
      <c r="AU721" t="str">
        <f>""</f>
        <v/>
      </c>
      <c r="AV721" t="str">
        <f>""</f>
        <v/>
      </c>
      <c r="AW721" t="str">
        <f>""</f>
        <v/>
      </c>
      <c r="AX721" t="str">
        <f>""</f>
        <v/>
      </c>
      <c r="AY721" t="str">
        <f>""</f>
        <v/>
      </c>
      <c r="AZ721" t="str">
        <f>""</f>
        <v/>
      </c>
      <c r="BA721" t="str">
        <f>""</f>
        <v/>
      </c>
      <c r="BB721" t="str">
        <f>""</f>
        <v/>
      </c>
      <c r="BC721" t="str">
        <f>""</f>
        <v/>
      </c>
      <c r="BD721" t="str">
        <f>""</f>
        <v/>
      </c>
      <c r="BE721" t="str">
        <f>""</f>
        <v/>
      </c>
      <c r="BF721" t="str">
        <f t="shared" si="363"/>
        <v>A</v>
      </c>
      <c r="BG721" t="str">
        <f>"0,00"</f>
        <v>0,00</v>
      </c>
      <c r="BH721" t="str">
        <f>"0,00"</f>
        <v>0,00</v>
      </c>
      <c r="BI721" t="str">
        <f t="shared" si="344"/>
        <v>EVENTUAL</v>
      </c>
      <c r="BJ721" t="str">
        <f t="shared" si="364"/>
        <v>1</v>
      </c>
      <c r="BK721" t="str">
        <f t="shared" si="365"/>
        <v>Farmacia</v>
      </c>
      <c r="BL721" t="str">
        <f>""</f>
        <v/>
      </c>
      <c r="BM721" t="str">
        <f>"NÃO É VARILUX ESPECIALISTA"</f>
        <v>NÃO É VARILUX ESPECIALISTA</v>
      </c>
      <c r="BN721" t="str">
        <f>"NA"</f>
        <v>NA</v>
      </c>
      <c r="BO721" t="str">
        <f>"FOCO VARILUX"</f>
        <v>FOCO VARILUX</v>
      </c>
      <c r="BP721" t="str">
        <f>""</f>
        <v/>
      </c>
      <c r="BQ721" t="str">
        <f>""</f>
        <v/>
      </c>
      <c r="BR721" t="str">
        <f>""</f>
        <v/>
      </c>
      <c r="BS721" t="str">
        <f>""</f>
        <v/>
      </c>
      <c r="BT721" t="str">
        <f>""</f>
        <v/>
      </c>
      <c r="BU721" t="str">
        <f>""</f>
        <v/>
      </c>
      <c r="BV721" t="str">
        <f>"9"</f>
        <v>9</v>
      </c>
      <c r="BW721" t="str">
        <f>"Não visitado"</f>
        <v>Não visitado</v>
      </c>
    </row>
    <row r="722" spans="1:75" x14ac:dyDescent="0.35">
      <c r="A722">
        <v>157598</v>
      </c>
      <c r="B722" t="str">
        <f t="shared" si="360"/>
        <v>A</v>
      </c>
      <c r="C722" t="str">
        <f t="shared" si="361"/>
        <v>80</v>
      </c>
      <c r="D722" t="str">
        <f t="shared" si="351"/>
        <v>11121002</v>
      </c>
      <c r="E722" t="str">
        <f t="shared" si="352"/>
        <v>121002</v>
      </c>
      <c r="F722" t="str">
        <f t="shared" si="353"/>
        <v>CINTHIA NORONHA</v>
      </c>
      <c r="G722" t="str">
        <f>"04724764000180"</f>
        <v>04724764000180</v>
      </c>
      <c r="H722" t="str">
        <f>"0"</f>
        <v>0</v>
      </c>
      <c r="I722" t="str">
        <f t="shared" si="362"/>
        <v>CONTA OPTICA</v>
      </c>
      <c r="J722" t="str">
        <f>"HEIDY COMERCIO DE PRODUTOS OPTICOS LTDA"</f>
        <v>HEIDY COMERCIO DE PRODUTOS OPTICOS LTDA</v>
      </c>
      <c r="K722" t="str">
        <f>"OTICAS CATARINA (1274)"</f>
        <v>OTICAS CATARINA (1274)</v>
      </c>
      <c r="L722" t="str">
        <f>""</f>
        <v/>
      </c>
      <c r="M722" t="str">
        <f>""</f>
        <v/>
      </c>
      <c r="N722" t="str">
        <f>"NFEHEIDY@GMAIL.COM"</f>
        <v>NFEHEIDY@GMAIL.COM</v>
      </c>
      <c r="O722" t="str">
        <f>""</f>
        <v/>
      </c>
      <c r="P722" t="str">
        <f>"RUA HENRIQUE VERA DO NASCIMENTO"</f>
        <v>RUA HENRIQUE VERA DO NASCIMENTO</v>
      </c>
      <c r="Q722" t="str">
        <f>"359"</f>
        <v>359</v>
      </c>
      <c r="R722" t="str">
        <f>"LOJA 02"</f>
        <v>LOJA 02</v>
      </c>
      <c r="S722" t="str">
        <f>"1257"</f>
        <v>1257</v>
      </c>
      <c r="T722" t="str">
        <f>"88062020"</f>
        <v>88062020</v>
      </c>
      <c r="U722" t="str">
        <f>"LAGOA DA CONCEICAO"</f>
        <v>LAGOA DA CONCEICAO</v>
      </c>
      <c r="V722" t="str">
        <f>"FLORIANOPOLIS"</f>
        <v>FLORIANOPOLIS</v>
      </c>
      <c r="W722" t="str">
        <f t="shared" si="354"/>
        <v>SC</v>
      </c>
      <c r="X722" t="str">
        <f t="shared" si="370"/>
        <v>48</v>
      </c>
      <c r="Y722" t="str">
        <f>"32321264"</f>
        <v>32321264</v>
      </c>
      <c r="Z722" t="str">
        <f>""</f>
        <v/>
      </c>
      <c r="AA722" t="str">
        <f>""</f>
        <v/>
      </c>
      <c r="AB722" t="str">
        <f>""</f>
        <v/>
      </c>
      <c r="AC722" t="str">
        <f>""</f>
        <v/>
      </c>
      <c r="AD722" t="str">
        <f>""</f>
        <v/>
      </c>
      <c r="AE722" t="str">
        <f>""</f>
        <v/>
      </c>
      <c r="AF722" t="str">
        <f>""</f>
        <v/>
      </c>
      <c r="AG722" t="str">
        <f>""</f>
        <v/>
      </c>
      <c r="AH722" t="str">
        <f>""</f>
        <v/>
      </c>
      <c r="AI722" t="str">
        <f>""</f>
        <v/>
      </c>
      <c r="AJ722" t="str">
        <f>""</f>
        <v/>
      </c>
      <c r="AK722" t="str">
        <f>""</f>
        <v/>
      </c>
      <c r="AL722" t="str">
        <f>""</f>
        <v/>
      </c>
      <c r="AM722" t="str">
        <f>""</f>
        <v/>
      </c>
      <c r="AN722" t="str">
        <f>""</f>
        <v/>
      </c>
      <c r="AO722" t="str">
        <f>""</f>
        <v/>
      </c>
      <c r="AP722" t="str">
        <f>""</f>
        <v/>
      </c>
      <c r="AQ722" t="str">
        <f>""</f>
        <v/>
      </c>
      <c r="AR722" t="str">
        <f>""</f>
        <v/>
      </c>
      <c r="AS722" t="str">
        <f>""</f>
        <v/>
      </c>
      <c r="AT722" t="str">
        <f>""</f>
        <v/>
      </c>
      <c r="AU722" t="str">
        <f>""</f>
        <v/>
      </c>
      <c r="AV722" t="str">
        <f>""</f>
        <v/>
      </c>
      <c r="AW722" t="str">
        <f>""</f>
        <v/>
      </c>
      <c r="AX722" t="str">
        <f>""</f>
        <v/>
      </c>
      <c r="AY722" t="str">
        <f>""</f>
        <v/>
      </c>
      <c r="AZ722" t="str">
        <f>""</f>
        <v/>
      </c>
      <c r="BA722" t="str">
        <f>""</f>
        <v/>
      </c>
      <c r="BB722" t="str">
        <f>"11/07/2023 02:19:56"</f>
        <v>11/07/2023 02:19:56</v>
      </c>
      <c r="BC722" t="str">
        <f>""</f>
        <v/>
      </c>
      <c r="BD722" t="str">
        <f>""</f>
        <v/>
      </c>
      <c r="BE722" t="str">
        <f>""</f>
        <v/>
      </c>
      <c r="BF722" t="str">
        <f t="shared" si="363"/>
        <v>A</v>
      </c>
      <c r="BG722" t="str">
        <f>""</f>
        <v/>
      </c>
      <c r="BH722" t="str">
        <f>""</f>
        <v/>
      </c>
      <c r="BI722" t="str">
        <f t="shared" si="344"/>
        <v>EVENTUAL</v>
      </c>
      <c r="BJ722" t="str">
        <f t="shared" si="364"/>
        <v>1</v>
      </c>
      <c r="BK722" t="str">
        <f t="shared" si="365"/>
        <v>Farmacia</v>
      </c>
      <c r="BL722" t="str">
        <f>""</f>
        <v/>
      </c>
      <c r="BM722" t="str">
        <f>""</f>
        <v/>
      </c>
      <c r="BN722" t="str">
        <f>""</f>
        <v/>
      </c>
      <c r="BO722" t="str">
        <f>""</f>
        <v/>
      </c>
      <c r="BP722" t="str">
        <f>""</f>
        <v/>
      </c>
      <c r="BQ722" t="str">
        <f>""</f>
        <v/>
      </c>
      <c r="BR722" t="str">
        <f>"11/07/2023"</f>
        <v>11/07/2023</v>
      </c>
      <c r="BS722" t="str">
        <f>""</f>
        <v/>
      </c>
      <c r="BT722" t="str">
        <f>""</f>
        <v/>
      </c>
      <c r="BU722" t="str">
        <f>""</f>
        <v/>
      </c>
      <c r="BV722" t="str">
        <f>""</f>
        <v/>
      </c>
      <c r="BW722" t="str">
        <f>"79"</f>
        <v>79</v>
      </c>
    </row>
    <row r="723" spans="1:75" x14ac:dyDescent="0.35">
      <c r="A723">
        <v>151635</v>
      </c>
      <c r="B723" t="str">
        <f t="shared" si="360"/>
        <v>A</v>
      </c>
      <c r="C723" t="str">
        <f t="shared" si="361"/>
        <v>80</v>
      </c>
      <c r="D723" t="str">
        <f t="shared" si="351"/>
        <v>11121002</v>
      </c>
      <c r="E723" t="str">
        <f t="shared" si="352"/>
        <v>121002</v>
      </c>
      <c r="F723" t="str">
        <f t="shared" si="353"/>
        <v>CINTHIA NORONHA</v>
      </c>
      <c r="G723" t="str">
        <f>"04724764000423"</f>
        <v>04724764000423</v>
      </c>
      <c r="H723" t="str">
        <f>"0"</f>
        <v>0</v>
      </c>
      <c r="I723" t="str">
        <f t="shared" si="362"/>
        <v>CONTA OPTICA</v>
      </c>
      <c r="J723" t="str">
        <f>"HEIDY COMERCIO DE PRODUTOS OPTICOS LTDA"</f>
        <v>HEIDY COMERCIO DE PRODUTOS OPTICOS LTDA</v>
      </c>
      <c r="K723" t="str">
        <f>"OTICAS CATARINA (4556)"</f>
        <v>OTICAS CATARINA (4556)</v>
      </c>
      <c r="L723" t="str">
        <f>""</f>
        <v/>
      </c>
      <c r="M723" t="str">
        <f>""</f>
        <v/>
      </c>
      <c r="N723" t="str">
        <f>"oticascatarina.riobranco@gmail.com"</f>
        <v>oticascatarina.riobranco@gmail.com</v>
      </c>
      <c r="O723" t="str">
        <f>""</f>
        <v/>
      </c>
      <c r="P723" t="str">
        <f>"RIO BRANCO"</f>
        <v>RIO BRANCO</v>
      </c>
      <c r="Q723" t="str">
        <f>"764"</f>
        <v>764</v>
      </c>
      <c r="R723" t="str">
        <f>""</f>
        <v/>
      </c>
      <c r="S723" t="str">
        <f>""</f>
        <v/>
      </c>
      <c r="T723" t="str">
        <f>"88015200"</f>
        <v>88015200</v>
      </c>
      <c r="U723" t="str">
        <f>"CENTRO"</f>
        <v>CENTRO</v>
      </c>
      <c r="V723" t="str">
        <f>"FLORIANÓPOLIS"</f>
        <v>FLORIANÓPOLIS</v>
      </c>
      <c r="W723" t="str">
        <f t="shared" si="354"/>
        <v>SC</v>
      </c>
      <c r="X723" t="str">
        <f t="shared" si="370"/>
        <v>48</v>
      </c>
      <c r="Y723" t="str">
        <f>"32070107"</f>
        <v>32070107</v>
      </c>
      <c r="Z723" t="str">
        <f>""</f>
        <v/>
      </c>
      <c r="AA723" t="str">
        <f>""</f>
        <v/>
      </c>
      <c r="AB723" t="str">
        <f>""</f>
        <v/>
      </c>
      <c r="AC723" t="str">
        <f>""</f>
        <v/>
      </c>
      <c r="AD723" t="str">
        <f>""</f>
        <v/>
      </c>
      <c r="AE723" t="str">
        <f>""</f>
        <v/>
      </c>
      <c r="AF723" t="str">
        <f>""</f>
        <v/>
      </c>
      <c r="AG723" t="str">
        <f>""</f>
        <v/>
      </c>
      <c r="AH723" t="str">
        <f>""</f>
        <v/>
      </c>
      <c r="AI723" t="str">
        <f>""</f>
        <v/>
      </c>
      <c r="AJ723" t="str">
        <f t="shared" ref="AJ723:AL724" si="371">"0"</f>
        <v>0</v>
      </c>
      <c r="AK723" t="str">
        <f t="shared" si="371"/>
        <v>0</v>
      </c>
      <c r="AL723" t="str">
        <f t="shared" si="371"/>
        <v>0</v>
      </c>
      <c r="AM723" t="str">
        <f>""</f>
        <v/>
      </c>
      <c r="AN723" t="str">
        <f>""</f>
        <v/>
      </c>
      <c r="AO723" t="str">
        <f>""</f>
        <v/>
      </c>
      <c r="AP723" t="str">
        <f>""</f>
        <v/>
      </c>
      <c r="AQ723" t="str">
        <f>""</f>
        <v/>
      </c>
      <c r="AR723" t="str">
        <f>""</f>
        <v/>
      </c>
      <c r="AS723" t="str">
        <f>""</f>
        <v/>
      </c>
      <c r="AT723" t="str">
        <f>""</f>
        <v/>
      </c>
      <c r="AU723" t="str">
        <f>""</f>
        <v/>
      </c>
      <c r="AV723" t="str">
        <f>""</f>
        <v/>
      </c>
      <c r="AW723" t="str">
        <f>""</f>
        <v/>
      </c>
      <c r="AX723" t="str">
        <f>""</f>
        <v/>
      </c>
      <c r="AY723" t="str">
        <f>""</f>
        <v/>
      </c>
      <c r="AZ723" t="str">
        <f>""</f>
        <v/>
      </c>
      <c r="BA723" t="str">
        <f>""</f>
        <v/>
      </c>
      <c r="BB723" t="str">
        <f>"18/11/2022 14:22:14"</f>
        <v>18/11/2022 14:22:14</v>
      </c>
      <c r="BC723" t="str">
        <f>""</f>
        <v/>
      </c>
      <c r="BD723" t="str">
        <f>""</f>
        <v/>
      </c>
      <c r="BE723" t="str">
        <f>""</f>
        <v/>
      </c>
      <c r="BF723" t="str">
        <f t="shared" si="363"/>
        <v>A</v>
      </c>
      <c r="BG723" t="str">
        <f>"0,00"</f>
        <v>0,00</v>
      </c>
      <c r="BH723" t="str">
        <f>"0,00"</f>
        <v>0,00</v>
      </c>
      <c r="BI723" t="str">
        <f t="shared" si="344"/>
        <v>EVENTUAL</v>
      </c>
      <c r="BJ723" t="str">
        <f t="shared" si="364"/>
        <v>1</v>
      </c>
      <c r="BK723" t="str">
        <f t="shared" si="365"/>
        <v>Farmacia</v>
      </c>
      <c r="BL723" t="str">
        <f>""</f>
        <v/>
      </c>
      <c r="BM723" t="str">
        <f>"NÃO É VARILUX ESPECIALISTA"</f>
        <v>NÃO É VARILUX ESPECIALISTA</v>
      </c>
      <c r="BN723" t="str">
        <f>""</f>
        <v/>
      </c>
      <c r="BO723" t="str">
        <f>""</f>
        <v/>
      </c>
      <c r="BP723" t="str">
        <f>""</f>
        <v/>
      </c>
      <c r="BQ723" t="str">
        <f>""</f>
        <v/>
      </c>
      <c r="BR723" t="str">
        <f>"18/11/2022"</f>
        <v>18/11/2022</v>
      </c>
      <c r="BS723" t="str">
        <f>""</f>
        <v/>
      </c>
      <c r="BT723" t="str">
        <f>""</f>
        <v/>
      </c>
      <c r="BU723" t="str">
        <f>""</f>
        <v/>
      </c>
      <c r="BV723" t="str">
        <f>""</f>
        <v/>
      </c>
      <c r="BW723" t="str">
        <f>"Não visitado"</f>
        <v>Não visitado</v>
      </c>
    </row>
    <row r="724" spans="1:75" x14ac:dyDescent="0.35">
      <c r="A724">
        <v>127736</v>
      </c>
      <c r="B724" t="str">
        <f t="shared" si="360"/>
        <v>A</v>
      </c>
      <c r="C724" t="str">
        <f t="shared" si="361"/>
        <v>80</v>
      </c>
      <c r="D724" t="str">
        <f t="shared" si="351"/>
        <v>11121002</v>
      </c>
      <c r="E724" t="str">
        <f t="shared" si="352"/>
        <v>121002</v>
      </c>
      <c r="F724" t="str">
        <f t="shared" si="353"/>
        <v>CINTHIA NORONHA</v>
      </c>
      <c r="G724" t="str">
        <f>"04724764000342"</f>
        <v>04724764000342</v>
      </c>
      <c r="H724" t="str">
        <f>"0"</f>
        <v>0</v>
      </c>
      <c r="I724" t="str">
        <f t="shared" si="362"/>
        <v>CONTA OPTICA</v>
      </c>
      <c r="J724" t="str">
        <f>"HEIDY OTICA LTDA - ME"</f>
        <v>HEIDY OTICA LTDA - ME</v>
      </c>
      <c r="K724" t="str">
        <f>"HEIDY OTICA LTDA - ME (2250)"</f>
        <v>HEIDY OTICA LTDA - ME (2250)</v>
      </c>
      <c r="L724" t="str">
        <f>""</f>
        <v/>
      </c>
      <c r="M724" t="str">
        <f>""</f>
        <v/>
      </c>
      <c r="N724" t="str">
        <f>""</f>
        <v/>
      </c>
      <c r="O724" t="str">
        <f>""</f>
        <v/>
      </c>
      <c r="P724" t="str">
        <f>"AVENIDA RIO BRANCO"</f>
        <v>AVENIDA RIO BRANCO</v>
      </c>
      <c r="Q724" t="str">
        <f>"764"</f>
        <v>764</v>
      </c>
      <c r="R724" t="str">
        <f>""</f>
        <v/>
      </c>
      <c r="S724" t="str">
        <f>"1255"</f>
        <v>1255</v>
      </c>
      <c r="T724" t="str">
        <f>"88015202"</f>
        <v>88015202</v>
      </c>
      <c r="U724" t="str">
        <f>"CENTRO"</f>
        <v>CENTRO</v>
      </c>
      <c r="V724" t="str">
        <f>"FLORIANÓPOLIS"</f>
        <v>FLORIANÓPOLIS</v>
      </c>
      <c r="W724" t="str">
        <f t="shared" si="354"/>
        <v>SC</v>
      </c>
      <c r="X724" t="str">
        <f t="shared" si="370"/>
        <v>48</v>
      </c>
      <c r="Y724" t="str">
        <f>"32070107"</f>
        <v>32070107</v>
      </c>
      <c r="Z724" t="str">
        <f>""</f>
        <v/>
      </c>
      <c r="AA724" t="str">
        <f>""</f>
        <v/>
      </c>
      <c r="AB724" t="str">
        <f>""</f>
        <v/>
      </c>
      <c r="AC724" t="str">
        <f>""</f>
        <v/>
      </c>
      <c r="AD724" t="str">
        <f>""</f>
        <v/>
      </c>
      <c r="AE724" t="str">
        <f>""</f>
        <v/>
      </c>
      <c r="AF724" t="str">
        <f>""</f>
        <v/>
      </c>
      <c r="AG724" t="str">
        <f>""</f>
        <v/>
      </c>
      <c r="AH724" t="str">
        <f>""</f>
        <v/>
      </c>
      <c r="AI724" t="str">
        <f>""</f>
        <v/>
      </c>
      <c r="AJ724" t="str">
        <f t="shared" si="371"/>
        <v>0</v>
      </c>
      <c r="AK724" t="str">
        <f t="shared" si="371"/>
        <v>0</v>
      </c>
      <c r="AL724" t="str">
        <f t="shared" si="371"/>
        <v>0</v>
      </c>
      <c r="AM724" t="str">
        <f>""</f>
        <v/>
      </c>
      <c r="AN724" t="str">
        <f>""</f>
        <v/>
      </c>
      <c r="AO724" t="str">
        <f>""</f>
        <v/>
      </c>
      <c r="AP724" t="str">
        <f>""</f>
        <v/>
      </c>
      <c r="AQ724" t="str">
        <f>""</f>
        <v/>
      </c>
      <c r="AR724" t="str">
        <f>""</f>
        <v/>
      </c>
      <c r="AS724" t="str">
        <f>""</f>
        <v/>
      </c>
      <c r="AT724" t="str">
        <f>""</f>
        <v/>
      </c>
      <c r="AU724" t="str">
        <f>""</f>
        <v/>
      </c>
      <c r="AV724" t="str">
        <f>""</f>
        <v/>
      </c>
      <c r="AW724" t="str">
        <f>""</f>
        <v/>
      </c>
      <c r="AX724" t="str">
        <f>""</f>
        <v/>
      </c>
      <c r="AY724" t="str">
        <f>""</f>
        <v/>
      </c>
      <c r="AZ724" t="str">
        <f>""</f>
        <v/>
      </c>
      <c r="BA724" t="str">
        <f>""</f>
        <v/>
      </c>
      <c r="BB724" t="str">
        <f>"07/10/2020 09:08:38"</f>
        <v>07/10/2020 09:08:38</v>
      </c>
      <c r="BC724" t="str">
        <f>""</f>
        <v/>
      </c>
      <c r="BD724" t="str">
        <f>""</f>
        <v/>
      </c>
      <c r="BE724" t="str">
        <f>""</f>
        <v/>
      </c>
      <c r="BF724" t="str">
        <f t="shared" si="363"/>
        <v>A</v>
      </c>
      <c r="BG724" t="str">
        <f>"0,00"</f>
        <v>0,00</v>
      </c>
      <c r="BH724" t="str">
        <f>"0,00"</f>
        <v>0,00</v>
      </c>
      <c r="BI724" t="str">
        <f t="shared" si="344"/>
        <v>EVENTUAL</v>
      </c>
      <c r="BJ724" t="str">
        <f t="shared" si="364"/>
        <v>1</v>
      </c>
      <c r="BK724" t="str">
        <f t="shared" si="365"/>
        <v>Farmacia</v>
      </c>
      <c r="BL724" t="str">
        <f>""</f>
        <v/>
      </c>
      <c r="BM724" t="str">
        <f>"NÃO É VARILUX ESPECIALISTA"</f>
        <v>NÃO É VARILUX ESPECIALISTA</v>
      </c>
      <c r="BN724" t="str">
        <f>"NA"</f>
        <v>NA</v>
      </c>
      <c r="BO724" t="str">
        <f>"OUTROS"</f>
        <v>OUTROS</v>
      </c>
      <c r="BP724" t="str">
        <f>""</f>
        <v/>
      </c>
      <c r="BQ724" t="str">
        <f>""</f>
        <v/>
      </c>
      <c r="BR724" t="str">
        <f>"07/10/2020"</f>
        <v>07/10/2020</v>
      </c>
      <c r="BS724" t="str">
        <f>""</f>
        <v/>
      </c>
      <c r="BT724" t="str">
        <f>""</f>
        <v/>
      </c>
      <c r="BU724" t="str">
        <f>""</f>
        <v/>
      </c>
      <c r="BV724" t="str">
        <f>"9"</f>
        <v>9</v>
      </c>
      <c r="BW724" t="str">
        <f>"Não visitado"</f>
        <v>Não visitado</v>
      </c>
    </row>
    <row r="725" spans="1:75" x14ac:dyDescent="0.35">
      <c r="A725">
        <v>134501</v>
      </c>
      <c r="B725" t="str">
        <f t="shared" si="360"/>
        <v>A</v>
      </c>
      <c r="C725" t="str">
        <f t="shared" si="361"/>
        <v>80</v>
      </c>
      <c r="D725" t="str">
        <f t="shared" si="351"/>
        <v>11121002</v>
      </c>
      <c r="E725" t="str">
        <f t="shared" si="352"/>
        <v>121002</v>
      </c>
      <c r="F725" t="str">
        <f t="shared" si="353"/>
        <v>CINTHIA NORONHA</v>
      </c>
      <c r="G725" t="str">
        <f>"76375583000105"</f>
        <v>76375583000105</v>
      </c>
      <c r="H725" t="str">
        <f>""</f>
        <v/>
      </c>
      <c r="I725" t="str">
        <f t="shared" si="362"/>
        <v>CONTA OPTICA</v>
      </c>
      <c r="J725" t="str">
        <f>"HELENA ROSA TESSARO ME"</f>
        <v>HELENA ROSA TESSARO ME</v>
      </c>
      <c r="K725" t="str">
        <f>"BRUNA TESSARO JOIAS (1951)"</f>
        <v>BRUNA TESSARO JOIAS (1951)</v>
      </c>
      <c r="L725" t="str">
        <f>""</f>
        <v/>
      </c>
      <c r="M725" t="str">
        <f>""</f>
        <v/>
      </c>
      <c r="N725" t="str">
        <f>"marciaabm@brunatessaro.com.br"</f>
        <v>marciaabm@brunatessaro.com.br</v>
      </c>
      <c r="O725" t="str">
        <f>""</f>
        <v/>
      </c>
      <c r="P725" t="str">
        <f>"RUA FELIPE SCHMIDT"</f>
        <v>RUA FELIPE SCHMIDT</v>
      </c>
      <c r="Q725" t="str">
        <f>"232"</f>
        <v>232</v>
      </c>
      <c r="R725" t="str">
        <f>""</f>
        <v/>
      </c>
      <c r="S725" t="str">
        <f>"1254"</f>
        <v>1254</v>
      </c>
      <c r="T725" t="str">
        <f>"88010000"</f>
        <v>88010000</v>
      </c>
      <c r="U725" t="str">
        <f>"CENTRO"</f>
        <v>CENTRO</v>
      </c>
      <c r="V725" t="str">
        <f>"FLORIANÓPOLIS"</f>
        <v>FLORIANÓPOLIS</v>
      </c>
      <c r="W725" t="str">
        <f t="shared" si="354"/>
        <v>SC</v>
      </c>
      <c r="X725" t="str">
        <f t="shared" si="370"/>
        <v>48</v>
      </c>
      <c r="Y725" t="str">
        <f>"32258843"</f>
        <v>32258843</v>
      </c>
      <c r="Z725" t="str">
        <f>""</f>
        <v/>
      </c>
      <c r="AA725" t="str">
        <f>""</f>
        <v/>
      </c>
      <c r="AB725" t="str">
        <f>""</f>
        <v/>
      </c>
      <c r="AC725" t="str">
        <f>""</f>
        <v/>
      </c>
      <c r="AD725" t="str">
        <f>""</f>
        <v/>
      </c>
      <c r="AE725" t="str">
        <f>""</f>
        <v/>
      </c>
      <c r="AF725" t="str">
        <f>""</f>
        <v/>
      </c>
      <c r="AG725" t="str">
        <f>"S"</f>
        <v>S</v>
      </c>
      <c r="AH725" t="str">
        <f>""</f>
        <v/>
      </c>
      <c r="AI725" t="str">
        <f>""</f>
        <v/>
      </c>
      <c r="AJ725" t="str">
        <f>""</f>
        <v/>
      </c>
      <c r="AK725" t="str">
        <f>""</f>
        <v/>
      </c>
      <c r="AL725" t="str">
        <f>""</f>
        <v/>
      </c>
      <c r="AM725" t="str">
        <f>""</f>
        <v/>
      </c>
      <c r="AN725" t="str">
        <f>""</f>
        <v/>
      </c>
      <c r="AO725" t="str">
        <f>""</f>
        <v/>
      </c>
      <c r="AP725" t="str">
        <f>""</f>
        <v/>
      </c>
      <c r="AQ725" t="str">
        <f>"N"</f>
        <v>N</v>
      </c>
      <c r="AR725" t="str">
        <f>"N"</f>
        <v>N</v>
      </c>
      <c r="AS725" t="str">
        <f>"N"</f>
        <v>N</v>
      </c>
      <c r="AT725" t="str">
        <f>"N"</f>
        <v>N</v>
      </c>
      <c r="AU725" t="str">
        <f>"N"</f>
        <v>N</v>
      </c>
      <c r="AV725" t="str">
        <f>""</f>
        <v/>
      </c>
      <c r="AW725" t="str">
        <f>""</f>
        <v/>
      </c>
      <c r="AX725" t="str">
        <f>""</f>
        <v/>
      </c>
      <c r="AY725" t="str">
        <f>""</f>
        <v/>
      </c>
      <c r="AZ725" t="str">
        <f>""</f>
        <v/>
      </c>
      <c r="BA725" t="str">
        <f>""</f>
        <v/>
      </c>
      <c r="BB725" t="str">
        <f>""</f>
        <v/>
      </c>
      <c r="BC725" t="str">
        <f>"04/04/2022 09:05:31"</f>
        <v>04/04/2022 09:05:31</v>
      </c>
      <c r="BD725" t="str">
        <f>""</f>
        <v/>
      </c>
      <c r="BE725" t="str">
        <f>""</f>
        <v/>
      </c>
      <c r="BF725" t="str">
        <f t="shared" si="363"/>
        <v>A</v>
      </c>
      <c r="BG725" t="str">
        <f>""</f>
        <v/>
      </c>
      <c r="BH725" t="str">
        <f>"0,00"</f>
        <v>0,00</v>
      </c>
      <c r="BI725" t="str">
        <f t="shared" si="344"/>
        <v>EVENTUAL</v>
      </c>
      <c r="BJ725" t="str">
        <f t="shared" si="364"/>
        <v>1</v>
      </c>
      <c r="BK725" t="str">
        <f t="shared" si="365"/>
        <v>Farmacia</v>
      </c>
      <c r="BL725" t="str">
        <f>""</f>
        <v/>
      </c>
      <c r="BM725" t="str">
        <f>"NÃO É VARILUX ESPECIALISTA"</f>
        <v>NÃO É VARILUX ESPECIALISTA</v>
      </c>
      <c r="BN725" t="str">
        <f>"EL360"</f>
        <v>EL360</v>
      </c>
      <c r="BO725" t="str">
        <f>"FOCO VARILUX"</f>
        <v>FOCO VARILUX</v>
      </c>
      <c r="BP725" t="str">
        <f>""</f>
        <v/>
      </c>
      <c r="BQ725" t="str">
        <f>""</f>
        <v/>
      </c>
      <c r="BR725" t="str">
        <f>""</f>
        <v/>
      </c>
      <c r="BS725" t="str">
        <f>"04/04/2022"</f>
        <v>04/04/2022</v>
      </c>
      <c r="BT725" t="str">
        <f>""</f>
        <v/>
      </c>
      <c r="BU725" t="str">
        <f>""</f>
        <v/>
      </c>
      <c r="BV725" t="str">
        <f>"9"</f>
        <v>9</v>
      </c>
      <c r="BW725" t="str">
        <f>"806"</f>
        <v>806</v>
      </c>
    </row>
    <row r="726" spans="1:75" x14ac:dyDescent="0.35">
      <c r="A726">
        <v>127739</v>
      </c>
      <c r="B726" t="str">
        <f t="shared" si="360"/>
        <v>A</v>
      </c>
      <c r="C726" t="str">
        <f t="shared" si="361"/>
        <v>80</v>
      </c>
      <c r="D726" t="str">
        <f t="shared" si="351"/>
        <v>11121002</v>
      </c>
      <c r="E726" t="str">
        <f t="shared" si="352"/>
        <v>121002</v>
      </c>
      <c r="F726" t="str">
        <f t="shared" si="353"/>
        <v>CINTHIA NORONHA</v>
      </c>
      <c r="G726" t="str">
        <f>"07846726000199"</f>
        <v>07846726000199</v>
      </c>
      <c r="H726" t="str">
        <f>"0"</f>
        <v>0</v>
      </c>
      <c r="I726" t="str">
        <f t="shared" si="362"/>
        <v>CONTA OPTICA</v>
      </c>
      <c r="J726" t="str">
        <f>"HELENA TESSARO &amp; CIA LTDA  ME"</f>
        <v>HELENA TESSARO &amp; CIA LTDA  ME</v>
      </c>
      <c r="K726" t="str">
        <f>"BRUNA TESSARO JOIAS (1746)"</f>
        <v>BRUNA TESSARO JOIAS (1746)</v>
      </c>
      <c r="L726" t="str">
        <f>""</f>
        <v/>
      </c>
      <c r="M726" t="str">
        <f>""</f>
        <v/>
      </c>
      <c r="N726" t="str">
        <f>"marciaadm@brunatessaro.com.br"</f>
        <v>marciaadm@brunatessaro.com.br</v>
      </c>
      <c r="O726" t="str">
        <f>""</f>
        <v/>
      </c>
      <c r="P726" t="str">
        <f>"RUA DEODORO"</f>
        <v>RUA DEODORO</v>
      </c>
      <c r="Q726" t="str">
        <f>"219"</f>
        <v>219</v>
      </c>
      <c r="R726" t="str">
        <f>""</f>
        <v/>
      </c>
      <c r="S726" t="str">
        <f>"1254"</f>
        <v>1254</v>
      </c>
      <c r="T726" t="str">
        <f>"88010020"</f>
        <v>88010020</v>
      </c>
      <c r="U726" t="str">
        <f>"CENTRO"</f>
        <v>CENTRO</v>
      </c>
      <c r="V726" t="str">
        <f>"FLORIANÓPOLIS"</f>
        <v>FLORIANÓPOLIS</v>
      </c>
      <c r="W726" t="str">
        <f t="shared" ref="W726:W747" si="372">"SC"</f>
        <v>SC</v>
      </c>
      <c r="X726" t="str">
        <f t="shared" si="370"/>
        <v>48</v>
      </c>
      <c r="Y726" t="str">
        <f>"32237004"</f>
        <v>32237004</v>
      </c>
      <c r="Z726" t="str">
        <f>""</f>
        <v/>
      </c>
      <c r="AA726" t="str">
        <f>""</f>
        <v/>
      </c>
      <c r="AB726" t="str">
        <f>""</f>
        <v/>
      </c>
      <c r="AC726" t="str">
        <f>""</f>
        <v/>
      </c>
      <c r="AD726" t="str">
        <f>""</f>
        <v/>
      </c>
      <c r="AE726" t="str">
        <f>""</f>
        <v/>
      </c>
      <c r="AF726" t="str">
        <f>""</f>
        <v/>
      </c>
      <c r="AG726" t="str">
        <f>""</f>
        <v/>
      </c>
      <c r="AH726" t="str">
        <f>""</f>
        <v/>
      </c>
      <c r="AI726" t="str">
        <f>""</f>
        <v/>
      </c>
      <c r="AJ726" t="str">
        <f t="shared" ref="AJ726:AL727" si="373">"0"</f>
        <v>0</v>
      </c>
      <c r="AK726" t="str">
        <f t="shared" si="373"/>
        <v>0</v>
      </c>
      <c r="AL726" t="str">
        <f t="shared" si="373"/>
        <v>0</v>
      </c>
      <c r="AM726" t="str">
        <f>""</f>
        <v/>
      </c>
      <c r="AN726" t="str">
        <f>""</f>
        <v/>
      </c>
      <c r="AO726" t="str">
        <f>""</f>
        <v/>
      </c>
      <c r="AP726" t="str">
        <f>""</f>
        <v/>
      </c>
      <c r="AQ726" t="str">
        <f>""</f>
        <v/>
      </c>
      <c r="AR726" t="str">
        <f>""</f>
        <v/>
      </c>
      <c r="AS726" t="str">
        <f>""</f>
        <v/>
      </c>
      <c r="AT726" t="str">
        <f>""</f>
        <v/>
      </c>
      <c r="AU726" t="str">
        <f>""</f>
        <v/>
      </c>
      <c r="AV726" t="str">
        <f>""</f>
        <v/>
      </c>
      <c r="AW726" t="str">
        <f>""</f>
        <v/>
      </c>
      <c r="AX726" t="str">
        <f>""</f>
        <v/>
      </c>
      <c r="AY726" t="str">
        <f>""</f>
        <v/>
      </c>
      <c r="AZ726" t="str">
        <f>""</f>
        <v/>
      </c>
      <c r="BA726" t="str">
        <f>""</f>
        <v/>
      </c>
      <c r="BB726" t="str">
        <f>"07/10/2020 09:08:38"</f>
        <v>07/10/2020 09:08:38</v>
      </c>
      <c r="BC726" t="str">
        <f>""</f>
        <v/>
      </c>
      <c r="BD726" t="str">
        <f>""</f>
        <v/>
      </c>
      <c r="BE726" t="str">
        <f>""</f>
        <v/>
      </c>
      <c r="BF726" t="str">
        <f t="shared" si="363"/>
        <v>A</v>
      </c>
      <c r="BG726" t="str">
        <f>"0,00"</f>
        <v>0,00</v>
      </c>
      <c r="BH726" t="str">
        <f>"0,00"</f>
        <v>0,00</v>
      </c>
      <c r="BI726" t="str">
        <f t="shared" si="344"/>
        <v>EVENTUAL</v>
      </c>
      <c r="BJ726" t="str">
        <f t="shared" si="364"/>
        <v>1</v>
      </c>
      <c r="BK726" t="str">
        <f t="shared" si="365"/>
        <v>Farmacia</v>
      </c>
      <c r="BL726" t="str">
        <f>""</f>
        <v/>
      </c>
      <c r="BM726" t="str">
        <f>"NÃO É VARILUX ESPECIALISTA"</f>
        <v>NÃO É VARILUX ESPECIALISTA</v>
      </c>
      <c r="BN726" t="str">
        <f>"NA"</f>
        <v>NA</v>
      </c>
      <c r="BO726" t="str">
        <f>"FOCO VARILUX DIGITAL"</f>
        <v>FOCO VARILUX DIGITAL</v>
      </c>
      <c r="BP726" t="str">
        <f>""</f>
        <v/>
      </c>
      <c r="BQ726" t="str">
        <f>""</f>
        <v/>
      </c>
      <c r="BR726" t="str">
        <f>"07/10/2020"</f>
        <v>07/10/2020</v>
      </c>
      <c r="BS726" t="str">
        <f>""</f>
        <v/>
      </c>
      <c r="BT726" t="str">
        <f>""</f>
        <v/>
      </c>
      <c r="BU726" t="str">
        <f>""</f>
        <v/>
      </c>
      <c r="BV726" t="str">
        <f>"2"</f>
        <v>2</v>
      </c>
      <c r="BW726" t="str">
        <f>"Não visitado"</f>
        <v>Não visitado</v>
      </c>
    </row>
    <row r="727" spans="1:75" x14ac:dyDescent="0.35">
      <c r="A727">
        <v>144387</v>
      </c>
      <c r="B727" t="str">
        <f t="shared" si="360"/>
        <v>A</v>
      </c>
      <c r="C727" t="str">
        <f t="shared" si="361"/>
        <v>80</v>
      </c>
      <c r="D727" t="str">
        <f t="shared" si="351"/>
        <v>11121002</v>
      </c>
      <c r="E727" t="str">
        <f t="shared" si="352"/>
        <v>121002</v>
      </c>
      <c r="F727" t="str">
        <f t="shared" si="353"/>
        <v>CINTHIA NORONHA</v>
      </c>
      <c r="G727" t="str">
        <f>"82917402000110"</f>
        <v>82917402000110</v>
      </c>
      <c r="H727" t="str">
        <f>""</f>
        <v/>
      </c>
      <c r="I727" t="str">
        <f t="shared" si="362"/>
        <v>CONTA OPTICA</v>
      </c>
      <c r="J727" t="str">
        <f>"HELIO ANIBAL GUZZATTI  EPP"</f>
        <v>HELIO ANIBAL GUZZATTI  EPP</v>
      </c>
      <c r="K727" t="str">
        <f>"HELIO ANIBAL GUZZATTI (628)"</f>
        <v>HELIO ANIBAL GUZZATTI (628)</v>
      </c>
      <c r="L727" t="str">
        <f>""</f>
        <v/>
      </c>
      <c r="M727" t="str">
        <f>""</f>
        <v/>
      </c>
      <c r="N727" t="str">
        <f>"assistenciaguzzatti@gmail.com"</f>
        <v>assistenciaguzzatti@gmail.com</v>
      </c>
      <c r="O727" t="str">
        <f>""</f>
        <v/>
      </c>
      <c r="P727" t="str">
        <f>"RUA CONSELHEIRO JOAO ZANETTE"</f>
        <v>RUA CONSELHEIRO JOAO ZANETTE</v>
      </c>
      <c r="Q727" t="str">
        <f>"12"</f>
        <v>12</v>
      </c>
      <c r="R727" t="str">
        <f>""</f>
        <v/>
      </c>
      <c r="S727" t="str">
        <f>"1269"</f>
        <v>1269</v>
      </c>
      <c r="T727" t="str">
        <f>"88801050"</f>
        <v>88801050</v>
      </c>
      <c r="U727" t="str">
        <f>"CENTRO"</f>
        <v>CENTRO</v>
      </c>
      <c r="V727" t="str">
        <f>"CRICIÚMA"</f>
        <v>CRICIÚMA</v>
      </c>
      <c r="W727" t="str">
        <f t="shared" si="372"/>
        <v>SC</v>
      </c>
      <c r="X727" t="str">
        <f t="shared" si="370"/>
        <v>48</v>
      </c>
      <c r="Y727" t="str">
        <f>"34333582"</f>
        <v>34333582</v>
      </c>
      <c r="Z727" t="str">
        <f>""</f>
        <v/>
      </c>
      <c r="AA727" t="str">
        <f>""</f>
        <v/>
      </c>
      <c r="AB727" t="str">
        <f>""</f>
        <v/>
      </c>
      <c r="AC727" t="str">
        <f>""</f>
        <v/>
      </c>
      <c r="AD727" t="str">
        <f>""</f>
        <v/>
      </c>
      <c r="AE727" t="str">
        <f>""</f>
        <v/>
      </c>
      <c r="AF727" t="str">
        <f>""</f>
        <v/>
      </c>
      <c r="AG727" t="str">
        <f>""</f>
        <v/>
      </c>
      <c r="AH727" t="str">
        <f>""</f>
        <v/>
      </c>
      <c r="AI727" t="str">
        <f>""</f>
        <v/>
      </c>
      <c r="AJ727" t="str">
        <f t="shared" si="373"/>
        <v>0</v>
      </c>
      <c r="AK727" t="str">
        <f t="shared" si="373"/>
        <v>0</v>
      </c>
      <c r="AL727" t="str">
        <f t="shared" si="373"/>
        <v>0</v>
      </c>
      <c r="AM727" t="str">
        <f>""</f>
        <v/>
      </c>
      <c r="AN727" t="str">
        <f>""</f>
        <v/>
      </c>
      <c r="AO727" t="str">
        <f>""</f>
        <v/>
      </c>
      <c r="AP727" t="str">
        <f>""</f>
        <v/>
      </c>
      <c r="AQ727" t="str">
        <f>""</f>
        <v/>
      </c>
      <c r="AR727" t="str">
        <f>""</f>
        <v/>
      </c>
      <c r="AS727" t="str">
        <f>""</f>
        <v/>
      </c>
      <c r="AT727" t="str">
        <f>""</f>
        <v/>
      </c>
      <c r="AU727" t="str">
        <f>""</f>
        <v/>
      </c>
      <c r="AV727" t="str">
        <f>""</f>
        <v/>
      </c>
      <c r="AW727" t="str">
        <f>""</f>
        <v/>
      </c>
      <c r="AX727" t="str">
        <f>""</f>
        <v/>
      </c>
      <c r="AY727" t="str">
        <f>""</f>
        <v/>
      </c>
      <c r="AZ727" t="str">
        <f>""</f>
        <v/>
      </c>
      <c r="BA727" t="str">
        <f>""</f>
        <v/>
      </c>
      <c r="BB727" t="str">
        <f>""</f>
        <v/>
      </c>
      <c r="BC727" t="str">
        <f>""</f>
        <v/>
      </c>
      <c r="BD727" t="str">
        <f>""</f>
        <v/>
      </c>
      <c r="BE727" t="str">
        <f>""</f>
        <v/>
      </c>
      <c r="BF727" t="str">
        <f t="shared" si="363"/>
        <v>A</v>
      </c>
      <c r="BG727" t="str">
        <f>"0,00"</f>
        <v>0,00</v>
      </c>
      <c r="BH727" t="str">
        <f>"0,00"</f>
        <v>0,00</v>
      </c>
      <c r="BI727" t="str">
        <f t="shared" si="344"/>
        <v>EVENTUAL</v>
      </c>
      <c r="BJ727" t="str">
        <f t="shared" si="364"/>
        <v>1</v>
      </c>
      <c r="BK727" t="str">
        <f t="shared" si="365"/>
        <v>Farmacia</v>
      </c>
      <c r="BL727" t="str">
        <f>""</f>
        <v/>
      </c>
      <c r="BM727" t="str">
        <f>"VARILUX ESPECIALISTA SELECT"</f>
        <v>VARILUX ESPECIALISTA SELECT</v>
      </c>
      <c r="BN727" t="str">
        <f>"NA"</f>
        <v>NA</v>
      </c>
      <c r="BO727" t="str">
        <f>"FOCO VARILUX DIGITAL"</f>
        <v>FOCO VARILUX DIGITAL</v>
      </c>
      <c r="BP727" t="str">
        <f>""</f>
        <v/>
      </c>
      <c r="BQ727" t="str">
        <f>""</f>
        <v/>
      </c>
      <c r="BR727" t="str">
        <f>""</f>
        <v/>
      </c>
      <c r="BS727" t="str">
        <f>""</f>
        <v/>
      </c>
      <c r="BT727" t="str">
        <f>""</f>
        <v/>
      </c>
      <c r="BU727" t="str">
        <f>""</f>
        <v/>
      </c>
      <c r="BV727" t="str">
        <f>"1"</f>
        <v>1</v>
      </c>
      <c r="BW727" t="str">
        <f>"36"</f>
        <v>36</v>
      </c>
    </row>
    <row r="728" spans="1:75" x14ac:dyDescent="0.35">
      <c r="A728">
        <v>157720</v>
      </c>
      <c r="B728" t="str">
        <f t="shared" si="360"/>
        <v>A</v>
      </c>
      <c r="C728" t="str">
        <f t="shared" si="361"/>
        <v>80</v>
      </c>
      <c r="D728" t="str">
        <f t="shared" si="351"/>
        <v>11121002</v>
      </c>
      <c r="E728" t="str">
        <f t="shared" si="352"/>
        <v>121002</v>
      </c>
      <c r="F728" t="str">
        <f t="shared" si="353"/>
        <v>CINTHIA NORONHA</v>
      </c>
      <c r="G728" t="str">
        <f>"09136699000196"</f>
        <v>09136699000196</v>
      </c>
      <c r="H728" t="str">
        <f>"0"</f>
        <v>0</v>
      </c>
      <c r="I728" t="str">
        <f t="shared" si="362"/>
        <v>CONTA OPTICA</v>
      </c>
      <c r="J728" t="str">
        <f>"HELIO RODRIGUES JUNIOR ME"</f>
        <v>HELIO RODRIGUES JUNIOR ME</v>
      </c>
      <c r="K728" t="str">
        <f>"HELIO RODRIGUES JUNIOR ME (1825)"</f>
        <v>HELIO RODRIGUES JUNIOR ME (1825)</v>
      </c>
      <c r="L728" t="str">
        <f>""</f>
        <v/>
      </c>
      <c r="M728" t="str">
        <f>""</f>
        <v/>
      </c>
      <c r="N728" t="str">
        <f>"HELIOJUNIRO35@HOTMAIL.COM"</f>
        <v>HELIOJUNIRO35@HOTMAIL.COM</v>
      </c>
      <c r="O728" t="str">
        <f>""</f>
        <v/>
      </c>
      <c r="P728" t="str">
        <f>"RUA NOSSA SENHORA DO ROSARIO"</f>
        <v>RUA NOSSA SENHORA DO ROSARIO</v>
      </c>
      <c r="Q728" t="str">
        <f>"20"</f>
        <v>20</v>
      </c>
      <c r="R728" t="str">
        <f>"SALA 301"</f>
        <v>SALA 301</v>
      </c>
      <c r="S728" t="str">
        <f>"1258"</f>
        <v>1258</v>
      </c>
      <c r="T728" t="str">
        <f>"88095250"</f>
        <v>88095250</v>
      </c>
      <c r="U728" t="str">
        <f>"JARDIM ATLANTICO"</f>
        <v>JARDIM ATLANTICO</v>
      </c>
      <c r="V728" t="str">
        <f>"FLORIANOPOLIS"</f>
        <v>FLORIANOPOLIS</v>
      </c>
      <c r="W728" t="str">
        <f t="shared" si="372"/>
        <v>SC</v>
      </c>
      <c r="X728" t="str">
        <f t="shared" si="370"/>
        <v>48</v>
      </c>
      <c r="Y728" t="str">
        <f>"33696869"</f>
        <v>33696869</v>
      </c>
      <c r="Z728" t="str">
        <f>""</f>
        <v/>
      </c>
      <c r="AA728" t="str">
        <f>""</f>
        <v/>
      </c>
      <c r="AB728" t="str">
        <f>""</f>
        <v/>
      </c>
      <c r="AC728" t="str">
        <f>""</f>
        <v/>
      </c>
      <c r="AD728" t="str">
        <f>""</f>
        <v/>
      </c>
      <c r="AE728" t="str">
        <f>""</f>
        <v/>
      </c>
      <c r="AF728" t="str">
        <f>""</f>
        <v/>
      </c>
      <c r="AG728" t="str">
        <f>""</f>
        <v/>
      </c>
      <c r="AH728" t="str">
        <f>""</f>
        <v/>
      </c>
      <c r="AI728" t="str">
        <f>""</f>
        <v/>
      </c>
      <c r="AJ728" t="str">
        <f>""</f>
        <v/>
      </c>
      <c r="AK728" t="str">
        <f>""</f>
        <v/>
      </c>
      <c r="AL728" t="str">
        <f>""</f>
        <v/>
      </c>
      <c r="AM728" t="str">
        <f>""</f>
        <v/>
      </c>
      <c r="AN728" t="str">
        <f>""</f>
        <v/>
      </c>
      <c r="AO728" t="str">
        <f>""</f>
        <v/>
      </c>
      <c r="AP728" t="str">
        <f>""</f>
        <v/>
      </c>
      <c r="AQ728" t="str">
        <f>""</f>
        <v/>
      </c>
      <c r="AR728" t="str">
        <f>""</f>
        <v/>
      </c>
      <c r="AS728" t="str">
        <f>""</f>
        <v/>
      </c>
      <c r="AT728" t="str">
        <f>""</f>
        <v/>
      </c>
      <c r="AU728" t="str">
        <f>""</f>
        <v/>
      </c>
      <c r="AV728" t="str">
        <f>""</f>
        <v/>
      </c>
      <c r="AW728" t="str">
        <f>""</f>
        <v/>
      </c>
      <c r="AX728" t="str">
        <f>""</f>
        <v/>
      </c>
      <c r="AY728" t="str">
        <f>""</f>
        <v/>
      </c>
      <c r="AZ728" t="str">
        <f>""</f>
        <v/>
      </c>
      <c r="BA728" t="str">
        <f>""</f>
        <v/>
      </c>
      <c r="BB728" t="str">
        <f>"11/07/2023 02:19:56"</f>
        <v>11/07/2023 02:19:56</v>
      </c>
      <c r="BC728" t="str">
        <f>""</f>
        <v/>
      </c>
      <c r="BD728" t="str">
        <f>""</f>
        <v/>
      </c>
      <c r="BE728" t="str">
        <f>""</f>
        <v/>
      </c>
      <c r="BF728" t="str">
        <f t="shared" si="363"/>
        <v>A</v>
      </c>
      <c r="BG728" t="str">
        <f>""</f>
        <v/>
      </c>
      <c r="BH728" t="str">
        <f>""</f>
        <v/>
      </c>
      <c r="BI728" t="str">
        <f t="shared" si="344"/>
        <v>EVENTUAL</v>
      </c>
      <c r="BJ728" t="str">
        <f t="shared" si="364"/>
        <v>1</v>
      </c>
      <c r="BK728" t="str">
        <f t="shared" si="365"/>
        <v>Farmacia</v>
      </c>
      <c r="BL728" t="str">
        <f>""</f>
        <v/>
      </c>
      <c r="BM728" t="str">
        <f>""</f>
        <v/>
      </c>
      <c r="BN728" t="str">
        <f>""</f>
        <v/>
      </c>
      <c r="BO728" t="str">
        <f>""</f>
        <v/>
      </c>
      <c r="BP728" t="str">
        <f>""</f>
        <v/>
      </c>
      <c r="BQ728" t="str">
        <f>""</f>
        <v/>
      </c>
      <c r="BR728" t="str">
        <f>"11/07/2023"</f>
        <v>11/07/2023</v>
      </c>
      <c r="BS728" t="str">
        <f>""</f>
        <v/>
      </c>
      <c r="BT728" t="str">
        <f>""</f>
        <v/>
      </c>
      <c r="BU728" t="str">
        <f>""</f>
        <v/>
      </c>
      <c r="BV728" t="str">
        <f>""</f>
        <v/>
      </c>
      <c r="BW728" t="str">
        <f>"Não visitado"</f>
        <v>Não visitado</v>
      </c>
    </row>
    <row r="729" spans="1:75" x14ac:dyDescent="0.35">
      <c r="A729">
        <v>157718</v>
      </c>
      <c r="B729" t="str">
        <f t="shared" si="360"/>
        <v>A</v>
      </c>
      <c r="C729" t="str">
        <f t="shared" si="361"/>
        <v>80</v>
      </c>
      <c r="D729" t="str">
        <f t="shared" si="351"/>
        <v>11121002</v>
      </c>
      <c r="E729" t="str">
        <f t="shared" si="352"/>
        <v>121002</v>
      </c>
      <c r="F729" t="str">
        <f t="shared" si="353"/>
        <v>CINTHIA NORONHA</v>
      </c>
      <c r="G729" t="str">
        <f>"06865033000180"</f>
        <v>06865033000180</v>
      </c>
      <c r="H729" t="str">
        <f>"0"</f>
        <v>0</v>
      </c>
      <c r="I729" t="str">
        <f t="shared" si="362"/>
        <v>CONTA OPTICA</v>
      </c>
      <c r="J729" t="str">
        <f>"HELIO RODRIGUES JUVENIL ME"</f>
        <v>HELIO RODRIGUES JUVENIL ME</v>
      </c>
      <c r="K729" t="str">
        <f>"LUZ OTICA REL. FOTO (1879)"</f>
        <v>LUZ OTICA REL. FOTO (1879)</v>
      </c>
      <c r="L729" t="str">
        <f>""</f>
        <v/>
      </c>
      <c r="M729" t="str">
        <f>""</f>
        <v/>
      </c>
      <c r="N729" t="str">
        <f>""</f>
        <v/>
      </c>
      <c r="O729" t="str">
        <f>""</f>
        <v/>
      </c>
      <c r="P729" t="str">
        <f>"RUA DAS DUNAS"</f>
        <v>RUA DAS DUNAS</v>
      </c>
      <c r="Q729" t="str">
        <f>"21"</f>
        <v>21</v>
      </c>
      <c r="R729" t="str">
        <f>"SALA 04"</f>
        <v>SALA 04</v>
      </c>
      <c r="S729" t="str">
        <f>"1257"</f>
        <v>1257</v>
      </c>
      <c r="T729" t="str">
        <f>"88058610"</f>
        <v>88058610</v>
      </c>
      <c r="U729" t="str">
        <f>"INGLESES"</f>
        <v>INGLESES</v>
      </c>
      <c r="V729" t="str">
        <f>"FLORIANOPOLIS"</f>
        <v>FLORIANOPOLIS</v>
      </c>
      <c r="W729" t="str">
        <f t="shared" si="372"/>
        <v>SC</v>
      </c>
      <c r="X729" t="str">
        <f t="shared" si="370"/>
        <v>48</v>
      </c>
      <c r="Y729" t="str">
        <f>"33696869"</f>
        <v>33696869</v>
      </c>
      <c r="Z729" t="str">
        <f>""</f>
        <v/>
      </c>
      <c r="AA729" t="str">
        <f>""</f>
        <v/>
      </c>
      <c r="AB729" t="str">
        <f>""</f>
        <v/>
      </c>
      <c r="AC729" t="str">
        <f>""</f>
        <v/>
      </c>
      <c r="AD729" t="str">
        <f>""</f>
        <v/>
      </c>
      <c r="AE729" t="str">
        <f>""</f>
        <v/>
      </c>
      <c r="AF729" t="str">
        <f>""</f>
        <v/>
      </c>
      <c r="AG729" t="str">
        <f>""</f>
        <v/>
      </c>
      <c r="AH729" t="str">
        <f>""</f>
        <v/>
      </c>
      <c r="AI729" t="str">
        <f>""</f>
        <v/>
      </c>
      <c r="AJ729" t="str">
        <f>""</f>
        <v/>
      </c>
      <c r="AK729" t="str">
        <f>""</f>
        <v/>
      </c>
      <c r="AL729" t="str">
        <f>""</f>
        <v/>
      </c>
      <c r="AM729" t="str">
        <f>""</f>
        <v/>
      </c>
      <c r="AN729" t="str">
        <f>""</f>
        <v/>
      </c>
      <c r="AO729" t="str">
        <f>""</f>
        <v/>
      </c>
      <c r="AP729" t="str">
        <f>""</f>
        <v/>
      </c>
      <c r="AQ729" t="str">
        <f>""</f>
        <v/>
      </c>
      <c r="AR729" t="str">
        <f>""</f>
        <v/>
      </c>
      <c r="AS729" t="str">
        <f>""</f>
        <v/>
      </c>
      <c r="AT729" t="str">
        <f>""</f>
        <v/>
      </c>
      <c r="AU729" t="str">
        <f>""</f>
        <v/>
      </c>
      <c r="AV729" t="str">
        <f>""</f>
        <v/>
      </c>
      <c r="AW729" t="str">
        <f>""</f>
        <v/>
      </c>
      <c r="AX729" t="str">
        <f>""</f>
        <v/>
      </c>
      <c r="AY729" t="str">
        <f>""</f>
        <v/>
      </c>
      <c r="AZ729" t="str">
        <f>""</f>
        <v/>
      </c>
      <c r="BA729" t="str">
        <f>""</f>
        <v/>
      </c>
      <c r="BB729" t="str">
        <f>"11/07/2023 02:19:56"</f>
        <v>11/07/2023 02:19:56</v>
      </c>
      <c r="BC729" t="str">
        <f>""</f>
        <v/>
      </c>
      <c r="BD729" t="str">
        <f>""</f>
        <v/>
      </c>
      <c r="BE729" t="str">
        <f>""</f>
        <v/>
      </c>
      <c r="BF729" t="str">
        <f t="shared" si="363"/>
        <v>A</v>
      </c>
      <c r="BG729" t="str">
        <f>""</f>
        <v/>
      </c>
      <c r="BH729" t="str">
        <f>""</f>
        <v/>
      </c>
      <c r="BI729" t="str">
        <f t="shared" si="344"/>
        <v>EVENTUAL</v>
      </c>
      <c r="BJ729" t="str">
        <f t="shared" si="364"/>
        <v>1</v>
      </c>
      <c r="BK729" t="str">
        <f t="shared" si="365"/>
        <v>Farmacia</v>
      </c>
      <c r="BL729" t="str">
        <f>""</f>
        <v/>
      </c>
      <c r="BM729" t="str">
        <f>""</f>
        <v/>
      </c>
      <c r="BN729" t="str">
        <f>""</f>
        <v/>
      </c>
      <c r="BO729" t="str">
        <f>""</f>
        <v/>
      </c>
      <c r="BP729" t="str">
        <f>""</f>
        <v/>
      </c>
      <c r="BQ729" t="str">
        <f>""</f>
        <v/>
      </c>
      <c r="BR729" t="str">
        <f>"11/07/2023"</f>
        <v>11/07/2023</v>
      </c>
      <c r="BS729" t="str">
        <f>""</f>
        <v/>
      </c>
      <c r="BT729" t="str">
        <f>""</f>
        <v/>
      </c>
      <c r="BU729" t="str">
        <f>""</f>
        <v/>
      </c>
      <c r="BV729" t="str">
        <f>""</f>
        <v/>
      </c>
      <c r="BW729" t="str">
        <f>"Não visitado"</f>
        <v>Não visitado</v>
      </c>
    </row>
    <row r="730" spans="1:75" x14ac:dyDescent="0.35">
      <c r="A730">
        <v>157643</v>
      </c>
      <c r="B730" t="str">
        <f t="shared" si="360"/>
        <v>A</v>
      </c>
      <c r="C730" t="str">
        <f t="shared" si="361"/>
        <v>80</v>
      </c>
      <c r="D730" t="str">
        <f t="shared" si="351"/>
        <v>11121002</v>
      </c>
      <c r="E730" t="str">
        <f t="shared" si="352"/>
        <v>121002</v>
      </c>
      <c r="F730" t="str">
        <f t="shared" si="353"/>
        <v>CINTHIA NORONHA</v>
      </c>
      <c r="G730" t="str">
        <f>"29474568000207"</f>
        <v>29474568000207</v>
      </c>
      <c r="H730" t="str">
        <f>"0"</f>
        <v>0</v>
      </c>
      <c r="I730" t="str">
        <f t="shared" si="362"/>
        <v>CONTA OPTICA</v>
      </c>
      <c r="J730" t="str">
        <f>"IAGO GRIGIO"</f>
        <v>IAGO GRIGIO</v>
      </c>
      <c r="K730" t="str">
        <f>"RELOJOARIA E OTICA IAGO (4214)"</f>
        <v>RELOJOARIA E OTICA IAGO (4214)</v>
      </c>
      <c r="L730" t="str">
        <f>""</f>
        <v/>
      </c>
      <c r="M730" t="str">
        <f>""</f>
        <v/>
      </c>
      <c r="N730" t="str">
        <f>"IGRIGIO@UCS.BR"</f>
        <v>IGRIGIO@UCS.BR</v>
      </c>
      <c r="O730" t="str">
        <f>""</f>
        <v/>
      </c>
      <c r="P730" t="str">
        <f>"RUA RUI BARBOSA"</f>
        <v>RUA RUI BARBOSA</v>
      </c>
      <c r="Q730" t="str">
        <f>"1322"</f>
        <v>1322</v>
      </c>
      <c r="R730" t="str">
        <f>""</f>
        <v/>
      </c>
      <c r="S730" t="str">
        <f>"1270"</f>
        <v>1270</v>
      </c>
      <c r="T730" t="str">
        <f>"88930000"</f>
        <v>88930000</v>
      </c>
      <c r="U730" t="str">
        <f>"CENTRO"</f>
        <v>CENTRO</v>
      </c>
      <c r="V730" t="str">
        <f>"TURVO"</f>
        <v>TURVO</v>
      </c>
      <c r="W730" t="str">
        <f t="shared" si="372"/>
        <v>SC</v>
      </c>
      <c r="X730" t="str">
        <f t="shared" si="370"/>
        <v>48</v>
      </c>
      <c r="Y730" t="str">
        <f>"34200932"</f>
        <v>34200932</v>
      </c>
      <c r="Z730" t="str">
        <f>""</f>
        <v/>
      </c>
      <c r="AA730" t="str">
        <f>""</f>
        <v/>
      </c>
      <c r="AB730" t="str">
        <f>""</f>
        <v/>
      </c>
      <c r="AC730" t="str">
        <f>""</f>
        <v/>
      </c>
      <c r="AD730" t="str">
        <f>""</f>
        <v/>
      </c>
      <c r="AE730" t="str">
        <f>""</f>
        <v/>
      </c>
      <c r="AF730" t="str">
        <f>""</f>
        <v/>
      </c>
      <c r="AG730" t="str">
        <f>""</f>
        <v/>
      </c>
      <c r="AH730" t="str">
        <f>""</f>
        <v/>
      </c>
      <c r="AI730" t="str">
        <f>""</f>
        <v/>
      </c>
      <c r="AJ730" t="str">
        <f>""</f>
        <v/>
      </c>
      <c r="AK730" t="str">
        <f>""</f>
        <v/>
      </c>
      <c r="AL730" t="str">
        <f>""</f>
        <v/>
      </c>
      <c r="AM730" t="str">
        <f>""</f>
        <v/>
      </c>
      <c r="AN730" t="str">
        <f>""</f>
        <v/>
      </c>
      <c r="AO730" t="str">
        <f>""</f>
        <v/>
      </c>
      <c r="AP730" t="str">
        <f>""</f>
        <v/>
      </c>
      <c r="AQ730" t="str">
        <f>""</f>
        <v/>
      </c>
      <c r="AR730" t="str">
        <f>""</f>
        <v/>
      </c>
      <c r="AS730" t="str">
        <f>""</f>
        <v/>
      </c>
      <c r="AT730" t="str">
        <f>""</f>
        <v/>
      </c>
      <c r="AU730" t="str">
        <f>""</f>
        <v/>
      </c>
      <c r="AV730" t="str">
        <f>""</f>
        <v/>
      </c>
      <c r="AW730" t="str">
        <f>""</f>
        <v/>
      </c>
      <c r="AX730" t="str">
        <f>""</f>
        <v/>
      </c>
      <c r="AY730" t="str">
        <f>""</f>
        <v/>
      </c>
      <c r="AZ730" t="str">
        <f>""</f>
        <v/>
      </c>
      <c r="BA730" t="str">
        <f>""</f>
        <v/>
      </c>
      <c r="BB730" t="str">
        <f>"11/07/2023 02:19:56"</f>
        <v>11/07/2023 02:19:56</v>
      </c>
      <c r="BC730" t="str">
        <f>""</f>
        <v/>
      </c>
      <c r="BD730" t="str">
        <f>""</f>
        <v/>
      </c>
      <c r="BE730" t="str">
        <f>""</f>
        <v/>
      </c>
      <c r="BF730" t="str">
        <f t="shared" si="363"/>
        <v>A</v>
      </c>
      <c r="BG730" t="str">
        <f>""</f>
        <v/>
      </c>
      <c r="BH730" t="str">
        <f>""</f>
        <v/>
      </c>
      <c r="BI730" t="str">
        <f t="shared" si="344"/>
        <v>EVENTUAL</v>
      </c>
      <c r="BJ730" t="str">
        <f t="shared" si="364"/>
        <v>1</v>
      </c>
      <c r="BK730" t="str">
        <f t="shared" si="365"/>
        <v>Farmacia</v>
      </c>
      <c r="BL730" t="str">
        <f>""</f>
        <v/>
      </c>
      <c r="BM730" t="str">
        <f>""</f>
        <v/>
      </c>
      <c r="BN730" t="str">
        <f>""</f>
        <v/>
      </c>
      <c r="BO730" t="str">
        <f>""</f>
        <v/>
      </c>
      <c r="BP730" t="str">
        <f>""</f>
        <v/>
      </c>
      <c r="BQ730" t="str">
        <f>""</f>
        <v/>
      </c>
      <c r="BR730" t="str">
        <f>"11/07/2023"</f>
        <v>11/07/2023</v>
      </c>
      <c r="BS730" t="str">
        <f>""</f>
        <v/>
      </c>
      <c r="BT730" t="str">
        <f>""</f>
        <v/>
      </c>
      <c r="BU730" t="str">
        <f>""</f>
        <v/>
      </c>
      <c r="BV730" t="str">
        <f>""</f>
        <v/>
      </c>
      <c r="BW730" t="str">
        <f>"Não visitado"</f>
        <v>Não visitado</v>
      </c>
    </row>
    <row r="731" spans="1:75" x14ac:dyDescent="0.35">
      <c r="A731">
        <v>134474</v>
      </c>
      <c r="B731" t="str">
        <f t="shared" si="360"/>
        <v>A</v>
      </c>
      <c r="C731" t="str">
        <f t="shared" si="361"/>
        <v>80</v>
      </c>
      <c r="D731" t="str">
        <f t="shared" si="351"/>
        <v>11121002</v>
      </c>
      <c r="E731" t="str">
        <f t="shared" si="352"/>
        <v>121002</v>
      </c>
      <c r="F731" t="str">
        <f t="shared" si="353"/>
        <v>CINTHIA NORONHA</v>
      </c>
      <c r="G731" t="str">
        <f>"17288409000158"</f>
        <v>17288409000158</v>
      </c>
      <c r="H731" t="str">
        <f>""</f>
        <v/>
      </c>
      <c r="I731" t="str">
        <f t="shared" si="362"/>
        <v>CONTA OPTICA</v>
      </c>
      <c r="J731" t="str">
        <f>"IG COMERCIO DE PRODUTOS OTICOS EIRELI"</f>
        <v>IG COMERCIO DE PRODUTOS OTICOS EIRELI</v>
      </c>
      <c r="K731" t="str">
        <f>"OTICAS CAROL (1976)"</f>
        <v>OTICAS CAROL (1976)</v>
      </c>
      <c r="L731" t="str">
        <f>""</f>
        <v/>
      </c>
      <c r="M731" t="str">
        <f>""</f>
        <v/>
      </c>
      <c r="N731" t="str">
        <f>"produtosc@oticascarol.com.br"</f>
        <v>produtosc@oticascarol.com.br</v>
      </c>
      <c r="O731" t="str">
        <f>""</f>
        <v/>
      </c>
      <c r="P731" t="str">
        <f>"AVENIDA MADRE BENVENUTA"</f>
        <v>AVENIDA MADRE BENVENUTA</v>
      </c>
      <c r="Q731" t="str">
        <f>"687"</f>
        <v>687</v>
      </c>
      <c r="R731" t="str">
        <f>"LOJA 347"</f>
        <v>LOJA 347</v>
      </c>
      <c r="S731" t="str">
        <f>"1257"</f>
        <v>1257</v>
      </c>
      <c r="T731" t="str">
        <f>"88035000"</f>
        <v>88035000</v>
      </c>
      <c r="U731" t="str">
        <f>"SANTA MONICA"</f>
        <v>SANTA MONICA</v>
      </c>
      <c r="V731" t="str">
        <f>"FLORIANOPOLIS"</f>
        <v>FLORIANOPOLIS</v>
      </c>
      <c r="W731" t="str">
        <f t="shared" si="372"/>
        <v>SC</v>
      </c>
      <c r="X731" t="str">
        <f t="shared" si="370"/>
        <v>48</v>
      </c>
      <c r="Y731" t="str">
        <f>"32398611"</f>
        <v>32398611</v>
      </c>
      <c r="Z731" t="str">
        <f>""</f>
        <v/>
      </c>
      <c r="AA731" t="str">
        <f>""</f>
        <v/>
      </c>
      <c r="AB731" t="str">
        <f>""</f>
        <v/>
      </c>
      <c r="AC731" t="str">
        <f>""</f>
        <v/>
      </c>
      <c r="AD731" t="str">
        <f>""</f>
        <v/>
      </c>
      <c r="AE731" t="str">
        <f>""</f>
        <v/>
      </c>
      <c r="AF731" t="str">
        <f>""</f>
        <v/>
      </c>
      <c r="AG731" t="str">
        <f>""</f>
        <v/>
      </c>
      <c r="AH731" t="str">
        <f>""</f>
        <v/>
      </c>
      <c r="AI731" t="str">
        <f>""</f>
        <v/>
      </c>
      <c r="AJ731" t="str">
        <f>""</f>
        <v/>
      </c>
      <c r="AK731" t="str">
        <f>""</f>
        <v/>
      </c>
      <c r="AL731" t="str">
        <f>""</f>
        <v/>
      </c>
      <c r="AM731" t="str">
        <f>""</f>
        <v/>
      </c>
      <c r="AN731" t="str">
        <f>""</f>
        <v/>
      </c>
      <c r="AO731" t="str">
        <f>""</f>
        <v/>
      </c>
      <c r="AP731" t="str">
        <f>""</f>
        <v/>
      </c>
      <c r="AQ731" t="str">
        <f>""</f>
        <v/>
      </c>
      <c r="AR731" t="str">
        <f>""</f>
        <v/>
      </c>
      <c r="AS731" t="str">
        <f>""</f>
        <v/>
      </c>
      <c r="AT731" t="str">
        <f>""</f>
        <v/>
      </c>
      <c r="AU731" t="str">
        <f>""</f>
        <v/>
      </c>
      <c r="AV731" t="str">
        <f>""</f>
        <v/>
      </c>
      <c r="AW731" t="str">
        <f>""</f>
        <v/>
      </c>
      <c r="AX731" t="str">
        <f>""</f>
        <v/>
      </c>
      <c r="AY731" t="str">
        <f>""</f>
        <v/>
      </c>
      <c r="AZ731" t="str">
        <f>""</f>
        <v/>
      </c>
      <c r="BA731" t="str">
        <f>""</f>
        <v/>
      </c>
      <c r="BB731" t="str">
        <f>""</f>
        <v/>
      </c>
      <c r="BC731" t="str">
        <f>""</f>
        <v/>
      </c>
      <c r="BD731" t="str">
        <f>""</f>
        <v/>
      </c>
      <c r="BE731" t="str">
        <f>""</f>
        <v/>
      </c>
      <c r="BF731" t="str">
        <f t="shared" si="363"/>
        <v>A</v>
      </c>
      <c r="BG731" t="str">
        <f>""</f>
        <v/>
      </c>
      <c r="BH731" t="str">
        <f>""</f>
        <v/>
      </c>
      <c r="BI731" t="str">
        <f t="shared" si="344"/>
        <v>EVENTUAL</v>
      </c>
      <c r="BJ731" t="str">
        <f t="shared" si="364"/>
        <v>1</v>
      </c>
      <c r="BK731" t="str">
        <f t="shared" si="365"/>
        <v>Farmacia</v>
      </c>
      <c r="BL731" t="str">
        <f>""</f>
        <v/>
      </c>
      <c r="BM731" t="str">
        <f>"NÃO É VARILUX ESPECIALISTA"</f>
        <v>NÃO É VARILUX ESPECIALISTA</v>
      </c>
      <c r="BN731" t="str">
        <f t="shared" ref="BN731:BN736" si="374">"NA"</f>
        <v>NA</v>
      </c>
      <c r="BO731" t="str">
        <f>"FOCO VARILUX DIGITAL"</f>
        <v>FOCO VARILUX DIGITAL</v>
      </c>
      <c r="BP731" t="str">
        <f>""</f>
        <v/>
      </c>
      <c r="BQ731" t="str">
        <f>""</f>
        <v/>
      </c>
      <c r="BR731" t="str">
        <f>""</f>
        <v/>
      </c>
      <c r="BS731" t="str">
        <f>""</f>
        <v/>
      </c>
      <c r="BT731" t="str">
        <f>""</f>
        <v/>
      </c>
      <c r="BU731" t="str">
        <f>""</f>
        <v/>
      </c>
      <c r="BV731" t="str">
        <f>"1"</f>
        <v>1</v>
      </c>
      <c r="BW731" t="str">
        <f>"191"</f>
        <v>191</v>
      </c>
    </row>
    <row r="732" spans="1:75" x14ac:dyDescent="0.35">
      <c r="A732">
        <v>134421</v>
      </c>
      <c r="B732" t="str">
        <f t="shared" si="360"/>
        <v>A</v>
      </c>
      <c r="C732" t="str">
        <f t="shared" si="361"/>
        <v>80</v>
      </c>
      <c r="D732" t="str">
        <f t="shared" si="351"/>
        <v>11121002</v>
      </c>
      <c r="E732" t="str">
        <f t="shared" si="352"/>
        <v>121002</v>
      </c>
      <c r="F732" t="str">
        <f t="shared" si="353"/>
        <v>CINTHIA NORONHA</v>
      </c>
      <c r="G732" t="str">
        <f>"35562373000130"</f>
        <v>35562373000130</v>
      </c>
      <c r="H732" t="str">
        <f>""</f>
        <v/>
      </c>
      <c r="I732" t="str">
        <f t="shared" si="362"/>
        <v>CONTA OPTICA</v>
      </c>
      <c r="J732" t="str">
        <f>"IGB COMERCIO DE PRODUTOS OTICOS LTDA"</f>
        <v>IGB COMERCIO DE PRODUTOS OTICOS LTDA</v>
      </c>
      <c r="K732" t="str">
        <f>"OTICAS CAROL (4152)"</f>
        <v>OTICAS CAROL (4152)</v>
      </c>
      <c r="L732" t="str">
        <f>""</f>
        <v/>
      </c>
      <c r="M732" t="str">
        <f>""</f>
        <v/>
      </c>
      <c r="N732" t="str">
        <f>"produtosc@oticascarol.com.br"</f>
        <v>produtosc@oticascarol.com.br</v>
      </c>
      <c r="O732" t="str">
        <f>""</f>
        <v/>
      </c>
      <c r="P732" t="str">
        <f>"AVENIDA MADRE BENVENUTA"</f>
        <v>AVENIDA MADRE BENVENUTA</v>
      </c>
      <c r="Q732" t="str">
        <f>"687"</f>
        <v>687</v>
      </c>
      <c r="R732" t="str">
        <f>"LOJA 347"</f>
        <v>LOJA 347</v>
      </c>
      <c r="S732" t="str">
        <f>"1257"</f>
        <v>1257</v>
      </c>
      <c r="T732" t="str">
        <f>"88035000"</f>
        <v>88035000</v>
      </c>
      <c r="U732" t="str">
        <f>"SANTA MONICA"</f>
        <v>SANTA MONICA</v>
      </c>
      <c r="V732" t="str">
        <f>"FLORIANOPOLIS"</f>
        <v>FLORIANOPOLIS</v>
      </c>
      <c r="W732" t="str">
        <f t="shared" si="372"/>
        <v>SC</v>
      </c>
      <c r="X732" t="str">
        <f t="shared" si="370"/>
        <v>48</v>
      </c>
      <c r="Y732" t="str">
        <f>"32398611"</f>
        <v>32398611</v>
      </c>
      <c r="Z732" t="str">
        <f>""</f>
        <v/>
      </c>
      <c r="AA732" t="str">
        <f>""</f>
        <v/>
      </c>
      <c r="AB732" t="str">
        <f>""</f>
        <v/>
      </c>
      <c r="AC732" t="str">
        <f>""</f>
        <v/>
      </c>
      <c r="AD732" t="str">
        <f>""</f>
        <v/>
      </c>
      <c r="AE732" t="str">
        <f>""</f>
        <v/>
      </c>
      <c r="AF732" t="str">
        <f>""</f>
        <v/>
      </c>
      <c r="AG732" t="str">
        <f>""</f>
        <v/>
      </c>
      <c r="AH732" t="str">
        <f>""</f>
        <v/>
      </c>
      <c r="AI732" t="str">
        <f>""</f>
        <v/>
      </c>
      <c r="AJ732" t="str">
        <f>""</f>
        <v/>
      </c>
      <c r="AK732" t="str">
        <f>""</f>
        <v/>
      </c>
      <c r="AL732" t="str">
        <f>""</f>
        <v/>
      </c>
      <c r="AM732" t="str">
        <f>""</f>
        <v/>
      </c>
      <c r="AN732" t="str">
        <f>""</f>
        <v/>
      </c>
      <c r="AO732" t="str">
        <f>""</f>
        <v/>
      </c>
      <c r="AP732" t="str">
        <f>""</f>
        <v/>
      </c>
      <c r="AQ732" t="str">
        <f>""</f>
        <v/>
      </c>
      <c r="AR732" t="str">
        <f>""</f>
        <v/>
      </c>
      <c r="AS732" t="str">
        <f>""</f>
        <v/>
      </c>
      <c r="AT732" t="str">
        <f>""</f>
        <v/>
      </c>
      <c r="AU732" t="str">
        <f>""</f>
        <v/>
      </c>
      <c r="AV732" t="str">
        <f>""</f>
        <v/>
      </c>
      <c r="AW732" t="str">
        <f>""</f>
        <v/>
      </c>
      <c r="AX732" t="str">
        <f>""</f>
        <v/>
      </c>
      <c r="AY732" t="str">
        <f>""</f>
        <v/>
      </c>
      <c r="AZ732" t="str">
        <f>""</f>
        <v/>
      </c>
      <c r="BA732" t="str">
        <f>""</f>
        <v/>
      </c>
      <c r="BB732" t="str">
        <f>""</f>
        <v/>
      </c>
      <c r="BC732" t="str">
        <f>""</f>
        <v/>
      </c>
      <c r="BD732" t="str">
        <f>""</f>
        <v/>
      </c>
      <c r="BE732" t="str">
        <f>""</f>
        <v/>
      </c>
      <c r="BF732" t="str">
        <f t="shared" si="363"/>
        <v>A</v>
      </c>
      <c r="BG732" t="str">
        <f>""</f>
        <v/>
      </c>
      <c r="BH732" t="str">
        <f>""</f>
        <v/>
      </c>
      <c r="BI732" t="str">
        <f t="shared" si="344"/>
        <v>EVENTUAL</v>
      </c>
      <c r="BJ732" t="str">
        <f t="shared" si="364"/>
        <v>1</v>
      </c>
      <c r="BK732" t="str">
        <f t="shared" si="365"/>
        <v>Farmacia</v>
      </c>
      <c r="BL732" t="str">
        <f>""</f>
        <v/>
      </c>
      <c r="BM732" t="str">
        <f>"VARILUX ESPECIALISTA PLATINE"</f>
        <v>VARILUX ESPECIALISTA PLATINE</v>
      </c>
      <c r="BN732" t="str">
        <f t="shared" si="374"/>
        <v>NA</v>
      </c>
      <c r="BO732" t="str">
        <f>"FOCO VARILUX DIGITAL"</f>
        <v>FOCO VARILUX DIGITAL</v>
      </c>
      <c r="BP732" t="str">
        <f>""</f>
        <v/>
      </c>
      <c r="BQ732" t="str">
        <f>""</f>
        <v/>
      </c>
      <c r="BR732" t="str">
        <f>""</f>
        <v/>
      </c>
      <c r="BS732" t="str">
        <f>""</f>
        <v/>
      </c>
      <c r="BT732" t="str">
        <f>""</f>
        <v/>
      </c>
      <c r="BU732" t="str">
        <f>""</f>
        <v/>
      </c>
      <c r="BV732" t="str">
        <f>"1"</f>
        <v>1</v>
      </c>
      <c r="BW732" t="str">
        <f>"Não visitado"</f>
        <v>Não visitado</v>
      </c>
    </row>
    <row r="733" spans="1:75" x14ac:dyDescent="0.35">
      <c r="A733">
        <v>135179</v>
      </c>
      <c r="B733" t="str">
        <f t="shared" si="360"/>
        <v>A</v>
      </c>
      <c r="C733" t="str">
        <f t="shared" si="361"/>
        <v>80</v>
      </c>
      <c r="D733" t="str">
        <f t="shared" si="351"/>
        <v>11121002</v>
      </c>
      <c r="E733" t="str">
        <f t="shared" si="352"/>
        <v>121002</v>
      </c>
      <c r="F733" t="str">
        <f t="shared" si="353"/>
        <v>CINTHIA NORONHA</v>
      </c>
      <c r="G733" t="str">
        <f>"41545607000134"</f>
        <v>41545607000134</v>
      </c>
      <c r="H733" t="str">
        <f>"0"</f>
        <v>0</v>
      </c>
      <c r="I733" t="str">
        <f t="shared" si="362"/>
        <v>CONTA OPTICA</v>
      </c>
      <c r="J733" t="str">
        <f>"ILHA LESTE COMERCIO DE PRODUTOS OTICOS LTDA"</f>
        <v>ILHA LESTE COMERCIO DE PRODUTOS OTICOS LTDA</v>
      </c>
      <c r="K733" t="str">
        <f>"OTICAS CAROL (4309)"</f>
        <v>OTICAS CAROL (4309)</v>
      </c>
      <c r="L733" t="str">
        <f>""</f>
        <v/>
      </c>
      <c r="M733" t="str">
        <f>""</f>
        <v/>
      </c>
      <c r="N733" t="str">
        <f>"OTICASCAROLFLORIPA@GMAIL.COM"</f>
        <v>OTICASCAROLFLORIPA@GMAIL.COM</v>
      </c>
      <c r="O733" t="str">
        <f>""</f>
        <v/>
      </c>
      <c r="P733" t="str">
        <f>"AVENIDA PEQUENO PRINCIPE"</f>
        <v>AVENIDA PEQUENO PRINCIPE</v>
      </c>
      <c r="Q733" t="str">
        <f>"1741"</f>
        <v>1741</v>
      </c>
      <c r="R733" t="str">
        <f>"LOJA 02 E 03"</f>
        <v>LOJA 02 E 03</v>
      </c>
      <c r="S733" t="str">
        <f>"1257"</f>
        <v>1257</v>
      </c>
      <c r="T733" t="str">
        <f>"88063000"</f>
        <v>88063000</v>
      </c>
      <c r="U733" t="str">
        <f>"CAMPECHE"</f>
        <v>CAMPECHE</v>
      </c>
      <c r="V733" t="str">
        <f>"FLORIANOPOLIS"</f>
        <v>FLORIANOPOLIS</v>
      </c>
      <c r="W733" t="str">
        <f t="shared" si="372"/>
        <v>SC</v>
      </c>
      <c r="X733" t="str">
        <f t="shared" si="370"/>
        <v>48</v>
      </c>
      <c r="Y733" t="str">
        <f>"32070067"</f>
        <v>32070067</v>
      </c>
      <c r="Z733" t="str">
        <f>""</f>
        <v/>
      </c>
      <c r="AA733" t="str">
        <f>""</f>
        <v/>
      </c>
      <c r="AB733" t="str">
        <f>""</f>
        <v/>
      </c>
      <c r="AC733" t="str">
        <f>""</f>
        <v/>
      </c>
      <c r="AD733" t="str">
        <f>""</f>
        <v/>
      </c>
      <c r="AE733" t="str">
        <f>""</f>
        <v/>
      </c>
      <c r="AF733" t="str">
        <f>""</f>
        <v/>
      </c>
      <c r="AG733" t="str">
        <f>""</f>
        <v/>
      </c>
      <c r="AH733" t="str">
        <f>""</f>
        <v/>
      </c>
      <c r="AI733" t="str">
        <f>""</f>
        <v/>
      </c>
      <c r="AJ733" t="str">
        <f>""</f>
        <v/>
      </c>
      <c r="AK733" t="str">
        <f>""</f>
        <v/>
      </c>
      <c r="AL733" t="str">
        <f>""</f>
        <v/>
      </c>
      <c r="AM733" t="str">
        <f>""</f>
        <v/>
      </c>
      <c r="AN733" t="str">
        <f>""</f>
        <v/>
      </c>
      <c r="AO733" t="str">
        <f>""</f>
        <v/>
      </c>
      <c r="AP733" t="str">
        <f>""</f>
        <v/>
      </c>
      <c r="AQ733" t="str">
        <f>""</f>
        <v/>
      </c>
      <c r="AR733" t="str">
        <f>""</f>
        <v/>
      </c>
      <c r="AS733" t="str">
        <f>""</f>
        <v/>
      </c>
      <c r="AT733" t="str">
        <f>""</f>
        <v/>
      </c>
      <c r="AU733" t="str">
        <f>""</f>
        <v/>
      </c>
      <c r="AV733" t="str">
        <f>""</f>
        <v/>
      </c>
      <c r="AW733" t="str">
        <f>""</f>
        <v/>
      </c>
      <c r="AX733" t="str">
        <f>""</f>
        <v/>
      </c>
      <c r="AY733" t="str">
        <f>""</f>
        <v/>
      </c>
      <c r="AZ733" t="str">
        <f>""</f>
        <v/>
      </c>
      <c r="BA733" t="str">
        <f>""</f>
        <v/>
      </c>
      <c r="BB733" t="str">
        <f>"30/04/2021 10:16:11"</f>
        <v>30/04/2021 10:16:11</v>
      </c>
      <c r="BC733" t="str">
        <f>""</f>
        <v/>
      </c>
      <c r="BD733" t="str">
        <f>""</f>
        <v/>
      </c>
      <c r="BE733" t="str">
        <f>""</f>
        <v/>
      </c>
      <c r="BF733" t="str">
        <f t="shared" si="363"/>
        <v>A</v>
      </c>
      <c r="BG733" t="str">
        <f>""</f>
        <v/>
      </c>
      <c r="BH733" t="str">
        <f>""</f>
        <v/>
      </c>
      <c r="BI733" t="str">
        <f t="shared" si="344"/>
        <v>EVENTUAL</v>
      </c>
      <c r="BJ733" t="str">
        <f t="shared" si="364"/>
        <v>1</v>
      </c>
      <c r="BK733" t="str">
        <f t="shared" si="365"/>
        <v>Farmacia</v>
      </c>
      <c r="BL733" t="str">
        <f>""</f>
        <v/>
      </c>
      <c r="BM733" t="str">
        <f>"VARILUX ESPECIALISTA SELECT"</f>
        <v>VARILUX ESPECIALISTA SELECT</v>
      </c>
      <c r="BN733" t="str">
        <f t="shared" si="374"/>
        <v>NA</v>
      </c>
      <c r="BO733" t="str">
        <f>"FOCO VARILUX DIGITAL"</f>
        <v>FOCO VARILUX DIGITAL</v>
      </c>
      <c r="BP733" t="str">
        <f>""</f>
        <v/>
      </c>
      <c r="BQ733" t="str">
        <f>""</f>
        <v/>
      </c>
      <c r="BR733" t="str">
        <f>"30/04/2021"</f>
        <v>30/04/2021</v>
      </c>
      <c r="BS733" t="str">
        <f>""</f>
        <v/>
      </c>
      <c r="BT733" t="str">
        <f>""</f>
        <v/>
      </c>
      <c r="BU733" t="str">
        <f>""</f>
        <v/>
      </c>
      <c r="BV733" t="str">
        <f>""</f>
        <v/>
      </c>
      <c r="BW733" t="str">
        <f>"560"</f>
        <v>560</v>
      </c>
    </row>
    <row r="734" spans="1:75" x14ac:dyDescent="0.35">
      <c r="A734">
        <v>144549</v>
      </c>
      <c r="B734" t="str">
        <f t="shared" si="360"/>
        <v>A</v>
      </c>
      <c r="C734" t="str">
        <f t="shared" si="361"/>
        <v>80</v>
      </c>
      <c r="D734" t="str">
        <f t="shared" si="351"/>
        <v>11121002</v>
      </c>
      <c r="E734" t="str">
        <f t="shared" si="352"/>
        <v>121002</v>
      </c>
      <c r="F734" t="str">
        <f t="shared" si="353"/>
        <v>CINTHIA NORONHA</v>
      </c>
      <c r="G734" t="str">
        <f>"24818784000128"</f>
        <v>24818784000128</v>
      </c>
      <c r="H734" t="str">
        <f>""</f>
        <v/>
      </c>
      <c r="I734" t="str">
        <f t="shared" si="362"/>
        <v>CONTA OPTICA</v>
      </c>
      <c r="J734" t="str">
        <f>"IMAGEM JOALHERIA E OTICA LTDA. - ME"</f>
        <v>IMAGEM JOALHERIA E OTICA LTDA. - ME</v>
      </c>
      <c r="K734" t="str">
        <f>"OTICA IMAGEM (3857)"</f>
        <v>OTICA IMAGEM (3857)</v>
      </c>
      <c r="L734" t="str">
        <f>""</f>
        <v/>
      </c>
      <c r="M734" t="str">
        <f>""</f>
        <v/>
      </c>
      <c r="N734" t="str">
        <f>"oticaimagen@hotmail.com"</f>
        <v>oticaimagen@hotmail.com</v>
      </c>
      <c r="O734" t="str">
        <f>""</f>
        <v/>
      </c>
      <c r="P734" t="str">
        <f>"RUA BARRIGA VERDE"</f>
        <v>RUA BARRIGA VERDE</v>
      </c>
      <c r="Q734" t="str">
        <f>"627"</f>
        <v>627</v>
      </c>
      <c r="R734" t="str">
        <f>""</f>
        <v/>
      </c>
      <c r="S734" t="str">
        <f>"1270"</f>
        <v>1270</v>
      </c>
      <c r="T734" t="str">
        <f>"88914000"</f>
        <v>88914000</v>
      </c>
      <c r="U734" t="str">
        <f>"SOCOPAS"</f>
        <v>SOCOPAS</v>
      </c>
      <c r="V734" t="str">
        <f>"BALNEÁRIO ARROIO DO SILVA"</f>
        <v>BALNEÁRIO ARROIO DO SILVA</v>
      </c>
      <c r="W734" t="str">
        <f t="shared" si="372"/>
        <v>SC</v>
      </c>
      <c r="X734" t="str">
        <f t="shared" si="370"/>
        <v>48</v>
      </c>
      <c r="Y734" t="str">
        <f>"35260678"</f>
        <v>35260678</v>
      </c>
      <c r="Z734" t="str">
        <f>""</f>
        <v/>
      </c>
      <c r="AA734" t="str">
        <f>""</f>
        <v/>
      </c>
      <c r="AB734" t="str">
        <f>""</f>
        <v/>
      </c>
      <c r="AC734" t="str">
        <f>""</f>
        <v/>
      </c>
      <c r="AD734" t="str">
        <f>""</f>
        <v/>
      </c>
      <c r="AE734" t="str">
        <f>""</f>
        <v/>
      </c>
      <c r="AF734" t="str">
        <f>""</f>
        <v/>
      </c>
      <c r="AG734" t="str">
        <f>""</f>
        <v/>
      </c>
      <c r="AH734" t="str">
        <f>""</f>
        <v/>
      </c>
      <c r="AI734" t="str">
        <f>""</f>
        <v/>
      </c>
      <c r="AJ734" t="str">
        <f t="shared" ref="AJ734:AL736" si="375">"0"</f>
        <v>0</v>
      </c>
      <c r="AK734" t="str">
        <f t="shared" si="375"/>
        <v>0</v>
      </c>
      <c r="AL734" t="str">
        <f t="shared" si="375"/>
        <v>0</v>
      </c>
      <c r="AM734" t="str">
        <f>""</f>
        <v/>
      </c>
      <c r="AN734" t="str">
        <f>""</f>
        <v/>
      </c>
      <c r="AO734" t="str">
        <f>""</f>
        <v/>
      </c>
      <c r="AP734" t="str">
        <f>""</f>
        <v/>
      </c>
      <c r="AQ734" t="str">
        <f>""</f>
        <v/>
      </c>
      <c r="AR734" t="str">
        <f>""</f>
        <v/>
      </c>
      <c r="AS734" t="str">
        <f>""</f>
        <v/>
      </c>
      <c r="AT734" t="str">
        <f>""</f>
        <v/>
      </c>
      <c r="AU734" t="str">
        <f>""</f>
        <v/>
      </c>
      <c r="AV734" t="str">
        <f>""</f>
        <v/>
      </c>
      <c r="AW734" t="str">
        <f>""</f>
        <v/>
      </c>
      <c r="AX734" t="str">
        <f>""</f>
        <v/>
      </c>
      <c r="AY734" t="str">
        <f>""</f>
        <v/>
      </c>
      <c r="AZ734" t="str">
        <f>""</f>
        <v/>
      </c>
      <c r="BA734" t="str">
        <f>""</f>
        <v/>
      </c>
      <c r="BB734" t="str">
        <f>""</f>
        <v/>
      </c>
      <c r="BC734" t="str">
        <f>""</f>
        <v/>
      </c>
      <c r="BD734" t="str">
        <f>""</f>
        <v/>
      </c>
      <c r="BE734" t="str">
        <f>""</f>
        <v/>
      </c>
      <c r="BF734" t="str">
        <f t="shared" si="363"/>
        <v>A</v>
      </c>
      <c r="BG734" t="str">
        <f t="shared" ref="BG734:BH736" si="376">"0,00"</f>
        <v>0,00</v>
      </c>
      <c r="BH734" t="str">
        <f t="shared" si="376"/>
        <v>0,00</v>
      </c>
      <c r="BI734" t="str">
        <f t="shared" si="344"/>
        <v>EVENTUAL</v>
      </c>
      <c r="BJ734" t="str">
        <f t="shared" si="364"/>
        <v>1</v>
      </c>
      <c r="BK734" t="str">
        <f t="shared" si="365"/>
        <v>Farmacia</v>
      </c>
      <c r="BL734" t="str">
        <f>""</f>
        <v/>
      </c>
      <c r="BM734" t="str">
        <f>"NÃO É VARILUX ESPECIALISTA"</f>
        <v>NÃO É VARILUX ESPECIALISTA</v>
      </c>
      <c r="BN734" t="str">
        <f t="shared" si="374"/>
        <v>NA</v>
      </c>
      <c r="BO734" t="str">
        <f>"OUTROS"</f>
        <v>OUTROS</v>
      </c>
      <c r="BP734" t="str">
        <f>""</f>
        <v/>
      </c>
      <c r="BQ734" t="str">
        <f>""</f>
        <v/>
      </c>
      <c r="BR734" t="str">
        <f>""</f>
        <v/>
      </c>
      <c r="BS734" t="str">
        <f>""</f>
        <v/>
      </c>
      <c r="BT734" t="str">
        <f>""</f>
        <v/>
      </c>
      <c r="BU734" t="str">
        <f>""</f>
        <v/>
      </c>
      <c r="BV734" t="str">
        <f>"9"</f>
        <v>9</v>
      </c>
      <c r="BW734" t="str">
        <f>"24"</f>
        <v>24</v>
      </c>
    </row>
    <row r="735" spans="1:75" x14ac:dyDescent="0.35">
      <c r="A735">
        <v>623</v>
      </c>
      <c r="B735" t="str">
        <f t="shared" si="360"/>
        <v>A</v>
      </c>
      <c r="C735" t="str">
        <f t="shared" si="361"/>
        <v>80</v>
      </c>
      <c r="D735" t="str">
        <f t="shared" si="351"/>
        <v>11121002</v>
      </c>
      <c r="E735" t="str">
        <f t="shared" si="352"/>
        <v>121002</v>
      </c>
      <c r="F735" t="str">
        <f t="shared" si="353"/>
        <v>CINTHIA NORONHA</v>
      </c>
      <c r="G735" t="str">
        <f>"21095962000141"</f>
        <v>21095962000141</v>
      </c>
      <c r="H735" t="str">
        <f>""</f>
        <v/>
      </c>
      <c r="I735" t="str">
        <f t="shared" si="362"/>
        <v>CONTA OPTICA</v>
      </c>
      <c r="J735" t="str">
        <f>"INARA SALETE MEIRA - ME"</f>
        <v>INARA SALETE MEIRA - ME</v>
      </c>
      <c r="K735" t="str">
        <f>"OTICA INOVE (2230)"</f>
        <v>OTICA INOVE (2230)</v>
      </c>
      <c r="L735" t="str">
        <f>""</f>
        <v/>
      </c>
      <c r="M735" t="str">
        <f>""</f>
        <v/>
      </c>
      <c r="N735" t="str">
        <f>"otica.inove@gmail.com"</f>
        <v>otica.inove@gmail.com</v>
      </c>
      <c r="O735" t="str">
        <f>""</f>
        <v/>
      </c>
      <c r="P735" t="str">
        <f>"RUA PAULINO PEDRO HERMES"</f>
        <v>RUA PAULINO PEDRO HERMES</v>
      </c>
      <c r="Q735" t="str">
        <f>"2427"</f>
        <v>2427</v>
      </c>
      <c r="R735" t="str">
        <f>"LOJA 02"</f>
        <v>LOJA 02</v>
      </c>
      <c r="S735" t="str">
        <f>"1259"</f>
        <v>1259</v>
      </c>
      <c r="T735" t="str">
        <f>"88110694"</f>
        <v>88110694</v>
      </c>
      <c r="U735" t="str">
        <f>"NOSSA SENHORA DO ROSARIO"</f>
        <v>NOSSA SENHORA DO ROSARIO</v>
      </c>
      <c r="V735" t="str">
        <f>"SÃO JOSÉ"</f>
        <v>SÃO JOSÉ</v>
      </c>
      <c r="W735" t="str">
        <f t="shared" si="372"/>
        <v>SC</v>
      </c>
      <c r="X735" t="str">
        <f t="shared" si="370"/>
        <v>48</v>
      </c>
      <c r="Y735" t="str">
        <f>"30946680"</f>
        <v>30946680</v>
      </c>
      <c r="Z735" t="str">
        <f>""</f>
        <v/>
      </c>
      <c r="AA735" t="str">
        <f>""</f>
        <v/>
      </c>
      <c r="AB735" t="str">
        <f>""</f>
        <v/>
      </c>
      <c r="AC735" t="str">
        <f>""</f>
        <v/>
      </c>
      <c r="AD735" t="str">
        <f>""</f>
        <v/>
      </c>
      <c r="AE735" t="str">
        <f>""</f>
        <v/>
      </c>
      <c r="AF735" t="str">
        <f>""</f>
        <v/>
      </c>
      <c r="AG735" t="str">
        <f>"S"</f>
        <v>S</v>
      </c>
      <c r="AH735" t="str">
        <f>""</f>
        <v/>
      </c>
      <c r="AI735" t="str">
        <f>""</f>
        <v/>
      </c>
      <c r="AJ735" t="str">
        <f t="shared" si="375"/>
        <v>0</v>
      </c>
      <c r="AK735" t="str">
        <f t="shared" si="375"/>
        <v>0</v>
      </c>
      <c r="AL735" t="str">
        <f t="shared" si="375"/>
        <v>0</v>
      </c>
      <c r="AM735" t="str">
        <f>""</f>
        <v/>
      </c>
      <c r="AN735" t="str">
        <f>""</f>
        <v/>
      </c>
      <c r="AO735" t="str">
        <f>""</f>
        <v/>
      </c>
      <c r="AP735" t="str">
        <f>""</f>
        <v/>
      </c>
      <c r="AQ735" t="str">
        <f>"N"</f>
        <v>N</v>
      </c>
      <c r="AR735" t="str">
        <f>"N"</f>
        <v>N</v>
      </c>
      <c r="AS735" t="str">
        <f>"N"</f>
        <v>N</v>
      </c>
      <c r="AT735" t="str">
        <f>"N"</f>
        <v>N</v>
      </c>
      <c r="AU735" t="str">
        <f>"N"</f>
        <v>N</v>
      </c>
      <c r="AV735" t="str">
        <f>""</f>
        <v/>
      </c>
      <c r="AW735" t="str">
        <f>""</f>
        <v/>
      </c>
      <c r="AX735" t="str">
        <f>""</f>
        <v/>
      </c>
      <c r="AY735" t="str">
        <f>""</f>
        <v/>
      </c>
      <c r="AZ735" t="str">
        <f>""</f>
        <v/>
      </c>
      <c r="BA735" t="str">
        <f>""</f>
        <v/>
      </c>
      <c r="BB735" t="str">
        <f>"27/07/2018 09:25:47"</f>
        <v>27/07/2018 09:25:47</v>
      </c>
      <c r="BC735" t="str">
        <f>"03/05/2022 15:45:15"</f>
        <v>03/05/2022 15:45:15</v>
      </c>
      <c r="BD735" t="str">
        <f>""</f>
        <v/>
      </c>
      <c r="BE735" t="str">
        <f>"623"</f>
        <v>623</v>
      </c>
      <c r="BF735" t="str">
        <f t="shared" si="363"/>
        <v>A</v>
      </c>
      <c r="BG735" t="str">
        <f t="shared" si="376"/>
        <v>0,00</v>
      </c>
      <c r="BH735" t="str">
        <f t="shared" si="376"/>
        <v>0,00</v>
      </c>
      <c r="BI735" t="str">
        <f t="shared" si="344"/>
        <v>EVENTUAL</v>
      </c>
      <c r="BJ735" t="str">
        <f t="shared" si="364"/>
        <v>1</v>
      </c>
      <c r="BK735" t="str">
        <f t="shared" si="365"/>
        <v>Farmacia</v>
      </c>
      <c r="BL735" t="str">
        <f>""</f>
        <v/>
      </c>
      <c r="BM735" t="str">
        <f>"NÃO É VARILUX ESPECIALISTA"</f>
        <v>NÃO É VARILUX ESPECIALISTA</v>
      </c>
      <c r="BN735" t="str">
        <f t="shared" si="374"/>
        <v>NA</v>
      </c>
      <c r="BO735" t="str">
        <f>"FOCO VARILUX"</f>
        <v>FOCO VARILUX</v>
      </c>
      <c r="BP735" t="str">
        <f>""</f>
        <v/>
      </c>
      <c r="BQ735" t="str">
        <f>""</f>
        <v/>
      </c>
      <c r="BR735" t="str">
        <f>"27/07/2018"</f>
        <v>27/07/2018</v>
      </c>
      <c r="BS735" t="str">
        <f>"03/05/2022"</f>
        <v>03/05/2022</v>
      </c>
      <c r="BT735" t="str">
        <f>""</f>
        <v/>
      </c>
      <c r="BU735" t="str">
        <f>""</f>
        <v/>
      </c>
      <c r="BV735" t="str">
        <f>"9"</f>
        <v>9</v>
      </c>
      <c r="BW735" t="str">
        <f>"156"</f>
        <v>156</v>
      </c>
    </row>
    <row r="736" spans="1:75" x14ac:dyDescent="0.35">
      <c r="A736">
        <v>144835</v>
      </c>
      <c r="B736" t="str">
        <f t="shared" si="360"/>
        <v>A</v>
      </c>
      <c r="C736" t="str">
        <f t="shared" si="361"/>
        <v>80</v>
      </c>
      <c r="D736" t="str">
        <f t="shared" si="351"/>
        <v>11121002</v>
      </c>
      <c r="E736" t="str">
        <f t="shared" si="352"/>
        <v>121002</v>
      </c>
      <c r="F736" t="str">
        <f t="shared" si="353"/>
        <v>CINTHIA NORONHA</v>
      </c>
      <c r="G736" t="str">
        <f>"41110300000100"</f>
        <v>41110300000100</v>
      </c>
      <c r="H736" t="str">
        <f>""</f>
        <v/>
      </c>
      <c r="I736" t="str">
        <f t="shared" si="362"/>
        <v>CONTA OPTICA</v>
      </c>
      <c r="J736" t="str">
        <f>"INNOVARE OPTICA LTDA"</f>
        <v>INNOVARE OPTICA LTDA</v>
      </c>
      <c r="K736" t="str">
        <f>"INNOVARE OPTICA (4385)"</f>
        <v>INNOVARE OPTICA (4385)</v>
      </c>
      <c r="L736" t="str">
        <f>""</f>
        <v/>
      </c>
      <c r="M736" t="str">
        <f>""</f>
        <v/>
      </c>
      <c r="N736" t="str">
        <f>"innovareoptica@hotmail.com"</f>
        <v>innovareoptica@hotmail.com</v>
      </c>
      <c r="O736" t="str">
        <f>""</f>
        <v/>
      </c>
      <c r="P736" t="str">
        <f>"AVENIDA XV DE NOVEMBRO"</f>
        <v>AVENIDA XV DE NOVEMBRO</v>
      </c>
      <c r="Q736" t="str">
        <f>"1650"</f>
        <v>1650</v>
      </c>
      <c r="R736" t="str">
        <f>"LOJA 13"</f>
        <v>LOJA 13</v>
      </c>
      <c r="S736" t="str">
        <f>"1270"</f>
        <v>1270</v>
      </c>
      <c r="T736" t="str">
        <f>"88900021"</f>
        <v>88900021</v>
      </c>
      <c r="U736" t="str">
        <f t="shared" ref="U736:U741" si="377">"CENTRO"</f>
        <v>CENTRO</v>
      </c>
      <c r="V736" t="str">
        <f>"ARARANGUÁ"</f>
        <v>ARARANGUÁ</v>
      </c>
      <c r="W736" t="str">
        <f t="shared" si="372"/>
        <v>SC</v>
      </c>
      <c r="X736" t="str">
        <f t="shared" si="370"/>
        <v>48</v>
      </c>
      <c r="Y736" t="str">
        <f>"35241057"</f>
        <v>35241057</v>
      </c>
      <c r="Z736" t="str">
        <f>""</f>
        <v/>
      </c>
      <c r="AA736" t="str">
        <f>""</f>
        <v/>
      </c>
      <c r="AB736" t="str">
        <f>""</f>
        <v/>
      </c>
      <c r="AC736" t="str">
        <f>""</f>
        <v/>
      </c>
      <c r="AD736" t="str">
        <f>""</f>
        <v/>
      </c>
      <c r="AE736" t="str">
        <f>""</f>
        <v/>
      </c>
      <c r="AF736" t="str">
        <f>""</f>
        <v/>
      </c>
      <c r="AG736" t="str">
        <f>""</f>
        <v/>
      </c>
      <c r="AH736" t="str">
        <f>""</f>
        <v/>
      </c>
      <c r="AI736" t="str">
        <f>""</f>
        <v/>
      </c>
      <c r="AJ736" t="str">
        <f t="shared" si="375"/>
        <v>0</v>
      </c>
      <c r="AK736" t="str">
        <f t="shared" si="375"/>
        <v>0</v>
      </c>
      <c r="AL736" t="str">
        <f t="shared" si="375"/>
        <v>0</v>
      </c>
      <c r="AM736" t="str">
        <f>""</f>
        <v/>
      </c>
      <c r="AN736" t="str">
        <f>""</f>
        <v/>
      </c>
      <c r="AO736" t="str">
        <f>""</f>
        <v/>
      </c>
      <c r="AP736" t="str">
        <f>""</f>
        <v/>
      </c>
      <c r="AQ736" t="str">
        <f>""</f>
        <v/>
      </c>
      <c r="AR736" t="str">
        <f>""</f>
        <v/>
      </c>
      <c r="AS736" t="str">
        <f>""</f>
        <v/>
      </c>
      <c r="AT736" t="str">
        <f>""</f>
        <v/>
      </c>
      <c r="AU736" t="str">
        <f>""</f>
        <v/>
      </c>
      <c r="AV736" t="str">
        <f>""</f>
        <v/>
      </c>
      <c r="AW736" t="str">
        <f>""</f>
        <v/>
      </c>
      <c r="AX736" t="str">
        <f>""</f>
        <v/>
      </c>
      <c r="AY736" t="str">
        <f>""</f>
        <v/>
      </c>
      <c r="AZ736" t="str">
        <f>""</f>
        <v/>
      </c>
      <c r="BA736" t="str">
        <f>""</f>
        <v/>
      </c>
      <c r="BB736" t="str">
        <f>""</f>
        <v/>
      </c>
      <c r="BC736" t="str">
        <f>""</f>
        <v/>
      </c>
      <c r="BD736" t="str">
        <f>""</f>
        <v/>
      </c>
      <c r="BE736" t="str">
        <f>""</f>
        <v/>
      </c>
      <c r="BF736" t="str">
        <f t="shared" si="363"/>
        <v>A</v>
      </c>
      <c r="BG736" t="str">
        <f t="shared" si="376"/>
        <v>0,00</v>
      </c>
      <c r="BH736" t="str">
        <f t="shared" si="376"/>
        <v>0,00</v>
      </c>
      <c r="BI736" t="str">
        <f t="shared" ref="BI736:BI799" si="378">"EVENTUAL"</f>
        <v>EVENTUAL</v>
      </c>
      <c r="BJ736" t="str">
        <f t="shared" si="364"/>
        <v>1</v>
      </c>
      <c r="BK736" t="str">
        <f t="shared" si="365"/>
        <v>Farmacia</v>
      </c>
      <c r="BL736" t="str">
        <f>""</f>
        <v/>
      </c>
      <c r="BM736" t="str">
        <f>"NÃO É VARILUX ESPECIALISTA"</f>
        <v>NÃO É VARILUX ESPECIALISTA</v>
      </c>
      <c r="BN736" t="str">
        <f t="shared" si="374"/>
        <v>NA</v>
      </c>
      <c r="BO736" t="str">
        <f>"FOCO VARILUX"</f>
        <v>FOCO VARILUX</v>
      </c>
      <c r="BP736" t="str">
        <f>""</f>
        <v/>
      </c>
      <c r="BQ736" t="str">
        <f>""</f>
        <v/>
      </c>
      <c r="BR736" t="str">
        <f>""</f>
        <v/>
      </c>
      <c r="BS736" t="str">
        <f>""</f>
        <v/>
      </c>
      <c r="BT736" t="str">
        <f>""</f>
        <v/>
      </c>
      <c r="BU736" t="str">
        <f>""</f>
        <v/>
      </c>
      <c r="BV736" t="str">
        <f>""</f>
        <v/>
      </c>
      <c r="BW736" t="str">
        <f>"Não visitado"</f>
        <v>Não visitado</v>
      </c>
    </row>
    <row r="737" spans="1:75" x14ac:dyDescent="0.35">
      <c r="A737">
        <v>157666</v>
      </c>
      <c r="B737" t="str">
        <f t="shared" si="360"/>
        <v>A</v>
      </c>
      <c r="C737" t="str">
        <f t="shared" si="361"/>
        <v>80</v>
      </c>
      <c r="D737" t="str">
        <f t="shared" si="351"/>
        <v>11121002</v>
      </c>
      <c r="E737" t="str">
        <f t="shared" si="352"/>
        <v>121002</v>
      </c>
      <c r="F737" t="str">
        <f t="shared" si="353"/>
        <v>CINTHIA NORONHA</v>
      </c>
      <c r="G737" t="str">
        <f>"13402216000125"</f>
        <v>13402216000125</v>
      </c>
      <c r="H737" t="str">
        <f>"0"</f>
        <v>0</v>
      </c>
      <c r="I737" t="str">
        <f t="shared" si="362"/>
        <v>CONTA OPTICA</v>
      </c>
      <c r="J737" t="str">
        <f>"IRACI LAUDELINO DA LUZ GUZZATTI - ME"</f>
        <v>IRACI LAUDELINO DA LUZ GUZZATTI - ME</v>
      </c>
      <c r="K737" t="str">
        <f>"OTICA CRISTAL (1812)"</f>
        <v>OTICA CRISTAL (1812)</v>
      </c>
      <c r="L737" t="str">
        <f>""</f>
        <v/>
      </c>
      <c r="M737" t="str">
        <f>""</f>
        <v/>
      </c>
      <c r="N737" t="str">
        <f>"RELOJOARIAEOTICACRISTAL1@HOTMAIL.COM"</f>
        <v>RELOJOARIAEOTICACRISTAL1@HOTMAIL.COM</v>
      </c>
      <c r="O737" t="str">
        <f>""</f>
        <v/>
      </c>
      <c r="P737" t="str">
        <f>"RUA SEIS DE JANEIRO"</f>
        <v>RUA SEIS DE JANEIRO</v>
      </c>
      <c r="Q737" t="str">
        <f>"35"</f>
        <v>35</v>
      </c>
      <c r="R737" t="str">
        <f>"SALA 01"</f>
        <v>SALA 01</v>
      </c>
      <c r="S737" t="str">
        <f>"1269"</f>
        <v>1269</v>
      </c>
      <c r="T737" t="str">
        <f>"88801055"</f>
        <v>88801055</v>
      </c>
      <c r="U737" t="str">
        <f t="shared" si="377"/>
        <v>CENTRO</v>
      </c>
      <c r="V737" t="str">
        <f>"CRICIUMA"</f>
        <v>CRICIUMA</v>
      </c>
      <c r="W737" t="str">
        <f t="shared" si="372"/>
        <v>SC</v>
      </c>
      <c r="X737" t="str">
        <f t="shared" si="370"/>
        <v>48</v>
      </c>
      <c r="Y737" t="str">
        <f>"34331804"</f>
        <v>34331804</v>
      </c>
      <c r="Z737" t="str">
        <f>""</f>
        <v/>
      </c>
      <c r="AA737" t="str">
        <f>""</f>
        <v/>
      </c>
      <c r="AB737" t="str">
        <f>""</f>
        <v/>
      </c>
      <c r="AC737" t="str">
        <f>""</f>
        <v/>
      </c>
      <c r="AD737" t="str">
        <f>""</f>
        <v/>
      </c>
      <c r="AE737" t="str">
        <f>""</f>
        <v/>
      </c>
      <c r="AF737" t="str">
        <f>""</f>
        <v/>
      </c>
      <c r="AG737" t="str">
        <f>""</f>
        <v/>
      </c>
      <c r="AH737" t="str">
        <f>""</f>
        <v/>
      </c>
      <c r="AI737" t="str">
        <f>""</f>
        <v/>
      </c>
      <c r="AJ737" t="str">
        <f>""</f>
        <v/>
      </c>
      <c r="AK737" t="str">
        <f>""</f>
        <v/>
      </c>
      <c r="AL737" t="str">
        <f>""</f>
        <v/>
      </c>
      <c r="AM737" t="str">
        <f>""</f>
        <v/>
      </c>
      <c r="AN737" t="str">
        <f>""</f>
        <v/>
      </c>
      <c r="AO737" t="str">
        <f>""</f>
        <v/>
      </c>
      <c r="AP737" t="str">
        <f>""</f>
        <v/>
      </c>
      <c r="AQ737" t="str">
        <f>""</f>
        <v/>
      </c>
      <c r="AR737" t="str">
        <f>""</f>
        <v/>
      </c>
      <c r="AS737" t="str">
        <f>""</f>
        <v/>
      </c>
      <c r="AT737" t="str">
        <f>""</f>
        <v/>
      </c>
      <c r="AU737" t="str">
        <f>""</f>
        <v/>
      </c>
      <c r="AV737" t="str">
        <f>""</f>
        <v/>
      </c>
      <c r="AW737" t="str">
        <f>""</f>
        <v/>
      </c>
      <c r="AX737" t="str">
        <f>""</f>
        <v/>
      </c>
      <c r="AY737" t="str">
        <f>""</f>
        <v/>
      </c>
      <c r="AZ737" t="str">
        <f>""</f>
        <v/>
      </c>
      <c r="BA737" t="str">
        <f>""</f>
        <v/>
      </c>
      <c r="BB737" t="str">
        <f>"11/07/2023 02:19:56"</f>
        <v>11/07/2023 02:19:56</v>
      </c>
      <c r="BC737" t="str">
        <f>""</f>
        <v/>
      </c>
      <c r="BD737" t="str">
        <f>""</f>
        <v/>
      </c>
      <c r="BE737" t="str">
        <f>""</f>
        <v/>
      </c>
      <c r="BF737" t="str">
        <f t="shared" si="363"/>
        <v>A</v>
      </c>
      <c r="BG737" t="str">
        <f>""</f>
        <v/>
      </c>
      <c r="BH737" t="str">
        <f>""</f>
        <v/>
      </c>
      <c r="BI737" t="str">
        <f t="shared" si="378"/>
        <v>EVENTUAL</v>
      </c>
      <c r="BJ737" t="str">
        <f t="shared" si="364"/>
        <v>1</v>
      </c>
      <c r="BK737" t="str">
        <f t="shared" si="365"/>
        <v>Farmacia</v>
      </c>
      <c r="BL737" t="str">
        <f>""</f>
        <v/>
      </c>
      <c r="BM737" t="str">
        <f>""</f>
        <v/>
      </c>
      <c r="BN737" t="str">
        <f>""</f>
        <v/>
      </c>
      <c r="BO737" t="str">
        <f>""</f>
        <v/>
      </c>
      <c r="BP737" t="str">
        <f>""</f>
        <v/>
      </c>
      <c r="BQ737" t="str">
        <f>""</f>
        <v/>
      </c>
      <c r="BR737" t="str">
        <f>"11/07/2023"</f>
        <v>11/07/2023</v>
      </c>
      <c r="BS737" t="str">
        <f>""</f>
        <v/>
      </c>
      <c r="BT737" t="str">
        <f>""</f>
        <v/>
      </c>
      <c r="BU737" t="str">
        <f>""</f>
        <v/>
      </c>
      <c r="BV737" t="str">
        <f>""</f>
        <v/>
      </c>
      <c r="BW737" t="str">
        <f>"Não visitado"</f>
        <v>Não visitado</v>
      </c>
    </row>
    <row r="738" spans="1:75" x14ac:dyDescent="0.35">
      <c r="A738">
        <v>118709</v>
      </c>
      <c r="B738" t="str">
        <f t="shared" si="360"/>
        <v>A</v>
      </c>
      <c r="C738" t="str">
        <f t="shared" si="361"/>
        <v>80</v>
      </c>
      <c r="D738" t="str">
        <f t="shared" si="351"/>
        <v>11121002</v>
      </c>
      <c r="E738" t="str">
        <f t="shared" si="352"/>
        <v>121002</v>
      </c>
      <c r="F738" t="str">
        <f t="shared" si="353"/>
        <v>CINTHIA NORONHA</v>
      </c>
      <c r="G738" t="str">
        <f>"08690241000383"</f>
        <v>08690241000383</v>
      </c>
      <c r="H738" t="str">
        <f>""</f>
        <v/>
      </c>
      <c r="I738" t="str">
        <f t="shared" si="362"/>
        <v>CONTA OPTICA</v>
      </c>
      <c r="J738" t="str">
        <f>"IRMAOS SCHAPPO LTDA"</f>
        <v>IRMAOS SCHAPPO LTDA</v>
      </c>
      <c r="K738" t="str">
        <f>"MARIO JOALHEIRO (1717)"</f>
        <v>MARIO JOALHEIRO (1717)</v>
      </c>
      <c r="L738" t="str">
        <f>""</f>
        <v/>
      </c>
      <c r="M738" t="str">
        <f>""</f>
        <v/>
      </c>
      <c r="N738" t="str">
        <f>"pedidosmariojoalheiro@outlook.com"</f>
        <v>pedidosmariojoalheiro@outlook.com</v>
      </c>
      <c r="O738" t="str">
        <f>""</f>
        <v/>
      </c>
      <c r="P738" t="str">
        <f>"RUA BARAO DO RIO BRANCO"</f>
        <v>RUA BARAO DO RIO BRANCO</v>
      </c>
      <c r="Q738" t="str">
        <f>"170"</f>
        <v>170</v>
      </c>
      <c r="R738" t="str">
        <f>""</f>
        <v/>
      </c>
      <c r="S738" t="str">
        <f>"1259"</f>
        <v>1259</v>
      </c>
      <c r="T738" t="str">
        <f>"88130100"</f>
        <v>88130100</v>
      </c>
      <c r="U738" t="str">
        <f t="shared" si="377"/>
        <v>CENTRO</v>
      </c>
      <c r="V738" t="str">
        <f>"PALHOÇA"</f>
        <v>PALHOÇA</v>
      </c>
      <c r="W738" t="str">
        <f t="shared" si="372"/>
        <v>SC</v>
      </c>
      <c r="X738" t="str">
        <f t="shared" si="370"/>
        <v>48</v>
      </c>
      <c r="Y738" t="str">
        <f>"32576892"</f>
        <v>32576892</v>
      </c>
      <c r="Z738" t="str">
        <f>""</f>
        <v/>
      </c>
      <c r="AA738" t="str">
        <f>""</f>
        <v/>
      </c>
      <c r="AB738" t="str">
        <f>""</f>
        <v/>
      </c>
      <c r="AC738" t="str">
        <f>""</f>
        <v/>
      </c>
      <c r="AD738" t="str">
        <f>""</f>
        <v/>
      </c>
      <c r="AE738" t="str">
        <f>""</f>
        <v/>
      </c>
      <c r="AF738" t="str">
        <f>""</f>
        <v/>
      </c>
      <c r="AG738" t="str">
        <f>""</f>
        <v/>
      </c>
      <c r="AH738" t="str">
        <f>""</f>
        <v/>
      </c>
      <c r="AI738" t="str">
        <f>""</f>
        <v/>
      </c>
      <c r="AJ738" t="str">
        <f>"0"</f>
        <v>0</v>
      </c>
      <c r="AK738" t="str">
        <f>"0"</f>
        <v>0</v>
      </c>
      <c r="AL738" t="str">
        <f>"0"</f>
        <v>0</v>
      </c>
      <c r="AM738" t="str">
        <f>""</f>
        <v/>
      </c>
      <c r="AN738" t="str">
        <f>""</f>
        <v/>
      </c>
      <c r="AO738" t="str">
        <f>""</f>
        <v/>
      </c>
      <c r="AP738" t="str">
        <f>""</f>
        <v/>
      </c>
      <c r="AQ738" t="str">
        <f>""</f>
        <v/>
      </c>
      <c r="AR738" t="str">
        <f>""</f>
        <v/>
      </c>
      <c r="AS738" t="str">
        <f>""</f>
        <v/>
      </c>
      <c r="AT738" t="str">
        <f>""</f>
        <v/>
      </c>
      <c r="AU738" t="str">
        <f>""</f>
        <v/>
      </c>
      <c r="AV738" t="str">
        <f>""</f>
        <v/>
      </c>
      <c r="AW738" t="str">
        <f>""</f>
        <v/>
      </c>
      <c r="AX738" t="str">
        <f>""</f>
        <v/>
      </c>
      <c r="AY738" t="str">
        <f>""</f>
        <v/>
      </c>
      <c r="AZ738" t="str">
        <f>""</f>
        <v/>
      </c>
      <c r="BA738" t="str">
        <f>""</f>
        <v/>
      </c>
      <c r="BB738" t="str">
        <f>""</f>
        <v/>
      </c>
      <c r="BC738" t="str">
        <f>""</f>
        <v/>
      </c>
      <c r="BD738" t="str">
        <f>""</f>
        <v/>
      </c>
      <c r="BE738" t="str">
        <f>""</f>
        <v/>
      </c>
      <c r="BF738" t="str">
        <f t="shared" si="363"/>
        <v>A</v>
      </c>
      <c r="BG738" t="str">
        <f>"0,00"</f>
        <v>0,00</v>
      </c>
      <c r="BH738" t="str">
        <f>"0,00"</f>
        <v>0,00</v>
      </c>
      <c r="BI738" t="str">
        <f t="shared" si="378"/>
        <v>EVENTUAL</v>
      </c>
      <c r="BJ738" t="str">
        <f t="shared" si="364"/>
        <v>1</v>
      </c>
      <c r="BK738" t="str">
        <f t="shared" si="365"/>
        <v>Farmacia</v>
      </c>
      <c r="BL738" t="str">
        <f>""</f>
        <v/>
      </c>
      <c r="BM738" t="str">
        <f>"NÃO É VARILUX ESPECIALISTA"</f>
        <v>NÃO É VARILUX ESPECIALISTA</v>
      </c>
      <c r="BN738" t="str">
        <f>"NA"</f>
        <v>NA</v>
      </c>
      <c r="BO738" t="str">
        <f>"OUTROS"</f>
        <v>OUTROS</v>
      </c>
      <c r="BP738" t="str">
        <f>""</f>
        <v/>
      </c>
      <c r="BQ738" t="str">
        <f>""</f>
        <v/>
      </c>
      <c r="BR738" t="str">
        <f>""</f>
        <v/>
      </c>
      <c r="BS738" t="str">
        <f>""</f>
        <v/>
      </c>
      <c r="BT738" t="str">
        <f>""</f>
        <v/>
      </c>
      <c r="BU738" t="str">
        <f>""</f>
        <v/>
      </c>
      <c r="BV738" t="str">
        <f>"9"</f>
        <v>9</v>
      </c>
      <c r="BW738" t="str">
        <f>"Não visitado"</f>
        <v>Não visitado</v>
      </c>
    </row>
    <row r="739" spans="1:75" x14ac:dyDescent="0.35">
      <c r="A739">
        <v>157728</v>
      </c>
      <c r="B739" t="str">
        <f t="shared" si="360"/>
        <v>A</v>
      </c>
      <c r="C739" t="str">
        <f t="shared" si="361"/>
        <v>80</v>
      </c>
      <c r="D739" t="str">
        <f t="shared" si="351"/>
        <v>11121002</v>
      </c>
      <c r="E739" t="str">
        <f t="shared" si="352"/>
        <v>121002</v>
      </c>
      <c r="F739" t="str">
        <f t="shared" si="353"/>
        <v>CINTHIA NORONHA</v>
      </c>
      <c r="G739" t="str">
        <f>"08690241000111"</f>
        <v>08690241000111</v>
      </c>
      <c r="H739" t="str">
        <f>"0"</f>
        <v>0</v>
      </c>
      <c r="I739" t="str">
        <f t="shared" si="362"/>
        <v>CONTA OPTICA</v>
      </c>
      <c r="J739" t="str">
        <f>"IRMAOS SCHAPPO LTDA"</f>
        <v>IRMAOS SCHAPPO LTDA</v>
      </c>
      <c r="K739" t="str">
        <f>"MARIO JOALHEIRO (1286)"</f>
        <v>MARIO JOALHEIRO (1286)</v>
      </c>
      <c r="L739" t="str">
        <f>""</f>
        <v/>
      </c>
      <c r="M739" t="str">
        <f>""</f>
        <v/>
      </c>
      <c r="N739" t="str">
        <f>""</f>
        <v/>
      </c>
      <c r="O739" t="str">
        <f>""</f>
        <v/>
      </c>
      <c r="P739" t="str">
        <f>"RUA FELIPE SCHMIDT"</f>
        <v>RUA FELIPE SCHMIDT</v>
      </c>
      <c r="Q739" t="str">
        <f>"249"</f>
        <v>249</v>
      </c>
      <c r="R739" t="str">
        <f>"LOJA 1"</f>
        <v>LOJA 1</v>
      </c>
      <c r="S739" t="str">
        <f>"1254"</f>
        <v>1254</v>
      </c>
      <c r="T739" t="str">
        <f>"88010000"</f>
        <v>88010000</v>
      </c>
      <c r="U739" t="str">
        <f t="shared" si="377"/>
        <v>CENTRO</v>
      </c>
      <c r="V739" t="str">
        <f>"FLORIANOPOLIS"</f>
        <v>FLORIANOPOLIS</v>
      </c>
      <c r="W739" t="str">
        <f t="shared" si="372"/>
        <v>SC</v>
      </c>
      <c r="X739" t="str">
        <f t="shared" si="370"/>
        <v>48</v>
      </c>
      <c r="Y739" t="str">
        <f>"32228680"</f>
        <v>32228680</v>
      </c>
      <c r="Z739" t="str">
        <f>""</f>
        <v/>
      </c>
      <c r="AA739" t="str">
        <f>""</f>
        <v/>
      </c>
      <c r="AB739" t="str">
        <f>""</f>
        <v/>
      </c>
      <c r="AC739" t="str">
        <f>""</f>
        <v/>
      </c>
      <c r="AD739" t="str">
        <f>""</f>
        <v/>
      </c>
      <c r="AE739" t="str">
        <f>""</f>
        <v/>
      </c>
      <c r="AF739" t="str">
        <f>""</f>
        <v/>
      </c>
      <c r="AG739" t="str">
        <f>""</f>
        <v/>
      </c>
      <c r="AH739" t="str">
        <f>""</f>
        <v/>
      </c>
      <c r="AI739" t="str">
        <f>""</f>
        <v/>
      </c>
      <c r="AJ739" t="str">
        <f>""</f>
        <v/>
      </c>
      <c r="AK739" t="str">
        <f>""</f>
        <v/>
      </c>
      <c r="AL739" t="str">
        <f>""</f>
        <v/>
      </c>
      <c r="AM739" t="str">
        <f>""</f>
        <v/>
      </c>
      <c r="AN739" t="str">
        <f>""</f>
        <v/>
      </c>
      <c r="AO739" t="str">
        <f>""</f>
        <v/>
      </c>
      <c r="AP739" t="str">
        <f>""</f>
        <v/>
      </c>
      <c r="AQ739" t="str">
        <f>""</f>
        <v/>
      </c>
      <c r="AR739" t="str">
        <f>""</f>
        <v/>
      </c>
      <c r="AS739" t="str">
        <f>""</f>
        <v/>
      </c>
      <c r="AT739" t="str">
        <f>""</f>
        <v/>
      </c>
      <c r="AU739" t="str">
        <f>""</f>
        <v/>
      </c>
      <c r="AV739" t="str">
        <f>""</f>
        <v/>
      </c>
      <c r="AW739" t="str">
        <f>""</f>
        <v/>
      </c>
      <c r="AX739" t="str">
        <f>""</f>
        <v/>
      </c>
      <c r="AY739" t="str">
        <f>""</f>
        <v/>
      </c>
      <c r="AZ739" t="str">
        <f>""</f>
        <v/>
      </c>
      <c r="BA739" t="str">
        <f>""</f>
        <v/>
      </c>
      <c r="BB739" t="str">
        <f>"11/07/2023 02:19:56"</f>
        <v>11/07/2023 02:19:56</v>
      </c>
      <c r="BC739" t="str">
        <f>""</f>
        <v/>
      </c>
      <c r="BD739" t="str">
        <f>""</f>
        <v/>
      </c>
      <c r="BE739" t="str">
        <f>""</f>
        <v/>
      </c>
      <c r="BF739" t="str">
        <f t="shared" si="363"/>
        <v>A</v>
      </c>
      <c r="BG739" t="str">
        <f>""</f>
        <v/>
      </c>
      <c r="BH739" t="str">
        <f>""</f>
        <v/>
      </c>
      <c r="BI739" t="str">
        <f t="shared" si="378"/>
        <v>EVENTUAL</v>
      </c>
      <c r="BJ739" t="str">
        <f t="shared" si="364"/>
        <v>1</v>
      </c>
      <c r="BK739" t="str">
        <f t="shared" si="365"/>
        <v>Farmacia</v>
      </c>
      <c r="BL739" t="str">
        <f>""</f>
        <v/>
      </c>
      <c r="BM739" t="str">
        <f>""</f>
        <v/>
      </c>
      <c r="BN739" t="str">
        <f>""</f>
        <v/>
      </c>
      <c r="BO739" t="str">
        <f>""</f>
        <v/>
      </c>
      <c r="BP739" t="str">
        <f>""</f>
        <v/>
      </c>
      <c r="BQ739" t="str">
        <f>""</f>
        <v/>
      </c>
      <c r="BR739" t="str">
        <f>"11/07/2023"</f>
        <v>11/07/2023</v>
      </c>
      <c r="BS739" t="str">
        <f>""</f>
        <v/>
      </c>
      <c r="BT739" t="str">
        <f>""</f>
        <v/>
      </c>
      <c r="BU739" t="str">
        <f>""</f>
        <v/>
      </c>
      <c r="BV739" t="str">
        <f>""</f>
        <v/>
      </c>
      <c r="BW739" t="str">
        <f>"Não visitado"</f>
        <v>Não visitado</v>
      </c>
    </row>
    <row r="740" spans="1:75" x14ac:dyDescent="0.35">
      <c r="A740">
        <v>157723</v>
      </c>
      <c r="B740" t="str">
        <f t="shared" si="360"/>
        <v>A</v>
      </c>
      <c r="C740" t="str">
        <f t="shared" si="361"/>
        <v>80</v>
      </c>
      <c r="D740" t="str">
        <f t="shared" si="351"/>
        <v>11121002</v>
      </c>
      <c r="E740" t="str">
        <f t="shared" si="352"/>
        <v>121002</v>
      </c>
      <c r="F740" t="str">
        <f t="shared" si="353"/>
        <v>CINTHIA NORONHA</v>
      </c>
      <c r="G740" t="str">
        <f>"08690241000200"</f>
        <v>08690241000200</v>
      </c>
      <c r="H740" t="str">
        <f>"0"</f>
        <v>0</v>
      </c>
      <c r="I740" t="str">
        <f t="shared" si="362"/>
        <v>CONTA OPTICA</v>
      </c>
      <c r="J740" t="str">
        <f>"IRMAOS SCHAPPO LTDA"</f>
        <v>IRMAOS SCHAPPO LTDA</v>
      </c>
      <c r="K740" t="str">
        <f>"MARIO JOALHEIROS (1716)"</f>
        <v>MARIO JOALHEIROS (1716)</v>
      </c>
      <c r="L740" t="str">
        <f>""</f>
        <v/>
      </c>
      <c r="M740" t="str">
        <f>""</f>
        <v/>
      </c>
      <c r="N740" t="str">
        <f>"PEDIDOSMARIOJOALHEIRO@OUTLOOK.COM"</f>
        <v>PEDIDOSMARIOJOALHEIRO@OUTLOOK.COM</v>
      </c>
      <c r="O740" t="str">
        <f>""</f>
        <v/>
      </c>
      <c r="P740" t="str">
        <f>"RUA FELIPE SCHMIDT"</f>
        <v>RUA FELIPE SCHMIDT</v>
      </c>
      <c r="Q740" t="str">
        <f>"249"</f>
        <v>249</v>
      </c>
      <c r="R740" t="str">
        <f>"LJ 1"</f>
        <v>LJ 1</v>
      </c>
      <c r="S740" t="str">
        <f>"1254"</f>
        <v>1254</v>
      </c>
      <c r="T740" t="str">
        <f>"88010000"</f>
        <v>88010000</v>
      </c>
      <c r="U740" t="str">
        <f t="shared" si="377"/>
        <v>CENTRO</v>
      </c>
      <c r="V740" t="str">
        <f>"FLORIANOPOLIS"</f>
        <v>FLORIANOPOLIS</v>
      </c>
      <c r="W740" t="str">
        <f t="shared" si="372"/>
        <v>SC</v>
      </c>
      <c r="X740" t="str">
        <f t="shared" si="370"/>
        <v>48</v>
      </c>
      <c r="Y740" t="str">
        <f>"32228680"</f>
        <v>32228680</v>
      </c>
      <c r="Z740" t="str">
        <f>""</f>
        <v/>
      </c>
      <c r="AA740" t="str">
        <f>""</f>
        <v/>
      </c>
      <c r="AB740" t="str">
        <f>""</f>
        <v/>
      </c>
      <c r="AC740" t="str">
        <f>""</f>
        <v/>
      </c>
      <c r="AD740" t="str">
        <f>""</f>
        <v/>
      </c>
      <c r="AE740" t="str">
        <f>""</f>
        <v/>
      </c>
      <c r="AF740" t="str">
        <f>""</f>
        <v/>
      </c>
      <c r="AG740" t="str">
        <f>""</f>
        <v/>
      </c>
      <c r="AH740" t="str">
        <f>""</f>
        <v/>
      </c>
      <c r="AI740" t="str">
        <f>""</f>
        <v/>
      </c>
      <c r="AJ740" t="str">
        <f>""</f>
        <v/>
      </c>
      <c r="AK740" t="str">
        <f>""</f>
        <v/>
      </c>
      <c r="AL740" t="str">
        <f>""</f>
        <v/>
      </c>
      <c r="AM740" t="str">
        <f>""</f>
        <v/>
      </c>
      <c r="AN740" t="str">
        <f>""</f>
        <v/>
      </c>
      <c r="AO740" t="str">
        <f>""</f>
        <v/>
      </c>
      <c r="AP740" t="str">
        <f>""</f>
        <v/>
      </c>
      <c r="AQ740" t="str">
        <f>""</f>
        <v/>
      </c>
      <c r="AR740" t="str">
        <f>""</f>
        <v/>
      </c>
      <c r="AS740" t="str">
        <f>""</f>
        <v/>
      </c>
      <c r="AT740" t="str">
        <f>""</f>
        <v/>
      </c>
      <c r="AU740" t="str">
        <f>""</f>
        <v/>
      </c>
      <c r="AV740" t="str">
        <f>""</f>
        <v/>
      </c>
      <c r="AW740" t="str">
        <f>""</f>
        <v/>
      </c>
      <c r="AX740" t="str">
        <f>""</f>
        <v/>
      </c>
      <c r="AY740" t="str">
        <f>""</f>
        <v/>
      </c>
      <c r="AZ740" t="str">
        <f>""</f>
        <v/>
      </c>
      <c r="BA740" t="str">
        <f>""</f>
        <v/>
      </c>
      <c r="BB740" t="str">
        <f>"11/07/2023 02:19:56"</f>
        <v>11/07/2023 02:19:56</v>
      </c>
      <c r="BC740" t="str">
        <f>""</f>
        <v/>
      </c>
      <c r="BD740" t="str">
        <f>""</f>
        <v/>
      </c>
      <c r="BE740" t="str">
        <f>""</f>
        <v/>
      </c>
      <c r="BF740" t="str">
        <f t="shared" si="363"/>
        <v>A</v>
      </c>
      <c r="BG740" t="str">
        <f>""</f>
        <v/>
      </c>
      <c r="BH740" t="str">
        <f>""</f>
        <v/>
      </c>
      <c r="BI740" t="str">
        <f t="shared" si="378"/>
        <v>EVENTUAL</v>
      </c>
      <c r="BJ740" t="str">
        <f t="shared" si="364"/>
        <v>1</v>
      </c>
      <c r="BK740" t="str">
        <f t="shared" si="365"/>
        <v>Farmacia</v>
      </c>
      <c r="BL740" t="str">
        <f>""</f>
        <v/>
      </c>
      <c r="BM740" t="str">
        <f>""</f>
        <v/>
      </c>
      <c r="BN740" t="str">
        <f>""</f>
        <v/>
      </c>
      <c r="BO740" t="str">
        <f>""</f>
        <v/>
      </c>
      <c r="BP740" t="str">
        <f>""</f>
        <v/>
      </c>
      <c r="BQ740" t="str">
        <f>""</f>
        <v/>
      </c>
      <c r="BR740" t="str">
        <f>"11/07/2023"</f>
        <v>11/07/2023</v>
      </c>
      <c r="BS740" t="str">
        <f>""</f>
        <v/>
      </c>
      <c r="BT740" t="str">
        <f>""</f>
        <v/>
      </c>
      <c r="BU740" t="str">
        <f>""</f>
        <v/>
      </c>
      <c r="BV740" t="str">
        <f>""</f>
        <v/>
      </c>
      <c r="BW740" t="str">
        <f>"Não visitado"</f>
        <v>Não visitado</v>
      </c>
    </row>
    <row r="741" spans="1:75" x14ac:dyDescent="0.35">
      <c r="A741">
        <v>141566</v>
      </c>
      <c r="B741" t="str">
        <f t="shared" si="360"/>
        <v>A</v>
      </c>
      <c r="C741" t="str">
        <f t="shared" si="361"/>
        <v>80</v>
      </c>
      <c r="D741" t="str">
        <f t="shared" si="351"/>
        <v>11121002</v>
      </c>
      <c r="E741" t="str">
        <f t="shared" si="352"/>
        <v>121002</v>
      </c>
      <c r="F741" t="str">
        <f t="shared" si="353"/>
        <v>CINTHIA NORONHA</v>
      </c>
      <c r="G741" t="str">
        <f>"42822903000106"</f>
        <v>42822903000106</v>
      </c>
      <c r="H741" t="str">
        <f>"0"</f>
        <v>0</v>
      </c>
      <c r="I741" t="str">
        <f t="shared" si="362"/>
        <v>CONTA OPTICA</v>
      </c>
      <c r="J741" t="str">
        <f>"ISABEL CRISTINA DA SILVA CARVALHO OPTICA LTDA"</f>
        <v>ISABEL CRISTINA DA SILVA CARVALHO OPTICA LTDA</v>
      </c>
      <c r="K741" t="str">
        <f>"OTICA VISAO (4394)"</f>
        <v>OTICA VISAO (4394)</v>
      </c>
      <c r="L741" t="str">
        <f>""</f>
        <v/>
      </c>
      <c r="M741" t="str">
        <f>""</f>
        <v/>
      </c>
      <c r="N741" t="str">
        <f>"OTICAVISAOFLORIANOPOLIS@GMAIL.COM"</f>
        <v>OTICAVISAOFLORIANOPOLIS@GMAIL.COM</v>
      </c>
      <c r="O741" t="str">
        <f>""</f>
        <v/>
      </c>
      <c r="P741" t="str">
        <f>"RUA ANITA GARIBALDI"</f>
        <v>RUA ANITA GARIBALDI</v>
      </c>
      <c r="Q741" t="str">
        <f>"58"</f>
        <v>58</v>
      </c>
      <c r="R741" t="str">
        <f>""</f>
        <v/>
      </c>
      <c r="S741" t="str">
        <f>"1254"</f>
        <v>1254</v>
      </c>
      <c r="T741" t="str">
        <f>"88010500"</f>
        <v>88010500</v>
      </c>
      <c r="U741" t="str">
        <f t="shared" si="377"/>
        <v>CENTRO</v>
      </c>
      <c r="V741" t="str">
        <f>"FLORIANÓPOLIS"</f>
        <v>FLORIANÓPOLIS</v>
      </c>
      <c r="W741" t="str">
        <f t="shared" si="372"/>
        <v>SC</v>
      </c>
      <c r="X741" t="str">
        <f t="shared" si="370"/>
        <v>48</v>
      </c>
      <c r="Y741" t="str">
        <f>"999916320"</f>
        <v>999916320</v>
      </c>
      <c r="Z741" t="str">
        <f>""</f>
        <v/>
      </c>
      <c r="AA741" t="str">
        <f>""</f>
        <v/>
      </c>
      <c r="AB741" t="str">
        <f>""</f>
        <v/>
      </c>
      <c r="AC741" t="str">
        <f>""</f>
        <v/>
      </c>
      <c r="AD741" t="str">
        <f>""</f>
        <v/>
      </c>
      <c r="AE741" t="str">
        <f>""</f>
        <v/>
      </c>
      <c r="AF741" t="str">
        <f>""</f>
        <v/>
      </c>
      <c r="AG741" t="str">
        <f>"S"</f>
        <v>S</v>
      </c>
      <c r="AH741" t="str">
        <f>""</f>
        <v/>
      </c>
      <c r="AI741" t="str">
        <f>""</f>
        <v/>
      </c>
      <c r="AJ741" t="str">
        <f>""</f>
        <v/>
      </c>
      <c r="AK741" t="str">
        <f>""</f>
        <v/>
      </c>
      <c r="AL741" t="str">
        <f>""</f>
        <v/>
      </c>
      <c r="AM741" t="str">
        <f>""</f>
        <v/>
      </c>
      <c r="AN741" t="str">
        <f>""</f>
        <v/>
      </c>
      <c r="AO741" t="str">
        <f>""</f>
        <v/>
      </c>
      <c r="AP741" t="str">
        <f>""</f>
        <v/>
      </c>
      <c r="AQ741" t="str">
        <f>"N"</f>
        <v>N</v>
      </c>
      <c r="AR741" t="str">
        <f>"N"</f>
        <v>N</v>
      </c>
      <c r="AS741" t="str">
        <f>"N"</f>
        <v>N</v>
      </c>
      <c r="AT741" t="str">
        <f>"N"</f>
        <v>N</v>
      </c>
      <c r="AU741" t="str">
        <f>"N"</f>
        <v>N</v>
      </c>
      <c r="AV741" t="str">
        <f>""</f>
        <v/>
      </c>
      <c r="AW741" t="str">
        <f>""</f>
        <v/>
      </c>
      <c r="AX741" t="str">
        <f>""</f>
        <v/>
      </c>
      <c r="AY741" t="str">
        <f>""</f>
        <v/>
      </c>
      <c r="AZ741" t="str">
        <f>""</f>
        <v/>
      </c>
      <c r="BA741" t="str">
        <f>""</f>
        <v/>
      </c>
      <c r="BB741" t="str">
        <f>"11/10/2021 14:55:00"</f>
        <v>11/10/2021 14:55:00</v>
      </c>
      <c r="BC741" t="str">
        <f>"08/03/2022 16:41:57"</f>
        <v>08/03/2022 16:41:57</v>
      </c>
      <c r="BD741" t="str">
        <f>""</f>
        <v/>
      </c>
      <c r="BE741" t="str">
        <f>""</f>
        <v/>
      </c>
      <c r="BF741" t="str">
        <f t="shared" si="363"/>
        <v>A</v>
      </c>
      <c r="BG741" t="str">
        <f>""</f>
        <v/>
      </c>
      <c r="BH741" t="str">
        <f>"0,00"</f>
        <v>0,00</v>
      </c>
      <c r="BI741" t="str">
        <f t="shared" si="378"/>
        <v>EVENTUAL</v>
      </c>
      <c r="BJ741" t="str">
        <f t="shared" si="364"/>
        <v>1</v>
      </c>
      <c r="BK741" t="str">
        <f t="shared" si="365"/>
        <v>Farmacia</v>
      </c>
      <c r="BL741" t="str">
        <f>""</f>
        <v/>
      </c>
      <c r="BM741" t="str">
        <f>""</f>
        <v/>
      </c>
      <c r="BN741" t="str">
        <f>""</f>
        <v/>
      </c>
      <c r="BO741" t="str">
        <f>"FOCO VARILUX"</f>
        <v>FOCO VARILUX</v>
      </c>
      <c r="BP741" t="str">
        <f>""</f>
        <v/>
      </c>
      <c r="BQ741" t="str">
        <f>""</f>
        <v/>
      </c>
      <c r="BR741" t="str">
        <f>"11/10/2021"</f>
        <v>11/10/2021</v>
      </c>
      <c r="BS741" t="str">
        <f>"08/03/2022"</f>
        <v>08/03/2022</v>
      </c>
      <c r="BT741" t="str">
        <f>""</f>
        <v/>
      </c>
      <c r="BU741" t="str">
        <f>""</f>
        <v/>
      </c>
      <c r="BV741" t="str">
        <f>""</f>
        <v/>
      </c>
      <c r="BW741" t="str">
        <f>"436"</f>
        <v>436</v>
      </c>
    </row>
    <row r="742" spans="1:75" x14ac:dyDescent="0.35">
      <c r="A742">
        <v>157607</v>
      </c>
      <c r="B742" t="str">
        <f t="shared" si="360"/>
        <v>A</v>
      </c>
      <c r="C742" t="str">
        <f t="shared" si="361"/>
        <v>80</v>
      </c>
      <c r="D742" t="str">
        <f t="shared" si="351"/>
        <v>11121002</v>
      </c>
      <c r="E742" t="str">
        <f t="shared" si="352"/>
        <v>121002</v>
      </c>
      <c r="F742" t="str">
        <f t="shared" si="353"/>
        <v>CINTHIA NORONHA</v>
      </c>
      <c r="G742" t="str">
        <f>"37165122000229"</f>
        <v>37165122000229</v>
      </c>
      <c r="H742" t="str">
        <f>"0"</f>
        <v>0</v>
      </c>
      <c r="I742" t="str">
        <f t="shared" si="362"/>
        <v>CONTA OPTICA</v>
      </c>
      <c r="J742" t="str">
        <f>"ITALAN COMERCIO DE PRODUTOS OTICOS LTDA"</f>
        <v>ITALAN COMERCIO DE PRODUTOS OTICOS LTDA</v>
      </c>
      <c r="K742" t="str">
        <f>"OTICAS CAROL (4153)"</f>
        <v>OTICAS CAROL (4153)</v>
      </c>
      <c r="L742" t="str">
        <f>""</f>
        <v/>
      </c>
      <c r="M742" t="str">
        <f>""</f>
        <v/>
      </c>
      <c r="N742" t="str">
        <f>"PRODUTOSC@OTICASCAROL.COM.BR"</f>
        <v>PRODUTOSC@OTICASCAROL.COM.BR</v>
      </c>
      <c r="O742" t="str">
        <f>""</f>
        <v/>
      </c>
      <c r="P742" t="str">
        <f>"RUA GERÔNCIO THIVES"</f>
        <v>RUA GERÔNCIO THIVES</v>
      </c>
      <c r="Q742" t="str">
        <f>"1079"</f>
        <v>1079</v>
      </c>
      <c r="R742" t="str">
        <f>"LOJA 264 E 265"</f>
        <v>LOJA 264 E 265</v>
      </c>
      <c r="S742" t="str">
        <f>"1259"</f>
        <v>1259</v>
      </c>
      <c r="T742" t="str">
        <f>"88117900"</f>
        <v>88117900</v>
      </c>
      <c r="U742" t="str">
        <f>"BARREIROS"</f>
        <v>BARREIROS</v>
      </c>
      <c r="V742" t="str">
        <f>"SAO JOSE"</f>
        <v>SAO JOSE</v>
      </c>
      <c r="W742" t="str">
        <f t="shared" si="372"/>
        <v>SC</v>
      </c>
      <c r="X742" t="str">
        <f t="shared" si="370"/>
        <v>48</v>
      </c>
      <c r="Y742" t="str">
        <f>"30352477"</f>
        <v>30352477</v>
      </c>
      <c r="Z742" t="str">
        <f>""</f>
        <v/>
      </c>
      <c r="AA742" t="str">
        <f>""</f>
        <v/>
      </c>
      <c r="AB742" t="str">
        <f>""</f>
        <v/>
      </c>
      <c r="AC742" t="str">
        <f>""</f>
        <v/>
      </c>
      <c r="AD742" t="str">
        <f>""</f>
        <v/>
      </c>
      <c r="AE742" t="str">
        <f>""</f>
        <v/>
      </c>
      <c r="AF742" t="str">
        <f>""</f>
        <v/>
      </c>
      <c r="AG742" t="str">
        <f>""</f>
        <v/>
      </c>
      <c r="AH742" t="str">
        <f>""</f>
        <v/>
      </c>
      <c r="AI742" t="str">
        <f>""</f>
        <v/>
      </c>
      <c r="AJ742" t="str">
        <f>""</f>
        <v/>
      </c>
      <c r="AK742" t="str">
        <f>""</f>
        <v/>
      </c>
      <c r="AL742" t="str">
        <f>""</f>
        <v/>
      </c>
      <c r="AM742" t="str">
        <f>""</f>
        <v/>
      </c>
      <c r="AN742" t="str">
        <f>""</f>
        <v/>
      </c>
      <c r="AO742" t="str">
        <f>""</f>
        <v/>
      </c>
      <c r="AP742" t="str">
        <f>""</f>
        <v/>
      </c>
      <c r="AQ742" t="str">
        <f>""</f>
        <v/>
      </c>
      <c r="AR742" t="str">
        <f>""</f>
        <v/>
      </c>
      <c r="AS742" t="str">
        <f>""</f>
        <v/>
      </c>
      <c r="AT742" t="str">
        <f>""</f>
        <v/>
      </c>
      <c r="AU742" t="str">
        <f>""</f>
        <v/>
      </c>
      <c r="AV742" t="str">
        <f>""</f>
        <v/>
      </c>
      <c r="AW742" t="str">
        <f>""</f>
        <v/>
      </c>
      <c r="AX742" t="str">
        <f>""</f>
        <v/>
      </c>
      <c r="AY742" t="str">
        <f>""</f>
        <v/>
      </c>
      <c r="AZ742" t="str">
        <f>""</f>
        <v/>
      </c>
      <c r="BA742" t="str">
        <f>""</f>
        <v/>
      </c>
      <c r="BB742" t="str">
        <f>"11/07/2023 02:19:56"</f>
        <v>11/07/2023 02:19:56</v>
      </c>
      <c r="BC742" t="str">
        <f>""</f>
        <v/>
      </c>
      <c r="BD742" t="str">
        <f>""</f>
        <v/>
      </c>
      <c r="BE742" t="str">
        <f>""</f>
        <v/>
      </c>
      <c r="BF742" t="str">
        <f t="shared" si="363"/>
        <v>A</v>
      </c>
      <c r="BG742" t="str">
        <f>""</f>
        <v/>
      </c>
      <c r="BH742" t="str">
        <f>""</f>
        <v/>
      </c>
      <c r="BI742" t="str">
        <f t="shared" si="378"/>
        <v>EVENTUAL</v>
      </c>
      <c r="BJ742" t="str">
        <f t="shared" si="364"/>
        <v>1</v>
      </c>
      <c r="BK742" t="str">
        <f t="shared" si="365"/>
        <v>Farmacia</v>
      </c>
      <c r="BL742" t="str">
        <f>""</f>
        <v/>
      </c>
      <c r="BM742" t="str">
        <f>""</f>
        <v/>
      </c>
      <c r="BN742" t="str">
        <f>""</f>
        <v/>
      </c>
      <c r="BO742" t="str">
        <f>""</f>
        <v/>
      </c>
      <c r="BP742" t="str">
        <f>""</f>
        <v/>
      </c>
      <c r="BQ742" t="str">
        <f>""</f>
        <v/>
      </c>
      <c r="BR742" t="str">
        <f>"11/07/2023"</f>
        <v>11/07/2023</v>
      </c>
      <c r="BS742" t="str">
        <f>""</f>
        <v/>
      </c>
      <c r="BT742" t="str">
        <f>""</f>
        <v/>
      </c>
      <c r="BU742" t="str">
        <f>""</f>
        <v/>
      </c>
      <c r="BV742" t="str">
        <f>""</f>
        <v/>
      </c>
      <c r="BW742" t="str">
        <f>"Não visitado"</f>
        <v>Não visitado</v>
      </c>
    </row>
    <row r="743" spans="1:75" x14ac:dyDescent="0.35">
      <c r="A743">
        <v>144789</v>
      </c>
      <c r="B743" t="str">
        <f t="shared" si="360"/>
        <v>A</v>
      </c>
      <c r="C743" t="str">
        <f t="shared" si="361"/>
        <v>80</v>
      </c>
      <c r="D743" t="str">
        <f t="shared" si="351"/>
        <v>11121002</v>
      </c>
      <c r="E743" t="str">
        <f t="shared" si="352"/>
        <v>121002</v>
      </c>
      <c r="F743" t="str">
        <f t="shared" si="353"/>
        <v>CINTHIA NORONHA</v>
      </c>
      <c r="G743" t="str">
        <f>"12985714000185"</f>
        <v>12985714000185</v>
      </c>
      <c r="H743" t="str">
        <f>""</f>
        <v/>
      </c>
      <c r="I743" t="str">
        <f t="shared" si="362"/>
        <v>CONTA OPTICA</v>
      </c>
      <c r="J743" t="str">
        <f>"ITALIA ACESSORIOS DE MODA LTDA EPP"</f>
        <v>ITALIA ACESSORIOS DE MODA LTDA EPP</v>
      </c>
      <c r="K743" t="str">
        <f>"CHILLI BEANS (2155)"</f>
        <v>CHILLI BEANS (2155)</v>
      </c>
      <c r="L743" t="str">
        <f>""</f>
        <v/>
      </c>
      <c r="M743" t="str">
        <f>""</f>
        <v/>
      </c>
      <c r="N743" t="str">
        <f>"mariane.mosena@chillisc.com.br"</f>
        <v>mariane.mosena@chillisc.com.br</v>
      </c>
      <c r="O743" t="str">
        <f>""</f>
        <v/>
      </c>
      <c r="P743" t="str">
        <f>"RUA LAURO MULLER"</f>
        <v>RUA LAURO MULLER</v>
      </c>
      <c r="Q743" t="str">
        <f>"71"</f>
        <v>71</v>
      </c>
      <c r="R743" t="str">
        <f>"SALA 01"</f>
        <v>SALA 01</v>
      </c>
      <c r="S743" t="str">
        <f>"1268"</f>
        <v>1268</v>
      </c>
      <c r="T743" t="str">
        <f>"88701100"</f>
        <v>88701100</v>
      </c>
      <c r="U743" t="str">
        <f>"CENTRO"</f>
        <v>CENTRO</v>
      </c>
      <c r="V743" t="str">
        <f>"TUBARÃO"</f>
        <v>TUBARÃO</v>
      </c>
      <c r="W743" t="str">
        <f t="shared" si="372"/>
        <v>SC</v>
      </c>
      <c r="X743" t="str">
        <f t="shared" si="370"/>
        <v>48</v>
      </c>
      <c r="Y743" t="str">
        <f>"30533556"</f>
        <v>30533556</v>
      </c>
      <c r="Z743" t="str">
        <f>""</f>
        <v/>
      </c>
      <c r="AA743" t="str">
        <f>""</f>
        <v/>
      </c>
      <c r="AB743" t="str">
        <f>""</f>
        <v/>
      </c>
      <c r="AC743" t="str">
        <f>""</f>
        <v/>
      </c>
      <c r="AD743" t="str">
        <f>""</f>
        <v/>
      </c>
      <c r="AE743" t="str">
        <f>""</f>
        <v/>
      </c>
      <c r="AF743" t="str">
        <f>""</f>
        <v/>
      </c>
      <c r="AG743" t="str">
        <f>""</f>
        <v/>
      </c>
      <c r="AH743" t="str">
        <f>""</f>
        <v/>
      </c>
      <c r="AI743" t="str">
        <f>""</f>
        <v/>
      </c>
      <c r="AJ743" t="str">
        <f t="shared" ref="AJ743:AL745" si="379">"0"</f>
        <v>0</v>
      </c>
      <c r="AK743" t="str">
        <f t="shared" si="379"/>
        <v>0</v>
      </c>
      <c r="AL743" t="str">
        <f t="shared" si="379"/>
        <v>0</v>
      </c>
      <c r="AM743" t="str">
        <f>""</f>
        <v/>
      </c>
      <c r="AN743" t="str">
        <f>""</f>
        <v/>
      </c>
      <c r="AO743" t="str">
        <f>""</f>
        <v/>
      </c>
      <c r="AP743" t="str">
        <f>""</f>
        <v/>
      </c>
      <c r="AQ743" t="str">
        <f>""</f>
        <v/>
      </c>
      <c r="AR743" t="str">
        <f>""</f>
        <v/>
      </c>
      <c r="AS743" t="str">
        <f>""</f>
        <v/>
      </c>
      <c r="AT743" t="str">
        <f>""</f>
        <v/>
      </c>
      <c r="AU743" t="str">
        <f>""</f>
        <v/>
      </c>
      <c r="AV743" t="str">
        <f>""</f>
        <v/>
      </c>
      <c r="AW743" t="str">
        <f>""</f>
        <v/>
      </c>
      <c r="AX743" t="str">
        <f>""</f>
        <v/>
      </c>
      <c r="AY743" t="str">
        <f>""</f>
        <v/>
      </c>
      <c r="AZ743" t="str">
        <f>""</f>
        <v/>
      </c>
      <c r="BA743" t="str">
        <f>""</f>
        <v/>
      </c>
      <c r="BB743" t="str">
        <f>""</f>
        <v/>
      </c>
      <c r="BC743" t="str">
        <f>""</f>
        <v/>
      </c>
      <c r="BD743" t="str">
        <f>""</f>
        <v/>
      </c>
      <c r="BE743" t="str">
        <f>""</f>
        <v/>
      </c>
      <c r="BF743" t="str">
        <f t="shared" si="363"/>
        <v>A</v>
      </c>
      <c r="BG743" t="str">
        <f t="shared" ref="BG743:BH745" si="380">"0,00"</f>
        <v>0,00</v>
      </c>
      <c r="BH743" t="str">
        <f t="shared" si="380"/>
        <v>0,00</v>
      </c>
      <c r="BI743" t="str">
        <f t="shared" si="378"/>
        <v>EVENTUAL</v>
      </c>
      <c r="BJ743" t="str">
        <f t="shared" si="364"/>
        <v>1</v>
      </c>
      <c r="BK743" t="str">
        <f t="shared" si="365"/>
        <v>Farmacia</v>
      </c>
      <c r="BL743" t="str">
        <f>""</f>
        <v/>
      </c>
      <c r="BM743" t="str">
        <f>"CREDENCIADO VARILUX"</f>
        <v>CREDENCIADO VARILUX</v>
      </c>
      <c r="BN743" t="str">
        <f>"NA"</f>
        <v>NA</v>
      </c>
      <c r="BO743" t="str">
        <f>"FOCO VARILUX DIGITAL"</f>
        <v>FOCO VARILUX DIGITAL</v>
      </c>
      <c r="BP743" t="str">
        <f>""</f>
        <v/>
      </c>
      <c r="BQ743" t="str">
        <f>""</f>
        <v/>
      </c>
      <c r="BR743" t="str">
        <f>""</f>
        <v/>
      </c>
      <c r="BS743" t="str">
        <f>""</f>
        <v/>
      </c>
      <c r="BT743" t="str">
        <f>""</f>
        <v/>
      </c>
      <c r="BU743" t="str">
        <f>""</f>
        <v/>
      </c>
      <c r="BV743" t="str">
        <f>"3"</f>
        <v>3</v>
      </c>
      <c r="BW743" t="str">
        <f>"294"</f>
        <v>294</v>
      </c>
    </row>
    <row r="744" spans="1:75" x14ac:dyDescent="0.35">
      <c r="A744">
        <v>144335</v>
      </c>
      <c r="B744" t="str">
        <f t="shared" si="360"/>
        <v>A</v>
      </c>
      <c r="C744" t="str">
        <f t="shared" si="361"/>
        <v>80</v>
      </c>
      <c r="D744" t="str">
        <f t="shared" si="351"/>
        <v>11121002</v>
      </c>
      <c r="E744" t="str">
        <f t="shared" si="352"/>
        <v>121002</v>
      </c>
      <c r="F744" t="str">
        <f t="shared" si="353"/>
        <v>CINTHIA NORONHA</v>
      </c>
      <c r="G744" t="str">
        <f>"14646801000133"</f>
        <v>14646801000133</v>
      </c>
      <c r="H744" t="str">
        <f>""</f>
        <v/>
      </c>
      <c r="I744" t="str">
        <f t="shared" si="362"/>
        <v>CONTA OPTICA</v>
      </c>
      <c r="J744" t="str">
        <f>"IVANE DELLA GIUSTINA ISIDORO ME"</f>
        <v>IVANE DELLA GIUSTINA ISIDORO ME</v>
      </c>
      <c r="K744" t="str">
        <f>"RELOJOARIA E OTICA NOSAA SENHOS APARECIDA (1867)"</f>
        <v>RELOJOARIA E OTICA NOSAA SENHOS APARECIDA (1867)</v>
      </c>
      <c r="L744" t="str">
        <f>""</f>
        <v/>
      </c>
      <c r="M744" t="str">
        <f>""</f>
        <v/>
      </c>
      <c r="N744" t="str">
        <f>"forquilhinha@oticansa.com.br"</f>
        <v>forquilhinha@oticansa.com.br</v>
      </c>
      <c r="O744" t="str">
        <f>""</f>
        <v/>
      </c>
      <c r="P744" t="str">
        <f>"RUA JOAO JOSE BACK"</f>
        <v>RUA JOAO JOSE BACK</v>
      </c>
      <c r="Q744" t="str">
        <f>"15"</f>
        <v>15</v>
      </c>
      <c r="R744" t="str">
        <f>"SALA 02"</f>
        <v>SALA 02</v>
      </c>
      <c r="S744" t="str">
        <f>"1269"</f>
        <v>1269</v>
      </c>
      <c r="T744" t="str">
        <f>"88850000"</f>
        <v>88850000</v>
      </c>
      <c r="U744" t="str">
        <f>"CENTRO"</f>
        <v>CENTRO</v>
      </c>
      <c r="V744" t="str">
        <f>"FORQUILHINHA"</f>
        <v>FORQUILHINHA</v>
      </c>
      <c r="W744" t="str">
        <f t="shared" si="372"/>
        <v>SC</v>
      </c>
      <c r="X744" t="str">
        <f t="shared" si="370"/>
        <v>48</v>
      </c>
      <c r="Y744" t="str">
        <f>"34631243"</f>
        <v>34631243</v>
      </c>
      <c r="Z744" t="str">
        <f>""</f>
        <v/>
      </c>
      <c r="AA744" t="str">
        <f>""</f>
        <v/>
      </c>
      <c r="AB744" t="str">
        <f>""</f>
        <v/>
      </c>
      <c r="AC744" t="str">
        <f>""</f>
        <v/>
      </c>
      <c r="AD744" t="str">
        <f>""</f>
        <v/>
      </c>
      <c r="AE744" t="str">
        <f>""</f>
        <v/>
      </c>
      <c r="AF744" t="str">
        <f>""</f>
        <v/>
      </c>
      <c r="AG744" t="str">
        <f>""</f>
        <v/>
      </c>
      <c r="AH744" t="str">
        <f>""</f>
        <v/>
      </c>
      <c r="AI744" t="str">
        <f>""</f>
        <v/>
      </c>
      <c r="AJ744" t="str">
        <f t="shared" si="379"/>
        <v>0</v>
      </c>
      <c r="AK744" t="str">
        <f t="shared" si="379"/>
        <v>0</v>
      </c>
      <c r="AL744" t="str">
        <f t="shared" si="379"/>
        <v>0</v>
      </c>
      <c r="AM744" t="str">
        <f>""</f>
        <v/>
      </c>
      <c r="AN744" t="str">
        <f>""</f>
        <v/>
      </c>
      <c r="AO744" t="str">
        <f>""</f>
        <v/>
      </c>
      <c r="AP744" t="str">
        <f>""</f>
        <v/>
      </c>
      <c r="AQ744" t="str">
        <f>""</f>
        <v/>
      </c>
      <c r="AR744" t="str">
        <f>""</f>
        <v/>
      </c>
      <c r="AS744" t="str">
        <f>""</f>
        <v/>
      </c>
      <c r="AT744" t="str">
        <f>""</f>
        <v/>
      </c>
      <c r="AU744" t="str">
        <f>""</f>
        <v/>
      </c>
      <c r="AV744" t="str">
        <f>""</f>
        <v/>
      </c>
      <c r="AW744" t="str">
        <f>""</f>
        <v/>
      </c>
      <c r="AX744" t="str">
        <f>""</f>
        <v/>
      </c>
      <c r="AY744" t="str">
        <f>""</f>
        <v/>
      </c>
      <c r="AZ744" t="str">
        <f>""</f>
        <v/>
      </c>
      <c r="BA744" t="str">
        <f>""</f>
        <v/>
      </c>
      <c r="BB744" t="str">
        <f>""</f>
        <v/>
      </c>
      <c r="BC744" t="str">
        <f>""</f>
        <v/>
      </c>
      <c r="BD744" t="str">
        <f>""</f>
        <v/>
      </c>
      <c r="BE744" t="str">
        <f>""</f>
        <v/>
      </c>
      <c r="BF744" t="str">
        <f t="shared" si="363"/>
        <v>A</v>
      </c>
      <c r="BG744" t="str">
        <f t="shared" si="380"/>
        <v>0,00</v>
      </c>
      <c r="BH744" t="str">
        <f t="shared" si="380"/>
        <v>0,00</v>
      </c>
      <c r="BI744" t="str">
        <f t="shared" si="378"/>
        <v>EVENTUAL</v>
      </c>
      <c r="BJ744" t="str">
        <f t="shared" si="364"/>
        <v>1</v>
      </c>
      <c r="BK744" t="str">
        <f t="shared" si="365"/>
        <v>Farmacia</v>
      </c>
      <c r="BL744" t="str">
        <f>""</f>
        <v/>
      </c>
      <c r="BM744" t="str">
        <f>"NÃO É VARILUX ESPECIALISTA"</f>
        <v>NÃO É VARILUX ESPECIALISTA</v>
      </c>
      <c r="BN744" t="str">
        <f>"NA"</f>
        <v>NA</v>
      </c>
      <c r="BO744" t="str">
        <f>"FOCO KODAK 2"</f>
        <v>FOCO KODAK 2</v>
      </c>
      <c r="BP744" t="str">
        <f>""</f>
        <v/>
      </c>
      <c r="BQ744" t="str">
        <f>""</f>
        <v/>
      </c>
      <c r="BR744" t="str">
        <f>""</f>
        <v/>
      </c>
      <c r="BS744" t="str">
        <f>""</f>
        <v/>
      </c>
      <c r="BT744" t="str">
        <f>""</f>
        <v/>
      </c>
      <c r="BU744" t="str">
        <f>""</f>
        <v/>
      </c>
      <c r="BV744" t="str">
        <f>"9"</f>
        <v>9</v>
      </c>
      <c r="BW744" t="str">
        <f>"8"</f>
        <v>8</v>
      </c>
    </row>
    <row r="745" spans="1:75" x14ac:dyDescent="0.35">
      <c r="A745">
        <v>144514</v>
      </c>
      <c r="B745" t="str">
        <f t="shared" si="360"/>
        <v>A</v>
      </c>
      <c r="C745" t="str">
        <f t="shared" si="361"/>
        <v>80</v>
      </c>
      <c r="D745" t="str">
        <f t="shared" si="351"/>
        <v>11121002</v>
      </c>
      <c r="E745" t="str">
        <f t="shared" si="352"/>
        <v>121002</v>
      </c>
      <c r="F745" t="str">
        <f t="shared" si="353"/>
        <v>CINTHIA NORONHA</v>
      </c>
      <c r="G745" t="str">
        <f>"32138663000163"</f>
        <v>32138663000163</v>
      </c>
      <c r="H745" t="str">
        <f>""</f>
        <v/>
      </c>
      <c r="I745" t="str">
        <f t="shared" si="362"/>
        <v>CONTA OPTICA</v>
      </c>
      <c r="J745" t="str">
        <f>"IVANIO NASCIMENTO PAZ"</f>
        <v>IVANIO NASCIMENTO PAZ</v>
      </c>
      <c r="K745" t="str">
        <f>"OTICA MARCOS (4020)"</f>
        <v>OTICA MARCOS (4020)</v>
      </c>
      <c r="L745" t="str">
        <f>""</f>
        <v/>
      </c>
      <c r="M745" t="str">
        <f>""</f>
        <v/>
      </c>
      <c r="N745" t="str">
        <f>"ivaniopaz@hotmail.com"</f>
        <v>ivaniopaz@hotmail.com</v>
      </c>
      <c r="O745" t="str">
        <f>""</f>
        <v/>
      </c>
      <c r="P745" t="str">
        <f>"AVENIDA ENGENHEIRO COLOMBO MACHADO SALLES"</f>
        <v>AVENIDA ENGENHEIRO COLOMBO MACHADO SALLES</v>
      </c>
      <c r="Q745" t="str">
        <f>"163"</f>
        <v>163</v>
      </c>
      <c r="R745" t="str">
        <f>"SALA 02"</f>
        <v>SALA 02</v>
      </c>
      <c r="S745" t="str">
        <f>"1268"</f>
        <v>1268</v>
      </c>
      <c r="T745" t="str">
        <f>"88790000"</f>
        <v>88790000</v>
      </c>
      <c r="U745" t="str">
        <f>"CENTRO"</f>
        <v>CENTRO</v>
      </c>
      <c r="V745" t="str">
        <f>"LAGUNA"</f>
        <v>LAGUNA</v>
      </c>
      <c r="W745" t="str">
        <f t="shared" si="372"/>
        <v>SC</v>
      </c>
      <c r="X745" t="str">
        <f t="shared" si="370"/>
        <v>48</v>
      </c>
      <c r="Y745" t="str">
        <f>"36462922"</f>
        <v>36462922</v>
      </c>
      <c r="Z745" t="str">
        <f>""</f>
        <v/>
      </c>
      <c r="AA745" t="str">
        <f>""</f>
        <v/>
      </c>
      <c r="AB745" t="str">
        <f>""</f>
        <v/>
      </c>
      <c r="AC745" t="str">
        <f>""</f>
        <v/>
      </c>
      <c r="AD745" t="str">
        <f>""</f>
        <v/>
      </c>
      <c r="AE745" t="str">
        <f>""</f>
        <v/>
      </c>
      <c r="AF745" t="str">
        <f>""</f>
        <v/>
      </c>
      <c r="AG745" t="str">
        <f>""</f>
        <v/>
      </c>
      <c r="AH745" t="str">
        <f>""</f>
        <v/>
      </c>
      <c r="AI745" t="str">
        <f>""</f>
        <v/>
      </c>
      <c r="AJ745" t="str">
        <f t="shared" si="379"/>
        <v>0</v>
      </c>
      <c r="AK745" t="str">
        <f t="shared" si="379"/>
        <v>0</v>
      </c>
      <c r="AL745" t="str">
        <f t="shared" si="379"/>
        <v>0</v>
      </c>
      <c r="AM745" t="str">
        <f>""</f>
        <v/>
      </c>
      <c r="AN745" t="str">
        <f>""</f>
        <v/>
      </c>
      <c r="AO745" t="str">
        <f>""</f>
        <v/>
      </c>
      <c r="AP745" t="str">
        <f>""</f>
        <v/>
      </c>
      <c r="AQ745" t="str">
        <f>""</f>
        <v/>
      </c>
      <c r="AR745" t="str">
        <f>""</f>
        <v/>
      </c>
      <c r="AS745" t="str">
        <f>""</f>
        <v/>
      </c>
      <c r="AT745" t="str">
        <f>""</f>
        <v/>
      </c>
      <c r="AU745" t="str">
        <f>""</f>
        <v/>
      </c>
      <c r="AV745" t="str">
        <f>""</f>
        <v/>
      </c>
      <c r="AW745" t="str">
        <f>""</f>
        <v/>
      </c>
      <c r="AX745" t="str">
        <f>""</f>
        <v/>
      </c>
      <c r="AY745" t="str">
        <f>""</f>
        <v/>
      </c>
      <c r="AZ745" t="str">
        <f>""</f>
        <v/>
      </c>
      <c r="BA745" t="str">
        <f>""</f>
        <v/>
      </c>
      <c r="BB745" t="str">
        <f>""</f>
        <v/>
      </c>
      <c r="BC745" t="str">
        <f>""</f>
        <v/>
      </c>
      <c r="BD745" t="str">
        <f>""</f>
        <v/>
      </c>
      <c r="BE745" t="str">
        <f>""</f>
        <v/>
      </c>
      <c r="BF745" t="str">
        <f t="shared" si="363"/>
        <v>A</v>
      </c>
      <c r="BG745" t="str">
        <f t="shared" si="380"/>
        <v>0,00</v>
      </c>
      <c r="BH745" t="str">
        <f t="shared" si="380"/>
        <v>0,00</v>
      </c>
      <c r="BI745" t="str">
        <f t="shared" si="378"/>
        <v>EVENTUAL</v>
      </c>
      <c r="BJ745" t="str">
        <f t="shared" si="364"/>
        <v>1</v>
      </c>
      <c r="BK745" t="str">
        <f t="shared" si="365"/>
        <v>Farmacia</v>
      </c>
      <c r="BL745" t="str">
        <f>""</f>
        <v/>
      </c>
      <c r="BM745" t="str">
        <f>"CREDENCIADO VARILUX"</f>
        <v>CREDENCIADO VARILUX</v>
      </c>
      <c r="BN745" t="str">
        <f>"NA"</f>
        <v>NA</v>
      </c>
      <c r="BO745" t="str">
        <f>"FOCO VARILUX DIGITAL"</f>
        <v>FOCO VARILUX DIGITAL</v>
      </c>
      <c r="BP745" t="str">
        <f>""</f>
        <v/>
      </c>
      <c r="BQ745" t="str">
        <f>""</f>
        <v/>
      </c>
      <c r="BR745" t="str">
        <f>""</f>
        <v/>
      </c>
      <c r="BS745" t="str">
        <f>""</f>
        <v/>
      </c>
      <c r="BT745" t="str">
        <f>""</f>
        <v/>
      </c>
      <c r="BU745" t="str">
        <f>""</f>
        <v/>
      </c>
      <c r="BV745" t="str">
        <f>"9"</f>
        <v>9</v>
      </c>
      <c r="BW745" t="str">
        <f>"135"</f>
        <v>135</v>
      </c>
    </row>
    <row r="746" spans="1:75" x14ac:dyDescent="0.35">
      <c r="A746">
        <v>156955</v>
      </c>
      <c r="B746" t="str">
        <f t="shared" si="360"/>
        <v>A</v>
      </c>
      <c r="C746" t="str">
        <f t="shared" si="361"/>
        <v>80</v>
      </c>
      <c r="D746" t="str">
        <f t="shared" si="351"/>
        <v>11121002</v>
      </c>
      <c r="E746" t="str">
        <f t="shared" si="352"/>
        <v>121002</v>
      </c>
      <c r="F746" t="str">
        <f t="shared" si="353"/>
        <v>CINTHIA NORONHA</v>
      </c>
      <c r="G746" t="str">
        <f>"26865235000130"</f>
        <v>26865235000130</v>
      </c>
      <c r="H746" t="str">
        <f>"0"</f>
        <v>0</v>
      </c>
      <c r="I746" t="str">
        <f t="shared" si="362"/>
        <v>CONTA OPTICA</v>
      </c>
      <c r="J746" t="str">
        <f>"J L MONDADORI JUNIOR E CIA LTDA"</f>
        <v>J L MONDADORI JUNIOR E CIA LTDA</v>
      </c>
      <c r="K746" t="str">
        <f>"OPTICAS MONDADORI (4121)"</f>
        <v>OPTICAS MONDADORI (4121)</v>
      </c>
      <c r="L746" t="str">
        <f>""</f>
        <v/>
      </c>
      <c r="M746" t="str">
        <f>""</f>
        <v/>
      </c>
      <c r="N746" t="str">
        <f>"FERNANDAMONDADORI@GMAIL.COM"</f>
        <v>FERNANDAMONDADORI@GMAIL.COM</v>
      </c>
      <c r="O746" t="str">
        <f>""</f>
        <v/>
      </c>
      <c r="P746" t="str">
        <f>"RUA GISELA"</f>
        <v>RUA GISELA</v>
      </c>
      <c r="Q746" t="str">
        <f>"2205"</f>
        <v>2205</v>
      </c>
      <c r="R746" t="str">
        <f>""</f>
        <v/>
      </c>
      <c r="S746" t="str">
        <f>""</f>
        <v/>
      </c>
      <c r="T746" t="str">
        <f>"88110110"</f>
        <v>88110110</v>
      </c>
      <c r="U746" t="str">
        <f>"BELA VISTA"</f>
        <v>BELA VISTA</v>
      </c>
      <c r="V746" t="str">
        <f>"SAO JOSE"</f>
        <v>SAO JOSE</v>
      </c>
      <c r="W746" t="str">
        <f t="shared" si="372"/>
        <v>SC</v>
      </c>
      <c r="X746" t="str">
        <f t="shared" si="370"/>
        <v>48</v>
      </c>
      <c r="Y746" t="str">
        <f>"33572792"</f>
        <v>33572792</v>
      </c>
      <c r="Z746" t="str">
        <f>""</f>
        <v/>
      </c>
      <c r="AA746" t="str">
        <f>""</f>
        <v/>
      </c>
      <c r="AB746" t="str">
        <f>""</f>
        <v/>
      </c>
      <c r="AC746" t="str">
        <f>""</f>
        <v/>
      </c>
      <c r="AD746" t="str">
        <f>""</f>
        <v/>
      </c>
      <c r="AE746" t="str">
        <f>""</f>
        <v/>
      </c>
      <c r="AF746" t="str">
        <f>""</f>
        <v/>
      </c>
      <c r="AG746" t="str">
        <f>""</f>
        <v/>
      </c>
      <c r="AH746" t="str">
        <f>""</f>
        <v/>
      </c>
      <c r="AI746" t="str">
        <f>""</f>
        <v/>
      </c>
      <c r="AJ746" t="str">
        <f>""</f>
        <v/>
      </c>
      <c r="AK746" t="str">
        <f>""</f>
        <v/>
      </c>
      <c r="AL746" t="str">
        <f>""</f>
        <v/>
      </c>
      <c r="AM746" t="str">
        <f>""</f>
        <v/>
      </c>
      <c r="AN746" t="str">
        <f>""</f>
        <v/>
      </c>
      <c r="AO746" t="str">
        <f>""</f>
        <v/>
      </c>
      <c r="AP746" t="str">
        <f>""</f>
        <v/>
      </c>
      <c r="AQ746" t="str">
        <f>""</f>
        <v/>
      </c>
      <c r="AR746" t="str">
        <f>""</f>
        <v/>
      </c>
      <c r="AS746" t="str">
        <f>""</f>
        <v/>
      </c>
      <c r="AT746" t="str">
        <f>""</f>
        <v/>
      </c>
      <c r="AU746" t="str">
        <f>""</f>
        <v/>
      </c>
      <c r="AV746" t="str">
        <f>""</f>
        <v/>
      </c>
      <c r="AW746" t="str">
        <f>""</f>
        <v/>
      </c>
      <c r="AX746" t="str">
        <f>""</f>
        <v/>
      </c>
      <c r="AY746" t="str">
        <f>""</f>
        <v/>
      </c>
      <c r="AZ746" t="str">
        <f>""</f>
        <v/>
      </c>
      <c r="BA746" t="str">
        <f>""</f>
        <v/>
      </c>
      <c r="BB746" t="str">
        <f>"06/07/2023 12:07:48"</f>
        <v>06/07/2023 12:07:48</v>
      </c>
      <c r="BC746" t="str">
        <f>""</f>
        <v/>
      </c>
      <c r="BD746" t="str">
        <f>""</f>
        <v/>
      </c>
      <c r="BE746" t="str">
        <f>""</f>
        <v/>
      </c>
      <c r="BF746" t="str">
        <f t="shared" si="363"/>
        <v>A</v>
      </c>
      <c r="BG746" t="str">
        <f>""</f>
        <v/>
      </c>
      <c r="BH746" t="str">
        <f>""</f>
        <v/>
      </c>
      <c r="BI746" t="str">
        <f t="shared" si="378"/>
        <v>EVENTUAL</v>
      </c>
      <c r="BJ746" t="str">
        <f t="shared" si="364"/>
        <v>1</v>
      </c>
      <c r="BK746" t="str">
        <f t="shared" si="365"/>
        <v>Farmacia</v>
      </c>
      <c r="BL746" t="str">
        <f>""</f>
        <v/>
      </c>
      <c r="BM746" t="str">
        <f>""</f>
        <v/>
      </c>
      <c r="BN746" t="str">
        <f>""</f>
        <v/>
      </c>
      <c r="BO746" t="str">
        <f>""</f>
        <v/>
      </c>
      <c r="BP746" t="str">
        <f>""</f>
        <v/>
      </c>
      <c r="BQ746" t="str">
        <f>""</f>
        <v/>
      </c>
      <c r="BR746" t="str">
        <f>"06/07/2023"</f>
        <v>06/07/2023</v>
      </c>
      <c r="BS746" t="str">
        <f>""</f>
        <v/>
      </c>
      <c r="BT746" t="str">
        <f>""</f>
        <v/>
      </c>
      <c r="BU746" t="str">
        <f>""</f>
        <v/>
      </c>
      <c r="BV746" t="str">
        <f>""</f>
        <v/>
      </c>
      <c r="BW746" t="str">
        <f>"38"</f>
        <v>38</v>
      </c>
    </row>
    <row r="747" spans="1:75" x14ac:dyDescent="0.35">
      <c r="A747">
        <v>152764</v>
      </c>
      <c r="B747" t="str">
        <f t="shared" si="360"/>
        <v>A</v>
      </c>
      <c r="C747" t="str">
        <f t="shared" si="361"/>
        <v>80</v>
      </c>
      <c r="D747" t="str">
        <f t="shared" si="351"/>
        <v>11121002</v>
      </c>
      <c r="E747" t="str">
        <f t="shared" si="352"/>
        <v>121002</v>
      </c>
      <c r="F747" t="str">
        <f t="shared" si="353"/>
        <v>CINTHIA NORONHA</v>
      </c>
      <c r="G747" t="str">
        <f>"34430000000143"</f>
        <v>34430000000143</v>
      </c>
      <c r="H747" t="str">
        <f>"0"</f>
        <v>0</v>
      </c>
      <c r="I747" t="str">
        <f t="shared" si="362"/>
        <v>CONTA OPTICA</v>
      </c>
      <c r="J747" t="str">
        <f>"JACIARA DOS SANTOS ART OPTICOS E ACESSORIOS"</f>
        <v>JACIARA DOS SANTOS ART OPTICOS E ACESSORIOS</v>
      </c>
      <c r="K747" t="str">
        <f>"OTICA MOONE"</f>
        <v>OTICA MOONE</v>
      </c>
      <c r="L747" t="str">
        <f>""</f>
        <v/>
      </c>
      <c r="M747" t="str">
        <f>""</f>
        <v/>
      </c>
      <c r="N747" t="str">
        <f>"oticamoone@gmail.com"</f>
        <v>oticamoone@gmail.com</v>
      </c>
      <c r="O747" t="str">
        <f>""</f>
        <v/>
      </c>
      <c r="P747" t="str">
        <f>"RUA SANTOS SARAIVA"</f>
        <v>RUA SANTOS SARAIVA</v>
      </c>
      <c r="Q747" t="str">
        <f>"238"</f>
        <v>238</v>
      </c>
      <c r="R747" t="str">
        <f>"LOJA 4"</f>
        <v>LOJA 4</v>
      </c>
      <c r="S747" t="str">
        <f>"1258"</f>
        <v>1258</v>
      </c>
      <c r="T747" t="str">
        <f>"88070100"</f>
        <v>88070100</v>
      </c>
      <c r="U747" t="str">
        <f>"ESTREITO"</f>
        <v>ESTREITO</v>
      </c>
      <c r="V747" t="str">
        <f>"FLORIANOPOLIS"</f>
        <v>FLORIANOPOLIS</v>
      </c>
      <c r="W747" t="str">
        <f t="shared" si="372"/>
        <v>SC</v>
      </c>
      <c r="X747" t="str">
        <f>""</f>
        <v/>
      </c>
      <c r="Y747" t="str">
        <f>""</f>
        <v/>
      </c>
      <c r="Z747" t="str">
        <f>""</f>
        <v/>
      </c>
      <c r="AA747" t="str">
        <f>""</f>
        <v/>
      </c>
      <c r="AB747" t="str">
        <f>""</f>
        <v/>
      </c>
      <c r="AC747" t="str">
        <f>""</f>
        <v/>
      </c>
      <c r="AD747" t="str">
        <f>""</f>
        <v/>
      </c>
      <c r="AE747" t="str">
        <f>""</f>
        <v/>
      </c>
      <c r="AF747" t="str">
        <f>""</f>
        <v/>
      </c>
      <c r="AG747" t="str">
        <f>""</f>
        <v/>
      </c>
      <c r="AH747" t="str">
        <f>""</f>
        <v/>
      </c>
      <c r="AI747" t="str">
        <f>""</f>
        <v/>
      </c>
      <c r="AJ747" t="str">
        <f>""</f>
        <v/>
      </c>
      <c r="AK747" t="str">
        <f>""</f>
        <v/>
      </c>
      <c r="AL747" t="str">
        <f>""</f>
        <v/>
      </c>
      <c r="AM747" t="str">
        <f>""</f>
        <v/>
      </c>
      <c r="AN747" t="str">
        <f>""</f>
        <v/>
      </c>
      <c r="AO747" t="str">
        <f>""</f>
        <v/>
      </c>
      <c r="AP747" t="str">
        <f>""</f>
        <v/>
      </c>
      <c r="AQ747" t="str">
        <f>""</f>
        <v/>
      </c>
      <c r="AR747" t="str">
        <f>""</f>
        <v/>
      </c>
      <c r="AS747" t="str">
        <f>""</f>
        <v/>
      </c>
      <c r="AT747" t="str">
        <f>""</f>
        <v/>
      </c>
      <c r="AU747" t="str">
        <f>""</f>
        <v/>
      </c>
      <c r="AV747" t="str">
        <f>""</f>
        <v/>
      </c>
      <c r="AW747" t="str">
        <f>""</f>
        <v/>
      </c>
      <c r="AX747" t="str">
        <f>""</f>
        <v/>
      </c>
      <c r="AY747" t="str">
        <f>""</f>
        <v/>
      </c>
      <c r="AZ747" t="str">
        <f>""</f>
        <v/>
      </c>
      <c r="BA747" t="str">
        <f>""</f>
        <v/>
      </c>
      <c r="BB747" t="str">
        <f>"03/04/2023 13:34:29"</f>
        <v>03/04/2023 13:34:29</v>
      </c>
      <c r="BC747" t="str">
        <f>""</f>
        <v/>
      </c>
      <c r="BD747" t="str">
        <f>""</f>
        <v/>
      </c>
      <c r="BE747" t="str">
        <f>""</f>
        <v/>
      </c>
      <c r="BF747" t="str">
        <f t="shared" si="363"/>
        <v>A</v>
      </c>
      <c r="BG747" t="str">
        <f>""</f>
        <v/>
      </c>
      <c r="BH747" t="str">
        <f>""</f>
        <v/>
      </c>
      <c r="BI747" t="str">
        <f t="shared" si="378"/>
        <v>EVENTUAL</v>
      </c>
      <c r="BJ747" t="str">
        <f t="shared" si="364"/>
        <v>1</v>
      </c>
      <c r="BK747" t="str">
        <f t="shared" si="365"/>
        <v>Farmacia</v>
      </c>
      <c r="BL747" t="str">
        <f>""</f>
        <v/>
      </c>
      <c r="BM747" t="str">
        <f>""</f>
        <v/>
      </c>
      <c r="BN747" t="str">
        <f>""</f>
        <v/>
      </c>
      <c r="BO747" t="str">
        <f>""</f>
        <v/>
      </c>
      <c r="BP747" t="str">
        <f>""</f>
        <v/>
      </c>
      <c r="BQ747" t="str">
        <f>""</f>
        <v/>
      </c>
      <c r="BR747" t="str">
        <f>"03/04/2023"</f>
        <v>03/04/2023</v>
      </c>
      <c r="BS747" t="str">
        <f>""</f>
        <v/>
      </c>
      <c r="BT747" t="str">
        <f>""</f>
        <v/>
      </c>
      <c r="BU747" t="str">
        <f>""</f>
        <v/>
      </c>
      <c r="BV747" t="str">
        <f>""</f>
        <v/>
      </c>
      <c r="BW747" t="str">
        <f>"Não visitado"</f>
        <v>Não visitado</v>
      </c>
    </row>
    <row r="748" spans="1:75" x14ac:dyDescent="0.35">
      <c r="A748">
        <v>157657</v>
      </c>
      <c r="B748" t="str">
        <f t="shared" si="360"/>
        <v>A</v>
      </c>
      <c r="C748" t="str">
        <f t="shared" si="361"/>
        <v>80</v>
      </c>
      <c r="D748" t="str">
        <f t="shared" si="351"/>
        <v>11121002</v>
      </c>
      <c r="E748" t="str">
        <f t="shared" si="352"/>
        <v>121002</v>
      </c>
      <c r="F748" t="str">
        <f t="shared" si="353"/>
        <v>CINTHIA NORONHA</v>
      </c>
      <c r="G748" t="str">
        <f>"24564691000114"</f>
        <v>24564691000114</v>
      </c>
      <c r="H748" t="str">
        <f>"0"</f>
        <v>0</v>
      </c>
      <c r="I748" t="str">
        <f t="shared" si="362"/>
        <v>CONTA OPTICA</v>
      </c>
      <c r="J748" t="str">
        <f>"JACKSON QUADROS DA SILVA E CIA LTDA"</f>
        <v>JACKSON QUADROS DA SILVA E CIA LTDA</v>
      </c>
      <c r="K748" t="str">
        <f>"OPTICA TORRES (3802)"</f>
        <v>OPTICA TORRES (3802)</v>
      </c>
      <c r="L748" t="str">
        <f>""</f>
        <v/>
      </c>
      <c r="M748" t="str">
        <f>""</f>
        <v/>
      </c>
      <c r="N748" t="str">
        <f>"OPTICA_JK@HOTMAIL.COM"</f>
        <v>OPTICA_JK@HOTMAIL.COM</v>
      </c>
      <c r="O748" t="str">
        <f>""</f>
        <v/>
      </c>
      <c r="P748" t="str">
        <f>"RUA TRES DE MAIO"</f>
        <v>RUA TRES DE MAIO</v>
      </c>
      <c r="Q748" t="str">
        <f>"328"</f>
        <v>328</v>
      </c>
      <c r="R748" t="str">
        <f>""</f>
        <v/>
      </c>
      <c r="S748" t="str">
        <f>"1336"</f>
        <v>1336</v>
      </c>
      <c r="T748" t="str">
        <f>"95560000"</f>
        <v>95560000</v>
      </c>
      <c r="U748" t="str">
        <f>"CENTRO"</f>
        <v>CENTRO</v>
      </c>
      <c r="V748" t="str">
        <f>"TORRES"</f>
        <v>TORRES</v>
      </c>
      <c r="W748" t="str">
        <f>"RS"</f>
        <v>RS</v>
      </c>
      <c r="X748" t="str">
        <f>"51"</f>
        <v>51</v>
      </c>
      <c r="Y748" t="str">
        <f>"36643410"</f>
        <v>36643410</v>
      </c>
      <c r="Z748" t="str">
        <f>""</f>
        <v/>
      </c>
      <c r="AA748" t="str">
        <f>""</f>
        <v/>
      </c>
      <c r="AB748" t="str">
        <f>""</f>
        <v/>
      </c>
      <c r="AC748" t="str">
        <f>""</f>
        <v/>
      </c>
      <c r="AD748" t="str">
        <f>""</f>
        <v/>
      </c>
      <c r="AE748" t="str">
        <f>""</f>
        <v/>
      </c>
      <c r="AF748" t="str">
        <f>""</f>
        <v/>
      </c>
      <c r="AG748" t="str">
        <f>""</f>
        <v/>
      </c>
      <c r="AH748" t="str">
        <f>""</f>
        <v/>
      </c>
      <c r="AI748" t="str">
        <f>""</f>
        <v/>
      </c>
      <c r="AJ748" t="str">
        <f>""</f>
        <v/>
      </c>
      <c r="AK748" t="str">
        <f>""</f>
        <v/>
      </c>
      <c r="AL748" t="str">
        <f>""</f>
        <v/>
      </c>
      <c r="AM748" t="str">
        <f>""</f>
        <v/>
      </c>
      <c r="AN748" t="str">
        <f>""</f>
        <v/>
      </c>
      <c r="AO748" t="str">
        <f>""</f>
        <v/>
      </c>
      <c r="AP748" t="str">
        <f>""</f>
        <v/>
      </c>
      <c r="AQ748" t="str">
        <f>""</f>
        <v/>
      </c>
      <c r="AR748" t="str">
        <f>""</f>
        <v/>
      </c>
      <c r="AS748" t="str">
        <f>""</f>
        <v/>
      </c>
      <c r="AT748" t="str">
        <f>""</f>
        <v/>
      </c>
      <c r="AU748" t="str">
        <f>""</f>
        <v/>
      </c>
      <c r="AV748" t="str">
        <f>""</f>
        <v/>
      </c>
      <c r="AW748" t="str">
        <f>""</f>
        <v/>
      </c>
      <c r="AX748" t="str">
        <f>""</f>
        <v/>
      </c>
      <c r="AY748" t="str">
        <f>""</f>
        <v/>
      </c>
      <c r="AZ748" t="str">
        <f>""</f>
        <v/>
      </c>
      <c r="BA748" t="str">
        <f>""</f>
        <v/>
      </c>
      <c r="BB748" t="str">
        <f>"11/07/2023 02:19:56"</f>
        <v>11/07/2023 02:19:56</v>
      </c>
      <c r="BC748" t="str">
        <f>""</f>
        <v/>
      </c>
      <c r="BD748" t="str">
        <f>""</f>
        <v/>
      </c>
      <c r="BE748" t="str">
        <f>""</f>
        <v/>
      </c>
      <c r="BF748" t="str">
        <f t="shared" si="363"/>
        <v>A</v>
      </c>
      <c r="BG748" t="str">
        <f>""</f>
        <v/>
      </c>
      <c r="BH748" t="str">
        <f>""</f>
        <v/>
      </c>
      <c r="BI748" t="str">
        <f t="shared" si="378"/>
        <v>EVENTUAL</v>
      </c>
      <c r="BJ748" t="str">
        <f t="shared" si="364"/>
        <v>1</v>
      </c>
      <c r="BK748" t="str">
        <f t="shared" si="365"/>
        <v>Farmacia</v>
      </c>
      <c r="BL748" t="str">
        <f>""</f>
        <v/>
      </c>
      <c r="BM748" t="str">
        <f>""</f>
        <v/>
      </c>
      <c r="BN748" t="str">
        <f>""</f>
        <v/>
      </c>
      <c r="BO748" t="str">
        <f>""</f>
        <v/>
      </c>
      <c r="BP748" t="str">
        <f>""</f>
        <v/>
      </c>
      <c r="BQ748" t="str">
        <f>""</f>
        <v/>
      </c>
      <c r="BR748" t="str">
        <f>"11/07/2023"</f>
        <v>11/07/2023</v>
      </c>
      <c r="BS748" t="str">
        <f>""</f>
        <v/>
      </c>
      <c r="BT748" t="str">
        <f>""</f>
        <v/>
      </c>
      <c r="BU748" t="str">
        <f>""</f>
        <v/>
      </c>
      <c r="BV748" t="str">
        <f>""</f>
        <v/>
      </c>
      <c r="BW748" t="str">
        <f>"Não visitado"</f>
        <v>Não visitado</v>
      </c>
    </row>
    <row r="749" spans="1:75" x14ac:dyDescent="0.35">
      <c r="A749">
        <v>157585</v>
      </c>
      <c r="B749" t="str">
        <f t="shared" si="360"/>
        <v>A</v>
      </c>
      <c r="C749" t="str">
        <f t="shared" si="361"/>
        <v>80</v>
      </c>
      <c r="D749" t="str">
        <f t="shared" si="351"/>
        <v>11121002</v>
      </c>
      <c r="E749" t="str">
        <f t="shared" si="352"/>
        <v>121002</v>
      </c>
      <c r="F749" t="str">
        <f t="shared" si="353"/>
        <v>CINTHIA NORONHA</v>
      </c>
      <c r="G749" t="str">
        <f>"04628445000171"</f>
        <v>04628445000171</v>
      </c>
      <c r="H749" t="str">
        <f>"0"</f>
        <v>0</v>
      </c>
      <c r="I749" t="str">
        <f t="shared" si="362"/>
        <v>CONTA OPTICA</v>
      </c>
      <c r="J749" t="str">
        <f>"JADE JOALHERIA E OTICA LTDA  MATRIZ"</f>
        <v>JADE JOALHERIA E OTICA LTDA  MATRIZ</v>
      </c>
      <c r="K749" t="str">
        <f>"QUEVEDO (83)"</f>
        <v>QUEVEDO (83)</v>
      </c>
      <c r="L749" t="str">
        <f>""</f>
        <v/>
      </c>
      <c r="M749" t="str">
        <f>""</f>
        <v/>
      </c>
      <c r="N749" t="str">
        <f>"EXPEDIENTE@QUEVEDO.COM.BR"</f>
        <v>EXPEDIENTE@QUEVEDO.COM.BR</v>
      </c>
      <c r="O749" t="str">
        <f>""</f>
        <v/>
      </c>
      <c r="P749" t="str">
        <f>"VIRGILIO VARZEA"</f>
        <v>VIRGILIO VARZEA</v>
      </c>
      <c r="Q749" t="str">
        <f>"587"</f>
        <v>587</v>
      </c>
      <c r="R749" t="str">
        <f>"LOJA 144"</f>
        <v>LOJA 144</v>
      </c>
      <c r="S749" t="str">
        <f>"1257"</f>
        <v>1257</v>
      </c>
      <c r="T749" t="str">
        <f>"88032001"</f>
        <v>88032001</v>
      </c>
      <c r="U749" t="str">
        <f>"SACO GRANDE"</f>
        <v>SACO GRANDE</v>
      </c>
      <c r="V749" t="str">
        <f>"FLORIANOPOLIS"</f>
        <v>FLORIANOPOLIS</v>
      </c>
      <c r="W749" t="str">
        <f t="shared" ref="W749:W773" si="381">"SC"</f>
        <v>SC</v>
      </c>
      <c r="X749" t="str">
        <f>"48"</f>
        <v>48</v>
      </c>
      <c r="Y749" t="str">
        <f>"32247135"</f>
        <v>32247135</v>
      </c>
      <c r="Z749" t="str">
        <f>""</f>
        <v/>
      </c>
      <c r="AA749" t="str">
        <f>""</f>
        <v/>
      </c>
      <c r="AB749" t="str">
        <f>""</f>
        <v/>
      </c>
      <c r="AC749" t="str">
        <f>""</f>
        <v/>
      </c>
      <c r="AD749" t="str">
        <f>""</f>
        <v/>
      </c>
      <c r="AE749" t="str">
        <f>""</f>
        <v/>
      </c>
      <c r="AF749" t="str">
        <f>""</f>
        <v/>
      </c>
      <c r="AG749" t="str">
        <f>""</f>
        <v/>
      </c>
      <c r="AH749" t="str">
        <f>""</f>
        <v/>
      </c>
      <c r="AI749" t="str">
        <f>""</f>
        <v/>
      </c>
      <c r="AJ749" t="str">
        <f>""</f>
        <v/>
      </c>
      <c r="AK749" t="str">
        <f>""</f>
        <v/>
      </c>
      <c r="AL749" t="str">
        <f>""</f>
        <v/>
      </c>
      <c r="AM749" t="str">
        <f>""</f>
        <v/>
      </c>
      <c r="AN749" t="str">
        <f>""</f>
        <v/>
      </c>
      <c r="AO749" t="str">
        <f>""</f>
        <v/>
      </c>
      <c r="AP749" t="str">
        <f>""</f>
        <v/>
      </c>
      <c r="AQ749" t="str">
        <f>""</f>
        <v/>
      </c>
      <c r="AR749" t="str">
        <f>""</f>
        <v/>
      </c>
      <c r="AS749" t="str">
        <f>""</f>
        <v/>
      </c>
      <c r="AT749" t="str">
        <f>""</f>
        <v/>
      </c>
      <c r="AU749" t="str">
        <f>""</f>
        <v/>
      </c>
      <c r="AV749" t="str">
        <f>""</f>
        <v/>
      </c>
      <c r="AW749" t="str">
        <f>""</f>
        <v/>
      </c>
      <c r="AX749" t="str">
        <f>""</f>
        <v/>
      </c>
      <c r="AY749" t="str">
        <f>""</f>
        <v/>
      </c>
      <c r="AZ749" t="str">
        <f>""</f>
        <v/>
      </c>
      <c r="BA749" t="str">
        <f>""</f>
        <v/>
      </c>
      <c r="BB749" t="str">
        <f>"11/07/2023 02:19:56"</f>
        <v>11/07/2023 02:19:56</v>
      </c>
      <c r="BC749" t="str">
        <f>""</f>
        <v/>
      </c>
      <c r="BD749" t="str">
        <f>""</f>
        <v/>
      </c>
      <c r="BE749" t="str">
        <f>""</f>
        <v/>
      </c>
      <c r="BF749" t="str">
        <f t="shared" si="363"/>
        <v>A</v>
      </c>
      <c r="BG749" t="str">
        <f>""</f>
        <v/>
      </c>
      <c r="BH749" t="str">
        <f>""</f>
        <v/>
      </c>
      <c r="BI749" t="str">
        <f t="shared" si="378"/>
        <v>EVENTUAL</v>
      </c>
      <c r="BJ749" t="str">
        <f t="shared" si="364"/>
        <v>1</v>
      </c>
      <c r="BK749" t="str">
        <f t="shared" si="365"/>
        <v>Farmacia</v>
      </c>
      <c r="BL749" t="str">
        <f>""</f>
        <v/>
      </c>
      <c r="BM749" t="str">
        <f>""</f>
        <v/>
      </c>
      <c r="BN749" t="str">
        <f>""</f>
        <v/>
      </c>
      <c r="BO749" t="str">
        <f>""</f>
        <v/>
      </c>
      <c r="BP749" t="str">
        <f>""</f>
        <v/>
      </c>
      <c r="BQ749" t="str">
        <f>""</f>
        <v/>
      </c>
      <c r="BR749" t="str">
        <f>"11/07/2023"</f>
        <v>11/07/2023</v>
      </c>
      <c r="BS749" t="str">
        <f>""</f>
        <v/>
      </c>
      <c r="BT749" t="str">
        <f>""</f>
        <v/>
      </c>
      <c r="BU749" t="str">
        <f>""</f>
        <v/>
      </c>
      <c r="BV749" t="str">
        <f>""</f>
        <v/>
      </c>
      <c r="BW749" t="str">
        <f>"Não visitado"</f>
        <v>Não visitado</v>
      </c>
    </row>
    <row r="750" spans="1:75" x14ac:dyDescent="0.35">
      <c r="A750">
        <v>144360</v>
      </c>
      <c r="B750" t="str">
        <f t="shared" si="360"/>
        <v>A</v>
      </c>
      <c r="C750" t="str">
        <f t="shared" si="361"/>
        <v>80</v>
      </c>
      <c r="D750" t="str">
        <f t="shared" si="351"/>
        <v>11121002</v>
      </c>
      <c r="E750" t="str">
        <f t="shared" si="352"/>
        <v>121002</v>
      </c>
      <c r="F750" t="str">
        <f t="shared" si="353"/>
        <v>CINTHIA NORONHA</v>
      </c>
      <c r="G750" t="str">
        <f>"73758799000153"</f>
        <v>73758799000153</v>
      </c>
      <c r="H750" t="str">
        <f>""</f>
        <v/>
      </c>
      <c r="I750" t="str">
        <f t="shared" si="362"/>
        <v>CONTA OPTICA</v>
      </c>
      <c r="J750" t="str">
        <f>"JANDER PORTO"</f>
        <v>JANDER PORTO</v>
      </c>
      <c r="K750" t="str">
        <f>"RELOJOARIA E OPTICA DUMONTY - ROD (1038)"</f>
        <v>RELOJOARIA E OPTICA DUMONTY - ROD (1038)</v>
      </c>
      <c r="L750" t="str">
        <f>""</f>
        <v/>
      </c>
      <c r="M750" t="str">
        <f>""</f>
        <v/>
      </c>
      <c r="N750" t="str">
        <f>""</f>
        <v/>
      </c>
      <c r="O750" t="str">
        <f>""</f>
        <v/>
      </c>
      <c r="P750" t="str">
        <f>"RUA ERNESTO LACOMB"</f>
        <v>RUA ERNESTO LACOMB</v>
      </c>
      <c r="Q750" t="str">
        <f>"59"</f>
        <v>59</v>
      </c>
      <c r="R750" t="str">
        <f>""</f>
        <v/>
      </c>
      <c r="S750" t="str">
        <f>"1268"</f>
        <v>1268</v>
      </c>
      <c r="T750" t="str">
        <f>"88715000"</f>
        <v>88715000</v>
      </c>
      <c r="U750" t="str">
        <f>"NAO INFORMADO"</f>
        <v>NAO INFORMADO</v>
      </c>
      <c r="V750" t="str">
        <f>"JAGUARUNA"</f>
        <v>JAGUARUNA</v>
      </c>
      <c r="W750" t="str">
        <f t="shared" si="381"/>
        <v>SC</v>
      </c>
      <c r="X750" t="str">
        <f>"48"</f>
        <v>48</v>
      </c>
      <c r="Y750" t="str">
        <f>"36240514"</f>
        <v>36240514</v>
      </c>
      <c r="Z750" t="str">
        <f>""</f>
        <v/>
      </c>
      <c r="AA750" t="str">
        <f>""</f>
        <v/>
      </c>
      <c r="AB750" t="str">
        <f>""</f>
        <v/>
      </c>
      <c r="AC750" t="str">
        <f>""</f>
        <v/>
      </c>
      <c r="AD750" t="str">
        <f>""</f>
        <v/>
      </c>
      <c r="AE750" t="str">
        <f>""</f>
        <v/>
      </c>
      <c r="AF750" t="str">
        <f>""</f>
        <v/>
      </c>
      <c r="AG750" t="str">
        <f>""</f>
        <v/>
      </c>
      <c r="AH750" t="str">
        <f>""</f>
        <v/>
      </c>
      <c r="AI750" t="str">
        <f>""</f>
        <v/>
      </c>
      <c r="AJ750" t="str">
        <f>"0"</f>
        <v>0</v>
      </c>
      <c r="AK750" t="str">
        <f>"0"</f>
        <v>0</v>
      </c>
      <c r="AL750" t="str">
        <f>"0"</f>
        <v>0</v>
      </c>
      <c r="AM750" t="str">
        <f>""</f>
        <v/>
      </c>
      <c r="AN750" t="str">
        <f>""</f>
        <v/>
      </c>
      <c r="AO750" t="str">
        <f>""</f>
        <v/>
      </c>
      <c r="AP750" t="str">
        <f>""</f>
        <v/>
      </c>
      <c r="AQ750" t="str">
        <f>""</f>
        <v/>
      </c>
      <c r="AR750" t="str">
        <f>""</f>
        <v/>
      </c>
      <c r="AS750" t="str">
        <f>""</f>
        <v/>
      </c>
      <c r="AT750" t="str">
        <f>""</f>
        <v/>
      </c>
      <c r="AU750" t="str">
        <f>""</f>
        <v/>
      </c>
      <c r="AV750" t="str">
        <f>""</f>
        <v/>
      </c>
      <c r="AW750" t="str">
        <f>""</f>
        <v/>
      </c>
      <c r="AX750" t="str">
        <f>""</f>
        <v/>
      </c>
      <c r="AY750" t="str">
        <f>""</f>
        <v/>
      </c>
      <c r="AZ750" t="str">
        <f>""</f>
        <v/>
      </c>
      <c r="BA750" t="str">
        <f>""</f>
        <v/>
      </c>
      <c r="BB750" t="str">
        <f>""</f>
        <v/>
      </c>
      <c r="BC750" t="str">
        <f>""</f>
        <v/>
      </c>
      <c r="BD750" t="str">
        <f>""</f>
        <v/>
      </c>
      <c r="BE750" t="str">
        <f>""</f>
        <v/>
      </c>
      <c r="BF750" t="str">
        <f t="shared" si="363"/>
        <v>A</v>
      </c>
      <c r="BG750" t="str">
        <f>"0,00"</f>
        <v>0,00</v>
      </c>
      <c r="BH750" t="str">
        <f>"0,00"</f>
        <v>0,00</v>
      </c>
      <c r="BI750" t="str">
        <f t="shared" si="378"/>
        <v>EVENTUAL</v>
      </c>
      <c r="BJ750" t="str">
        <f t="shared" si="364"/>
        <v>1</v>
      </c>
      <c r="BK750" t="str">
        <f t="shared" si="365"/>
        <v>Farmacia</v>
      </c>
      <c r="BL750" t="str">
        <f>""</f>
        <v/>
      </c>
      <c r="BM750" t="str">
        <f>"NÃO É VARILUX ESPECIALISTA"</f>
        <v>NÃO É VARILUX ESPECIALISTA</v>
      </c>
      <c r="BN750" t="str">
        <f>"NA"</f>
        <v>NA</v>
      </c>
      <c r="BO750" t="str">
        <f>"FOCO KODAK 2"</f>
        <v>FOCO KODAK 2</v>
      </c>
      <c r="BP750" t="str">
        <f>""</f>
        <v/>
      </c>
      <c r="BQ750" t="str">
        <f>""</f>
        <v/>
      </c>
      <c r="BR750" t="str">
        <f>""</f>
        <v/>
      </c>
      <c r="BS750" t="str">
        <f>""</f>
        <v/>
      </c>
      <c r="BT750" t="str">
        <f>""</f>
        <v/>
      </c>
      <c r="BU750" t="str">
        <f>""</f>
        <v/>
      </c>
      <c r="BV750" t="str">
        <f>"9"</f>
        <v>9</v>
      </c>
      <c r="BW750" t="str">
        <f>"Não visitado"</f>
        <v>Não visitado</v>
      </c>
    </row>
    <row r="751" spans="1:75" x14ac:dyDescent="0.35">
      <c r="A751">
        <v>152755</v>
      </c>
      <c r="B751" t="str">
        <f t="shared" si="360"/>
        <v>A</v>
      </c>
      <c r="C751" t="str">
        <f t="shared" si="361"/>
        <v>80</v>
      </c>
      <c r="D751" t="str">
        <f t="shared" si="351"/>
        <v>11121002</v>
      </c>
      <c r="E751" t="str">
        <f t="shared" si="352"/>
        <v>121002</v>
      </c>
      <c r="F751" t="str">
        <f t="shared" si="353"/>
        <v>CINTHIA NORONHA</v>
      </c>
      <c r="G751" t="str">
        <f>"43888630000157"</f>
        <v>43888630000157</v>
      </c>
      <c r="H751" t="str">
        <f>"0"</f>
        <v>0</v>
      </c>
      <c r="I751" t="str">
        <f t="shared" si="362"/>
        <v>CONTA OPTICA</v>
      </c>
      <c r="J751" t="str">
        <f>"JANILCE RIBEIRO DE LIMA 00763064106"</f>
        <v>JANILCE RIBEIRO DE LIMA 00763064106</v>
      </c>
      <c r="K751" t="str">
        <f>"OTICA MAGIA"</f>
        <v>OTICA MAGIA</v>
      </c>
      <c r="L751" t="str">
        <f>""</f>
        <v/>
      </c>
      <c r="M751" t="str">
        <f>""</f>
        <v/>
      </c>
      <c r="N751" t="str">
        <f>"rogerstracciony@gmail.com"</f>
        <v>rogerstracciony@gmail.com</v>
      </c>
      <c r="O751" t="str">
        <f>""</f>
        <v/>
      </c>
      <c r="P751" t="str">
        <f>"ESTRADA DOM JOAO BECKER"</f>
        <v>ESTRADA DOM JOAO BECKER</v>
      </c>
      <c r="Q751" t="str">
        <f>"447"</f>
        <v>447</v>
      </c>
      <c r="R751" t="str">
        <f>"LOJA 9"</f>
        <v>LOJA 9</v>
      </c>
      <c r="S751" t="str">
        <f>"1257"</f>
        <v>1257</v>
      </c>
      <c r="T751" t="str">
        <f>"88058600"</f>
        <v>88058600</v>
      </c>
      <c r="U751" t="str">
        <f>"INGLESES DO RIO VERMELHO"</f>
        <v>INGLESES DO RIO VERMELHO</v>
      </c>
      <c r="V751" t="str">
        <f>"FLORIANOPOLIS"</f>
        <v>FLORIANOPOLIS</v>
      </c>
      <c r="W751" t="str">
        <f t="shared" si="381"/>
        <v>SC</v>
      </c>
      <c r="X751" t="str">
        <f>""</f>
        <v/>
      </c>
      <c r="Y751" t="str">
        <f>""</f>
        <v/>
      </c>
      <c r="Z751" t="str">
        <f>""</f>
        <v/>
      </c>
      <c r="AA751" t="str">
        <f>""</f>
        <v/>
      </c>
      <c r="AB751" t="str">
        <f>""</f>
        <v/>
      </c>
      <c r="AC751" t="str">
        <f>""</f>
        <v/>
      </c>
      <c r="AD751" t="str">
        <f>""</f>
        <v/>
      </c>
      <c r="AE751" t="str">
        <f>""</f>
        <v/>
      </c>
      <c r="AF751" t="str">
        <f>""</f>
        <v/>
      </c>
      <c r="AG751" t="str">
        <f>""</f>
        <v/>
      </c>
      <c r="AH751" t="str">
        <f>""</f>
        <v/>
      </c>
      <c r="AI751" t="str">
        <f>""</f>
        <v/>
      </c>
      <c r="AJ751" t="str">
        <f>""</f>
        <v/>
      </c>
      <c r="AK751" t="str">
        <f>""</f>
        <v/>
      </c>
      <c r="AL751" t="str">
        <f>""</f>
        <v/>
      </c>
      <c r="AM751" t="str">
        <f>""</f>
        <v/>
      </c>
      <c r="AN751" t="str">
        <f>""</f>
        <v/>
      </c>
      <c r="AO751" t="str">
        <f>""</f>
        <v/>
      </c>
      <c r="AP751" t="str">
        <f>""</f>
        <v/>
      </c>
      <c r="AQ751" t="str">
        <f>""</f>
        <v/>
      </c>
      <c r="AR751" t="str">
        <f>""</f>
        <v/>
      </c>
      <c r="AS751" t="str">
        <f>""</f>
        <v/>
      </c>
      <c r="AT751" t="str">
        <f>""</f>
        <v/>
      </c>
      <c r="AU751" t="str">
        <f>""</f>
        <v/>
      </c>
      <c r="AV751" t="str">
        <f>""</f>
        <v/>
      </c>
      <c r="AW751" t="str">
        <f>""</f>
        <v/>
      </c>
      <c r="AX751" t="str">
        <f>""</f>
        <v/>
      </c>
      <c r="AY751" t="str">
        <f>""</f>
        <v/>
      </c>
      <c r="AZ751" t="str">
        <f>""</f>
        <v/>
      </c>
      <c r="BA751" t="str">
        <f>""</f>
        <v/>
      </c>
      <c r="BB751" t="str">
        <f>"03/04/2023 13:34:29"</f>
        <v>03/04/2023 13:34:29</v>
      </c>
      <c r="BC751" t="str">
        <f>""</f>
        <v/>
      </c>
      <c r="BD751" t="str">
        <f>""</f>
        <v/>
      </c>
      <c r="BE751" t="str">
        <f>""</f>
        <v/>
      </c>
      <c r="BF751" t="str">
        <f t="shared" si="363"/>
        <v>A</v>
      </c>
      <c r="BG751" t="str">
        <f>""</f>
        <v/>
      </c>
      <c r="BH751" t="str">
        <f>""</f>
        <v/>
      </c>
      <c r="BI751" t="str">
        <f t="shared" si="378"/>
        <v>EVENTUAL</v>
      </c>
      <c r="BJ751" t="str">
        <f t="shared" si="364"/>
        <v>1</v>
      </c>
      <c r="BK751" t="str">
        <f t="shared" si="365"/>
        <v>Farmacia</v>
      </c>
      <c r="BL751" t="str">
        <f>""</f>
        <v/>
      </c>
      <c r="BM751" t="str">
        <f>""</f>
        <v/>
      </c>
      <c r="BN751" t="str">
        <f>""</f>
        <v/>
      </c>
      <c r="BO751" t="str">
        <f>""</f>
        <v/>
      </c>
      <c r="BP751" t="str">
        <f>""</f>
        <v/>
      </c>
      <c r="BQ751" t="str">
        <f>""</f>
        <v/>
      </c>
      <c r="BR751" t="str">
        <f>"03/04/2023"</f>
        <v>03/04/2023</v>
      </c>
      <c r="BS751" t="str">
        <f>""</f>
        <v/>
      </c>
      <c r="BT751" t="str">
        <f>""</f>
        <v/>
      </c>
      <c r="BU751" t="str">
        <f>""</f>
        <v/>
      </c>
      <c r="BV751" t="str">
        <f>""</f>
        <v/>
      </c>
      <c r="BW751" t="str">
        <f>"65"</f>
        <v>65</v>
      </c>
    </row>
    <row r="752" spans="1:75" x14ac:dyDescent="0.35">
      <c r="A752">
        <v>134564</v>
      </c>
      <c r="B752" t="str">
        <f t="shared" si="360"/>
        <v>A</v>
      </c>
      <c r="C752" t="str">
        <f t="shared" si="361"/>
        <v>80</v>
      </c>
      <c r="D752" t="str">
        <f t="shared" si="351"/>
        <v>11121002</v>
      </c>
      <c r="E752" t="str">
        <f t="shared" si="352"/>
        <v>121002</v>
      </c>
      <c r="F752" t="str">
        <f t="shared" si="353"/>
        <v>CINTHIA NORONHA</v>
      </c>
      <c r="G752" t="str">
        <f>"27570810000130"</f>
        <v>27570810000130</v>
      </c>
      <c r="H752" t="str">
        <f>""</f>
        <v/>
      </c>
      <c r="I752" t="str">
        <f t="shared" si="362"/>
        <v>CONTA OPTICA</v>
      </c>
      <c r="J752" t="str">
        <f>"JANINI BITTENCOURT DE OLIVEIRA SCHAEFER 65141768953"</f>
        <v>JANINI BITTENCOURT DE OLIVEIRA SCHAEFER 65141768953</v>
      </c>
      <c r="K752" t="str">
        <f>"ERIDA SCHAEFER (4260)"</f>
        <v>ERIDA SCHAEFER (4260)</v>
      </c>
      <c r="L752" t="str">
        <f>""</f>
        <v/>
      </c>
      <c r="M752" t="str">
        <f>""</f>
        <v/>
      </c>
      <c r="N752" t="str">
        <f>"otroeyewear@gmail.com"</f>
        <v>otroeyewear@gmail.com</v>
      </c>
      <c r="O752" t="str">
        <f>""</f>
        <v/>
      </c>
      <c r="P752" t="str">
        <f>"RUA BOCAIUVA"</f>
        <v>RUA BOCAIUVA</v>
      </c>
      <c r="Q752" t="str">
        <f>"2033"</f>
        <v>2033</v>
      </c>
      <c r="R752" t="str">
        <f>"601"</f>
        <v>601</v>
      </c>
      <c r="S752" t="str">
        <f>"1255"</f>
        <v>1255</v>
      </c>
      <c r="T752" t="str">
        <f>"88015530"</f>
        <v>88015530</v>
      </c>
      <c r="U752" t="str">
        <f>"CENTRO"</f>
        <v>CENTRO</v>
      </c>
      <c r="V752" t="str">
        <f>"FLORIANÓPOLIS"</f>
        <v>FLORIANÓPOLIS</v>
      </c>
      <c r="W752" t="str">
        <f t="shared" si="381"/>
        <v>SC</v>
      </c>
      <c r="X752" t="str">
        <f>"48"</f>
        <v>48</v>
      </c>
      <c r="Y752" t="str">
        <f>"999726659"</f>
        <v>999726659</v>
      </c>
      <c r="Z752" t="str">
        <f>""</f>
        <v/>
      </c>
      <c r="AA752" t="str">
        <f>""</f>
        <v/>
      </c>
      <c r="AB752" t="str">
        <f>""</f>
        <v/>
      </c>
      <c r="AC752" t="str">
        <f>""</f>
        <v/>
      </c>
      <c r="AD752" t="str">
        <f>""</f>
        <v/>
      </c>
      <c r="AE752" t="str">
        <f>""</f>
        <v/>
      </c>
      <c r="AF752" t="str">
        <f>""</f>
        <v/>
      </c>
      <c r="AG752" t="str">
        <f>"S"</f>
        <v>S</v>
      </c>
      <c r="AH752" t="str">
        <f>""</f>
        <v/>
      </c>
      <c r="AI752" t="str">
        <f>""</f>
        <v/>
      </c>
      <c r="AJ752" t="str">
        <f>""</f>
        <v/>
      </c>
      <c r="AK752" t="str">
        <f>""</f>
        <v/>
      </c>
      <c r="AL752" t="str">
        <f>""</f>
        <v/>
      </c>
      <c r="AM752" t="str">
        <f>""</f>
        <v/>
      </c>
      <c r="AN752" t="str">
        <f>""</f>
        <v/>
      </c>
      <c r="AO752" t="str">
        <f>""</f>
        <v/>
      </c>
      <c r="AP752" t="str">
        <f>""</f>
        <v/>
      </c>
      <c r="AQ752" t="str">
        <f t="shared" ref="AQ752:AU753" si="382">"N"</f>
        <v>N</v>
      </c>
      <c r="AR752" t="str">
        <f t="shared" si="382"/>
        <v>N</v>
      </c>
      <c r="AS752" t="str">
        <f t="shared" si="382"/>
        <v>N</v>
      </c>
      <c r="AT752" t="str">
        <f t="shared" si="382"/>
        <v>N</v>
      </c>
      <c r="AU752" t="str">
        <f t="shared" si="382"/>
        <v>N</v>
      </c>
      <c r="AV752" t="str">
        <f>""</f>
        <v/>
      </c>
      <c r="AW752" t="str">
        <f>""</f>
        <v/>
      </c>
      <c r="AX752" t="str">
        <f>""</f>
        <v/>
      </c>
      <c r="AY752" t="str">
        <f>""</f>
        <v/>
      </c>
      <c r="AZ752" t="str">
        <f>""</f>
        <v/>
      </c>
      <c r="BA752" t="str">
        <f>""</f>
        <v/>
      </c>
      <c r="BB752" t="str">
        <f>""</f>
        <v/>
      </c>
      <c r="BC752" t="str">
        <f>"20/04/2022 14:00:34"</f>
        <v>20/04/2022 14:00:34</v>
      </c>
      <c r="BD752" t="str">
        <f>""</f>
        <v/>
      </c>
      <c r="BE752" t="str">
        <f>""</f>
        <v/>
      </c>
      <c r="BF752" t="str">
        <f t="shared" si="363"/>
        <v>A</v>
      </c>
      <c r="BG752" t="str">
        <f>""</f>
        <v/>
      </c>
      <c r="BH752" t="str">
        <f>"0,00"</f>
        <v>0,00</v>
      </c>
      <c r="BI752" t="str">
        <f t="shared" si="378"/>
        <v>EVENTUAL</v>
      </c>
      <c r="BJ752" t="str">
        <f t="shared" si="364"/>
        <v>1</v>
      </c>
      <c r="BK752" t="str">
        <f t="shared" si="365"/>
        <v>Farmacia</v>
      </c>
      <c r="BL752" t="str">
        <f>""</f>
        <v/>
      </c>
      <c r="BM752" t="str">
        <f>"NÃO É VARILUX ESPECIALISTA"</f>
        <v>NÃO É VARILUX ESPECIALISTA</v>
      </c>
      <c r="BN752" t="str">
        <f>"NA"</f>
        <v>NA</v>
      </c>
      <c r="BO752" t="str">
        <f>"FOCO VARILUX DIGITAL"</f>
        <v>FOCO VARILUX DIGITAL</v>
      </c>
      <c r="BP752" t="str">
        <f>""</f>
        <v/>
      </c>
      <c r="BQ752" t="str">
        <f>""</f>
        <v/>
      </c>
      <c r="BR752" t="str">
        <f>""</f>
        <v/>
      </c>
      <c r="BS752" t="str">
        <f>"20/04/2022"</f>
        <v>20/04/2022</v>
      </c>
      <c r="BT752" t="str">
        <f>""</f>
        <v/>
      </c>
      <c r="BU752" t="str">
        <f>""</f>
        <v/>
      </c>
      <c r="BV752" t="str">
        <f>""</f>
        <v/>
      </c>
      <c r="BW752" t="str">
        <f>"85"</f>
        <v>85</v>
      </c>
    </row>
    <row r="753" spans="1:75" x14ac:dyDescent="0.35">
      <c r="A753">
        <v>134565</v>
      </c>
      <c r="B753" t="str">
        <f t="shared" si="360"/>
        <v>A</v>
      </c>
      <c r="C753" t="str">
        <f t="shared" si="361"/>
        <v>80</v>
      </c>
      <c r="D753" t="str">
        <f t="shared" si="351"/>
        <v>11121002</v>
      </c>
      <c r="E753" t="str">
        <f t="shared" si="352"/>
        <v>121002</v>
      </c>
      <c r="F753" t="str">
        <f t="shared" si="353"/>
        <v>CINTHIA NORONHA</v>
      </c>
      <c r="G753" t="str">
        <f>"29211062000124"</f>
        <v>29211062000124</v>
      </c>
      <c r="H753" t="str">
        <f>""</f>
        <v/>
      </c>
      <c r="I753" t="str">
        <f t="shared" si="362"/>
        <v>CONTA OPTICA</v>
      </c>
      <c r="J753" t="str">
        <f>"JEAN CLAUDE CAETANO"</f>
        <v>JEAN CLAUDE CAETANO</v>
      </c>
      <c r="K753" t="str">
        <f>"OTICA CENTRAL (4264)"</f>
        <v>OTICA CENTRAL (4264)</v>
      </c>
      <c r="L753" t="str">
        <f>""</f>
        <v/>
      </c>
      <c r="M753" t="str">
        <f>""</f>
        <v/>
      </c>
      <c r="N753" t="str">
        <f>"relojoeirojean@gmail.com"</f>
        <v>relojoeirojean@gmail.com</v>
      </c>
      <c r="O753" t="str">
        <f>""</f>
        <v/>
      </c>
      <c r="P753" t="str">
        <f>"RUA FRANCISCO TOLENTINO"</f>
        <v>RUA FRANCISCO TOLENTINO</v>
      </c>
      <c r="Q753" t="str">
        <f>"315"</f>
        <v>315</v>
      </c>
      <c r="R753" t="str">
        <f>"BOX:35"</f>
        <v>BOX:35</v>
      </c>
      <c r="S753" t="str">
        <f>""</f>
        <v/>
      </c>
      <c r="T753" t="str">
        <f>"88010913"</f>
        <v>88010913</v>
      </c>
      <c r="U753" t="str">
        <f>"CENTRO"</f>
        <v>CENTRO</v>
      </c>
      <c r="V753" t="str">
        <f>"FLORIANÓPOLIS"</f>
        <v>FLORIANÓPOLIS</v>
      </c>
      <c r="W753" t="str">
        <f t="shared" si="381"/>
        <v>SC</v>
      </c>
      <c r="X753" t="str">
        <f>"48"</f>
        <v>48</v>
      </c>
      <c r="Y753" t="str">
        <f>"988021180"</f>
        <v>988021180</v>
      </c>
      <c r="Z753" t="str">
        <f>""</f>
        <v/>
      </c>
      <c r="AA753" t="str">
        <f>""</f>
        <v/>
      </c>
      <c r="AB753" t="str">
        <f>""</f>
        <v/>
      </c>
      <c r="AC753" t="str">
        <f>""</f>
        <v/>
      </c>
      <c r="AD753" t="str">
        <f>""</f>
        <v/>
      </c>
      <c r="AE753" t="str">
        <f>""</f>
        <v/>
      </c>
      <c r="AF753" t="str">
        <f>""</f>
        <v/>
      </c>
      <c r="AG753" t="str">
        <f>"S"</f>
        <v>S</v>
      </c>
      <c r="AH753" t="str">
        <f>""</f>
        <v/>
      </c>
      <c r="AI753" t="str">
        <f>""</f>
        <v/>
      </c>
      <c r="AJ753" t="str">
        <f>""</f>
        <v/>
      </c>
      <c r="AK753" t="str">
        <f>""</f>
        <v/>
      </c>
      <c r="AL753" t="str">
        <f>""</f>
        <v/>
      </c>
      <c r="AM753" t="str">
        <f>""</f>
        <v/>
      </c>
      <c r="AN753" t="str">
        <f>""</f>
        <v/>
      </c>
      <c r="AO753" t="str">
        <f>""</f>
        <v/>
      </c>
      <c r="AP753" t="str">
        <f>""</f>
        <v/>
      </c>
      <c r="AQ753" t="str">
        <f t="shared" si="382"/>
        <v>N</v>
      </c>
      <c r="AR753" t="str">
        <f t="shared" si="382"/>
        <v>N</v>
      </c>
      <c r="AS753" t="str">
        <f t="shared" si="382"/>
        <v>N</v>
      </c>
      <c r="AT753" t="str">
        <f t="shared" si="382"/>
        <v>N</v>
      </c>
      <c r="AU753" t="str">
        <f t="shared" si="382"/>
        <v>N</v>
      </c>
      <c r="AV753" t="str">
        <f>""</f>
        <v/>
      </c>
      <c r="AW753" t="str">
        <f>""</f>
        <v/>
      </c>
      <c r="AX753" t="str">
        <f>""</f>
        <v/>
      </c>
      <c r="AY753" t="str">
        <f>""</f>
        <v/>
      </c>
      <c r="AZ753" t="str">
        <f>""</f>
        <v/>
      </c>
      <c r="BA753" t="str">
        <f>""</f>
        <v/>
      </c>
      <c r="BB753" t="str">
        <f>""</f>
        <v/>
      </c>
      <c r="BC753" t="str">
        <f>"02/05/2022 10:08:46"</f>
        <v>02/05/2022 10:08:46</v>
      </c>
      <c r="BD753" t="str">
        <f>""</f>
        <v/>
      </c>
      <c r="BE753" t="str">
        <f>""</f>
        <v/>
      </c>
      <c r="BF753" t="str">
        <f t="shared" si="363"/>
        <v>A</v>
      </c>
      <c r="BG753" t="str">
        <f>""</f>
        <v/>
      </c>
      <c r="BH753" t="str">
        <f>"0,00"</f>
        <v>0,00</v>
      </c>
      <c r="BI753" t="str">
        <f t="shared" si="378"/>
        <v>EVENTUAL</v>
      </c>
      <c r="BJ753" t="str">
        <f t="shared" si="364"/>
        <v>1</v>
      </c>
      <c r="BK753" t="str">
        <f t="shared" si="365"/>
        <v>Farmacia</v>
      </c>
      <c r="BL753" t="str">
        <f>""</f>
        <v/>
      </c>
      <c r="BM753" t="str">
        <f>"NÃO É VARILUX ESPECIALISTA"</f>
        <v>NÃO É VARILUX ESPECIALISTA</v>
      </c>
      <c r="BN753" t="str">
        <f>"NA"</f>
        <v>NA</v>
      </c>
      <c r="BO753" t="str">
        <f>""</f>
        <v/>
      </c>
      <c r="BP753" t="str">
        <f>""</f>
        <v/>
      </c>
      <c r="BQ753" t="str">
        <f>""</f>
        <v/>
      </c>
      <c r="BR753" t="str">
        <f>""</f>
        <v/>
      </c>
      <c r="BS753" t="str">
        <f>"02/05/2022"</f>
        <v>02/05/2022</v>
      </c>
      <c r="BT753" t="str">
        <f>""</f>
        <v/>
      </c>
      <c r="BU753" t="str">
        <f>""</f>
        <v/>
      </c>
      <c r="BV753" t="str">
        <f>""</f>
        <v/>
      </c>
      <c r="BW753" t="str">
        <f>"7"</f>
        <v>7</v>
      </c>
    </row>
    <row r="754" spans="1:75" x14ac:dyDescent="0.35">
      <c r="A754">
        <v>157627</v>
      </c>
      <c r="B754" t="str">
        <f t="shared" si="360"/>
        <v>A</v>
      </c>
      <c r="C754" t="str">
        <f t="shared" si="361"/>
        <v>80</v>
      </c>
      <c r="D754" t="str">
        <f t="shared" si="351"/>
        <v>11121002</v>
      </c>
      <c r="E754" t="str">
        <f t="shared" si="352"/>
        <v>121002</v>
      </c>
      <c r="F754" t="str">
        <f t="shared" si="353"/>
        <v>CINTHIA NORONHA</v>
      </c>
      <c r="G754" t="str">
        <f>"01955393000150"</f>
        <v>01955393000150</v>
      </c>
      <c r="H754" t="str">
        <f>"0"</f>
        <v>0</v>
      </c>
      <c r="I754" t="str">
        <f t="shared" si="362"/>
        <v>CONTA OPTICA</v>
      </c>
      <c r="J754" t="str">
        <f>"JEAN GEORGE BARG"</f>
        <v>JEAN GEORGE BARG</v>
      </c>
      <c r="K754" t="str">
        <f>"OTICA LINCE (1040)"</f>
        <v>OTICA LINCE (1040)</v>
      </c>
      <c r="L754" t="str">
        <f>""</f>
        <v/>
      </c>
      <c r="M754" t="str">
        <f>""</f>
        <v/>
      </c>
      <c r="N754" t="str">
        <f>"oticalince@outlook.com.br"</f>
        <v>oticalince@outlook.com.br</v>
      </c>
      <c r="O754" t="str">
        <f>""</f>
        <v/>
      </c>
      <c r="P754" t="str">
        <f>"OLINKRAFT"</f>
        <v>OLINKRAFT</v>
      </c>
      <c r="Q754" t="str">
        <f>"2938"</f>
        <v>2938</v>
      </c>
      <c r="R754" t="str">
        <f>""</f>
        <v/>
      </c>
      <c r="S754" t="str">
        <f>"1266"</f>
        <v>1266</v>
      </c>
      <c r="T754" t="str">
        <f>"88540000"</f>
        <v>88540000</v>
      </c>
      <c r="U754" t="str">
        <f>"PINHEIROS"</f>
        <v>PINHEIROS</v>
      </c>
      <c r="V754" t="str">
        <f>"OTACILIO COSTA"</f>
        <v>OTACILIO COSTA</v>
      </c>
      <c r="W754" t="str">
        <f t="shared" si="381"/>
        <v>SC</v>
      </c>
      <c r="X754" t="str">
        <f>"49"</f>
        <v>49</v>
      </c>
      <c r="Y754" t="str">
        <f>"32750203"</f>
        <v>32750203</v>
      </c>
      <c r="Z754" t="str">
        <f>""</f>
        <v/>
      </c>
      <c r="AA754" t="str">
        <f>""</f>
        <v/>
      </c>
      <c r="AB754" t="str">
        <f>""</f>
        <v/>
      </c>
      <c r="AC754" t="str">
        <f>""</f>
        <v/>
      </c>
      <c r="AD754" t="str">
        <f>""</f>
        <v/>
      </c>
      <c r="AE754" t="str">
        <f>""</f>
        <v/>
      </c>
      <c r="AF754" t="str">
        <f>""</f>
        <v/>
      </c>
      <c r="AG754" t="str">
        <f>""</f>
        <v/>
      </c>
      <c r="AH754" t="str">
        <f>""</f>
        <v/>
      </c>
      <c r="AI754" t="str">
        <f>""</f>
        <v/>
      </c>
      <c r="AJ754" t="str">
        <f>""</f>
        <v/>
      </c>
      <c r="AK754" t="str">
        <f>""</f>
        <v/>
      </c>
      <c r="AL754" t="str">
        <f>""</f>
        <v/>
      </c>
      <c r="AM754" t="str">
        <f>""</f>
        <v/>
      </c>
      <c r="AN754" t="str">
        <f>""</f>
        <v/>
      </c>
      <c r="AO754" t="str">
        <f>""</f>
        <v/>
      </c>
      <c r="AP754" t="str">
        <f>""</f>
        <v/>
      </c>
      <c r="AQ754" t="str">
        <f>""</f>
        <v/>
      </c>
      <c r="AR754" t="str">
        <f>""</f>
        <v/>
      </c>
      <c r="AS754" t="str">
        <f>""</f>
        <v/>
      </c>
      <c r="AT754" t="str">
        <f>""</f>
        <v/>
      </c>
      <c r="AU754" t="str">
        <f>""</f>
        <v/>
      </c>
      <c r="AV754" t="str">
        <f>""</f>
        <v/>
      </c>
      <c r="AW754" t="str">
        <f>""</f>
        <v/>
      </c>
      <c r="AX754" t="str">
        <f>""</f>
        <v/>
      </c>
      <c r="AY754" t="str">
        <f>""</f>
        <v/>
      </c>
      <c r="AZ754" t="str">
        <f>""</f>
        <v/>
      </c>
      <c r="BA754" t="str">
        <f>""</f>
        <v/>
      </c>
      <c r="BB754" t="str">
        <f>"11/07/2023 02:19:56"</f>
        <v>11/07/2023 02:19:56</v>
      </c>
      <c r="BC754" t="str">
        <f>""</f>
        <v/>
      </c>
      <c r="BD754" t="str">
        <f>""</f>
        <v/>
      </c>
      <c r="BE754" t="str">
        <f>""</f>
        <v/>
      </c>
      <c r="BF754" t="str">
        <f t="shared" si="363"/>
        <v>A</v>
      </c>
      <c r="BG754" t="str">
        <f>""</f>
        <v/>
      </c>
      <c r="BH754" t="str">
        <f>""</f>
        <v/>
      </c>
      <c r="BI754" t="str">
        <f t="shared" si="378"/>
        <v>EVENTUAL</v>
      </c>
      <c r="BJ754" t="str">
        <f t="shared" si="364"/>
        <v>1</v>
      </c>
      <c r="BK754" t="str">
        <f t="shared" si="365"/>
        <v>Farmacia</v>
      </c>
      <c r="BL754" t="str">
        <f>""</f>
        <v/>
      </c>
      <c r="BM754" t="str">
        <f>""</f>
        <v/>
      </c>
      <c r="BN754" t="str">
        <f>""</f>
        <v/>
      </c>
      <c r="BO754" t="str">
        <f>""</f>
        <v/>
      </c>
      <c r="BP754" t="str">
        <f>""</f>
        <v/>
      </c>
      <c r="BQ754" t="str">
        <f>""</f>
        <v/>
      </c>
      <c r="BR754" t="str">
        <f>"11/07/2023"</f>
        <v>11/07/2023</v>
      </c>
      <c r="BS754" t="str">
        <f>""</f>
        <v/>
      </c>
      <c r="BT754" t="str">
        <f>""</f>
        <v/>
      </c>
      <c r="BU754" t="str">
        <f>""</f>
        <v/>
      </c>
      <c r="BV754" t="str">
        <f>""</f>
        <v/>
      </c>
      <c r="BW754" t="str">
        <f>"Não visitado"</f>
        <v>Não visitado</v>
      </c>
    </row>
    <row r="755" spans="1:75" x14ac:dyDescent="0.35">
      <c r="A755">
        <v>134235</v>
      </c>
      <c r="B755" t="str">
        <f t="shared" si="360"/>
        <v>A</v>
      </c>
      <c r="C755" t="str">
        <f t="shared" si="361"/>
        <v>80</v>
      </c>
      <c r="D755" t="str">
        <f t="shared" si="351"/>
        <v>11121002</v>
      </c>
      <c r="E755" t="str">
        <f t="shared" si="352"/>
        <v>121002</v>
      </c>
      <c r="F755" t="str">
        <f t="shared" si="353"/>
        <v>CINTHIA NORONHA</v>
      </c>
      <c r="G755" t="str">
        <f>"13115821000115"</f>
        <v>13115821000115</v>
      </c>
      <c r="H755" t="str">
        <f>""</f>
        <v/>
      </c>
      <c r="I755" t="str">
        <f t="shared" si="362"/>
        <v>CONTA OPTICA</v>
      </c>
      <c r="J755" t="str">
        <f>"JERRI ADRIANI FRUTUOSO ME"</f>
        <v>JERRI ADRIANI FRUTUOSO ME</v>
      </c>
      <c r="K755" t="str">
        <f>"OTICA LUCAS (1863)"</f>
        <v>OTICA LUCAS (1863)</v>
      </c>
      <c r="L755" t="str">
        <f>""</f>
        <v/>
      </c>
      <c r="M755" t="str">
        <f>""</f>
        <v/>
      </c>
      <c r="N755" t="str">
        <f>"oticalucas2011@hotmail.com"</f>
        <v>oticalucas2011@hotmail.com</v>
      </c>
      <c r="O755" t="str">
        <f>""</f>
        <v/>
      </c>
      <c r="P755" t="str">
        <f>"RUA CAPITAO ADELINO PLATT"</f>
        <v>RUA CAPITAO ADELINO PLATT</v>
      </c>
      <c r="Q755" t="str">
        <f>"101"</f>
        <v>101</v>
      </c>
      <c r="R755" t="str">
        <f>"BL C - SL 01"</f>
        <v>BL C - SL 01</v>
      </c>
      <c r="S755" t="str">
        <f>"1259"</f>
        <v>1259</v>
      </c>
      <c r="T755" t="str">
        <f>"88101080"</f>
        <v>88101080</v>
      </c>
      <c r="U755" t="str">
        <f>"KOBRASOL"</f>
        <v>KOBRASOL</v>
      </c>
      <c r="V755" t="str">
        <f>"SÃO JOSÉ"</f>
        <v>SÃO JOSÉ</v>
      </c>
      <c r="W755" t="str">
        <f t="shared" si="381"/>
        <v>SC</v>
      </c>
      <c r="X755" t="str">
        <f t="shared" ref="X755:X766" si="383">"48"</f>
        <v>48</v>
      </c>
      <c r="Y755" t="str">
        <f>"30355010"</f>
        <v>30355010</v>
      </c>
      <c r="Z755" t="str">
        <f>""</f>
        <v/>
      </c>
      <c r="AA755" t="str">
        <f>""</f>
        <v/>
      </c>
      <c r="AB755" t="str">
        <f>""</f>
        <v/>
      </c>
      <c r="AC755" t="str">
        <f>""</f>
        <v/>
      </c>
      <c r="AD755" t="str">
        <f>""</f>
        <v/>
      </c>
      <c r="AE755" t="str">
        <f>""</f>
        <v/>
      </c>
      <c r="AF755" t="str">
        <f>""</f>
        <v/>
      </c>
      <c r="AG755" t="str">
        <f>"S"</f>
        <v>S</v>
      </c>
      <c r="AH755" t="str">
        <f>""</f>
        <v/>
      </c>
      <c r="AI755" t="str">
        <f>""</f>
        <v/>
      </c>
      <c r="AJ755" t="str">
        <f>"0"</f>
        <v>0</v>
      </c>
      <c r="AK755" t="str">
        <f>"0"</f>
        <v>0</v>
      </c>
      <c r="AL755" t="str">
        <f>"0"</f>
        <v>0</v>
      </c>
      <c r="AM755" t="str">
        <f>""</f>
        <v/>
      </c>
      <c r="AN755" t="str">
        <f>""</f>
        <v/>
      </c>
      <c r="AO755" t="str">
        <f>""</f>
        <v/>
      </c>
      <c r="AP755" t="str">
        <f>""</f>
        <v/>
      </c>
      <c r="AQ755" t="str">
        <f>"N"</f>
        <v>N</v>
      </c>
      <c r="AR755" t="str">
        <f>"N"</f>
        <v>N</v>
      </c>
      <c r="AS755" t="str">
        <f>"N"</f>
        <v>N</v>
      </c>
      <c r="AT755" t="str">
        <f>"N"</f>
        <v>N</v>
      </c>
      <c r="AU755" t="str">
        <f>"N"</f>
        <v>N</v>
      </c>
      <c r="AV755" t="str">
        <f>""</f>
        <v/>
      </c>
      <c r="AW755" t="str">
        <f>""</f>
        <v/>
      </c>
      <c r="AX755" t="str">
        <f>""</f>
        <v/>
      </c>
      <c r="AY755" t="str">
        <f>""</f>
        <v/>
      </c>
      <c r="AZ755" t="str">
        <f>""</f>
        <v/>
      </c>
      <c r="BA755" t="str">
        <f>""</f>
        <v/>
      </c>
      <c r="BB755" t="str">
        <f>""</f>
        <v/>
      </c>
      <c r="BC755" t="str">
        <f>"07/07/2023 16:56:58"</f>
        <v>07/07/2023 16:56:58</v>
      </c>
      <c r="BD755" t="str">
        <f>""</f>
        <v/>
      </c>
      <c r="BE755" t="str">
        <f>""</f>
        <v/>
      </c>
      <c r="BF755" t="str">
        <f t="shared" si="363"/>
        <v>A</v>
      </c>
      <c r="BG755" t="str">
        <f>"0,00"</f>
        <v>0,00</v>
      </c>
      <c r="BH755" t="str">
        <f>"0,00"</f>
        <v>0,00</v>
      </c>
      <c r="BI755" t="str">
        <f t="shared" si="378"/>
        <v>EVENTUAL</v>
      </c>
      <c r="BJ755" t="str">
        <f t="shared" si="364"/>
        <v>1</v>
      </c>
      <c r="BK755" t="str">
        <f t="shared" si="365"/>
        <v>Farmacia</v>
      </c>
      <c r="BL755" t="str">
        <f>""</f>
        <v/>
      </c>
      <c r="BM755" t="str">
        <f>"VARILUX ESPECIALISTA PLATINE"</f>
        <v>VARILUX ESPECIALISTA PLATINE</v>
      </c>
      <c r="BN755" t="str">
        <f>"NA"</f>
        <v>NA</v>
      </c>
      <c r="BO755" t="str">
        <f>"FOCO VARILUX DIGITAL"</f>
        <v>FOCO VARILUX DIGITAL</v>
      </c>
      <c r="BP755" t="str">
        <f>""</f>
        <v/>
      </c>
      <c r="BQ755" t="str">
        <f>""</f>
        <v/>
      </c>
      <c r="BR755" t="str">
        <f>""</f>
        <v/>
      </c>
      <c r="BS755" t="str">
        <f>"07/07/2023"</f>
        <v>07/07/2023</v>
      </c>
      <c r="BT755" t="str">
        <f>""</f>
        <v/>
      </c>
      <c r="BU755" t="str">
        <f>""</f>
        <v/>
      </c>
      <c r="BV755" t="str">
        <f>"5"</f>
        <v>5</v>
      </c>
      <c r="BW755" t="str">
        <f>"15"</f>
        <v>15</v>
      </c>
    </row>
    <row r="756" spans="1:75" x14ac:dyDescent="0.35">
      <c r="A756">
        <v>156876</v>
      </c>
      <c r="B756" t="str">
        <f t="shared" si="360"/>
        <v>A</v>
      </c>
      <c r="C756" t="str">
        <f t="shared" si="361"/>
        <v>80</v>
      </c>
      <c r="D756" t="str">
        <f t="shared" ref="D756:D819" si="384">"11121002"</f>
        <v>11121002</v>
      </c>
      <c r="E756" t="str">
        <f t="shared" ref="E756:E819" si="385">"121002"</f>
        <v>121002</v>
      </c>
      <c r="F756" t="str">
        <f t="shared" ref="F756:F819" si="386">"CINTHIA NORONHA"</f>
        <v>CINTHIA NORONHA</v>
      </c>
      <c r="G756" t="str">
        <f>"45422906000132"</f>
        <v>45422906000132</v>
      </c>
      <c r="H756" t="str">
        <f>"0"</f>
        <v>0</v>
      </c>
      <c r="I756" t="str">
        <f t="shared" si="362"/>
        <v>CONTA OPTICA</v>
      </c>
      <c r="J756" t="str">
        <f>"JESS OTICA LTDA"</f>
        <v>JESS OTICA LTDA</v>
      </c>
      <c r="K756" t="str">
        <f>"OTICAS CAROL (4494)"</f>
        <v>OTICAS CAROL (4494)</v>
      </c>
      <c r="L756" t="str">
        <f>""</f>
        <v/>
      </c>
      <c r="M756" t="str">
        <f>""</f>
        <v/>
      </c>
      <c r="N756" t="str">
        <f>"OTICASCAROLFLORIPA@GMAIL.COM"</f>
        <v>OTICASCAROLFLORIPA@GMAIL.COM</v>
      </c>
      <c r="O756" t="str">
        <f>""</f>
        <v/>
      </c>
      <c r="P756" t="str">
        <f>"RUA LAURO LINHARES"</f>
        <v>RUA LAURO LINHARES</v>
      </c>
      <c r="Q756" t="str">
        <f>"2010"</f>
        <v>2010</v>
      </c>
      <c r="R756" t="str">
        <f>""</f>
        <v/>
      </c>
      <c r="S756" t="str">
        <f>"1257"</f>
        <v>1257</v>
      </c>
      <c r="T756" t="str">
        <f>"88036002"</f>
        <v>88036002</v>
      </c>
      <c r="U756" t="str">
        <f>"TRINDADE"</f>
        <v>TRINDADE</v>
      </c>
      <c r="V756" t="str">
        <f>"FLORIANOPOLIS"</f>
        <v>FLORIANOPOLIS</v>
      </c>
      <c r="W756" t="str">
        <f t="shared" si="381"/>
        <v>SC</v>
      </c>
      <c r="X756" t="str">
        <f t="shared" si="383"/>
        <v>48</v>
      </c>
      <c r="Y756" t="str">
        <f>"33651974"</f>
        <v>33651974</v>
      </c>
      <c r="Z756" t="str">
        <f>""</f>
        <v/>
      </c>
      <c r="AA756" t="str">
        <f>""</f>
        <v/>
      </c>
      <c r="AB756" t="str">
        <f>""</f>
        <v/>
      </c>
      <c r="AC756" t="str">
        <f>""</f>
        <v/>
      </c>
      <c r="AD756" t="str">
        <f>""</f>
        <v/>
      </c>
      <c r="AE756" t="str">
        <f>""</f>
        <v/>
      </c>
      <c r="AF756" t="str">
        <f>""</f>
        <v/>
      </c>
      <c r="AG756" t="str">
        <f>""</f>
        <v/>
      </c>
      <c r="AH756" t="str">
        <f>""</f>
        <v/>
      </c>
      <c r="AI756" t="str">
        <f>""</f>
        <v/>
      </c>
      <c r="AJ756" t="str">
        <f>""</f>
        <v/>
      </c>
      <c r="AK756" t="str">
        <f>""</f>
        <v/>
      </c>
      <c r="AL756" t="str">
        <f>""</f>
        <v/>
      </c>
      <c r="AM756" t="str">
        <f>""</f>
        <v/>
      </c>
      <c r="AN756" t="str">
        <f>""</f>
        <v/>
      </c>
      <c r="AO756" t="str">
        <f>""</f>
        <v/>
      </c>
      <c r="AP756" t="str">
        <f>""</f>
        <v/>
      </c>
      <c r="AQ756" t="str">
        <f>""</f>
        <v/>
      </c>
      <c r="AR756" t="str">
        <f>""</f>
        <v/>
      </c>
      <c r="AS756" t="str">
        <f>""</f>
        <v/>
      </c>
      <c r="AT756" t="str">
        <f>""</f>
        <v/>
      </c>
      <c r="AU756" t="str">
        <f>""</f>
        <v/>
      </c>
      <c r="AV756" t="str">
        <f>""</f>
        <v/>
      </c>
      <c r="AW756" t="str">
        <f>""</f>
        <v/>
      </c>
      <c r="AX756" t="str">
        <f>""</f>
        <v/>
      </c>
      <c r="AY756" t="str">
        <f>""</f>
        <v/>
      </c>
      <c r="AZ756" t="str">
        <f>""</f>
        <v/>
      </c>
      <c r="BA756" t="str">
        <f>""</f>
        <v/>
      </c>
      <c r="BB756" t="str">
        <f>"06/07/2023 12:07:48"</f>
        <v>06/07/2023 12:07:48</v>
      </c>
      <c r="BC756" t="str">
        <f>""</f>
        <v/>
      </c>
      <c r="BD756" t="str">
        <f>""</f>
        <v/>
      </c>
      <c r="BE756" t="str">
        <f>""</f>
        <v/>
      </c>
      <c r="BF756" t="str">
        <f t="shared" si="363"/>
        <v>A</v>
      </c>
      <c r="BG756" t="str">
        <f>""</f>
        <v/>
      </c>
      <c r="BH756" t="str">
        <f>""</f>
        <v/>
      </c>
      <c r="BI756" t="str">
        <f t="shared" si="378"/>
        <v>EVENTUAL</v>
      </c>
      <c r="BJ756" t="str">
        <f t="shared" si="364"/>
        <v>1</v>
      </c>
      <c r="BK756" t="str">
        <f t="shared" si="365"/>
        <v>Farmacia</v>
      </c>
      <c r="BL756" t="str">
        <f>""</f>
        <v/>
      </c>
      <c r="BM756" t="str">
        <f>""</f>
        <v/>
      </c>
      <c r="BN756" t="str">
        <f>""</f>
        <v/>
      </c>
      <c r="BO756" t="str">
        <f>""</f>
        <v/>
      </c>
      <c r="BP756" t="str">
        <f>""</f>
        <v/>
      </c>
      <c r="BQ756" t="str">
        <f>""</f>
        <v/>
      </c>
      <c r="BR756" t="str">
        <f>"06/07/2023"</f>
        <v>06/07/2023</v>
      </c>
      <c r="BS756" t="str">
        <f>""</f>
        <v/>
      </c>
      <c r="BT756" t="str">
        <f>""</f>
        <v/>
      </c>
      <c r="BU756" t="str">
        <f>""</f>
        <v/>
      </c>
      <c r="BV756" t="str">
        <f>""</f>
        <v/>
      </c>
      <c r="BW756" t="str">
        <f>"Não visitado"</f>
        <v>Não visitado</v>
      </c>
    </row>
    <row r="757" spans="1:75" x14ac:dyDescent="0.35">
      <c r="A757">
        <v>139963</v>
      </c>
      <c r="B757" t="str">
        <f t="shared" si="360"/>
        <v>A</v>
      </c>
      <c r="C757" t="str">
        <f t="shared" si="361"/>
        <v>80</v>
      </c>
      <c r="D757" t="str">
        <f t="shared" si="384"/>
        <v>11121002</v>
      </c>
      <c r="E757" t="str">
        <f t="shared" si="385"/>
        <v>121002</v>
      </c>
      <c r="F757" t="str">
        <f t="shared" si="386"/>
        <v>CINTHIA NORONHA</v>
      </c>
      <c r="G757" t="str">
        <f>"24313372000136"</f>
        <v>24313372000136</v>
      </c>
      <c r="H757" t="str">
        <f>"0"</f>
        <v>0</v>
      </c>
      <c r="I757" t="str">
        <f t="shared" si="362"/>
        <v>CONTA OPTICA</v>
      </c>
      <c r="J757" t="str">
        <f>"JFERREIRA COMERCIO LTDA"</f>
        <v>JFERREIRA COMERCIO LTDA</v>
      </c>
      <c r="K757" t="str">
        <f>"BELLA OTICA (4377)"</f>
        <v>BELLA OTICA (4377)</v>
      </c>
      <c r="L757" t="str">
        <f>""</f>
        <v/>
      </c>
      <c r="M757" t="str">
        <f>""</f>
        <v/>
      </c>
      <c r="N757" t="str">
        <f>"BELLAOTICA03CAMELO@GMAIL.COM"</f>
        <v>BELLAOTICA03CAMELO@GMAIL.COM</v>
      </c>
      <c r="O757" t="str">
        <f>""</f>
        <v/>
      </c>
      <c r="P757" t="str">
        <f>"RUA FRANCISCO TOLENTINO"</f>
        <v>RUA FRANCISCO TOLENTINO</v>
      </c>
      <c r="Q757" t="str">
        <f>"315"</f>
        <v>315</v>
      </c>
      <c r="R757" t="str">
        <f>"BOX 15"</f>
        <v>BOX 15</v>
      </c>
      <c r="S757" t="str">
        <f>""</f>
        <v/>
      </c>
      <c r="T757" t="str">
        <f>"88010913"</f>
        <v>88010913</v>
      </c>
      <c r="U757" t="str">
        <f>"CENTRO"</f>
        <v>CENTRO</v>
      </c>
      <c r="V757" t="str">
        <f>"FLORIANÓPOLIS"</f>
        <v>FLORIANÓPOLIS</v>
      </c>
      <c r="W757" t="str">
        <f t="shared" si="381"/>
        <v>SC</v>
      </c>
      <c r="X757" t="str">
        <f t="shared" si="383"/>
        <v>48</v>
      </c>
      <c r="Y757" t="str">
        <f>"984237820"</f>
        <v>984237820</v>
      </c>
      <c r="Z757" t="str">
        <f>""</f>
        <v/>
      </c>
      <c r="AA757" t="str">
        <f>""</f>
        <v/>
      </c>
      <c r="AB757" t="str">
        <f>""</f>
        <v/>
      </c>
      <c r="AC757" t="str">
        <f>""</f>
        <v/>
      </c>
      <c r="AD757" t="str">
        <f>""</f>
        <v/>
      </c>
      <c r="AE757" t="str">
        <f>""</f>
        <v/>
      </c>
      <c r="AF757" t="str">
        <f>""</f>
        <v/>
      </c>
      <c r="AG757" t="str">
        <f>"S"</f>
        <v>S</v>
      </c>
      <c r="AH757" t="str">
        <f>""</f>
        <v/>
      </c>
      <c r="AI757" t="str">
        <f>""</f>
        <v/>
      </c>
      <c r="AJ757" t="str">
        <f>""</f>
        <v/>
      </c>
      <c r="AK757" t="str">
        <f>""</f>
        <v/>
      </c>
      <c r="AL757" t="str">
        <f>""</f>
        <v/>
      </c>
      <c r="AM757" t="str">
        <f>""</f>
        <v/>
      </c>
      <c r="AN757" t="str">
        <f>""</f>
        <v/>
      </c>
      <c r="AO757" t="str">
        <f>""</f>
        <v/>
      </c>
      <c r="AP757" t="str">
        <f>""</f>
        <v/>
      </c>
      <c r="AQ757" t="str">
        <f t="shared" ref="AQ757:AU758" si="387">"N"</f>
        <v>N</v>
      </c>
      <c r="AR757" t="str">
        <f t="shared" si="387"/>
        <v>N</v>
      </c>
      <c r="AS757" t="str">
        <f t="shared" si="387"/>
        <v>N</v>
      </c>
      <c r="AT757" t="str">
        <f t="shared" si="387"/>
        <v>N</v>
      </c>
      <c r="AU757" t="str">
        <f t="shared" si="387"/>
        <v>N</v>
      </c>
      <c r="AV757" t="str">
        <f>""</f>
        <v/>
      </c>
      <c r="AW757" t="str">
        <f>""</f>
        <v/>
      </c>
      <c r="AX757" t="str">
        <f>""</f>
        <v/>
      </c>
      <c r="AY757" t="str">
        <f>""</f>
        <v/>
      </c>
      <c r="AZ757" t="str">
        <f>""</f>
        <v/>
      </c>
      <c r="BA757" t="str">
        <f>""</f>
        <v/>
      </c>
      <c r="BB757" t="str">
        <f>"18/08/2021 08:46:18"</f>
        <v>18/08/2021 08:46:18</v>
      </c>
      <c r="BC757" t="str">
        <f>"02/05/2022 14:17:48"</f>
        <v>02/05/2022 14:17:48</v>
      </c>
      <c r="BD757" t="str">
        <f>""</f>
        <v/>
      </c>
      <c r="BE757" t="str">
        <f>""</f>
        <v/>
      </c>
      <c r="BF757" t="str">
        <f t="shared" si="363"/>
        <v>A</v>
      </c>
      <c r="BG757" t="str">
        <f>""</f>
        <v/>
      </c>
      <c r="BH757" t="str">
        <f t="shared" ref="BH757:BH765" si="388">"0,00"</f>
        <v>0,00</v>
      </c>
      <c r="BI757" t="str">
        <f t="shared" si="378"/>
        <v>EVENTUAL</v>
      </c>
      <c r="BJ757" t="str">
        <f t="shared" si="364"/>
        <v>1</v>
      </c>
      <c r="BK757" t="str">
        <f t="shared" si="365"/>
        <v>Farmacia</v>
      </c>
      <c r="BL757" t="str">
        <f>""</f>
        <v/>
      </c>
      <c r="BM757" t="str">
        <f>"NÃO É VARILUX ESPECIALISTA"</f>
        <v>NÃO É VARILUX ESPECIALISTA</v>
      </c>
      <c r="BN757" t="str">
        <f>"NA"</f>
        <v>NA</v>
      </c>
      <c r="BO757" t="str">
        <f>"OUTROS"</f>
        <v>OUTROS</v>
      </c>
      <c r="BP757" t="str">
        <f>""</f>
        <v/>
      </c>
      <c r="BQ757" t="str">
        <f>""</f>
        <v/>
      </c>
      <c r="BR757" t="str">
        <f>"18/08/2021"</f>
        <v>18/08/2021</v>
      </c>
      <c r="BS757" t="str">
        <f>"02/05/2022"</f>
        <v>02/05/2022</v>
      </c>
      <c r="BT757" t="str">
        <f>""</f>
        <v/>
      </c>
      <c r="BU757" t="str">
        <f>""</f>
        <v/>
      </c>
      <c r="BV757" t="str">
        <f>""</f>
        <v/>
      </c>
      <c r="BW757" t="str">
        <f>"7"</f>
        <v>7</v>
      </c>
    </row>
    <row r="758" spans="1:75" x14ac:dyDescent="0.35">
      <c r="A758">
        <v>144240</v>
      </c>
      <c r="B758" t="str">
        <f t="shared" si="360"/>
        <v>A</v>
      </c>
      <c r="C758" t="str">
        <f t="shared" si="361"/>
        <v>80</v>
      </c>
      <c r="D758" t="str">
        <f t="shared" si="384"/>
        <v>11121002</v>
      </c>
      <c r="E758" t="str">
        <f t="shared" si="385"/>
        <v>121002</v>
      </c>
      <c r="F758" t="str">
        <f t="shared" si="386"/>
        <v>CINTHIA NORONHA</v>
      </c>
      <c r="G758" t="str">
        <f>"43523269000165"</f>
        <v>43523269000165</v>
      </c>
      <c r="H758" t="str">
        <f>"0"</f>
        <v>0</v>
      </c>
      <c r="I758" t="str">
        <f t="shared" si="362"/>
        <v>CONTA OPTICA</v>
      </c>
      <c r="J758" t="str">
        <f>"JM OTICA &amp; ACESSORIOS LTDA"</f>
        <v>JM OTICA &amp; ACESSORIOS LTDA</v>
      </c>
      <c r="K758" t="str">
        <f>"OTICA ESSENCIAL (4426)"</f>
        <v>OTICA ESSENCIAL (4426)</v>
      </c>
      <c r="L758" t="str">
        <f>""</f>
        <v/>
      </c>
      <c r="M758" t="str">
        <f>""</f>
        <v/>
      </c>
      <c r="N758" t="str">
        <f>"OTICAESSENCIAL.JANICE@GMAIL.COM"</f>
        <v>OTICAESSENCIAL.JANICE@GMAIL.COM</v>
      </c>
      <c r="O758" t="str">
        <f>""</f>
        <v/>
      </c>
      <c r="P758" t="str">
        <f>"RUA FERNANDO MACHADO"</f>
        <v>RUA FERNANDO MACHADO</v>
      </c>
      <c r="Q758" t="str">
        <f>"21"</f>
        <v>21</v>
      </c>
      <c r="R758" t="str">
        <f>""</f>
        <v/>
      </c>
      <c r="S758" t="str">
        <f>"1254"</f>
        <v>1254</v>
      </c>
      <c r="T758" t="str">
        <f>"88010510"</f>
        <v>88010510</v>
      </c>
      <c r="U758" t="str">
        <f>"CENTRO"</f>
        <v>CENTRO</v>
      </c>
      <c r="V758" t="str">
        <f>"FLORIANÓPOLIS"</f>
        <v>FLORIANÓPOLIS</v>
      </c>
      <c r="W758" t="str">
        <f t="shared" si="381"/>
        <v>SC</v>
      </c>
      <c r="X758" t="str">
        <f t="shared" si="383"/>
        <v>48</v>
      </c>
      <c r="Y758" t="str">
        <f>"32240703"</f>
        <v>32240703</v>
      </c>
      <c r="Z758" t="str">
        <f>""</f>
        <v/>
      </c>
      <c r="AA758" t="str">
        <f>""</f>
        <v/>
      </c>
      <c r="AB758" t="str">
        <f>""</f>
        <v/>
      </c>
      <c r="AC758" t="str">
        <f>""</f>
        <v/>
      </c>
      <c r="AD758" t="str">
        <f>""</f>
        <v/>
      </c>
      <c r="AE758" t="str">
        <f>""</f>
        <v/>
      </c>
      <c r="AF758" t="str">
        <f>""</f>
        <v/>
      </c>
      <c r="AG758" t="str">
        <f>"S"</f>
        <v>S</v>
      </c>
      <c r="AH758" t="str">
        <f>""</f>
        <v/>
      </c>
      <c r="AI758" t="str">
        <f>""</f>
        <v/>
      </c>
      <c r="AJ758" t="str">
        <f>""</f>
        <v/>
      </c>
      <c r="AK758" t="str">
        <f>""</f>
        <v/>
      </c>
      <c r="AL758" t="str">
        <f>""</f>
        <v/>
      </c>
      <c r="AM758" t="str">
        <f>""</f>
        <v/>
      </c>
      <c r="AN758" t="str">
        <f>""</f>
        <v/>
      </c>
      <c r="AO758" t="str">
        <f>""</f>
        <v/>
      </c>
      <c r="AP758" t="str">
        <f>""</f>
        <v/>
      </c>
      <c r="AQ758" t="str">
        <f t="shared" si="387"/>
        <v>N</v>
      </c>
      <c r="AR758" t="str">
        <f t="shared" si="387"/>
        <v>N</v>
      </c>
      <c r="AS758" t="str">
        <f t="shared" si="387"/>
        <v>N</v>
      </c>
      <c r="AT758" t="str">
        <f t="shared" si="387"/>
        <v>N</v>
      </c>
      <c r="AU758" t="str">
        <f t="shared" si="387"/>
        <v>N</v>
      </c>
      <c r="AV758" t="str">
        <f>""</f>
        <v/>
      </c>
      <c r="AW758" t="str">
        <f>""</f>
        <v/>
      </c>
      <c r="AX758" t="str">
        <f>""</f>
        <v/>
      </c>
      <c r="AY758" t="str">
        <f>""</f>
        <v/>
      </c>
      <c r="AZ758" t="str">
        <f>""</f>
        <v/>
      </c>
      <c r="BA758" t="str">
        <f>""</f>
        <v/>
      </c>
      <c r="BB758" t="str">
        <f>"10/12/2021 11:41:00"</f>
        <v>10/12/2021 11:41:00</v>
      </c>
      <c r="BC758" t="str">
        <f>"21/01/2022 09:58:34"</f>
        <v>21/01/2022 09:58:34</v>
      </c>
      <c r="BD758" t="str">
        <f>""</f>
        <v/>
      </c>
      <c r="BE758" t="str">
        <f>""</f>
        <v/>
      </c>
      <c r="BF758" t="str">
        <f t="shared" si="363"/>
        <v>A</v>
      </c>
      <c r="BG758" t="str">
        <f>""</f>
        <v/>
      </c>
      <c r="BH758" t="str">
        <f t="shared" si="388"/>
        <v>0,00</v>
      </c>
      <c r="BI758" t="str">
        <f t="shared" si="378"/>
        <v>EVENTUAL</v>
      </c>
      <c r="BJ758" t="str">
        <f t="shared" si="364"/>
        <v>1</v>
      </c>
      <c r="BK758" t="str">
        <f t="shared" si="365"/>
        <v>Farmacia</v>
      </c>
      <c r="BL758" t="str">
        <f>""</f>
        <v/>
      </c>
      <c r="BM758" t="str">
        <f>""</f>
        <v/>
      </c>
      <c r="BN758" t="str">
        <f>""</f>
        <v/>
      </c>
      <c r="BO758" t="str">
        <f>"OUTROS"</f>
        <v>OUTROS</v>
      </c>
      <c r="BP758" t="str">
        <f>""</f>
        <v/>
      </c>
      <c r="BQ758" t="str">
        <f>""</f>
        <v/>
      </c>
      <c r="BR758" t="str">
        <f>"10/12/2021"</f>
        <v>10/12/2021</v>
      </c>
      <c r="BS758" t="str">
        <f>"21/01/2022"</f>
        <v>21/01/2022</v>
      </c>
      <c r="BT758" t="str">
        <f>""</f>
        <v/>
      </c>
      <c r="BU758" t="str">
        <f>""</f>
        <v/>
      </c>
      <c r="BV758" t="str">
        <f>""</f>
        <v/>
      </c>
      <c r="BW758" t="str">
        <f>"106"</f>
        <v>106</v>
      </c>
    </row>
    <row r="759" spans="1:75" x14ac:dyDescent="0.35">
      <c r="A759">
        <v>144834</v>
      </c>
      <c r="B759" t="str">
        <f t="shared" si="360"/>
        <v>A</v>
      </c>
      <c r="C759" t="str">
        <f t="shared" si="361"/>
        <v>80</v>
      </c>
      <c r="D759" t="str">
        <f t="shared" si="384"/>
        <v>11121002</v>
      </c>
      <c r="E759" t="str">
        <f t="shared" si="385"/>
        <v>121002</v>
      </c>
      <c r="F759" t="str">
        <f t="shared" si="386"/>
        <v>CINTHIA NORONHA</v>
      </c>
      <c r="G759" t="str">
        <f>"42972237000184"</f>
        <v>42972237000184</v>
      </c>
      <c r="H759" t="str">
        <f>""</f>
        <v/>
      </c>
      <c r="I759" t="str">
        <f t="shared" si="362"/>
        <v>CONTA OPTICA</v>
      </c>
      <c r="J759" t="str">
        <f>"JMI MANGILLI OTICA LTDA"</f>
        <v>JMI MANGILLI OTICA LTDA</v>
      </c>
      <c r="K759" t="str">
        <f>"MAIS BELLA OTICA (4381)"</f>
        <v>MAIS BELLA OTICA (4381)</v>
      </c>
      <c r="L759" t="str">
        <f>""</f>
        <v/>
      </c>
      <c r="M759" t="str">
        <f>""</f>
        <v/>
      </c>
      <c r="N759" t="str">
        <f>"maisbellacriciuma@maisbellaotica.com.br"</f>
        <v>maisbellacriciuma@maisbellaotica.com.br</v>
      </c>
      <c r="O759" t="str">
        <f>""</f>
        <v/>
      </c>
      <c r="P759" t="str">
        <f>"RUA MARECHAL FLORIANO PEIXOTO"</f>
        <v>RUA MARECHAL FLORIANO PEIXOTO</v>
      </c>
      <c r="Q759" t="str">
        <f>"47"</f>
        <v>47</v>
      </c>
      <c r="R759" t="str">
        <f>"TERREO"</f>
        <v>TERREO</v>
      </c>
      <c r="S759" t="str">
        <f>"1269"</f>
        <v>1269</v>
      </c>
      <c r="T759" t="str">
        <f>"88801040"</f>
        <v>88801040</v>
      </c>
      <c r="U759" t="str">
        <f>"CENTRO"</f>
        <v>CENTRO</v>
      </c>
      <c r="V759" t="str">
        <f>"CRICIÚMA"</f>
        <v>CRICIÚMA</v>
      </c>
      <c r="W759" t="str">
        <f t="shared" si="381"/>
        <v>SC</v>
      </c>
      <c r="X759" t="str">
        <f t="shared" si="383"/>
        <v>48</v>
      </c>
      <c r="Y759" t="str">
        <f>"35126279"</f>
        <v>35126279</v>
      </c>
      <c r="Z759" t="str">
        <f>""</f>
        <v/>
      </c>
      <c r="AA759" t="str">
        <f>""</f>
        <v/>
      </c>
      <c r="AB759" t="str">
        <f>""</f>
        <v/>
      </c>
      <c r="AC759" t="str">
        <f>""</f>
        <v/>
      </c>
      <c r="AD759" t="str">
        <f>""</f>
        <v/>
      </c>
      <c r="AE759" t="str">
        <f>""</f>
        <v/>
      </c>
      <c r="AF759" t="str">
        <f>""</f>
        <v/>
      </c>
      <c r="AG759" t="str">
        <f>""</f>
        <v/>
      </c>
      <c r="AH759" t="str">
        <f>""</f>
        <v/>
      </c>
      <c r="AI759" t="str">
        <f>""</f>
        <v/>
      </c>
      <c r="AJ759" t="str">
        <f t="shared" ref="AJ759:AL765" si="389">"0"</f>
        <v>0</v>
      </c>
      <c r="AK759" t="str">
        <f t="shared" si="389"/>
        <v>0</v>
      </c>
      <c r="AL759" t="str">
        <f t="shared" si="389"/>
        <v>0</v>
      </c>
      <c r="AM759" t="str">
        <f>""</f>
        <v/>
      </c>
      <c r="AN759" t="str">
        <f>""</f>
        <v/>
      </c>
      <c r="AO759" t="str">
        <f>""</f>
        <v/>
      </c>
      <c r="AP759" t="str">
        <f>""</f>
        <v/>
      </c>
      <c r="AQ759" t="str">
        <f>""</f>
        <v/>
      </c>
      <c r="AR759" t="str">
        <f>""</f>
        <v/>
      </c>
      <c r="AS759" t="str">
        <f>""</f>
        <v/>
      </c>
      <c r="AT759" t="str">
        <f>""</f>
        <v/>
      </c>
      <c r="AU759" t="str">
        <f>""</f>
        <v/>
      </c>
      <c r="AV759" t="str">
        <f>""</f>
        <v/>
      </c>
      <c r="AW759" t="str">
        <f>""</f>
        <v/>
      </c>
      <c r="AX759" t="str">
        <f>""</f>
        <v/>
      </c>
      <c r="AY759" t="str">
        <f>""</f>
        <v/>
      </c>
      <c r="AZ759" t="str">
        <f>""</f>
        <v/>
      </c>
      <c r="BA759" t="str">
        <f>""</f>
        <v/>
      </c>
      <c r="BB759" t="str">
        <f>""</f>
        <v/>
      </c>
      <c r="BC759" t="str">
        <f>""</f>
        <v/>
      </c>
      <c r="BD759" t="str">
        <f>""</f>
        <v/>
      </c>
      <c r="BE759" t="str">
        <f>""</f>
        <v/>
      </c>
      <c r="BF759" t="str">
        <f t="shared" si="363"/>
        <v>A</v>
      </c>
      <c r="BG759" t="str">
        <f t="shared" ref="BG759:BG765" si="390">"0,00"</f>
        <v>0,00</v>
      </c>
      <c r="BH759" t="str">
        <f t="shared" si="388"/>
        <v>0,00</v>
      </c>
      <c r="BI759" t="str">
        <f t="shared" si="378"/>
        <v>EVENTUAL</v>
      </c>
      <c r="BJ759" t="str">
        <f t="shared" si="364"/>
        <v>1</v>
      </c>
      <c r="BK759" t="str">
        <f t="shared" si="365"/>
        <v>Farmacia</v>
      </c>
      <c r="BL759" t="str">
        <f>""</f>
        <v/>
      </c>
      <c r="BM759" t="str">
        <f>"NÃO É VARILUX ESPECIALISTA"</f>
        <v>NÃO É VARILUX ESPECIALISTA</v>
      </c>
      <c r="BN759" t="str">
        <f t="shared" ref="BN759:BN765" si="391">"NA"</f>
        <v>NA</v>
      </c>
      <c r="BO759" t="str">
        <f>"FOCO VARILUX"</f>
        <v>FOCO VARILUX</v>
      </c>
      <c r="BP759" t="str">
        <f>""</f>
        <v/>
      </c>
      <c r="BQ759" t="str">
        <f>""</f>
        <v/>
      </c>
      <c r="BR759" t="str">
        <f>""</f>
        <v/>
      </c>
      <c r="BS759" t="str">
        <f>""</f>
        <v/>
      </c>
      <c r="BT759" t="str">
        <f>""</f>
        <v/>
      </c>
      <c r="BU759" t="str">
        <f>""</f>
        <v/>
      </c>
      <c r="BV759" t="str">
        <f>""</f>
        <v/>
      </c>
      <c r="BW759" t="str">
        <f>"Não visitado"</f>
        <v>Não visitado</v>
      </c>
    </row>
    <row r="760" spans="1:75" x14ac:dyDescent="0.35">
      <c r="A760">
        <v>144341</v>
      </c>
      <c r="B760" t="str">
        <f t="shared" si="360"/>
        <v>A</v>
      </c>
      <c r="C760" t="str">
        <f t="shared" si="361"/>
        <v>80</v>
      </c>
      <c r="D760" t="str">
        <f t="shared" si="384"/>
        <v>11121002</v>
      </c>
      <c r="E760" t="str">
        <f t="shared" si="385"/>
        <v>121002</v>
      </c>
      <c r="F760" t="str">
        <f t="shared" si="386"/>
        <v>CINTHIA NORONHA</v>
      </c>
      <c r="G760" t="str">
        <f>"19434165000108"</f>
        <v>19434165000108</v>
      </c>
      <c r="H760" t="str">
        <f>""</f>
        <v/>
      </c>
      <c r="I760" t="str">
        <f t="shared" si="362"/>
        <v>CONTA OPTICA</v>
      </c>
      <c r="J760" t="str">
        <f>"JOACIR ANTONIO MONTEIRO - ME"</f>
        <v>JOACIR ANTONIO MONTEIRO - ME</v>
      </c>
      <c r="K760" t="str">
        <f>"OTICA TONETTI (3860)"</f>
        <v>OTICA TONETTI (3860)</v>
      </c>
      <c r="L760" t="str">
        <f>""</f>
        <v/>
      </c>
      <c r="M760" t="str">
        <f>""</f>
        <v/>
      </c>
      <c r="N760" t="str">
        <f>"joacir-monteiro@hotmail.it"</f>
        <v>joacir-monteiro@hotmail.it</v>
      </c>
      <c r="O760" t="str">
        <f>""</f>
        <v/>
      </c>
      <c r="P760" t="str">
        <f>"RUA DOS IMIGRANTES"</f>
        <v>RUA DOS IMIGRANTES</v>
      </c>
      <c r="Q760" t="str">
        <f>"2170"</f>
        <v>2170</v>
      </c>
      <c r="R760" t="str">
        <f>"SALA 01"</f>
        <v>SALA 01</v>
      </c>
      <c r="S760" t="str">
        <f>"1269"</f>
        <v>1269</v>
      </c>
      <c r="T760" t="str">
        <f>"88817615"</f>
        <v>88817615</v>
      </c>
      <c r="U760" t="str">
        <f>"RIO MAINA"</f>
        <v>RIO MAINA</v>
      </c>
      <c r="V760" t="str">
        <f>"CRICIÚMA"</f>
        <v>CRICIÚMA</v>
      </c>
      <c r="W760" t="str">
        <f t="shared" si="381"/>
        <v>SC</v>
      </c>
      <c r="X760" t="str">
        <f t="shared" si="383"/>
        <v>48</v>
      </c>
      <c r="Y760" t="str">
        <f>"34784157"</f>
        <v>34784157</v>
      </c>
      <c r="Z760" t="str">
        <f>""</f>
        <v/>
      </c>
      <c r="AA760" t="str">
        <f>""</f>
        <v/>
      </c>
      <c r="AB760" t="str">
        <f>""</f>
        <v/>
      </c>
      <c r="AC760" t="str">
        <f>""</f>
        <v/>
      </c>
      <c r="AD760" t="str">
        <f>""</f>
        <v/>
      </c>
      <c r="AE760" t="str">
        <f>""</f>
        <v/>
      </c>
      <c r="AF760" t="str">
        <f>""</f>
        <v/>
      </c>
      <c r="AG760" t="str">
        <f>""</f>
        <v/>
      </c>
      <c r="AH760" t="str">
        <f>""</f>
        <v/>
      </c>
      <c r="AI760" t="str">
        <f>""</f>
        <v/>
      </c>
      <c r="AJ760" t="str">
        <f t="shared" si="389"/>
        <v>0</v>
      </c>
      <c r="AK760" t="str">
        <f t="shared" si="389"/>
        <v>0</v>
      </c>
      <c r="AL760" t="str">
        <f t="shared" si="389"/>
        <v>0</v>
      </c>
      <c r="AM760" t="str">
        <f>""</f>
        <v/>
      </c>
      <c r="AN760" t="str">
        <f>""</f>
        <v/>
      </c>
      <c r="AO760" t="str">
        <f>""</f>
        <v/>
      </c>
      <c r="AP760" t="str">
        <f>""</f>
        <v/>
      </c>
      <c r="AQ760" t="str">
        <f>""</f>
        <v/>
      </c>
      <c r="AR760" t="str">
        <f>""</f>
        <v/>
      </c>
      <c r="AS760" t="str">
        <f>""</f>
        <v/>
      </c>
      <c r="AT760" t="str">
        <f>""</f>
        <v/>
      </c>
      <c r="AU760" t="str">
        <f>""</f>
        <v/>
      </c>
      <c r="AV760" t="str">
        <f>""</f>
        <v/>
      </c>
      <c r="AW760" t="str">
        <f>""</f>
        <v/>
      </c>
      <c r="AX760" t="str">
        <f>""</f>
        <v/>
      </c>
      <c r="AY760" t="str">
        <f>""</f>
        <v/>
      </c>
      <c r="AZ760" t="str">
        <f>""</f>
        <v/>
      </c>
      <c r="BA760" t="str">
        <f>""</f>
        <v/>
      </c>
      <c r="BB760" t="str">
        <f>""</f>
        <v/>
      </c>
      <c r="BC760" t="str">
        <f>""</f>
        <v/>
      </c>
      <c r="BD760" t="str">
        <f>""</f>
        <v/>
      </c>
      <c r="BE760" t="str">
        <f>""</f>
        <v/>
      </c>
      <c r="BF760" t="str">
        <f t="shared" si="363"/>
        <v>A</v>
      </c>
      <c r="BG760" t="str">
        <f t="shared" si="390"/>
        <v>0,00</v>
      </c>
      <c r="BH760" t="str">
        <f t="shared" si="388"/>
        <v>0,00</v>
      </c>
      <c r="BI760" t="str">
        <f t="shared" si="378"/>
        <v>EVENTUAL</v>
      </c>
      <c r="BJ760" t="str">
        <f t="shared" si="364"/>
        <v>1</v>
      </c>
      <c r="BK760" t="str">
        <f t="shared" si="365"/>
        <v>Farmacia</v>
      </c>
      <c r="BL760" t="str">
        <f>""</f>
        <v/>
      </c>
      <c r="BM760" t="str">
        <f>"NÃO É VARILUX ESPECIALISTA"</f>
        <v>NÃO É VARILUX ESPECIALISTA</v>
      </c>
      <c r="BN760" t="str">
        <f t="shared" si="391"/>
        <v>NA</v>
      </c>
      <c r="BO760" t="str">
        <f>"OUTROS"</f>
        <v>OUTROS</v>
      </c>
      <c r="BP760" t="str">
        <f>""</f>
        <v/>
      </c>
      <c r="BQ760" t="str">
        <f>""</f>
        <v/>
      </c>
      <c r="BR760" t="str">
        <f>""</f>
        <v/>
      </c>
      <c r="BS760" t="str">
        <f>""</f>
        <v/>
      </c>
      <c r="BT760" t="str">
        <f>""</f>
        <v/>
      </c>
      <c r="BU760" t="str">
        <f>""</f>
        <v/>
      </c>
      <c r="BV760" t="str">
        <f>"9"</f>
        <v>9</v>
      </c>
      <c r="BW760" t="str">
        <f>"Não visitado"</f>
        <v>Não visitado</v>
      </c>
    </row>
    <row r="761" spans="1:75" x14ac:dyDescent="0.35">
      <c r="A761">
        <v>144391</v>
      </c>
      <c r="B761" t="str">
        <f t="shared" si="360"/>
        <v>A</v>
      </c>
      <c r="C761" t="str">
        <f t="shared" si="361"/>
        <v>80</v>
      </c>
      <c r="D761" t="str">
        <f t="shared" si="384"/>
        <v>11121002</v>
      </c>
      <c r="E761" t="str">
        <f t="shared" si="385"/>
        <v>121002</v>
      </c>
      <c r="F761" t="str">
        <f t="shared" si="386"/>
        <v>CINTHIA NORONHA</v>
      </c>
      <c r="G761" t="str">
        <f>"83820282000109"</f>
        <v>83820282000109</v>
      </c>
      <c r="H761" t="str">
        <f>""</f>
        <v/>
      </c>
      <c r="I761" t="str">
        <f t="shared" si="362"/>
        <v>CONTA OPTICA</v>
      </c>
      <c r="J761" t="str">
        <f>"JOALHERIA E OTICA ALCIDINO LTDA"</f>
        <v>JOALHERIA E OTICA ALCIDINO LTDA</v>
      </c>
      <c r="K761" t="str">
        <f>"JOALHERIA E OTICA ALCIDINO (151)"</f>
        <v>JOALHERIA E OTICA ALCIDINO (151)</v>
      </c>
      <c r="L761" t="str">
        <f>""</f>
        <v/>
      </c>
      <c r="M761" t="str">
        <f>""</f>
        <v/>
      </c>
      <c r="N761" t="str">
        <f>"financeiro_alcidino@yahoo.com.br"</f>
        <v>financeiro_alcidino@yahoo.com.br</v>
      </c>
      <c r="O761" t="str">
        <f>""</f>
        <v/>
      </c>
      <c r="P761" t="str">
        <f>"RUA GETULIO VARGAS"</f>
        <v>RUA GETULIO VARGAS</v>
      </c>
      <c r="Q761" t="str">
        <f>"62"</f>
        <v>62</v>
      </c>
      <c r="R761" t="str">
        <f>""</f>
        <v/>
      </c>
      <c r="S761" t="str">
        <f>"1270"</f>
        <v>1270</v>
      </c>
      <c r="T761" t="str">
        <f>"88900035"</f>
        <v>88900035</v>
      </c>
      <c r="U761" t="str">
        <f>"CENTRO"</f>
        <v>CENTRO</v>
      </c>
      <c r="V761" t="str">
        <f>"ARARANGUÁ"</f>
        <v>ARARANGUÁ</v>
      </c>
      <c r="W761" t="str">
        <f t="shared" si="381"/>
        <v>SC</v>
      </c>
      <c r="X761" t="str">
        <f t="shared" si="383"/>
        <v>48</v>
      </c>
      <c r="Y761" t="str">
        <f>"35241633"</f>
        <v>35241633</v>
      </c>
      <c r="Z761" t="str">
        <f>""</f>
        <v/>
      </c>
      <c r="AA761" t="str">
        <f>""</f>
        <v/>
      </c>
      <c r="AB761" t="str">
        <f>""</f>
        <v/>
      </c>
      <c r="AC761" t="str">
        <f>""</f>
        <v/>
      </c>
      <c r="AD761" t="str">
        <f>""</f>
        <v/>
      </c>
      <c r="AE761" t="str">
        <f>""</f>
        <v/>
      </c>
      <c r="AF761" t="str">
        <f>""</f>
        <v/>
      </c>
      <c r="AG761" t="str">
        <f>""</f>
        <v/>
      </c>
      <c r="AH761" t="str">
        <f>""</f>
        <v/>
      </c>
      <c r="AI761" t="str">
        <f>""</f>
        <v/>
      </c>
      <c r="AJ761" t="str">
        <f t="shared" si="389"/>
        <v>0</v>
      </c>
      <c r="AK761" t="str">
        <f t="shared" si="389"/>
        <v>0</v>
      </c>
      <c r="AL761" t="str">
        <f t="shared" si="389"/>
        <v>0</v>
      </c>
      <c r="AM761" t="str">
        <f>""</f>
        <v/>
      </c>
      <c r="AN761" t="str">
        <f>""</f>
        <v/>
      </c>
      <c r="AO761" t="str">
        <f>""</f>
        <v/>
      </c>
      <c r="AP761" t="str">
        <f>""</f>
        <v/>
      </c>
      <c r="AQ761" t="str">
        <f>""</f>
        <v/>
      </c>
      <c r="AR761" t="str">
        <f>""</f>
        <v/>
      </c>
      <c r="AS761" t="str">
        <f>""</f>
        <v/>
      </c>
      <c r="AT761" t="str">
        <f>""</f>
        <v/>
      </c>
      <c r="AU761" t="str">
        <f>""</f>
        <v/>
      </c>
      <c r="AV761" t="str">
        <f>""</f>
        <v/>
      </c>
      <c r="AW761" t="str">
        <f>""</f>
        <v/>
      </c>
      <c r="AX761" t="str">
        <f>""</f>
        <v/>
      </c>
      <c r="AY761" t="str">
        <f>""</f>
        <v/>
      </c>
      <c r="AZ761" t="str">
        <f>""</f>
        <v/>
      </c>
      <c r="BA761" t="str">
        <f>""</f>
        <v/>
      </c>
      <c r="BB761" t="str">
        <f>""</f>
        <v/>
      </c>
      <c r="BC761" t="str">
        <f>""</f>
        <v/>
      </c>
      <c r="BD761" t="str">
        <f>""</f>
        <v/>
      </c>
      <c r="BE761" t="str">
        <f>""</f>
        <v/>
      </c>
      <c r="BF761" t="str">
        <f t="shared" si="363"/>
        <v>A</v>
      </c>
      <c r="BG761" t="str">
        <f t="shared" si="390"/>
        <v>0,00</v>
      </c>
      <c r="BH761" t="str">
        <f t="shared" si="388"/>
        <v>0,00</v>
      </c>
      <c r="BI761" t="str">
        <f t="shared" si="378"/>
        <v>EVENTUAL</v>
      </c>
      <c r="BJ761" t="str">
        <f t="shared" si="364"/>
        <v>1</v>
      </c>
      <c r="BK761" t="str">
        <f t="shared" si="365"/>
        <v>Farmacia</v>
      </c>
      <c r="BL761" t="str">
        <f>""</f>
        <v/>
      </c>
      <c r="BM761" t="str">
        <f>"VARILUX ESPECIALISTA SELECT"</f>
        <v>VARILUX ESPECIALISTA SELECT</v>
      </c>
      <c r="BN761" t="str">
        <f t="shared" si="391"/>
        <v>NA</v>
      </c>
      <c r="BO761" t="str">
        <f>"FOCO VARILUX DIGITAL"</f>
        <v>FOCO VARILUX DIGITAL</v>
      </c>
      <c r="BP761" t="str">
        <f>""</f>
        <v/>
      </c>
      <c r="BQ761" t="str">
        <f>""</f>
        <v/>
      </c>
      <c r="BR761" t="str">
        <f>""</f>
        <v/>
      </c>
      <c r="BS761" t="str">
        <f>""</f>
        <v/>
      </c>
      <c r="BT761" t="str">
        <f>""</f>
        <v/>
      </c>
      <c r="BU761" t="str">
        <f>""</f>
        <v/>
      </c>
      <c r="BV761" t="str">
        <f>"1"</f>
        <v>1</v>
      </c>
      <c r="BW761" t="str">
        <f>"3"</f>
        <v>3</v>
      </c>
    </row>
    <row r="762" spans="1:75" x14ac:dyDescent="0.35">
      <c r="A762">
        <v>4</v>
      </c>
      <c r="B762" t="str">
        <f t="shared" si="360"/>
        <v>A</v>
      </c>
      <c r="C762" t="str">
        <f t="shared" si="361"/>
        <v>80</v>
      </c>
      <c r="D762" t="str">
        <f t="shared" si="384"/>
        <v>11121002</v>
      </c>
      <c r="E762" t="str">
        <f t="shared" si="385"/>
        <v>121002</v>
      </c>
      <c r="F762" t="str">
        <f t="shared" si="386"/>
        <v>CINTHIA NORONHA</v>
      </c>
      <c r="G762" t="str">
        <f>"00542123000154"</f>
        <v>00542123000154</v>
      </c>
      <c r="H762" t="str">
        <f>""</f>
        <v/>
      </c>
      <c r="I762" t="str">
        <f t="shared" si="362"/>
        <v>CONTA OPTICA</v>
      </c>
      <c r="J762" t="str">
        <f>"JOALHERIA E OTICA BELLUNO LTDA ME"</f>
        <v>JOALHERIA E OTICA BELLUNO LTDA ME</v>
      </c>
      <c r="K762" t="str">
        <f>"JOALHERIA E OTICA BELLUNO LTDA (961)"</f>
        <v>JOALHERIA E OTICA BELLUNO LTDA (961)</v>
      </c>
      <c r="L762" t="str">
        <f>""</f>
        <v/>
      </c>
      <c r="M762" t="str">
        <f>""</f>
        <v/>
      </c>
      <c r="N762" t="str">
        <f>"oticavisual.spolis@hotmail.com"</f>
        <v>oticavisual.spolis@hotmail.com</v>
      </c>
      <c r="O762" t="str">
        <f>""</f>
        <v/>
      </c>
      <c r="P762" t="str">
        <f>"AVENIDA MUNICIPAL"</f>
        <v>AVENIDA MUNICIPAL</v>
      </c>
      <c r="Q762" t="str">
        <f>"143"</f>
        <v>143</v>
      </c>
      <c r="R762" t="str">
        <f>""</f>
        <v/>
      </c>
      <c r="S762" t="str">
        <f>"1269"</f>
        <v>1269</v>
      </c>
      <c r="T762" t="str">
        <f>"88860000"</f>
        <v>88860000</v>
      </c>
      <c r="U762" t="str">
        <f>"CENTRO"</f>
        <v>CENTRO</v>
      </c>
      <c r="V762" t="str">
        <f>"SIDERÓPOLIS"</f>
        <v>SIDERÓPOLIS</v>
      </c>
      <c r="W762" t="str">
        <f t="shared" si="381"/>
        <v>SC</v>
      </c>
      <c r="X762" t="str">
        <f t="shared" si="383"/>
        <v>48</v>
      </c>
      <c r="Y762" t="str">
        <f>"34353854"</f>
        <v>34353854</v>
      </c>
      <c r="Z762" t="str">
        <f>""</f>
        <v/>
      </c>
      <c r="AA762" t="str">
        <f>""</f>
        <v/>
      </c>
      <c r="AB762" t="str">
        <f>""</f>
        <v/>
      </c>
      <c r="AC762" t="str">
        <f>""</f>
        <v/>
      </c>
      <c r="AD762" t="str">
        <f>""</f>
        <v/>
      </c>
      <c r="AE762" t="str">
        <f>""</f>
        <v/>
      </c>
      <c r="AF762" t="str">
        <f>""</f>
        <v/>
      </c>
      <c r="AG762" t="str">
        <f>""</f>
        <v/>
      </c>
      <c r="AH762" t="str">
        <f>""</f>
        <v/>
      </c>
      <c r="AI762" t="str">
        <f>""</f>
        <v/>
      </c>
      <c r="AJ762" t="str">
        <f t="shared" si="389"/>
        <v>0</v>
      </c>
      <c r="AK762" t="str">
        <f t="shared" si="389"/>
        <v>0</v>
      </c>
      <c r="AL762" t="str">
        <f t="shared" si="389"/>
        <v>0</v>
      </c>
      <c r="AM762" t="str">
        <f>""</f>
        <v/>
      </c>
      <c r="AN762" t="str">
        <f>""</f>
        <v/>
      </c>
      <c r="AO762" t="str">
        <f>""</f>
        <v/>
      </c>
      <c r="AP762" t="str">
        <f>""</f>
        <v/>
      </c>
      <c r="AQ762" t="str">
        <f>""</f>
        <v/>
      </c>
      <c r="AR762" t="str">
        <f>""</f>
        <v/>
      </c>
      <c r="AS762" t="str">
        <f>""</f>
        <v/>
      </c>
      <c r="AT762" t="str">
        <f>""</f>
        <v/>
      </c>
      <c r="AU762" t="str">
        <f>""</f>
        <v/>
      </c>
      <c r="AV762" t="str">
        <f>""</f>
        <v/>
      </c>
      <c r="AW762" t="str">
        <f>""</f>
        <v/>
      </c>
      <c r="AX762" t="str">
        <f>""</f>
        <v/>
      </c>
      <c r="AY762" t="str">
        <f>""</f>
        <v/>
      </c>
      <c r="AZ762" t="str">
        <f>""</f>
        <v/>
      </c>
      <c r="BA762" t="str">
        <f>""</f>
        <v/>
      </c>
      <c r="BB762" t="str">
        <f>"27/07/2018 09:25:30"</f>
        <v>27/07/2018 09:25:30</v>
      </c>
      <c r="BC762" t="str">
        <f>""</f>
        <v/>
      </c>
      <c r="BD762" t="str">
        <f>""</f>
        <v/>
      </c>
      <c r="BE762" t="str">
        <f>"4"</f>
        <v>4</v>
      </c>
      <c r="BF762" t="str">
        <f t="shared" si="363"/>
        <v>A</v>
      </c>
      <c r="BG762" t="str">
        <f t="shared" si="390"/>
        <v>0,00</v>
      </c>
      <c r="BH762" t="str">
        <f t="shared" si="388"/>
        <v>0,00</v>
      </c>
      <c r="BI762" t="str">
        <f t="shared" si="378"/>
        <v>EVENTUAL</v>
      </c>
      <c r="BJ762" t="str">
        <f t="shared" si="364"/>
        <v>1</v>
      </c>
      <c r="BK762" t="str">
        <f t="shared" si="365"/>
        <v>Farmacia</v>
      </c>
      <c r="BL762" t="str">
        <f>""</f>
        <v/>
      </c>
      <c r="BM762" t="str">
        <f>"VARILUX ESPECIALISTA SELECT"</f>
        <v>VARILUX ESPECIALISTA SELECT</v>
      </c>
      <c r="BN762" t="str">
        <f t="shared" si="391"/>
        <v>NA</v>
      </c>
      <c r="BO762" t="str">
        <f>"FOCO VARILUX DIGITAL"</f>
        <v>FOCO VARILUX DIGITAL</v>
      </c>
      <c r="BP762" t="str">
        <f>""</f>
        <v/>
      </c>
      <c r="BQ762" t="str">
        <f>""</f>
        <v/>
      </c>
      <c r="BR762" t="str">
        <f>"27/07/2018"</f>
        <v>27/07/2018</v>
      </c>
      <c r="BS762" t="str">
        <f>""</f>
        <v/>
      </c>
      <c r="BT762" t="str">
        <f>""</f>
        <v/>
      </c>
      <c r="BU762" t="str">
        <f>""</f>
        <v/>
      </c>
      <c r="BV762" t="str">
        <f>"5"</f>
        <v>5</v>
      </c>
      <c r="BW762" t="str">
        <f>"10"</f>
        <v>10</v>
      </c>
    </row>
    <row r="763" spans="1:75" x14ac:dyDescent="0.35">
      <c r="A763">
        <v>127483</v>
      </c>
      <c r="B763" t="str">
        <f t="shared" si="360"/>
        <v>A</v>
      </c>
      <c r="C763" t="str">
        <f t="shared" si="361"/>
        <v>80</v>
      </c>
      <c r="D763" t="str">
        <f t="shared" si="384"/>
        <v>11121002</v>
      </c>
      <c r="E763" t="str">
        <f t="shared" si="385"/>
        <v>121002</v>
      </c>
      <c r="F763" t="str">
        <f t="shared" si="386"/>
        <v>CINTHIA NORONHA</v>
      </c>
      <c r="G763" t="str">
        <f>"02540248000170"</f>
        <v>02540248000170</v>
      </c>
      <c r="H763" t="str">
        <f>"0"</f>
        <v>0</v>
      </c>
      <c r="I763" t="str">
        <f t="shared" si="362"/>
        <v>CONTA OPTICA</v>
      </c>
      <c r="J763" t="str">
        <f>"JOALHERIA E OTICA BOA VISTA LTDA ME"</f>
        <v>JOALHERIA E OTICA BOA VISTA LTDA ME</v>
      </c>
      <c r="K763" t="str">
        <f>"JOALHERIA E OTICA BOA VISTA (1335)"</f>
        <v>JOALHERIA E OTICA BOA VISTA (1335)</v>
      </c>
      <c r="L763" t="str">
        <f>""</f>
        <v/>
      </c>
      <c r="M763" t="str">
        <f>""</f>
        <v/>
      </c>
      <c r="N763" t="str">
        <f>"queziaraquel@hotmail.com"</f>
        <v>queziaraquel@hotmail.com</v>
      </c>
      <c r="O763" t="str">
        <f>""</f>
        <v/>
      </c>
      <c r="P763" t="str">
        <f>"RUA AMARO FERREIRA DE MACEDO"</f>
        <v>RUA AMARO FERREIRA DE MACEDO</v>
      </c>
      <c r="Q763" t="str">
        <f>"160"</f>
        <v>160</v>
      </c>
      <c r="R763" t="str">
        <f>"SL-04"</f>
        <v>SL-04</v>
      </c>
      <c r="S763" t="str">
        <f>"1259"</f>
        <v>1259</v>
      </c>
      <c r="T763" t="str">
        <f>"88130280"</f>
        <v>88130280</v>
      </c>
      <c r="U763" t="str">
        <f>"CENTRO"</f>
        <v>CENTRO</v>
      </c>
      <c r="V763" t="str">
        <f>"PALHOÇA"</f>
        <v>PALHOÇA</v>
      </c>
      <c r="W763" t="str">
        <f t="shared" si="381"/>
        <v>SC</v>
      </c>
      <c r="X763" t="str">
        <f t="shared" si="383"/>
        <v>48</v>
      </c>
      <c r="Y763" t="str">
        <f>"32421588"</f>
        <v>32421588</v>
      </c>
      <c r="Z763" t="str">
        <f>""</f>
        <v/>
      </c>
      <c r="AA763" t="str">
        <f>""</f>
        <v/>
      </c>
      <c r="AB763" t="str">
        <f>""</f>
        <v/>
      </c>
      <c r="AC763" t="str">
        <f>""</f>
        <v/>
      </c>
      <c r="AD763" t="str">
        <f>""</f>
        <v/>
      </c>
      <c r="AE763" t="str">
        <f>""</f>
        <v/>
      </c>
      <c r="AF763" t="str">
        <f>""</f>
        <v/>
      </c>
      <c r="AG763" t="str">
        <f>""</f>
        <v/>
      </c>
      <c r="AH763" t="str">
        <f>""</f>
        <v/>
      </c>
      <c r="AI763" t="str">
        <f>""</f>
        <v/>
      </c>
      <c r="AJ763" t="str">
        <f t="shared" si="389"/>
        <v>0</v>
      </c>
      <c r="AK763" t="str">
        <f t="shared" si="389"/>
        <v>0</v>
      </c>
      <c r="AL763" t="str">
        <f t="shared" si="389"/>
        <v>0</v>
      </c>
      <c r="AM763" t="str">
        <f>""</f>
        <v/>
      </c>
      <c r="AN763" t="str">
        <f>""</f>
        <v/>
      </c>
      <c r="AO763" t="str">
        <f>""</f>
        <v/>
      </c>
      <c r="AP763" t="str">
        <f>""</f>
        <v/>
      </c>
      <c r="AQ763" t="str">
        <f>""</f>
        <v/>
      </c>
      <c r="AR763" t="str">
        <f>""</f>
        <v/>
      </c>
      <c r="AS763" t="str">
        <f>""</f>
        <v/>
      </c>
      <c r="AT763" t="str">
        <f>""</f>
        <v/>
      </c>
      <c r="AU763" t="str">
        <f>""</f>
        <v/>
      </c>
      <c r="AV763" t="str">
        <f>""</f>
        <v/>
      </c>
      <c r="AW763" t="str">
        <f>""</f>
        <v/>
      </c>
      <c r="AX763" t="str">
        <f>""</f>
        <v/>
      </c>
      <c r="AY763" t="str">
        <f>""</f>
        <v/>
      </c>
      <c r="AZ763" t="str">
        <f>""</f>
        <v/>
      </c>
      <c r="BA763" t="str">
        <f>""</f>
        <v/>
      </c>
      <c r="BB763" t="str">
        <f>"07/10/2020 09:08:38"</f>
        <v>07/10/2020 09:08:38</v>
      </c>
      <c r="BC763" t="str">
        <f>""</f>
        <v/>
      </c>
      <c r="BD763" t="str">
        <f>""</f>
        <v/>
      </c>
      <c r="BE763" t="str">
        <f>""</f>
        <v/>
      </c>
      <c r="BF763" t="str">
        <f t="shared" si="363"/>
        <v>A</v>
      </c>
      <c r="BG763" t="str">
        <f t="shared" si="390"/>
        <v>0,00</v>
      </c>
      <c r="BH763" t="str">
        <f t="shared" si="388"/>
        <v>0,00</v>
      </c>
      <c r="BI763" t="str">
        <f t="shared" si="378"/>
        <v>EVENTUAL</v>
      </c>
      <c r="BJ763" t="str">
        <f t="shared" si="364"/>
        <v>1</v>
      </c>
      <c r="BK763" t="str">
        <f t="shared" si="365"/>
        <v>Farmacia</v>
      </c>
      <c r="BL763" t="str">
        <f>""</f>
        <v/>
      </c>
      <c r="BM763" t="str">
        <f>"NÃO É VARILUX ESPECIALISTA"</f>
        <v>NÃO É VARILUX ESPECIALISTA</v>
      </c>
      <c r="BN763" t="str">
        <f t="shared" si="391"/>
        <v>NA</v>
      </c>
      <c r="BO763" t="str">
        <f>"FOCO VARILUX DIGITAL"</f>
        <v>FOCO VARILUX DIGITAL</v>
      </c>
      <c r="BP763" t="str">
        <f>""</f>
        <v/>
      </c>
      <c r="BQ763" t="str">
        <f>""</f>
        <v/>
      </c>
      <c r="BR763" t="str">
        <f>"07/10/2020"</f>
        <v>07/10/2020</v>
      </c>
      <c r="BS763" t="str">
        <f>""</f>
        <v/>
      </c>
      <c r="BT763" t="str">
        <f>""</f>
        <v/>
      </c>
      <c r="BU763" t="str">
        <f>""</f>
        <v/>
      </c>
      <c r="BV763" t="str">
        <f>"9"</f>
        <v>9</v>
      </c>
      <c r="BW763" t="str">
        <f>"14"</f>
        <v>14</v>
      </c>
    </row>
    <row r="764" spans="1:75" x14ac:dyDescent="0.35">
      <c r="A764">
        <v>144368</v>
      </c>
      <c r="B764" t="str">
        <f t="shared" si="360"/>
        <v>A</v>
      </c>
      <c r="C764" t="str">
        <f t="shared" si="361"/>
        <v>80</v>
      </c>
      <c r="D764" t="str">
        <f t="shared" si="384"/>
        <v>11121002</v>
      </c>
      <c r="E764" t="str">
        <f t="shared" si="385"/>
        <v>121002</v>
      </c>
      <c r="F764" t="str">
        <f t="shared" si="386"/>
        <v>CINTHIA NORONHA</v>
      </c>
      <c r="G764" t="str">
        <f>"79297933000142"</f>
        <v>79297933000142</v>
      </c>
      <c r="H764" t="str">
        <f>""</f>
        <v/>
      </c>
      <c r="I764" t="str">
        <f t="shared" si="362"/>
        <v>CONTA OPTICA</v>
      </c>
      <c r="J764" t="str">
        <f>"JOALHERIA E OTICA BRASIL LTDA ME"</f>
        <v>JOALHERIA E OTICA BRASIL LTDA ME</v>
      </c>
      <c r="K764" t="str">
        <f>"JOALHERIA E OTICA BRASIL LTDA ME (224)"</f>
        <v>JOALHERIA E OTICA BRASIL LTDA ME (224)</v>
      </c>
      <c r="L764" t="str">
        <f>""</f>
        <v/>
      </c>
      <c r="M764" t="str">
        <f>""</f>
        <v/>
      </c>
      <c r="N764" t="str">
        <f>""</f>
        <v/>
      </c>
      <c r="O764" t="str">
        <f>""</f>
        <v/>
      </c>
      <c r="P764" t="str">
        <f>"RUA NATALINOTEIXEIRA DA ROSA"</f>
        <v>RUA NATALINOTEIXEIRA DA ROSA</v>
      </c>
      <c r="Q764" t="str">
        <f>"155"</f>
        <v>155</v>
      </c>
      <c r="R764" t="str">
        <f>""</f>
        <v/>
      </c>
      <c r="S764" t="str">
        <f>"1270"</f>
        <v>1270</v>
      </c>
      <c r="T764" t="str">
        <f>"88965000"</f>
        <v>88965000</v>
      </c>
      <c r="U764" t="str">
        <f>"NAO INFORMADO"</f>
        <v>NAO INFORMADO</v>
      </c>
      <c r="V764" t="str">
        <f>"SANTA ROSA DO SUL"</f>
        <v>SANTA ROSA DO SUL</v>
      </c>
      <c r="W764" t="str">
        <f t="shared" si="381"/>
        <v>SC</v>
      </c>
      <c r="X764" t="str">
        <f t="shared" si="383"/>
        <v>48</v>
      </c>
      <c r="Y764" t="str">
        <f>"35341125"</f>
        <v>35341125</v>
      </c>
      <c r="Z764" t="str">
        <f>""</f>
        <v/>
      </c>
      <c r="AA764" t="str">
        <f>""</f>
        <v/>
      </c>
      <c r="AB764" t="str">
        <f>""</f>
        <v/>
      </c>
      <c r="AC764" t="str">
        <f>""</f>
        <v/>
      </c>
      <c r="AD764" t="str">
        <f>""</f>
        <v/>
      </c>
      <c r="AE764" t="str">
        <f>""</f>
        <v/>
      </c>
      <c r="AF764" t="str">
        <f>""</f>
        <v/>
      </c>
      <c r="AG764" t="str">
        <f>""</f>
        <v/>
      </c>
      <c r="AH764" t="str">
        <f>""</f>
        <v/>
      </c>
      <c r="AI764" t="str">
        <f>""</f>
        <v/>
      </c>
      <c r="AJ764" t="str">
        <f t="shared" si="389"/>
        <v>0</v>
      </c>
      <c r="AK764" t="str">
        <f t="shared" si="389"/>
        <v>0</v>
      </c>
      <c r="AL764" t="str">
        <f t="shared" si="389"/>
        <v>0</v>
      </c>
      <c r="AM764" t="str">
        <f>""</f>
        <v/>
      </c>
      <c r="AN764" t="str">
        <f>""</f>
        <v/>
      </c>
      <c r="AO764" t="str">
        <f>""</f>
        <v/>
      </c>
      <c r="AP764" t="str">
        <f>""</f>
        <v/>
      </c>
      <c r="AQ764" t="str">
        <f>""</f>
        <v/>
      </c>
      <c r="AR764" t="str">
        <f>""</f>
        <v/>
      </c>
      <c r="AS764" t="str">
        <f>""</f>
        <v/>
      </c>
      <c r="AT764" t="str">
        <f>""</f>
        <v/>
      </c>
      <c r="AU764" t="str">
        <f>""</f>
        <v/>
      </c>
      <c r="AV764" t="str">
        <f>""</f>
        <v/>
      </c>
      <c r="AW764" t="str">
        <f>""</f>
        <v/>
      </c>
      <c r="AX764" t="str">
        <f>""</f>
        <v/>
      </c>
      <c r="AY764" t="str">
        <f>""</f>
        <v/>
      </c>
      <c r="AZ764" t="str">
        <f>""</f>
        <v/>
      </c>
      <c r="BA764" t="str">
        <f>""</f>
        <v/>
      </c>
      <c r="BB764" t="str">
        <f>""</f>
        <v/>
      </c>
      <c r="BC764" t="str">
        <f>""</f>
        <v/>
      </c>
      <c r="BD764" t="str">
        <f>""</f>
        <v/>
      </c>
      <c r="BE764" t="str">
        <f>""</f>
        <v/>
      </c>
      <c r="BF764" t="str">
        <f t="shared" si="363"/>
        <v>A</v>
      </c>
      <c r="BG764" t="str">
        <f t="shared" si="390"/>
        <v>0,00</v>
      </c>
      <c r="BH764" t="str">
        <f t="shared" si="388"/>
        <v>0,00</v>
      </c>
      <c r="BI764" t="str">
        <f t="shared" si="378"/>
        <v>EVENTUAL</v>
      </c>
      <c r="BJ764" t="str">
        <f t="shared" si="364"/>
        <v>1</v>
      </c>
      <c r="BK764" t="str">
        <f t="shared" si="365"/>
        <v>Farmacia</v>
      </c>
      <c r="BL764" t="str">
        <f>""</f>
        <v/>
      </c>
      <c r="BM764" t="str">
        <f>"NÃO É VARILUX ESPECIALISTA"</f>
        <v>NÃO É VARILUX ESPECIALISTA</v>
      </c>
      <c r="BN764" t="str">
        <f t="shared" si="391"/>
        <v>NA</v>
      </c>
      <c r="BO764" t="str">
        <f>"OUTROS"</f>
        <v>OUTROS</v>
      </c>
      <c r="BP764" t="str">
        <f>""</f>
        <v/>
      </c>
      <c r="BQ764" t="str">
        <f>""</f>
        <v/>
      </c>
      <c r="BR764" t="str">
        <f>""</f>
        <v/>
      </c>
      <c r="BS764" t="str">
        <f>""</f>
        <v/>
      </c>
      <c r="BT764" t="str">
        <f>""</f>
        <v/>
      </c>
      <c r="BU764" t="str">
        <f>""</f>
        <v/>
      </c>
      <c r="BV764" t="str">
        <f>"9"</f>
        <v>9</v>
      </c>
      <c r="BW764" t="str">
        <f>"Não visitado"</f>
        <v>Não visitado</v>
      </c>
    </row>
    <row r="765" spans="1:75" x14ac:dyDescent="0.35">
      <c r="A765">
        <v>144371</v>
      </c>
      <c r="B765" t="str">
        <f t="shared" si="360"/>
        <v>A</v>
      </c>
      <c r="C765" t="str">
        <f t="shared" si="361"/>
        <v>80</v>
      </c>
      <c r="D765" t="str">
        <f t="shared" si="384"/>
        <v>11121002</v>
      </c>
      <c r="E765" t="str">
        <f t="shared" si="385"/>
        <v>121002</v>
      </c>
      <c r="F765" t="str">
        <f t="shared" si="386"/>
        <v>CINTHIA NORONHA</v>
      </c>
      <c r="G765" t="str">
        <f>"79530747000101"</f>
        <v>79530747000101</v>
      </c>
      <c r="H765" t="str">
        <f>""</f>
        <v/>
      </c>
      <c r="I765" t="str">
        <f t="shared" si="362"/>
        <v>CONTA OPTICA</v>
      </c>
      <c r="J765" t="str">
        <f>"JOALHERIA E OTICA EDUARDO LTDA"</f>
        <v>JOALHERIA E OTICA EDUARDO LTDA</v>
      </c>
      <c r="K765" t="str">
        <f>"JOALHERIA E OTICA EDUARDO (154)"</f>
        <v>JOALHERIA E OTICA EDUARDO (154)</v>
      </c>
      <c r="L765" t="str">
        <f>""</f>
        <v/>
      </c>
      <c r="M765" t="str">
        <f>""</f>
        <v/>
      </c>
      <c r="N765" t="str">
        <f>"oticaeduardo@hotmail.com"</f>
        <v>oticaeduardo@hotmail.com</v>
      </c>
      <c r="O765" t="str">
        <f>""</f>
        <v/>
      </c>
      <c r="P765" t="str">
        <f>"RUA NEREU RAMOS"</f>
        <v>RUA NEREU RAMOS</v>
      </c>
      <c r="Q765" t="str">
        <f>"154"</f>
        <v>154</v>
      </c>
      <c r="R765" t="str">
        <f>""</f>
        <v/>
      </c>
      <c r="S765" t="str">
        <f>"1268"</f>
        <v>1268</v>
      </c>
      <c r="T765" t="str">
        <f>"88780000"</f>
        <v>88780000</v>
      </c>
      <c r="U765" t="str">
        <f t="shared" ref="U765:U771" si="392">"CENTRO"</f>
        <v>CENTRO</v>
      </c>
      <c r="V765" t="str">
        <f>"IMBITUBA"</f>
        <v>IMBITUBA</v>
      </c>
      <c r="W765" t="str">
        <f t="shared" si="381"/>
        <v>SC</v>
      </c>
      <c r="X765" t="str">
        <f t="shared" si="383"/>
        <v>48</v>
      </c>
      <c r="Y765" t="str">
        <f>"32550580"</f>
        <v>32550580</v>
      </c>
      <c r="Z765" t="str">
        <f>""</f>
        <v/>
      </c>
      <c r="AA765" t="str">
        <f>""</f>
        <v/>
      </c>
      <c r="AB765" t="str">
        <f>""</f>
        <v/>
      </c>
      <c r="AC765" t="str">
        <f>""</f>
        <v/>
      </c>
      <c r="AD765" t="str">
        <f>""</f>
        <v/>
      </c>
      <c r="AE765" t="str">
        <f>""</f>
        <v/>
      </c>
      <c r="AF765" t="str">
        <f>""</f>
        <v/>
      </c>
      <c r="AG765" t="str">
        <f>""</f>
        <v/>
      </c>
      <c r="AH765" t="str">
        <f>""</f>
        <v/>
      </c>
      <c r="AI765" t="str">
        <f>""</f>
        <v/>
      </c>
      <c r="AJ765" t="str">
        <f t="shared" si="389"/>
        <v>0</v>
      </c>
      <c r="AK765" t="str">
        <f t="shared" si="389"/>
        <v>0</v>
      </c>
      <c r="AL765" t="str">
        <f t="shared" si="389"/>
        <v>0</v>
      </c>
      <c r="AM765" t="str">
        <f>""</f>
        <v/>
      </c>
      <c r="AN765" t="str">
        <f>""</f>
        <v/>
      </c>
      <c r="AO765" t="str">
        <f>""</f>
        <v/>
      </c>
      <c r="AP765" t="str">
        <f>""</f>
        <v/>
      </c>
      <c r="AQ765" t="str">
        <f>""</f>
        <v/>
      </c>
      <c r="AR765" t="str">
        <f>""</f>
        <v/>
      </c>
      <c r="AS765" t="str">
        <f>""</f>
        <v/>
      </c>
      <c r="AT765" t="str">
        <f>""</f>
        <v/>
      </c>
      <c r="AU765" t="str">
        <f>""</f>
        <v/>
      </c>
      <c r="AV765" t="str">
        <f>""</f>
        <v/>
      </c>
      <c r="AW765" t="str">
        <f>""</f>
        <v/>
      </c>
      <c r="AX765" t="str">
        <f>""</f>
        <v/>
      </c>
      <c r="AY765" t="str">
        <f>""</f>
        <v/>
      </c>
      <c r="AZ765" t="str">
        <f>""</f>
        <v/>
      </c>
      <c r="BA765" t="str">
        <f>""</f>
        <v/>
      </c>
      <c r="BB765" t="str">
        <f>""</f>
        <v/>
      </c>
      <c r="BC765" t="str">
        <f>""</f>
        <v/>
      </c>
      <c r="BD765" t="str">
        <f>""</f>
        <v/>
      </c>
      <c r="BE765" t="str">
        <f>""</f>
        <v/>
      </c>
      <c r="BF765" t="str">
        <f t="shared" si="363"/>
        <v>A</v>
      </c>
      <c r="BG765" t="str">
        <f t="shared" si="390"/>
        <v>0,00</v>
      </c>
      <c r="BH765" t="str">
        <f t="shared" si="388"/>
        <v>0,00</v>
      </c>
      <c r="BI765" t="str">
        <f t="shared" si="378"/>
        <v>EVENTUAL</v>
      </c>
      <c r="BJ765" t="str">
        <f t="shared" si="364"/>
        <v>1</v>
      </c>
      <c r="BK765" t="str">
        <f t="shared" si="365"/>
        <v>Farmacia</v>
      </c>
      <c r="BL765" t="str">
        <f>""</f>
        <v/>
      </c>
      <c r="BM765" t="str">
        <f>"VARILUX ESPECIALISTA PLATINE"</f>
        <v>VARILUX ESPECIALISTA PLATINE</v>
      </c>
      <c r="BN765" t="str">
        <f t="shared" si="391"/>
        <v>NA</v>
      </c>
      <c r="BO765" t="str">
        <f>"FOCO VARILUX DIGITAL"</f>
        <v>FOCO VARILUX DIGITAL</v>
      </c>
      <c r="BP765" t="str">
        <f>""</f>
        <v/>
      </c>
      <c r="BQ765" t="str">
        <f>""</f>
        <v/>
      </c>
      <c r="BR765" t="str">
        <f>""</f>
        <v/>
      </c>
      <c r="BS765" t="str">
        <f>""</f>
        <v/>
      </c>
      <c r="BT765" t="str">
        <f>""</f>
        <v/>
      </c>
      <c r="BU765" t="str">
        <f>""</f>
        <v/>
      </c>
      <c r="BV765" t="str">
        <f>"1"</f>
        <v>1</v>
      </c>
      <c r="BW765" t="str">
        <f>"3"</f>
        <v>3</v>
      </c>
    </row>
    <row r="766" spans="1:75" x14ac:dyDescent="0.35">
      <c r="A766">
        <v>156969</v>
      </c>
      <c r="B766" t="str">
        <f t="shared" si="360"/>
        <v>A</v>
      </c>
      <c r="C766" t="str">
        <f t="shared" si="361"/>
        <v>80</v>
      </c>
      <c r="D766" t="str">
        <f t="shared" si="384"/>
        <v>11121002</v>
      </c>
      <c r="E766" t="str">
        <f t="shared" si="385"/>
        <v>121002</v>
      </c>
      <c r="F766" t="str">
        <f t="shared" si="386"/>
        <v>CINTHIA NORONHA</v>
      </c>
      <c r="G766" t="str">
        <f>"79530747000373"</f>
        <v>79530747000373</v>
      </c>
      <c r="H766" t="str">
        <f>"0"</f>
        <v>0</v>
      </c>
      <c r="I766" t="str">
        <f t="shared" si="362"/>
        <v>CONTA OPTICA</v>
      </c>
      <c r="J766" t="str">
        <f>"JOALHERIA E OTICA EDUARDO LTDA"</f>
        <v>JOALHERIA E OTICA EDUARDO LTDA</v>
      </c>
      <c r="K766" t="str">
        <f>"JOALHERIA E OTICA EDUARDO FELIPE SCHIMITD (155)"</f>
        <v>JOALHERIA E OTICA EDUARDO FELIPE SCHIMITD (155)</v>
      </c>
      <c r="L766" t="str">
        <f>""</f>
        <v/>
      </c>
      <c r="M766" t="str">
        <f>""</f>
        <v/>
      </c>
      <c r="N766" t="str">
        <f>"JOALHERIAEOTICAEDUARDO@HOTMAIL.COM"</f>
        <v>JOALHERIAEOTICAEDUARDO@HOTMAIL.COM</v>
      </c>
      <c r="O766" t="str">
        <f>""</f>
        <v/>
      </c>
      <c r="P766" t="str">
        <f>"RUA FELIPE SCHMIDT"</f>
        <v>RUA FELIPE SCHMIDT</v>
      </c>
      <c r="Q766" t="str">
        <f>"190"</f>
        <v>190</v>
      </c>
      <c r="R766" t="str">
        <f>""</f>
        <v/>
      </c>
      <c r="S766" t="str">
        <f>"1254"</f>
        <v>1254</v>
      </c>
      <c r="T766" t="str">
        <f>"88010000"</f>
        <v>88010000</v>
      </c>
      <c r="U766" t="str">
        <f t="shared" si="392"/>
        <v>CENTRO</v>
      </c>
      <c r="V766" t="str">
        <f>"FLORIANOPOLIS"</f>
        <v>FLORIANOPOLIS</v>
      </c>
      <c r="W766" t="str">
        <f t="shared" si="381"/>
        <v>SC</v>
      </c>
      <c r="X766" t="str">
        <f t="shared" si="383"/>
        <v>48</v>
      </c>
      <c r="Y766" t="str">
        <f>"30283086"</f>
        <v>30283086</v>
      </c>
      <c r="Z766" t="str">
        <f>""</f>
        <v/>
      </c>
      <c r="AA766" t="str">
        <f>""</f>
        <v/>
      </c>
      <c r="AB766" t="str">
        <f>""</f>
        <v/>
      </c>
      <c r="AC766" t="str">
        <f>""</f>
        <v/>
      </c>
      <c r="AD766" t="str">
        <f>""</f>
        <v/>
      </c>
      <c r="AE766" t="str">
        <f>""</f>
        <v/>
      </c>
      <c r="AF766" t="str">
        <f>""</f>
        <v/>
      </c>
      <c r="AG766" t="str">
        <f>""</f>
        <v/>
      </c>
      <c r="AH766" t="str">
        <f>""</f>
        <v/>
      </c>
      <c r="AI766" t="str">
        <f>""</f>
        <v/>
      </c>
      <c r="AJ766" t="str">
        <f>""</f>
        <v/>
      </c>
      <c r="AK766" t="str">
        <f>""</f>
        <v/>
      </c>
      <c r="AL766" t="str">
        <f>""</f>
        <v/>
      </c>
      <c r="AM766" t="str">
        <f>""</f>
        <v/>
      </c>
      <c r="AN766" t="str">
        <f>""</f>
        <v/>
      </c>
      <c r="AO766" t="str">
        <f>""</f>
        <v/>
      </c>
      <c r="AP766" t="str">
        <f>""</f>
        <v/>
      </c>
      <c r="AQ766" t="str">
        <f>""</f>
        <v/>
      </c>
      <c r="AR766" t="str">
        <f>""</f>
        <v/>
      </c>
      <c r="AS766" t="str">
        <f>""</f>
        <v/>
      </c>
      <c r="AT766" t="str">
        <f>""</f>
        <v/>
      </c>
      <c r="AU766" t="str">
        <f>""</f>
        <v/>
      </c>
      <c r="AV766" t="str">
        <f>""</f>
        <v/>
      </c>
      <c r="AW766" t="str">
        <f>""</f>
        <v/>
      </c>
      <c r="AX766" t="str">
        <f>""</f>
        <v/>
      </c>
      <c r="AY766" t="str">
        <f>""</f>
        <v/>
      </c>
      <c r="AZ766" t="str">
        <f>""</f>
        <v/>
      </c>
      <c r="BA766" t="str">
        <f>""</f>
        <v/>
      </c>
      <c r="BB766" t="str">
        <f>"06/07/2023 12:07:48"</f>
        <v>06/07/2023 12:07:48</v>
      </c>
      <c r="BC766" t="str">
        <f>""</f>
        <v/>
      </c>
      <c r="BD766" t="str">
        <f>""</f>
        <v/>
      </c>
      <c r="BE766" t="str">
        <f>""</f>
        <v/>
      </c>
      <c r="BF766" t="str">
        <f t="shared" si="363"/>
        <v>A</v>
      </c>
      <c r="BG766" t="str">
        <f>""</f>
        <v/>
      </c>
      <c r="BH766" t="str">
        <f>""</f>
        <v/>
      </c>
      <c r="BI766" t="str">
        <f t="shared" si="378"/>
        <v>EVENTUAL</v>
      </c>
      <c r="BJ766" t="str">
        <f t="shared" si="364"/>
        <v>1</v>
      </c>
      <c r="BK766" t="str">
        <f t="shared" si="365"/>
        <v>Farmacia</v>
      </c>
      <c r="BL766" t="str">
        <f>""</f>
        <v/>
      </c>
      <c r="BM766" t="str">
        <f>""</f>
        <v/>
      </c>
      <c r="BN766" t="str">
        <f>""</f>
        <v/>
      </c>
      <c r="BO766" t="str">
        <f>""</f>
        <v/>
      </c>
      <c r="BP766" t="str">
        <f>""</f>
        <v/>
      </c>
      <c r="BQ766" t="str">
        <f>""</f>
        <v/>
      </c>
      <c r="BR766" t="str">
        <f>"06/07/2023"</f>
        <v>06/07/2023</v>
      </c>
      <c r="BS766" t="str">
        <f>""</f>
        <v/>
      </c>
      <c r="BT766" t="str">
        <f>""</f>
        <v/>
      </c>
      <c r="BU766" t="str">
        <f>""</f>
        <v/>
      </c>
      <c r="BV766" t="str">
        <f>""</f>
        <v/>
      </c>
      <c r="BW766" t="str">
        <f>"Não visitado"</f>
        <v>Não visitado</v>
      </c>
    </row>
    <row r="767" spans="1:75" x14ac:dyDescent="0.35">
      <c r="A767">
        <v>157629</v>
      </c>
      <c r="B767" t="str">
        <f t="shared" si="360"/>
        <v>A</v>
      </c>
      <c r="C767" t="str">
        <f t="shared" si="361"/>
        <v>80</v>
      </c>
      <c r="D767" t="str">
        <f t="shared" si="384"/>
        <v>11121002</v>
      </c>
      <c r="E767" t="str">
        <f t="shared" si="385"/>
        <v>121002</v>
      </c>
      <c r="F767" t="str">
        <f t="shared" si="386"/>
        <v>CINTHIA NORONHA</v>
      </c>
      <c r="G767" t="str">
        <f>"08106357000160"</f>
        <v>08106357000160</v>
      </c>
      <c r="H767" t="str">
        <f>"0"</f>
        <v>0</v>
      </c>
      <c r="I767" t="str">
        <f t="shared" si="362"/>
        <v>CONTA OPTICA</v>
      </c>
      <c r="J767" t="str">
        <f>"JOALHERIA E OTICA LENZI LTDA"</f>
        <v>JOALHERIA E OTICA LENZI LTDA</v>
      </c>
      <c r="K767" t="str">
        <f>"JOALHERIA E OTICA LENZI LTDA (924)"</f>
        <v>JOALHERIA E OTICA LENZI LTDA (924)</v>
      </c>
      <c r="L767" t="str">
        <f>""</f>
        <v/>
      </c>
      <c r="M767" t="str">
        <f>""</f>
        <v/>
      </c>
      <c r="N767" t="str">
        <f>""</f>
        <v/>
      </c>
      <c r="O767" t="str">
        <f>""</f>
        <v/>
      </c>
      <c r="P767" t="str">
        <f>"TULIO FIUZA DE CARVALHO"</f>
        <v>TULIO FIUZA DE CARVALHO</v>
      </c>
      <c r="Q767" t="str">
        <f>"28"</f>
        <v>28</v>
      </c>
      <c r="R767" t="str">
        <f>""</f>
        <v/>
      </c>
      <c r="S767" t="str">
        <f>"1266"</f>
        <v>1266</v>
      </c>
      <c r="T767" t="str">
        <f>"88501000"</f>
        <v>88501000</v>
      </c>
      <c r="U767" t="str">
        <f t="shared" si="392"/>
        <v>CENTRO</v>
      </c>
      <c r="V767" t="str">
        <f>"LAGES"</f>
        <v>LAGES</v>
      </c>
      <c r="W767" t="str">
        <f t="shared" si="381"/>
        <v>SC</v>
      </c>
      <c r="X767" t="str">
        <f>"49"</f>
        <v>49</v>
      </c>
      <c r="Y767" t="str">
        <f>"32249757"</f>
        <v>32249757</v>
      </c>
      <c r="Z767" t="str">
        <f>""</f>
        <v/>
      </c>
      <c r="AA767" t="str">
        <f>""</f>
        <v/>
      </c>
      <c r="AB767" t="str">
        <f>""</f>
        <v/>
      </c>
      <c r="AC767" t="str">
        <f>""</f>
        <v/>
      </c>
      <c r="AD767" t="str">
        <f>""</f>
        <v/>
      </c>
      <c r="AE767" t="str">
        <f>""</f>
        <v/>
      </c>
      <c r="AF767" t="str">
        <f>""</f>
        <v/>
      </c>
      <c r="AG767" t="str">
        <f>""</f>
        <v/>
      </c>
      <c r="AH767" t="str">
        <f>""</f>
        <v/>
      </c>
      <c r="AI767" t="str">
        <f>""</f>
        <v/>
      </c>
      <c r="AJ767" t="str">
        <f>""</f>
        <v/>
      </c>
      <c r="AK767" t="str">
        <f>""</f>
        <v/>
      </c>
      <c r="AL767" t="str">
        <f>""</f>
        <v/>
      </c>
      <c r="AM767" t="str">
        <f>""</f>
        <v/>
      </c>
      <c r="AN767" t="str">
        <f>""</f>
        <v/>
      </c>
      <c r="AO767" t="str">
        <f>""</f>
        <v/>
      </c>
      <c r="AP767" t="str">
        <f>""</f>
        <v/>
      </c>
      <c r="AQ767" t="str">
        <f>""</f>
        <v/>
      </c>
      <c r="AR767" t="str">
        <f>""</f>
        <v/>
      </c>
      <c r="AS767" t="str">
        <f>""</f>
        <v/>
      </c>
      <c r="AT767" t="str">
        <f>""</f>
        <v/>
      </c>
      <c r="AU767" t="str">
        <f>""</f>
        <v/>
      </c>
      <c r="AV767" t="str">
        <f>""</f>
        <v/>
      </c>
      <c r="AW767" t="str">
        <f>""</f>
        <v/>
      </c>
      <c r="AX767" t="str">
        <f>""</f>
        <v/>
      </c>
      <c r="AY767" t="str">
        <f>""</f>
        <v/>
      </c>
      <c r="AZ767" t="str">
        <f>""</f>
        <v/>
      </c>
      <c r="BA767" t="str">
        <f>""</f>
        <v/>
      </c>
      <c r="BB767" t="str">
        <f>"11/07/2023 02:19:56"</f>
        <v>11/07/2023 02:19:56</v>
      </c>
      <c r="BC767" t="str">
        <f>""</f>
        <v/>
      </c>
      <c r="BD767" t="str">
        <f>""</f>
        <v/>
      </c>
      <c r="BE767" t="str">
        <f>""</f>
        <v/>
      </c>
      <c r="BF767" t="str">
        <f t="shared" si="363"/>
        <v>A</v>
      </c>
      <c r="BG767" t="str">
        <f>""</f>
        <v/>
      </c>
      <c r="BH767" t="str">
        <f>""</f>
        <v/>
      </c>
      <c r="BI767" t="str">
        <f t="shared" si="378"/>
        <v>EVENTUAL</v>
      </c>
      <c r="BJ767" t="str">
        <f t="shared" si="364"/>
        <v>1</v>
      </c>
      <c r="BK767" t="str">
        <f t="shared" si="365"/>
        <v>Farmacia</v>
      </c>
      <c r="BL767" t="str">
        <f>""</f>
        <v/>
      </c>
      <c r="BM767" t="str">
        <f>""</f>
        <v/>
      </c>
      <c r="BN767" t="str">
        <f>""</f>
        <v/>
      </c>
      <c r="BO767" t="str">
        <f>""</f>
        <v/>
      </c>
      <c r="BP767" t="str">
        <f>""</f>
        <v/>
      </c>
      <c r="BQ767" t="str">
        <f>""</f>
        <v/>
      </c>
      <c r="BR767" t="str">
        <f>"11/07/2023"</f>
        <v>11/07/2023</v>
      </c>
      <c r="BS767" t="str">
        <f>""</f>
        <v/>
      </c>
      <c r="BT767" t="str">
        <f>""</f>
        <v/>
      </c>
      <c r="BU767" t="str">
        <f>""</f>
        <v/>
      </c>
      <c r="BV767" t="str">
        <f>""</f>
        <v/>
      </c>
      <c r="BW767" t="str">
        <f>"Não visitado"</f>
        <v>Não visitado</v>
      </c>
    </row>
    <row r="768" spans="1:75" x14ac:dyDescent="0.35">
      <c r="A768">
        <v>144245</v>
      </c>
      <c r="B768" t="str">
        <f t="shared" si="360"/>
        <v>A</v>
      </c>
      <c r="C768" t="str">
        <f t="shared" si="361"/>
        <v>80</v>
      </c>
      <c r="D768" t="str">
        <f t="shared" si="384"/>
        <v>11121002</v>
      </c>
      <c r="E768" t="str">
        <f t="shared" si="385"/>
        <v>121002</v>
      </c>
      <c r="F768" t="str">
        <f t="shared" si="386"/>
        <v>CINTHIA NORONHA</v>
      </c>
      <c r="G768" t="str">
        <f>"09275804000330"</f>
        <v>09275804000330</v>
      </c>
      <c r="H768" t="str">
        <f>"0"</f>
        <v>0</v>
      </c>
      <c r="I768" t="str">
        <f t="shared" si="362"/>
        <v>CONTA OPTICA</v>
      </c>
      <c r="J768" t="str">
        <f>"JOALHERIA E OTICA PELEGRINI EIRELI"</f>
        <v>JOALHERIA E OTICA PELEGRINI EIRELI</v>
      </c>
      <c r="K768" t="str">
        <f>"JOALHERIA E OTICA EDUARDO (4429)"</f>
        <v>JOALHERIA E OTICA EDUARDO (4429)</v>
      </c>
      <c r="L768" t="str">
        <f>""</f>
        <v/>
      </c>
      <c r="M768" t="str">
        <f>""</f>
        <v/>
      </c>
      <c r="N768" t="str">
        <f>"joalheriaeoticaeduardo@hotmail.com"</f>
        <v>joalheriaeoticaeduardo@hotmail.com</v>
      </c>
      <c r="O768" t="str">
        <f>""</f>
        <v/>
      </c>
      <c r="P768" t="str">
        <f>"RUA PREFEITO OSMAR CUNHA"</f>
        <v>RUA PREFEITO OSMAR CUNHA</v>
      </c>
      <c r="Q768" t="str">
        <f>"183"</f>
        <v>183</v>
      </c>
      <c r="R768" t="str">
        <f>"LOJA 31 BLOCO B"</f>
        <v>LOJA 31 BLOCO B</v>
      </c>
      <c r="S768" t="str">
        <f>"1255"</f>
        <v>1255</v>
      </c>
      <c r="T768" t="str">
        <f>"88015100"</f>
        <v>88015100</v>
      </c>
      <c r="U768" t="str">
        <f t="shared" si="392"/>
        <v>CENTRO</v>
      </c>
      <c r="V768" t="str">
        <f>"FLORIANÓPOLIS"</f>
        <v>FLORIANÓPOLIS</v>
      </c>
      <c r="W768" t="str">
        <f t="shared" si="381"/>
        <v>SC</v>
      </c>
      <c r="X768" t="str">
        <f t="shared" ref="X768:X773" si="393">"48"</f>
        <v>48</v>
      </c>
      <c r="Y768" t="str">
        <f>"30283086"</f>
        <v>30283086</v>
      </c>
      <c r="Z768" t="str">
        <f>""</f>
        <v/>
      </c>
      <c r="AA768" t="str">
        <f>""</f>
        <v/>
      </c>
      <c r="AB768" t="str">
        <f>""</f>
        <v/>
      </c>
      <c r="AC768" t="str">
        <f>""</f>
        <v/>
      </c>
      <c r="AD768" t="str">
        <f>""</f>
        <v/>
      </c>
      <c r="AE768" t="str">
        <f>""</f>
        <v/>
      </c>
      <c r="AF768" t="str">
        <f>""</f>
        <v/>
      </c>
      <c r="AG768" t="str">
        <f>""</f>
        <v/>
      </c>
      <c r="AH768" t="str">
        <f>""</f>
        <v/>
      </c>
      <c r="AI768" t="str">
        <f>""</f>
        <v/>
      </c>
      <c r="AJ768" t="str">
        <f>"0"</f>
        <v>0</v>
      </c>
      <c r="AK768" t="str">
        <f>"0"</f>
        <v>0</v>
      </c>
      <c r="AL768" t="str">
        <f>"0"</f>
        <v>0</v>
      </c>
      <c r="AM768" t="str">
        <f>""</f>
        <v/>
      </c>
      <c r="AN768" t="str">
        <f>""</f>
        <v/>
      </c>
      <c r="AO768" t="str">
        <f>""</f>
        <v/>
      </c>
      <c r="AP768" t="str">
        <f>""</f>
        <v/>
      </c>
      <c r="AQ768" t="str">
        <f>""</f>
        <v/>
      </c>
      <c r="AR768" t="str">
        <f>""</f>
        <v/>
      </c>
      <c r="AS768" t="str">
        <f>""</f>
        <v/>
      </c>
      <c r="AT768" t="str">
        <f>""</f>
        <v/>
      </c>
      <c r="AU768" t="str">
        <f>""</f>
        <v/>
      </c>
      <c r="AV768" t="str">
        <f>""</f>
        <v/>
      </c>
      <c r="AW768" t="str">
        <f>""</f>
        <v/>
      </c>
      <c r="AX768" t="str">
        <f>""</f>
        <v/>
      </c>
      <c r="AY768" t="str">
        <f>""</f>
        <v/>
      </c>
      <c r="AZ768" t="str">
        <f>""</f>
        <v/>
      </c>
      <c r="BA768" t="str">
        <f>""</f>
        <v/>
      </c>
      <c r="BB768" t="str">
        <f>"13/12/2021 15:10:29"</f>
        <v>13/12/2021 15:10:29</v>
      </c>
      <c r="BC768" t="str">
        <f>""</f>
        <v/>
      </c>
      <c r="BD768" t="str">
        <f>""</f>
        <v/>
      </c>
      <c r="BE768" t="str">
        <f>""</f>
        <v/>
      </c>
      <c r="BF768" t="str">
        <f t="shared" si="363"/>
        <v>A</v>
      </c>
      <c r="BG768" t="str">
        <f>"0,00"</f>
        <v>0,00</v>
      </c>
      <c r="BH768" t="str">
        <f>"0,00"</f>
        <v>0,00</v>
      </c>
      <c r="BI768" t="str">
        <f t="shared" si="378"/>
        <v>EVENTUAL</v>
      </c>
      <c r="BJ768" t="str">
        <f t="shared" si="364"/>
        <v>1</v>
      </c>
      <c r="BK768" t="str">
        <f t="shared" si="365"/>
        <v>Farmacia</v>
      </c>
      <c r="BL768" t="str">
        <f>""</f>
        <v/>
      </c>
      <c r="BM768" t="str">
        <f>"NÃO É VARILUX ESPECIALISTA"</f>
        <v>NÃO É VARILUX ESPECIALISTA</v>
      </c>
      <c r="BN768" t="str">
        <f>"EL360"</f>
        <v>EL360</v>
      </c>
      <c r="BO768" t="str">
        <f>"OUTROS"</f>
        <v>OUTROS</v>
      </c>
      <c r="BP768" t="str">
        <f>""</f>
        <v/>
      </c>
      <c r="BQ768" t="str">
        <f>""</f>
        <v/>
      </c>
      <c r="BR768" t="str">
        <f>"13/12/2021"</f>
        <v>13/12/2021</v>
      </c>
      <c r="BS768" t="str">
        <f>""</f>
        <v/>
      </c>
      <c r="BT768" t="str">
        <f>""</f>
        <v/>
      </c>
      <c r="BU768" t="str">
        <f>""</f>
        <v/>
      </c>
      <c r="BV768" t="str">
        <f>""</f>
        <v/>
      </c>
      <c r="BW768" t="str">
        <f>"Não visitado"</f>
        <v>Não visitado</v>
      </c>
    </row>
    <row r="769" spans="1:75" x14ac:dyDescent="0.35">
      <c r="A769">
        <v>157595</v>
      </c>
      <c r="B769" t="str">
        <f t="shared" si="360"/>
        <v>A</v>
      </c>
      <c r="C769" t="str">
        <f t="shared" si="361"/>
        <v>80</v>
      </c>
      <c r="D769" t="str">
        <f t="shared" si="384"/>
        <v>11121002</v>
      </c>
      <c r="E769" t="str">
        <f t="shared" si="385"/>
        <v>121002</v>
      </c>
      <c r="F769" t="str">
        <f t="shared" si="386"/>
        <v>CINTHIA NORONHA</v>
      </c>
      <c r="G769" t="str">
        <f>"09275804000178"</f>
        <v>09275804000178</v>
      </c>
      <c r="H769" t="str">
        <f>"0"</f>
        <v>0</v>
      </c>
      <c r="I769" t="str">
        <f t="shared" si="362"/>
        <v>CONTA OPTICA</v>
      </c>
      <c r="J769" t="str">
        <f>"JOALHERIA E OTICA PELEGRINI LTDA ME"</f>
        <v>JOALHERIA E OTICA PELEGRINI LTDA ME</v>
      </c>
      <c r="K769" t="str">
        <f>"JOALHERIA E OTICA EDUARDO (1408)"</f>
        <v>JOALHERIA E OTICA EDUARDO (1408)</v>
      </c>
      <c r="L769" t="str">
        <f>""</f>
        <v/>
      </c>
      <c r="M769" t="str">
        <f>""</f>
        <v/>
      </c>
      <c r="N769" t="str">
        <f>"joalheriaeoticaeduardo@hotmail.com"</f>
        <v>joalheriaeoticaeduardo@hotmail.com</v>
      </c>
      <c r="O769" t="str">
        <f>""</f>
        <v/>
      </c>
      <c r="P769" t="str">
        <f>"RUA DEODORO"</f>
        <v>RUA DEODORO</v>
      </c>
      <c r="Q769" t="str">
        <f>"221"</f>
        <v>221</v>
      </c>
      <c r="R769" t="str">
        <f>""</f>
        <v/>
      </c>
      <c r="S769" t="str">
        <f>"1254"</f>
        <v>1254</v>
      </c>
      <c r="T769" t="str">
        <f>"88010020"</f>
        <v>88010020</v>
      </c>
      <c r="U769" t="str">
        <f t="shared" si="392"/>
        <v>CENTRO</v>
      </c>
      <c r="V769" t="str">
        <f>"FLORIANOPOLIS"</f>
        <v>FLORIANOPOLIS</v>
      </c>
      <c r="W769" t="str">
        <f t="shared" si="381"/>
        <v>SC</v>
      </c>
      <c r="X769" t="str">
        <f t="shared" si="393"/>
        <v>48</v>
      </c>
      <c r="Y769" t="str">
        <f>"30283086"</f>
        <v>30283086</v>
      </c>
      <c r="Z769" t="str">
        <f>""</f>
        <v/>
      </c>
      <c r="AA769" t="str">
        <f>""</f>
        <v/>
      </c>
      <c r="AB769" t="str">
        <f>""</f>
        <v/>
      </c>
      <c r="AC769" t="str">
        <f>""</f>
        <v/>
      </c>
      <c r="AD769" t="str">
        <f>""</f>
        <v/>
      </c>
      <c r="AE769" t="str">
        <f>""</f>
        <v/>
      </c>
      <c r="AF769" t="str">
        <f>""</f>
        <v/>
      </c>
      <c r="AG769" t="str">
        <f>""</f>
        <v/>
      </c>
      <c r="AH769" t="str">
        <f>""</f>
        <v/>
      </c>
      <c r="AI769" t="str">
        <f>""</f>
        <v/>
      </c>
      <c r="AJ769" t="str">
        <f>""</f>
        <v/>
      </c>
      <c r="AK769" t="str">
        <f>""</f>
        <v/>
      </c>
      <c r="AL769" t="str">
        <f>""</f>
        <v/>
      </c>
      <c r="AM769" t="str">
        <f>""</f>
        <v/>
      </c>
      <c r="AN769" t="str">
        <f>""</f>
        <v/>
      </c>
      <c r="AO769" t="str">
        <f>""</f>
        <v/>
      </c>
      <c r="AP769" t="str">
        <f>""</f>
        <v/>
      </c>
      <c r="AQ769" t="str">
        <f>""</f>
        <v/>
      </c>
      <c r="AR769" t="str">
        <f>""</f>
        <v/>
      </c>
      <c r="AS769" t="str">
        <f>""</f>
        <v/>
      </c>
      <c r="AT769" t="str">
        <f>""</f>
        <v/>
      </c>
      <c r="AU769" t="str">
        <f>""</f>
        <v/>
      </c>
      <c r="AV769" t="str">
        <f>""</f>
        <v/>
      </c>
      <c r="AW769" t="str">
        <f>""</f>
        <v/>
      </c>
      <c r="AX769" t="str">
        <f>""</f>
        <v/>
      </c>
      <c r="AY769" t="str">
        <f>""</f>
        <v/>
      </c>
      <c r="AZ769" t="str">
        <f>""</f>
        <v/>
      </c>
      <c r="BA769" t="str">
        <f>""</f>
        <v/>
      </c>
      <c r="BB769" t="str">
        <f>"11/07/2023 02:19:56"</f>
        <v>11/07/2023 02:19:56</v>
      </c>
      <c r="BC769" t="str">
        <f>""</f>
        <v/>
      </c>
      <c r="BD769" t="str">
        <f>""</f>
        <v/>
      </c>
      <c r="BE769" t="str">
        <f>""</f>
        <v/>
      </c>
      <c r="BF769" t="str">
        <f t="shared" si="363"/>
        <v>A</v>
      </c>
      <c r="BG769" t="str">
        <f>""</f>
        <v/>
      </c>
      <c r="BH769" t="str">
        <f>""</f>
        <v/>
      </c>
      <c r="BI769" t="str">
        <f t="shared" si="378"/>
        <v>EVENTUAL</v>
      </c>
      <c r="BJ769" t="str">
        <f t="shared" si="364"/>
        <v>1</v>
      </c>
      <c r="BK769" t="str">
        <f t="shared" si="365"/>
        <v>Farmacia</v>
      </c>
      <c r="BL769" t="str">
        <f>""</f>
        <v/>
      </c>
      <c r="BM769" t="str">
        <f>""</f>
        <v/>
      </c>
      <c r="BN769" t="str">
        <f>""</f>
        <v/>
      </c>
      <c r="BO769" t="str">
        <f>""</f>
        <v/>
      </c>
      <c r="BP769" t="str">
        <f>""</f>
        <v/>
      </c>
      <c r="BQ769" t="str">
        <f>""</f>
        <v/>
      </c>
      <c r="BR769" t="str">
        <f>"11/07/2023"</f>
        <v>11/07/2023</v>
      </c>
      <c r="BS769" t="str">
        <f>""</f>
        <v/>
      </c>
      <c r="BT769" t="str">
        <f>""</f>
        <v/>
      </c>
      <c r="BU769" t="str">
        <f>""</f>
        <v/>
      </c>
      <c r="BV769" t="str">
        <f>""</f>
        <v/>
      </c>
      <c r="BW769" t="str">
        <f>"Não visitado"</f>
        <v>Não visitado</v>
      </c>
    </row>
    <row r="770" spans="1:75" x14ac:dyDescent="0.35">
      <c r="A770">
        <v>157596</v>
      </c>
      <c r="B770" t="str">
        <f t="shared" ref="B770:B833" si="394">"A"</f>
        <v>A</v>
      </c>
      <c r="C770" t="str">
        <f t="shared" ref="C770:C833" si="395">"80"</f>
        <v>80</v>
      </c>
      <c r="D770" t="str">
        <f t="shared" si="384"/>
        <v>11121002</v>
      </c>
      <c r="E770" t="str">
        <f t="shared" si="385"/>
        <v>121002</v>
      </c>
      <c r="F770" t="str">
        <f t="shared" si="386"/>
        <v>CINTHIA NORONHA</v>
      </c>
      <c r="G770" t="str">
        <f>"09275804000259"</f>
        <v>09275804000259</v>
      </c>
      <c r="H770" t="str">
        <f>"0"</f>
        <v>0</v>
      </c>
      <c r="I770" t="str">
        <f t="shared" ref="I770:I833" si="396">"CONTA OPTICA"</f>
        <v>CONTA OPTICA</v>
      </c>
      <c r="J770" t="str">
        <f>"JOALHERIA E OTICA PELEGRINI LTDA ME"</f>
        <v>JOALHERIA E OTICA PELEGRINI LTDA ME</v>
      </c>
      <c r="K770" t="str">
        <f>"JOALHERIA E OTICA EDUARDO (1407)"</f>
        <v>JOALHERIA E OTICA EDUARDO (1407)</v>
      </c>
      <c r="L770" t="str">
        <f>""</f>
        <v/>
      </c>
      <c r="M770" t="str">
        <f>""</f>
        <v/>
      </c>
      <c r="N770" t="str">
        <f>"joalheriaeoticaeduardo@hotmail.com"</f>
        <v>joalheriaeoticaeduardo@hotmail.com</v>
      </c>
      <c r="O770" t="str">
        <f>""</f>
        <v/>
      </c>
      <c r="P770" t="str">
        <f>"RUA FELIPE SCHMIDT"</f>
        <v>RUA FELIPE SCHMIDT</v>
      </c>
      <c r="Q770" t="str">
        <f>"190"</f>
        <v>190</v>
      </c>
      <c r="R770" t="str">
        <f>"LOJA 04"</f>
        <v>LOJA 04</v>
      </c>
      <c r="S770" t="str">
        <f>"1254"</f>
        <v>1254</v>
      </c>
      <c r="T770" t="str">
        <f>"88010002"</f>
        <v>88010002</v>
      </c>
      <c r="U770" t="str">
        <f t="shared" si="392"/>
        <v>CENTRO</v>
      </c>
      <c r="V770" t="str">
        <f>"FLORIANOPOLIS"</f>
        <v>FLORIANOPOLIS</v>
      </c>
      <c r="W770" t="str">
        <f t="shared" si="381"/>
        <v>SC</v>
      </c>
      <c r="X770" t="str">
        <f t="shared" si="393"/>
        <v>48</v>
      </c>
      <c r="Y770" t="str">
        <f>"30283088"</f>
        <v>30283088</v>
      </c>
      <c r="Z770" t="str">
        <f>""</f>
        <v/>
      </c>
      <c r="AA770" t="str">
        <f>""</f>
        <v/>
      </c>
      <c r="AB770" t="str">
        <f>""</f>
        <v/>
      </c>
      <c r="AC770" t="str">
        <f>""</f>
        <v/>
      </c>
      <c r="AD770" t="str">
        <f>""</f>
        <v/>
      </c>
      <c r="AE770" t="str">
        <f>""</f>
        <v/>
      </c>
      <c r="AF770" t="str">
        <f>""</f>
        <v/>
      </c>
      <c r="AG770" t="str">
        <f>""</f>
        <v/>
      </c>
      <c r="AH770" t="str">
        <f>""</f>
        <v/>
      </c>
      <c r="AI770" t="str">
        <f>""</f>
        <v/>
      </c>
      <c r="AJ770" t="str">
        <f>""</f>
        <v/>
      </c>
      <c r="AK770" t="str">
        <f>""</f>
        <v/>
      </c>
      <c r="AL770" t="str">
        <f>""</f>
        <v/>
      </c>
      <c r="AM770" t="str">
        <f>""</f>
        <v/>
      </c>
      <c r="AN770" t="str">
        <f>""</f>
        <v/>
      </c>
      <c r="AO770" t="str">
        <f>""</f>
        <v/>
      </c>
      <c r="AP770" t="str">
        <f>""</f>
        <v/>
      </c>
      <c r="AQ770" t="str">
        <f>""</f>
        <v/>
      </c>
      <c r="AR770" t="str">
        <f>""</f>
        <v/>
      </c>
      <c r="AS770" t="str">
        <f>""</f>
        <v/>
      </c>
      <c r="AT770" t="str">
        <f>""</f>
        <v/>
      </c>
      <c r="AU770" t="str">
        <f>""</f>
        <v/>
      </c>
      <c r="AV770" t="str">
        <f>""</f>
        <v/>
      </c>
      <c r="AW770" t="str">
        <f>""</f>
        <v/>
      </c>
      <c r="AX770" t="str">
        <f>""</f>
        <v/>
      </c>
      <c r="AY770" t="str">
        <f>""</f>
        <v/>
      </c>
      <c r="AZ770" t="str">
        <f>""</f>
        <v/>
      </c>
      <c r="BA770" t="str">
        <f>""</f>
        <v/>
      </c>
      <c r="BB770" t="str">
        <f>"11/07/2023 02:19:56"</f>
        <v>11/07/2023 02:19:56</v>
      </c>
      <c r="BC770" t="str">
        <f>""</f>
        <v/>
      </c>
      <c r="BD770" t="str">
        <f>""</f>
        <v/>
      </c>
      <c r="BE770" t="str">
        <f>""</f>
        <v/>
      </c>
      <c r="BF770" t="str">
        <f t="shared" ref="BF770:BF833" si="397">"A"</f>
        <v>A</v>
      </c>
      <c r="BG770" t="str">
        <f>""</f>
        <v/>
      </c>
      <c r="BH770" t="str">
        <f>""</f>
        <v/>
      </c>
      <c r="BI770" t="str">
        <f t="shared" si="378"/>
        <v>EVENTUAL</v>
      </c>
      <c r="BJ770" t="str">
        <f t="shared" ref="BJ770:BJ833" si="398">"1"</f>
        <v>1</v>
      </c>
      <c r="BK770" t="str">
        <f t="shared" ref="BK770:BK833" si="399">"Farmacia"</f>
        <v>Farmacia</v>
      </c>
      <c r="BL770" t="str">
        <f>""</f>
        <v/>
      </c>
      <c r="BM770" t="str">
        <f>""</f>
        <v/>
      </c>
      <c r="BN770" t="str">
        <f>""</f>
        <v/>
      </c>
      <c r="BO770" t="str">
        <f>""</f>
        <v/>
      </c>
      <c r="BP770" t="str">
        <f>""</f>
        <v/>
      </c>
      <c r="BQ770" t="str">
        <f>""</f>
        <v/>
      </c>
      <c r="BR770" t="str">
        <f>"11/07/2023"</f>
        <v>11/07/2023</v>
      </c>
      <c r="BS770" t="str">
        <f>""</f>
        <v/>
      </c>
      <c r="BT770" t="str">
        <f>""</f>
        <v/>
      </c>
      <c r="BU770" t="str">
        <f>""</f>
        <v/>
      </c>
      <c r="BV770" t="str">
        <f>""</f>
        <v/>
      </c>
      <c r="BW770" t="str">
        <f>"Não visitado"</f>
        <v>Não visitado</v>
      </c>
    </row>
    <row r="771" spans="1:75" x14ac:dyDescent="0.35">
      <c r="A771">
        <v>118685</v>
      </c>
      <c r="B771" t="str">
        <f t="shared" si="394"/>
        <v>A</v>
      </c>
      <c r="C771" t="str">
        <f t="shared" si="395"/>
        <v>80</v>
      </c>
      <c r="D771" t="str">
        <f t="shared" si="384"/>
        <v>11121002</v>
      </c>
      <c r="E771" t="str">
        <f t="shared" si="385"/>
        <v>121002</v>
      </c>
      <c r="F771" t="str">
        <f t="shared" si="386"/>
        <v>CINTHIA NORONHA</v>
      </c>
      <c r="G771" t="str">
        <f>"04638576000130"</f>
        <v>04638576000130</v>
      </c>
      <c r="H771" t="str">
        <f>""</f>
        <v/>
      </c>
      <c r="I771" t="str">
        <f t="shared" si="396"/>
        <v>CONTA OPTICA</v>
      </c>
      <c r="J771" t="str">
        <f>"JOALHERIA E OTICA STYLUS LTDA"</f>
        <v>JOALHERIA E OTICA STYLUS LTDA</v>
      </c>
      <c r="K771" t="str">
        <f>"JOALHERIA E OTICA STYLUS (3780)"</f>
        <v>JOALHERIA E OTICA STYLUS (3780)</v>
      </c>
      <c r="L771" t="str">
        <f>""</f>
        <v/>
      </c>
      <c r="M771" t="str">
        <f>""</f>
        <v/>
      </c>
      <c r="N771" t="str">
        <f>"joalheriastylus@hotmail.com"</f>
        <v>joalheriastylus@hotmail.com</v>
      </c>
      <c r="O771" t="str">
        <f>""</f>
        <v/>
      </c>
      <c r="P771" t="str">
        <f>"RUA CEL. MARCOS ROVARIS"</f>
        <v>RUA CEL. MARCOS ROVARIS</v>
      </c>
      <c r="Q771" t="str">
        <f>"430"</f>
        <v>430</v>
      </c>
      <c r="R771" t="str">
        <f>"SALA, 01"</f>
        <v>SALA, 01</v>
      </c>
      <c r="S771" t="str">
        <f>"1269"</f>
        <v>1269</v>
      </c>
      <c r="T771" t="str">
        <f>"88820000"</f>
        <v>88820000</v>
      </c>
      <c r="U771" t="str">
        <f t="shared" si="392"/>
        <v>CENTRO</v>
      </c>
      <c r="V771" t="str">
        <f>"IÇARA"</f>
        <v>IÇARA</v>
      </c>
      <c r="W771" t="str">
        <f t="shared" si="381"/>
        <v>SC</v>
      </c>
      <c r="X771" t="str">
        <f t="shared" si="393"/>
        <v>48</v>
      </c>
      <c r="Y771" t="str">
        <f>"34323331"</f>
        <v>34323331</v>
      </c>
      <c r="Z771" t="str">
        <f>""</f>
        <v/>
      </c>
      <c r="AA771" t="str">
        <f>""</f>
        <v/>
      </c>
      <c r="AB771" t="str">
        <f>""</f>
        <v/>
      </c>
      <c r="AC771" t="str">
        <f>""</f>
        <v/>
      </c>
      <c r="AD771" t="str">
        <f>""</f>
        <v/>
      </c>
      <c r="AE771" t="str">
        <f>""</f>
        <v/>
      </c>
      <c r="AF771" t="str">
        <f>""</f>
        <v/>
      </c>
      <c r="AG771" t="str">
        <f>""</f>
        <v/>
      </c>
      <c r="AH771" t="str">
        <f>""</f>
        <v/>
      </c>
      <c r="AI771" t="str">
        <f>""</f>
        <v/>
      </c>
      <c r="AJ771" t="str">
        <f t="shared" ref="AJ771:AL774" si="400">"0"</f>
        <v>0</v>
      </c>
      <c r="AK771" t="str">
        <f t="shared" si="400"/>
        <v>0</v>
      </c>
      <c r="AL771" t="str">
        <f t="shared" si="400"/>
        <v>0</v>
      </c>
      <c r="AM771" t="str">
        <f>""</f>
        <v/>
      </c>
      <c r="AN771" t="str">
        <f>""</f>
        <v/>
      </c>
      <c r="AO771" t="str">
        <f>""</f>
        <v/>
      </c>
      <c r="AP771" t="str">
        <f>""</f>
        <v/>
      </c>
      <c r="AQ771" t="str">
        <f>""</f>
        <v/>
      </c>
      <c r="AR771" t="str">
        <f>""</f>
        <v/>
      </c>
      <c r="AS771" t="str">
        <f>""</f>
        <v/>
      </c>
      <c r="AT771" t="str">
        <f>""</f>
        <v/>
      </c>
      <c r="AU771" t="str">
        <f>""</f>
        <v/>
      </c>
      <c r="AV771" t="str">
        <f>""</f>
        <v/>
      </c>
      <c r="AW771" t="str">
        <f>""</f>
        <v/>
      </c>
      <c r="AX771" t="str">
        <f>""</f>
        <v/>
      </c>
      <c r="AY771" t="str">
        <f>""</f>
        <v/>
      </c>
      <c r="AZ771" t="str">
        <f>""</f>
        <v/>
      </c>
      <c r="BA771" t="str">
        <f>""</f>
        <v/>
      </c>
      <c r="BB771" t="str">
        <f>""</f>
        <v/>
      </c>
      <c r="BC771" t="str">
        <f>""</f>
        <v/>
      </c>
      <c r="BD771" t="str">
        <f>""</f>
        <v/>
      </c>
      <c r="BE771" t="str">
        <f>""</f>
        <v/>
      </c>
      <c r="BF771" t="str">
        <f t="shared" si="397"/>
        <v>A</v>
      </c>
      <c r="BG771" t="str">
        <f t="shared" ref="BG771:BH774" si="401">"0,00"</f>
        <v>0,00</v>
      </c>
      <c r="BH771" t="str">
        <f t="shared" si="401"/>
        <v>0,00</v>
      </c>
      <c r="BI771" t="str">
        <f t="shared" si="378"/>
        <v>EVENTUAL</v>
      </c>
      <c r="BJ771" t="str">
        <f t="shared" si="398"/>
        <v>1</v>
      </c>
      <c r="BK771" t="str">
        <f t="shared" si="399"/>
        <v>Farmacia</v>
      </c>
      <c r="BL771" t="str">
        <f>""</f>
        <v/>
      </c>
      <c r="BM771" t="str">
        <f>"NÃO É VARILUX ESPECIALISTA"</f>
        <v>NÃO É VARILUX ESPECIALISTA</v>
      </c>
      <c r="BN771" t="str">
        <f>"NA"</f>
        <v>NA</v>
      </c>
      <c r="BO771" t="str">
        <f>"FOCO KODAK 2"</f>
        <v>FOCO KODAK 2</v>
      </c>
      <c r="BP771" t="str">
        <f>""</f>
        <v/>
      </c>
      <c r="BQ771" t="str">
        <f>""</f>
        <v/>
      </c>
      <c r="BR771" t="str">
        <f>""</f>
        <v/>
      </c>
      <c r="BS771" t="str">
        <f>""</f>
        <v/>
      </c>
      <c r="BT771" t="str">
        <f>""</f>
        <v/>
      </c>
      <c r="BU771" t="str">
        <f>""</f>
        <v/>
      </c>
      <c r="BV771" t="str">
        <f>"9"</f>
        <v>9</v>
      </c>
      <c r="BW771" t="str">
        <f>"64"</f>
        <v>64</v>
      </c>
    </row>
    <row r="772" spans="1:75" x14ac:dyDescent="0.35">
      <c r="A772">
        <v>43</v>
      </c>
      <c r="B772" t="str">
        <f t="shared" si="394"/>
        <v>A</v>
      </c>
      <c r="C772" t="str">
        <f t="shared" si="395"/>
        <v>80</v>
      </c>
      <c r="D772" t="str">
        <f t="shared" si="384"/>
        <v>11121002</v>
      </c>
      <c r="E772" t="str">
        <f t="shared" si="385"/>
        <v>121002</v>
      </c>
      <c r="F772" t="str">
        <f t="shared" si="386"/>
        <v>CINTHIA NORONHA</v>
      </c>
      <c r="G772" t="str">
        <f>"04085336000155"</f>
        <v>04085336000155</v>
      </c>
      <c r="H772" t="str">
        <f>""</f>
        <v/>
      </c>
      <c r="I772" t="str">
        <f t="shared" si="396"/>
        <v>CONTA OPTICA</v>
      </c>
      <c r="J772" t="str">
        <f>"JOALHERIA E OTICA URUSSANGA LTDA"</f>
        <v>JOALHERIA E OTICA URUSSANGA LTDA</v>
      </c>
      <c r="K772" t="str">
        <f>"JOALHERIA E OTICA URUSSANGA LTDA (1232)"</f>
        <v>JOALHERIA E OTICA URUSSANGA LTDA (1232)</v>
      </c>
      <c r="L772" t="str">
        <f>""</f>
        <v/>
      </c>
      <c r="M772" t="str">
        <f>""</f>
        <v/>
      </c>
      <c r="N772" t="str">
        <f>"oticavisual@outlook.com"</f>
        <v>oticavisual@outlook.com</v>
      </c>
      <c r="O772" t="str">
        <f>""</f>
        <v/>
      </c>
      <c r="P772" t="str">
        <f>"PRACA ANITA GARIBALDI"</f>
        <v>PRACA ANITA GARIBALDI</v>
      </c>
      <c r="Q772" t="str">
        <f>"58"</f>
        <v>58</v>
      </c>
      <c r="R772" t="str">
        <f>"SALA 80"</f>
        <v>SALA 80</v>
      </c>
      <c r="S772" t="str">
        <f>"1269"</f>
        <v>1269</v>
      </c>
      <c r="T772" t="str">
        <f>"88840000"</f>
        <v>88840000</v>
      </c>
      <c r="U772" t="str">
        <f>"NAO INFORMADO"</f>
        <v>NAO INFORMADO</v>
      </c>
      <c r="V772" t="str">
        <f>"URUSSANGA"</f>
        <v>URUSSANGA</v>
      </c>
      <c r="W772" t="str">
        <f t="shared" si="381"/>
        <v>SC</v>
      </c>
      <c r="X772" t="str">
        <f t="shared" si="393"/>
        <v>48</v>
      </c>
      <c r="Y772" t="str">
        <f>"34651386"</f>
        <v>34651386</v>
      </c>
      <c r="Z772" t="str">
        <f>""</f>
        <v/>
      </c>
      <c r="AA772" t="str">
        <f>""</f>
        <v/>
      </c>
      <c r="AB772" t="str">
        <f>""</f>
        <v/>
      </c>
      <c r="AC772" t="str">
        <f>""</f>
        <v/>
      </c>
      <c r="AD772" t="str">
        <f>""</f>
        <v/>
      </c>
      <c r="AE772" t="str">
        <f>""</f>
        <v/>
      </c>
      <c r="AF772" t="str">
        <f>""</f>
        <v/>
      </c>
      <c r="AG772" t="str">
        <f>""</f>
        <v/>
      </c>
      <c r="AH772" t="str">
        <f>""</f>
        <v/>
      </c>
      <c r="AI772" t="str">
        <f>""</f>
        <v/>
      </c>
      <c r="AJ772" t="str">
        <f t="shared" si="400"/>
        <v>0</v>
      </c>
      <c r="AK772" t="str">
        <f t="shared" si="400"/>
        <v>0</v>
      </c>
      <c r="AL772" t="str">
        <f t="shared" si="400"/>
        <v>0</v>
      </c>
      <c r="AM772" t="str">
        <f>""</f>
        <v/>
      </c>
      <c r="AN772" t="str">
        <f>""</f>
        <v/>
      </c>
      <c r="AO772" t="str">
        <f>""</f>
        <v/>
      </c>
      <c r="AP772" t="str">
        <f>""</f>
        <v/>
      </c>
      <c r="AQ772" t="str">
        <f>""</f>
        <v/>
      </c>
      <c r="AR772" t="str">
        <f>""</f>
        <v/>
      </c>
      <c r="AS772" t="str">
        <f>""</f>
        <v/>
      </c>
      <c r="AT772" t="str">
        <f>""</f>
        <v/>
      </c>
      <c r="AU772" t="str">
        <f>""</f>
        <v/>
      </c>
      <c r="AV772" t="str">
        <f>""</f>
        <v/>
      </c>
      <c r="AW772" t="str">
        <f>""</f>
        <v/>
      </c>
      <c r="AX772" t="str">
        <f>""</f>
        <v/>
      </c>
      <c r="AY772" t="str">
        <f>""</f>
        <v/>
      </c>
      <c r="AZ772" t="str">
        <f>""</f>
        <v/>
      </c>
      <c r="BA772" t="str">
        <f>""</f>
        <v/>
      </c>
      <c r="BB772" t="str">
        <f>"27/07/2018 09:25:31"</f>
        <v>27/07/2018 09:25:31</v>
      </c>
      <c r="BC772" t="str">
        <f>""</f>
        <v/>
      </c>
      <c r="BD772" t="str">
        <f>""</f>
        <v/>
      </c>
      <c r="BE772" t="str">
        <f>"43"</f>
        <v>43</v>
      </c>
      <c r="BF772" t="str">
        <f t="shared" si="397"/>
        <v>A</v>
      </c>
      <c r="BG772" t="str">
        <f t="shared" si="401"/>
        <v>0,00</v>
      </c>
      <c r="BH772" t="str">
        <f t="shared" si="401"/>
        <v>0,00</v>
      </c>
      <c r="BI772" t="str">
        <f t="shared" si="378"/>
        <v>EVENTUAL</v>
      </c>
      <c r="BJ772" t="str">
        <f t="shared" si="398"/>
        <v>1</v>
      </c>
      <c r="BK772" t="str">
        <f t="shared" si="399"/>
        <v>Farmacia</v>
      </c>
      <c r="BL772" t="str">
        <f>""</f>
        <v/>
      </c>
      <c r="BM772" t="str">
        <f>"NÃO É VARILUX ESPECIALISTA"</f>
        <v>NÃO É VARILUX ESPECIALISTA</v>
      </c>
      <c r="BN772" t="str">
        <f>"NA"</f>
        <v>NA</v>
      </c>
      <c r="BO772" t="str">
        <f>"FOCO VARILUX DIGITAL"</f>
        <v>FOCO VARILUX DIGITAL</v>
      </c>
      <c r="BP772" t="str">
        <f>""</f>
        <v/>
      </c>
      <c r="BQ772" t="str">
        <f>""</f>
        <v/>
      </c>
      <c r="BR772" t="str">
        <f>"27/07/2018"</f>
        <v>27/07/2018</v>
      </c>
      <c r="BS772" t="str">
        <f>""</f>
        <v/>
      </c>
      <c r="BT772" t="str">
        <f>""</f>
        <v/>
      </c>
      <c r="BU772" t="str">
        <f>""</f>
        <v/>
      </c>
      <c r="BV772" t="str">
        <f>"5"</f>
        <v>5</v>
      </c>
      <c r="BW772" t="str">
        <f>"64"</f>
        <v>64</v>
      </c>
    </row>
    <row r="773" spans="1:75" x14ac:dyDescent="0.35">
      <c r="A773">
        <v>144359</v>
      </c>
      <c r="B773" t="str">
        <f t="shared" si="394"/>
        <v>A</v>
      </c>
      <c r="C773" t="str">
        <f t="shared" si="395"/>
        <v>80</v>
      </c>
      <c r="D773" t="str">
        <f t="shared" si="384"/>
        <v>11121002</v>
      </c>
      <c r="E773" t="str">
        <f t="shared" si="385"/>
        <v>121002</v>
      </c>
      <c r="F773" t="str">
        <f t="shared" si="386"/>
        <v>CINTHIA NORONHA</v>
      </c>
      <c r="G773" t="str">
        <f>"73204661000102"</f>
        <v>73204661000102</v>
      </c>
      <c r="H773" t="str">
        <f>""</f>
        <v/>
      </c>
      <c r="I773" t="str">
        <f t="shared" si="396"/>
        <v>CONTA OPTICA</v>
      </c>
      <c r="J773" t="str">
        <f>"JOALHERIA E OTICA VITORETTI LTDA"</f>
        <v>JOALHERIA E OTICA VITORETTI LTDA</v>
      </c>
      <c r="K773" t="str">
        <f>"JOALHERIA E OTICA VITORETTI LTDA (723)"</f>
        <v>JOALHERIA E OTICA VITORETTI LTDA (723)</v>
      </c>
      <c r="L773" t="str">
        <f>""</f>
        <v/>
      </c>
      <c r="M773" t="str">
        <f>""</f>
        <v/>
      </c>
      <c r="N773" t="str">
        <f>"vitoreti@vitoreti.com.br"</f>
        <v>vitoreti@vitoreti.com.br</v>
      </c>
      <c r="O773" t="str">
        <f>""</f>
        <v/>
      </c>
      <c r="P773" t="str">
        <f>"RUA CORONEL PEDRO BENEDET"</f>
        <v>RUA CORONEL PEDRO BENEDET</v>
      </c>
      <c r="Q773" t="str">
        <f>"190"</f>
        <v>190</v>
      </c>
      <c r="R773" t="str">
        <f>"SALA 01"</f>
        <v>SALA 01</v>
      </c>
      <c r="S773" t="str">
        <f>"1269"</f>
        <v>1269</v>
      </c>
      <c r="T773" t="str">
        <f>"88801250"</f>
        <v>88801250</v>
      </c>
      <c r="U773" t="str">
        <f>"CENTRO"</f>
        <v>CENTRO</v>
      </c>
      <c r="V773" t="str">
        <f>"CRICIÚMA"</f>
        <v>CRICIÚMA</v>
      </c>
      <c r="W773" t="str">
        <f t="shared" si="381"/>
        <v>SC</v>
      </c>
      <c r="X773" t="str">
        <f t="shared" si="393"/>
        <v>48</v>
      </c>
      <c r="Y773" t="str">
        <f>"34337877"</f>
        <v>34337877</v>
      </c>
      <c r="Z773" t="str">
        <f>""</f>
        <v/>
      </c>
      <c r="AA773" t="str">
        <f>""</f>
        <v/>
      </c>
      <c r="AB773" t="str">
        <f>""</f>
        <v/>
      </c>
      <c r="AC773" t="str">
        <f>""</f>
        <v/>
      </c>
      <c r="AD773" t="str">
        <f>""</f>
        <v/>
      </c>
      <c r="AE773" t="str">
        <f>""</f>
        <v/>
      </c>
      <c r="AF773" t="str">
        <f>""</f>
        <v/>
      </c>
      <c r="AG773" t="str">
        <f>""</f>
        <v/>
      </c>
      <c r="AH773" t="str">
        <f>""</f>
        <v/>
      </c>
      <c r="AI773" t="str">
        <f>""</f>
        <v/>
      </c>
      <c r="AJ773" t="str">
        <f t="shared" si="400"/>
        <v>0</v>
      </c>
      <c r="AK773" t="str">
        <f t="shared" si="400"/>
        <v>0</v>
      </c>
      <c r="AL773" t="str">
        <f t="shared" si="400"/>
        <v>0</v>
      </c>
      <c r="AM773" t="str">
        <f>""</f>
        <v/>
      </c>
      <c r="AN773" t="str">
        <f>""</f>
        <v/>
      </c>
      <c r="AO773" t="str">
        <f>""</f>
        <v/>
      </c>
      <c r="AP773" t="str">
        <f>""</f>
        <v/>
      </c>
      <c r="AQ773" t="str">
        <f>""</f>
        <v/>
      </c>
      <c r="AR773" t="str">
        <f>""</f>
        <v/>
      </c>
      <c r="AS773" t="str">
        <f>""</f>
        <v/>
      </c>
      <c r="AT773" t="str">
        <f>""</f>
        <v/>
      </c>
      <c r="AU773" t="str">
        <f>""</f>
        <v/>
      </c>
      <c r="AV773" t="str">
        <f>""</f>
        <v/>
      </c>
      <c r="AW773" t="str">
        <f>""</f>
        <v/>
      </c>
      <c r="AX773" t="str">
        <f>""</f>
        <v/>
      </c>
      <c r="AY773" t="str">
        <f>""</f>
        <v/>
      </c>
      <c r="AZ773" t="str">
        <f>""</f>
        <v/>
      </c>
      <c r="BA773" t="str">
        <f>""</f>
        <v/>
      </c>
      <c r="BB773" t="str">
        <f>""</f>
        <v/>
      </c>
      <c r="BC773" t="str">
        <f>""</f>
        <v/>
      </c>
      <c r="BD773" t="str">
        <f>""</f>
        <v/>
      </c>
      <c r="BE773" t="str">
        <f>""</f>
        <v/>
      </c>
      <c r="BF773" t="str">
        <f t="shared" si="397"/>
        <v>A</v>
      </c>
      <c r="BG773" t="str">
        <f t="shared" si="401"/>
        <v>0,00</v>
      </c>
      <c r="BH773" t="str">
        <f t="shared" si="401"/>
        <v>0,00</v>
      </c>
      <c r="BI773" t="str">
        <f t="shared" si="378"/>
        <v>EVENTUAL</v>
      </c>
      <c r="BJ773" t="str">
        <f t="shared" si="398"/>
        <v>1</v>
      </c>
      <c r="BK773" t="str">
        <f t="shared" si="399"/>
        <v>Farmacia</v>
      </c>
      <c r="BL773" t="str">
        <f>""</f>
        <v/>
      </c>
      <c r="BM773" t="str">
        <f>"NÃO É VARILUX ESPECIALISTA"</f>
        <v>NÃO É VARILUX ESPECIALISTA</v>
      </c>
      <c r="BN773" t="str">
        <f>"EL360"</f>
        <v>EL360</v>
      </c>
      <c r="BO773" t="str">
        <f>"FOCO VARILUX DIGITAL"</f>
        <v>FOCO VARILUX DIGITAL</v>
      </c>
      <c r="BP773" t="str">
        <f>""</f>
        <v/>
      </c>
      <c r="BQ773" t="str">
        <f>""</f>
        <v/>
      </c>
      <c r="BR773" t="str">
        <f>""</f>
        <v/>
      </c>
      <c r="BS773" t="str">
        <f>""</f>
        <v/>
      </c>
      <c r="BT773" t="str">
        <f>""</f>
        <v/>
      </c>
      <c r="BU773" t="str">
        <f>""</f>
        <v/>
      </c>
      <c r="BV773" t="str">
        <f>"9"</f>
        <v>9</v>
      </c>
      <c r="BW773" t="str">
        <f>"10"</f>
        <v>10</v>
      </c>
    </row>
    <row r="774" spans="1:75" x14ac:dyDescent="0.35">
      <c r="A774">
        <v>144705</v>
      </c>
      <c r="B774" t="str">
        <f t="shared" si="394"/>
        <v>A</v>
      </c>
      <c r="C774" t="str">
        <f t="shared" si="395"/>
        <v>80</v>
      </c>
      <c r="D774" t="str">
        <f t="shared" si="384"/>
        <v>11121002</v>
      </c>
      <c r="E774" t="str">
        <f t="shared" si="385"/>
        <v>121002</v>
      </c>
      <c r="F774" t="str">
        <f t="shared" si="386"/>
        <v>CINTHIA NORONHA</v>
      </c>
      <c r="G774" t="str">
        <f>"93000339000179"</f>
        <v>93000339000179</v>
      </c>
      <c r="H774" t="str">
        <f>""</f>
        <v/>
      </c>
      <c r="I774" t="str">
        <f t="shared" si="396"/>
        <v>CONTA OPTICA</v>
      </c>
      <c r="J774" t="str">
        <f>"JOALHERIA FIO DE OURO LTDA"</f>
        <v>JOALHERIA FIO DE OURO LTDA</v>
      </c>
      <c r="K774" t="str">
        <f>"JOALHERIA FIO DE OURO LTDA (170)"</f>
        <v>JOALHERIA FIO DE OURO LTDA (170)</v>
      </c>
      <c r="L774" t="str">
        <f>""</f>
        <v/>
      </c>
      <c r="M774" t="str">
        <f>""</f>
        <v/>
      </c>
      <c r="N774" t="str">
        <f>"joalheriafiodeouro@gmail.com"</f>
        <v>joalheriafiodeouro@gmail.com</v>
      </c>
      <c r="O774" t="str">
        <f>""</f>
        <v/>
      </c>
      <c r="P774" t="str">
        <f>"RUA JOSE BONIFACIO"</f>
        <v>RUA JOSE BONIFACIO</v>
      </c>
      <c r="Q774" t="str">
        <f>"235"</f>
        <v>235</v>
      </c>
      <c r="R774" t="str">
        <f>"SALA 02"</f>
        <v>SALA 02</v>
      </c>
      <c r="S774" t="str">
        <f>"1336"</f>
        <v>1336</v>
      </c>
      <c r="T774" t="str">
        <f>"95560000"</f>
        <v>95560000</v>
      </c>
      <c r="U774" t="str">
        <f>"NAO INFORMADO"</f>
        <v>NAO INFORMADO</v>
      </c>
      <c r="V774" t="str">
        <f>"TORRES"</f>
        <v>TORRES</v>
      </c>
      <c r="W774" t="str">
        <f>"RS"</f>
        <v>RS</v>
      </c>
      <c r="X774" t="str">
        <f>"51"</f>
        <v>51</v>
      </c>
      <c r="Y774" t="str">
        <f>"36642825"</f>
        <v>36642825</v>
      </c>
      <c r="Z774" t="str">
        <f>""</f>
        <v/>
      </c>
      <c r="AA774" t="str">
        <f>""</f>
        <v/>
      </c>
      <c r="AB774" t="str">
        <f>""</f>
        <v/>
      </c>
      <c r="AC774" t="str">
        <f>""</f>
        <v/>
      </c>
      <c r="AD774" t="str">
        <f>""</f>
        <v/>
      </c>
      <c r="AE774" t="str">
        <f>""</f>
        <v/>
      </c>
      <c r="AF774" t="str">
        <f>""</f>
        <v/>
      </c>
      <c r="AG774" t="str">
        <f>"S"</f>
        <v>S</v>
      </c>
      <c r="AH774" t="str">
        <f>""</f>
        <v/>
      </c>
      <c r="AI774" t="str">
        <f>""</f>
        <v/>
      </c>
      <c r="AJ774" t="str">
        <f t="shared" si="400"/>
        <v>0</v>
      </c>
      <c r="AK774" t="str">
        <f t="shared" si="400"/>
        <v>0</v>
      </c>
      <c r="AL774" t="str">
        <f t="shared" si="400"/>
        <v>0</v>
      </c>
      <c r="AM774" t="str">
        <f>""</f>
        <v/>
      </c>
      <c r="AN774" t="str">
        <f>""</f>
        <v/>
      </c>
      <c r="AO774" t="str">
        <f>""</f>
        <v/>
      </c>
      <c r="AP774" t="str">
        <f>""</f>
        <v/>
      </c>
      <c r="AQ774" t="str">
        <f>"N"</f>
        <v>N</v>
      </c>
      <c r="AR774" t="str">
        <f>"N"</f>
        <v>N</v>
      </c>
      <c r="AS774" t="str">
        <f>"N"</f>
        <v>N</v>
      </c>
      <c r="AT774" t="str">
        <f>"N"</f>
        <v>N</v>
      </c>
      <c r="AU774" t="str">
        <f>"N"</f>
        <v>N</v>
      </c>
      <c r="AV774" t="str">
        <f>""</f>
        <v/>
      </c>
      <c r="AW774" t="str">
        <f>""</f>
        <v/>
      </c>
      <c r="AX774" t="str">
        <f>""</f>
        <v/>
      </c>
      <c r="AY774" t="str">
        <f>""</f>
        <v/>
      </c>
      <c r="AZ774" t="str">
        <f>""</f>
        <v/>
      </c>
      <c r="BA774" t="str">
        <f>""</f>
        <v/>
      </c>
      <c r="BB774" t="str">
        <f>""</f>
        <v/>
      </c>
      <c r="BC774" t="str">
        <f>"13/01/2022 16:07:24"</f>
        <v>13/01/2022 16:07:24</v>
      </c>
      <c r="BD774" t="str">
        <f>""</f>
        <v/>
      </c>
      <c r="BE774" t="str">
        <f>""</f>
        <v/>
      </c>
      <c r="BF774" t="str">
        <f t="shared" si="397"/>
        <v>A</v>
      </c>
      <c r="BG774" t="str">
        <f t="shared" si="401"/>
        <v>0,00</v>
      </c>
      <c r="BH774" t="str">
        <f t="shared" si="401"/>
        <v>0,00</v>
      </c>
      <c r="BI774" t="str">
        <f t="shared" si="378"/>
        <v>EVENTUAL</v>
      </c>
      <c r="BJ774" t="str">
        <f t="shared" si="398"/>
        <v>1</v>
      </c>
      <c r="BK774" t="str">
        <f t="shared" si="399"/>
        <v>Farmacia</v>
      </c>
      <c r="BL774" t="str">
        <f>""</f>
        <v/>
      </c>
      <c r="BM774" t="str">
        <f>"NÃO É VARILUX ESPECIALISTA"</f>
        <v>NÃO É VARILUX ESPECIALISTA</v>
      </c>
      <c r="BN774" t="str">
        <f>"EL360"</f>
        <v>EL360</v>
      </c>
      <c r="BO774" t="str">
        <f>"FOCO KODAK 2"</f>
        <v>FOCO KODAK 2</v>
      </c>
      <c r="BP774" t="str">
        <f>""</f>
        <v/>
      </c>
      <c r="BQ774" t="str">
        <f>""</f>
        <v/>
      </c>
      <c r="BR774" t="str">
        <f>""</f>
        <v/>
      </c>
      <c r="BS774" t="str">
        <f>"13/01/2022"</f>
        <v>13/01/2022</v>
      </c>
      <c r="BT774" t="str">
        <f>""</f>
        <v/>
      </c>
      <c r="BU774" t="str">
        <f>""</f>
        <v/>
      </c>
      <c r="BV774" t="str">
        <f>"6"</f>
        <v>6</v>
      </c>
      <c r="BW774" t="str">
        <f>"148"</f>
        <v>148</v>
      </c>
    </row>
    <row r="775" spans="1:75" x14ac:dyDescent="0.35">
      <c r="A775">
        <v>157635</v>
      </c>
      <c r="B775" t="str">
        <f t="shared" si="394"/>
        <v>A</v>
      </c>
      <c r="C775" t="str">
        <f t="shared" si="395"/>
        <v>80</v>
      </c>
      <c r="D775" t="str">
        <f t="shared" si="384"/>
        <v>11121002</v>
      </c>
      <c r="E775" t="str">
        <f t="shared" si="385"/>
        <v>121002</v>
      </c>
      <c r="F775" t="str">
        <f t="shared" si="386"/>
        <v>CINTHIA NORONHA</v>
      </c>
      <c r="G775" t="str">
        <f>"76342682000182"</f>
        <v>76342682000182</v>
      </c>
      <c r="H775" t="str">
        <f>"0"</f>
        <v>0</v>
      </c>
      <c r="I775" t="str">
        <f t="shared" si="396"/>
        <v>CONTA OPTICA</v>
      </c>
      <c r="J775" t="str">
        <f>"JOALHERIA MONDADORI LTDA EPP"</f>
        <v>JOALHERIA MONDADORI LTDA EPP</v>
      </c>
      <c r="K775" t="str">
        <f>"JOALHERIA MONDADORI (174)"</f>
        <v>JOALHERIA MONDADORI (174)</v>
      </c>
      <c r="L775" t="str">
        <f>""</f>
        <v/>
      </c>
      <c r="M775" t="str">
        <f>""</f>
        <v/>
      </c>
      <c r="N775" t="str">
        <f>"MONDADORILAGES@BOL.COM.BR"</f>
        <v>MONDADORILAGES@BOL.COM.BR</v>
      </c>
      <c r="O775" t="str">
        <f>""</f>
        <v/>
      </c>
      <c r="P775" t="str">
        <f>"TULIO FIUZA DE CARVALHO"</f>
        <v>TULIO FIUZA DE CARVALHO</v>
      </c>
      <c r="Q775" t="str">
        <f>"82"</f>
        <v>82</v>
      </c>
      <c r="R775" t="str">
        <f>""</f>
        <v/>
      </c>
      <c r="S775" t="str">
        <f>"1266"</f>
        <v>1266</v>
      </c>
      <c r="T775" t="str">
        <f>"88501000"</f>
        <v>88501000</v>
      </c>
      <c r="U775" t="str">
        <f>"CENTRO"</f>
        <v>CENTRO</v>
      </c>
      <c r="V775" t="str">
        <f>"LAGES"</f>
        <v>LAGES</v>
      </c>
      <c r="W775" t="str">
        <f t="shared" ref="W775:W806" si="402">"SC"</f>
        <v>SC</v>
      </c>
      <c r="X775" t="str">
        <f>"49"</f>
        <v>49</v>
      </c>
      <c r="Y775" t="str">
        <f>"32223444"</f>
        <v>32223444</v>
      </c>
      <c r="Z775" t="str">
        <f>""</f>
        <v/>
      </c>
      <c r="AA775" t="str">
        <f>""</f>
        <v/>
      </c>
      <c r="AB775" t="str">
        <f>""</f>
        <v/>
      </c>
      <c r="AC775" t="str">
        <f>""</f>
        <v/>
      </c>
      <c r="AD775" t="str">
        <f>""</f>
        <v/>
      </c>
      <c r="AE775" t="str">
        <f>""</f>
        <v/>
      </c>
      <c r="AF775" t="str">
        <f>""</f>
        <v/>
      </c>
      <c r="AG775" t="str">
        <f>""</f>
        <v/>
      </c>
      <c r="AH775" t="str">
        <f>""</f>
        <v/>
      </c>
      <c r="AI775" t="str">
        <f>""</f>
        <v/>
      </c>
      <c r="AJ775" t="str">
        <f>""</f>
        <v/>
      </c>
      <c r="AK775" t="str">
        <f>""</f>
        <v/>
      </c>
      <c r="AL775" t="str">
        <f>""</f>
        <v/>
      </c>
      <c r="AM775" t="str">
        <f>""</f>
        <v/>
      </c>
      <c r="AN775" t="str">
        <f>""</f>
        <v/>
      </c>
      <c r="AO775" t="str">
        <f>""</f>
        <v/>
      </c>
      <c r="AP775" t="str">
        <f>""</f>
        <v/>
      </c>
      <c r="AQ775" t="str">
        <f>""</f>
        <v/>
      </c>
      <c r="AR775" t="str">
        <f>""</f>
        <v/>
      </c>
      <c r="AS775" t="str">
        <f>""</f>
        <v/>
      </c>
      <c r="AT775" t="str">
        <f>""</f>
        <v/>
      </c>
      <c r="AU775" t="str">
        <f>""</f>
        <v/>
      </c>
      <c r="AV775" t="str">
        <f>""</f>
        <v/>
      </c>
      <c r="AW775" t="str">
        <f>""</f>
        <v/>
      </c>
      <c r="AX775" t="str">
        <f>""</f>
        <v/>
      </c>
      <c r="AY775" t="str">
        <f>""</f>
        <v/>
      </c>
      <c r="AZ775" t="str">
        <f>""</f>
        <v/>
      </c>
      <c r="BA775" t="str">
        <f>""</f>
        <v/>
      </c>
      <c r="BB775" t="str">
        <f>"11/07/2023 02:19:56"</f>
        <v>11/07/2023 02:19:56</v>
      </c>
      <c r="BC775" t="str">
        <f>""</f>
        <v/>
      </c>
      <c r="BD775" t="str">
        <f>""</f>
        <v/>
      </c>
      <c r="BE775" t="str">
        <f>""</f>
        <v/>
      </c>
      <c r="BF775" t="str">
        <f t="shared" si="397"/>
        <v>A</v>
      </c>
      <c r="BG775" t="str">
        <f>""</f>
        <v/>
      </c>
      <c r="BH775" t="str">
        <f>""</f>
        <v/>
      </c>
      <c r="BI775" t="str">
        <f t="shared" si="378"/>
        <v>EVENTUAL</v>
      </c>
      <c r="BJ775" t="str">
        <f t="shared" si="398"/>
        <v>1</v>
      </c>
      <c r="BK775" t="str">
        <f t="shared" si="399"/>
        <v>Farmacia</v>
      </c>
      <c r="BL775" t="str">
        <f>""</f>
        <v/>
      </c>
      <c r="BM775" t="str">
        <f>""</f>
        <v/>
      </c>
      <c r="BN775" t="str">
        <f>""</f>
        <v/>
      </c>
      <c r="BO775" t="str">
        <f>""</f>
        <v/>
      </c>
      <c r="BP775" t="str">
        <f>""</f>
        <v/>
      </c>
      <c r="BQ775" t="str">
        <f>""</f>
        <v/>
      </c>
      <c r="BR775" t="str">
        <f>"11/07/2023"</f>
        <v>11/07/2023</v>
      </c>
      <c r="BS775" t="str">
        <f>""</f>
        <v/>
      </c>
      <c r="BT775" t="str">
        <f>""</f>
        <v/>
      </c>
      <c r="BU775" t="str">
        <f>""</f>
        <v/>
      </c>
      <c r="BV775" t="str">
        <f>""</f>
        <v/>
      </c>
      <c r="BW775" t="str">
        <f>"Não visitado"</f>
        <v>Não visitado</v>
      </c>
    </row>
    <row r="776" spans="1:75" x14ac:dyDescent="0.35">
      <c r="A776">
        <v>134289</v>
      </c>
      <c r="B776" t="str">
        <f t="shared" si="394"/>
        <v>A</v>
      </c>
      <c r="C776" t="str">
        <f t="shared" si="395"/>
        <v>80</v>
      </c>
      <c r="D776" t="str">
        <f t="shared" si="384"/>
        <v>11121002</v>
      </c>
      <c r="E776" t="str">
        <f t="shared" si="385"/>
        <v>121002</v>
      </c>
      <c r="F776" t="str">
        <f t="shared" si="386"/>
        <v>CINTHIA NORONHA</v>
      </c>
      <c r="G776" t="str">
        <f>"85159408000163"</f>
        <v>85159408000163</v>
      </c>
      <c r="H776" t="str">
        <f>""</f>
        <v/>
      </c>
      <c r="I776" t="str">
        <f t="shared" si="396"/>
        <v>CONTA OPTICA</v>
      </c>
      <c r="J776" t="str">
        <f>"JOALHERIA OTICA MEIRA LTDA ME"</f>
        <v>JOALHERIA OTICA MEIRA LTDA ME</v>
      </c>
      <c r="K776" t="str">
        <f>"OTICA MEIRA (688)"</f>
        <v>OTICA MEIRA (688)</v>
      </c>
      <c r="L776" t="str">
        <f>""</f>
        <v/>
      </c>
      <c r="M776" t="str">
        <f>""</f>
        <v/>
      </c>
      <c r="N776" t="str">
        <f>"joalheriaeoticameira@gmail.com"</f>
        <v>joalheriaeoticameira@gmail.com</v>
      </c>
      <c r="O776" t="str">
        <f>""</f>
        <v/>
      </c>
      <c r="P776" t="str">
        <f>"RUA GETÚLIO VARGAS"</f>
        <v>RUA GETÚLIO VARGAS</v>
      </c>
      <c r="Q776" t="str">
        <f>"123"</f>
        <v>123</v>
      </c>
      <c r="R776" t="str">
        <f>""</f>
        <v/>
      </c>
      <c r="S776" t="str">
        <f>"1259"</f>
        <v>1259</v>
      </c>
      <c r="T776" t="str">
        <f>"88160128"</f>
        <v>88160128</v>
      </c>
      <c r="U776" t="str">
        <f>"CENTRO"</f>
        <v>CENTRO</v>
      </c>
      <c r="V776" t="str">
        <f>"BIGUAÇU"</f>
        <v>BIGUAÇU</v>
      </c>
      <c r="W776" t="str">
        <f t="shared" si="402"/>
        <v>SC</v>
      </c>
      <c r="X776" t="str">
        <f>"48"</f>
        <v>48</v>
      </c>
      <c r="Y776" t="str">
        <f>"32432091"</f>
        <v>32432091</v>
      </c>
      <c r="Z776" t="str">
        <f>""</f>
        <v/>
      </c>
      <c r="AA776" t="str">
        <f>""</f>
        <v/>
      </c>
      <c r="AB776" t="str">
        <f>""</f>
        <v/>
      </c>
      <c r="AC776" t="str">
        <f>""</f>
        <v/>
      </c>
      <c r="AD776" t="str">
        <f>""</f>
        <v/>
      </c>
      <c r="AE776" t="str">
        <f>""</f>
        <v/>
      </c>
      <c r="AF776" t="str">
        <f>""</f>
        <v/>
      </c>
      <c r="AG776" t="str">
        <f>"S"</f>
        <v>S</v>
      </c>
      <c r="AH776" t="str">
        <f>""</f>
        <v/>
      </c>
      <c r="AI776" t="str">
        <f>""</f>
        <v/>
      </c>
      <c r="AJ776" t="str">
        <f>"0"</f>
        <v>0</v>
      </c>
      <c r="AK776" t="str">
        <f>"0"</f>
        <v>0</v>
      </c>
      <c r="AL776" t="str">
        <f>"0"</f>
        <v>0</v>
      </c>
      <c r="AM776" t="str">
        <f>""</f>
        <v/>
      </c>
      <c r="AN776" t="str">
        <f>""</f>
        <v/>
      </c>
      <c r="AO776" t="str">
        <f>""</f>
        <v/>
      </c>
      <c r="AP776" t="str">
        <f>""</f>
        <v/>
      </c>
      <c r="AQ776" t="str">
        <f>"N"</f>
        <v>N</v>
      </c>
      <c r="AR776" t="str">
        <f>"N"</f>
        <v>N</v>
      </c>
      <c r="AS776" t="str">
        <f>"N"</f>
        <v>N</v>
      </c>
      <c r="AT776" t="str">
        <f>"N"</f>
        <v>N</v>
      </c>
      <c r="AU776" t="str">
        <f>"N"</f>
        <v>N</v>
      </c>
      <c r="AV776" t="str">
        <f>""</f>
        <v/>
      </c>
      <c r="AW776" t="str">
        <f>""</f>
        <v/>
      </c>
      <c r="AX776" t="str">
        <f>""</f>
        <v/>
      </c>
      <c r="AY776" t="str">
        <f>""</f>
        <v/>
      </c>
      <c r="AZ776" t="str">
        <f>""</f>
        <v/>
      </c>
      <c r="BA776" t="str">
        <f>""</f>
        <v/>
      </c>
      <c r="BB776" t="str">
        <f>""</f>
        <v/>
      </c>
      <c r="BC776" t="str">
        <f>"07/04/2022 09:37:31"</f>
        <v>07/04/2022 09:37:31</v>
      </c>
      <c r="BD776" t="str">
        <f>""</f>
        <v/>
      </c>
      <c r="BE776" t="str">
        <f>""</f>
        <v/>
      </c>
      <c r="BF776" t="str">
        <f t="shared" si="397"/>
        <v>A</v>
      </c>
      <c r="BG776" t="str">
        <f>"0,00"</f>
        <v>0,00</v>
      </c>
      <c r="BH776" t="str">
        <f>"0,00"</f>
        <v>0,00</v>
      </c>
      <c r="BI776" t="str">
        <f t="shared" si="378"/>
        <v>EVENTUAL</v>
      </c>
      <c r="BJ776" t="str">
        <f t="shared" si="398"/>
        <v>1</v>
      </c>
      <c r="BK776" t="str">
        <f t="shared" si="399"/>
        <v>Farmacia</v>
      </c>
      <c r="BL776" t="str">
        <f>""</f>
        <v/>
      </c>
      <c r="BM776" t="str">
        <f>"NÃO É VARILUX ESPECIALISTA"</f>
        <v>NÃO É VARILUX ESPECIALISTA</v>
      </c>
      <c r="BN776" t="str">
        <f>"NA"</f>
        <v>NA</v>
      </c>
      <c r="BO776" t="str">
        <f>"FOCO KODAK 2"</f>
        <v>FOCO KODAK 2</v>
      </c>
      <c r="BP776" t="str">
        <f>""</f>
        <v/>
      </c>
      <c r="BQ776" t="str">
        <f>""</f>
        <v/>
      </c>
      <c r="BR776" t="str">
        <f>""</f>
        <v/>
      </c>
      <c r="BS776" t="str">
        <f>"07/04/2022"</f>
        <v>07/04/2022</v>
      </c>
      <c r="BT776" t="str">
        <f>""</f>
        <v/>
      </c>
      <c r="BU776" t="str">
        <f>""</f>
        <v/>
      </c>
      <c r="BV776" t="str">
        <f>"9"</f>
        <v>9</v>
      </c>
      <c r="BW776" t="str">
        <f>"16"</f>
        <v>16</v>
      </c>
    </row>
    <row r="777" spans="1:75" x14ac:dyDescent="0.35">
      <c r="A777">
        <v>156885</v>
      </c>
      <c r="B777" t="str">
        <f t="shared" si="394"/>
        <v>A</v>
      </c>
      <c r="C777" t="str">
        <f t="shared" si="395"/>
        <v>80</v>
      </c>
      <c r="D777" t="str">
        <f t="shared" si="384"/>
        <v>11121002</v>
      </c>
      <c r="E777" t="str">
        <f t="shared" si="385"/>
        <v>121002</v>
      </c>
      <c r="F777" t="str">
        <f t="shared" si="386"/>
        <v>CINTHIA NORONHA</v>
      </c>
      <c r="G777" t="str">
        <f>"20607869000106"</f>
        <v>20607869000106</v>
      </c>
      <c r="H777" t="str">
        <f>"0"</f>
        <v>0</v>
      </c>
      <c r="I777" t="str">
        <f t="shared" si="396"/>
        <v>CONTA OPTICA</v>
      </c>
      <c r="J777" t="str">
        <f>"JOAO BARBOSA FERREIRA JUNIOR"</f>
        <v>JOAO BARBOSA FERREIRA JUNIOR</v>
      </c>
      <c r="K777" t="str">
        <f>"LABORATORIO PREÇO POPULAR (2257)"</f>
        <v>LABORATORIO PREÇO POPULAR (2257)</v>
      </c>
      <c r="L777" t="str">
        <f>""</f>
        <v/>
      </c>
      <c r="M777" t="str">
        <f>""</f>
        <v/>
      </c>
      <c r="N777" t="str">
        <f>"JJ-FERREIRA@HOTMAIL.COM"</f>
        <v>JJ-FERREIRA@HOTMAIL.COM</v>
      </c>
      <c r="O777" t="str">
        <f>""</f>
        <v/>
      </c>
      <c r="P777" t="str">
        <f>"RUA AUGUSTO HAEMING"</f>
        <v>RUA AUGUSTO HAEMING</v>
      </c>
      <c r="Q777" t="str">
        <f>"7"</f>
        <v>7</v>
      </c>
      <c r="R777" t="str">
        <f>"SALA 8"</f>
        <v>SALA 8</v>
      </c>
      <c r="S777" t="str">
        <f>"1259"</f>
        <v>1259</v>
      </c>
      <c r="T777" t="str">
        <f>"88130090"</f>
        <v>88130090</v>
      </c>
      <c r="U777" t="str">
        <f>"CENTRO"</f>
        <v>CENTRO</v>
      </c>
      <c r="V777" t="str">
        <f>"PALHOCA"</f>
        <v>PALHOCA</v>
      </c>
      <c r="W777" t="str">
        <f t="shared" si="402"/>
        <v>SC</v>
      </c>
      <c r="X777" t="str">
        <f>"48"</f>
        <v>48</v>
      </c>
      <c r="Y777" t="str">
        <f>"33656575"</f>
        <v>33656575</v>
      </c>
      <c r="Z777" t="str">
        <f>""</f>
        <v/>
      </c>
      <c r="AA777" t="str">
        <f>""</f>
        <v/>
      </c>
      <c r="AB777" t="str">
        <f>""</f>
        <v/>
      </c>
      <c r="AC777" t="str">
        <f>""</f>
        <v/>
      </c>
      <c r="AD777" t="str">
        <f>""</f>
        <v/>
      </c>
      <c r="AE777" t="str">
        <f>""</f>
        <v/>
      </c>
      <c r="AF777" t="str">
        <f>""</f>
        <v/>
      </c>
      <c r="AG777" t="str">
        <f>""</f>
        <v/>
      </c>
      <c r="AH777" t="str">
        <f>""</f>
        <v/>
      </c>
      <c r="AI777" t="str">
        <f>""</f>
        <v/>
      </c>
      <c r="AJ777" t="str">
        <f>""</f>
        <v/>
      </c>
      <c r="AK777" t="str">
        <f>""</f>
        <v/>
      </c>
      <c r="AL777" t="str">
        <f>""</f>
        <v/>
      </c>
      <c r="AM777" t="str">
        <f>""</f>
        <v/>
      </c>
      <c r="AN777" t="str">
        <f>""</f>
        <v/>
      </c>
      <c r="AO777" t="str">
        <f>""</f>
        <v/>
      </c>
      <c r="AP777" t="str">
        <f>""</f>
        <v/>
      </c>
      <c r="AQ777" t="str">
        <f>""</f>
        <v/>
      </c>
      <c r="AR777" t="str">
        <f>""</f>
        <v/>
      </c>
      <c r="AS777" t="str">
        <f>""</f>
        <v/>
      </c>
      <c r="AT777" t="str">
        <f>""</f>
        <v/>
      </c>
      <c r="AU777" t="str">
        <f>""</f>
        <v/>
      </c>
      <c r="AV777" t="str">
        <f>""</f>
        <v/>
      </c>
      <c r="AW777" t="str">
        <f>""</f>
        <v/>
      </c>
      <c r="AX777" t="str">
        <f>""</f>
        <v/>
      </c>
      <c r="AY777" t="str">
        <f>""</f>
        <v/>
      </c>
      <c r="AZ777" t="str">
        <f>""</f>
        <v/>
      </c>
      <c r="BA777" t="str">
        <f>""</f>
        <v/>
      </c>
      <c r="BB777" t="str">
        <f>"06/07/2023 12:07:48"</f>
        <v>06/07/2023 12:07:48</v>
      </c>
      <c r="BC777" t="str">
        <f>""</f>
        <v/>
      </c>
      <c r="BD777" t="str">
        <f>""</f>
        <v/>
      </c>
      <c r="BE777" t="str">
        <f>""</f>
        <v/>
      </c>
      <c r="BF777" t="str">
        <f t="shared" si="397"/>
        <v>A</v>
      </c>
      <c r="BG777" t="str">
        <f>""</f>
        <v/>
      </c>
      <c r="BH777" t="str">
        <f>""</f>
        <v/>
      </c>
      <c r="BI777" t="str">
        <f t="shared" si="378"/>
        <v>EVENTUAL</v>
      </c>
      <c r="BJ777" t="str">
        <f t="shared" si="398"/>
        <v>1</v>
      </c>
      <c r="BK777" t="str">
        <f t="shared" si="399"/>
        <v>Farmacia</v>
      </c>
      <c r="BL777" t="str">
        <f>""</f>
        <v/>
      </c>
      <c r="BM777" t="str">
        <f>""</f>
        <v/>
      </c>
      <c r="BN777" t="str">
        <f>""</f>
        <v/>
      </c>
      <c r="BO777" t="str">
        <f>""</f>
        <v/>
      </c>
      <c r="BP777" t="str">
        <f>""</f>
        <v/>
      </c>
      <c r="BQ777" t="str">
        <f>""</f>
        <v/>
      </c>
      <c r="BR777" t="str">
        <f>"06/07/2023"</f>
        <v>06/07/2023</v>
      </c>
      <c r="BS777" t="str">
        <f>""</f>
        <v/>
      </c>
      <c r="BT777" t="str">
        <f>""</f>
        <v/>
      </c>
      <c r="BU777" t="str">
        <f>""</f>
        <v/>
      </c>
      <c r="BV777" t="str">
        <f>""</f>
        <v/>
      </c>
      <c r="BW777" t="str">
        <f>"Não visitado"</f>
        <v>Não visitado</v>
      </c>
    </row>
    <row r="778" spans="1:75" x14ac:dyDescent="0.35">
      <c r="A778">
        <v>144370</v>
      </c>
      <c r="B778" t="str">
        <f t="shared" si="394"/>
        <v>A</v>
      </c>
      <c r="C778" t="str">
        <f t="shared" si="395"/>
        <v>80</v>
      </c>
      <c r="D778" t="str">
        <f t="shared" si="384"/>
        <v>11121002</v>
      </c>
      <c r="E778" t="str">
        <f t="shared" si="385"/>
        <v>121002</v>
      </c>
      <c r="F778" t="str">
        <f t="shared" si="386"/>
        <v>CINTHIA NORONHA</v>
      </c>
      <c r="G778" t="str">
        <f>"79404679000134"</f>
        <v>79404679000134</v>
      </c>
      <c r="H778" t="str">
        <f>""</f>
        <v/>
      </c>
      <c r="I778" t="str">
        <f t="shared" si="396"/>
        <v>CONTA OPTICA</v>
      </c>
      <c r="J778" t="str">
        <f>"JOAO CARLOS DE OLIVEIRA PROFETA"</f>
        <v>JOAO CARLOS DE OLIVEIRA PROFETA</v>
      </c>
      <c r="K778" t="str">
        <f>"JUNIOR JOIAS (3877)"</f>
        <v>JUNIOR JOIAS (3877)</v>
      </c>
      <c r="L778" t="str">
        <f>""</f>
        <v/>
      </c>
      <c r="M778" t="str">
        <f>""</f>
        <v/>
      </c>
      <c r="N778" t="str">
        <f>"juniorjoias@hotmail.com"</f>
        <v>juniorjoias@hotmail.com</v>
      </c>
      <c r="O778" t="str">
        <f>""</f>
        <v/>
      </c>
      <c r="P778" t="str">
        <f>"RUA RAULINO HORN"</f>
        <v>RUA RAULINO HORN</v>
      </c>
      <c r="Q778" t="str">
        <f>"41"</f>
        <v>41</v>
      </c>
      <c r="R778" t="str">
        <f>""</f>
        <v/>
      </c>
      <c r="S778" t="str">
        <f>"1268"</f>
        <v>1268</v>
      </c>
      <c r="T778" t="str">
        <f>"88790000"</f>
        <v>88790000</v>
      </c>
      <c r="U778" t="str">
        <f>"CENTRO"</f>
        <v>CENTRO</v>
      </c>
      <c r="V778" t="str">
        <f>"LAGUNA"</f>
        <v>LAGUNA</v>
      </c>
      <c r="W778" t="str">
        <f t="shared" si="402"/>
        <v>SC</v>
      </c>
      <c r="X778" t="str">
        <f>"48"</f>
        <v>48</v>
      </c>
      <c r="Y778" t="str">
        <f>"36443695"</f>
        <v>36443695</v>
      </c>
      <c r="Z778" t="str">
        <f>""</f>
        <v/>
      </c>
      <c r="AA778" t="str">
        <f>""</f>
        <v/>
      </c>
      <c r="AB778" t="str">
        <f>""</f>
        <v/>
      </c>
      <c r="AC778" t="str">
        <f>""</f>
        <v/>
      </c>
      <c r="AD778" t="str">
        <f>""</f>
        <v/>
      </c>
      <c r="AE778" t="str">
        <f>""</f>
        <v/>
      </c>
      <c r="AF778" t="str">
        <f>""</f>
        <v/>
      </c>
      <c r="AG778" t="str">
        <f>""</f>
        <v/>
      </c>
      <c r="AH778" t="str">
        <f>""</f>
        <v/>
      </c>
      <c r="AI778" t="str">
        <f>""</f>
        <v/>
      </c>
      <c r="AJ778" t="str">
        <f>"0"</f>
        <v>0</v>
      </c>
      <c r="AK778" t="str">
        <f>"0"</f>
        <v>0</v>
      </c>
      <c r="AL778" t="str">
        <f>"0"</f>
        <v>0</v>
      </c>
      <c r="AM778" t="str">
        <f>""</f>
        <v/>
      </c>
      <c r="AN778" t="str">
        <f>""</f>
        <v/>
      </c>
      <c r="AO778" t="str">
        <f>""</f>
        <v/>
      </c>
      <c r="AP778" t="str">
        <f>""</f>
        <v/>
      </c>
      <c r="AQ778" t="str">
        <f>""</f>
        <v/>
      </c>
      <c r="AR778" t="str">
        <f>""</f>
        <v/>
      </c>
      <c r="AS778" t="str">
        <f>""</f>
        <v/>
      </c>
      <c r="AT778" t="str">
        <f>""</f>
        <v/>
      </c>
      <c r="AU778" t="str">
        <f>""</f>
        <v/>
      </c>
      <c r="AV778" t="str">
        <f>""</f>
        <v/>
      </c>
      <c r="AW778" t="str">
        <f>""</f>
        <v/>
      </c>
      <c r="AX778" t="str">
        <f>""</f>
        <v/>
      </c>
      <c r="AY778" t="str">
        <f>""</f>
        <v/>
      </c>
      <c r="AZ778" t="str">
        <f>""</f>
        <v/>
      </c>
      <c r="BA778" t="str">
        <f>""</f>
        <v/>
      </c>
      <c r="BB778" t="str">
        <f>""</f>
        <v/>
      </c>
      <c r="BC778" t="str">
        <f>""</f>
        <v/>
      </c>
      <c r="BD778" t="str">
        <f>""</f>
        <v/>
      </c>
      <c r="BE778" t="str">
        <f>""</f>
        <v/>
      </c>
      <c r="BF778" t="str">
        <f t="shared" si="397"/>
        <v>A</v>
      </c>
      <c r="BG778" t="str">
        <f>"0,00"</f>
        <v>0,00</v>
      </c>
      <c r="BH778" t="str">
        <f>"0,00"</f>
        <v>0,00</v>
      </c>
      <c r="BI778" t="str">
        <f t="shared" si="378"/>
        <v>EVENTUAL</v>
      </c>
      <c r="BJ778" t="str">
        <f t="shared" si="398"/>
        <v>1</v>
      </c>
      <c r="BK778" t="str">
        <f t="shared" si="399"/>
        <v>Farmacia</v>
      </c>
      <c r="BL778" t="str">
        <f>""</f>
        <v/>
      </c>
      <c r="BM778" t="str">
        <f>"NÃO É VARILUX ESPECIALISTA"</f>
        <v>NÃO É VARILUX ESPECIALISTA</v>
      </c>
      <c r="BN778" t="str">
        <f>"NA"</f>
        <v>NA</v>
      </c>
      <c r="BO778" t="str">
        <f>"FOCO VARILUX"</f>
        <v>FOCO VARILUX</v>
      </c>
      <c r="BP778" t="str">
        <f>""</f>
        <v/>
      </c>
      <c r="BQ778" t="str">
        <f>""</f>
        <v/>
      </c>
      <c r="BR778" t="str">
        <f>""</f>
        <v/>
      </c>
      <c r="BS778" t="str">
        <f>""</f>
        <v/>
      </c>
      <c r="BT778" t="str">
        <f>""</f>
        <v/>
      </c>
      <c r="BU778" t="str">
        <f>""</f>
        <v/>
      </c>
      <c r="BV778" t="str">
        <f>"9"</f>
        <v>9</v>
      </c>
      <c r="BW778" t="str">
        <f>"8"</f>
        <v>8</v>
      </c>
    </row>
    <row r="779" spans="1:75" x14ac:dyDescent="0.35">
      <c r="A779">
        <v>156861</v>
      </c>
      <c r="B779" t="str">
        <f t="shared" si="394"/>
        <v>A</v>
      </c>
      <c r="C779" t="str">
        <f t="shared" si="395"/>
        <v>80</v>
      </c>
      <c r="D779" t="str">
        <f t="shared" si="384"/>
        <v>11121002</v>
      </c>
      <c r="E779" t="str">
        <f t="shared" si="385"/>
        <v>121002</v>
      </c>
      <c r="F779" t="str">
        <f t="shared" si="386"/>
        <v>CINTHIA NORONHA</v>
      </c>
      <c r="G779" t="str">
        <f>"49192997000118"</f>
        <v>49192997000118</v>
      </c>
      <c r="H779" t="str">
        <f>"0"</f>
        <v>0</v>
      </c>
      <c r="I779" t="str">
        <f t="shared" si="396"/>
        <v>CONTA OPTICA</v>
      </c>
      <c r="J779" t="str">
        <f>"JOAO MONDADORI LTDA"</f>
        <v>JOAO MONDADORI LTDA</v>
      </c>
      <c r="K779" t="str">
        <f>"OPTICA MONDADORI CLASSIK (4637)"</f>
        <v>OPTICA MONDADORI CLASSIK (4637)</v>
      </c>
      <c r="L779" t="str">
        <f>""</f>
        <v/>
      </c>
      <c r="M779" t="str">
        <f>""</f>
        <v/>
      </c>
      <c r="N779" t="str">
        <f>"PAGANI.MONDADORI@GMAIL.COM"</f>
        <v>PAGANI.MONDADORI@GMAIL.COM</v>
      </c>
      <c r="O779" t="str">
        <f>""</f>
        <v/>
      </c>
      <c r="P779" t="str">
        <f>"ATILIO PEDRO PAGANI"</f>
        <v>ATILIO PEDRO PAGANI</v>
      </c>
      <c r="Q779" t="str">
        <f>"855"</f>
        <v>855</v>
      </c>
      <c r="R779" t="str">
        <f>"SALA 01"</f>
        <v>SALA 01</v>
      </c>
      <c r="S779" t="str">
        <f>"1259"</f>
        <v>1259</v>
      </c>
      <c r="T779" t="str">
        <f>"88132149"</f>
        <v>88132149</v>
      </c>
      <c r="U779" t="str">
        <f>"PAGANI"</f>
        <v>PAGANI</v>
      </c>
      <c r="V779" t="str">
        <f>"PALHOCA"</f>
        <v>PALHOCA</v>
      </c>
      <c r="W779" t="str">
        <f t="shared" si="402"/>
        <v>SC</v>
      </c>
      <c r="X779" t="str">
        <f>"48"</f>
        <v>48</v>
      </c>
      <c r="Y779" t="str">
        <f>"21322550"</f>
        <v>21322550</v>
      </c>
      <c r="Z779" t="str">
        <f>""</f>
        <v/>
      </c>
      <c r="AA779" t="str">
        <f>""</f>
        <v/>
      </c>
      <c r="AB779" t="str">
        <f>""</f>
        <v/>
      </c>
      <c r="AC779" t="str">
        <f>""</f>
        <v/>
      </c>
      <c r="AD779" t="str">
        <f>""</f>
        <v/>
      </c>
      <c r="AE779" t="str">
        <f>""</f>
        <v/>
      </c>
      <c r="AF779" t="str">
        <f>""</f>
        <v/>
      </c>
      <c r="AG779" t="str">
        <f>""</f>
        <v/>
      </c>
      <c r="AH779" t="str">
        <f>""</f>
        <v/>
      </c>
      <c r="AI779" t="str">
        <f>""</f>
        <v/>
      </c>
      <c r="AJ779" t="str">
        <f>""</f>
        <v/>
      </c>
      <c r="AK779" t="str">
        <f>""</f>
        <v/>
      </c>
      <c r="AL779" t="str">
        <f>""</f>
        <v/>
      </c>
      <c r="AM779" t="str">
        <f>""</f>
        <v/>
      </c>
      <c r="AN779" t="str">
        <f>""</f>
        <v/>
      </c>
      <c r="AO779" t="str">
        <f>""</f>
        <v/>
      </c>
      <c r="AP779" t="str">
        <f>""</f>
        <v/>
      </c>
      <c r="AQ779" t="str">
        <f>""</f>
        <v/>
      </c>
      <c r="AR779" t="str">
        <f>""</f>
        <v/>
      </c>
      <c r="AS779" t="str">
        <f>""</f>
        <v/>
      </c>
      <c r="AT779" t="str">
        <f>""</f>
        <v/>
      </c>
      <c r="AU779" t="str">
        <f>""</f>
        <v/>
      </c>
      <c r="AV779" t="str">
        <f>""</f>
        <v/>
      </c>
      <c r="AW779" t="str">
        <f>""</f>
        <v/>
      </c>
      <c r="AX779" t="str">
        <f>""</f>
        <v/>
      </c>
      <c r="AY779" t="str">
        <f>""</f>
        <v/>
      </c>
      <c r="AZ779" t="str">
        <f>""</f>
        <v/>
      </c>
      <c r="BA779" t="str">
        <f>""</f>
        <v/>
      </c>
      <c r="BB779" t="str">
        <f>"06/07/2023 12:07:48"</f>
        <v>06/07/2023 12:07:48</v>
      </c>
      <c r="BC779" t="str">
        <f>""</f>
        <v/>
      </c>
      <c r="BD779" t="str">
        <f>""</f>
        <v/>
      </c>
      <c r="BE779" t="str">
        <f>""</f>
        <v/>
      </c>
      <c r="BF779" t="str">
        <f t="shared" si="397"/>
        <v>A</v>
      </c>
      <c r="BG779" t="str">
        <f>""</f>
        <v/>
      </c>
      <c r="BH779" t="str">
        <f>""</f>
        <v/>
      </c>
      <c r="BI779" t="str">
        <f t="shared" si="378"/>
        <v>EVENTUAL</v>
      </c>
      <c r="BJ779" t="str">
        <f t="shared" si="398"/>
        <v>1</v>
      </c>
      <c r="BK779" t="str">
        <f t="shared" si="399"/>
        <v>Farmacia</v>
      </c>
      <c r="BL779" t="str">
        <f>""</f>
        <v/>
      </c>
      <c r="BM779" t="str">
        <f>""</f>
        <v/>
      </c>
      <c r="BN779" t="str">
        <f>""</f>
        <v/>
      </c>
      <c r="BO779" t="str">
        <f>""</f>
        <v/>
      </c>
      <c r="BP779" t="str">
        <f>""</f>
        <v/>
      </c>
      <c r="BQ779" t="str">
        <f>""</f>
        <v/>
      </c>
      <c r="BR779" t="str">
        <f>"06/07/2023"</f>
        <v>06/07/2023</v>
      </c>
      <c r="BS779" t="str">
        <f>""</f>
        <v/>
      </c>
      <c r="BT779" t="str">
        <f>""</f>
        <v/>
      </c>
      <c r="BU779" t="str">
        <f>""</f>
        <v/>
      </c>
      <c r="BV779" t="str">
        <f>""</f>
        <v/>
      </c>
      <c r="BW779" t="str">
        <f>"Não visitado"</f>
        <v>Não visitado</v>
      </c>
    </row>
    <row r="780" spans="1:75" x14ac:dyDescent="0.35">
      <c r="A780">
        <v>144394</v>
      </c>
      <c r="B780" t="str">
        <f t="shared" si="394"/>
        <v>A</v>
      </c>
      <c r="C780" t="str">
        <f t="shared" si="395"/>
        <v>80</v>
      </c>
      <c r="D780" t="str">
        <f t="shared" si="384"/>
        <v>11121002</v>
      </c>
      <c r="E780" t="str">
        <f t="shared" si="385"/>
        <v>121002</v>
      </c>
      <c r="F780" t="str">
        <f t="shared" si="386"/>
        <v>CINTHIA NORONHA</v>
      </c>
      <c r="G780" t="str">
        <f>"85335388000134"</f>
        <v>85335388000134</v>
      </c>
      <c r="H780" t="str">
        <f>""</f>
        <v/>
      </c>
      <c r="I780" t="str">
        <f t="shared" si="396"/>
        <v>CONTA OPTICA</v>
      </c>
      <c r="J780" t="str">
        <f>"JOELSON FRITZEN ME"</f>
        <v>JOELSON FRITZEN ME</v>
      </c>
      <c r="K780" t="str">
        <f>"JOELSON JOALHERIA (136)"</f>
        <v>JOELSON JOALHERIA (136)</v>
      </c>
      <c r="L780" t="str">
        <f>""</f>
        <v/>
      </c>
      <c r="M780" t="str">
        <f>""</f>
        <v/>
      </c>
      <c r="N780" t="str">
        <f>"joelsonfritzen@hotmail.com"</f>
        <v>joelsonfritzen@hotmail.com</v>
      </c>
      <c r="O780" t="str">
        <f>""</f>
        <v/>
      </c>
      <c r="P780" t="str">
        <f>"AVENIDA PRESIDENTE VARGAS"</f>
        <v>AVENIDA PRESIDENTE VARGAS</v>
      </c>
      <c r="Q780" t="str">
        <f>"44"</f>
        <v>44</v>
      </c>
      <c r="R780" t="str">
        <f>"SALA 02"</f>
        <v>SALA 02</v>
      </c>
      <c r="S780" t="str">
        <f>"1269"</f>
        <v>1269</v>
      </c>
      <c r="T780" t="str">
        <f>"88840000"</f>
        <v>88840000</v>
      </c>
      <c r="U780" t="str">
        <f>"NAO INFORMADO"</f>
        <v>NAO INFORMADO</v>
      </c>
      <c r="V780" t="str">
        <f>"URUSSANGA"</f>
        <v>URUSSANGA</v>
      </c>
      <c r="W780" t="str">
        <f t="shared" si="402"/>
        <v>SC</v>
      </c>
      <c r="X780" t="str">
        <f>"48"</f>
        <v>48</v>
      </c>
      <c r="Y780" t="str">
        <f>"34651901"</f>
        <v>34651901</v>
      </c>
      <c r="Z780" t="str">
        <f>""</f>
        <v/>
      </c>
      <c r="AA780" t="str">
        <f>""</f>
        <v/>
      </c>
      <c r="AB780" t="str">
        <f>""</f>
        <v/>
      </c>
      <c r="AC780" t="str">
        <f>""</f>
        <v/>
      </c>
      <c r="AD780" t="str">
        <f>""</f>
        <v/>
      </c>
      <c r="AE780" t="str">
        <f>""</f>
        <v/>
      </c>
      <c r="AF780" t="str">
        <f>""</f>
        <v/>
      </c>
      <c r="AG780" t="str">
        <f>""</f>
        <v/>
      </c>
      <c r="AH780" t="str">
        <f>""</f>
        <v/>
      </c>
      <c r="AI780" t="str">
        <f>""</f>
        <v/>
      </c>
      <c r="AJ780" t="str">
        <f>"0"</f>
        <v>0</v>
      </c>
      <c r="AK780" t="str">
        <f>"0"</f>
        <v>0</v>
      </c>
      <c r="AL780" t="str">
        <f>"0"</f>
        <v>0</v>
      </c>
      <c r="AM780" t="str">
        <f>""</f>
        <v/>
      </c>
      <c r="AN780" t="str">
        <f>""</f>
        <v/>
      </c>
      <c r="AO780" t="str">
        <f>""</f>
        <v/>
      </c>
      <c r="AP780" t="str">
        <f>""</f>
        <v/>
      </c>
      <c r="AQ780" t="str">
        <f>""</f>
        <v/>
      </c>
      <c r="AR780" t="str">
        <f>""</f>
        <v/>
      </c>
      <c r="AS780" t="str">
        <f>""</f>
        <v/>
      </c>
      <c r="AT780" t="str">
        <f>""</f>
        <v/>
      </c>
      <c r="AU780" t="str">
        <f>""</f>
        <v/>
      </c>
      <c r="AV780" t="str">
        <f>""</f>
        <v/>
      </c>
      <c r="AW780" t="str">
        <f>""</f>
        <v/>
      </c>
      <c r="AX780" t="str">
        <f>""</f>
        <v/>
      </c>
      <c r="AY780" t="str">
        <f>""</f>
        <v/>
      </c>
      <c r="AZ780" t="str">
        <f>""</f>
        <v/>
      </c>
      <c r="BA780" t="str">
        <f>""</f>
        <v/>
      </c>
      <c r="BB780" t="str">
        <f>""</f>
        <v/>
      </c>
      <c r="BC780" t="str">
        <f>""</f>
        <v/>
      </c>
      <c r="BD780" t="str">
        <f>""</f>
        <v/>
      </c>
      <c r="BE780" t="str">
        <f>""</f>
        <v/>
      </c>
      <c r="BF780" t="str">
        <f t="shared" si="397"/>
        <v>A</v>
      </c>
      <c r="BG780" t="str">
        <f>"0,00"</f>
        <v>0,00</v>
      </c>
      <c r="BH780" t="str">
        <f>"0,00"</f>
        <v>0,00</v>
      </c>
      <c r="BI780" t="str">
        <f t="shared" si="378"/>
        <v>EVENTUAL</v>
      </c>
      <c r="BJ780" t="str">
        <f t="shared" si="398"/>
        <v>1</v>
      </c>
      <c r="BK780" t="str">
        <f t="shared" si="399"/>
        <v>Farmacia</v>
      </c>
      <c r="BL780" t="str">
        <f>""</f>
        <v/>
      </c>
      <c r="BM780" t="str">
        <f>"NÃO É VARILUX ESPECIALISTA"</f>
        <v>NÃO É VARILUX ESPECIALISTA</v>
      </c>
      <c r="BN780" t="str">
        <f>"NA"</f>
        <v>NA</v>
      </c>
      <c r="BO780" t="str">
        <f>"OUTROS"</f>
        <v>OUTROS</v>
      </c>
      <c r="BP780" t="str">
        <f>""</f>
        <v/>
      </c>
      <c r="BQ780" t="str">
        <f>""</f>
        <v/>
      </c>
      <c r="BR780" t="str">
        <f>""</f>
        <v/>
      </c>
      <c r="BS780" t="str">
        <f>""</f>
        <v/>
      </c>
      <c r="BT780" t="str">
        <f>""</f>
        <v/>
      </c>
      <c r="BU780" t="str">
        <f>""</f>
        <v/>
      </c>
      <c r="BV780" t="str">
        <f>"9"</f>
        <v>9</v>
      </c>
      <c r="BW780" t="str">
        <f>"1"</f>
        <v>1</v>
      </c>
    </row>
    <row r="781" spans="1:75" x14ac:dyDescent="0.35">
      <c r="A781">
        <v>157619</v>
      </c>
      <c r="B781" t="str">
        <f t="shared" si="394"/>
        <v>A</v>
      </c>
      <c r="C781" t="str">
        <f t="shared" si="395"/>
        <v>80</v>
      </c>
      <c r="D781" t="str">
        <f t="shared" si="384"/>
        <v>11121002</v>
      </c>
      <c r="E781" t="str">
        <f t="shared" si="385"/>
        <v>121002</v>
      </c>
      <c r="F781" t="str">
        <f t="shared" si="386"/>
        <v>CINTHIA NORONHA</v>
      </c>
      <c r="G781" t="str">
        <f>"03043276000145"</f>
        <v>03043276000145</v>
      </c>
      <c r="H781" t="str">
        <f>"0"</f>
        <v>0</v>
      </c>
      <c r="I781" t="str">
        <f t="shared" si="396"/>
        <v>CONTA OPTICA</v>
      </c>
      <c r="J781" t="str">
        <f>"JORGE LUIS GOEDERT ME"</f>
        <v>JORGE LUIS GOEDERT ME</v>
      </c>
      <c r="K781" t="str">
        <f>"CENTER LUIS GOEDER (2095)"</f>
        <v>CENTER LUIS GOEDER (2095)</v>
      </c>
      <c r="L781" t="str">
        <f>""</f>
        <v/>
      </c>
      <c r="M781" t="str">
        <f>""</f>
        <v/>
      </c>
      <c r="N781" t="str">
        <f>"AGUIDA.K@HOTMAIL.COM"</f>
        <v>AGUIDA.K@HOTMAIL.COM</v>
      </c>
      <c r="O781" t="str">
        <f>""</f>
        <v/>
      </c>
      <c r="P781" t="str">
        <f>"RUA MARECHAL DEODORO"</f>
        <v>RUA MARECHAL DEODORO</v>
      </c>
      <c r="Q781" t="str">
        <f>"141"</f>
        <v>141</v>
      </c>
      <c r="R781" t="str">
        <f>""</f>
        <v/>
      </c>
      <c r="S781" t="str">
        <f>"1266"</f>
        <v>1266</v>
      </c>
      <c r="T781" t="str">
        <f>"88501000"</f>
        <v>88501000</v>
      </c>
      <c r="U781" t="str">
        <f>"CENTRO"</f>
        <v>CENTRO</v>
      </c>
      <c r="V781" t="str">
        <f>"LAGES"</f>
        <v>LAGES</v>
      </c>
      <c r="W781" t="str">
        <f t="shared" si="402"/>
        <v>SC</v>
      </c>
      <c r="X781" t="str">
        <f>"49"</f>
        <v>49</v>
      </c>
      <c r="Y781" t="str">
        <f>"32240111"</f>
        <v>32240111</v>
      </c>
      <c r="Z781" t="str">
        <f>""</f>
        <v/>
      </c>
      <c r="AA781" t="str">
        <f>""</f>
        <v/>
      </c>
      <c r="AB781" t="str">
        <f>""</f>
        <v/>
      </c>
      <c r="AC781" t="str">
        <f>""</f>
        <v/>
      </c>
      <c r="AD781" t="str">
        <f>""</f>
        <v/>
      </c>
      <c r="AE781" t="str">
        <f>""</f>
        <v/>
      </c>
      <c r="AF781" t="str">
        <f>""</f>
        <v/>
      </c>
      <c r="AG781" t="str">
        <f>""</f>
        <v/>
      </c>
      <c r="AH781" t="str">
        <f>""</f>
        <v/>
      </c>
      <c r="AI781" t="str">
        <f>""</f>
        <v/>
      </c>
      <c r="AJ781" t="str">
        <f>""</f>
        <v/>
      </c>
      <c r="AK781" t="str">
        <f>""</f>
        <v/>
      </c>
      <c r="AL781" t="str">
        <f>""</f>
        <v/>
      </c>
      <c r="AM781" t="str">
        <f>""</f>
        <v/>
      </c>
      <c r="AN781" t="str">
        <f>""</f>
        <v/>
      </c>
      <c r="AO781" t="str">
        <f>""</f>
        <v/>
      </c>
      <c r="AP781" t="str">
        <f>""</f>
        <v/>
      </c>
      <c r="AQ781" t="str">
        <f>""</f>
        <v/>
      </c>
      <c r="AR781" t="str">
        <f>""</f>
        <v/>
      </c>
      <c r="AS781" t="str">
        <f>""</f>
        <v/>
      </c>
      <c r="AT781" t="str">
        <f>""</f>
        <v/>
      </c>
      <c r="AU781" t="str">
        <f>""</f>
        <v/>
      </c>
      <c r="AV781" t="str">
        <f>""</f>
        <v/>
      </c>
      <c r="AW781" t="str">
        <f>""</f>
        <v/>
      </c>
      <c r="AX781" t="str">
        <f>""</f>
        <v/>
      </c>
      <c r="AY781" t="str">
        <f>""</f>
        <v/>
      </c>
      <c r="AZ781" t="str">
        <f>""</f>
        <v/>
      </c>
      <c r="BA781" t="str">
        <f>""</f>
        <v/>
      </c>
      <c r="BB781" t="str">
        <f>"11/07/2023 02:19:56"</f>
        <v>11/07/2023 02:19:56</v>
      </c>
      <c r="BC781" t="str">
        <f>""</f>
        <v/>
      </c>
      <c r="BD781" t="str">
        <f>""</f>
        <v/>
      </c>
      <c r="BE781" t="str">
        <f>""</f>
        <v/>
      </c>
      <c r="BF781" t="str">
        <f t="shared" si="397"/>
        <v>A</v>
      </c>
      <c r="BG781" t="str">
        <f>""</f>
        <v/>
      </c>
      <c r="BH781" t="str">
        <f>""</f>
        <v/>
      </c>
      <c r="BI781" t="str">
        <f t="shared" si="378"/>
        <v>EVENTUAL</v>
      </c>
      <c r="BJ781" t="str">
        <f t="shared" si="398"/>
        <v>1</v>
      </c>
      <c r="BK781" t="str">
        <f t="shared" si="399"/>
        <v>Farmacia</v>
      </c>
      <c r="BL781" t="str">
        <f>""</f>
        <v/>
      </c>
      <c r="BM781" t="str">
        <f>""</f>
        <v/>
      </c>
      <c r="BN781" t="str">
        <f>""</f>
        <v/>
      </c>
      <c r="BO781" t="str">
        <f>""</f>
        <v/>
      </c>
      <c r="BP781" t="str">
        <f>""</f>
        <v/>
      </c>
      <c r="BQ781" t="str">
        <f>""</f>
        <v/>
      </c>
      <c r="BR781" t="str">
        <f>"11/07/2023"</f>
        <v>11/07/2023</v>
      </c>
      <c r="BS781" t="str">
        <f>""</f>
        <v/>
      </c>
      <c r="BT781" t="str">
        <f>""</f>
        <v/>
      </c>
      <c r="BU781" t="str">
        <f>""</f>
        <v/>
      </c>
      <c r="BV781" t="str">
        <f>""</f>
        <v/>
      </c>
      <c r="BW781" t="str">
        <f>"Não visitado"</f>
        <v>Não visitado</v>
      </c>
    </row>
    <row r="782" spans="1:75" x14ac:dyDescent="0.35">
      <c r="A782">
        <v>134303</v>
      </c>
      <c r="B782" t="str">
        <f t="shared" si="394"/>
        <v>A</v>
      </c>
      <c r="C782" t="str">
        <f t="shared" si="395"/>
        <v>80</v>
      </c>
      <c r="D782" t="str">
        <f t="shared" si="384"/>
        <v>11121002</v>
      </c>
      <c r="E782" t="str">
        <f t="shared" si="385"/>
        <v>121002</v>
      </c>
      <c r="F782" t="str">
        <f t="shared" si="386"/>
        <v>CINTHIA NORONHA</v>
      </c>
      <c r="G782" t="str">
        <f>"82792334000100"</f>
        <v>82792334000100</v>
      </c>
      <c r="H782" t="str">
        <f>""</f>
        <v/>
      </c>
      <c r="I782" t="str">
        <f t="shared" si="396"/>
        <v>CONTA OPTICA</v>
      </c>
      <c r="J782" t="str">
        <f>"JOSE BONIFACIO DE O MAIA E CIA LTDA EPP"</f>
        <v>JOSE BONIFACIO DE O MAIA E CIA LTDA EPP</v>
      </c>
      <c r="K782" t="str">
        <f>"NOVA OTICA LUX (186)"</f>
        <v>NOVA OTICA LUX (186)</v>
      </c>
      <c r="L782" t="str">
        <f>""</f>
        <v/>
      </c>
      <c r="M782" t="str">
        <f>""</f>
        <v/>
      </c>
      <c r="N782" t="str">
        <f>"jmaia77@hotmail.com"</f>
        <v>jmaia77@hotmail.com</v>
      </c>
      <c r="O782" t="str">
        <f>""</f>
        <v/>
      </c>
      <c r="P782" t="str">
        <f>"RUA GOVERNADOR JORGE LACERDA"</f>
        <v>RUA GOVERNADOR JORGE LACERDA</v>
      </c>
      <c r="Q782" t="str">
        <f>"22"</f>
        <v>22</v>
      </c>
      <c r="R782" t="str">
        <f>""</f>
        <v/>
      </c>
      <c r="S782" t="str">
        <f>"1266"</f>
        <v>1266</v>
      </c>
      <c r="T782" t="str">
        <f>"88501120"</f>
        <v>88501120</v>
      </c>
      <c r="U782" t="str">
        <f>"CENTRO"</f>
        <v>CENTRO</v>
      </c>
      <c r="V782" t="str">
        <f>"LAGES"</f>
        <v>LAGES</v>
      </c>
      <c r="W782" t="str">
        <f t="shared" si="402"/>
        <v>SC</v>
      </c>
      <c r="X782" t="str">
        <f>"49"</f>
        <v>49</v>
      </c>
      <c r="Y782" t="str">
        <f>"32221070"</f>
        <v>32221070</v>
      </c>
      <c r="Z782" t="str">
        <f>""</f>
        <v/>
      </c>
      <c r="AA782" t="str">
        <f>""</f>
        <v/>
      </c>
      <c r="AB782" t="str">
        <f>""</f>
        <v/>
      </c>
      <c r="AC782" t="str">
        <f>""</f>
        <v/>
      </c>
      <c r="AD782" t="str">
        <f>""</f>
        <v/>
      </c>
      <c r="AE782" t="str">
        <f>""</f>
        <v/>
      </c>
      <c r="AF782" t="str">
        <f>""</f>
        <v/>
      </c>
      <c r="AG782" t="str">
        <f>"S"</f>
        <v>S</v>
      </c>
      <c r="AH782" t="str">
        <f>""</f>
        <v/>
      </c>
      <c r="AI782" t="str">
        <f>""</f>
        <v/>
      </c>
      <c r="AJ782" t="str">
        <f>"0"</f>
        <v>0</v>
      </c>
      <c r="AK782" t="str">
        <f>"0"</f>
        <v>0</v>
      </c>
      <c r="AL782" t="str">
        <f>"0"</f>
        <v>0</v>
      </c>
      <c r="AM782" t="str">
        <f>""</f>
        <v/>
      </c>
      <c r="AN782" t="str">
        <f>""</f>
        <v/>
      </c>
      <c r="AO782" t="str">
        <f>""</f>
        <v/>
      </c>
      <c r="AP782" t="str">
        <f>""</f>
        <v/>
      </c>
      <c r="AQ782" t="str">
        <f>"N"</f>
        <v>N</v>
      </c>
      <c r="AR782" t="str">
        <f>"N"</f>
        <v>N</v>
      </c>
      <c r="AS782" t="str">
        <f>"N"</f>
        <v>N</v>
      </c>
      <c r="AT782" t="str">
        <f>"N"</f>
        <v>N</v>
      </c>
      <c r="AU782" t="str">
        <f>"N"</f>
        <v>N</v>
      </c>
      <c r="AV782" t="str">
        <f>""</f>
        <v/>
      </c>
      <c r="AW782" t="str">
        <f>""</f>
        <v/>
      </c>
      <c r="AX782" t="str">
        <f>""</f>
        <v/>
      </c>
      <c r="AY782" t="str">
        <f>""</f>
        <v/>
      </c>
      <c r="AZ782" t="str">
        <f>""</f>
        <v/>
      </c>
      <c r="BA782" t="str">
        <f>""</f>
        <v/>
      </c>
      <c r="BB782" t="str">
        <f>""</f>
        <v/>
      </c>
      <c r="BC782" t="str">
        <f>"06/04/2022 10:09:23"</f>
        <v>06/04/2022 10:09:23</v>
      </c>
      <c r="BD782" t="str">
        <f>""</f>
        <v/>
      </c>
      <c r="BE782" t="str">
        <f>""</f>
        <v/>
      </c>
      <c r="BF782" t="str">
        <f t="shared" si="397"/>
        <v>A</v>
      </c>
      <c r="BG782" t="str">
        <f>"0,00"</f>
        <v>0,00</v>
      </c>
      <c r="BH782" t="str">
        <f>"0,00"</f>
        <v>0,00</v>
      </c>
      <c r="BI782" t="str">
        <f t="shared" si="378"/>
        <v>EVENTUAL</v>
      </c>
      <c r="BJ782" t="str">
        <f t="shared" si="398"/>
        <v>1</v>
      </c>
      <c r="BK782" t="str">
        <f t="shared" si="399"/>
        <v>Farmacia</v>
      </c>
      <c r="BL782" t="str">
        <f>""</f>
        <v/>
      </c>
      <c r="BM782" t="str">
        <f>"CREDENCIADO VARILUX"</f>
        <v>CREDENCIADO VARILUX</v>
      </c>
      <c r="BN782" t="str">
        <f>"EL360"</f>
        <v>EL360</v>
      </c>
      <c r="BO782" t="str">
        <f>"FOCO VARILUX DIGITAL"</f>
        <v>FOCO VARILUX DIGITAL</v>
      </c>
      <c r="BP782" t="str">
        <f>""</f>
        <v/>
      </c>
      <c r="BQ782" t="str">
        <f>""</f>
        <v/>
      </c>
      <c r="BR782" t="str">
        <f>""</f>
        <v/>
      </c>
      <c r="BS782" t="str">
        <f>"06/04/2022"</f>
        <v>06/04/2022</v>
      </c>
      <c r="BT782" t="str">
        <f>""</f>
        <v/>
      </c>
      <c r="BU782" t="str">
        <f>""</f>
        <v/>
      </c>
      <c r="BV782" t="str">
        <f>"1"</f>
        <v>1</v>
      </c>
      <c r="BW782" t="str">
        <f>"4"</f>
        <v>4</v>
      </c>
    </row>
    <row r="783" spans="1:75" x14ac:dyDescent="0.35">
      <c r="A783">
        <v>157618</v>
      </c>
      <c r="B783" t="str">
        <f t="shared" si="394"/>
        <v>A</v>
      </c>
      <c r="C783" t="str">
        <f t="shared" si="395"/>
        <v>80</v>
      </c>
      <c r="D783" t="str">
        <f t="shared" si="384"/>
        <v>11121002</v>
      </c>
      <c r="E783" t="str">
        <f t="shared" si="385"/>
        <v>121002</v>
      </c>
      <c r="F783" t="str">
        <f t="shared" si="386"/>
        <v>CINTHIA NORONHA</v>
      </c>
      <c r="G783" t="str">
        <f>"75306423000133"</f>
        <v>75306423000133</v>
      </c>
      <c r="H783" t="str">
        <f>"0"</f>
        <v>0</v>
      </c>
      <c r="I783" t="str">
        <f t="shared" si="396"/>
        <v>CONTA OPTICA</v>
      </c>
      <c r="J783" t="str">
        <f>"JOSE GILMAR MONDADORI"</f>
        <v>JOSE GILMAR MONDADORI</v>
      </c>
      <c r="K783" t="str">
        <f>"OTICA MONDADORI (2109)"</f>
        <v>OTICA MONDADORI (2109)</v>
      </c>
      <c r="L783" t="str">
        <f>""</f>
        <v/>
      </c>
      <c r="M783" t="str">
        <f>""</f>
        <v/>
      </c>
      <c r="N783" t="str">
        <f>"OTICAMONDADORI@HOTMAIL.COM"</f>
        <v>OTICAMONDADORI@HOTMAIL.COM</v>
      </c>
      <c r="O783" t="str">
        <f>""</f>
        <v/>
      </c>
      <c r="P783" t="str">
        <f>"RUA MAJOR JOAQUIM PINTO"</f>
        <v>RUA MAJOR JOAQUIM PINTO</v>
      </c>
      <c r="Q783" t="str">
        <f>"213"</f>
        <v>213</v>
      </c>
      <c r="R783" t="str">
        <f>"SALA 01"</f>
        <v>SALA 01</v>
      </c>
      <c r="S783" t="str">
        <f>"1267"</f>
        <v>1267</v>
      </c>
      <c r="T783" t="str">
        <f>"88600000"</f>
        <v>88600000</v>
      </c>
      <c r="U783" t="str">
        <f>"CENTRO"</f>
        <v>CENTRO</v>
      </c>
      <c r="V783" t="str">
        <f>"SAO JOAQUIM"</f>
        <v>SAO JOAQUIM</v>
      </c>
      <c r="W783" t="str">
        <f t="shared" si="402"/>
        <v>SC</v>
      </c>
      <c r="X783" t="str">
        <f>"49"</f>
        <v>49</v>
      </c>
      <c r="Y783" t="str">
        <f>"32330097"</f>
        <v>32330097</v>
      </c>
      <c r="Z783" t="str">
        <f>""</f>
        <v/>
      </c>
      <c r="AA783" t="str">
        <f>""</f>
        <v/>
      </c>
      <c r="AB783" t="str">
        <f>""</f>
        <v/>
      </c>
      <c r="AC783" t="str">
        <f>""</f>
        <v/>
      </c>
      <c r="AD783" t="str">
        <f>""</f>
        <v/>
      </c>
      <c r="AE783" t="str">
        <f>""</f>
        <v/>
      </c>
      <c r="AF783" t="str">
        <f>""</f>
        <v/>
      </c>
      <c r="AG783" t="str">
        <f>""</f>
        <v/>
      </c>
      <c r="AH783" t="str">
        <f>""</f>
        <v/>
      </c>
      <c r="AI783" t="str">
        <f>""</f>
        <v/>
      </c>
      <c r="AJ783" t="str">
        <f>""</f>
        <v/>
      </c>
      <c r="AK783" t="str">
        <f>""</f>
        <v/>
      </c>
      <c r="AL783" t="str">
        <f>""</f>
        <v/>
      </c>
      <c r="AM783" t="str">
        <f>""</f>
        <v/>
      </c>
      <c r="AN783" t="str">
        <f>""</f>
        <v/>
      </c>
      <c r="AO783" t="str">
        <f>""</f>
        <v/>
      </c>
      <c r="AP783" t="str">
        <f>""</f>
        <v/>
      </c>
      <c r="AQ783" t="str">
        <f>""</f>
        <v/>
      </c>
      <c r="AR783" t="str">
        <f>""</f>
        <v/>
      </c>
      <c r="AS783" t="str">
        <f>""</f>
        <v/>
      </c>
      <c r="AT783" t="str">
        <f>""</f>
        <v/>
      </c>
      <c r="AU783" t="str">
        <f>""</f>
        <v/>
      </c>
      <c r="AV783" t="str">
        <f>""</f>
        <v/>
      </c>
      <c r="AW783" t="str">
        <f>""</f>
        <v/>
      </c>
      <c r="AX783" t="str">
        <f>""</f>
        <v/>
      </c>
      <c r="AY783" t="str">
        <f>""</f>
        <v/>
      </c>
      <c r="AZ783" t="str">
        <f>""</f>
        <v/>
      </c>
      <c r="BA783" t="str">
        <f>""</f>
        <v/>
      </c>
      <c r="BB783" t="str">
        <f>"11/07/2023 02:19:56"</f>
        <v>11/07/2023 02:19:56</v>
      </c>
      <c r="BC783" t="str">
        <f>""</f>
        <v/>
      </c>
      <c r="BD783" t="str">
        <f>""</f>
        <v/>
      </c>
      <c r="BE783" t="str">
        <f>""</f>
        <v/>
      </c>
      <c r="BF783" t="str">
        <f t="shared" si="397"/>
        <v>A</v>
      </c>
      <c r="BG783" t="str">
        <f>""</f>
        <v/>
      </c>
      <c r="BH783" t="str">
        <f>""</f>
        <v/>
      </c>
      <c r="BI783" t="str">
        <f t="shared" si="378"/>
        <v>EVENTUAL</v>
      </c>
      <c r="BJ783" t="str">
        <f t="shared" si="398"/>
        <v>1</v>
      </c>
      <c r="BK783" t="str">
        <f t="shared" si="399"/>
        <v>Farmacia</v>
      </c>
      <c r="BL783" t="str">
        <f>""</f>
        <v/>
      </c>
      <c r="BM783" t="str">
        <f>""</f>
        <v/>
      </c>
      <c r="BN783" t="str">
        <f>""</f>
        <v/>
      </c>
      <c r="BO783" t="str">
        <f>""</f>
        <v/>
      </c>
      <c r="BP783" t="str">
        <f>""</f>
        <v/>
      </c>
      <c r="BQ783" t="str">
        <f>""</f>
        <v/>
      </c>
      <c r="BR783" t="str">
        <f>"11/07/2023"</f>
        <v>11/07/2023</v>
      </c>
      <c r="BS783" t="str">
        <f>""</f>
        <v/>
      </c>
      <c r="BT783" t="str">
        <f>""</f>
        <v/>
      </c>
      <c r="BU783" t="str">
        <f>""</f>
        <v/>
      </c>
      <c r="BV783" t="str">
        <f>""</f>
        <v/>
      </c>
      <c r="BW783" t="str">
        <f>"Não visitado"</f>
        <v>Não visitado</v>
      </c>
    </row>
    <row r="784" spans="1:75" x14ac:dyDescent="0.35">
      <c r="A784">
        <v>157736</v>
      </c>
      <c r="B784" t="str">
        <f t="shared" si="394"/>
        <v>A</v>
      </c>
      <c r="C784" t="str">
        <f t="shared" si="395"/>
        <v>80</v>
      </c>
      <c r="D784" t="str">
        <f t="shared" si="384"/>
        <v>11121002</v>
      </c>
      <c r="E784" t="str">
        <f t="shared" si="385"/>
        <v>121002</v>
      </c>
      <c r="F784" t="str">
        <f t="shared" si="386"/>
        <v>CINTHIA NORONHA</v>
      </c>
      <c r="G784" t="str">
        <f>"82872011000126"</f>
        <v>82872011000126</v>
      </c>
      <c r="H784" t="str">
        <f>"0"</f>
        <v>0</v>
      </c>
      <c r="I784" t="str">
        <f t="shared" si="396"/>
        <v>CONTA OPTICA</v>
      </c>
      <c r="J784" t="str">
        <f>"JOSE ROGERIO CARVALHO JUNIOR ME"</f>
        <v>JOSE ROGERIO CARVALHO JUNIOR ME</v>
      </c>
      <c r="K784" t="str">
        <f>"OTICA EXATA (191)"</f>
        <v>OTICA EXATA (191)</v>
      </c>
      <c r="L784" t="str">
        <f>""</f>
        <v/>
      </c>
      <c r="M784" t="str">
        <f>""</f>
        <v/>
      </c>
      <c r="N784" t="str">
        <f>"emanuelacarvalho@hotmail.com"</f>
        <v>emanuelacarvalho@hotmail.com</v>
      </c>
      <c r="O784" t="str">
        <f>""</f>
        <v/>
      </c>
      <c r="P784" t="str">
        <f>"RUA FELIPE SCHMIDT"</f>
        <v>RUA FELIPE SCHMIDT</v>
      </c>
      <c r="Q784" t="str">
        <f>"218"</f>
        <v>218</v>
      </c>
      <c r="R784" t="str">
        <f>""</f>
        <v/>
      </c>
      <c r="S784" t="str">
        <f>"1254"</f>
        <v>1254</v>
      </c>
      <c r="T784" t="str">
        <f>"88010000"</f>
        <v>88010000</v>
      </c>
      <c r="U784" t="str">
        <f>"CENTRO"</f>
        <v>CENTRO</v>
      </c>
      <c r="V784" t="str">
        <f>"FLORIANOPOLIS"</f>
        <v>FLORIANOPOLIS</v>
      </c>
      <c r="W784" t="str">
        <f t="shared" si="402"/>
        <v>SC</v>
      </c>
      <c r="X784" t="str">
        <f t="shared" ref="X784:X799" si="403">"48"</f>
        <v>48</v>
      </c>
      <c r="Y784" t="str">
        <f>"32230952"</f>
        <v>32230952</v>
      </c>
      <c r="Z784" t="str">
        <f>""</f>
        <v/>
      </c>
      <c r="AA784" t="str">
        <f>""</f>
        <v/>
      </c>
      <c r="AB784" t="str">
        <f>""</f>
        <v/>
      </c>
      <c r="AC784" t="str">
        <f>""</f>
        <v/>
      </c>
      <c r="AD784" t="str">
        <f>""</f>
        <v/>
      </c>
      <c r="AE784" t="str">
        <f>""</f>
        <v/>
      </c>
      <c r="AF784" t="str">
        <f>""</f>
        <v/>
      </c>
      <c r="AG784" t="str">
        <f>""</f>
        <v/>
      </c>
      <c r="AH784" t="str">
        <f>""</f>
        <v/>
      </c>
      <c r="AI784" t="str">
        <f>""</f>
        <v/>
      </c>
      <c r="AJ784" t="str">
        <f>""</f>
        <v/>
      </c>
      <c r="AK784" t="str">
        <f>""</f>
        <v/>
      </c>
      <c r="AL784" t="str">
        <f>""</f>
        <v/>
      </c>
      <c r="AM784" t="str">
        <f>""</f>
        <v/>
      </c>
      <c r="AN784" t="str">
        <f>""</f>
        <v/>
      </c>
      <c r="AO784" t="str">
        <f>""</f>
        <v/>
      </c>
      <c r="AP784" t="str">
        <f>""</f>
        <v/>
      </c>
      <c r="AQ784" t="str">
        <f>""</f>
        <v/>
      </c>
      <c r="AR784" t="str">
        <f>""</f>
        <v/>
      </c>
      <c r="AS784" t="str">
        <f>""</f>
        <v/>
      </c>
      <c r="AT784" t="str">
        <f>""</f>
        <v/>
      </c>
      <c r="AU784" t="str">
        <f>""</f>
        <v/>
      </c>
      <c r="AV784" t="str">
        <f>""</f>
        <v/>
      </c>
      <c r="AW784" t="str">
        <f>""</f>
        <v/>
      </c>
      <c r="AX784" t="str">
        <f>""</f>
        <v/>
      </c>
      <c r="AY784" t="str">
        <f>""</f>
        <v/>
      </c>
      <c r="AZ784" t="str">
        <f>""</f>
        <v/>
      </c>
      <c r="BA784" t="str">
        <f>""</f>
        <v/>
      </c>
      <c r="BB784" t="str">
        <f>"11/07/2023 02:19:56"</f>
        <v>11/07/2023 02:19:56</v>
      </c>
      <c r="BC784" t="str">
        <f>""</f>
        <v/>
      </c>
      <c r="BD784" t="str">
        <f>""</f>
        <v/>
      </c>
      <c r="BE784" t="str">
        <f>""</f>
        <v/>
      </c>
      <c r="BF784" t="str">
        <f t="shared" si="397"/>
        <v>A</v>
      </c>
      <c r="BG784" t="str">
        <f>""</f>
        <v/>
      </c>
      <c r="BH784" t="str">
        <f>""</f>
        <v/>
      </c>
      <c r="BI784" t="str">
        <f t="shared" si="378"/>
        <v>EVENTUAL</v>
      </c>
      <c r="BJ784" t="str">
        <f t="shared" si="398"/>
        <v>1</v>
      </c>
      <c r="BK784" t="str">
        <f t="shared" si="399"/>
        <v>Farmacia</v>
      </c>
      <c r="BL784" t="str">
        <f>""</f>
        <v/>
      </c>
      <c r="BM784" t="str">
        <f>""</f>
        <v/>
      </c>
      <c r="BN784" t="str">
        <f>""</f>
        <v/>
      </c>
      <c r="BO784" t="str">
        <f>""</f>
        <v/>
      </c>
      <c r="BP784" t="str">
        <f>""</f>
        <v/>
      </c>
      <c r="BQ784" t="str">
        <f>""</f>
        <v/>
      </c>
      <c r="BR784" t="str">
        <f>"11/07/2023"</f>
        <v>11/07/2023</v>
      </c>
      <c r="BS784" t="str">
        <f>""</f>
        <v/>
      </c>
      <c r="BT784" t="str">
        <f>""</f>
        <v/>
      </c>
      <c r="BU784" t="str">
        <f>""</f>
        <v/>
      </c>
      <c r="BV784" t="str">
        <f>""</f>
        <v/>
      </c>
      <c r="BW784" t="str">
        <f>"Não visitado"</f>
        <v>Não visitado</v>
      </c>
    </row>
    <row r="785" spans="1:75" x14ac:dyDescent="0.35">
      <c r="A785">
        <v>144505</v>
      </c>
      <c r="B785" t="str">
        <f t="shared" si="394"/>
        <v>A</v>
      </c>
      <c r="C785" t="str">
        <f t="shared" si="395"/>
        <v>80</v>
      </c>
      <c r="D785" t="str">
        <f t="shared" si="384"/>
        <v>11121002</v>
      </c>
      <c r="E785" t="str">
        <f t="shared" si="385"/>
        <v>121002</v>
      </c>
      <c r="F785" t="str">
        <f t="shared" si="386"/>
        <v>CINTHIA NORONHA</v>
      </c>
      <c r="G785" t="str">
        <f>"11216875000141"</f>
        <v>11216875000141</v>
      </c>
      <c r="H785" t="str">
        <f>""</f>
        <v/>
      </c>
      <c r="I785" t="str">
        <f t="shared" si="396"/>
        <v>CONTA OPTICA</v>
      </c>
      <c r="J785" t="str">
        <f>"JOSEANE MARIA MININI CALDEIRA MERLIN"</f>
        <v>JOSEANE MARIA MININI CALDEIRA MERLIN</v>
      </c>
      <c r="K785" t="str">
        <f>"CHILLI BEANS GAROPABA (3943)"</f>
        <v>CHILLI BEANS GAROPABA (3943)</v>
      </c>
      <c r="L785" t="str">
        <f>""</f>
        <v/>
      </c>
      <c r="M785" t="str">
        <f>""</f>
        <v/>
      </c>
      <c r="N785" t="str">
        <f>"joseane.caldeira@gmail.com"</f>
        <v>joseane.caldeira@gmail.com</v>
      </c>
      <c r="O785" t="str">
        <f>""</f>
        <v/>
      </c>
      <c r="P785" t="str">
        <f>"RUA PREFEITO JOAO ORESTES DE ARAUJO"</f>
        <v>RUA PREFEITO JOAO ORESTES DE ARAUJO</v>
      </c>
      <c r="Q785" t="str">
        <f>"1159"</f>
        <v>1159</v>
      </c>
      <c r="R785" t="str">
        <f>"SALA 03"</f>
        <v>SALA 03</v>
      </c>
      <c r="S785" t="str">
        <f>"1265"</f>
        <v>1265</v>
      </c>
      <c r="T785" t="str">
        <f>"88495000"</f>
        <v>88495000</v>
      </c>
      <c r="U785" t="str">
        <f>"CENTRO"</f>
        <v>CENTRO</v>
      </c>
      <c r="V785" t="str">
        <f>"GAROPABA"</f>
        <v>GAROPABA</v>
      </c>
      <c r="W785" t="str">
        <f t="shared" si="402"/>
        <v>SC</v>
      </c>
      <c r="X785" t="str">
        <f t="shared" si="403"/>
        <v>48</v>
      </c>
      <c r="Y785" t="str">
        <f>"991322179"</f>
        <v>991322179</v>
      </c>
      <c r="Z785" t="str">
        <f>""</f>
        <v/>
      </c>
      <c r="AA785" t="str">
        <f>""</f>
        <v/>
      </c>
      <c r="AB785" t="str">
        <f>""</f>
        <v/>
      </c>
      <c r="AC785" t="str">
        <f>""</f>
        <v/>
      </c>
      <c r="AD785" t="str">
        <f>""</f>
        <v/>
      </c>
      <c r="AE785" t="str">
        <f>""</f>
        <v/>
      </c>
      <c r="AF785" t="str">
        <f>""</f>
        <v/>
      </c>
      <c r="AG785" t="str">
        <f>""</f>
        <v/>
      </c>
      <c r="AH785" t="str">
        <f>""</f>
        <v/>
      </c>
      <c r="AI785" t="str">
        <f>""</f>
        <v/>
      </c>
      <c r="AJ785" t="str">
        <f t="shared" ref="AJ785:AL787" si="404">"0"</f>
        <v>0</v>
      </c>
      <c r="AK785" t="str">
        <f t="shared" si="404"/>
        <v>0</v>
      </c>
      <c r="AL785" t="str">
        <f t="shared" si="404"/>
        <v>0</v>
      </c>
      <c r="AM785" t="str">
        <f>""</f>
        <v/>
      </c>
      <c r="AN785" t="str">
        <f>""</f>
        <v/>
      </c>
      <c r="AO785" t="str">
        <f>""</f>
        <v/>
      </c>
      <c r="AP785" t="str">
        <f>""</f>
        <v/>
      </c>
      <c r="AQ785" t="str">
        <f>""</f>
        <v/>
      </c>
      <c r="AR785" t="str">
        <f>""</f>
        <v/>
      </c>
      <c r="AS785" t="str">
        <f>""</f>
        <v/>
      </c>
      <c r="AT785" t="str">
        <f>""</f>
        <v/>
      </c>
      <c r="AU785" t="str">
        <f>""</f>
        <v/>
      </c>
      <c r="AV785" t="str">
        <f>""</f>
        <v/>
      </c>
      <c r="AW785" t="str">
        <f>""</f>
        <v/>
      </c>
      <c r="AX785" t="str">
        <f>""</f>
        <v/>
      </c>
      <c r="AY785" t="str">
        <f>""</f>
        <v/>
      </c>
      <c r="AZ785" t="str">
        <f>""</f>
        <v/>
      </c>
      <c r="BA785" t="str">
        <f>""</f>
        <v/>
      </c>
      <c r="BB785" t="str">
        <f>""</f>
        <v/>
      </c>
      <c r="BC785" t="str">
        <f>""</f>
        <v/>
      </c>
      <c r="BD785" t="str">
        <f>""</f>
        <v/>
      </c>
      <c r="BE785" t="str">
        <f>""</f>
        <v/>
      </c>
      <c r="BF785" t="str">
        <f t="shared" si="397"/>
        <v>A</v>
      </c>
      <c r="BG785" t="str">
        <f t="shared" ref="BG785:BH787" si="405">"0,00"</f>
        <v>0,00</v>
      </c>
      <c r="BH785" t="str">
        <f t="shared" si="405"/>
        <v>0,00</v>
      </c>
      <c r="BI785" t="str">
        <f t="shared" si="378"/>
        <v>EVENTUAL</v>
      </c>
      <c r="BJ785" t="str">
        <f t="shared" si="398"/>
        <v>1</v>
      </c>
      <c r="BK785" t="str">
        <f t="shared" si="399"/>
        <v>Farmacia</v>
      </c>
      <c r="BL785" t="str">
        <f>""</f>
        <v/>
      </c>
      <c r="BM785" t="str">
        <f>"NÃO É VARILUX ESPECIALISTA"</f>
        <v>NÃO É VARILUX ESPECIALISTA</v>
      </c>
      <c r="BN785" t="str">
        <f>"NA"</f>
        <v>NA</v>
      </c>
      <c r="BO785" t="str">
        <f>"FOCO VARILUX DIGITAL"</f>
        <v>FOCO VARILUX DIGITAL</v>
      </c>
      <c r="BP785" t="str">
        <f>""</f>
        <v/>
      </c>
      <c r="BQ785" t="str">
        <f>""</f>
        <v/>
      </c>
      <c r="BR785" t="str">
        <f>""</f>
        <v/>
      </c>
      <c r="BS785" t="str">
        <f>""</f>
        <v/>
      </c>
      <c r="BT785" t="str">
        <f>""</f>
        <v/>
      </c>
      <c r="BU785" t="str">
        <f>""</f>
        <v/>
      </c>
      <c r="BV785" t="str">
        <f>"9"</f>
        <v>9</v>
      </c>
      <c r="BW785" t="str">
        <f>"35"</f>
        <v>35</v>
      </c>
    </row>
    <row r="786" spans="1:75" x14ac:dyDescent="0.35">
      <c r="A786">
        <v>352</v>
      </c>
      <c r="B786" t="str">
        <f t="shared" si="394"/>
        <v>A</v>
      </c>
      <c r="C786" t="str">
        <f t="shared" si="395"/>
        <v>80</v>
      </c>
      <c r="D786" t="str">
        <f t="shared" si="384"/>
        <v>11121002</v>
      </c>
      <c r="E786" t="str">
        <f t="shared" si="385"/>
        <v>121002</v>
      </c>
      <c r="F786" t="str">
        <f t="shared" si="386"/>
        <v>CINTHIA NORONHA</v>
      </c>
      <c r="G786" t="str">
        <f>"03752999000113"</f>
        <v>03752999000113</v>
      </c>
      <c r="H786" t="str">
        <f>""</f>
        <v/>
      </c>
      <c r="I786" t="str">
        <f t="shared" si="396"/>
        <v>CONTA OPTICA</v>
      </c>
      <c r="J786" t="str">
        <f>"JPS COMERCIO DE PRODUTOS OTICOS LTDA"</f>
        <v>JPS COMERCIO DE PRODUTOS OTICOS LTDA</v>
      </c>
      <c r="K786" t="str">
        <f>"ESPECIALISTA FILIAL 01 (1230)"</f>
        <v>ESPECIALISTA FILIAL 01 (1230)</v>
      </c>
      <c r="L786" t="str">
        <f>""</f>
        <v/>
      </c>
      <c r="M786" t="str">
        <f>""</f>
        <v/>
      </c>
      <c r="N786" t="str">
        <f>"financeiro@oticaespecialista.com.br"</f>
        <v>financeiro@oticaespecialista.com.br</v>
      </c>
      <c r="O786" t="str">
        <f>""</f>
        <v/>
      </c>
      <c r="P786" t="str">
        <f>"RUA LAURO LINHARES"</f>
        <v>RUA LAURO LINHARES</v>
      </c>
      <c r="Q786" t="str">
        <f>"2123"</f>
        <v>2123</v>
      </c>
      <c r="R786" t="str">
        <f>"LOJA 17"</f>
        <v>LOJA 17</v>
      </c>
      <c r="S786" t="str">
        <f>"1257"</f>
        <v>1257</v>
      </c>
      <c r="T786" t="str">
        <f>"88036002"</f>
        <v>88036002</v>
      </c>
      <c r="U786" t="str">
        <f>"TRINDADE"</f>
        <v>TRINDADE</v>
      </c>
      <c r="V786" t="str">
        <f>"FLORIANÓPOLIS"</f>
        <v>FLORIANÓPOLIS</v>
      </c>
      <c r="W786" t="str">
        <f t="shared" si="402"/>
        <v>SC</v>
      </c>
      <c r="X786" t="str">
        <f t="shared" si="403"/>
        <v>48</v>
      </c>
      <c r="Y786" t="str">
        <f>"32343700"</f>
        <v>32343700</v>
      </c>
      <c r="Z786" t="str">
        <f>""</f>
        <v/>
      </c>
      <c r="AA786" t="str">
        <f>""</f>
        <v/>
      </c>
      <c r="AB786" t="str">
        <f>""</f>
        <v/>
      </c>
      <c r="AC786" t="str">
        <f>""</f>
        <v/>
      </c>
      <c r="AD786" t="str">
        <f>""</f>
        <v/>
      </c>
      <c r="AE786" t="str">
        <f>""</f>
        <v/>
      </c>
      <c r="AF786" t="str">
        <f>""</f>
        <v/>
      </c>
      <c r="AG786" t="str">
        <f>""</f>
        <v/>
      </c>
      <c r="AH786" t="str">
        <f>""</f>
        <v/>
      </c>
      <c r="AI786" t="str">
        <f>""</f>
        <v/>
      </c>
      <c r="AJ786" t="str">
        <f t="shared" si="404"/>
        <v>0</v>
      </c>
      <c r="AK786" t="str">
        <f t="shared" si="404"/>
        <v>0</v>
      </c>
      <c r="AL786" t="str">
        <f t="shared" si="404"/>
        <v>0</v>
      </c>
      <c r="AM786" t="str">
        <f>""</f>
        <v/>
      </c>
      <c r="AN786" t="str">
        <f>""</f>
        <v/>
      </c>
      <c r="AO786" t="str">
        <f>""</f>
        <v/>
      </c>
      <c r="AP786" t="str">
        <f>""</f>
        <v/>
      </c>
      <c r="AQ786" t="str">
        <f>""</f>
        <v/>
      </c>
      <c r="AR786" t="str">
        <f>""</f>
        <v/>
      </c>
      <c r="AS786" t="str">
        <f>""</f>
        <v/>
      </c>
      <c r="AT786" t="str">
        <f>""</f>
        <v/>
      </c>
      <c r="AU786" t="str">
        <f>""</f>
        <v/>
      </c>
      <c r="AV786" t="str">
        <f>""</f>
        <v/>
      </c>
      <c r="AW786" t="str">
        <f>""</f>
        <v/>
      </c>
      <c r="AX786" t="str">
        <f>""</f>
        <v/>
      </c>
      <c r="AY786" t="str">
        <f>""</f>
        <v/>
      </c>
      <c r="AZ786" t="str">
        <f>""</f>
        <v/>
      </c>
      <c r="BA786" t="str">
        <f>""</f>
        <v/>
      </c>
      <c r="BB786" t="str">
        <f>"27/07/2018 09:25:38"</f>
        <v>27/07/2018 09:25:38</v>
      </c>
      <c r="BC786" t="str">
        <f>""</f>
        <v/>
      </c>
      <c r="BD786" t="str">
        <f>""</f>
        <v/>
      </c>
      <c r="BE786" t="str">
        <f>"352"</f>
        <v>352</v>
      </c>
      <c r="BF786" t="str">
        <f t="shared" si="397"/>
        <v>A</v>
      </c>
      <c r="BG786" t="str">
        <f t="shared" si="405"/>
        <v>0,00</v>
      </c>
      <c r="BH786" t="str">
        <f t="shared" si="405"/>
        <v>0,00</v>
      </c>
      <c r="BI786" t="str">
        <f t="shared" si="378"/>
        <v>EVENTUAL</v>
      </c>
      <c r="BJ786" t="str">
        <f t="shared" si="398"/>
        <v>1</v>
      </c>
      <c r="BK786" t="str">
        <f t="shared" si="399"/>
        <v>Farmacia</v>
      </c>
      <c r="BL786" t="str">
        <f>""</f>
        <v/>
      </c>
      <c r="BM786" t="str">
        <f>"NÃO É VARILUX ESPECIALISTA"</f>
        <v>NÃO É VARILUX ESPECIALISTA</v>
      </c>
      <c r="BN786" t="str">
        <f>"NA"</f>
        <v>NA</v>
      </c>
      <c r="BO786" t="str">
        <f>"FOCO VARILUX"</f>
        <v>FOCO VARILUX</v>
      </c>
      <c r="BP786" t="str">
        <f>""</f>
        <v/>
      </c>
      <c r="BQ786" t="str">
        <f>""</f>
        <v/>
      </c>
      <c r="BR786" t="str">
        <f>"27/07/2018"</f>
        <v>27/07/2018</v>
      </c>
      <c r="BS786" t="str">
        <f>""</f>
        <v/>
      </c>
      <c r="BT786" t="str">
        <f>""</f>
        <v/>
      </c>
      <c r="BU786" t="str">
        <f>""</f>
        <v/>
      </c>
      <c r="BV786" t="str">
        <f>"3"</f>
        <v>3</v>
      </c>
      <c r="BW786" t="str">
        <f t="shared" ref="BW786:BW792" si="406">"Não visitado"</f>
        <v>Não visitado</v>
      </c>
    </row>
    <row r="787" spans="1:75" x14ac:dyDescent="0.35">
      <c r="A787">
        <v>120518</v>
      </c>
      <c r="B787" t="str">
        <f t="shared" si="394"/>
        <v>A</v>
      </c>
      <c r="C787" t="str">
        <f t="shared" si="395"/>
        <v>80</v>
      </c>
      <c r="D787" t="str">
        <f t="shared" si="384"/>
        <v>11121002</v>
      </c>
      <c r="E787" t="str">
        <f t="shared" si="385"/>
        <v>121002</v>
      </c>
      <c r="F787" t="str">
        <f t="shared" si="386"/>
        <v>CINTHIA NORONHA</v>
      </c>
      <c r="G787" t="str">
        <f>"02745351000238"</f>
        <v>02745351000238</v>
      </c>
      <c r="H787" t="str">
        <f>"0"</f>
        <v>0</v>
      </c>
      <c r="I787" t="str">
        <f t="shared" si="396"/>
        <v>CONTA OPTICA</v>
      </c>
      <c r="J787" t="str">
        <f>"JR ADAMVER IND. COMERCIO PROD. OTICOS LTDA"</f>
        <v>JR ADAMVER IND. COMERCIO PROD. OTICOS LTDA</v>
      </c>
      <c r="K787" t="str">
        <f>"MORMAII (1243)"</f>
        <v>MORMAII (1243)</v>
      </c>
      <c r="L787" t="str">
        <f>""</f>
        <v/>
      </c>
      <c r="M787" t="str">
        <f>""</f>
        <v/>
      </c>
      <c r="N787" t="str">
        <f>"sac2@jradamver.com.br"</f>
        <v>sac2@jradamver.com.br</v>
      </c>
      <c r="O787" t="str">
        <f>""</f>
        <v/>
      </c>
      <c r="P787" t="str">
        <f>"ROD SC - 401 KM 7,5"</f>
        <v>ROD SC - 401 KM 7,5</v>
      </c>
      <c r="Q787" t="str">
        <f>"6901"</f>
        <v>6901</v>
      </c>
      <c r="R787" t="str">
        <f>""</f>
        <v/>
      </c>
      <c r="S787" t="str">
        <f>"1257"</f>
        <v>1257</v>
      </c>
      <c r="T787" t="str">
        <f>"88050000"</f>
        <v>88050000</v>
      </c>
      <c r="U787" t="str">
        <f>"SANTO ANTONIO DE LISBOA"</f>
        <v>SANTO ANTONIO DE LISBOA</v>
      </c>
      <c r="V787" t="str">
        <f>"FLORIANÓPOLIS"</f>
        <v>FLORIANÓPOLIS</v>
      </c>
      <c r="W787" t="str">
        <f t="shared" si="402"/>
        <v>SC</v>
      </c>
      <c r="X787" t="str">
        <f t="shared" si="403"/>
        <v>48</v>
      </c>
      <c r="Y787" t="str">
        <f>"32162000"</f>
        <v>32162000</v>
      </c>
      <c r="Z787" t="str">
        <f>""</f>
        <v/>
      </c>
      <c r="AA787" t="str">
        <f>""</f>
        <v/>
      </c>
      <c r="AB787" t="str">
        <f>""</f>
        <v/>
      </c>
      <c r="AC787" t="str">
        <f>""</f>
        <v/>
      </c>
      <c r="AD787" t="str">
        <f>""</f>
        <v/>
      </c>
      <c r="AE787" t="str">
        <f>""</f>
        <v/>
      </c>
      <c r="AF787" t="str">
        <f>""</f>
        <v/>
      </c>
      <c r="AG787" t="str">
        <f>""</f>
        <v/>
      </c>
      <c r="AH787" t="str">
        <f>""</f>
        <v/>
      </c>
      <c r="AI787" t="str">
        <f>""</f>
        <v/>
      </c>
      <c r="AJ787" t="str">
        <f t="shared" si="404"/>
        <v>0</v>
      </c>
      <c r="AK787" t="str">
        <f t="shared" si="404"/>
        <v>0</v>
      </c>
      <c r="AL787" t="str">
        <f t="shared" si="404"/>
        <v>0</v>
      </c>
      <c r="AM787" t="str">
        <f>""</f>
        <v/>
      </c>
      <c r="AN787" t="str">
        <f>""</f>
        <v/>
      </c>
      <c r="AO787" t="str">
        <f>""</f>
        <v/>
      </c>
      <c r="AP787" t="str">
        <f>""</f>
        <v/>
      </c>
      <c r="AQ787" t="str">
        <f>""</f>
        <v/>
      </c>
      <c r="AR787" t="str">
        <f>""</f>
        <v/>
      </c>
      <c r="AS787" t="str">
        <f>""</f>
        <v/>
      </c>
      <c r="AT787" t="str">
        <f>""</f>
        <v/>
      </c>
      <c r="AU787" t="str">
        <f>""</f>
        <v/>
      </c>
      <c r="AV787" t="str">
        <f>""</f>
        <v/>
      </c>
      <c r="AW787" t="str">
        <f>""</f>
        <v/>
      </c>
      <c r="AX787" t="str">
        <f>""</f>
        <v/>
      </c>
      <c r="AY787" t="str">
        <f>""</f>
        <v/>
      </c>
      <c r="AZ787" t="str">
        <f>""</f>
        <v/>
      </c>
      <c r="BA787" t="str">
        <f>""</f>
        <v/>
      </c>
      <c r="BB787" t="str">
        <f>"22/09/2020 15:29:33"</f>
        <v>22/09/2020 15:29:33</v>
      </c>
      <c r="BC787" t="str">
        <f>""</f>
        <v/>
      </c>
      <c r="BD787" t="str">
        <f>""</f>
        <v/>
      </c>
      <c r="BE787" t="str">
        <f>""</f>
        <v/>
      </c>
      <c r="BF787" t="str">
        <f t="shared" si="397"/>
        <v>A</v>
      </c>
      <c r="BG787" t="str">
        <f t="shared" si="405"/>
        <v>0,00</v>
      </c>
      <c r="BH787" t="str">
        <f t="shared" si="405"/>
        <v>0,00</v>
      </c>
      <c r="BI787" t="str">
        <f t="shared" si="378"/>
        <v>EVENTUAL</v>
      </c>
      <c r="BJ787" t="str">
        <f t="shared" si="398"/>
        <v>1</v>
      </c>
      <c r="BK787" t="str">
        <f t="shared" si="399"/>
        <v>Farmacia</v>
      </c>
      <c r="BL787" t="str">
        <f>""</f>
        <v/>
      </c>
      <c r="BM787" t="str">
        <f>"NÃO É VARILUX ESPECIALISTA"</f>
        <v>NÃO É VARILUX ESPECIALISTA</v>
      </c>
      <c r="BN787" t="str">
        <f>"NA"</f>
        <v>NA</v>
      </c>
      <c r="BO787" t="str">
        <f>"FOCO VARILUX"</f>
        <v>FOCO VARILUX</v>
      </c>
      <c r="BP787" t="str">
        <f>""</f>
        <v/>
      </c>
      <c r="BQ787" t="str">
        <f>""</f>
        <v/>
      </c>
      <c r="BR787" t="str">
        <f>"22/09/2020"</f>
        <v>22/09/2020</v>
      </c>
      <c r="BS787" t="str">
        <f>""</f>
        <v/>
      </c>
      <c r="BT787" t="str">
        <f>""</f>
        <v/>
      </c>
      <c r="BU787" t="str">
        <f>""</f>
        <v/>
      </c>
      <c r="BV787" t="str">
        <f>"9"</f>
        <v>9</v>
      </c>
      <c r="BW787" t="str">
        <f t="shared" si="406"/>
        <v>Não visitado</v>
      </c>
    </row>
    <row r="788" spans="1:75" x14ac:dyDescent="0.35">
      <c r="A788">
        <v>157586</v>
      </c>
      <c r="B788" t="str">
        <f t="shared" si="394"/>
        <v>A</v>
      </c>
      <c r="C788" t="str">
        <f t="shared" si="395"/>
        <v>80</v>
      </c>
      <c r="D788" t="str">
        <f t="shared" si="384"/>
        <v>11121002</v>
      </c>
      <c r="E788" t="str">
        <f t="shared" si="385"/>
        <v>121002</v>
      </c>
      <c r="F788" t="str">
        <f t="shared" si="386"/>
        <v>CINTHIA NORONHA</v>
      </c>
      <c r="G788" t="str">
        <f>"09581479000171"</f>
        <v>09581479000171</v>
      </c>
      <c r="H788" t="str">
        <f>"0"</f>
        <v>0</v>
      </c>
      <c r="I788" t="str">
        <f t="shared" si="396"/>
        <v>CONTA OPTICA</v>
      </c>
      <c r="J788" t="str">
        <f>"JR JOALHERIA LTDA"</f>
        <v>JR JOALHERIA LTDA</v>
      </c>
      <c r="K788" t="str">
        <f>"JR JOALHERIA (3918)"</f>
        <v>JR JOALHERIA (3918)</v>
      </c>
      <c r="L788" t="str">
        <f>""</f>
        <v/>
      </c>
      <c r="M788" t="str">
        <f>""</f>
        <v/>
      </c>
      <c r="N788" t="str">
        <f>""</f>
        <v/>
      </c>
      <c r="O788" t="str">
        <f>""</f>
        <v/>
      </c>
      <c r="P788" t="str">
        <f>"RUA CONEGO MIGUEL GIACCA"</f>
        <v>RUA CONEGO MIGUEL GIACCA</v>
      </c>
      <c r="Q788" t="str">
        <f>"113"</f>
        <v>113</v>
      </c>
      <c r="R788" t="str">
        <f>"SL1"</f>
        <v>SL1</v>
      </c>
      <c r="S788" t="str">
        <f>"1269"</f>
        <v>1269</v>
      </c>
      <c r="T788" t="str">
        <f>"88801030"</f>
        <v>88801030</v>
      </c>
      <c r="U788" t="str">
        <f>"CENTRO"</f>
        <v>CENTRO</v>
      </c>
      <c r="V788" t="str">
        <f>"CRICIUMA"</f>
        <v>CRICIUMA</v>
      </c>
      <c r="W788" t="str">
        <f t="shared" si="402"/>
        <v>SC</v>
      </c>
      <c r="X788" t="str">
        <f t="shared" si="403"/>
        <v>48</v>
      </c>
      <c r="Y788" t="str">
        <f>"34394472"</f>
        <v>34394472</v>
      </c>
      <c r="Z788" t="str">
        <f>""</f>
        <v/>
      </c>
      <c r="AA788" t="str">
        <f>""</f>
        <v/>
      </c>
      <c r="AB788" t="str">
        <f>""</f>
        <v/>
      </c>
      <c r="AC788" t="str">
        <f>""</f>
        <v/>
      </c>
      <c r="AD788" t="str">
        <f>""</f>
        <v/>
      </c>
      <c r="AE788" t="str">
        <f>""</f>
        <v/>
      </c>
      <c r="AF788" t="str">
        <f>""</f>
        <v/>
      </c>
      <c r="AG788" t="str">
        <f>""</f>
        <v/>
      </c>
      <c r="AH788" t="str">
        <f>""</f>
        <v/>
      </c>
      <c r="AI788" t="str">
        <f>""</f>
        <v/>
      </c>
      <c r="AJ788" t="str">
        <f>""</f>
        <v/>
      </c>
      <c r="AK788" t="str">
        <f>""</f>
        <v/>
      </c>
      <c r="AL788" t="str">
        <f>""</f>
        <v/>
      </c>
      <c r="AM788" t="str">
        <f>""</f>
        <v/>
      </c>
      <c r="AN788" t="str">
        <f>""</f>
        <v/>
      </c>
      <c r="AO788" t="str">
        <f>""</f>
        <v/>
      </c>
      <c r="AP788" t="str">
        <f>""</f>
        <v/>
      </c>
      <c r="AQ788" t="str">
        <f>""</f>
        <v/>
      </c>
      <c r="AR788" t="str">
        <f>""</f>
        <v/>
      </c>
      <c r="AS788" t="str">
        <f>""</f>
        <v/>
      </c>
      <c r="AT788" t="str">
        <f>""</f>
        <v/>
      </c>
      <c r="AU788" t="str">
        <f>""</f>
        <v/>
      </c>
      <c r="AV788" t="str">
        <f>""</f>
        <v/>
      </c>
      <c r="AW788" t="str">
        <f>""</f>
        <v/>
      </c>
      <c r="AX788" t="str">
        <f>""</f>
        <v/>
      </c>
      <c r="AY788" t="str">
        <f>""</f>
        <v/>
      </c>
      <c r="AZ788" t="str">
        <f>""</f>
        <v/>
      </c>
      <c r="BA788" t="str">
        <f>""</f>
        <v/>
      </c>
      <c r="BB788" t="str">
        <f>"11/07/2023 02:19:56"</f>
        <v>11/07/2023 02:19:56</v>
      </c>
      <c r="BC788" t="str">
        <f>""</f>
        <v/>
      </c>
      <c r="BD788" t="str">
        <f>""</f>
        <v/>
      </c>
      <c r="BE788" t="str">
        <f>""</f>
        <v/>
      </c>
      <c r="BF788" t="str">
        <f t="shared" si="397"/>
        <v>A</v>
      </c>
      <c r="BG788" t="str">
        <f>""</f>
        <v/>
      </c>
      <c r="BH788" t="str">
        <f>""</f>
        <v/>
      </c>
      <c r="BI788" t="str">
        <f t="shared" si="378"/>
        <v>EVENTUAL</v>
      </c>
      <c r="BJ788" t="str">
        <f t="shared" si="398"/>
        <v>1</v>
      </c>
      <c r="BK788" t="str">
        <f t="shared" si="399"/>
        <v>Farmacia</v>
      </c>
      <c r="BL788" t="str">
        <f>""</f>
        <v/>
      </c>
      <c r="BM788" t="str">
        <f>""</f>
        <v/>
      </c>
      <c r="BN788" t="str">
        <f>""</f>
        <v/>
      </c>
      <c r="BO788" t="str">
        <f>""</f>
        <v/>
      </c>
      <c r="BP788" t="str">
        <f>""</f>
        <v/>
      </c>
      <c r="BQ788" t="str">
        <f>""</f>
        <v/>
      </c>
      <c r="BR788" t="str">
        <f>"11/07/2023"</f>
        <v>11/07/2023</v>
      </c>
      <c r="BS788" t="str">
        <f>""</f>
        <v/>
      </c>
      <c r="BT788" t="str">
        <f>""</f>
        <v/>
      </c>
      <c r="BU788" t="str">
        <f>""</f>
        <v/>
      </c>
      <c r="BV788" t="str">
        <f>""</f>
        <v/>
      </c>
      <c r="BW788" t="str">
        <f t="shared" si="406"/>
        <v>Não visitado</v>
      </c>
    </row>
    <row r="789" spans="1:75" x14ac:dyDescent="0.35">
      <c r="A789">
        <v>159581</v>
      </c>
      <c r="B789" t="str">
        <f t="shared" si="394"/>
        <v>A</v>
      </c>
      <c r="C789" t="str">
        <f t="shared" si="395"/>
        <v>80</v>
      </c>
      <c r="D789" t="str">
        <f t="shared" si="384"/>
        <v>11121002</v>
      </c>
      <c r="E789" t="str">
        <f t="shared" si="385"/>
        <v>121002</v>
      </c>
      <c r="F789" t="str">
        <f t="shared" si="386"/>
        <v>CINTHIA NORONHA</v>
      </c>
      <c r="G789" t="str">
        <f>"02745351000157"</f>
        <v>02745351000157</v>
      </c>
      <c r="H789" t="str">
        <f>""</f>
        <v/>
      </c>
      <c r="I789" t="str">
        <f t="shared" si="396"/>
        <v>CONTA OPTICA</v>
      </c>
      <c r="J789" t="str">
        <f>"JR-ADAMVER IND E COM DE PRODUTOS OTICOS S/A"</f>
        <v>JR-ADAMVER IND E COM DE PRODUTOS OTICOS S/A</v>
      </c>
      <c r="K789" t="str">
        <f>"JR ADAMVER IND. E COM. PROD. OTICOS (4766)"</f>
        <v>JR ADAMVER IND. E COM. PROD. OTICOS (4766)</v>
      </c>
      <c r="L789" t="str">
        <f>""</f>
        <v/>
      </c>
      <c r="M789" t="str">
        <f>""</f>
        <v/>
      </c>
      <c r="N789" t="str">
        <f>"KAROLINY.PACHECO@JRADAMVER.COM.BR"</f>
        <v>KAROLINY.PACHECO@JRADAMVER.COM.BR</v>
      </c>
      <c r="O789" t="str">
        <f>""</f>
        <v/>
      </c>
      <c r="P789" t="str">
        <f>"RUA DELEGADO FRONTINO MARTINS"</f>
        <v>RUA DELEGADO FRONTINO MARTINS</v>
      </c>
      <c r="Q789" t="str">
        <f>"301"</f>
        <v>301</v>
      </c>
      <c r="R789" t="str">
        <f>""</f>
        <v/>
      </c>
      <c r="S789" t="str">
        <f>"1265"</f>
        <v>1265</v>
      </c>
      <c r="T789" t="str">
        <f>"88495000"</f>
        <v>88495000</v>
      </c>
      <c r="U789" t="str">
        <f>"PALHOCINHA"</f>
        <v>PALHOCINHA</v>
      </c>
      <c r="V789" t="str">
        <f>"GAROPABA"</f>
        <v>GAROPABA</v>
      </c>
      <c r="W789" t="str">
        <f t="shared" si="402"/>
        <v>SC</v>
      </c>
      <c r="X789" t="str">
        <f t="shared" si="403"/>
        <v>48</v>
      </c>
      <c r="Y789" t="str">
        <f>"32547500"</f>
        <v>32547500</v>
      </c>
      <c r="Z789" t="str">
        <f>""</f>
        <v/>
      </c>
      <c r="AA789" t="str">
        <f>""</f>
        <v/>
      </c>
      <c r="AB789" t="str">
        <f>""</f>
        <v/>
      </c>
      <c r="AC789" t="str">
        <f>""</f>
        <v/>
      </c>
      <c r="AD789" t="str">
        <f>""</f>
        <v/>
      </c>
      <c r="AE789" t="str">
        <f>""</f>
        <v/>
      </c>
      <c r="AF789" t="str">
        <f>""</f>
        <v/>
      </c>
      <c r="AG789" t="str">
        <f>""</f>
        <v/>
      </c>
      <c r="AH789" t="str">
        <f>""</f>
        <v/>
      </c>
      <c r="AI789" t="str">
        <f>""</f>
        <v/>
      </c>
      <c r="AJ789" t="str">
        <f>""</f>
        <v/>
      </c>
      <c r="AK789" t="str">
        <f>""</f>
        <v/>
      </c>
      <c r="AL789" t="str">
        <f>""</f>
        <v/>
      </c>
      <c r="AM789" t="str">
        <f>""</f>
        <v/>
      </c>
      <c r="AN789" t="str">
        <f>""</f>
        <v/>
      </c>
      <c r="AO789" t="str">
        <f>""</f>
        <v/>
      </c>
      <c r="AP789" t="str">
        <f>""</f>
        <v/>
      </c>
      <c r="AQ789" t="str">
        <f>""</f>
        <v/>
      </c>
      <c r="AR789" t="str">
        <f>""</f>
        <v/>
      </c>
      <c r="AS789" t="str">
        <f>""</f>
        <v/>
      </c>
      <c r="AT789" t="str">
        <f>""</f>
        <v/>
      </c>
      <c r="AU789" t="str">
        <f>""</f>
        <v/>
      </c>
      <c r="AV789" t="str">
        <f>""</f>
        <v/>
      </c>
      <c r="AW789" t="str">
        <f>""</f>
        <v/>
      </c>
      <c r="AX789" t="str">
        <f>""</f>
        <v/>
      </c>
      <c r="AY789" t="str">
        <f>""</f>
        <v/>
      </c>
      <c r="AZ789" t="str">
        <f>""</f>
        <v/>
      </c>
      <c r="BA789" t="str">
        <f>""</f>
        <v/>
      </c>
      <c r="BB789" t="str">
        <f>"25/09/2023 11:47:13"</f>
        <v>25/09/2023 11:47:13</v>
      </c>
      <c r="BC789" t="str">
        <f>""</f>
        <v/>
      </c>
      <c r="BD789" t="str">
        <f>""</f>
        <v/>
      </c>
      <c r="BE789" t="str">
        <f>""</f>
        <v/>
      </c>
      <c r="BF789" t="str">
        <f t="shared" si="397"/>
        <v>A</v>
      </c>
      <c r="BG789" t="str">
        <f>""</f>
        <v/>
      </c>
      <c r="BH789" t="str">
        <f>""</f>
        <v/>
      </c>
      <c r="BI789" t="str">
        <f t="shared" si="378"/>
        <v>EVENTUAL</v>
      </c>
      <c r="BJ789" t="str">
        <f t="shared" si="398"/>
        <v>1</v>
      </c>
      <c r="BK789" t="str">
        <f t="shared" si="399"/>
        <v>Farmacia</v>
      </c>
      <c r="BL789" t="str">
        <f>""</f>
        <v/>
      </c>
      <c r="BM789" t="str">
        <f>""</f>
        <v/>
      </c>
      <c r="BN789" t="str">
        <f>""</f>
        <v/>
      </c>
      <c r="BO789" t="str">
        <f>""</f>
        <v/>
      </c>
      <c r="BP789" t="str">
        <f>""</f>
        <v/>
      </c>
      <c r="BQ789" t="str">
        <f>""</f>
        <v/>
      </c>
      <c r="BR789" t="str">
        <f>"25/09/2023"</f>
        <v>25/09/2023</v>
      </c>
      <c r="BS789" t="str">
        <f>""</f>
        <v/>
      </c>
      <c r="BT789" t="str">
        <f>""</f>
        <v/>
      </c>
      <c r="BU789" t="str">
        <f>""</f>
        <v/>
      </c>
      <c r="BV789" t="str">
        <f>""</f>
        <v/>
      </c>
      <c r="BW789" t="str">
        <f t="shared" si="406"/>
        <v>Não visitado</v>
      </c>
    </row>
    <row r="790" spans="1:75" x14ac:dyDescent="0.35">
      <c r="A790">
        <v>157730</v>
      </c>
      <c r="B790" t="str">
        <f t="shared" si="394"/>
        <v>A</v>
      </c>
      <c r="C790" t="str">
        <f t="shared" si="395"/>
        <v>80</v>
      </c>
      <c r="D790" t="str">
        <f t="shared" si="384"/>
        <v>11121002</v>
      </c>
      <c r="E790" t="str">
        <f t="shared" si="385"/>
        <v>121002</v>
      </c>
      <c r="F790" t="str">
        <f t="shared" si="386"/>
        <v>CINTHIA NORONHA</v>
      </c>
      <c r="G790" t="str">
        <f>"08151034000199"</f>
        <v>08151034000199</v>
      </c>
      <c r="H790" t="str">
        <f>"0"</f>
        <v>0</v>
      </c>
      <c r="I790" t="str">
        <f t="shared" si="396"/>
        <v>CONTA OPTICA</v>
      </c>
      <c r="J790" t="str">
        <f>"JRP JOALHERIA E OTICA LTDA ME"</f>
        <v>JRP JOALHERIA E OTICA LTDA ME</v>
      </c>
      <c r="K790" t="str">
        <f>"JOALHERIA E OTICA PAMPLONA (928)"</f>
        <v>JOALHERIA E OTICA PAMPLONA (928)</v>
      </c>
      <c r="L790" t="str">
        <f>""</f>
        <v/>
      </c>
      <c r="M790" t="str">
        <f>""</f>
        <v/>
      </c>
      <c r="N790" t="str">
        <f>""</f>
        <v/>
      </c>
      <c r="O790" t="str">
        <f>""</f>
        <v/>
      </c>
      <c r="P790" t="str">
        <f>"RUA DEODORO"</f>
        <v>RUA DEODORO</v>
      </c>
      <c r="Q790" t="str">
        <f>"164"</f>
        <v>164</v>
      </c>
      <c r="R790" t="str">
        <f>"LOJA 01"</f>
        <v>LOJA 01</v>
      </c>
      <c r="S790" t="str">
        <f>"1254"</f>
        <v>1254</v>
      </c>
      <c r="T790" t="str">
        <f>"88010020"</f>
        <v>88010020</v>
      </c>
      <c r="U790" t="str">
        <f>"CENTRO"</f>
        <v>CENTRO</v>
      </c>
      <c r="V790" t="str">
        <f>"FLORIANOPOLIS"</f>
        <v>FLORIANOPOLIS</v>
      </c>
      <c r="W790" t="str">
        <f t="shared" si="402"/>
        <v>SC</v>
      </c>
      <c r="X790" t="str">
        <f t="shared" si="403"/>
        <v>48</v>
      </c>
      <c r="Y790" t="str">
        <f>"32229181"</f>
        <v>32229181</v>
      </c>
      <c r="Z790" t="str">
        <f>""</f>
        <v/>
      </c>
      <c r="AA790" t="str">
        <f>""</f>
        <v/>
      </c>
      <c r="AB790" t="str">
        <f>""</f>
        <v/>
      </c>
      <c r="AC790" t="str">
        <f>""</f>
        <v/>
      </c>
      <c r="AD790" t="str">
        <f>""</f>
        <v/>
      </c>
      <c r="AE790" t="str">
        <f>""</f>
        <v/>
      </c>
      <c r="AF790" t="str">
        <f>""</f>
        <v/>
      </c>
      <c r="AG790" t="str">
        <f>""</f>
        <v/>
      </c>
      <c r="AH790" t="str">
        <f>""</f>
        <v/>
      </c>
      <c r="AI790" t="str">
        <f>""</f>
        <v/>
      </c>
      <c r="AJ790" t="str">
        <f>""</f>
        <v/>
      </c>
      <c r="AK790" t="str">
        <f>""</f>
        <v/>
      </c>
      <c r="AL790" t="str">
        <f>""</f>
        <v/>
      </c>
      <c r="AM790" t="str">
        <f>""</f>
        <v/>
      </c>
      <c r="AN790" t="str">
        <f>""</f>
        <v/>
      </c>
      <c r="AO790" t="str">
        <f>""</f>
        <v/>
      </c>
      <c r="AP790" t="str">
        <f>""</f>
        <v/>
      </c>
      <c r="AQ790" t="str">
        <f>""</f>
        <v/>
      </c>
      <c r="AR790" t="str">
        <f>""</f>
        <v/>
      </c>
      <c r="AS790" t="str">
        <f>""</f>
        <v/>
      </c>
      <c r="AT790" t="str">
        <f>""</f>
        <v/>
      </c>
      <c r="AU790" t="str">
        <f>""</f>
        <v/>
      </c>
      <c r="AV790" t="str">
        <f>""</f>
        <v/>
      </c>
      <c r="AW790" t="str">
        <f>""</f>
        <v/>
      </c>
      <c r="AX790" t="str">
        <f>""</f>
        <v/>
      </c>
      <c r="AY790" t="str">
        <f>""</f>
        <v/>
      </c>
      <c r="AZ790" t="str">
        <f>""</f>
        <v/>
      </c>
      <c r="BA790" t="str">
        <f>""</f>
        <v/>
      </c>
      <c r="BB790" t="str">
        <f>"11/07/2023 02:19:56"</f>
        <v>11/07/2023 02:19:56</v>
      </c>
      <c r="BC790" t="str">
        <f>""</f>
        <v/>
      </c>
      <c r="BD790" t="str">
        <f>""</f>
        <v/>
      </c>
      <c r="BE790" t="str">
        <f>""</f>
        <v/>
      </c>
      <c r="BF790" t="str">
        <f t="shared" si="397"/>
        <v>A</v>
      </c>
      <c r="BG790" t="str">
        <f>""</f>
        <v/>
      </c>
      <c r="BH790" t="str">
        <f>""</f>
        <v/>
      </c>
      <c r="BI790" t="str">
        <f t="shared" si="378"/>
        <v>EVENTUAL</v>
      </c>
      <c r="BJ790" t="str">
        <f t="shared" si="398"/>
        <v>1</v>
      </c>
      <c r="BK790" t="str">
        <f t="shared" si="399"/>
        <v>Farmacia</v>
      </c>
      <c r="BL790" t="str">
        <f>""</f>
        <v/>
      </c>
      <c r="BM790" t="str">
        <f>""</f>
        <v/>
      </c>
      <c r="BN790" t="str">
        <f>""</f>
        <v/>
      </c>
      <c r="BO790" t="str">
        <f>""</f>
        <v/>
      </c>
      <c r="BP790" t="str">
        <f>""</f>
        <v/>
      </c>
      <c r="BQ790" t="str">
        <f>""</f>
        <v/>
      </c>
      <c r="BR790" t="str">
        <f>"11/07/2023"</f>
        <v>11/07/2023</v>
      </c>
      <c r="BS790" t="str">
        <f>""</f>
        <v/>
      </c>
      <c r="BT790" t="str">
        <f>""</f>
        <v/>
      </c>
      <c r="BU790" t="str">
        <f>""</f>
        <v/>
      </c>
      <c r="BV790" t="str">
        <f>""</f>
        <v/>
      </c>
      <c r="BW790" t="str">
        <f t="shared" si="406"/>
        <v>Não visitado</v>
      </c>
    </row>
    <row r="791" spans="1:75" x14ac:dyDescent="0.35">
      <c r="A791">
        <v>144698</v>
      </c>
      <c r="B791" t="str">
        <f t="shared" si="394"/>
        <v>A</v>
      </c>
      <c r="C791" t="str">
        <f t="shared" si="395"/>
        <v>80</v>
      </c>
      <c r="D791" t="str">
        <f t="shared" si="384"/>
        <v>11121002</v>
      </c>
      <c r="E791" t="str">
        <f t="shared" si="385"/>
        <v>121002</v>
      </c>
      <c r="F791" t="str">
        <f t="shared" si="386"/>
        <v>CINTHIA NORONHA</v>
      </c>
      <c r="G791" t="str">
        <f>"27738662000110"</f>
        <v>27738662000110</v>
      </c>
      <c r="H791" t="str">
        <f>""</f>
        <v/>
      </c>
      <c r="I791" t="str">
        <f t="shared" si="396"/>
        <v>CONTA OPTICA</v>
      </c>
      <c r="J791" t="str">
        <f>"JULIA NAZARIO FERNANDES"</f>
        <v>JULIA NAZARIO FERNANDES</v>
      </c>
      <c r="K791" t="str">
        <f>"VENEZA  RELOJOARIA E OTICA (3799)"</f>
        <v>VENEZA  RELOJOARIA E OTICA (3799)</v>
      </c>
      <c r="L791" t="str">
        <f>""</f>
        <v/>
      </c>
      <c r="M791" t="str">
        <f>""</f>
        <v/>
      </c>
      <c r="N791" t="str">
        <f>"optica.veneza@hotmail.com"</f>
        <v>optica.veneza@hotmail.com</v>
      </c>
      <c r="O791" t="str">
        <f>""</f>
        <v/>
      </c>
      <c r="P791" t="str">
        <f>"RUA CESARE TIBALDESCHI"</f>
        <v>RUA CESARE TIBALDESCHI</v>
      </c>
      <c r="Q791" t="str">
        <f>"17"</f>
        <v>17</v>
      </c>
      <c r="R791" t="str">
        <f>"SALA 04"</f>
        <v>SALA 04</v>
      </c>
      <c r="S791" t="str">
        <f>"1269"</f>
        <v>1269</v>
      </c>
      <c r="T791" t="str">
        <f>"88865000"</f>
        <v>88865000</v>
      </c>
      <c r="U791" t="str">
        <f>"CENTRO"</f>
        <v>CENTRO</v>
      </c>
      <c r="V791" t="str">
        <f>"NOVA VENEZA"</f>
        <v>NOVA VENEZA</v>
      </c>
      <c r="W791" t="str">
        <f t="shared" si="402"/>
        <v>SC</v>
      </c>
      <c r="X791" t="str">
        <f t="shared" si="403"/>
        <v>48</v>
      </c>
      <c r="Y791" t="str">
        <f>"34361895"</f>
        <v>34361895</v>
      </c>
      <c r="Z791" t="str">
        <f>""</f>
        <v/>
      </c>
      <c r="AA791" t="str">
        <f>""</f>
        <v/>
      </c>
      <c r="AB791" t="str">
        <f>""</f>
        <v/>
      </c>
      <c r="AC791" t="str">
        <f>""</f>
        <v/>
      </c>
      <c r="AD791" t="str">
        <f>""</f>
        <v/>
      </c>
      <c r="AE791" t="str">
        <f>""</f>
        <v/>
      </c>
      <c r="AF791" t="str">
        <f>""</f>
        <v/>
      </c>
      <c r="AG791" t="str">
        <f>""</f>
        <v/>
      </c>
      <c r="AH791" t="str">
        <f>""</f>
        <v/>
      </c>
      <c r="AI791" t="str">
        <f>""</f>
        <v/>
      </c>
      <c r="AJ791" t="str">
        <f t="shared" ref="AJ791:AL795" si="407">"0"</f>
        <v>0</v>
      </c>
      <c r="AK791" t="str">
        <f t="shared" si="407"/>
        <v>0</v>
      </c>
      <c r="AL791" t="str">
        <f t="shared" si="407"/>
        <v>0</v>
      </c>
      <c r="AM791" t="str">
        <f>""</f>
        <v/>
      </c>
      <c r="AN791" t="str">
        <f>""</f>
        <v/>
      </c>
      <c r="AO791" t="str">
        <f>""</f>
        <v/>
      </c>
      <c r="AP791" t="str">
        <f>""</f>
        <v/>
      </c>
      <c r="AQ791" t="str">
        <f>""</f>
        <v/>
      </c>
      <c r="AR791" t="str">
        <f>""</f>
        <v/>
      </c>
      <c r="AS791" t="str">
        <f>""</f>
        <v/>
      </c>
      <c r="AT791" t="str">
        <f>""</f>
        <v/>
      </c>
      <c r="AU791" t="str">
        <f>""</f>
        <v/>
      </c>
      <c r="AV791" t="str">
        <f>""</f>
        <v/>
      </c>
      <c r="AW791" t="str">
        <f>""</f>
        <v/>
      </c>
      <c r="AX791" t="str">
        <f>""</f>
        <v/>
      </c>
      <c r="AY791" t="str">
        <f>""</f>
        <v/>
      </c>
      <c r="AZ791" t="str">
        <f>""</f>
        <v/>
      </c>
      <c r="BA791" t="str">
        <f>""</f>
        <v/>
      </c>
      <c r="BB791" t="str">
        <f>""</f>
        <v/>
      </c>
      <c r="BC791" t="str">
        <f>""</f>
        <v/>
      </c>
      <c r="BD791" t="str">
        <f>""</f>
        <v/>
      </c>
      <c r="BE791" t="str">
        <f>""</f>
        <v/>
      </c>
      <c r="BF791" t="str">
        <f t="shared" si="397"/>
        <v>A</v>
      </c>
      <c r="BG791" t="str">
        <f t="shared" ref="BG791:BH795" si="408">"0,00"</f>
        <v>0,00</v>
      </c>
      <c r="BH791" t="str">
        <f t="shared" si="408"/>
        <v>0,00</v>
      </c>
      <c r="BI791" t="str">
        <f t="shared" si="378"/>
        <v>EVENTUAL</v>
      </c>
      <c r="BJ791" t="str">
        <f t="shared" si="398"/>
        <v>1</v>
      </c>
      <c r="BK791" t="str">
        <f t="shared" si="399"/>
        <v>Farmacia</v>
      </c>
      <c r="BL791" t="str">
        <f>""</f>
        <v/>
      </c>
      <c r="BM791" t="str">
        <f>"NÃO É VARILUX ESPECIALISTA"</f>
        <v>NÃO É VARILUX ESPECIALISTA</v>
      </c>
      <c r="BN791" t="str">
        <f>"NA"</f>
        <v>NA</v>
      </c>
      <c r="BO791" t="str">
        <f>"OUTROS"</f>
        <v>OUTROS</v>
      </c>
      <c r="BP791" t="str">
        <f>""</f>
        <v/>
      </c>
      <c r="BQ791" t="str">
        <f>""</f>
        <v/>
      </c>
      <c r="BR791" t="str">
        <f>""</f>
        <v/>
      </c>
      <c r="BS791" t="str">
        <f>""</f>
        <v/>
      </c>
      <c r="BT791" t="str">
        <f>""</f>
        <v/>
      </c>
      <c r="BU791" t="str">
        <f>""</f>
        <v/>
      </c>
      <c r="BV791" t="str">
        <f>"9"</f>
        <v>9</v>
      </c>
      <c r="BW791" t="str">
        <f t="shared" si="406"/>
        <v>Não visitado</v>
      </c>
    </row>
    <row r="792" spans="1:75" x14ac:dyDescent="0.35">
      <c r="A792">
        <v>133765</v>
      </c>
      <c r="B792" t="str">
        <f t="shared" si="394"/>
        <v>A</v>
      </c>
      <c r="C792" t="str">
        <f t="shared" si="395"/>
        <v>80</v>
      </c>
      <c r="D792" t="str">
        <f t="shared" si="384"/>
        <v>11121002</v>
      </c>
      <c r="E792" t="str">
        <f t="shared" si="385"/>
        <v>121002</v>
      </c>
      <c r="F792" t="str">
        <f t="shared" si="386"/>
        <v>CINTHIA NORONHA</v>
      </c>
      <c r="G792" t="str">
        <f>"03377474000145"</f>
        <v>03377474000145</v>
      </c>
      <c r="H792" t="str">
        <f>"0"</f>
        <v>0</v>
      </c>
      <c r="I792" t="str">
        <f t="shared" si="396"/>
        <v>CONTA OPTICA</v>
      </c>
      <c r="J792" t="str">
        <f>"JULIANO MEDEIROS PORTO"</f>
        <v>JULIANO MEDEIROS PORTO</v>
      </c>
      <c r="K792" t="str">
        <f>"RELOJOARIA E OPTICA VISAO BRILHANTY (4257)"</f>
        <v>RELOJOARIA E OPTICA VISAO BRILHANTY (4257)</v>
      </c>
      <c r="L792" t="str">
        <f>""</f>
        <v/>
      </c>
      <c r="M792" t="str">
        <f>""</f>
        <v/>
      </c>
      <c r="N792" t="str">
        <f>"opticabrilhanty@hotmail.com"</f>
        <v>opticabrilhanty@hotmail.com</v>
      </c>
      <c r="O792" t="str">
        <f>""</f>
        <v/>
      </c>
      <c r="P792" t="str">
        <f>"AVENIDA DUQUE DE CAXIAS"</f>
        <v>AVENIDA DUQUE DE CAXIAS</v>
      </c>
      <c r="Q792" t="str">
        <f>"565"</f>
        <v>565</v>
      </c>
      <c r="R792" t="str">
        <f>""</f>
        <v/>
      </c>
      <c r="S792" t="str">
        <f>"1268"</f>
        <v>1268</v>
      </c>
      <c r="T792" t="str">
        <f>"88715000"</f>
        <v>88715000</v>
      </c>
      <c r="U792" t="str">
        <f>"CENTRO"</f>
        <v>CENTRO</v>
      </c>
      <c r="V792" t="str">
        <f>"JAGUARUNA"</f>
        <v>JAGUARUNA</v>
      </c>
      <c r="W792" t="str">
        <f t="shared" si="402"/>
        <v>SC</v>
      </c>
      <c r="X792" t="str">
        <f t="shared" si="403"/>
        <v>48</v>
      </c>
      <c r="Y792" t="str">
        <f>"36242086"</f>
        <v>36242086</v>
      </c>
      <c r="Z792" t="str">
        <f>""</f>
        <v/>
      </c>
      <c r="AA792" t="str">
        <f>""</f>
        <v/>
      </c>
      <c r="AB792" t="str">
        <f>""</f>
        <v/>
      </c>
      <c r="AC792" t="str">
        <f>""</f>
        <v/>
      </c>
      <c r="AD792" t="str">
        <f>""</f>
        <v/>
      </c>
      <c r="AE792" t="str">
        <f>""</f>
        <v/>
      </c>
      <c r="AF792" t="str">
        <f>""</f>
        <v/>
      </c>
      <c r="AG792" t="str">
        <f>""</f>
        <v/>
      </c>
      <c r="AH792" t="str">
        <f>""</f>
        <v/>
      </c>
      <c r="AI792" t="str">
        <f>""</f>
        <v/>
      </c>
      <c r="AJ792" t="str">
        <f t="shared" si="407"/>
        <v>0</v>
      </c>
      <c r="AK792" t="str">
        <f t="shared" si="407"/>
        <v>0</v>
      </c>
      <c r="AL792" t="str">
        <f t="shared" si="407"/>
        <v>0</v>
      </c>
      <c r="AM792" t="str">
        <f>""</f>
        <v/>
      </c>
      <c r="AN792" t="str">
        <f>""</f>
        <v/>
      </c>
      <c r="AO792" t="str">
        <f>""</f>
        <v/>
      </c>
      <c r="AP792" t="str">
        <f>""</f>
        <v/>
      </c>
      <c r="AQ792" t="str">
        <f>""</f>
        <v/>
      </c>
      <c r="AR792" t="str">
        <f>""</f>
        <v/>
      </c>
      <c r="AS792" t="str">
        <f>""</f>
        <v/>
      </c>
      <c r="AT792" t="str">
        <f>""</f>
        <v/>
      </c>
      <c r="AU792" t="str">
        <f>""</f>
        <v/>
      </c>
      <c r="AV792" t="str">
        <f>""</f>
        <v/>
      </c>
      <c r="AW792" t="str">
        <f>""</f>
        <v/>
      </c>
      <c r="AX792" t="str">
        <f>""</f>
        <v/>
      </c>
      <c r="AY792" t="str">
        <f>""</f>
        <v/>
      </c>
      <c r="AZ792" t="str">
        <f>""</f>
        <v/>
      </c>
      <c r="BA792" t="str">
        <f>""</f>
        <v/>
      </c>
      <c r="BB792" t="str">
        <f>"19/02/2021 10:15:59"</f>
        <v>19/02/2021 10:15:59</v>
      </c>
      <c r="BC792" t="str">
        <f>""</f>
        <v/>
      </c>
      <c r="BD792" t="str">
        <f>""</f>
        <v/>
      </c>
      <c r="BE792" t="str">
        <f>""</f>
        <v/>
      </c>
      <c r="BF792" t="str">
        <f t="shared" si="397"/>
        <v>A</v>
      </c>
      <c r="BG792" t="str">
        <f t="shared" si="408"/>
        <v>0,00</v>
      </c>
      <c r="BH792" t="str">
        <f t="shared" si="408"/>
        <v>0,00</v>
      </c>
      <c r="BI792" t="str">
        <f t="shared" si="378"/>
        <v>EVENTUAL</v>
      </c>
      <c r="BJ792" t="str">
        <f t="shared" si="398"/>
        <v>1</v>
      </c>
      <c r="BK792" t="str">
        <f t="shared" si="399"/>
        <v>Farmacia</v>
      </c>
      <c r="BL792" t="str">
        <f>""</f>
        <v/>
      </c>
      <c r="BM792" t="str">
        <f>"NÃO É VARILUX ESPECIALISTA"</f>
        <v>NÃO É VARILUX ESPECIALISTA</v>
      </c>
      <c r="BN792" t="str">
        <f>"NA"</f>
        <v>NA</v>
      </c>
      <c r="BO792" t="str">
        <f>"OUTROS"</f>
        <v>OUTROS</v>
      </c>
      <c r="BP792" t="str">
        <f>""</f>
        <v/>
      </c>
      <c r="BQ792" t="str">
        <f>""</f>
        <v/>
      </c>
      <c r="BR792" t="str">
        <f>"19/02/2021"</f>
        <v>19/02/2021</v>
      </c>
      <c r="BS792" t="str">
        <f>""</f>
        <v/>
      </c>
      <c r="BT792" t="str">
        <f>""</f>
        <v/>
      </c>
      <c r="BU792" t="str">
        <f>""</f>
        <v/>
      </c>
      <c r="BV792" t="str">
        <f>"9"</f>
        <v>9</v>
      </c>
      <c r="BW792" t="str">
        <f t="shared" si="406"/>
        <v>Não visitado</v>
      </c>
    </row>
    <row r="793" spans="1:75" x14ac:dyDescent="0.35">
      <c r="A793">
        <v>144362</v>
      </c>
      <c r="B793" t="str">
        <f t="shared" si="394"/>
        <v>A</v>
      </c>
      <c r="C793" t="str">
        <f t="shared" si="395"/>
        <v>80</v>
      </c>
      <c r="D793" t="str">
        <f t="shared" si="384"/>
        <v>11121002</v>
      </c>
      <c r="E793" t="str">
        <f t="shared" si="385"/>
        <v>121002</v>
      </c>
      <c r="F793" t="str">
        <f t="shared" si="386"/>
        <v>CINTHIA NORONHA</v>
      </c>
      <c r="G793" t="str">
        <f>"75492033000103"</f>
        <v>75492033000103</v>
      </c>
      <c r="H793" t="str">
        <f>""</f>
        <v/>
      </c>
      <c r="I793" t="str">
        <f t="shared" si="396"/>
        <v>CONTA OPTICA</v>
      </c>
      <c r="J793" t="str">
        <f>"JULIO SULZBACHER NETO ME"</f>
        <v>JULIO SULZBACHER NETO ME</v>
      </c>
      <c r="K793" t="str">
        <f>"GOLD OTICA.JOAL. (104)"</f>
        <v>GOLD OTICA.JOAL. (104)</v>
      </c>
      <c r="L793" t="str">
        <f>""</f>
        <v/>
      </c>
      <c r="M793" t="str">
        <f>""</f>
        <v/>
      </c>
      <c r="N793" t="str">
        <f>"oticagold@ibest.com.br"</f>
        <v>oticagold@ibest.com.br</v>
      </c>
      <c r="O793" t="str">
        <f>""</f>
        <v/>
      </c>
      <c r="P793" t="str">
        <f>"RUA GETULIO VARGAS"</f>
        <v>RUA GETULIO VARGAS</v>
      </c>
      <c r="Q793" t="str">
        <f>"126"</f>
        <v>126</v>
      </c>
      <c r="R793" t="str">
        <f>""</f>
        <v/>
      </c>
      <c r="S793" t="str">
        <f>"1269"</f>
        <v>1269</v>
      </c>
      <c r="T793" t="str">
        <f>"88801500"</f>
        <v>88801500</v>
      </c>
      <c r="U793" t="str">
        <f>"CENTRO"</f>
        <v>CENTRO</v>
      </c>
      <c r="V793" t="str">
        <f>"CRICIÚMA"</f>
        <v>CRICIÚMA</v>
      </c>
      <c r="W793" t="str">
        <f t="shared" si="402"/>
        <v>SC</v>
      </c>
      <c r="X793" t="str">
        <f t="shared" si="403"/>
        <v>48</v>
      </c>
      <c r="Y793" t="str">
        <f>"34370688"</f>
        <v>34370688</v>
      </c>
      <c r="Z793" t="str">
        <f>""</f>
        <v/>
      </c>
      <c r="AA793" t="str">
        <f>""</f>
        <v/>
      </c>
      <c r="AB793" t="str">
        <f>""</f>
        <v/>
      </c>
      <c r="AC793" t="str">
        <f>""</f>
        <v/>
      </c>
      <c r="AD793" t="str">
        <f>""</f>
        <v/>
      </c>
      <c r="AE793" t="str">
        <f>""</f>
        <v/>
      </c>
      <c r="AF793" t="str">
        <f>""</f>
        <v/>
      </c>
      <c r="AG793" t="str">
        <f>""</f>
        <v/>
      </c>
      <c r="AH793" t="str">
        <f>""</f>
        <v/>
      </c>
      <c r="AI793" t="str">
        <f>""</f>
        <v/>
      </c>
      <c r="AJ793" t="str">
        <f t="shared" si="407"/>
        <v>0</v>
      </c>
      <c r="AK793" t="str">
        <f t="shared" si="407"/>
        <v>0</v>
      </c>
      <c r="AL793" t="str">
        <f t="shared" si="407"/>
        <v>0</v>
      </c>
      <c r="AM793" t="str">
        <f>""</f>
        <v/>
      </c>
      <c r="AN793" t="str">
        <f>""</f>
        <v/>
      </c>
      <c r="AO793" t="str">
        <f>""</f>
        <v/>
      </c>
      <c r="AP793" t="str">
        <f>""</f>
        <v/>
      </c>
      <c r="AQ793" t="str">
        <f>""</f>
        <v/>
      </c>
      <c r="AR793" t="str">
        <f>""</f>
        <v/>
      </c>
      <c r="AS793" t="str">
        <f>""</f>
        <v/>
      </c>
      <c r="AT793" t="str">
        <f>""</f>
        <v/>
      </c>
      <c r="AU793" t="str">
        <f>""</f>
        <v/>
      </c>
      <c r="AV793" t="str">
        <f>""</f>
        <v/>
      </c>
      <c r="AW793" t="str">
        <f>""</f>
        <v/>
      </c>
      <c r="AX793" t="str">
        <f>""</f>
        <v/>
      </c>
      <c r="AY793" t="str">
        <f>""</f>
        <v/>
      </c>
      <c r="AZ793" t="str">
        <f>""</f>
        <v/>
      </c>
      <c r="BA793" t="str">
        <f>""</f>
        <v/>
      </c>
      <c r="BB793" t="str">
        <f>""</f>
        <v/>
      </c>
      <c r="BC793" t="str">
        <f>""</f>
        <v/>
      </c>
      <c r="BD793" t="str">
        <f>""</f>
        <v/>
      </c>
      <c r="BE793" t="str">
        <f>""</f>
        <v/>
      </c>
      <c r="BF793" t="str">
        <f t="shared" si="397"/>
        <v>A</v>
      </c>
      <c r="BG793" t="str">
        <f t="shared" si="408"/>
        <v>0,00</v>
      </c>
      <c r="BH793" t="str">
        <f t="shared" si="408"/>
        <v>0,00</v>
      </c>
      <c r="BI793" t="str">
        <f t="shared" si="378"/>
        <v>EVENTUAL</v>
      </c>
      <c r="BJ793" t="str">
        <f t="shared" si="398"/>
        <v>1</v>
      </c>
      <c r="BK793" t="str">
        <f t="shared" si="399"/>
        <v>Farmacia</v>
      </c>
      <c r="BL793" t="str">
        <f>""</f>
        <v/>
      </c>
      <c r="BM793" t="str">
        <f>"VARILUX ESPECIALISTA SELECT"</f>
        <v>VARILUX ESPECIALISTA SELECT</v>
      </c>
      <c r="BN793" t="str">
        <f>"NA"</f>
        <v>NA</v>
      </c>
      <c r="BO793" t="str">
        <f>"FOCO VARILUX DIGITAL"</f>
        <v>FOCO VARILUX DIGITAL</v>
      </c>
      <c r="BP793" t="str">
        <f>""</f>
        <v/>
      </c>
      <c r="BQ793" t="str">
        <f>""</f>
        <v/>
      </c>
      <c r="BR793" t="str">
        <f>""</f>
        <v/>
      </c>
      <c r="BS793" t="str">
        <f>""</f>
        <v/>
      </c>
      <c r="BT793" t="str">
        <f>""</f>
        <v/>
      </c>
      <c r="BU793" t="str">
        <f>""</f>
        <v/>
      </c>
      <c r="BV793" t="str">
        <f>"1"</f>
        <v>1</v>
      </c>
      <c r="BW793" t="str">
        <f>"32"</f>
        <v>32</v>
      </c>
    </row>
    <row r="794" spans="1:75" x14ac:dyDescent="0.35">
      <c r="A794">
        <v>134227</v>
      </c>
      <c r="B794" t="str">
        <f t="shared" si="394"/>
        <v>A</v>
      </c>
      <c r="C794" t="str">
        <f t="shared" si="395"/>
        <v>80</v>
      </c>
      <c r="D794" t="str">
        <f t="shared" si="384"/>
        <v>11121002</v>
      </c>
      <c r="E794" t="str">
        <f t="shared" si="385"/>
        <v>121002</v>
      </c>
      <c r="F794" t="str">
        <f t="shared" si="386"/>
        <v>CINTHIA NORONHA</v>
      </c>
      <c r="G794" t="str">
        <f>"11406800000123"</f>
        <v>11406800000123</v>
      </c>
      <c r="H794" t="str">
        <f>""</f>
        <v/>
      </c>
      <c r="I794" t="str">
        <f t="shared" si="396"/>
        <v>CONTA OPTICA</v>
      </c>
      <c r="J794" t="str">
        <f>"JUMA OTICA LTDA"</f>
        <v>JUMA OTICA LTDA</v>
      </c>
      <c r="K794" t="str">
        <f>"OTICA CONCEITO (1704)"</f>
        <v>OTICA CONCEITO (1704)</v>
      </c>
      <c r="L794" t="str">
        <f>""</f>
        <v/>
      </c>
      <c r="M794" t="str">
        <f>""</f>
        <v/>
      </c>
      <c r="N794" t="str">
        <f>"oticaconceito@gmail.com"</f>
        <v>oticaconceito@gmail.com</v>
      </c>
      <c r="O794" t="str">
        <f>""</f>
        <v/>
      </c>
      <c r="P794" t="str">
        <f>"RUA ATILIO PAGANI"</f>
        <v>RUA ATILIO PAGANI</v>
      </c>
      <c r="Q794" t="str">
        <f>"270"</f>
        <v>270</v>
      </c>
      <c r="R794" t="str">
        <f>"LOJA 214 E 215"</f>
        <v>LOJA 214 E 215</v>
      </c>
      <c r="S794" t="str">
        <f>"1259"</f>
        <v>1259</v>
      </c>
      <c r="T794" t="str">
        <f>"88132149"</f>
        <v>88132149</v>
      </c>
      <c r="U794" t="str">
        <f>"PASSA VINTE"</f>
        <v>PASSA VINTE</v>
      </c>
      <c r="V794" t="str">
        <f>"PALHOÇA"</f>
        <v>PALHOÇA</v>
      </c>
      <c r="W794" t="str">
        <f t="shared" si="402"/>
        <v>SC</v>
      </c>
      <c r="X794" t="str">
        <f t="shared" si="403"/>
        <v>48</v>
      </c>
      <c r="Y794" t="str">
        <f>"30869074"</f>
        <v>30869074</v>
      </c>
      <c r="Z794" t="str">
        <f>""</f>
        <v/>
      </c>
      <c r="AA794" t="str">
        <f>""</f>
        <v/>
      </c>
      <c r="AB794" t="str">
        <f>""</f>
        <v/>
      </c>
      <c r="AC794" t="str">
        <f>""</f>
        <v/>
      </c>
      <c r="AD794" t="str">
        <f>""</f>
        <v/>
      </c>
      <c r="AE794" t="str">
        <f>""</f>
        <v/>
      </c>
      <c r="AF794" t="str">
        <f>""</f>
        <v/>
      </c>
      <c r="AG794" t="str">
        <f>"S"</f>
        <v>S</v>
      </c>
      <c r="AH794" t="str">
        <f>""</f>
        <v/>
      </c>
      <c r="AI794" t="str">
        <f>""</f>
        <v/>
      </c>
      <c r="AJ794" t="str">
        <f t="shared" si="407"/>
        <v>0</v>
      </c>
      <c r="AK794" t="str">
        <f t="shared" si="407"/>
        <v>0</v>
      </c>
      <c r="AL794" t="str">
        <f t="shared" si="407"/>
        <v>0</v>
      </c>
      <c r="AM794" t="str">
        <f>""</f>
        <v/>
      </c>
      <c r="AN794" t="str">
        <f>""</f>
        <v/>
      </c>
      <c r="AO794" t="str">
        <f>""</f>
        <v/>
      </c>
      <c r="AP794" t="str">
        <f>""</f>
        <v/>
      </c>
      <c r="AQ794" t="str">
        <f>"N"</f>
        <v>N</v>
      </c>
      <c r="AR794" t="str">
        <f>"N"</f>
        <v>N</v>
      </c>
      <c r="AS794" t="str">
        <f>"N"</f>
        <v>N</v>
      </c>
      <c r="AT794" t="str">
        <f>"N"</f>
        <v>N</v>
      </c>
      <c r="AU794" t="str">
        <f>"N"</f>
        <v>N</v>
      </c>
      <c r="AV794" t="str">
        <f>""</f>
        <v/>
      </c>
      <c r="AW794" t="str">
        <f>""</f>
        <v/>
      </c>
      <c r="AX794" t="str">
        <f>""</f>
        <v/>
      </c>
      <c r="AY794" t="str">
        <f>""</f>
        <v/>
      </c>
      <c r="AZ794" t="str">
        <f>""</f>
        <v/>
      </c>
      <c r="BA794" t="str">
        <f>""</f>
        <v/>
      </c>
      <c r="BB794" t="str">
        <f>""</f>
        <v/>
      </c>
      <c r="BC794" t="str">
        <f>"02/05/2022 17:37:14"</f>
        <v>02/05/2022 17:37:14</v>
      </c>
      <c r="BD794" t="str">
        <f>""</f>
        <v/>
      </c>
      <c r="BE794" t="str">
        <f>""</f>
        <v/>
      </c>
      <c r="BF794" t="str">
        <f t="shared" si="397"/>
        <v>A</v>
      </c>
      <c r="BG794" t="str">
        <f t="shared" si="408"/>
        <v>0,00</v>
      </c>
      <c r="BH794" t="str">
        <f t="shared" si="408"/>
        <v>0,00</v>
      </c>
      <c r="BI794" t="str">
        <f t="shared" si="378"/>
        <v>EVENTUAL</v>
      </c>
      <c r="BJ794" t="str">
        <f t="shared" si="398"/>
        <v>1</v>
      </c>
      <c r="BK794" t="str">
        <f t="shared" si="399"/>
        <v>Farmacia</v>
      </c>
      <c r="BL794" t="str">
        <f>""</f>
        <v/>
      </c>
      <c r="BM794" t="str">
        <f>"VARILUX ESPECIALISTA PLATINE"</f>
        <v>VARILUX ESPECIALISTA PLATINE</v>
      </c>
      <c r="BN794" t="str">
        <f>"NA"</f>
        <v>NA</v>
      </c>
      <c r="BO794" t="str">
        <f>"FOCO VARILUX DIGITAL"</f>
        <v>FOCO VARILUX DIGITAL</v>
      </c>
      <c r="BP794" t="str">
        <f>""</f>
        <v/>
      </c>
      <c r="BQ794" t="str">
        <f>""</f>
        <v/>
      </c>
      <c r="BR794" t="str">
        <f>""</f>
        <v/>
      </c>
      <c r="BS794" t="str">
        <f>"02/05/2022"</f>
        <v>02/05/2022</v>
      </c>
      <c r="BT794" t="str">
        <f>""</f>
        <v/>
      </c>
      <c r="BU794" t="str">
        <f>""</f>
        <v/>
      </c>
      <c r="BV794" t="str">
        <f>"1"</f>
        <v>1</v>
      </c>
      <c r="BW794" t="str">
        <f>"36"</f>
        <v>36</v>
      </c>
    </row>
    <row r="795" spans="1:75" x14ac:dyDescent="0.35">
      <c r="A795">
        <v>11</v>
      </c>
      <c r="B795" t="str">
        <f t="shared" si="394"/>
        <v>A</v>
      </c>
      <c r="C795" t="str">
        <f t="shared" si="395"/>
        <v>80</v>
      </c>
      <c r="D795" t="str">
        <f t="shared" si="384"/>
        <v>11121002</v>
      </c>
      <c r="E795" t="str">
        <f t="shared" si="385"/>
        <v>121002</v>
      </c>
      <c r="F795" t="str">
        <f t="shared" si="386"/>
        <v>CINTHIA NORONHA</v>
      </c>
      <c r="G795" t="str">
        <f>"00703159000172"</f>
        <v>00703159000172</v>
      </c>
      <c r="H795" t="str">
        <f>""</f>
        <v/>
      </c>
      <c r="I795" t="str">
        <f t="shared" si="396"/>
        <v>CONTA OPTICA</v>
      </c>
      <c r="J795" t="str">
        <f>"JUNER JOALHEIRO LTDA"</f>
        <v>JUNER JOALHEIRO LTDA</v>
      </c>
      <c r="K795" t="str">
        <f>"JUNER JOALHEIROS (981)"</f>
        <v>JUNER JOALHEIROS (981)</v>
      </c>
      <c r="L795" t="str">
        <f>""</f>
        <v/>
      </c>
      <c r="M795" t="str">
        <f>""</f>
        <v/>
      </c>
      <c r="N795" t="str">
        <f>"junerjoalheiro@hotmail.com"</f>
        <v>junerjoalheiro@hotmail.com</v>
      </c>
      <c r="O795" t="str">
        <f>""</f>
        <v/>
      </c>
      <c r="P795" t="str">
        <f>"TRAVESSA PADRE PEDRO BALDONCINI"</f>
        <v>TRAVESSA PADRE PEDRO BALDONCINI</v>
      </c>
      <c r="Q795" t="str">
        <f>"26"</f>
        <v>26</v>
      </c>
      <c r="R795" t="str">
        <f>""</f>
        <v/>
      </c>
      <c r="S795" t="str">
        <f>"1269"</f>
        <v>1269</v>
      </c>
      <c r="T795" t="str">
        <f>"88801050"</f>
        <v>88801050</v>
      </c>
      <c r="U795" t="str">
        <f>"CENTRO"</f>
        <v>CENTRO</v>
      </c>
      <c r="V795" t="str">
        <f>"CRICIÚMA"</f>
        <v>CRICIÚMA</v>
      </c>
      <c r="W795" t="str">
        <f t="shared" si="402"/>
        <v>SC</v>
      </c>
      <c r="X795" t="str">
        <f t="shared" si="403"/>
        <v>48</v>
      </c>
      <c r="Y795" t="str">
        <f>"34334494"</f>
        <v>34334494</v>
      </c>
      <c r="Z795" t="str">
        <f>""</f>
        <v/>
      </c>
      <c r="AA795" t="str">
        <f>""</f>
        <v/>
      </c>
      <c r="AB795" t="str">
        <f>""</f>
        <v/>
      </c>
      <c r="AC795" t="str">
        <f>""</f>
        <v/>
      </c>
      <c r="AD795" t="str">
        <f>""</f>
        <v/>
      </c>
      <c r="AE795" t="str">
        <f>""</f>
        <v/>
      </c>
      <c r="AF795" t="str">
        <f>""</f>
        <v/>
      </c>
      <c r="AG795" t="str">
        <f>""</f>
        <v/>
      </c>
      <c r="AH795" t="str">
        <f>""</f>
        <v/>
      </c>
      <c r="AI795" t="str">
        <f>""</f>
        <v/>
      </c>
      <c r="AJ795" t="str">
        <f t="shared" si="407"/>
        <v>0</v>
      </c>
      <c r="AK795" t="str">
        <f t="shared" si="407"/>
        <v>0</v>
      </c>
      <c r="AL795" t="str">
        <f t="shared" si="407"/>
        <v>0</v>
      </c>
      <c r="AM795" t="str">
        <f>""</f>
        <v/>
      </c>
      <c r="AN795" t="str">
        <f>""</f>
        <v/>
      </c>
      <c r="AO795" t="str">
        <f>""</f>
        <v/>
      </c>
      <c r="AP795" t="str">
        <f>""</f>
        <v/>
      </c>
      <c r="AQ795" t="str">
        <f>""</f>
        <v/>
      </c>
      <c r="AR795" t="str">
        <f>""</f>
        <v/>
      </c>
      <c r="AS795" t="str">
        <f>""</f>
        <v/>
      </c>
      <c r="AT795" t="str">
        <f>""</f>
        <v/>
      </c>
      <c r="AU795" t="str">
        <f>""</f>
        <v/>
      </c>
      <c r="AV795" t="str">
        <f>""</f>
        <v/>
      </c>
      <c r="AW795" t="str">
        <f>""</f>
        <v/>
      </c>
      <c r="AX795" t="str">
        <f>""</f>
        <v/>
      </c>
      <c r="AY795" t="str">
        <f>""</f>
        <v/>
      </c>
      <c r="AZ795" t="str">
        <f>""</f>
        <v/>
      </c>
      <c r="BA795" t="str">
        <f>""</f>
        <v/>
      </c>
      <c r="BB795" t="str">
        <f>"27/07/2018 09:25:30"</f>
        <v>27/07/2018 09:25:30</v>
      </c>
      <c r="BC795" t="str">
        <f>""</f>
        <v/>
      </c>
      <c r="BD795" t="str">
        <f>""</f>
        <v/>
      </c>
      <c r="BE795" t="str">
        <f>"11"</f>
        <v>11</v>
      </c>
      <c r="BF795" t="str">
        <f t="shared" si="397"/>
        <v>A</v>
      </c>
      <c r="BG795" t="str">
        <f t="shared" si="408"/>
        <v>0,00</v>
      </c>
      <c r="BH795" t="str">
        <f t="shared" si="408"/>
        <v>0,00</v>
      </c>
      <c r="BI795" t="str">
        <f t="shared" si="378"/>
        <v>EVENTUAL</v>
      </c>
      <c r="BJ795" t="str">
        <f t="shared" si="398"/>
        <v>1</v>
      </c>
      <c r="BK795" t="str">
        <f t="shared" si="399"/>
        <v>Farmacia</v>
      </c>
      <c r="BL795" t="str">
        <f>""</f>
        <v/>
      </c>
      <c r="BM795" t="str">
        <f>"NÃO É VARILUX ESPECIALISTA"</f>
        <v>NÃO É VARILUX ESPECIALISTA</v>
      </c>
      <c r="BN795" t="str">
        <f>"NA"</f>
        <v>NA</v>
      </c>
      <c r="BO795" t="str">
        <f>"FOCO VARILUX DIGITAL"</f>
        <v>FOCO VARILUX DIGITAL</v>
      </c>
      <c r="BP795" t="str">
        <f>""</f>
        <v/>
      </c>
      <c r="BQ795" t="str">
        <f>""</f>
        <v/>
      </c>
      <c r="BR795" t="str">
        <f>"27/07/2018"</f>
        <v>27/07/2018</v>
      </c>
      <c r="BS795" t="str">
        <f>""</f>
        <v/>
      </c>
      <c r="BT795" t="str">
        <f>""</f>
        <v/>
      </c>
      <c r="BU795" t="str">
        <f>""</f>
        <v/>
      </c>
      <c r="BV795" t="str">
        <f>"5"</f>
        <v>5</v>
      </c>
      <c r="BW795" t="str">
        <f>"121"</f>
        <v>121</v>
      </c>
    </row>
    <row r="796" spans="1:75" x14ac:dyDescent="0.35">
      <c r="A796">
        <v>156911</v>
      </c>
      <c r="B796" t="str">
        <f t="shared" si="394"/>
        <v>A</v>
      </c>
      <c r="C796" t="str">
        <f t="shared" si="395"/>
        <v>80</v>
      </c>
      <c r="D796" t="str">
        <f t="shared" si="384"/>
        <v>11121002</v>
      </c>
      <c r="E796" t="str">
        <f t="shared" si="385"/>
        <v>121002</v>
      </c>
      <c r="F796" t="str">
        <f t="shared" si="386"/>
        <v>CINTHIA NORONHA</v>
      </c>
      <c r="G796" t="str">
        <f>"45510907000139"</f>
        <v>45510907000139</v>
      </c>
      <c r="H796" t="str">
        <f>"0"</f>
        <v>0</v>
      </c>
      <c r="I796" t="str">
        <f t="shared" si="396"/>
        <v>CONTA OPTICA</v>
      </c>
      <c r="J796" t="str">
        <f>"KARY OPTICA LTDA"</f>
        <v>KARY OPTICA LTDA</v>
      </c>
      <c r="K796" t="str">
        <f>"KARY OPTICA (4517)"</f>
        <v>KARY OPTICA (4517)</v>
      </c>
      <c r="L796" t="str">
        <f>""</f>
        <v/>
      </c>
      <c r="M796" t="str">
        <f>""</f>
        <v/>
      </c>
      <c r="N796" t="str">
        <f>"KARYOPTICA2022@HOTMAIL.COM"</f>
        <v>KARYOPTICA2022@HOTMAIL.COM</v>
      </c>
      <c r="O796" t="str">
        <f>""</f>
        <v/>
      </c>
      <c r="P796" t="str">
        <f>"RUA PADRE ANTONIO MARANGONI"</f>
        <v>RUA PADRE ANTONIO MARANGONI</v>
      </c>
      <c r="Q796" t="str">
        <f>"9"</f>
        <v>9</v>
      </c>
      <c r="R796" t="str">
        <f>"SALA 1"</f>
        <v>SALA 1</v>
      </c>
      <c r="S796" t="str">
        <f>""</f>
        <v/>
      </c>
      <c r="T796" t="str">
        <f>"88720000"</f>
        <v>88720000</v>
      </c>
      <c r="U796" t="str">
        <f>"CENTRO"</f>
        <v>CENTRO</v>
      </c>
      <c r="V796" t="str">
        <f>"PEDRAS GRANDES"</f>
        <v>PEDRAS GRANDES</v>
      </c>
      <c r="W796" t="str">
        <f t="shared" si="402"/>
        <v>SC</v>
      </c>
      <c r="X796" t="str">
        <f t="shared" si="403"/>
        <v>48</v>
      </c>
      <c r="Y796" t="str">
        <f>"991648372"</f>
        <v>991648372</v>
      </c>
      <c r="Z796" t="str">
        <f>""</f>
        <v/>
      </c>
      <c r="AA796" t="str">
        <f>""</f>
        <v/>
      </c>
      <c r="AB796" t="str">
        <f>""</f>
        <v/>
      </c>
      <c r="AC796" t="str">
        <f>""</f>
        <v/>
      </c>
      <c r="AD796" t="str">
        <f>""</f>
        <v/>
      </c>
      <c r="AE796" t="str">
        <f>""</f>
        <v/>
      </c>
      <c r="AF796" t="str">
        <f>""</f>
        <v/>
      </c>
      <c r="AG796" t="str">
        <f>""</f>
        <v/>
      </c>
      <c r="AH796" t="str">
        <f>""</f>
        <v/>
      </c>
      <c r="AI796" t="str">
        <f>""</f>
        <v/>
      </c>
      <c r="AJ796" t="str">
        <f>""</f>
        <v/>
      </c>
      <c r="AK796" t="str">
        <f>""</f>
        <v/>
      </c>
      <c r="AL796" t="str">
        <f>""</f>
        <v/>
      </c>
      <c r="AM796" t="str">
        <f>""</f>
        <v/>
      </c>
      <c r="AN796" t="str">
        <f>""</f>
        <v/>
      </c>
      <c r="AO796" t="str">
        <f>""</f>
        <v/>
      </c>
      <c r="AP796" t="str">
        <f>""</f>
        <v/>
      </c>
      <c r="AQ796" t="str">
        <f>""</f>
        <v/>
      </c>
      <c r="AR796" t="str">
        <f>""</f>
        <v/>
      </c>
      <c r="AS796" t="str">
        <f>""</f>
        <v/>
      </c>
      <c r="AT796" t="str">
        <f>""</f>
        <v/>
      </c>
      <c r="AU796" t="str">
        <f>""</f>
        <v/>
      </c>
      <c r="AV796" t="str">
        <f>""</f>
        <v/>
      </c>
      <c r="AW796" t="str">
        <f>""</f>
        <v/>
      </c>
      <c r="AX796" t="str">
        <f>""</f>
        <v/>
      </c>
      <c r="AY796" t="str">
        <f>""</f>
        <v/>
      </c>
      <c r="AZ796" t="str">
        <f>""</f>
        <v/>
      </c>
      <c r="BA796" t="str">
        <f>""</f>
        <v/>
      </c>
      <c r="BB796" t="str">
        <f>"06/07/2023 12:07:48"</f>
        <v>06/07/2023 12:07:48</v>
      </c>
      <c r="BC796" t="str">
        <f>""</f>
        <v/>
      </c>
      <c r="BD796" t="str">
        <f>""</f>
        <v/>
      </c>
      <c r="BE796" t="str">
        <f>""</f>
        <v/>
      </c>
      <c r="BF796" t="str">
        <f t="shared" si="397"/>
        <v>A</v>
      </c>
      <c r="BG796" t="str">
        <f>""</f>
        <v/>
      </c>
      <c r="BH796" t="str">
        <f>""</f>
        <v/>
      </c>
      <c r="BI796" t="str">
        <f t="shared" si="378"/>
        <v>EVENTUAL</v>
      </c>
      <c r="BJ796" t="str">
        <f t="shared" si="398"/>
        <v>1</v>
      </c>
      <c r="BK796" t="str">
        <f t="shared" si="399"/>
        <v>Farmacia</v>
      </c>
      <c r="BL796" t="str">
        <f>""</f>
        <v/>
      </c>
      <c r="BM796" t="str">
        <f>""</f>
        <v/>
      </c>
      <c r="BN796" t="str">
        <f>""</f>
        <v/>
      </c>
      <c r="BO796" t="str">
        <f>""</f>
        <v/>
      </c>
      <c r="BP796" t="str">
        <f>""</f>
        <v/>
      </c>
      <c r="BQ796" t="str">
        <f>""</f>
        <v/>
      </c>
      <c r="BR796" t="str">
        <f>"06/07/2023"</f>
        <v>06/07/2023</v>
      </c>
      <c r="BS796" t="str">
        <f>""</f>
        <v/>
      </c>
      <c r="BT796" t="str">
        <f>""</f>
        <v/>
      </c>
      <c r="BU796" t="str">
        <f>""</f>
        <v/>
      </c>
      <c r="BV796" t="str">
        <f>""</f>
        <v/>
      </c>
      <c r="BW796" t="str">
        <f>"128"</f>
        <v>128</v>
      </c>
    </row>
    <row r="797" spans="1:75" x14ac:dyDescent="0.35">
      <c r="A797">
        <v>157714</v>
      </c>
      <c r="B797" t="str">
        <f t="shared" si="394"/>
        <v>A</v>
      </c>
      <c r="C797" t="str">
        <f t="shared" si="395"/>
        <v>80</v>
      </c>
      <c r="D797" t="str">
        <f t="shared" si="384"/>
        <v>11121002</v>
      </c>
      <c r="E797" t="str">
        <f t="shared" si="385"/>
        <v>121002</v>
      </c>
      <c r="F797" t="str">
        <f t="shared" si="386"/>
        <v>CINTHIA NORONHA</v>
      </c>
      <c r="G797" t="str">
        <f>"16967753000100"</f>
        <v>16967753000100</v>
      </c>
      <c r="H797" t="str">
        <f>"0"</f>
        <v>0</v>
      </c>
      <c r="I797" t="str">
        <f t="shared" si="396"/>
        <v>CONTA OPTICA</v>
      </c>
      <c r="J797" t="str">
        <f>"KEV COMERCIO DE PRODUTOS OPTICOS LTDA ME"</f>
        <v>KEV COMERCIO DE PRODUTOS OPTICOS LTDA ME</v>
      </c>
      <c r="K797" t="str">
        <f>"OTICA ILUMINNAH (2018)"</f>
        <v>OTICA ILUMINNAH (2018)</v>
      </c>
      <c r="L797" t="str">
        <f>""</f>
        <v/>
      </c>
      <c r="M797" t="str">
        <f>""</f>
        <v/>
      </c>
      <c r="N797" t="str">
        <f>""</f>
        <v/>
      </c>
      <c r="O797" t="str">
        <f>""</f>
        <v/>
      </c>
      <c r="P797" t="str">
        <f>"RUA GENERAL LIBERATO BITTENCOURT"</f>
        <v>RUA GENERAL LIBERATO BITTENCOURT</v>
      </c>
      <c r="Q797" t="str">
        <f>"1602"</f>
        <v>1602</v>
      </c>
      <c r="R797" t="str">
        <f>"SALA A"</f>
        <v>SALA A</v>
      </c>
      <c r="S797" t="str">
        <f>"1258"</f>
        <v>1258</v>
      </c>
      <c r="T797" t="str">
        <f>"88075400"</f>
        <v>88075400</v>
      </c>
      <c r="U797" t="str">
        <f>"BALNEARIO"</f>
        <v>BALNEARIO</v>
      </c>
      <c r="V797" t="str">
        <f>"FLORIANOPOLIS"</f>
        <v>FLORIANOPOLIS</v>
      </c>
      <c r="W797" t="str">
        <f t="shared" si="402"/>
        <v>SC</v>
      </c>
      <c r="X797" t="str">
        <f t="shared" si="403"/>
        <v>48</v>
      </c>
      <c r="Y797" t="str">
        <f>"30255033"</f>
        <v>30255033</v>
      </c>
      <c r="Z797" t="str">
        <f>""</f>
        <v/>
      </c>
      <c r="AA797" t="str">
        <f>""</f>
        <v/>
      </c>
      <c r="AB797" t="str">
        <f>""</f>
        <v/>
      </c>
      <c r="AC797" t="str">
        <f>""</f>
        <v/>
      </c>
      <c r="AD797" t="str">
        <f>""</f>
        <v/>
      </c>
      <c r="AE797" t="str">
        <f>""</f>
        <v/>
      </c>
      <c r="AF797" t="str">
        <f>""</f>
        <v/>
      </c>
      <c r="AG797" t="str">
        <f>""</f>
        <v/>
      </c>
      <c r="AH797" t="str">
        <f>""</f>
        <v/>
      </c>
      <c r="AI797" t="str">
        <f>""</f>
        <v/>
      </c>
      <c r="AJ797" t="str">
        <f>""</f>
        <v/>
      </c>
      <c r="AK797" t="str">
        <f>""</f>
        <v/>
      </c>
      <c r="AL797" t="str">
        <f>""</f>
        <v/>
      </c>
      <c r="AM797" t="str">
        <f>""</f>
        <v/>
      </c>
      <c r="AN797" t="str">
        <f>""</f>
        <v/>
      </c>
      <c r="AO797" t="str">
        <f>""</f>
        <v/>
      </c>
      <c r="AP797" t="str">
        <f>""</f>
        <v/>
      </c>
      <c r="AQ797" t="str">
        <f>""</f>
        <v/>
      </c>
      <c r="AR797" t="str">
        <f>""</f>
        <v/>
      </c>
      <c r="AS797" t="str">
        <f>""</f>
        <v/>
      </c>
      <c r="AT797" t="str">
        <f>""</f>
        <v/>
      </c>
      <c r="AU797" t="str">
        <f>""</f>
        <v/>
      </c>
      <c r="AV797" t="str">
        <f>""</f>
        <v/>
      </c>
      <c r="AW797" t="str">
        <f>""</f>
        <v/>
      </c>
      <c r="AX797" t="str">
        <f>""</f>
        <v/>
      </c>
      <c r="AY797" t="str">
        <f>""</f>
        <v/>
      </c>
      <c r="AZ797" t="str">
        <f>""</f>
        <v/>
      </c>
      <c r="BA797" t="str">
        <f>""</f>
        <v/>
      </c>
      <c r="BB797" t="str">
        <f>"11/07/2023 02:19:56"</f>
        <v>11/07/2023 02:19:56</v>
      </c>
      <c r="BC797" t="str">
        <f>""</f>
        <v/>
      </c>
      <c r="BD797" t="str">
        <f>""</f>
        <v/>
      </c>
      <c r="BE797" t="str">
        <f>""</f>
        <v/>
      </c>
      <c r="BF797" t="str">
        <f t="shared" si="397"/>
        <v>A</v>
      </c>
      <c r="BG797" t="str">
        <f>""</f>
        <v/>
      </c>
      <c r="BH797" t="str">
        <f>""</f>
        <v/>
      </c>
      <c r="BI797" t="str">
        <f t="shared" si="378"/>
        <v>EVENTUAL</v>
      </c>
      <c r="BJ797" t="str">
        <f t="shared" si="398"/>
        <v>1</v>
      </c>
      <c r="BK797" t="str">
        <f t="shared" si="399"/>
        <v>Farmacia</v>
      </c>
      <c r="BL797" t="str">
        <f>""</f>
        <v/>
      </c>
      <c r="BM797" t="str">
        <f>""</f>
        <v/>
      </c>
      <c r="BN797" t="str">
        <f>""</f>
        <v/>
      </c>
      <c r="BO797" t="str">
        <f>""</f>
        <v/>
      </c>
      <c r="BP797" t="str">
        <f>""</f>
        <v/>
      </c>
      <c r="BQ797" t="str">
        <f>""</f>
        <v/>
      </c>
      <c r="BR797" t="str">
        <f>"11/07/2023"</f>
        <v>11/07/2023</v>
      </c>
      <c r="BS797" t="str">
        <f>""</f>
        <v/>
      </c>
      <c r="BT797" t="str">
        <f>""</f>
        <v/>
      </c>
      <c r="BU797" t="str">
        <f>""</f>
        <v/>
      </c>
      <c r="BV797" t="str">
        <f>""</f>
        <v/>
      </c>
      <c r="BW797" t="str">
        <f>"Não visitado"</f>
        <v>Não visitado</v>
      </c>
    </row>
    <row r="798" spans="1:75" x14ac:dyDescent="0.35">
      <c r="A798">
        <v>144383</v>
      </c>
      <c r="B798" t="str">
        <f t="shared" si="394"/>
        <v>A</v>
      </c>
      <c r="C798" t="str">
        <f t="shared" si="395"/>
        <v>80</v>
      </c>
      <c r="D798" t="str">
        <f t="shared" si="384"/>
        <v>11121002</v>
      </c>
      <c r="E798" t="str">
        <f t="shared" si="385"/>
        <v>121002</v>
      </c>
      <c r="F798" t="str">
        <f t="shared" si="386"/>
        <v>CINTHIA NORONHA</v>
      </c>
      <c r="G798" t="str">
        <f>"81553117000102"</f>
        <v>81553117000102</v>
      </c>
      <c r="H798" t="str">
        <f>""</f>
        <v/>
      </c>
      <c r="I798" t="str">
        <f t="shared" si="396"/>
        <v>CONTA OPTICA</v>
      </c>
      <c r="J798" t="str">
        <f>"KLOCK E CITADIN"</f>
        <v>KLOCK E CITADIN</v>
      </c>
      <c r="K798" t="str">
        <f>"KLOCK E CITADIN (420)"</f>
        <v>KLOCK E CITADIN (420)</v>
      </c>
      <c r="L798" t="str">
        <f>""</f>
        <v/>
      </c>
      <c r="M798" t="str">
        <f>""</f>
        <v/>
      </c>
      <c r="N798" t="str">
        <f>"luiz_klock@hotmail.com"</f>
        <v>luiz_klock@hotmail.com</v>
      </c>
      <c r="O798" t="str">
        <f>""</f>
        <v/>
      </c>
      <c r="P798" t="str">
        <f>"RUA NEREU RAMOS"</f>
        <v>RUA NEREU RAMOS</v>
      </c>
      <c r="Q798" t="str">
        <f>"103"</f>
        <v>103</v>
      </c>
      <c r="R798" t="str">
        <f>"SALA02"</f>
        <v>SALA02</v>
      </c>
      <c r="S798" t="str">
        <f>"1270"</f>
        <v>1270</v>
      </c>
      <c r="T798" t="str">
        <f>"88990000"</f>
        <v>88990000</v>
      </c>
      <c r="U798" t="str">
        <f>"NAO INFORMADO"</f>
        <v>NAO INFORMADO</v>
      </c>
      <c r="V798" t="str">
        <f>"PRAIA GRANDE"</f>
        <v>PRAIA GRANDE</v>
      </c>
      <c r="W798" t="str">
        <f t="shared" si="402"/>
        <v>SC</v>
      </c>
      <c r="X798" t="str">
        <f t="shared" si="403"/>
        <v>48</v>
      </c>
      <c r="Y798" t="str">
        <f>"35320037"</f>
        <v>35320037</v>
      </c>
      <c r="Z798" t="str">
        <f>""</f>
        <v/>
      </c>
      <c r="AA798" t="str">
        <f>""</f>
        <v/>
      </c>
      <c r="AB798" t="str">
        <f>""</f>
        <v/>
      </c>
      <c r="AC798" t="str">
        <f>""</f>
        <v/>
      </c>
      <c r="AD798" t="str">
        <f>""</f>
        <v/>
      </c>
      <c r="AE798" t="str">
        <f>""</f>
        <v/>
      </c>
      <c r="AF798" t="str">
        <f>""</f>
        <v/>
      </c>
      <c r="AG798" t="str">
        <f>""</f>
        <v/>
      </c>
      <c r="AH798" t="str">
        <f>""</f>
        <v/>
      </c>
      <c r="AI798" t="str">
        <f>""</f>
        <v/>
      </c>
      <c r="AJ798" t="str">
        <f t="shared" ref="AJ798:AL799" si="409">"0"</f>
        <v>0</v>
      </c>
      <c r="AK798" t="str">
        <f t="shared" si="409"/>
        <v>0</v>
      </c>
      <c r="AL798" t="str">
        <f t="shared" si="409"/>
        <v>0</v>
      </c>
      <c r="AM798" t="str">
        <f>""</f>
        <v/>
      </c>
      <c r="AN798" t="str">
        <f>""</f>
        <v/>
      </c>
      <c r="AO798" t="str">
        <f>""</f>
        <v/>
      </c>
      <c r="AP798" t="str">
        <f>""</f>
        <v/>
      </c>
      <c r="AQ798" t="str">
        <f>""</f>
        <v/>
      </c>
      <c r="AR798" t="str">
        <f>""</f>
        <v/>
      </c>
      <c r="AS798" t="str">
        <f>""</f>
        <v/>
      </c>
      <c r="AT798" t="str">
        <f>""</f>
        <v/>
      </c>
      <c r="AU798" t="str">
        <f>""</f>
        <v/>
      </c>
      <c r="AV798" t="str">
        <f>""</f>
        <v/>
      </c>
      <c r="AW798" t="str">
        <f>""</f>
        <v/>
      </c>
      <c r="AX798" t="str">
        <f>""</f>
        <v/>
      </c>
      <c r="AY798" t="str">
        <f>""</f>
        <v/>
      </c>
      <c r="AZ798" t="str">
        <f>""</f>
        <v/>
      </c>
      <c r="BA798" t="str">
        <f>""</f>
        <v/>
      </c>
      <c r="BB798" t="str">
        <f>""</f>
        <v/>
      </c>
      <c r="BC798" t="str">
        <f>""</f>
        <v/>
      </c>
      <c r="BD798" t="str">
        <f>""</f>
        <v/>
      </c>
      <c r="BE798" t="str">
        <f>""</f>
        <v/>
      </c>
      <c r="BF798" t="str">
        <f t="shared" si="397"/>
        <v>A</v>
      </c>
      <c r="BG798" t="str">
        <f>"0,00"</f>
        <v>0,00</v>
      </c>
      <c r="BH798" t="str">
        <f>"0,00"</f>
        <v>0,00</v>
      </c>
      <c r="BI798" t="str">
        <f t="shared" si="378"/>
        <v>EVENTUAL</v>
      </c>
      <c r="BJ798" t="str">
        <f t="shared" si="398"/>
        <v>1</v>
      </c>
      <c r="BK798" t="str">
        <f t="shared" si="399"/>
        <v>Farmacia</v>
      </c>
      <c r="BL798" t="str">
        <f>""</f>
        <v/>
      </c>
      <c r="BM798" t="str">
        <f>"NÃO É VARILUX ESPECIALISTA"</f>
        <v>NÃO É VARILUX ESPECIALISTA</v>
      </c>
      <c r="BN798" t="str">
        <f>"NA"</f>
        <v>NA</v>
      </c>
      <c r="BO798" t="str">
        <f>"FOCO KODAK 1"</f>
        <v>FOCO KODAK 1</v>
      </c>
      <c r="BP798" t="str">
        <f>""</f>
        <v/>
      </c>
      <c r="BQ798" t="str">
        <f>""</f>
        <v/>
      </c>
      <c r="BR798" t="str">
        <f>""</f>
        <v/>
      </c>
      <c r="BS798" t="str">
        <f>""</f>
        <v/>
      </c>
      <c r="BT798" t="str">
        <f>""</f>
        <v/>
      </c>
      <c r="BU798" t="str">
        <f>""</f>
        <v/>
      </c>
      <c r="BV798" t="str">
        <f>"9"</f>
        <v>9</v>
      </c>
      <c r="BW798" t="str">
        <f>"4"</f>
        <v>4</v>
      </c>
    </row>
    <row r="799" spans="1:75" x14ac:dyDescent="0.35">
      <c r="A799">
        <v>144339</v>
      </c>
      <c r="B799" t="str">
        <f t="shared" si="394"/>
        <v>A</v>
      </c>
      <c r="C799" t="str">
        <f t="shared" si="395"/>
        <v>80</v>
      </c>
      <c r="D799" t="str">
        <f t="shared" si="384"/>
        <v>11121002</v>
      </c>
      <c r="E799" t="str">
        <f t="shared" si="385"/>
        <v>121002</v>
      </c>
      <c r="F799" t="str">
        <f t="shared" si="386"/>
        <v>CINTHIA NORONHA</v>
      </c>
      <c r="G799" t="str">
        <f>"15202771000139"</f>
        <v>15202771000139</v>
      </c>
      <c r="H799" t="str">
        <f>""</f>
        <v/>
      </c>
      <c r="I799" t="str">
        <f t="shared" si="396"/>
        <v>CONTA OPTICA</v>
      </c>
      <c r="J799" t="str">
        <f>"KOCK E BOEING LTDA"</f>
        <v>KOCK E BOEING LTDA</v>
      </c>
      <c r="K799" t="str">
        <f>"OTICA E RELOJOARIA KOCK (1885)"</f>
        <v>OTICA E RELOJOARIA KOCK (1885)</v>
      </c>
      <c r="L799" t="str">
        <f>""</f>
        <v/>
      </c>
      <c r="M799" t="str">
        <f>""</f>
        <v/>
      </c>
      <c r="N799" t="str">
        <f>"oticakock@hotmail.com"</f>
        <v>oticakock@hotmail.com</v>
      </c>
      <c r="O799" t="str">
        <f>""</f>
        <v/>
      </c>
      <c r="P799" t="str">
        <f>"RUA FRANCISCO BECKHAUSEN"</f>
        <v>RUA FRANCISCO BECKHAUSEN</v>
      </c>
      <c r="Q799" t="str">
        <f>"197"</f>
        <v>197</v>
      </c>
      <c r="R799" t="str">
        <f>"SALA 02"</f>
        <v>SALA 02</v>
      </c>
      <c r="S799" t="str">
        <f>"1268"</f>
        <v>1268</v>
      </c>
      <c r="T799" t="str">
        <f>"88765000"</f>
        <v>88765000</v>
      </c>
      <c r="U799" t="str">
        <f>"CENTRO"</f>
        <v>CENTRO</v>
      </c>
      <c r="V799" t="str">
        <f>"SÃO MARTINHO"</f>
        <v>SÃO MARTINHO</v>
      </c>
      <c r="W799" t="str">
        <f t="shared" si="402"/>
        <v>SC</v>
      </c>
      <c r="X799" t="str">
        <f t="shared" si="403"/>
        <v>48</v>
      </c>
      <c r="Y799" t="str">
        <f>"36456379"</f>
        <v>36456379</v>
      </c>
      <c r="Z799" t="str">
        <f>""</f>
        <v/>
      </c>
      <c r="AA799" t="str">
        <f>""</f>
        <v/>
      </c>
      <c r="AB799" t="str">
        <f>""</f>
        <v/>
      </c>
      <c r="AC799" t="str">
        <f>""</f>
        <v/>
      </c>
      <c r="AD799" t="str">
        <f>""</f>
        <v/>
      </c>
      <c r="AE799" t="str">
        <f>""</f>
        <v/>
      </c>
      <c r="AF799" t="str">
        <f>""</f>
        <v/>
      </c>
      <c r="AG799" t="str">
        <f>""</f>
        <v/>
      </c>
      <c r="AH799" t="str">
        <f>""</f>
        <v/>
      </c>
      <c r="AI799" t="str">
        <f>""</f>
        <v/>
      </c>
      <c r="AJ799" t="str">
        <f t="shared" si="409"/>
        <v>0</v>
      </c>
      <c r="AK799" t="str">
        <f t="shared" si="409"/>
        <v>0</v>
      </c>
      <c r="AL799" t="str">
        <f t="shared" si="409"/>
        <v>0</v>
      </c>
      <c r="AM799" t="str">
        <f>""</f>
        <v/>
      </c>
      <c r="AN799" t="str">
        <f>""</f>
        <v/>
      </c>
      <c r="AO799" t="str">
        <f>""</f>
        <v/>
      </c>
      <c r="AP799" t="str">
        <f>""</f>
        <v/>
      </c>
      <c r="AQ799" t="str">
        <f>""</f>
        <v/>
      </c>
      <c r="AR799" t="str">
        <f>""</f>
        <v/>
      </c>
      <c r="AS799" t="str">
        <f>""</f>
        <v/>
      </c>
      <c r="AT799" t="str">
        <f>""</f>
        <v/>
      </c>
      <c r="AU799" t="str">
        <f>""</f>
        <v/>
      </c>
      <c r="AV799" t="str">
        <f>""</f>
        <v/>
      </c>
      <c r="AW799" t="str">
        <f>""</f>
        <v/>
      </c>
      <c r="AX799" t="str">
        <f>""</f>
        <v/>
      </c>
      <c r="AY799" t="str">
        <f>""</f>
        <v/>
      </c>
      <c r="AZ799" t="str">
        <f>""</f>
        <v/>
      </c>
      <c r="BA799" t="str">
        <f>""</f>
        <v/>
      </c>
      <c r="BB799" t="str">
        <f>""</f>
        <v/>
      </c>
      <c r="BC799" t="str">
        <f>""</f>
        <v/>
      </c>
      <c r="BD799" t="str">
        <f>""</f>
        <v/>
      </c>
      <c r="BE799" t="str">
        <f>""</f>
        <v/>
      </c>
      <c r="BF799" t="str">
        <f t="shared" si="397"/>
        <v>A</v>
      </c>
      <c r="BG799" t="str">
        <f>"0,00"</f>
        <v>0,00</v>
      </c>
      <c r="BH799" t="str">
        <f>"0,00"</f>
        <v>0,00</v>
      </c>
      <c r="BI799" t="str">
        <f t="shared" si="378"/>
        <v>EVENTUAL</v>
      </c>
      <c r="BJ799" t="str">
        <f t="shared" si="398"/>
        <v>1</v>
      </c>
      <c r="BK799" t="str">
        <f t="shared" si="399"/>
        <v>Farmacia</v>
      </c>
      <c r="BL799" t="str">
        <f>""</f>
        <v/>
      </c>
      <c r="BM799" t="str">
        <f>"NÃO É VARILUX ESPECIALISTA"</f>
        <v>NÃO É VARILUX ESPECIALISTA</v>
      </c>
      <c r="BN799" t="str">
        <f>"NA"</f>
        <v>NA</v>
      </c>
      <c r="BO799" t="str">
        <f>"FOCO VARILUX"</f>
        <v>FOCO VARILUX</v>
      </c>
      <c r="BP799" t="str">
        <f>""</f>
        <v/>
      </c>
      <c r="BQ799" t="str">
        <f>""</f>
        <v/>
      </c>
      <c r="BR799" t="str">
        <f>""</f>
        <v/>
      </c>
      <c r="BS799" t="str">
        <f>""</f>
        <v/>
      </c>
      <c r="BT799" t="str">
        <f>""</f>
        <v/>
      </c>
      <c r="BU799" t="str">
        <f>""</f>
        <v/>
      </c>
      <c r="BV799" t="str">
        <f>"9"</f>
        <v>9</v>
      </c>
      <c r="BW799" t="str">
        <f>"310"</f>
        <v>310</v>
      </c>
    </row>
    <row r="800" spans="1:75" x14ac:dyDescent="0.35">
      <c r="A800">
        <v>159567</v>
      </c>
      <c r="B800" t="str">
        <f t="shared" si="394"/>
        <v>A</v>
      </c>
      <c r="C800" t="str">
        <f t="shared" si="395"/>
        <v>80</v>
      </c>
      <c r="D800" t="str">
        <f t="shared" si="384"/>
        <v>11121002</v>
      </c>
      <c r="E800" t="str">
        <f t="shared" si="385"/>
        <v>121002</v>
      </c>
      <c r="F800" t="str">
        <f t="shared" si="386"/>
        <v>CINTHIA NORONHA</v>
      </c>
      <c r="G800" t="str">
        <f>"49166007000177"</f>
        <v>49166007000177</v>
      </c>
      <c r="H800" t="str">
        <f>""</f>
        <v/>
      </c>
      <c r="I800" t="str">
        <f t="shared" si="396"/>
        <v>CONTA OPTICA</v>
      </c>
      <c r="J800" t="str">
        <f>"KRISLEY ROSANE DA SILVEIRA LTDA"</f>
        <v>KRISLEY ROSANE DA SILVEIRA LTDA</v>
      </c>
      <c r="K800" t="str">
        <f>"OTICAS DINIZ (4785)"</f>
        <v>OTICAS DINIZ (4785)</v>
      </c>
      <c r="L800" t="str">
        <f>""</f>
        <v/>
      </c>
      <c r="M800" t="str">
        <f>""</f>
        <v/>
      </c>
      <c r="N800" t="str">
        <f>"NORTON.OTICASDINIZ@GMAIL.COM"</f>
        <v>NORTON.OTICASDINIZ@GMAIL.COM</v>
      </c>
      <c r="O800" t="str">
        <f>""</f>
        <v/>
      </c>
      <c r="P800" t="str">
        <f>"RUA SANTO ANTONIO"</f>
        <v>RUA SANTO ANTONIO</v>
      </c>
      <c r="Q800" t="str">
        <f>"114"</f>
        <v>114</v>
      </c>
      <c r="R800" t="str">
        <f>"SALA 03"</f>
        <v>SALA 03</v>
      </c>
      <c r="S800" t="str">
        <f>"1269"</f>
        <v>1269</v>
      </c>
      <c r="T800" t="str">
        <f>"88801440"</f>
        <v>88801440</v>
      </c>
      <c r="U800" t="str">
        <f>"CENTRO"</f>
        <v>CENTRO</v>
      </c>
      <c r="V800" t="str">
        <f>"CRICIUMA"</f>
        <v>CRICIUMA</v>
      </c>
      <c r="W800" t="str">
        <f t="shared" si="402"/>
        <v>SC</v>
      </c>
      <c r="X800" t="str">
        <f>"51"</f>
        <v>51</v>
      </c>
      <c r="Y800" t="str">
        <f>"992289325"</f>
        <v>992289325</v>
      </c>
      <c r="Z800" t="str">
        <f>""</f>
        <v/>
      </c>
      <c r="AA800" t="str">
        <f>""</f>
        <v/>
      </c>
      <c r="AB800" t="str">
        <f>""</f>
        <v/>
      </c>
      <c r="AC800" t="str">
        <f>""</f>
        <v/>
      </c>
      <c r="AD800" t="str">
        <f>""</f>
        <v/>
      </c>
      <c r="AE800" t="str">
        <f>""</f>
        <v/>
      </c>
      <c r="AF800" t="str">
        <f>""</f>
        <v/>
      </c>
      <c r="AG800" t="str">
        <f>""</f>
        <v/>
      </c>
      <c r="AH800" t="str">
        <f>""</f>
        <v/>
      </c>
      <c r="AI800" t="str">
        <f>""</f>
        <v/>
      </c>
      <c r="AJ800" t="str">
        <f>""</f>
        <v/>
      </c>
      <c r="AK800" t="str">
        <f>""</f>
        <v/>
      </c>
      <c r="AL800" t="str">
        <f>""</f>
        <v/>
      </c>
      <c r="AM800" t="str">
        <f>""</f>
        <v/>
      </c>
      <c r="AN800" t="str">
        <f>""</f>
        <v/>
      </c>
      <c r="AO800" t="str">
        <f>""</f>
        <v/>
      </c>
      <c r="AP800" t="str">
        <f>""</f>
        <v/>
      </c>
      <c r="AQ800" t="str">
        <f>""</f>
        <v/>
      </c>
      <c r="AR800" t="str">
        <f>""</f>
        <v/>
      </c>
      <c r="AS800" t="str">
        <f>""</f>
        <v/>
      </c>
      <c r="AT800" t="str">
        <f>""</f>
        <v/>
      </c>
      <c r="AU800" t="str">
        <f>""</f>
        <v/>
      </c>
      <c r="AV800" t="str">
        <f>""</f>
        <v/>
      </c>
      <c r="AW800" t="str">
        <f>""</f>
        <v/>
      </c>
      <c r="AX800" t="str">
        <f>""</f>
        <v/>
      </c>
      <c r="AY800" t="str">
        <f>""</f>
        <v/>
      </c>
      <c r="AZ800" t="str">
        <f>""</f>
        <v/>
      </c>
      <c r="BA800" t="str">
        <f>""</f>
        <v/>
      </c>
      <c r="BB800" t="str">
        <f>"25/09/2023 11:47:13"</f>
        <v>25/09/2023 11:47:13</v>
      </c>
      <c r="BC800" t="str">
        <f>""</f>
        <v/>
      </c>
      <c r="BD800" t="str">
        <f>""</f>
        <v/>
      </c>
      <c r="BE800" t="str">
        <f>""</f>
        <v/>
      </c>
      <c r="BF800" t="str">
        <f t="shared" si="397"/>
        <v>A</v>
      </c>
      <c r="BG800" t="str">
        <f>""</f>
        <v/>
      </c>
      <c r="BH800" t="str">
        <f>""</f>
        <v/>
      </c>
      <c r="BI800" t="str">
        <f t="shared" ref="BI800:BI863" si="410">"EVENTUAL"</f>
        <v>EVENTUAL</v>
      </c>
      <c r="BJ800" t="str">
        <f t="shared" si="398"/>
        <v>1</v>
      </c>
      <c r="BK800" t="str">
        <f t="shared" si="399"/>
        <v>Farmacia</v>
      </c>
      <c r="BL800" t="str">
        <f>""</f>
        <v/>
      </c>
      <c r="BM800" t="str">
        <f>""</f>
        <v/>
      </c>
      <c r="BN800" t="str">
        <f>""</f>
        <v/>
      </c>
      <c r="BO800" t="str">
        <f>""</f>
        <v/>
      </c>
      <c r="BP800" t="str">
        <f>""</f>
        <v/>
      </c>
      <c r="BQ800" t="str">
        <f>""</f>
        <v/>
      </c>
      <c r="BR800" t="str">
        <f>"25/09/2023"</f>
        <v>25/09/2023</v>
      </c>
      <c r="BS800" t="str">
        <f>""</f>
        <v/>
      </c>
      <c r="BT800" t="str">
        <f>""</f>
        <v/>
      </c>
      <c r="BU800" t="str">
        <f>""</f>
        <v/>
      </c>
      <c r="BV800" t="str">
        <f>""</f>
        <v/>
      </c>
      <c r="BW800" t="str">
        <f>"Não visitado"</f>
        <v>Não visitado</v>
      </c>
    </row>
    <row r="801" spans="1:75" x14ac:dyDescent="0.35">
      <c r="A801">
        <v>127445</v>
      </c>
      <c r="B801" t="str">
        <f t="shared" si="394"/>
        <v>A</v>
      </c>
      <c r="C801" t="str">
        <f t="shared" si="395"/>
        <v>80</v>
      </c>
      <c r="D801" t="str">
        <f t="shared" si="384"/>
        <v>11121002</v>
      </c>
      <c r="E801" t="str">
        <f t="shared" si="385"/>
        <v>121002</v>
      </c>
      <c r="F801" t="str">
        <f t="shared" si="386"/>
        <v>CINTHIA NORONHA</v>
      </c>
      <c r="G801" t="str">
        <f>"08656918000103"</f>
        <v>08656918000103</v>
      </c>
      <c r="H801" t="str">
        <f>"0"</f>
        <v>0</v>
      </c>
      <c r="I801" t="str">
        <f t="shared" si="396"/>
        <v>CONTA OPTICA</v>
      </c>
      <c r="J801" t="str">
        <f>"KRYSTAL LENS JOALHERIA E OPTICA LTDA ME"</f>
        <v>KRYSTAL LENS JOALHERIA E OPTICA LTDA ME</v>
      </c>
      <c r="K801" t="str">
        <f>"KRYSTAL LENS JOALHERIA E OPTICA LTDA ME (1127)"</f>
        <v>KRYSTAL LENS JOALHERIA E OPTICA LTDA ME (1127)</v>
      </c>
      <c r="L801" t="str">
        <f>""</f>
        <v/>
      </c>
      <c r="M801" t="str">
        <f>""</f>
        <v/>
      </c>
      <c r="N801" t="str">
        <f>"krystallens@gmail.com"</f>
        <v>krystallens@gmail.com</v>
      </c>
      <c r="O801" t="str">
        <f>""</f>
        <v/>
      </c>
      <c r="P801" t="str">
        <f>"RUA CUBA"</f>
        <v>RUA CUBA</v>
      </c>
      <c r="Q801" t="str">
        <f>"194"</f>
        <v>194</v>
      </c>
      <c r="R801" t="str">
        <f>""</f>
        <v/>
      </c>
      <c r="S801" t="str">
        <f>""</f>
        <v/>
      </c>
      <c r="T801" t="str">
        <f>"88704501"</f>
        <v>88704501</v>
      </c>
      <c r="U801" t="str">
        <f>"HUMAITA"</f>
        <v>HUMAITA</v>
      </c>
      <c r="V801" t="str">
        <f>"TUBARAO"</f>
        <v>TUBARAO</v>
      </c>
      <c r="W801" t="str">
        <f t="shared" si="402"/>
        <v>SC</v>
      </c>
      <c r="X801" t="str">
        <f t="shared" ref="X801:X807" si="411">"48"</f>
        <v>48</v>
      </c>
      <c r="Y801" t="str">
        <f>"36242265"</f>
        <v>36242265</v>
      </c>
      <c r="Z801" t="str">
        <f>""</f>
        <v/>
      </c>
      <c r="AA801" t="str">
        <f>""</f>
        <v/>
      </c>
      <c r="AB801" t="str">
        <f>""</f>
        <v/>
      </c>
      <c r="AC801" t="str">
        <f>""</f>
        <v/>
      </c>
      <c r="AD801" t="str">
        <f>""</f>
        <v/>
      </c>
      <c r="AE801" t="str">
        <f>""</f>
        <v/>
      </c>
      <c r="AF801" t="str">
        <f>""</f>
        <v/>
      </c>
      <c r="AG801" t="str">
        <f>""</f>
        <v/>
      </c>
      <c r="AH801" t="str">
        <f>""</f>
        <v/>
      </c>
      <c r="AI801" t="str">
        <f>""</f>
        <v/>
      </c>
      <c r="AJ801" t="str">
        <f>""</f>
        <v/>
      </c>
      <c r="AK801" t="str">
        <f>""</f>
        <v/>
      </c>
      <c r="AL801" t="str">
        <f>""</f>
        <v/>
      </c>
      <c r="AM801" t="str">
        <f>""</f>
        <v/>
      </c>
      <c r="AN801" t="str">
        <f>""</f>
        <v/>
      </c>
      <c r="AO801" t="str">
        <f>""</f>
        <v/>
      </c>
      <c r="AP801" t="str">
        <f>""</f>
        <v/>
      </c>
      <c r="AQ801" t="str">
        <f>""</f>
        <v/>
      </c>
      <c r="AR801" t="str">
        <f>""</f>
        <v/>
      </c>
      <c r="AS801" t="str">
        <f>""</f>
        <v/>
      </c>
      <c r="AT801" t="str">
        <f>""</f>
        <v/>
      </c>
      <c r="AU801" t="str">
        <f>""</f>
        <v/>
      </c>
      <c r="AV801" t="str">
        <f>""</f>
        <v/>
      </c>
      <c r="AW801" t="str">
        <f>""</f>
        <v/>
      </c>
      <c r="AX801" t="str">
        <f>""</f>
        <v/>
      </c>
      <c r="AY801" t="str">
        <f>""</f>
        <v/>
      </c>
      <c r="AZ801" t="str">
        <f>""</f>
        <v/>
      </c>
      <c r="BA801" t="str">
        <f>""</f>
        <v/>
      </c>
      <c r="BB801" t="str">
        <f>"07/10/2020 09:08:38"</f>
        <v>07/10/2020 09:08:38</v>
      </c>
      <c r="BC801" t="str">
        <f>""</f>
        <v/>
      </c>
      <c r="BD801" t="str">
        <f>""</f>
        <v/>
      </c>
      <c r="BE801" t="str">
        <f>""</f>
        <v/>
      </c>
      <c r="BF801" t="str">
        <f t="shared" si="397"/>
        <v>A</v>
      </c>
      <c r="BG801" t="str">
        <f>""</f>
        <v/>
      </c>
      <c r="BH801" t="str">
        <f>""</f>
        <v/>
      </c>
      <c r="BI801" t="str">
        <f t="shared" si="410"/>
        <v>EVENTUAL</v>
      </c>
      <c r="BJ801" t="str">
        <f t="shared" si="398"/>
        <v>1</v>
      </c>
      <c r="BK801" t="str">
        <f t="shared" si="399"/>
        <v>Farmacia</v>
      </c>
      <c r="BL801" t="str">
        <f>""</f>
        <v/>
      </c>
      <c r="BM801" t="str">
        <f>"NÃO É VARILUX ESPECIALISTA"</f>
        <v>NÃO É VARILUX ESPECIALISTA</v>
      </c>
      <c r="BN801" t="str">
        <f>"NA"</f>
        <v>NA</v>
      </c>
      <c r="BO801" t="str">
        <f>"FOCO VARILUX"</f>
        <v>FOCO VARILUX</v>
      </c>
      <c r="BP801" t="str">
        <f>""</f>
        <v/>
      </c>
      <c r="BQ801" t="str">
        <f>""</f>
        <v/>
      </c>
      <c r="BR801" t="str">
        <f>"07/10/2020"</f>
        <v>07/10/2020</v>
      </c>
      <c r="BS801" t="str">
        <f>""</f>
        <v/>
      </c>
      <c r="BT801" t="str">
        <f>""</f>
        <v/>
      </c>
      <c r="BU801" t="str">
        <f>""</f>
        <v/>
      </c>
      <c r="BV801" t="str">
        <f>"9"</f>
        <v>9</v>
      </c>
      <c r="BW801" t="str">
        <f>"Não visitado"</f>
        <v>Não visitado</v>
      </c>
    </row>
    <row r="802" spans="1:75" x14ac:dyDescent="0.35">
      <c r="A802">
        <v>134224</v>
      </c>
      <c r="B802" t="str">
        <f t="shared" si="394"/>
        <v>A</v>
      </c>
      <c r="C802" t="str">
        <f t="shared" si="395"/>
        <v>80</v>
      </c>
      <c r="D802" t="str">
        <f t="shared" si="384"/>
        <v>11121002</v>
      </c>
      <c r="E802" t="str">
        <f t="shared" si="385"/>
        <v>121002</v>
      </c>
      <c r="F802" t="str">
        <f t="shared" si="386"/>
        <v>CINTHIA NORONHA</v>
      </c>
      <c r="G802" t="str">
        <f>"10483612000136"</f>
        <v>10483612000136</v>
      </c>
      <c r="H802" t="str">
        <f>""</f>
        <v/>
      </c>
      <c r="I802" t="str">
        <f t="shared" si="396"/>
        <v>CONTA OPTICA</v>
      </c>
      <c r="J802" t="str">
        <f>"L E K JOALHERIA E OTICA LTDA"</f>
        <v>L E K JOALHERIA E OTICA LTDA</v>
      </c>
      <c r="K802" t="str">
        <f>"OTICA PONTO DA VISAO (1465)"</f>
        <v>OTICA PONTO DA VISAO (1465)</v>
      </c>
      <c r="L802" t="str">
        <f>""</f>
        <v/>
      </c>
      <c r="M802" t="str">
        <f>""</f>
        <v/>
      </c>
      <c r="N802" t="str">
        <f>"oticalk@gmail.com"</f>
        <v>oticalk@gmail.com</v>
      </c>
      <c r="O802" t="str">
        <f>""</f>
        <v/>
      </c>
      <c r="P802" t="str">
        <f>"RUA WALTER DA SILVA KOERICH            LJ 04"</f>
        <v>RUA WALTER DA SILVA KOERICH            LJ 04</v>
      </c>
      <c r="Q802" t="str">
        <f>"147"</f>
        <v>147</v>
      </c>
      <c r="R802" t="str">
        <f>"ESQNA LJ KOESA"</f>
        <v>ESQNA LJ KOESA</v>
      </c>
      <c r="S802" t="str">
        <f>"1259"</f>
        <v>1259</v>
      </c>
      <c r="T802" t="str">
        <f>"88101370"</f>
        <v>88101370</v>
      </c>
      <c r="U802" t="str">
        <f>"KOBRASOL"</f>
        <v>KOBRASOL</v>
      </c>
      <c r="V802" t="str">
        <f>"SÃO JOSÉ"</f>
        <v>SÃO JOSÉ</v>
      </c>
      <c r="W802" t="str">
        <f t="shared" si="402"/>
        <v>SC</v>
      </c>
      <c r="X802" t="str">
        <f t="shared" si="411"/>
        <v>48</v>
      </c>
      <c r="Y802" t="str">
        <f>"32590229"</f>
        <v>32590229</v>
      </c>
      <c r="Z802" t="str">
        <f>""</f>
        <v/>
      </c>
      <c r="AA802" t="str">
        <f>""</f>
        <v/>
      </c>
      <c r="AB802" t="str">
        <f>""</f>
        <v/>
      </c>
      <c r="AC802" t="str">
        <f>""</f>
        <v/>
      </c>
      <c r="AD802" t="str">
        <f>""</f>
        <v/>
      </c>
      <c r="AE802" t="str">
        <f>""</f>
        <v/>
      </c>
      <c r="AF802" t="str">
        <f>""</f>
        <v/>
      </c>
      <c r="AG802" t="str">
        <f>"S"</f>
        <v>S</v>
      </c>
      <c r="AH802" t="str">
        <f>""</f>
        <v/>
      </c>
      <c r="AI802" t="str">
        <f>""</f>
        <v/>
      </c>
      <c r="AJ802" t="str">
        <f t="shared" ref="AJ802:AL803" si="412">"0"</f>
        <v>0</v>
      </c>
      <c r="AK802" t="str">
        <f t="shared" si="412"/>
        <v>0</v>
      </c>
      <c r="AL802" t="str">
        <f t="shared" si="412"/>
        <v>0</v>
      </c>
      <c r="AM802" t="str">
        <f>""</f>
        <v/>
      </c>
      <c r="AN802" t="str">
        <f>""</f>
        <v/>
      </c>
      <c r="AO802" t="str">
        <f>""</f>
        <v/>
      </c>
      <c r="AP802" t="str">
        <f>""</f>
        <v/>
      </c>
      <c r="AQ802" t="str">
        <f>"N"</f>
        <v>N</v>
      </c>
      <c r="AR802" t="str">
        <f>"N"</f>
        <v>N</v>
      </c>
      <c r="AS802" t="str">
        <f>"N"</f>
        <v>N</v>
      </c>
      <c r="AT802" t="str">
        <f>"N"</f>
        <v>N</v>
      </c>
      <c r="AU802" t="str">
        <f>"N"</f>
        <v>N</v>
      </c>
      <c r="AV802" t="str">
        <f>""</f>
        <v/>
      </c>
      <c r="AW802" t="str">
        <f>""</f>
        <v/>
      </c>
      <c r="AX802" t="str">
        <f>""</f>
        <v/>
      </c>
      <c r="AY802" t="str">
        <f>""</f>
        <v/>
      </c>
      <c r="AZ802" t="str">
        <f>""</f>
        <v/>
      </c>
      <c r="BA802" t="str">
        <f>""</f>
        <v/>
      </c>
      <c r="BB802" t="str">
        <f>""</f>
        <v/>
      </c>
      <c r="BC802" t="str">
        <f>"10/12/2021 14:27:40"</f>
        <v>10/12/2021 14:27:40</v>
      </c>
      <c r="BD802" t="str">
        <f>""</f>
        <v/>
      </c>
      <c r="BE802" t="str">
        <f>""</f>
        <v/>
      </c>
      <c r="BF802" t="str">
        <f t="shared" si="397"/>
        <v>A</v>
      </c>
      <c r="BG802" t="str">
        <f>"0,00"</f>
        <v>0,00</v>
      </c>
      <c r="BH802" t="str">
        <f>"0,00"</f>
        <v>0,00</v>
      </c>
      <c r="BI802" t="str">
        <f t="shared" si="410"/>
        <v>EVENTUAL</v>
      </c>
      <c r="BJ802" t="str">
        <f t="shared" si="398"/>
        <v>1</v>
      </c>
      <c r="BK802" t="str">
        <f t="shared" si="399"/>
        <v>Farmacia</v>
      </c>
      <c r="BL802" t="str">
        <f>""</f>
        <v/>
      </c>
      <c r="BM802" t="str">
        <f>"NÃO É VARILUX ESPECIALISTA"</f>
        <v>NÃO É VARILUX ESPECIALISTA</v>
      </c>
      <c r="BN802" t="str">
        <f>"NA"</f>
        <v>NA</v>
      </c>
      <c r="BO802" t="str">
        <f>"FOCO VARILUX DIGITAL"</f>
        <v>FOCO VARILUX DIGITAL</v>
      </c>
      <c r="BP802" t="str">
        <f>""</f>
        <v/>
      </c>
      <c r="BQ802" t="str">
        <f>""</f>
        <v/>
      </c>
      <c r="BR802" t="str">
        <f>""</f>
        <v/>
      </c>
      <c r="BS802" t="str">
        <f>"10/12/2021"</f>
        <v>10/12/2021</v>
      </c>
      <c r="BT802" t="str">
        <f>""</f>
        <v/>
      </c>
      <c r="BU802" t="str">
        <f>""</f>
        <v/>
      </c>
      <c r="BV802" t="str">
        <f>"5"</f>
        <v>5</v>
      </c>
      <c r="BW802" t="str">
        <f>"31"</f>
        <v>31</v>
      </c>
    </row>
    <row r="803" spans="1:75" x14ac:dyDescent="0.35">
      <c r="A803">
        <v>134254</v>
      </c>
      <c r="B803" t="str">
        <f t="shared" si="394"/>
        <v>A</v>
      </c>
      <c r="C803" t="str">
        <f t="shared" si="395"/>
        <v>80</v>
      </c>
      <c r="D803" t="str">
        <f t="shared" si="384"/>
        <v>11121002</v>
      </c>
      <c r="E803" t="str">
        <f t="shared" si="385"/>
        <v>121002</v>
      </c>
      <c r="F803" t="str">
        <f t="shared" si="386"/>
        <v>CINTHIA NORONHA</v>
      </c>
      <c r="G803" t="str">
        <f>"19171293000106"</f>
        <v>19171293000106</v>
      </c>
      <c r="H803" t="str">
        <f>""</f>
        <v/>
      </c>
      <c r="I803" t="str">
        <f t="shared" si="396"/>
        <v>CONTA OPTICA</v>
      </c>
      <c r="J803" t="str">
        <f>"LA COMERCIO DE PRESENTES EIRELI - EPP"</f>
        <v>LA COMERCIO DE PRESENTES EIRELI - EPP</v>
      </c>
      <c r="K803" t="str">
        <f>"AUGUSTO JOIAS (3786)"</f>
        <v>AUGUSTO JOIAS (3786)</v>
      </c>
      <c r="L803" t="str">
        <f>""</f>
        <v/>
      </c>
      <c r="M803" t="str">
        <f>""</f>
        <v/>
      </c>
      <c r="N803" t="str">
        <f>"augustokt@gmail.com"</f>
        <v>augustokt@gmail.com</v>
      </c>
      <c r="O803" t="str">
        <f>""</f>
        <v/>
      </c>
      <c r="P803" t="str">
        <f>"RUA BOCAIUVA  BEIRAMAR SHOPPING CENTER"</f>
        <v>RUA BOCAIUVA  BEIRAMAR SHOPPING CENTER</v>
      </c>
      <c r="Q803" t="str">
        <f>"2468"</f>
        <v>2468</v>
      </c>
      <c r="R803" t="str">
        <f>"LJ 410 PL3"</f>
        <v>LJ 410 PL3</v>
      </c>
      <c r="S803" t="str">
        <f>"1255"</f>
        <v>1255</v>
      </c>
      <c r="T803" t="str">
        <f>"88015902"</f>
        <v>88015902</v>
      </c>
      <c r="U803" t="str">
        <f>"CENTRO"</f>
        <v>CENTRO</v>
      </c>
      <c r="V803" t="str">
        <f>"FLORIANOPOLIS"</f>
        <v>FLORIANOPOLIS</v>
      </c>
      <c r="W803" t="str">
        <f t="shared" si="402"/>
        <v>SC</v>
      </c>
      <c r="X803" t="str">
        <f t="shared" si="411"/>
        <v>48</v>
      </c>
      <c r="Y803" t="str">
        <f>"30378318"</f>
        <v>30378318</v>
      </c>
      <c r="Z803" t="str">
        <f>""</f>
        <v/>
      </c>
      <c r="AA803" t="str">
        <f>""</f>
        <v/>
      </c>
      <c r="AB803" t="str">
        <f>""</f>
        <v/>
      </c>
      <c r="AC803" t="str">
        <f>""</f>
        <v/>
      </c>
      <c r="AD803" t="str">
        <f>""</f>
        <v/>
      </c>
      <c r="AE803" t="str">
        <f>""</f>
        <v/>
      </c>
      <c r="AF803" t="str">
        <f>""</f>
        <v/>
      </c>
      <c r="AG803" t="str">
        <f>""</f>
        <v/>
      </c>
      <c r="AH803" t="str">
        <f>""</f>
        <v/>
      </c>
      <c r="AI803" t="str">
        <f>""</f>
        <v/>
      </c>
      <c r="AJ803" t="str">
        <f t="shared" si="412"/>
        <v>0</v>
      </c>
      <c r="AK803" t="str">
        <f t="shared" si="412"/>
        <v>0</v>
      </c>
      <c r="AL803" t="str">
        <f t="shared" si="412"/>
        <v>0</v>
      </c>
      <c r="AM803" t="str">
        <f>""</f>
        <v/>
      </c>
      <c r="AN803" t="str">
        <f>""</f>
        <v/>
      </c>
      <c r="AO803" t="str">
        <f>""</f>
        <v/>
      </c>
      <c r="AP803" t="str">
        <f>""</f>
        <v/>
      </c>
      <c r="AQ803" t="str">
        <f>""</f>
        <v/>
      </c>
      <c r="AR803" t="str">
        <f>""</f>
        <v/>
      </c>
      <c r="AS803" t="str">
        <f>""</f>
        <v/>
      </c>
      <c r="AT803" t="str">
        <f>""</f>
        <v/>
      </c>
      <c r="AU803" t="str">
        <f>""</f>
        <v/>
      </c>
      <c r="AV803" t="str">
        <f>""</f>
        <v/>
      </c>
      <c r="AW803" t="str">
        <f>""</f>
        <v/>
      </c>
      <c r="AX803" t="str">
        <f>""</f>
        <v/>
      </c>
      <c r="AY803" t="str">
        <f>""</f>
        <v/>
      </c>
      <c r="AZ803" t="str">
        <f>""</f>
        <v/>
      </c>
      <c r="BA803" t="str">
        <f>""</f>
        <v/>
      </c>
      <c r="BB803" t="str">
        <f>""</f>
        <v/>
      </c>
      <c r="BC803" t="str">
        <f>""</f>
        <v/>
      </c>
      <c r="BD803" t="str">
        <f>""</f>
        <v/>
      </c>
      <c r="BE803" t="str">
        <f>""</f>
        <v/>
      </c>
      <c r="BF803" t="str">
        <f t="shared" si="397"/>
        <v>A</v>
      </c>
      <c r="BG803" t="str">
        <f>"0,00"</f>
        <v>0,00</v>
      </c>
      <c r="BH803" t="str">
        <f>"0,00"</f>
        <v>0,00</v>
      </c>
      <c r="BI803" t="str">
        <f t="shared" si="410"/>
        <v>EVENTUAL</v>
      </c>
      <c r="BJ803" t="str">
        <f t="shared" si="398"/>
        <v>1</v>
      </c>
      <c r="BK803" t="str">
        <f t="shared" si="399"/>
        <v>Farmacia</v>
      </c>
      <c r="BL803" t="str">
        <f>""</f>
        <v/>
      </c>
      <c r="BM803" t="str">
        <f>"VARILUX ESPECIALISTA SELECT"</f>
        <v>VARILUX ESPECIALISTA SELECT</v>
      </c>
      <c r="BN803" t="str">
        <f>"NA"</f>
        <v>NA</v>
      </c>
      <c r="BO803" t="str">
        <f>"FOCO VARILUX DIGITAL"</f>
        <v>FOCO VARILUX DIGITAL</v>
      </c>
      <c r="BP803" t="str">
        <f>""</f>
        <v/>
      </c>
      <c r="BQ803" t="str">
        <f>""</f>
        <v/>
      </c>
      <c r="BR803" t="str">
        <f>""</f>
        <v/>
      </c>
      <c r="BS803" t="str">
        <f>""</f>
        <v/>
      </c>
      <c r="BT803" t="str">
        <f>""</f>
        <v/>
      </c>
      <c r="BU803" t="str">
        <f>""</f>
        <v/>
      </c>
      <c r="BV803" t="str">
        <f>"9"</f>
        <v>9</v>
      </c>
      <c r="BW803" t="str">
        <f>"Não visitado"</f>
        <v>Não visitado</v>
      </c>
    </row>
    <row r="804" spans="1:75" x14ac:dyDescent="0.35">
      <c r="A804">
        <v>134549</v>
      </c>
      <c r="B804" t="str">
        <f t="shared" si="394"/>
        <v>A</v>
      </c>
      <c r="C804" t="str">
        <f t="shared" si="395"/>
        <v>80</v>
      </c>
      <c r="D804" t="str">
        <f t="shared" si="384"/>
        <v>11121002</v>
      </c>
      <c r="E804" t="str">
        <f t="shared" si="385"/>
        <v>121002</v>
      </c>
      <c r="F804" t="str">
        <f t="shared" si="386"/>
        <v>CINTHIA NORONHA</v>
      </c>
      <c r="G804" t="str">
        <f>"36437350000167"</f>
        <v>36437350000167</v>
      </c>
      <c r="H804" t="str">
        <f>""</f>
        <v/>
      </c>
      <c r="I804" t="str">
        <f t="shared" si="396"/>
        <v>CONTA OPTICA</v>
      </c>
      <c r="J804" t="str">
        <f>"LABORATORIO OPTICO NOVA ESTACAO LTDA"</f>
        <v>LABORATORIO OPTICO NOVA ESTACAO LTDA</v>
      </c>
      <c r="K804" t="str">
        <f>"LABORATORIO NOVA ESTACAO (4220)"</f>
        <v>LABORATORIO NOVA ESTACAO (4220)</v>
      </c>
      <c r="L804" t="str">
        <f>""</f>
        <v/>
      </c>
      <c r="M804" t="str">
        <f>""</f>
        <v/>
      </c>
      <c r="N804" t="str">
        <f>"lab.novaestacao@gmail.com"</f>
        <v>lab.novaestacao@gmail.com</v>
      </c>
      <c r="O804" t="str">
        <f>""</f>
        <v/>
      </c>
      <c r="P804" t="str">
        <f>"AVENIDA LEDIO JOAO MARTINS"</f>
        <v>AVENIDA LEDIO JOAO MARTINS</v>
      </c>
      <c r="Q804" t="str">
        <f>"630"</f>
        <v>630</v>
      </c>
      <c r="R804" t="str">
        <f>"TERREO"</f>
        <v>TERREO</v>
      </c>
      <c r="S804" t="str">
        <f>"1259"</f>
        <v>1259</v>
      </c>
      <c r="T804" t="str">
        <f>"88102001"</f>
        <v>88102001</v>
      </c>
      <c r="U804" t="str">
        <f>"KOBRASOL"</f>
        <v>KOBRASOL</v>
      </c>
      <c r="V804" t="str">
        <f>"SÃO JOSÉ"</f>
        <v>SÃO JOSÉ</v>
      </c>
      <c r="W804" t="str">
        <f t="shared" si="402"/>
        <v>SC</v>
      </c>
      <c r="X804" t="str">
        <f t="shared" si="411"/>
        <v>48</v>
      </c>
      <c r="Y804" t="str">
        <f>"32081434"</f>
        <v>32081434</v>
      </c>
      <c r="Z804" t="str">
        <f>""</f>
        <v/>
      </c>
      <c r="AA804" t="str">
        <f>""</f>
        <v/>
      </c>
      <c r="AB804" t="str">
        <f>""</f>
        <v/>
      </c>
      <c r="AC804" t="str">
        <f>""</f>
        <v/>
      </c>
      <c r="AD804" t="str">
        <f>""</f>
        <v/>
      </c>
      <c r="AE804" t="str">
        <f>""</f>
        <v/>
      </c>
      <c r="AF804" t="str">
        <f>""</f>
        <v/>
      </c>
      <c r="AG804" t="str">
        <f>"S"</f>
        <v>S</v>
      </c>
      <c r="AH804" t="str">
        <f>""</f>
        <v/>
      </c>
      <c r="AI804" t="str">
        <f>""</f>
        <v/>
      </c>
      <c r="AJ804" t="str">
        <f>""</f>
        <v/>
      </c>
      <c r="AK804" t="str">
        <f>""</f>
        <v/>
      </c>
      <c r="AL804" t="str">
        <f>""</f>
        <v/>
      </c>
      <c r="AM804" t="str">
        <f>""</f>
        <v/>
      </c>
      <c r="AN804" t="str">
        <f>""</f>
        <v/>
      </c>
      <c r="AO804" t="str">
        <f>""</f>
        <v/>
      </c>
      <c r="AP804" t="str">
        <f>""</f>
        <v/>
      </c>
      <c r="AQ804" t="str">
        <f>"N"</f>
        <v>N</v>
      </c>
      <c r="AR804" t="str">
        <f>"N"</f>
        <v>N</v>
      </c>
      <c r="AS804" t="str">
        <f>"N"</f>
        <v>N</v>
      </c>
      <c r="AT804" t="str">
        <f>"N"</f>
        <v>N</v>
      </c>
      <c r="AU804" t="str">
        <f>"N"</f>
        <v>N</v>
      </c>
      <c r="AV804" t="str">
        <f>""</f>
        <v/>
      </c>
      <c r="AW804" t="str">
        <f>""</f>
        <v/>
      </c>
      <c r="AX804" t="str">
        <f>""</f>
        <v/>
      </c>
      <c r="AY804" t="str">
        <f>""</f>
        <v/>
      </c>
      <c r="AZ804" t="str">
        <f>""</f>
        <v/>
      </c>
      <c r="BA804" t="str">
        <f>""</f>
        <v/>
      </c>
      <c r="BB804" t="str">
        <f>""</f>
        <v/>
      </c>
      <c r="BC804" t="str">
        <f>"13/07/2022 14:10:16"</f>
        <v>13/07/2022 14:10:16</v>
      </c>
      <c r="BD804" t="str">
        <f>""</f>
        <v/>
      </c>
      <c r="BE804" t="str">
        <f>""</f>
        <v/>
      </c>
      <c r="BF804" t="str">
        <f t="shared" si="397"/>
        <v>A</v>
      </c>
      <c r="BG804" t="str">
        <f>""</f>
        <v/>
      </c>
      <c r="BH804" t="str">
        <f>"0,00"</f>
        <v>0,00</v>
      </c>
      <c r="BI804" t="str">
        <f t="shared" si="410"/>
        <v>EVENTUAL</v>
      </c>
      <c r="BJ804" t="str">
        <f t="shared" si="398"/>
        <v>1</v>
      </c>
      <c r="BK804" t="str">
        <f t="shared" si="399"/>
        <v>Farmacia</v>
      </c>
      <c r="BL804" t="str">
        <f>""</f>
        <v/>
      </c>
      <c r="BM804" t="str">
        <f>"NÃO É VARILUX ESPECIALISTA"</f>
        <v>NÃO É VARILUX ESPECIALISTA</v>
      </c>
      <c r="BN804" t="str">
        <f>"NA"</f>
        <v>NA</v>
      </c>
      <c r="BO804" t="str">
        <f>"FOCO KODAK 2"</f>
        <v>FOCO KODAK 2</v>
      </c>
      <c r="BP804" t="str">
        <f>""</f>
        <v/>
      </c>
      <c r="BQ804" t="str">
        <f>""</f>
        <v/>
      </c>
      <c r="BR804" t="str">
        <f>""</f>
        <v/>
      </c>
      <c r="BS804" t="str">
        <f>"13/07/2022"</f>
        <v>13/07/2022</v>
      </c>
      <c r="BT804" t="str">
        <f>""</f>
        <v/>
      </c>
      <c r="BU804" t="str">
        <f>""</f>
        <v/>
      </c>
      <c r="BV804" t="str">
        <f>""</f>
        <v/>
      </c>
      <c r="BW804" t="str">
        <f>"3"</f>
        <v>3</v>
      </c>
    </row>
    <row r="805" spans="1:75" x14ac:dyDescent="0.35">
      <c r="A805">
        <v>156938</v>
      </c>
      <c r="B805" t="str">
        <f t="shared" si="394"/>
        <v>A</v>
      </c>
      <c r="C805" t="str">
        <f t="shared" si="395"/>
        <v>80</v>
      </c>
      <c r="D805" t="str">
        <f t="shared" si="384"/>
        <v>11121002</v>
      </c>
      <c r="E805" t="str">
        <f t="shared" si="385"/>
        <v>121002</v>
      </c>
      <c r="F805" t="str">
        <f t="shared" si="386"/>
        <v>CINTHIA NORONHA</v>
      </c>
      <c r="G805" t="str">
        <f>"79920898000176"</f>
        <v>79920898000176</v>
      </c>
      <c r="H805" t="str">
        <f>"0"</f>
        <v>0</v>
      </c>
      <c r="I805" t="str">
        <f t="shared" si="396"/>
        <v>CONTA OPTICA</v>
      </c>
      <c r="J805" t="str">
        <f>"LAENIO LEAL"</f>
        <v>LAENIO LEAL</v>
      </c>
      <c r="K805" t="str">
        <f>"LAENIO  LEAL MULLER (975)"</f>
        <v>LAENIO  LEAL MULLER (975)</v>
      </c>
      <c r="L805" t="str">
        <f>""</f>
        <v/>
      </c>
      <c r="M805" t="str">
        <f>""</f>
        <v/>
      </c>
      <c r="N805" t="str">
        <f>""</f>
        <v/>
      </c>
      <c r="O805" t="str">
        <f>""</f>
        <v/>
      </c>
      <c r="P805" t="str">
        <f>"RUA ORLEANS"</f>
        <v>RUA ORLEANS</v>
      </c>
      <c r="Q805" t="str">
        <f>"60"</f>
        <v>60</v>
      </c>
      <c r="R805" t="str">
        <f>""</f>
        <v/>
      </c>
      <c r="S805" t="str">
        <f>"1269"</f>
        <v>1269</v>
      </c>
      <c r="T805" t="str">
        <f>"88880000"</f>
        <v>88880000</v>
      </c>
      <c r="U805" t="str">
        <f>"CENTRO"</f>
        <v>CENTRO</v>
      </c>
      <c r="V805" t="str">
        <f>"LAURO MULLER"</f>
        <v>LAURO MULLER</v>
      </c>
      <c r="W805" t="str">
        <f t="shared" si="402"/>
        <v>SC</v>
      </c>
      <c r="X805" t="str">
        <f t="shared" si="411"/>
        <v>48</v>
      </c>
      <c r="Y805" t="str">
        <f>"34643358"</f>
        <v>34643358</v>
      </c>
      <c r="Z805" t="str">
        <f>""</f>
        <v/>
      </c>
      <c r="AA805" t="str">
        <f>""</f>
        <v/>
      </c>
      <c r="AB805" t="str">
        <f>""</f>
        <v/>
      </c>
      <c r="AC805" t="str">
        <f>""</f>
        <v/>
      </c>
      <c r="AD805" t="str">
        <f>""</f>
        <v/>
      </c>
      <c r="AE805" t="str">
        <f>""</f>
        <v/>
      </c>
      <c r="AF805" t="str">
        <f>""</f>
        <v/>
      </c>
      <c r="AG805" t="str">
        <f>""</f>
        <v/>
      </c>
      <c r="AH805" t="str">
        <f>""</f>
        <v/>
      </c>
      <c r="AI805" t="str">
        <f>""</f>
        <v/>
      </c>
      <c r="AJ805" t="str">
        <f>""</f>
        <v/>
      </c>
      <c r="AK805" t="str">
        <f>""</f>
        <v/>
      </c>
      <c r="AL805" t="str">
        <f>""</f>
        <v/>
      </c>
      <c r="AM805" t="str">
        <f>""</f>
        <v/>
      </c>
      <c r="AN805" t="str">
        <f>""</f>
        <v/>
      </c>
      <c r="AO805" t="str">
        <f>""</f>
        <v/>
      </c>
      <c r="AP805" t="str">
        <f>""</f>
        <v/>
      </c>
      <c r="AQ805" t="str">
        <f>""</f>
        <v/>
      </c>
      <c r="AR805" t="str">
        <f>""</f>
        <v/>
      </c>
      <c r="AS805" t="str">
        <f>""</f>
        <v/>
      </c>
      <c r="AT805" t="str">
        <f>""</f>
        <v/>
      </c>
      <c r="AU805" t="str">
        <f>""</f>
        <v/>
      </c>
      <c r="AV805" t="str">
        <f>""</f>
        <v/>
      </c>
      <c r="AW805" t="str">
        <f>""</f>
        <v/>
      </c>
      <c r="AX805" t="str">
        <f>""</f>
        <v/>
      </c>
      <c r="AY805" t="str">
        <f>""</f>
        <v/>
      </c>
      <c r="AZ805" t="str">
        <f>""</f>
        <v/>
      </c>
      <c r="BA805" t="str">
        <f>""</f>
        <v/>
      </c>
      <c r="BB805" t="str">
        <f>"06/07/2023 12:07:48"</f>
        <v>06/07/2023 12:07:48</v>
      </c>
      <c r="BC805" t="str">
        <f>""</f>
        <v/>
      </c>
      <c r="BD805" t="str">
        <f>""</f>
        <v/>
      </c>
      <c r="BE805" t="str">
        <f>""</f>
        <v/>
      </c>
      <c r="BF805" t="str">
        <f t="shared" si="397"/>
        <v>A</v>
      </c>
      <c r="BG805" t="str">
        <f>""</f>
        <v/>
      </c>
      <c r="BH805" t="str">
        <f>""</f>
        <v/>
      </c>
      <c r="BI805" t="str">
        <f t="shared" si="410"/>
        <v>EVENTUAL</v>
      </c>
      <c r="BJ805" t="str">
        <f t="shared" si="398"/>
        <v>1</v>
      </c>
      <c r="BK805" t="str">
        <f t="shared" si="399"/>
        <v>Farmacia</v>
      </c>
      <c r="BL805" t="str">
        <f>""</f>
        <v/>
      </c>
      <c r="BM805" t="str">
        <f>""</f>
        <v/>
      </c>
      <c r="BN805" t="str">
        <f>""</f>
        <v/>
      </c>
      <c r="BO805" t="str">
        <f>""</f>
        <v/>
      </c>
      <c r="BP805" t="str">
        <f>""</f>
        <v/>
      </c>
      <c r="BQ805" t="str">
        <f>""</f>
        <v/>
      </c>
      <c r="BR805" t="str">
        <f>"06/07/2023"</f>
        <v>06/07/2023</v>
      </c>
      <c r="BS805" t="str">
        <f>""</f>
        <v/>
      </c>
      <c r="BT805" t="str">
        <f>""</f>
        <v/>
      </c>
      <c r="BU805" t="str">
        <f>""</f>
        <v/>
      </c>
      <c r="BV805" t="str">
        <f>""</f>
        <v/>
      </c>
      <c r="BW805" t="str">
        <f>"Não visitado"</f>
        <v>Não visitado</v>
      </c>
    </row>
    <row r="806" spans="1:75" x14ac:dyDescent="0.35">
      <c r="A806">
        <v>134381</v>
      </c>
      <c r="B806" t="str">
        <f t="shared" si="394"/>
        <v>A</v>
      </c>
      <c r="C806" t="str">
        <f t="shared" si="395"/>
        <v>80</v>
      </c>
      <c r="D806" t="str">
        <f t="shared" si="384"/>
        <v>11121002</v>
      </c>
      <c r="E806" t="str">
        <f t="shared" si="385"/>
        <v>121002</v>
      </c>
      <c r="F806" t="str">
        <f t="shared" si="386"/>
        <v>CINTHIA NORONHA</v>
      </c>
      <c r="G806" t="str">
        <f>"21154956000118"</f>
        <v>21154956000118</v>
      </c>
      <c r="H806" t="str">
        <f>""</f>
        <v/>
      </c>
      <c r="I806" t="str">
        <f t="shared" si="396"/>
        <v>CONTA OPTICA</v>
      </c>
      <c r="J806" t="str">
        <f>"LANDOALDO JOSE FREIBERGER EIRELI"</f>
        <v>LANDOALDO JOSE FREIBERGER EIRELI</v>
      </c>
      <c r="K806" t="str">
        <f>"OTICAS CAROL (2217)"</f>
        <v>OTICAS CAROL (2217)</v>
      </c>
      <c r="L806" t="str">
        <f>""</f>
        <v/>
      </c>
      <c r="M806" t="str">
        <f>""</f>
        <v/>
      </c>
      <c r="N806" t="str">
        <f>"produtosc@oticascarol.com.br"</f>
        <v>produtosc@oticascarol.com.br</v>
      </c>
      <c r="O806" t="str">
        <f>""</f>
        <v/>
      </c>
      <c r="P806" t="str">
        <f>"RUA JOSE MARIA DA LUZ"</f>
        <v>RUA JOSE MARIA DA LUZ</v>
      </c>
      <c r="Q806" t="str">
        <f>"2856"</f>
        <v>2856</v>
      </c>
      <c r="R806" t="str">
        <f>""</f>
        <v/>
      </c>
      <c r="S806" t="str">
        <f>"1259"</f>
        <v>1259</v>
      </c>
      <c r="T806" t="str">
        <f>"88131000"</f>
        <v>88131000</v>
      </c>
      <c r="U806" t="str">
        <f>"CENTRO"</f>
        <v>CENTRO</v>
      </c>
      <c r="V806" t="str">
        <f>"PALHOCA"</f>
        <v>PALHOCA</v>
      </c>
      <c r="W806" t="str">
        <f t="shared" si="402"/>
        <v>SC</v>
      </c>
      <c r="X806" t="str">
        <f t="shared" si="411"/>
        <v>48</v>
      </c>
      <c r="Y806" t="str">
        <f>"30937718"</f>
        <v>30937718</v>
      </c>
      <c r="Z806" t="str">
        <f>""</f>
        <v/>
      </c>
      <c r="AA806" t="str">
        <f>""</f>
        <v/>
      </c>
      <c r="AB806" t="str">
        <f>""</f>
        <v/>
      </c>
      <c r="AC806" t="str">
        <f>""</f>
        <v/>
      </c>
      <c r="AD806" t="str">
        <f>""</f>
        <v/>
      </c>
      <c r="AE806" t="str">
        <f>""</f>
        <v/>
      </c>
      <c r="AF806" t="str">
        <f>""</f>
        <v/>
      </c>
      <c r="AG806" t="str">
        <f>""</f>
        <v/>
      </c>
      <c r="AH806" t="str">
        <f>""</f>
        <v/>
      </c>
      <c r="AI806" t="str">
        <f>""</f>
        <v/>
      </c>
      <c r="AJ806" t="str">
        <f>""</f>
        <v/>
      </c>
      <c r="AK806" t="str">
        <f>""</f>
        <v/>
      </c>
      <c r="AL806" t="str">
        <f>""</f>
        <v/>
      </c>
      <c r="AM806" t="str">
        <f>""</f>
        <v/>
      </c>
      <c r="AN806" t="str">
        <f>""</f>
        <v/>
      </c>
      <c r="AO806" t="str">
        <f>""</f>
        <v/>
      </c>
      <c r="AP806" t="str">
        <f>""</f>
        <v/>
      </c>
      <c r="AQ806" t="str">
        <f>""</f>
        <v/>
      </c>
      <c r="AR806" t="str">
        <f>""</f>
        <v/>
      </c>
      <c r="AS806" t="str">
        <f>""</f>
        <v/>
      </c>
      <c r="AT806" t="str">
        <f>""</f>
        <v/>
      </c>
      <c r="AU806" t="str">
        <f>""</f>
        <v/>
      </c>
      <c r="AV806" t="str">
        <f>""</f>
        <v/>
      </c>
      <c r="AW806" t="str">
        <f>""</f>
        <v/>
      </c>
      <c r="AX806" t="str">
        <f>""</f>
        <v/>
      </c>
      <c r="AY806" t="str">
        <f>""</f>
        <v/>
      </c>
      <c r="AZ806" t="str">
        <f>""</f>
        <v/>
      </c>
      <c r="BA806" t="str">
        <f>""</f>
        <v/>
      </c>
      <c r="BB806" t="str">
        <f>""</f>
        <v/>
      </c>
      <c r="BC806" t="str">
        <f>""</f>
        <v/>
      </c>
      <c r="BD806" t="str">
        <f>""</f>
        <v/>
      </c>
      <c r="BE806" t="str">
        <f>""</f>
        <v/>
      </c>
      <c r="BF806" t="str">
        <f t="shared" si="397"/>
        <v>A</v>
      </c>
      <c r="BG806" t="str">
        <f>""</f>
        <v/>
      </c>
      <c r="BH806" t="str">
        <f>""</f>
        <v/>
      </c>
      <c r="BI806" t="str">
        <f t="shared" si="410"/>
        <v>EVENTUAL</v>
      </c>
      <c r="BJ806" t="str">
        <f t="shared" si="398"/>
        <v>1</v>
      </c>
      <c r="BK806" t="str">
        <f t="shared" si="399"/>
        <v>Farmacia</v>
      </c>
      <c r="BL806" t="str">
        <f>""</f>
        <v/>
      </c>
      <c r="BM806" t="str">
        <f>"NÃO É VARILUX ESPECIALISTA"</f>
        <v>NÃO É VARILUX ESPECIALISTA</v>
      </c>
      <c r="BN806" t="str">
        <f>"NA"</f>
        <v>NA</v>
      </c>
      <c r="BO806" t="str">
        <f>"OUTROS"</f>
        <v>OUTROS</v>
      </c>
      <c r="BP806" t="str">
        <f>""</f>
        <v/>
      </c>
      <c r="BQ806" t="str">
        <f>""</f>
        <v/>
      </c>
      <c r="BR806" t="str">
        <f>""</f>
        <v/>
      </c>
      <c r="BS806" t="str">
        <f>""</f>
        <v/>
      </c>
      <c r="BT806" t="str">
        <f>""</f>
        <v/>
      </c>
      <c r="BU806" t="str">
        <f>""</f>
        <v/>
      </c>
      <c r="BV806" t="str">
        <f>"1"</f>
        <v>1</v>
      </c>
      <c r="BW806" t="str">
        <f>"Não visitado"</f>
        <v>Não visitado</v>
      </c>
    </row>
    <row r="807" spans="1:75" x14ac:dyDescent="0.35">
      <c r="A807">
        <v>134487</v>
      </c>
      <c r="B807" t="str">
        <f t="shared" si="394"/>
        <v>A</v>
      </c>
      <c r="C807" t="str">
        <f t="shared" si="395"/>
        <v>80</v>
      </c>
      <c r="D807" t="str">
        <f t="shared" si="384"/>
        <v>11121002</v>
      </c>
      <c r="E807" t="str">
        <f t="shared" si="385"/>
        <v>121002</v>
      </c>
      <c r="F807" t="str">
        <f t="shared" si="386"/>
        <v>CINTHIA NORONHA</v>
      </c>
      <c r="G807" t="str">
        <f>"21154956000207"</f>
        <v>21154956000207</v>
      </c>
      <c r="H807" t="str">
        <f>""</f>
        <v/>
      </c>
      <c r="I807" t="str">
        <f t="shared" si="396"/>
        <v>CONTA OPTICA</v>
      </c>
      <c r="J807" t="str">
        <f>"LANDOALDO JOSE FREIBERGER EIRELI"</f>
        <v>LANDOALDO JOSE FREIBERGER EIRELI</v>
      </c>
      <c r="K807" t="str">
        <f>"OTICAS CAROL (3303)"</f>
        <v>OTICAS CAROL (3303)</v>
      </c>
      <c r="L807" t="str">
        <f>""</f>
        <v/>
      </c>
      <c r="M807" t="str">
        <f>""</f>
        <v/>
      </c>
      <c r="N807" t="str">
        <f>"produtosc@oticascarol.com.br"</f>
        <v>produtosc@oticascarol.com.br</v>
      </c>
      <c r="O807" t="str">
        <f>""</f>
        <v/>
      </c>
      <c r="P807" t="str">
        <f>"RUA BOCAIUVA"</f>
        <v>RUA BOCAIUVA</v>
      </c>
      <c r="Q807" t="str">
        <f>"2468"</f>
        <v>2468</v>
      </c>
      <c r="R807" t="str">
        <f>"LJ 106 PISO L1"</f>
        <v>LJ 106 PISO L1</v>
      </c>
      <c r="S807" t="str">
        <f>"1259"</f>
        <v>1259</v>
      </c>
      <c r="T807" t="str">
        <f>"88105902"</f>
        <v>88105902</v>
      </c>
      <c r="U807" t="str">
        <f>"CENTRO"</f>
        <v>CENTRO</v>
      </c>
      <c r="V807" t="str">
        <f>"FLORIANOPOLIS"</f>
        <v>FLORIANOPOLIS</v>
      </c>
      <c r="W807" t="str">
        <f t="shared" ref="W807:W838" si="413">"SC"</f>
        <v>SC</v>
      </c>
      <c r="X807" t="str">
        <f t="shared" si="411"/>
        <v>48</v>
      </c>
      <c r="Y807" t="str">
        <f>"33336916"</f>
        <v>33336916</v>
      </c>
      <c r="Z807" t="str">
        <f>""</f>
        <v/>
      </c>
      <c r="AA807" t="str">
        <f>""</f>
        <v/>
      </c>
      <c r="AB807" t="str">
        <f>""</f>
        <v/>
      </c>
      <c r="AC807" t="str">
        <f>""</f>
        <v/>
      </c>
      <c r="AD807" t="str">
        <f>""</f>
        <v/>
      </c>
      <c r="AE807" t="str">
        <f>""</f>
        <v/>
      </c>
      <c r="AF807" t="str">
        <f>""</f>
        <v/>
      </c>
      <c r="AG807" t="str">
        <f>""</f>
        <v/>
      </c>
      <c r="AH807" t="str">
        <f>""</f>
        <v/>
      </c>
      <c r="AI807" t="str">
        <f>""</f>
        <v/>
      </c>
      <c r="AJ807" t="str">
        <f>""</f>
        <v/>
      </c>
      <c r="AK807" t="str">
        <f>""</f>
        <v/>
      </c>
      <c r="AL807" t="str">
        <f>""</f>
        <v/>
      </c>
      <c r="AM807" t="str">
        <f>""</f>
        <v/>
      </c>
      <c r="AN807" t="str">
        <f>""</f>
        <v/>
      </c>
      <c r="AO807" t="str">
        <f>""</f>
        <v/>
      </c>
      <c r="AP807" t="str">
        <f>""</f>
        <v/>
      </c>
      <c r="AQ807" t="str">
        <f>""</f>
        <v/>
      </c>
      <c r="AR807" t="str">
        <f>""</f>
        <v/>
      </c>
      <c r="AS807" t="str">
        <f>""</f>
        <v/>
      </c>
      <c r="AT807" t="str">
        <f>""</f>
        <v/>
      </c>
      <c r="AU807" t="str">
        <f>""</f>
        <v/>
      </c>
      <c r="AV807" t="str">
        <f>""</f>
        <v/>
      </c>
      <c r="AW807" t="str">
        <f>""</f>
        <v/>
      </c>
      <c r="AX807" t="str">
        <f>""</f>
        <v/>
      </c>
      <c r="AY807" t="str">
        <f>""</f>
        <v/>
      </c>
      <c r="AZ807" t="str">
        <f>""</f>
        <v/>
      </c>
      <c r="BA807" t="str">
        <f>""</f>
        <v/>
      </c>
      <c r="BB807" t="str">
        <f>""</f>
        <v/>
      </c>
      <c r="BC807" t="str">
        <f>""</f>
        <v/>
      </c>
      <c r="BD807" t="str">
        <f>""</f>
        <v/>
      </c>
      <c r="BE807" t="str">
        <f>""</f>
        <v/>
      </c>
      <c r="BF807" t="str">
        <f t="shared" si="397"/>
        <v>A</v>
      </c>
      <c r="BG807" t="str">
        <f>""</f>
        <v/>
      </c>
      <c r="BH807" t="str">
        <f>""</f>
        <v/>
      </c>
      <c r="BI807" t="str">
        <f t="shared" si="410"/>
        <v>EVENTUAL</v>
      </c>
      <c r="BJ807" t="str">
        <f t="shared" si="398"/>
        <v>1</v>
      </c>
      <c r="BK807" t="str">
        <f t="shared" si="399"/>
        <v>Farmacia</v>
      </c>
      <c r="BL807" t="str">
        <f>""</f>
        <v/>
      </c>
      <c r="BM807" t="str">
        <f>"NÃO É VARILUX ESPECIALISTA"</f>
        <v>NÃO É VARILUX ESPECIALISTA</v>
      </c>
      <c r="BN807" t="str">
        <f>"NA"</f>
        <v>NA</v>
      </c>
      <c r="BO807" t="str">
        <f>"FOCO VARILUX DIGITAL"</f>
        <v>FOCO VARILUX DIGITAL</v>
      </c>
      <c r="BP807" t="str">
        <f>""</f>
        <v/>
      </c>
      <c r="BQ807" t="str">
        <f>""</f>
        <v/>
      </c>
      <c r="BR807" t="str">
        <f>""</f>
        <v/>
      </c>
      <c r="BS807" t="str">
        <f>""</f>
        <v/>
      </c>
      <c r="BT807" t="str">
        <f>""</f>
        <v/>
      </c>
      <c r="BU807" t="str">
        <f>""</f>
        <v/>
      </c>
      <c r="BV807" t="str">
        <f>"1"</f>
        <v>1</v>
      </c>
      <c r="BW807" t="str">
        <f>"Não visitado"</f>
        <v>Não visitado</v>
      </c>
    </row>
    <row r="808" spans="1:75" x14ac:dyDescent="0.35">
      <c r="A808">
        <v>159570</v>
      </c>
      <c r="B808" t="str">
        <f t="shared" si="394"/>
        <v>A</v>
      </c>
      <c r="C808" t="str">
        <f t="shared" si="395"/>
        <v>80</v>
      </c>
      <c r="D808" t="str">
        <f t="shared" si="384"/>
        <v>11121002</v>
      </c>
      <c r="E808" t="str">
        <f t="shared" si="385"/>
        <v>121002</v>
      </c>
      <c r="F808" t="str">
        <f t="shared" si="386"/>
        <v>CINTHIA NORONHA</v>
      </c>
      <c r="G808" t="str">
        <f>"52067283000192"</f>
        <v>52067283000192</v>
      </c>
      <c r="H808" t="str">
        <f>""</f>
        <v/>
      </c>
      <c r="I808" t="str">
        <f t="shared" si="396"/>
        <v>CONTA OPTICA</v>
      </c>
      <c r="J808" t="str">
        <f>"LAPIS-LAZULI COMERCIO DE OCULOS E ACESSORIOS LTDA"</f>
        <v>LAPIS-LAZULI COMERCIO DE OCULOS E ACESSORIOS LTDA</v>
      </c>
      <c r="K808" t="str">
        <f>"CHILLI BEANS (4779)"</f>
        <v>CHILLI BEANS (4779)</v>
      </c>
      <c r="L808" t="str">
        <f>""</f>
        <v/>
      </c>
      <c r="M808" t="str">
        <f>""</f>
        <v/>
      </c>
      <c r="N808" t="str">
        <f>"ADM.FERRONATTOEPAZA@GMAIL.COM"</f>
        <v>ADM.FERRONATTOEPAZA@GMAIL.COM</v>
      </c>
      <c r="O808" t="str">
        <f>""</f>
        <v/>
      </c>
      <c r="P808" t="str">
        <f>"RUA TENENTE SILVEIRA"</f>
        <v>RUA TENENTE SILVEIRA</v>
      </c>
      <c r="Q808" t="str">
        <f>"85"</f>
        <v>85</v>
      </c>
      <c r="R808" t="str">
        <f>"LOJA 05 - EDIFI"</f>
        <v>LOJA 05 - EDIFI</v>
      </c>
      <c r="S808" t="str">
        <f>"1254"</f>
        <v>1254</v>
      </c>
      <c r="T808" t="str">
        <f>"88010300"</f>
        <v>88010300</v>
      </c>
      <c r="U808" t="str">
        <f>"CENTRO"</f>
        <v>CENTRO</v>
      </c>
      <c r="V808" t="str">
        <f>"FLORIANOPOLIS"</f>
        <v>FLORIANOPOLIS</v>
      </c>
      <c r="W808" t="str">
        <f t="shared" si="413"/>
        <v>SC</v>
      </c>
      <c r="X808" t="str">
        <f>"42"</f>
        <v>42</v>
      </c>
      <c r="Y808" t="str">
        <f>"998585101"</f>
        <v>998585101</v>
      </c>
      <c r="Z808" t="str">
        <f>""</f>
        <v/>
      </c>
      <c r="AA808" t="str">
        <f>""</f>
        <v/>
      </c>
      <c r="AB808" t="str">
        <f>""</f>
        <v/>
      </c>
      <c r="AC808" t="str">
        <f>""</f>
        <v/>
      </c>
      <c r="AD808" t="str">
        <f>""</f>
        <v/>
      </c>
      <c r="AE808" t="str">
        <f>""</f>
        <v/>
      </c>
      <c r="AF808" t="str">
        <f>""</f>
        <v/>
      </c>
      <c r="AG808" t="str">
        <f>""</f>
        <v/>
      </c>
      <c r="AH808" t="str">
        <f>""</f>
        <v/>
      </c>
      <c r="AI808" t="str">
        <f>""</f>
        <v/>
      </c>
      <c r="AJ808" t="str">
        <f>""</f>
        <v/>
      </c>
      <c r="AK808" t="str">
        <f>""</f>
        <v/>
      </c>
      <c r="AL808" t="str">
        <f>""</f>
        <v/>
      </c>
      <c r="AM808" t="str">
        <f>""</f>
        <v/>
      </c>
      <c r="AN808" t="str">
        <f>""</f>
        <v/>
      </c>
      <c r="AO808" t="str">
        <f>""</f>
        <v/>
      </c>
      <c r="AP808" t="str">
        <f>""</f>
        <v/>
      </c>
      <c r="AQ808" t="str">
        <f>""</f>
        <v/>
      </c>
      <c r="AR808" t="str">
        <f>""</f>
        <v/>
      </c>
      <c r="AS808" t="str">
        <f>""</f>
        <v/>
      </c>
      <c r="AT808" t="str">
        <f>""</f>
        <v/>
      </c>
      <c r="AU808" t="str">
        <f>""</f>
        <v/>
      </c>
      <c r="AV808" t="str">
        <f>""</f>
        <v/>
      </c>
      <c r="AW808" t="str">
        <f>""</f>
        <v/>
      </c>
      <c r="AX808" t="str">
        <f>""</f>
        <v/>
      </c>
      <c r="AY808" t="str">
        <f>""</f>
        <v/>
      </c>
      <c r="AZ808" t="str">
        <f>""</f>
        <v/>
      </c>
      <c r="BA808" t="str">
        <f>""</f>
        <v/>
      </c>
      <c r="BB808" t="str">
        <f>"25/09/2023 11:47:13"</f>
        <v>25/09/2023 11:47:13</v>
      </c>
      <c r="BC808" t="str">
        <f>""</f>
        <v/>
      </c>
      <c r="BD808" t="str">
        <f>""</f>
        <v/>
      </c>
      <c r="BE808" t="str">
        <f>""</f>
        <v/>
      </c>
      <c r="BF808" t="str">
        <f t="shared" si="397"/>
        <v>A</v>
      </c>
      <c r="BG808" t="str">
        <f>""</f>
        <v/>
      </c>
      <c r="BH808" t="str">
        <f>""</f>
        <v/>
      </c>
      <c r="BI808" t="str">
        <f t="shared" si="410"/>
        <v>EVENTUAL</v>
      </c>
      <c r="BJ808" t="str">
        <f t="shared" si="398"/>
        <v>1</v>
      </c>
      <c r="BK808" t="str">
        <f t="shared" si="399"/>
        <v>Farmacia</v>
      </c>
      <c r="BL808" t="str">
        <f>""</f>
        <v/>
      </c>
      <c r="BM808" t="str">
        <f>""</f>
        <v/>
      </c>
      <c r="BN808" t="str">
        <f>""</f>
        <v/>
      </c>
      <c r="BO808" t="str">
        <f>""</f>
        <v/>
      </c>
      <c r="BP808" t="str">
        <f>""</f>
        <v/>
      </c>
      <c r="BQ808" t="str">
        <f>""</f>
        <v/>
      </c>
      <c r="BR808" t="str">
        <f>"25/09/2023"</f>
        <v>25/09/2023</v>
      </c>
      <c r="BS808" t="str">
        <f>""</f>
        <v/>
      </c>
      <c r="BT808" t="str">
        <f>""</f>
        <v/>
      </c>
      <c r="BU808" t="str">
        <f>""</f>
        <v/>
      </c>
      <c r="BV808" t="str">
        <f>""</f>
        <v/>
      </c>
      <c r="BW808" t="str">
        <f>"Não visitado"</f>
        <v>Não visitado</v>
      </c>
    </row>
    <row r="809" spans="1:75" x14ac:dyDescent="0.35">
      <c r="A809">
        <v>138963</v>
      </c>
      <c r="B809" t="str">
        <f t="shared" si="394"/>
        <v>A</v>
      </c>
      <c r="C809" t="str">
        <f t="shared" si="395"/>
        <v>80</v>
      </c>
      <c r="D809" t="str">
        <f t="shared" si="384"/>
        <v>11121002</v>
      </c>
      <c r="E809" t="str">
        <f t="shared" si="385"/>
        <v>121002</v>
      </c>
      <c r="F809" t="str">
        <f t="shared" si="386"/>
        <v>CINTHIA NORONHA</v>
      </c>
      <c r="G809" t="str">
        <f>"42331482000102"</f>
        <v>42331482000102</v>
      </c>
      <c r="H809" t="str">
        <f>"0"</f>
        <v>0</v>
      </c>
      <c r="I809" t="str">
        <f t="shared" si="396"/>
        <v>CONTA OPTICA</v>
      </c>
      <c r="J809" t="str">
        <f>"LAURA HONORIA MACHADO 41594908915"</f>
        <v>LAURA HONORIA MACHADO 41594908915</v>
      </c>
      <c r="K809" t="str">
        <f>"OTICA GABRIELA (4361)"</f>
        <v>OTICA GABRIELA (4361)</v>
      </c>
      <c r="L809" t="str">
        <f>""</f>
        <v/>
      </c>
      <c r="M809" t="str">
        <f>""</f>
        <v/>
      </c>
      <c r="N809" t="str">
        <f>"OTICAGABRIELA@YAHOO.COM.BR"</f>
        <v>OTICAGABRIELA@YAHOO.COM.BR</v>
      </c>
      <c r="O809" t="str">
        <f>""</f>
        <v/>
      </c>
      <c r="P809" t="str">
        <f>"RUA DORALICE RAMOS PINHO"</f>
        <v>RUA DORALICE RAMOS PINHO</v>
      </c>
      <c r="Q809" t="str">
        <f>"419"</f>
        <v>419</v>
      </c>
      <c r="R809" t="str">
        <f>""</f>
        <v/>
      </c>
      <c r="S809" t="str">
        <f>"1259"</f>
        <v>1259</v>
      </c>
      <c r="T809" t="str">
        <f>"88111310"</f>
        <v>88111310</v>
      </c>
      <c r="U809" t="str">
        <f>"JARDIM CIDADE DE FLORIANO"</f>
        <v>JARDIM CIDADE DE FLORIANO</v>
      </c>
      <c r="V809" t="str">
        <f>"SÃO JOSÉ"</f>
        <v>SÃO JOSÉ</v>
      </c>
      <c r="W809" t="str">
        <f t="shared" si="413"/>
        <v>SC</v>
      </c>
      <c r="X809" t="str">
        <f>"48"</f>
        <v>48</v>
      </c>
      <c r="Y809" t="str">
        <f>"32586435"</f>
        <v>32586435</v>
      </c>
      <c r="Z809" t="str">
        <f>""</f>
        <v/>
      </c>
      <c r="AA809" t="str">
        <f>""</f>
        <v/>
      </c>
      <c r="AB809" t="str">
        <f>""</f>
        <v/>
      </c>
      <c r="AC809" t="str">
        <f>""</f>
        <v/>
      </c>
      <c r="AD809" t="str">
        <f>""</f>
        <v/>
      </c>
      <c r="AE809" t="str">
        <f>""</f>
        <v/>
      </c>
      <c r="AF809" t="str">
        <f>""</f>
        <v/>
      </c>
      <c r="AG809" t="str">
        <f>"S"</f>
        <v>S</v>
      </c>
      <c r="AH809" t="str">
        <f>""</f>
        <v/>
      </c>
      <c r="AI809" t="str">
        <f>""</f>
        <v/>
      </c>
      <c r="AJ809" t="str">
        <f>""</f>
        <v/>
      </c>
      <c r="AK809" t="str">
        <f>""</f>
        <v/>
      </c>
      <c r="AL809" t="str">
        <f>""</f>
        <v/>
      </c>
      <c r="AM809" t="str">
        <f>""</f>
        <v/>
      </c>
      <c r="AN809" t="str">
        <f>""</f>
        <v/>
      </c>
      <c r="AO809" t="str">
        <f>""</f>
        <v/>
      </c>
      <c r="AP809" t="str">
        <f>""</f>
        <v/>
      </c>
      <c r="AQ809" t="str">
        <f>"N"</f>
        <v>N</v>
      </c>
      <c r="AR809" t="str">
        <f>"N"</f>
        <v>N</v>
      </c>
      <c r="AS809" t="str">
        <f>"N"</f>
        <v>N</v>
      </c>
      <c r="AT809" t="str">
        <f>"N"</f>
        <v>N</v>
      </c>
      <c r="AU809" t="str">
        <f>"N"</f>
        <v>N</v>
      </c>
      <c r="AV809" t="str">
        <f>""</f>
        <v/>
      </c>
      <c r="AW809" t="str">
        <f>""</f>
        <v/>
      </c>
      <c r="AX809" t="str">
        <f>""</f>
        <v/>
      </c>
      <c r="AY809" t="str">
        <f>""</f>
        <v/>
      </c>
      <c r="AZ809" t="str">
        <f>""</f>
        <v/>
      </c>
      <c r="BA809" t="str">
        <f>""</f>
        <v/>
      </c>
      <c r="BB809" t="str">
        <f>"28/07/2021 09:03:08"</f>
        <v>28/07/2021 09:03:08</v>
      </c>
      <c r="BC809" t="str">
        <f>"19/04/2022 11:26:41"</f>
        <v>19/04/2022 11:26:41</v>
      </c>
      <c r="BD809" t="str">
        <f>""</f>
        <v/>
      </c>
      <c r="BE809" t="str">
        <f>""</f>
        <v/>
      </c>
      <c r="BF809" t="str">
        <f t="shared" si="397"/>
        <v>A</v>
      </c>
      <c r="BG809" t="str">
        <f>""</f>
        <v/>
      </c>
      <c r="BH809" t="str">
        <f>"0,00"</f>
        <v>0,00</v>
      </c>
      <c r="BI809" t="str">
        <f t="shared" si="410"/>
        <v>EVENTUAL</v>
      </c>
      <c r="BJ809" t="str">
        <f t="shared" si="398"/>
        <v>1</v>
      </c>
      <c r="BK809" t="str">
        <f t="shared" si="399"/>
        <v>Farmacia</v>
      </c>
      <c r="BL809" t="str">
        <f>""</f>
        <v/>
      </c>
      <c r="BM809" t="str">
        <f>"NÃO É VARILUX ESPECIALISTA"</f>
        <v>NÃO É VARILUX ESPECIALISTA</v>
      </c>
      <c r="BN809" t="str">
        <f>"NA"</f>
        <v>NA</v>
      </c>
      <c r="BO809" t="str">
        <f>"OUTROS"</f>
        <v>OUTROS</v>
      </c>
      <c r="BP809" t="str">
        <f>""</f>
        <v/>
      </c>
      <c r="BQ809" t="str">
        <f>""</f>
        <v/>
      </c>
      <c r="BR809" t="str">
        <f>"28/07/2021"</f>
        <v>28/07/2021</v>
      </c>
      <c r="BS809" t="str">
        <f>"19/04/2022"</f>
        <v>19/04/2022</v>
      </c>
      <c r="BT809" t="str">
        <f>""</f>
        <v/>
      </c>
      <c r="BU809" t="str">
        <f>""</f>
        <v/>
      </c>
      <c r="BV809" t="str">
        <f>""</f>
        <v/>
      </c>
      <c r="BW809" t="str">
        <f>"451"</f>
        <v>451</v>
      </c>
    </row>
    <row r="810" spans="1:75" x14ac:dyDescent="0.35">
      <c r="A810">
        <v>157648</v>
      </c>
      <c r="B810" t="str">
        <f t="shared" si="394"/>
        <v>A</v>
      </c>
      <c r="C810" t="str">
        <f t="shared" si="395"/>
        <v>80</v>
      </c>
      <c r="D810" t="str">
        <f t="shared" si="384"/>
        <v>11121002</v>
      </c>
      <c r="E810" t="str">
        <f t="shared" si="385"/>
        <v>121002</v>
      </c>
      <c r="F810" t="str">
        <f t="shared" si="386"/>
        <v>CINTHIA NORONHA</v>
      </c>
      <c r="G810" t="str">
        <f>"32219352000129"</f>
        <v>32219352000129</v>
      </c>
      <c r="H810" t="str">
        <f>"0"</f>
        <v>0</v>
      </c>
      <c r="I810" t="str">
        <f t="shared" si="396"/>
        <v>CONTA OPTICA</v>
      </c>
      <c r="J810" t="str">
        <f>"LAURINDO PEREIRA 38602733968"</f>
        <v>LAURINDO PEREIRA 38602733968</v>
      </c>
      <c r="K810" t="str">
        <f>"OTICA E RELOJOARIA FL (3968)"</f>
        <v>OTICA E RELOJOARIA FL (3968)</v>
      </c>
      <c r="L810" t="str">
        <f>""</f>
        <v/>
      </c>
      <c r="M810" t="str">
        <f>""</f>
        <v/>
      </c>
      <c r="N810" t="str">
        <f>"SOLOPTICA@YAHOO.COM.BR"</f>
        <v>SOLOPTICA@YAHOO.COM.BR</v>
      </c>
      <c r="O810" t="str">
        <f>""</f>
        <v/>
      </c>
      <c r="P810" t="str">
        <f>"RUA MARECHAL FLORIANO PEIXOTO"</f>
        <v>RUA MARECHAL FLORIANO PEIXOTO</v>
      </c>
      <c r="Q810" t="str">
        <f>"133"</f>
        <v>133</v>
      </c>
      <c r="R810" t="str">
        <f>"SALA 55"</f>
        <v>SALA 55</v>
      </c>
      <c r="S810" t="str">
        <f>"1269"</f>
        <v>1269</v>
      </c>
      <c r="T810" t="str">
        <f>"88801040"</f>
        <v>88801040</v>
      </c>
      <c r="U810" t="str">
        <f>"CENTRO"</f>
        <v>CENTRO</v>
      </c>
      <c r="V810" t="str">
        <f>"CRICIUMA"</f>
        <v>CRICIUMA</v>
      </c>
      <c r="W810" t="str">
        <f t="shared" si="413"/>
        <v>SC</v>
      </c>
      <c r="X810" t="str">
        <f>"47"</f>
        <v>47</v>
      </c>
      <c r="Y810" t="str">
        <f>"33631139"</f>
        <v>33631139</v>
      </c>
      <c r="Z810" t="str">
        <f>""</f>
        <v/>
      </c>
      <c r="AA810" t="str">
        <f>""</f>
        <v/>
      </c>
      <c r="AB810" t="str">
        <f>""</f>
        <v/>
      </c>
      <c r="AC810" t="str">
        <f>""</f>
        <v/>
      </c>
      <c r="AD810" t="str">
        <f>""</f>
        <v/>
      </c>
      <c r="AE810" t="str">
        <f>""</f>
        <v/>
      </c>
      <c r="AF810" t="str">
        <f>""</f>
        <v/>
      </c>
      <c r="AG810" t="str">
        <f>""</f>
        <v/>
      </c>
      <c r="AH810" t="str">
        <f>""</f>
        <v/>
      </c>
      <c r="AI810" t="str">
        <f>""</f>
        <v/>
      </c>
      <c r="AJ810" t="str">
        <f>""</f>
        <v/>
      </c>
      <c r="AK810" t="str">
        <f>""</f>
        <v/>
      </c>
      <c r="AL810" t="str">
        <f>""</f>
        <v/>
      </c>
      <c r="AM810" t="str">
        <f>""</f>
        <v/>
      </c>
      <c r="AN810" t="str">
        <f>""</f>
        <v/>
      </c>
      <c r="AO810" t="str">
        <f>""</f>
        <v/>
      </c>
      <c r="AP810" t="str">
        <f>""</f>
        <v/>
      </c>
      <c r="AQ810" t="str">
        <f>""</f>
        <v/>
      </c>
      <c r="AR810" t="str">
        <f>""</f>
        <v/>
      </c>
      <c r="AS810" t="str">
        <f>""</f>
        <v/>
      </c>
      <c r="AT810" t="str">
        <f>""</f>
        <v/>
      </c>
      <c r="AU810" t="str">
        <f>""</f>
        <v/>
      </c>
      <c r="AV810" t="str">
        <f>""</f>
        <v/>
      </c>
      <c r="AW810" t="str">
        <f>""</f>
        <v/>
      </c>
      <c r="AX810" t="str">
        <f>""</f>
        <v/>
      </c>
      <c r="AY810" t="str">
        <f>""</f>
        <v/>
      </c>
      <c r="AZ810" t="str">
        <f>""</f>
        <v/>
      </c>
      <c r="BA810" t="str">
        <f>""</f>
        <v/>
      </c>
      <c r="BB810" t="str">
        <f>"11/07/2023 02:19:56"</f>
        <v>11/07/2023 02:19:56</v>
      </c>
      <c r="BC810" t="str">
        <f>""</f>
        <v/>
      </c>
      <c r="BD810" t="str">
        <f>""</f>
        <v/>
      </c>
      <c r="BE810" t="str">
        <f>""</f>
        <v/>
      </c>
      <c r="BF810" t="str">
        <f t="shared" si="397"/>
        <v>A</v>
      </c>
      <c r="BG810" t="str">
        <f>""</f>
        <v/>
      </c>
      <c r="BH810" t="str">
        <f>""</f>
        <v/>
      </c>
      <c r="BI810" t="str">
        <f t="shared" si="410"/>
        <v>EVENTUAL</v>
      </c>
      <c r="BJ810" t="str">
        <f t="shared" si="398"/>
        <v>1</v>
      </c>
      <c r="BK810" t="str">
        <f t="shared" si="399"/>
        <v>Farmacia</v>
      </c>
      <c r="BL810" t="str">
        <f>""</f>
        <v/>
      </c>
      <c r="BM810" t="str">
        <f>""</f>
        <v/>
      </c>
      <c r="BN810" t="str">
        <f>""</f>
        <v/>
      </c>
      <c r="BO810" t="str">
        <f>""</f>
        <v/>
      </c>
      <c r="BP810" t="str">
        <f>""</f>
        <v/>
      </c>
      <c r="BQ810" t="str">
        <f>""</f>
        <v/>
      </c>
      <c r="BR810" t="str">
        <f>"11/07/2023"</f>
        <v>11/07/2023</v>
      </c>
      <c r="BS810" t="str">
        <f>""</f>
        <v/>
      </c>
      <c r="BT810" t="str">
        <f>""</f>
        <v/>
      </c>
      <c r="BU810" t="str">
        <f>""</f>
        <v/>
      </c>
      <c r="BV810" t="str">
        <f>""</f>
        <v/>
      </c>
      <c r="BW810" t="str">
        <f>"Não visitado"</f>
        <v>Não visitado</v>
      </c>
    </row>
    <row r="811" spans="1:75" x14ac:dyDescent="0.35">
      <c r="A811">
        <v>144554</v>
      </c>
      <c r="B811" t="str">
        <f t="shared" si="394"/>
        <v>A</v>
      </c>
      <c r="C811" t="str">
        <f t="shared" si="395"/>
        <v>80</v>
      </c>
      <c r="D811" t="str">
        <f t="shared" si="384"/>
        <v>11121002</v>
      </c>
      <c r="E811" t="str">
        <f t="shared" si="385"/>
        <v>121002</v>
      </c>
      <c r="F811" t="str">
        <f t="shared" si="386"/>
        <v>CINTHIA NORONHA</v>
      </c>
      <c r="G811" t="str">
        <f>"82111626000210"</f>
        <v>82111626000210</v>
      </c>
      <c r="H811" t="str">
        <f>""</f>
        <v/>
      </c>
      <c r="I811" t="str">
        <f t="shared" si="396"/>
        <v>CONTA OPTICA</v>
      </c>
      <c r="J811" t="str">
        <f>"LAURO CEOLIN ISIDORO"</f>
        <v>LAURO CEOLIN ISIDORO</v>
      </c>
      <c r="K811" t="str">
        <f>"RELOJOARIA E OTICA LAURO (2227)"</f>
        <v>RELOJOARIA E OTICA LAURO (2227)</v>
      </c>
      <c r="L811" t="str">
        <f>""</f>
        <v/>
      </c>
      <c r="M811" t="str">
        <f>""</f>
        <v/>
      </c>
      <c r="N811" t="str">
        <f>"oticalaurotimbe@hotmail.com"</f>
        <v>oticalaurotimbe@hotmail.com</v>
      </c>
      <c r="O811" t="str">
        <f>""</f>
        <v/>
      </c>
      <c r="P811" t="str">
        <f>"PRACA PRACA MUNICIPAL"</f>
        <v>PRACA PRACA MUNICIPAL</v>
      </c>
      <c r="Q811" t="str">
        <f>"19"</f>
        <v>19</v>
      </c>
      <c r="R811" t="str">
        <f>""</f>
        <v/>
      </c>
      <c r="S811" t="str">
        <f>"1270"</f>
        <v>1270</v>
      </c>
      <c r="T811" t="str">
        <f>"88940000"</f>
        <v>88940000</v>
      </c>
      <c r="U811" t="str">
        <f>"CENTRO"</f>
        <v>CENTRO</v>
      </c>
      <c r="V811" t="str">
        <f>"TIMBÉ DO SUL"</f>
        <v>TIMBÉ DO SUL</v>
      </c>
      <c r="W811" t="str">
        <f t="shared" si="413"/>
        <v>SC</v>
      </c>
      <c r="X811" t="str">
        <f t="shared" ref="X811:X818" si="414">"48"</f>
        <v>48</v>
      </c>
      <c r="Y811" t="str">
        <f>"35361490"</f>
        <v>35361490</v>
      </c>
      <c r="Z811" t="str">
        <f>""</f>
        <v/>
      </c>
      <c r="AA811" t="str">
        <f>""</f>
        <v/>
      </c>
      <c r="AB811" t="str">
        <f>""</f>
        <v/>
      </c>
      <c r="AC811" t="str">
        <f>""</f>
        <v/>
      </c>
      <c r="AD811" t="str">
        <f>""</f>
        <v/>
      </c>
      <c r="AE811" t="str">
        <f>""</f>
        <v/>
      </c>
      <c r="AF811" t="str">
        <f>""</f>
        <v/>
      </c>
      <c r="AG811" t="str">
        <f>""</f>
        <v/>
      </c>
      <c r="AH811" t="str">
        <f>""</f>
        <v/>
      </c>
      <c r="AI811" t="str">
        <f>""</f>
        <v/>
      </c>
      <c r="AJ811" t="str">
        <f t="shared" ref="AJ811:AL814" si="415">"0"</f>
        <v>0</v>
      </c>
      <c r="AK811" t="str">
        <f t="shared" si="415"/>
        <v>0</v>
      </c>
      <c r="AL811" t="str">
        <f t="shared" si="415"/>
        <v>0</v>
      </c>
      <c r="AM811" t="str">
        <f>""</f>
        <v/>
      </c>
      <c r="AN811" t="str">
        <f>""</f>
        <v/>
      </c>
      <c r="AO811" t="str">
        <f>""</f>
        <v/>
      </c>
      <c r="AP811" t="str">
        <f>""</f>
        <v/>
      </c>
      <c r="AQ811" t="str">
        <f>""</f>
        <v/>
      </c>
      <c r="AR811" t="str">
        <f>""</f>
        <v/>
      </c>
      <c r="AS811" t="str">
        <f>""</f>
        <v/>
      </c>
      <c r="AT811" t="str">
        <f>""</f>
        <v/>
      </c>
      <c r="AU811" t="str">
        <f>""</f>
        <v/>
      </c>
      <c r="AV811" t="str">
        <f>""</f>
        <v/>
      </c>
      <c r="AW811" t="str">
        <f>""</f>
        <v/>
      </c>
      <c r="AX811" t="str">
        <f>""</f>
        <v/>
      </c>
      <c r="AY811" t="str">
        <f>""</f>
        <v/>
      </c>
      <c r="AZ811" t="str">
        <f>""</f>
        <v/>
      </c>
      <c r="BA811" t="str">
        <f>""</f>
        <v/>
      </c>
      <c r="BB811" t="str">
        <f>""</f>
        <v/>
      </c>
      <c r="BC811" t="str">
        <f>""</f>
        <v/>
      </c>
      <c r="BD811" t="str">
        <f>""</f>
        <v/>
      </c>
      <c r="BE811" t="str">
        <f>""</f>
        <v/>
      </c>
      <c r="BF811" t="str">
        <f t="shared" si="397"/>
        <v>A</v>
      </c>
      <c r="BG811" t="str">
        <f t="shared" ref="BG811:BH814" si="416">"0,00"</f>
        <v>0,00</v>
      </c>
      <c r="BH811" t="str">
        <f t="shared" si="416"/>
        <v>0,00</v>
      </c>
      <c r="BI811" t="str">
        <f t="shared" si="410"/>
        <v>EVENTUAL</v>
      </c>
      <c r="BJ811" t="str">
        <f t="shared" si="398"/>
        <v>1</v>
      </c>
      <c r="BK811" t="str">
        <f t="shared" si="399"/>
        <v>Farmacia</v>
      </c>
      <c r="BL811" t="str">
        <f>""</f>
        <v/>
      </c>
      <c r="BM811" t="str">
        <f>"NÃO É VARILUX ESPECIALISTA"</f>
        <v>NÃO É VARILUX ESPECIALISTA</v>
      </c>
      <c r="BN811" t="str">
        <f>"EL360"</f>
        <v>EL360</v>
      </c>
      <c r="BO811" t="str">
        <f>"FOCO VARILUX"</f>
        <v>FOCO VARILUX</v>
      </c>
      <c r="BP811" t="str">
        <f>""</f>
        <v/>
      </c>
      <c r="BQ811" t="str">
        <f>""</f>
        <v/>
      </c>
      <c r="BR811" t="str">
        <f>""</f>
        <v/>
      </c>
      <c r="BS811" t="str">
        <f>""</f>
        <v/>
      </c>
      <c r="BT811" t="str">
        <f>""</f>
        <v/>
      </c>
      <c r="BU811" t="str">
        <f>""</f>
        <v/>
      </c>
      <c r="BV811" t="str">
        <f>"9"</f>
        <v>9</v>
      </c>
      <c r="BW811" t="str">
        <f>"18"</f>
        <v>18</v>
      </c>
    </row>
    <row r="812" spans="1:75" x14ac:dyDescent="0.35">
      <c r="A812">
        <v>144386</v>
      </c>
      <c r="B812" t="str">
        <f t="shared" si="394"/>
        <v>A</v>
      </c>
      <c r="C812" t="str">
        <f t="shared" si="395"/>
        <v>80</v>
      </c>
      <c r="D812" t="str">
        <f t="shared" si="384"/>
        <v>11121002</v>
      </c>
      <c r="E812" t="str">
        <f t="shared" si="385"/>
        <v>121002</v>
      </c>
      <c r="F812" t="str">
        <f t="shared" si="386"/>
        <v>CINTHIA NORONHA</v>
      </c>
      <c r="G812" t="str">
        <f>"82111626000130"</f>
        <v>82111626000130</v>
      </c>
      <c r="H812" t="str">
        <f>""</f>
        <v/>
      </c>
      <c r="I812" t="str">
        <f t="shared" si="396"/>
        <v>CONTA OPTICA</v>
      </c>
      <c r="J812" t="str">
        <f>"LAURO CEOLIN ISIDORO ME"</f>
        <v>LAURO CEOLIN ISIDORO ME</v>
      </c>
      <c r="K812" t="str">
        <f>"LAURO RELOJOEIRO (503)"</f>
        <v>LAURO RELOJOEIRO (503)</v>
      </c>
      <c r="L812" t="str">
        <f>""</f>
        <v/>
      </c>
      <c r="M812" t="str">
        <f>""</f>
        <v/>
      </c>
      <c r="N812" t="str">
        <f>"oticalauroturvo@outlook.com"</f>
        <v>oticalauroturvo@outlook.com</v>
      </c>
      <c r="O812" t="str">
        <f>""</f>
        <v/>
      </c>
      <c r="P812" t="str">
        <f>"RUA RUI BARBOSA"</f>
        <v>RUA RUI BARBOSA</v>
      </c>
      <c r="Q812" t="str">
        <f>"1541"</f>
        <v>1541</v>
      </c>
      <c r="R812" t="str">
        <f>""</f>
        <v/>
      </c>
      <c r="S812" t="str">
        <f>"1270"</f>
        <v>1270</v>
      </c>
      <c r="T812" t="str">
        <f>"88930000"</f>
        <v>88930000</v>
      </c>
      <c r="U812" t="str">
        <f>"CENTRO"</f>
        <v>CENTRO</v>
      </c>
      <c r="V812" t="str">
        <f>"TURVO"</f>
        <v>TURVO</v>
      </c>
      <c r="W812" t="str">
        <f t="shared" si="413"/>
        <v>SC</v>
      </c>
      <c r="X812" t="str">
        <f t="shared" si="414"/>
        <v>48</v>
      </c>
      <c r="Y812" t="str">
        <f>"35253033"</f>
        <v>35253033</v>
      </c>
      <c r="Z812" t="str">
        <f>""</f>
        <v/>
      </c>
      <c r="AA812" t="str">
        <f>""</f>
        <v/>
      </c>
      <c r="AB812" t="str">
        <f>""</f>
        <v/>
      </c>
      <c r="AC812" t="str">
        <f>""</f>
        <v/>
      </c>
      <c r="AD812" t="str">
        <f>""</f>
        <v/>
      </c>
      <c r="AE812" t="str">
        <f>""</f>
        <v/>
      </c>
      <c r="AF812" t="str">
        <f>""</f>
        <v/>
      </c>
      <c r="AG812" t="str">
        <f>""</f>
        <v/>
      </c>
      <c r="AH812" t="str">
        <f>""</f>
        <v/>
      </c>
      <c r="AI812" t="str">
        <f>""</f>
        <v/>
      </c>
      <c r="AJ812" t="str">
        <f t="shared" si="415"/>
        <v>0</v>
      </c>
      <c r="AK812" t="str">
        <f t="shared" si="415"/>
        <v>0</v>
      </c>
      <c r="AL812" t="str">
        <f t="shared" si="415"/>
        <v>0</v>
      </c>
      <c r="AM812" t="str">
        <f>""</f>
        <v/>
      </c>
      <c r="AN812" t="str">
        <f>""</f>
        <v/>
      </c>
      <c r="AO812" t="str">
        <f>""</f>
        <v/>
      </c>
      <c r="AP812" t="str">
        <f>""</f>
        <v/>
      </c>
      <c r="AQ812" t="str">
        <f>""</f>
        <v/>
      </c>
      <c r="AR812" t="str">
        <f>""</f>
        <v/>
      </c>
      <c r="AS812" t="str">
        <f>""</f>
        <v/>
      </c>
      <c r="AT812" t="str">
        <f>""</f>
        <v/>
      </c>
      <c r="AU812" t="str">
        <f>""</f>
        <v/>
      </c>
      <c r="AV812" t="str">
        <f>""</f>
        <v/>
      </c>
      <c r="AW812" t="str">
        <f>""</f>
        <v/>
      </c>
      <c r="AX812" t="str">
        <f>""</f>
        <v/>
      </c>
      <c r="AY812" t="str">
        <f>""</f>
        <v/>
      </c>
      <c r="AZ812" t="str">
        <f>""</f>
        <v/>
      </c>
      <c r="BA812" t="str">
        <f>""</f>
        <v/>
      </c>
      <c r="BB812" t="str">
        <f>""</f>
        <v/>
      </c>
      <c r="BC812" t="str">
        <f>""</f>
        <v/>
      </c>
      <c r="BD812" t="str">
        <f>""</f>
        <v/>
      </c>
      <c r="BE812" t="str">
        <f>""</f>
        <v/>
      </c>
      <c r="BF812" t="str">
        <f t="shared" si="397"/>
        <v>A</v>
      </c>
      <c r="BG812" t="str">
        <f t="shared" si="416"/>
        <v>0,00</v>
      </c>
      <c r="BH812" t="str">
        <f t="shared" si="416"/>
        <v>0,00</v>
      </c>
      <c r="BI812" t="str">
        <f t="shared" si="410"/>
        <v>EVENTUAL</v>
      </c>
      <c r="BJ812" t="str">
        <f t="shared" si="398"/>
        <v>1</v>
      </c>
      <c r="BK812" t="str">
        <f t="shared" si="399"/>
        <v>Farmacia</v>
      </c>
      <c r="BL812" t="str">
        <f>""</f>
        <v/>
      </c>
      <c r="BM812" t="str">
        <f>"NÃO É VARILUX ESPECIALISTA"</f>
        <v>NÃO É VARILUX ESPECIALISTA</v>
      </c>
      <c r="BN812" t="str">
        <f>"EL360"</f>
        <v>EL360</v>
      </c>
      <c r="BO812" t="str">
        <f>"FOCO VARILUX"</f>
        <v>FOCO VARILUX</v>
      </c>
      <c r="BP812" t="str">
        <f>""</f>
        <v/>
      </c>
      <c r="BQ812" t="str">
        <f>""</f>
        <v/>
      </c>
      <c r="BR812" t="str">
        <f>""</f>
        <v/>
      </c>
      <c r="BS812" t="str">
        <f>""</f>
        <v/>
      </c>
      <c r="BT812" t="str">
        <f>""</f>
        <v/>
      </c>
      <c r="BU812" t="str">
        <f>""</f>
        <v/>
      </c>
      <c r="BV812" t="str">
        <f>"9"</f>
        <v>9</v>
      </c>
      <c r="BW812" t="str">
        <f>"18"</f>
        <v>18</v>
      </c>
    </row>
    <row r="813" spans="1:75" x14ac:dyDescent="0.35">
      <c r="A813">
        <v>141324</v>
      </c>
      <c r="B813" t="str">
        <f t="shared" si="394"/>
        <v>A</v>
      </c>
      <c r="C813" t="str">
        <f t="shared" si="395"/>
        <v>80</v>
      </c>
      <c r="D813" t="str">
        <f t="shared" si="384"/>
        <v>11121002</v>
      </c>
      <c r="E813" t="str">
        <f t="shared" si="385"/>
        <v>121002</v>
      </c>
      <c r="F813" t="str">
        <f t="shared" si="386"/>
        <v>CINTHIA NORONHA</v>
      </c>
      <c r="G813" t="str">
        <f>"03510008000439"</f>
        <v>03510008000439</v>
      </c>
      <c r="H813" t="str">
        <f>"0"</f>
        <v>0</v>
      </c>
      <c r="I813" t="str">
        <f t="shared" si="396"/>
        <v>CONTA OPTICA</v>
      </c>
      <c r="J813" t="str">
        <f>"LB COMERCIO DE PRESENTES EIRELI"</f>
        <v>LB COMERCIO DE PRESENTES EIRELI</v>
      </c>
      <c r="K813" t="str">
        <f>"A PRIME (4387)"</f>
        <v>A PRIME (4387)</v>
      </c>
      <c r="L813" t="str">
        <f>""</f>
        <v/>
      </c>
      <c r="M813" t="str">
        <f>""</f>
        <v/>
      </c>
      <c r="N813" t="str">
        <f>"esc.sc.adm01@gmail.com"</f>
        <v>esc.sc.adm01@gmail.com</v>
      </c>
      <c r="O813" t="str">
        <f>""</f>
        <v/>
      </c>
      <c r="P813" t="str">
        <f>"RUA GERONCIO THIVES"</f>
        <v>RUA GERONCIO THIVES</v>
      </c>
      <c r="Q813" t="str">
        <f>"1079"</f>
        <v>1079</v>
      </c>
      <c r="R813" t="str">
        <f>"SALA 443 E 444"</f>
        <v>SALA 443 E 444</v>
      </c>
      <c r="S813" t="str">
        <f>"1259"</f>
        <v>1259</v>
      </c>
      <c r="T813" t="str">
        <f>"88117900"</f>
        <v>88117900</v>
      </c>
      <c r="U813" t="str">
        <f>"BARREIROS"</f>
        <v>BARREIROS</v>
      </c>
      <c r="V813" t="str">
        <f>"SÃO JOSÉ"</f>
        <v>SÃO JOSÉ</v>
      </c>
      <c r="W813" t="str">
        <f t="shared" si="413"/>
        <v>SC</v>
      </c>
      <c r="X813" t="str">
        <f t="shared" si="414"/>
        <v>48</v>
      </c>
      <c r="Y813" t="str">
        <f>"30378316"</f>
        <v>30378316</v>
      </c>
      <c r="Z813" t="str">
        <f>""</f>
        <v/>
      </c>
      <c r="AA813" t="str">
        <f>""</f>
        <v/>
      </c>
      <c r="AB813" t="str">
        <f>""</f>
        <v/>
      </c>
      <c r="AC813" t="str">
        <f>""</f>
        <v/>
      </c>
      <c r="AD813" t="str">
        <f>""</f>
        <v/>
      </c>
      <c r="AE813" t="str">
        <f>""</f>
        <v/>
      </c>
      <c r="AF813" t="str">
        <f>""</f>
        <v/>
      </c>
      <c r="AG813" t="str">
        <f>""</f>
        <v/>
      </c>
      <c r="AH813" t="str">
        <f>""</f>
        <v/>
      </c>
      <c r="AI813" t="str">
        <f>""</f>
        <v/>
      </c>
      <c r="AJ813" t="str">
        <f t="shared" si="415"/>
        <v>0</v>
      </c>
      <c r="AK813" t="str">
        <f t="shared" si="415"/>
        <v>0</v>
      </c>
      <c r="AL813" t="str">
        <f t="shared" si="415"/>
        <v>0</v>
      </c>
      <c r="AM813" t="str">
        <f>""</f>
        <v/>
      </c>
      <c r="AN813" t="str">
        <f>""</f>
        <v/>
      </c>
      <c r="AO813" t="str">
        <f>""</f>
        <v/>
      </c>
      <c r="AP813" t="str">
        <f>""</f>
        <v/>
      </c>
      <c r="AQ813" t="str">
        <f>""</f>
        <v/>
      </c>
      <c r="AR813" t="str">
        <f>""</f>
        <v/>
      </c>
      <c r="AS813" t="str">
        <f>""</f>
        <v/>
      </c>
      <c r="AT813" t="str">
        <f>""</f>
        <v/>
      </c>
      <c r="AU813" t="str">
        <f>""</f>
        <v/>
      </c>
      <c r="AV813" t="str">
        <f>""</f>
        <v/>
      </c>
      <c r="AW813" t="str">
        <f>""</f>
        <v/>
      </c>
      <c r="AX813" t="str">
        <f>""</f>
        <v/>
      </c>
      <c r="AY813" t="str">
        <f>""</f>
        <v/>
      </c>
      <c r="AZ813" t="str">
        <f>""</f>
        <v/>
      </c>
      <c r="BA813" t="str">
        <f>""</f>
        <v/>
      </c>
      <c r="BB813" t="str">
        <f>"20/09/2021 15:06:09"</f>
        <v>20/09/2021 15:06:09</v>
      </c>
      <c r="BC813" t="str">
        <f>""</f>
        <v/>
      </c>
      <c r="BD813" t="str">
        <f>""</f>
        <v/>
      </c>
      <c r="BE813" t="str">
        <f>""</f>
        <v/>
      </c>
      <c r="BF813" t="str">
        <f t="shared" si="397"/>
        <v>A</v>
      </c>
      <c r="BG813" t="str">
        <f t="shared" si="416"/>
        <v>0,00</v>
      </c>
      <c r="BH813" t="str">
        <f t="shared" si="416"/>
        <v>0,00</v>
      </c>
      <c r="BI813" t="str">
        <f t="shared" si="410"/>
        <v>EVENTUAL</v>
      </c>
      <c r="BJ813" t="str">
        <f t="shared" si="398"/>
        <v>1</v>
      </c>
      <c r="BK813" t="str">
        <f t="shared" si="399"/>
        <v>Farmacia</v>
      </c>
      <c r="BL813" t="str">
        <f>""</f>
        <v/>
      </c>
      <c r="BM813" t="str">
        <f>"VARILUX ESPECIALISTA SELECT"</f>
        <v>VARILUX ESPECIALISTA SELECT</v>
      </c>
      <c r="BN813" t="str">
        <f>"EL360"</f>
        <v>EL360</v>
      </c>
      <c r="BO813" t="str">
        <f>"FOCO VARILUX"</f>
        <v>FOCO VARILUX</v>
      </c>
      <c r="BP813" t="str">
        <f>""</f>
        <v/>
      </c>
      <c r="BQ813" t="str">
        <f>""</f>
        <v/>
      </c>
      <c r="BR813" t="str">
        <f>"20/09/2021"</f>
        <v>20/09/2021</v>
      </c>
      <c r="BS813" t="str">
        <f>""</f>
        <v/>
      </c>
      <c r="BT813" t="str">
        <f>""</f>
        <v/>
      </c>
      <c r="BU813" t="str">
        <f>""</f>
        <v/>
      </c>
      <c r="BV813" t="str">
        <f>""</f>
        <v/>
      </c>
      <c r="BW813" t="str">
        <f>"71"</f>
        <v>71</v>
      </c>
    </row>
    <row r="814" spans="1:75" x14ac:dyDescent="0.35">
      <c r="A814">
        <v>346</v>
      </c>
      <c r="B814" t="str">
        <f t="shared" si="394"/>
        <v>A</v>
      </c>
      <c r="C814" t="str">
        <f t="shared" si="395"/>
        <v>80</v>
      </c>
      <c r="D814" t="str">
        <f t="shared" si="384"/>
        <v>11121002</v>
      </c>
      <c r="E814" t="str">
        <f t="shared" si="385"/>
        <v>121002</v>
      </c>
      <c r="F814" t="str">
        <f t="shared" si="386"/>
        <v>CINTHIA NORONHA</v>
      </c>
      <c r="G814" t="str">
        <f>"03510008000196"</f>
        <v>03510008000196</v>
      </c>
      <c r="H814" t="str">
        <f>""</f>
        <v/>
      </c>
      <c r="I814" t="str">
        <f t="shared" si="396"/>
        <v>CONTA OPTICA</v>
      </c>
      <c r="J814" t="str">
        <f>"LB COMERCIO DE PRESENTES EIRELI  EPP"</f>
        <v>LB COMERCIO DE PRESENTES EIRELI  EPP</v>
      </c>
      <c r="K814" t="str">
        <f>"BARBARA K (840)"</f>
        <v>BARBARA K (840)</v>
      </c>
      <c r="L814" t="str">
        <f>""</f>
        <v/>
      </c>
      <c r="M814" t="str">
        <f>""</f>
        <v/>
      </c>
      <c r="N814" t="str">
        <f>"anna.adm01@gmail.com"</f>
        <v>anna.adm01@gmail.com</v>
      </c>
      <c r="O814" t="str">
        <f>""</f>
        <v/>
      </c>
      <c r="P814" t="str">
        <f>"RUA BOCAIUVA"</f>
        <v>RUA BOCAIUVA</v>
      </c>
      <c r="Q814" t="str">
        <f>"2468"</f>
        <v>2468</v>
      </c>
      <c r="R814" t="str">
        <f>"LOJA 354"</f>
        <v>LOJA 354</v>
      </c>
      <c r="S814" t="str">
        <f>"1255"</f>
        <v>1255</v>
      </c>
      <c r="T814" t="str">
        <f>"88015900"</f>
        <v>88015900</v>
      </c>
      <c r="U814" t="str">
        <f>"CENTRO"</f>
        <v>CENTRO</v>
      </c>
      <c r="V814" t="str">
        <f>"FLORIANÓPOLIS"</f>
        <v>FLORIANÓPOLIS</v>
      </c>
      <c r="W814" t="str">
        <f t="shared" si="413"/>
        <v>SC</v>
      </c>
      <c r="X814" t="str">
        <f t="shared" si="414"/>
        <v>48</v>
      </c>
      <c r="Y814" t="str">
        <f>"32227767"</f>
        <v>32227767</v>
      </c>
      <c r="Z814" t="str">
        <f>""</f>
        <v/>
      </c>
      <c r="AA814" t="str">
        <f>""</f>
        <v/>
      </c>
      <c r="AB814" t="str">
        <f>""</f>
        <v/>
      </c>
      <c r="AC814" t="str">
        <f>""</f>
        <v/>
      </c>
      <c r="AD814" t="str">
        <f>""</f>
        <v/>
      </c>
      <c r="AE814" t="str">
        <f>""</f>
        <v/>
      </c>
      <c r="AF814" t="str">
        <f>""</f>
        <v/>
      </c>
      <c r="AG814" t="str">
        <f>""</f>
        <v/>
      </c>
      <c r="AH814" t="str">
        <f>""</f>
        <v/>
      </c>
      <c r="AI814" t="str">
        <f>""</f>
        <v/>
      </c>
      <c r="AJ814" t="str">
        <f t="shared" si="415"/>
        <v>0</v>
      </c>
      <c r="AK814" t="str">
        <f t="shared" si="415"/>
        <v>0</v>
      </c>
      <c r="AL814" t="str">
        <f t="shared" si="415"/>
        <v>0</v>
      </c>
      <c r="AM814" t="str">
        <f>""</f>
        <v/>
      </c>
      <c r="AN814" t="str">
        <f>""</f>
        <v/>
      </c>
      <c r="AO814" t="str">
        <f>""</f>
        <v/>
      </c>
      <c r="AP814" t="str">
        <f>""</f>
        <v/>
      </c>
      <c r="AQ814" t="str">
        <f>""</f>
        <v/>
      </c>
      <c r="AR814" t="str">
        <f>""</f>
        <v/>
      </c>
      <c r="AS814" t="str">
        <f>""</f>
        <v/>
      </c>
      <c r="AT814" t="str">
        <f>""</f>
        <v/>
      </c>
      <c r="AU814" t="str">
        <f>""</f>
        <v/>
      </c>
      <c r="AV814" t="str">
        <f>""</f>
        <v/>
      </c>
      <c r="AW814" t="str">
        <f>""</f>
        <v/>
      </c>
      <c r="AX814" t="str">
        <f>""</f>
        <v/>
      </c>
      <c r="AY814" t="str">
        <f>""</f>
        <v/>
      </c>
      <c r="AZ814" t="str">
        <f>""</f>
        <v/>
      </c>
      <c r="BA814" t="str">
        <f>""</f>
        <v/>
      </c>
      <c r="BB814" t="str">
        <f>"27/07/2018 09:25:38"</f>
        <v>27/07/2018 09:25:38</v>
      </c>
      <c r="BC814" t="str">
        <f>""</f>
        <v/>
      </c>
      <c r="BD814" t="str">
        <f>""</f>
        <v/>
      </c>
      <c r="BE814" t="str">
        <f>"346"</f>
        <v>346</v>
      </c>
      <c r="BF814" t="str">
        <f t="shared" si="397"/>
        <v>A</v>
      </c>
      <c r="BG814" t="str">
        <f t="shared" si="416"/>
        <v>0,00</v>
      </c>
      <c r="BH814" t="str">
        <f t="shared" si="416"/>
        <v>0,00</v>
      </c>
      <c r="BI814" t="str">
        <f t="shared" si="410"/>
        <v>EVENTUAL</v>
      </c>
      <c r="BJ814" t="str">
        <f t="shared" si="398"/>
        <v>1</v>
      </c>
      <c r="BK814" t="str">
        <f t="shared" si="399"/>
        <v>Farmacia</v>
      </c>
      <c r="BL814" t="str">
        <f>""</f>
        <v/>
      </c>
      <c r="BM814" t="str">
        <f>"VARILUX ESPECIALISTA SELECT"</f>
        <v>VARILUX ESPECIALISTA SELECT</v>
      </c>
      <c r="BN814" t="str">
        <f>"EL360"</f>
        <v>EL360</v>
      </c>
      <c r="BO814" t="str">
        <f>"FOCO VARILUX DIGITAL"</f>
        <v>FOCO VARILUX DIGITAL</v>
      </c>
      <c r="BP814" t="str">
        <f>""</f>
        <v/>
      </c>
      <c r="BQ814" t="str">
        <f>""</f>
        <v/>
      </c>
      <c r="BR814" t="str">
        <f>"27/07/2018"</f>
        <v>27/07/2018</v>
      </c>
      <c r="BS814" t="str">
        <f>""</f>
        <v/>
      </c>
      <c r="BT814" t="str">
        <f>""</f>
        <v/>
      </c>
      <c r="BU814" t="str">
        <f>""</f>
        <v/>
      </c>
      <c r="BV814" t="str">
        <f>"3"</f>
        <v>3</v>
      </c>
      <c r="BW814" t="str">
        <f>"28"</f>
        <v>28</v>
      </c>
    </row>
    <row r="815" spans="1:75" x14ac:dyDescent="0.35">
      <c r="A815">
        <v>157698</v>
      </c>
      <c r="B815" t="str">
        <f t="shared" si="394"/>
        <v>A</v>
      </c>
      <c r="C815" t="str">
        <f t="shared" si="395"/>
        <v>80</v>
      </c>
      <c r="D815" t="str">
        <f t="shared" si="384"/>
        <v>11121002</v>
      </c>
      <c r="E815" t="str">
        <f t="shared" si="385"/>
        <v>121002</v>
      </c>
      <c r="F815" t="str">
        <f t="shared" si="386"/>
        <v>CINTHIA NORONHA</v>
      </c>
      <c r="G815" t="str">
        <f>"31939167000146"</f>
        <v>31939167000146</v>
      </c>
      <c r="H815" t="str">
        <f>"0"</f>
        <v>0</v>
      </c>
      <c r="I815" t="str">
        <f t="shared" si="396"/>
        <v>CONTA OPTICA</v>
      </c>
      <c r="J815" t="str">
        <f>"LEANDRO FRANCO DOS SANTOS 95048570006"</f>
        <v>LEANDRO FRANCO DOS SANTOS 95048570006</v>
      </c>
      <c r="K815" t="str">
        <f>"ANJO DOURADO OTICA JOIAS E RELOGIOS (4098)"</f>
        <v>ANJO DOURADO OTICA JOIAS E RELOGIOS (4098)</v>
      </c>
      <c r="L815" t="str">
        <f>""</f>
        <v/>
      </c>
      <c r="M815" t="str">
        <f>""</f>
        <v/>
      </c>
      <c r="N815" t="str">
        <f>"LOJAANJODOURADO@GMAIL.COM"</f>
        <v>LOJAANJODOURADO@GMAIL.COM</v>
      </c>
      <c r="O815" t="str">
        <f>""</f>
        <v/>
      </c>
      <c r="P815" t="str">
        <f>"RUA MARECHAL CASTELO BRANCO"</f>
        <v>RUA MARECHAL CASTELO BRANCO</v>
      </c>
      <c r="Q815" t="str">
        <f>"65"</f>
        <v>65</v>
      </c>
      <c r="R815" t="str">
        <f>"LOJA 19"</f>
        <v>LOJA 19</v>
      </c>
      <c r="S815" t="str">
        <f>"1259"</f>
        <v>1259</v>
      </c>
      <c r="T815" t="str">
        <f>"88101020"</f>
        <v>88101020</v>
      </c>
      <c r="U815" t="str">
        <f>"CAMPINAS"</f>
        <v>CAMPINAS</v>
      </c>
      <c r="V815" t="str">
        <f>"SAO JOSE"</f>
        <v>SAO JOSE</v>
      </c>
      <c r="W815" t="str">
        <f t="shared" si="413"/>
        <v>SC</v>
      </c>
      <c r="X815" t="str">
        <f t="shared" si="414"/>
        <v>48</v>
      </c>
      <c r="Y815" t="str">
        <f>"33801617"</f>
        <v>33801617</v>
      </c>
      <c r="Z815" t="str">
        <f>""</f>
        <v/>
      </c>
      <c r="AA815" t="str">
        <f>""</f>
        <v/>
      </c>
      <c r="AB815" t="str">
        <f>""</f>
        <v/>
      </c>
      <c r="AC815" t="str">
        <f>""</f>
        <v/>
      </c>
      <c r="AD815" t="str">
        <f>""</f>
        <v/>
      </c>
      <c r="AE815" t="str">
        <f>""</f>
        <v/>
      </c>
      <c r="AF815" t="str">
        <f>""</f>
        <v/>
      </c>
      <c r="AG815" t="str">
        <f>""</f>
        <v/>
      </c>
      <c r="AH815" t="str">
        <f>""</f>
        <v/>
      </c>
      <c r="AI815" t="str">
        <f>""</f>
        <v/>
      </c>
      <c r="AJ815" t="str">
        <f>""</f>
        <v/>
      </c>
      <c r="AK815" t="str">
        <f>""</f>
        <v/>
      </c>
      <c r="AL815" t="str">
        <f>""</f>
        <v/>
      </c>
      <c r="AM815" t="str">
        <f>""</f>
        <v/>
      </c>
      <c r="AN815" t="str">
        <f>""</f>
        <v/>
      </c>
      <c r="AO815" t="str">
        <f>""</f>
        <v/>
      </c>
      <c r="AP815" t="str">
        <f>""</f>
        <v/>
      </c>
      <c r="AQ815" t="str">
        <f>""</f>
        <v/>
      </c>
      <c r="AR815" t="str">
        <f>""</f>
        <v/>
      </c>
      <c r="AS815" t="str">
        <f>""</f>
        <v/>
      </c>
      <c r="AT815" t="str">
        <f>""</f>
        <v/>
      </c>
      <c r="AU815" t="str">
        <f>""</f>
        <v/>
      </c>
      <c r="AV815" t="str">
        <f>""</f>
        <v/>
      </c>
      <c r="AW815" t="str">
        <f>""</f>
        <v/>
      </c>
      <c r="AX815" t="str">
        <f>""</f>
        <v/>
      </c>
      <c r="AY815" t="str">
        <f>""</f>
        <v/>
      </c>
      <c r="AZ815" t="str">
        <f>""</f>
        <v/>
      </c>
      <c r="BA815" t="str">
        <f>""</f>
        <v/>
      </c>
      <c r="BB815" t="str">
        <f>"11/07/2023 02:19:56"</f>
        <v>11/07/2023 02:19:56</v>
      </c>
      <c r="BC815" t="str">
        <f>""</f>
        <v/>
      </c>
      <c r="BD815" t="str">
        <f>""</f>
        <v/>
      </c>
      <c r="BE815" t="str">
        <f>""</f>
        <v/>
      </c>
      <c r="BF815" t="str">
        <f t="shared" si="397"/>
        <v>A</v>
      </c>
      <c r="BG815" t="str">
        <f>""</f>
        <v/>
      </c>
      <c r="BH815" t="str">
        <f>""</f>
        <v/>
      </c>
      <c r="BI815" t="str">
        <f t="shared" si="410"/>
        <v>EVENTUAL</v>
      </c>
      <c r="BJ815" t="str">
        <f t="shared" si="398"/>
        <v>1</v>
      </c>
      <c r="BK815" t="str">
        <f t="shared" si="399"/>
        <v>Farmacia</v>
      </c>
      <c r="BL815" t="str">
        <f>""</f>
        <v/>
      </c>
      <c r="BM815" t="str">
        <f>""</f>
        <v/>
      </c>
      <c r="BN815" t="str">
        <f>""</f>
        <v/>
      </c>
      <c r="BO815" t="str">
        <f>""</f>
        <v/>
      </c>
      <c r="BP815" t="str">
        <f>""</f>
        <v/>
      </c>
      <c r="BQ815" t="str">
        <f>""</f>
        <v/>
      </c>
      <c r="BR815" t="str">
        <f>"11/07/2023"</f>
        <v>11/07/2023</v>
      </c>
      <c r="BS815" t="str">
        <f>""</f>
        <v/>
      </c>
      <c r="BT815" t="str">
        <f>""</f>
        <v/>
      </c>
      <c r="BU815" t="str">
        <f>""</f>
        <v/>
      </c>
      <c r="BV815" t="str">
        <f>""</f>
        <v/>
      </c>
      <c r="BW815" t="str">
        <f>"Não visitado"</f>
        <v>Não visitado</v>
      </c>
    </row>
    <row r="816" spans="1:75" x14ac:dyDescent="0.35">
      <c r="A816">
        <v>156948</v>
      </c>
      <c r="B816" t="str">
        <f t="shared" si="394"/>
        <v>A</v>
      </c>
      <c r="C816" t="str">
        <f t="shared" si="395"/>
        <v>80</v>
      </c>
      <c r="D816" t="str">
        <f t="shared" si="384"/>
        <v>11121002</v>
      </c>
      <c r="E816" t="str">
        <f t="shared" si="385"/>
        <v>121002</v>
      </c>
      <c r="F816" t="str">
        <f t="shared" si="386"/>
        <v>CINTHIA NORONHA</v>
      </c>
      <c r="G816" t="str">
        <f>"46735243000179"</f>
        <v>46735243000179</v>
      </c>
      <c r="H816" t="str">
        <f>"0"</f>
        <v>0</v>
      </c>
      <c r="I816" t="str">
        <f t="shared" si="396"/>
        <v>CONTA OPTICA</v>
      </c>
      <c r="J816" t="str">
        <f>"LEANDRO MARCHI 00343866960"</f>
        <v>LEANDRO MARCHI 00343866960</v>
      </c>
      <c r="K816" t="str">
        <f>"LM OTICA (4611)"</f>
        <v>LM OTICA (4611)</v>
      </c>
      <c r="L816" t="str">
        <f>""</f>
        <v/>
      </c>
      <c r="M816" t="str">
        <f>""</f>
        <v/>
      </c>
      <c r="N816" t="str">
        <f>"ELAINETORQUATO@YAHOO.COM.BR"</f>
        <v>ELAINETORQUATO@YAHOO.COM.BR</v>
      </c>
      <c r="O816" t="str">
        <f>""</f>
        <v/>
      </c>
      <c r="P816" t="str">
        <f>"CAMINHO DA CRUZ"</f>
        <v>CAMINHO DA CRUZ</v>
      </c>
      <c r="Q816" t="str">
        <f>"S/N"</f>
        <v>S/N</v>
      </c>
      <c r="R816" t="str">
        <f>"SALA 04"</f>
        <v>SALA 04</v>
      </c>
      <c r="S816" t="str">
        <f>""</f>
        <v/>
      </c>
      <c r="T816" t="str">
        <f>"88032650"</f>
        <v>88032650</v>
      </c>
      <c r="U816" t="str">
        <f>"MONTE VERDE"</f>
        <v>MONTE VERDE</v>
      </c>
      <c r="V816" t="str">
        <f>"FLORIANOPOLIS"</f>
        <v>FLORIANOPOLIS</v>
      </c>
      <c r="W816" t="str">
        <f t="shared" si="413"/>
        <v>SC</v>
      </c>
      <c r="X816" t="str">
        <f t="shared" si="414"/>
        <v>48</v>
      </c>
      <c r="Y816" t="str">
        <f>"984475069"</f>
        <v>984475069</v>
      </c>
      <c r="Z816" t="str">
        <f>""</f>
        <v/>
      </c>
      <c r="AA816" t="str">
        <f>""</f>
        <v/>
      </c>
      <c r="AB816" t="str">
        <f>""</f>
        <v/>
      </c>
      <c r="AC816" t="str">
        <f>""</f>
        <v/>
      </c>
      <c r="AD816" t="str">
        <f>""</f>
        <v/>
      </c>
      <c r="AE816" t="str">
        <f>""</f>
        <v/>
      </c>
      <c r="AF816" t="str">
        <f>""</f>
        <v/>
      </c>
      <c r="AG816" t="str">
        <f>""</f>
        <v/>
      </c>
      <c r="AH816" t="str">
        <f>""</f>
        <v/>
      </c>
      <c r="AI816" t="str">
        <f>""</f>
        <v/>
      </c>
      <c r="AJ816" t="str">
        <f>""</f>
        <v/>
      </c>
      <c r="AK816" t="str">
        <f>""</f>
        <v/>
      </c>
      <c r="AL816" t="str">
        <f>""</f>
        <v/>
      </c>
      <c r="AM816" t="str">
        <f>""</f>
        <v/>
      </c>
      <c r="AN816" t="str">
        <f>""</f>
        <v/>
      </c>
      <c r="AO816" t="str">
        <f>""</f>
        <v/>
      </c>
      <c r="AP816" t="str">
        <f>""</f>
        <v/>
      </c>
      <c r="AQ816" t="str">
        <f>""</f>
        <v/>
      </c>
      <c r="AR816" t="str">
        <f>""</f>
        <v/>
      </c>
      <c r="AS816" t="str">
        <f>""</f>
        <v/>
      </c>
      <c r="AT816" t="str">
        <f>""</f>
        <v/>
      </c>
      <c r="AU816" t="str">
        <f>""</f>
        <v/>
      </c>
      <c r="AV816" t="str">
        <f>""</f>
        <v/>
      </c>
      <c r="AW816" t="str">
        <f>""</f>
        <v/>
      </c>
      <c r="AX816" t="str">
        <f>""</f>
        <v/>
      </c>
      <c r="AY816" t="str">
        <f>""</f>
        <v/>
      </c>
      <c r="AZ816" t="str">
        <f>""</f>
        <v/>
      </c>
      <c r="BA816" t="str">
        <f>""</f>
        <v/>
      </c>
      <c r="BB816" t="str">
        <f>"06/07/2023 12:07:48"</f>
        <v>06/07/2023 12:07:48</v>
      </c>
      <c r="BC816" t="str">
        <f>""</f>
        <v/>
      </c>
      <c r="BD816" t="str">
        <f>""</f>
        <v/>
      </c>
      <c r="BE816" t="str">
        <f>""</f>
        <v/>
      </c>
      <c r="BF816" t="str">
        <f t="shared" si="397"/>
        <v>A</v>
      </c>
      <c r="BG816" t="str">
        <f>""</f>
        <v/>
      </c>
      <c r="BH816" t="str">
        <f>""</f>
        <v/>
      </c>
      <c r="BI816" t="str">
        <f t="shared" si="410"/>
        <v>EVENTUAL</v>
      </c>
      <c r="BJ816" t="str">
        <f t="shared" si="398"/>
        <v>1</v>
      </c>
      <c r="BK816" t="str">
        <f t="shared" si="399"/>
        <v>Farmacia</v>
      </c>
      <c r="BL816" t="str">
        <f>""</f>
        <v/>
      </c>
      <c r="BM816" t="str">
        <f>""</f>
        <v/>
      </c>
      <c r="BN816" t="str">
        <f>""</f>
        <v/>
      </c>
      <c r="BO816" t="str">
        <f>""</f>
        <v/>
      </c>
      <c r="BP816" t="str">
        <f>""</f>
        <v/>
      </c>
      <c r="BQ816" t="str">
        <f>""</f>
        <v/>
      </c>
      <c r="BR816" t="str">
        <f>"06/07/2023"</f>
        <v>06/07/2023</v>
      </c>
      <c r="BS816" t="str">
        <f>""</f>
        <v/>
      </c>
      <c r="BT816" t="str">
        <f>""</f>
        <v/>
      </c>
      <c r="BU816" t="str">
        <f>""</f>
        <v/>
      </c>
      <c r="BV816" t="str">
        <f>""</f>
        <v/>
      </c>
      <c r="BW816" t="str">
        <f>"Não visitado"</f>
        <v>Não visitado</v>
      </c>
    </row>
    <row r="817" spans="1:75" x14ac:dyDescent="0.35">
      <c r="A817">
        <v>157691</v>
      </c>
      <c r="B817" t="str">
        <f t="shared" si="394"/>
        <v>A</v>
      </c>
      <c r="C817" t="str">
        <f t="shared" si="395"/>
        <v>80</v>
      </c>
      <c r="D817" t="str">
        <f t="shared" si="384"/>
        <v>11121002</v>
      </c>
      <c r="E817" t="str">
        <f t="shared" si="385"/>
        <v>121002</v>
      </c>
      <c r="F817" t="str">
        <f t="shared" si="386"/>
        <v>CINTHIA NORONHA</v>
      </c>
      <c r="G817" t="str">
        <f>"06245390000146"</f>
        <v>06245390000146</v>
      </c>
      <c r="H817" t="str">
        <f>"0"</f>
        <v>0</v>
      </c>
      <c r="I817" t="str">
        <f t="shared" si="396"/>
        <v>CONTA OPTICA</v>
      </c>
      <c r="J817" t="str">
        <f>"LEONARDO CAVALCANTE DA SILVA"</f>
        <v>LEONARDO CAVALCANTE DA SILVA</v>
      </c>
      <c r="K817" t="str">
        <f>"OTICA COOPERVISAO (4341)"</f>
        <v>OTICA COOPERVISAO (4341)</v>
      </c>
      <c r="L817" t="str">
        <f>""</f>
        <v/>
      </c>
      <c r="M817" t="str">
        <f>""</f>
        <v/>
      </c>
      <c r="N817" t="str">
        <f>"COOPERVISAO@GMAIL.COM"</f>
        <v>COOPERVISAO@GMAIL.COM</v>
      </c>
      <c r="O817" t="str">
        <f>""</f>
        <v/>
      </c>
      <c r="P817" t="str">
        <f>"RUA FELIPE SCHMIDT"</f>
        <v>RUA FELIPE SCHMIDT</v>
      </c>
      <c r="Q817" t="str">
        <f>"249"</f>
        <v>249</v>
      </c>
      <c r="R817" t="str">
        <f>"LOJA 202 ARS"</f>
        <v>LOJA 202 ARS</v>
      </c>
      <c r="S817" t="str">
        <f>"1254"</f>
        <v>1254</v>
      </c>
      <c r="T817" t="str">
        <f>"88010002"</f>
        <v>88010002</v>
      </c>
      <c r="U817" t="str">
        <f>"CENTRO"</f>
        <v>CENTRO</v>
      </c>
      <c r="V817" t="str">
        <f>"FLORIANOPOLIS"</f>
        <v>FLORIANOPOLIS</v>
      </c>
      <c r="W817" t="str">
        <f t="shared" si="413"/>
        <v>SC</v>
      </c>
      <c r="X817" t="str">
        <f t="shared" si="414"/>
        <v>48</v>
      </c>
      <c r="Y817" t="str">
        <f>"32074038"</f>
        <v>32074038</v>
      </c>
      <c r="Z817" t="str">
        <f>""</f>
        <v/>
      </c>
      <c r="AA817" t="str">
        <f>""</f>
        <v/>
      </c>
      <c r="AB817" t="str">
        <f>""</f>
        <v/>
      </c>
      <c r="AC817" t="str">
        <f>""</f>
        <v/>
      </c>
      <c r="AD817" t="str">
        <f>""</f>
        <v/>
      </c>
      <c r="AE817" t="str">
        <f>""</f>
        <v/>
      </c>
      <c r="AF817" t="str">
        <f>""</f>
        <v/>
      </c>
      <c r="AG817" t="str">
        <f>""</f>
        <v/>
      </c>
      <c r="AH817" t="str">
        <f>""</f>
        <v/>
      </c>
      <c r="AI817" t="str">
        <f>""</f>
        <v/>
      </c>
      <c r="AJ817" t="str">
        <f>""</f>
        <v/>
      </c>
      <c r="AK817" t="str">
        <f>""</f>
        <v/>
      </c>
      <c r="AL817" t="str">
        <f>""</f>
        <v/>
      </c>
      <c r="AM817" t="str">
        <f>""</f>
        <v/>
      </c>
      <c r="AN817" t="str">
        <f>""</f>
        <v/>
      </c>
      <c r="AO817" t="str">
        <f>""</f>
        <v/>
      </c>
      <c r="AP817" t="str">
        <f>""</f>
        <v/>
      </c>
      <c r="AQ817" t="str">
        <f>""</f>
        <v/>
      </c>
      <c r="AR817" t="str">
        <f>""</f>
        <v/>
      </c>
      <c r="AS817" t="str">
        <f>""</f>
        <v/>
      </c>
      <c r="AT817" t="str">
        <f>""</f>
        <v/>
      </c>
      <c r="AU817" t="str">
        <f>""</f>
        <v/>
      </c>
      <c r="AV817" t="str">
        <f>""</f>
        <v/>
      </c>
      <c r="AW817" t="str">
        <f>""</f>
        <v/>
      </c>
      <c r="AX817" t="str">
        <f>""</f>
        <v/>
      </c>
      <c r="AY817" t="str">
        <f>""</f>
        <v/>
      </c>
      <c r="AZ817" t="str">
        <f>""</f>
        <v/>
      </c>
      <c r="BA817" t="str">
        <f>""</f>
        <v/>
      </c>
      <c r="BB817" t="str">
        <f>"11/07/2023 02:19:56"</f>
        <v>11/07/2023 02:19:56</v>
      </c>
      <c r="BC817" t="str">
        <f>""</f>
        <v/>
      </c>
      <c r="BD817" t="str">
        <f>""</f>
        <v/>
      </c>
      <c r="BE817" t="str">
        <f>""</f>
        <v/>
      </c>
      <c r="BF817" t="str">
        <f t="shared" si="397"/>
        <v>A</v>
      </c>
      <c r="BG817" t="str">
        <f>""</f>
        <v/>
      </c>
      <c r="BH817" t="str">
        <f>""</f>
        <v/>
      </c>
      <c r="BI817" t="str">
        <f t="shared" si="410"/>
        <v>EVENTUAL</v>
      </c>
      <c r="BJ817" t="str">
        <f t="shared" si="398"/>
        <v>1</v>
      </c>
      <c r="BK817" t="str">
        <f t="shared" si="399"/>
        <v>Farmacia</v>
      </c>
      <c r="BL817" t="str">
        <f>""</f>
        <v/>
      </c>
      <c r="BM817" t="str">
        <f>""</f>
        <v/>
      </c>
      <c r="BN817" t="str">
        <f>""</f>
        <v/>
      </c>
      <c r="BO817" t="str">
        <f>""</f>
        <v/>
      </c>
      <c r="BP817" t="str">
        <f>""</f>
        <v/>
      </c>
      <c r="BQ817" t="str">
        <f>""</f>
        <v/>
      </c>
      <c r="BR817" t="str">
        <f>"11/07/2023"</f>
        <v>11/07/2023</v>
      </c>
      <c r="BS817" t="str">
        <f>""</f>
        <v/>
      </c>
      <c r="BT817" t="str">
        <f>""</f>
        <v/>
      </c>
      <c r="BU817" t="str">
        <f>""</f>
        <v/>
      </c>
      <c r="BV817" t="str">
        <f>""</f>
        <v/>
      </c>
      <c r="BW817" t="str">
        <f>"67"</f>
        <v>67</v>
      </c>
    </row>
    <row r="818" spans="1:75" x14ac:dyDescent="0.35">
      <c r="A818">
        <v>134266</v>
      </c>
      <c r="B818" t="str">
        <f t="shared" si="394"/>
        <v>A</v>
      </c>
      <c r="C818" t="str">
        <f t="shared" si="395"/>
        <v>80</v>
      </c>
      <c r="D818" t="str">
        <f t="shared" si="384"/>
        <v>11121002</v>
      </c>
      <c r="E818" t="str">
        <f t="shared" si="385"/>
        <v>121002</v>
      </c>
      <c r="F818" t="str">
        <f t="shared" si="386"/>
        <v>CINTHIA NORONHA</v>
      </c>
      <c r="G818" t="str">
        <f>"28102760000129"</f>
        <v>28102760000129</v>
      </c>
      <c r="H818" t="str">
        <f>""</f>
        <v/>
      </c>
      <c r="I818" t="str">
        <f t="shared" si="396"/>
        <v>CONTA OPTICA</v>
      </c>
      <c r="J818" t="str">
        <f>"LIMAKELL OTICA E JOALHERIA LTDA - ME"</f>
        <v>LIMAKELL OTICA E JOALHERIA LTDA - ME</v>
      </c>
      <c r="K818" t="str">
        <f>"EDNA OTICA (3830)"</f>
        <v>EDNA OTICA (3830)</v>
      </c>
      <c r="L818" t="str">
        <f>""</f>
        <v/>
      </c>
      <c r="M818" t="str">
        <f>""</f>
        <v/>
      </c>
      <c r="N818" t="str">
        <f>"ednaotica.kobrasol@gmail.com"</f>
        <v>ednaotica.kobrasol@gmail.com</v>
      </c>
      <c r="O818" t="str">
        <f>""</f>
        <v/>
      </c>
      <c r="P818" t="str">
        <f>"RUA PRESIDENTE KENNEDY"</f>
        <v>RUA PRESIDENTE KENNEDY</v>
      </c>
      <c r="Q818" t="str">
        <f>"1953"</f>
        <v>1953</v>
      </c>
      <c r="R818" t="str">
        <f>""</f>
        <v/>
      </c>
      <c r="S818" t="str">
        <f>"1259"</f>
        <v>1259</v>
      </c>
      <c r="T818" t="str">
        <f>"88102401"</f>
        <v>88102401</v>
      </c>
      <c r="U818" t="str">
        <f>"KOBRASOL"</f>
        <v>KOBRASOL</v>
      </c>
      <c r="V818" t="str">
        <f>"SÃO JOSÉ"</f>
        <v>SÃO JOSÉ</v>
      </c>
      <c r="W818" t="str">
        <f t="shared" si="413"/>
        <v>SC</v>
      </c>
      <c r="X818" t="str">
        <f t="shared" si="414"/>
        <v>48</v>
      </c>
      <c r="Y818" t="str">
        <f>"33572476"</f>
        <v>33572476</v>
      </c>
      <c r="Z818" t="str">
        <f>""</f>
        <v/>
      </c>
      <c r="AA818" t="str">
        <f>""</f>
        <v/>
      </c>
      <c r="AB818" t="str">
        <f>""</f>
        <v/>
      </c>
      <c r="AC818" t="str">
        <f>""</f>
        <v/>
      </c>
      <c r="AD818" t="str">
        <f>""</f>
        <v/>
      </c>
      <c r="AE818" t="str">
        <f>""</f>
        <v/>
      </c>
      <c r="AF818" t="str">
        <f>""</f>
        <v/>
      </c>
      <c r="AG818" t="str">
        <f>"S"</f>
        <v>S</v>
      </c>
      <c r="AH818" t="str">
        <f>""</f>
        <v/>
      </c>
      <c r="AI818" t="str">
        <f>""</f>
        <v/>
      </c>
      <c r="AJ818" t="str">
        <f>"0"</f>
        <v>0</v>
      </c>
      <c r="AK818" t="str">
        <f>"0"</f>
        <v>0</v>
      </c>
      <c r="AL818" t="str">
        <f>"0"</f>
        <v>0</v>
      </c>
      <c r="AM818" t="str">
        <f>""</f>
        <v/>
      </c>
      <c r="AN818" t="str">
        <f>""</f>
        <v/>
      </c>
      <c r="AO818" t="str">
        <f>""</f>
        <v/>
      </c>
      <c r="AP818" t="str">
        <f>""</f>
        <v/>
      </c>
      <c r="AQ818" t="str">
        <f>"N"</f>
        <v>N</v>
      </c>
      <c r="AR818" t="str">
        <f>"N"</f>
        <v>N</v>
      </c>
      <c r="AS818" t="str">
        <f>"N"</f>
        <v>N</v>
      </c>
      <c r="AT818" t="str">
        <f>"N"</f>
        <v>N</v>
      </c>
      <c r="AU818" t="str">
        <f>"N"</f>
        <v>N</v>
      </c>
      <c r="AV818" t="str">
        <f>""</f>
        <v/>
      </c>
      <c r="AW818" t="str">
        <f>""</f>
        <v/>
      </c>
      <c r="AX818" t="str">
        <f>""</f>
        <v/>
      </c>
      <c r="AY818" t="str">
        <f>""</f>
        <v/>
      </c>
      <c r="AZ818" t="str">
        <f>""</f>
        <v/>
      </c>
      <c r="BA818" t="str">
        <f>""</f>
        <v/>
      </c>
      <c r="BB818" t="str">
        <f>""</f>
        <v/>
      </c>
      <c r="BC818" t="str">
        <f>"25/04/2022 13:54:43"</f>
        <v>25/04/2022 13:54:43</v>
      </c>
      <c r="BD818" t="str">
        <f>""</f>
        <v/>
      </c>
      <c r="BE818" t="str">
        <f>""</f>
        <v/>
      </c>
      <c r="BF818" t="str">
        <f t="shared" si="397"/>
        <v>A</v>
      </c>
      <c r="BG818" t="str">
        <f>"0,00"</f>
        <v>0,00</v>
      </c>
      <c r="BH818" t="str">
        <f>"0,00"</f>
        <v>0,00</v>
      </c>
      <c r="BI818" t="str">
        <f t="shared" si="410"/>
        <v>EVENTUAL</v>
      </c>
      <c r="BJ818" t="str">
        <f t="shared" si="398"/>
        <v>1</v>
      </c>
      <c r="BK818" t="str">
        <f t="shared" si="399"/>
        <v>Farmacia</v>
      </c>
      <c r="BL818" t="str">
        <f>""</f>
        <v/>
      </c>
      <c r="BM818" t="str">
        <f>"VARILUX ESPECIALISTA SELECT"</f>
        <v>VARILUX ESPECIALISTA SELECT</v>
      </c>
      <c r="BN818" t="str">
        <f>"NA"</f>
        <v>NA</v>
      </c>
      <c r="BO818" t="str">
        <f>"FOCO VARILUX DIGITAL"</f>
        <v>FOCO VARILUX DIGITAL</v>
      </c>
      <c r="BP818" t="str">
        <f>""</f>
        <v/>
      </c>
      <c r="BQ818" t="str">
        <f>""</f>
        <v/>
      </c>
      <c r="BR818" t="str">
        <f>""</f>
        <v/>
      </c>
      <c r="BS818" t="str">
        <f>"25/04/2022"</f>
        <v>25/04/2022</v>
      </c>
      <c r="BT818" t="str">
        <f>""</f>
        <v/>
      </c>
      <c r="BU818" t="str">
        <f>""</f>
        <v/>
      </c>
      <c r="BV818" t="str">
        <f>"5"</f>
        <v>5</v>
      </c>
      <c r="BW818" t="str">
        <f>"38"</f>
        <v>38</v>
      </c>
    </row>
    <row r="819" spans="1:75" x14ac:dyDescent="0.35">
      <c r="A819">
        <v>157659</v>
      </c>
      <c r="B819" t="str">
        <f t="shared" si="394"/>
        <v>A</v>
      </c>
      <c r="C819" t="str">
        <f t="shared" si="395"/>
        <v>80</v>
      </c>
      <c r="D819" t="str">
        <f t="shared" si="384"/>
        <v>11121002</v>
      </c>
      <c r="E819" t="str">
        <f t="shared" si="385"/>
        <v>121002</v>
      </c>
      <c r="F819" t="str">
        <f t="shared" si="386"/>
        <v>CINTHIA NORONHA</v>
      </c>
      <c r="G819" t="str">
        <f>"83459925000122"</f>
        <v>83459925000122</v>
      </c>
      <c r="H819" t="str">
        <f>"0"</f>
        <v>0</v>
      </c>
      <c r="I819" t="str">
        <f t="shared" si="396"/>
        <v>CONTA OPTICA</v>
      </c>
      <c r="J819" t="str">
        <f>"LIONS CLUBE CRICIUMA CAPITAL DO CARVAO"</f>
        <v>LIONS CLUBE CRICIUMA CAPITAL DO CARVAO</v>
      </c>
      <c r="K819" t="str">
        <f>"LIONS CLUBE CRICIUMA CAPITAL DO CARVAO (3781)"</f>
        <v>LIONS CLUBE CRICIUMA CAPITAL DO CARVAO (3781)</v>
      </c>
      <c r="L819" t="str">
        <f>""</f>
        <v/>
      </c>
      <c r="M819" t="str">
        <f>""</f>
        <v/>
      </c>
      <c r="N819" t="str">
        <f>""</f>
        <v/>
      </c>
      <c r="O819" t="str">
        <f>""</f>
        <v/>
      </c>
      <c r="P819" t="str">
        <f>"RUA GETULIO VARGAS"</f>
        <v>RUA GETULIO VARGAS</v>
      </c>
      <c r="Q819" t="str">
        <f>"485"</f>
        <v>485</v>
      </c>
      <c r="R819" t="str">
        <f>"SALAS 23/24"</f>
        <v>SALAS 23/24</v>
      </c>
      <c r="S819" t="str">
        <f>"1269"</f>
        <v>1269</v>
      </c>
      <c r="T819" t="str">
        <f>"88801500"</f>
        <v>88801500</v>
      </c>
      <c r="U819" t="str">
        <f>"CENTRO"</f>
        <v>CENTRO</v>
      </c>
      <c r="V819" t="str">
        <f>"CRICIUMA"</f>
        <v>CRICIUMA</v>
      </c>
      <c r="W819" t="str">
        <f t="shared" si="413"/>
        <v>SC</v>
      </c>
      <c r="X819" t="str">
        <f>""</f>
        <v/>
      </c>
      <c r="Y819" t="str">
        <f>""</f>
        <v/>
      </c>
      <c r="Z819" t="str">
        <f>""</f>
        <v/>
      </c>
      <c r="AA819" t="str">
        <f>""</f>
        <v/>
      </c>
      <c r="AB819" t="str">
        <f>""</f>
        <v/>
      </c>
      <c r="AC819" t="str">
        <f>""</f>
        <v/>
      </c>
      <c r="AD819" t="str">
        <f>""</f>
        <v/>
      </c>
      <c r="AE819" t="str">
        <f>""</f>
        <v/>
      </c>
      <c r="AF819" t="str">
        <f>""</f>
        <v/>
      </c>
      <c r="AG819" t="str">
        <f>""</f>
        <v/>
      </c>
      <c r="AH819" t="str">
        <f>""</f>
        <v/>
      </c>
      <c r="AI819" t="str">
        <f>""</f>
        <v/>
      </c>
      <c r="AJ819" t="str">
        <f>""</f>
        <v/>
      </c>
      <c r="AK819" t="str">
        <f>""</f>
        <v/>
      </c>
      <c r="AL819" t="str">
        <f>""</f>
        <v/>
      </c>
      <c r="AM819" t="str">
        <f>""</f>
        <v/>
      </c>
      <c r="AN819" t="str">
        <f>""</f>
        <v/>
      </c>
      <c r="AO819" t="str">
        <f>""</f>
        <v/>
      </c>
      <c r="AP819" t="str">
        <f>""</f>
        <v/>
      </c>
      <c r="AQ819" t="str">
        <f>""</f>
        <v/>
      </c>
      <c r="AR819" t="str">
        <f>""</f>
        <v/>
      </c>
      <c r="AS819" t="str">
        <f>""</f>
        <v/>
      </c>
      <c r="AT819" t="str">
        <f>""</f>
        <v/>
      </c>
      <c r="AU819" t="str">
        <f>""</f>
        <v/>
      </c>
      <c r="AV819" t="str">
        <f>""</f>
        <v/>
      </c>
      <c r="AW819" t="str">
        <f>""</f>
        <v/>
      </c>
      <c r="AX819" t="str">
        <f>""</f>
        <v/>
      </c>
      <c r="AY819" t="str">
        <f>""</f>
        <v/>
      </c>
      <c r="AZ819" t="str">
        <f>""</f>
        <v/>
      </c>
      <c r="BA819" t="str">
        <f>""</f>
        <v/>
      </c>
      <c r="BB819" t="str">
        <f>"11/07/2023 02:19:56"</f>
        <v>11/07/2023 02:19:56</v>
      </c>
      <c r="BC819" t="str">
        <f>""</f>
        <v/>
      </c>
      <c r="BD819" t="str">
        <f>""</f>
        <v/>
      </c>
      <c r="BE819" t="str">
        <f>""</f>
        <v/>
      </c>
      <c r="BF819" t="str">
        <f t="shared" si="397"/>
        <v>A</v>
      </c>
      <c r="BG819" t="str">
        <f>""</f>
        <v/>
      </c>
      <c r="BH819" t="str">
        <f>""</f>
        <v/>
      </c>
      <c r="BI819" t="str">
        <f t="shared" si="410"/>
        <v>EVENTUAL</v>
      </c>
      <c r="BJ819" t="str">
        <f t="shared" si="398"/>
        <v>1</v>
      </c>
      <c r="BK819" t="str">
        <f t="shared" si="399"/>
        <v>Farmacia</v>
      </c>
      <c r="BL819" t="str">
        <f>""</f>
        <v/>
      </c>
      <c r="BM819" t="str">
        <f>""</f>
        <v/>
      </c>
      <c r="BN819" t="str">
        <f>""</f>
        <v/>
      </c>
      <c r="BO819" t="str">
        <f>""</f>
        <v/>
      </c>
      <c r="BP819" t="str">
        <f>""</f>
        <v/>
      </c>
      <c r="BQ819" t="str">
        <f>""</f>
        <v/>
      </c>
      <c r="BR819" t="str">
        <f>"11/07/2023"</f>
        <v>11/07/2023</v>
      </c>
      <c r="BS819" t="str">
        <f>""</f>
        <v/>
      </c>
      <c r="BT819" t="str">
        <f>""</f>
        <v/>
      </c>
      <c r="BU819" t="str">
        <f>""</f>
        <v/>
      </c>
      <c r="BV819" t="str">
        <f>""</f>
        <v/>
      </c>
      <c r="BW819" t="str">
        <f>"Não visitado"</f>
        <v>Não visitado</v>
      </c>
    </row>
    <row r="820" spans="1:75" x14ac:dyDescent="0.35">
      <c r="A820">
        <v>157634</v>
      </c>
      <c r="B820" t="str">
        <f t="shared" si="394"/>
        <v>A</v>
      </c>
      <c r="C820" t="str">
        <f t="shared" si="395"/>
        <v>80</v>
      </c>
      <c r="D820" t="str">
        <f t="shared" ref="D820:D883" si="417">"11121002"</f>
        <v>11121002</v>
      </c>
      <c r="E820" t="str">
        <f t="shared" ref="E820:E883" si="418">"121002"</f>
        <v>121002</v>
      </c>
      <c r="F820" t="str">
        <f t="shared" ref="F820:F883" si="419">"CINTHIA NORONHA"</f>
        <v>CINTHIA NORONHA</v>
      </c>
      <c r="G820" t="str">
        <f>"80689854000166"</f>
        <v>80689854000166</v>
      </c>
      <c r="H820" t="str">
        <f>"0"</f>
        <v>0</v>
      </c>
      <c r="I820" t="str">
        <f t="shared" si="396"/>
        <v>CONTA OPTICA</v>
      </c>
      <c r="J820" t="str">
        <f>"LM JOIAS LTDA. EPP"</f>
        <v>LM JOIAS LTDA. EPP</v>
      </c>
      <c r="K820" t="str">
        <f>"LM JOIAS LTDA. EPP (201)"</f>
        <v>LM JOIAS LTDA. EPP (201)</v>
      </c>
      <c r="L820" t="str">
        <f>""</f>
        <v/>
      </c>
      <c r="M820" t="str">
        <f>""</f>
        <v/>
      </c>
      <c r="N820" t="str">
        <f>""</f>
        <v/>
      </c>
      <c r="O820" t="str">
        <f>""</f>
        <v/>
      </c>
      <c r="P820" t="str">
        <f>"JOAO COSTA"</f>
        <v>JOAO COSTA</v>
      </c>
      <c r="Q820" t="str">
        <f>"60"</f>
        <v>60</v>
      </c>
      <c r="R820" t="str">
        <f>""</f>
        <v/>
      </c>
      <c r="S820" t="str">
        <f>"1266"</f>
        <v>1266</v>
      </c>
      <c r="T820" t="str">
        <f>"88502170"</f>
        <v>88502170</v>
      </c>
      <c r="U820" t="str">
        <f>"CENTRO"</f>
        <v>CENTRO</v>
      </c>
      <c r="V820" t="str">
        <f>"LAGES"</f>
        <v>LAGES</v>
      </c>
      <c r="W820" t="str">
        <f t="shared" si="413"/>
        <v>SC</v>
      </c>
      <c r="X820" t="str">
        <f>"49"</f>
        <v>49</v>
      </c>
      <c r="Y820" t="str">
        <f>"32223479"</f>
        <v>32223479</v>
      </c>
      <c r="Z820" t="str">
        <f>""</f>
        <v/>
      </c>
      <c r="AA820" t="str">
        <f>""</f>
        <v/>
      </c>
      <c r="AB820" t="str">
        <f>""</f>
        <v/>
      </c>
      <c r="AC820" t="str">
        <f>""</f>
        <v/>
      </c>
      <c r="AD820" t="str">
        <f>""</f>
        <v/>
      </c>
      <c r="AE820" t="str">
        <f>""</f>
        <v/>
      </c>
      <c r="AF820" t="str">
        <f>""</f>
        <v/>
      </c>
      <c r="AG820" t="str">
        <f>""</f>
        <v/>
      </c>
      <c r="AH820" t="str">
        <f>""</f>
        <v/>
      </c>
      <c r="AI820" t="str">
        <f>""</f>
        <v/>
      </c>
      <c r="AJ820" t="str">
        <f>""</f>
        <v/>
      </c>
      <c r="AK820" t="str">
        <f>""</f>
        <v/>
      </c>
      <c r="AL820" t="str">
        <f>""</f>
        <v/>
      </c>
      <c r="AM820" t="str">
        <f>""</f>
        <v/>
      </c>
      <c r="AN820" t="str">
        <f>""</f>
        <v/>
      </c>
      <c r="AO820" t="str">
        <f>""</f>
        <v/>
      </c>
      <c r="AP820" t="str">
        <f>""</f>
        <v/>
      </c>
      <c r="AQ820" t="str">
        <f>""</f>
        <v/>
      </c>
      <c r="AR820" t="str">
        <f>""</f>
        <v/>
      </c>
      <c r="AS820" t="str">
        <f>""</f>
        <v/>
      </c>
      <c r="AT820" t="str">
        <f>""</f>
        <v/>
      </c>
      <c r="AU820" t="str">
        <f>""</f>
        <v/>
      </c>
      <c r="AV820" t="str">
        <f>""</f>
        <v/>
      </c>
      <c r="AW820" t="str">
        <f>""</f>
        <v/>
      </c>
      <c r="AX820" t="str">
        <f>""</f>
        <v/>
      </c>
      <c r="AY820" t="str">
        <f>""</f>
        <v/>
      </c>
      <c r="AZ820" t="str">
        <f>""</f>
        <v/>
      </c>
      <c r="BA820" t="str">
        <f>""</f>
        <v/>
      </c>
      <c r="BB820" t="str">
        <f>"11/07/2023 02:19:56"</f>
        <v>11/07/2023 02:19:56</v>
      </c>
      <c r="BC820" t="str">
        <f>""</f>
        <v/>
      </c>
      <c r="BD820" t="str">
        <f>""</f>
        <v/>
      </c>
      <c r="BE820" t="str">
        <f>""</f>
        <v/>
      </c>
      <c r="BF820" t="str">
        <f t="shared" si="397"/>
        <v>A</v>
      </c>
      <c r="BG820" t="str">
        <f>""</f>
        <v/>
      </c>
      <c r="BH820" t="str">
        <f>""</f>
        <v/>
      </c>
      <c r="BI820" t="str">
        <f t="shared" si="410"/>
        <v>EVENTUAL</v>
      </c>
      <c r="BJ820" t="str">
        <f t="shared" si="398"/>
        <v>1</v>
      </c>
      <c r="BK820" t="str">
        <f t="shared" si="399"/>
        <v>Farmacia</v>
      </c>
      <c r="BL820" t="str">
        <f>""</f>
        <v/>
      </c>
      <c r="BM820" t="str">
        <f>""</f>
        <v/>
      </c>
      <c r="BN820" t="str">
        <f>""</f>
        <v/>
      </c>
      <c r="BO820" t="str">
        <f>""</f>
        <v/>
      </c>
      <c r="BP820" t="str">
        <f>""</f>
        <v/>
      </c>
      <c r="BQ820" t="str">
        <f>""</f>
        <v/>
      </c>
      <c r="BR820" t="str">
        <f>"11/07/2023"</f>
        <v>11/07/2023</v>
      </c>
      <c r="BS820" t="str">
        <f>""</f>
        <v/>
      </c>
      <c r="BT820" t="str">
        <f>""</f>
        <v/>
      </c>
      <c r="BU820" t="str">
        <f>""</f>
        <v/>
      </c>
      <c r="BV820" t="str">
        <f>""</f>
        <v/>
      </c>
      <c r="BW820" t="str">
        <f>"Não visitado"</f>
        <v>Não visitado</v>
      </c>
    </row>
    <row r="821" spans="1:75" x14ac:dyDescent="0.35">
      <c r="A821">
        <v>156859</v>
      </c>
      <c r="B821" t="str">
        <f t="shared" si="394"/>
        <v>A</v>
      </c>
      <c r="C821" t="str">
        <f t="shared" si="395"/>
        <v>80</v>
      </c>
      <c r="D821" t="str">
        <f t="shared" si="417"/>
        <v>11121002</v>
      </c>
      <c r="E821" t="str">
        <f t="shared" si="418"/>
        <v>121002</v>
      </c>
      <c r="F821" t="str">
        <f t="shared" si="419"/>
        <v>CINTHIA NORONHA</v>
      </c>
      <c r="G821" t="str">
        <f>"49466687000144"</f>
        <v>49466687000144</v>
      </c>
      <c r="H821" t="str">
        <f>"0"</f>
        <v>0</v>
      </c>
      <c r="I821" t="str">
        <f t="shared" si="396"/>
        <v>CONTA OPTICA</v>
      </c>
      <c r="J821" t="str">
        <f>"LRB JOALHERIA E OTICA LTDA"</f>
        <v>LRB JOALHERIA E OTICA LTDA</v>
      </c>
      <c r="K821" t="str">
        <f>"QUEVEDO ITAGUAÇU (4659)"</f>
        <v>QUEVEDO ITAGUAÇU (4659)</v>
      </c>
      <c r="L821" t="str">
        <f>""</f>
        <v/>
      </c>
      <c r="M821" t="str">
        <f>""</f>
        <v/>
      </c>
      <c r="N821" t="str">
        <f>"LSILVA.SCLRB@GMAIL.COM"</f>
        <v>LSILVA.SCLRB@GMAIL.COM</v>
      </c>
      <c r="O821" t="str">
        <f>""</f>
        <v/>
      </c>
      <c r="P821" t="str">
        <f>"RUA GERONCIO THIVES"</f>
        <v>RUA GERONCIO THIVES</v>
      </c>
      <c r="Q821" t="str">
        <f>"1079"</f>
        <v>1079</v>
      </c>
      <c r="R821" t="str">
        <f>"LOJA 242 A"</f>
        <v>LOJA 242 A</v>
      </c>
      <c r="S821" t="str">
        <f>"1259"</f>
        <v>1259</v>
      </c>
      <c r="T821" t="str">
        <f>"88117900"</f>
        <v>88117900</v>
      </c>
      <c r="U821" t="str">
        <f>"BARREIROS"</f>
        <v>BARREIROS</v>
      </c>
      <c r="V821" t="str">
        <f>"SAO JOSE"</f>
        <v>SAO JOSE</v>
      </c>
      <c r="W821" t="str">
        <f t="shared" si="413"/>
        <v>SC</v>
      </c>
      <c r="X821" t="str">
        <f t="shared" ref="X821:X842" si="420">"48"</f>
        <v>48</v>
      </c>
      <c r="Y821" t="str">
        <f>"999283292"</f>
        <v>999283292</v>
      </c>
      <c r="Z821" t="str">
        <f>""</f>
        <v/>
      </c>
      <c r="AA821" t="str">
        <f>""</f>
        <v/>
      </c>
      <c r="AB821" t="str">
        <f>""</f>
        <v/>
      </c>
      <c r="AC821" t="str">
        <f>""</f>
        <v/>
      </c>
      <c r="AD821" t="str">
        <f>""</f>
        <v/>
      </c>
      <c r="AE821" t="str">
        <f>""</f>
        <v/>
      </c>
      <c r="AF821" t="str">
        <f>""</f>
        <v/>
      </c>
      <c r="AG821" t="str">
        <f>""</f>
        <v/>
      </c>
      <c r="AH821" t="str">
        <f>""</f>
        <v/>
      </c>
      <c r="AI821" t="str">
        <f>""</f>
        <v/>
      </c>
      <c r="AJ821" t="str">
        <f>""</f>
        <v/>
      </c>
      <c r="AK821" t="str">
        <f>""</f>
        <v/>
      </c>
      <c r="AL821" t="str">
        <f>""</f>
        <v/>
      </c>
      <c r="AM821" t="str">
        <f>""</f>
        <v/>
      </c>
      <c r="AN821" t="str">
        <f>""</f>
        <v/>
      </c>
      <c r="AO821" t="str">
        <f>""</f>
        <v/>
      </c>
      <c r="AP821" t="str">
        <f>""</f>
        <v/>
      </c>
      <c r="AQ821" t="str">
        <f>""</f>
        <v/>
      </c>
      <c r="AR821" t="str">
        <f>""</f>
        <v/>
      </c>
      <c r="AS821" t="str">
        <f>""</f>
        <v/>
      </c>
      <c r="AT821" t="str">
        <f>""</f>
        <v/>
      </c>
      <c r="AU821" t="str">
        <f>""</f>
        <v/>
      </c>
      <c r="AV821" t="str">
        <f>""</f>
        <v/>
      </c>
      <c r="AW821" t="str">
        <f>""</f>
        <v/>
      </c>
      <c r="AX821" t="str">
        <f>""</f>
        <v/>
      </c>
      <c r="AY821" t="str">
        <f>""</f>
        <v/>
      </c>
      <c r="AZ821" t="str">
        <f>""</f>
        <v/>
      </c>
      <c r="BA821" t="str">
        <f>""</f>
        <v/>
      </c>
      <c r="BB821" t="str">
        <f>"06/07/2023 12:07:48"</f>
        <v>06/07/2023 12:07:48</v>
      </c>
      <c r="BC821" t="str">
        <f>""</f>
        <v/>
      </c>
      <c r="BD821" t="str">
        <f>""</f>
        <v/>
      </c>
      <c r="BE821" t="str">
        <f>""</f>
        <v/>
      </c>
      <c r="BF821" t="str">
        <f t="shared" si="397"/>
        <v>A</v>
      </c>
      <c r="BG821" t="str">
        <f>""</f>
        <v/>
      </c>
      <c r="BH821" t="str">
        <f>""</f>
        <v/>
      </c>
      <c r="BI821" t="str">
        <f t="shared" si="410"/>
        <v>EVENTUAL</v>
      </c>
      <c r="BJ821" t="str">
        <f t="shared" si="398"/>
        <v>1</v>
      </c>
      <c r="BK821" t="str">
        <f t="shared" si="399"/>
        <v>Farmacia</v>
      </c>
      <c r="BL821" t="str">
        <f>""</f>
        <v/>
      </c>
      <c r="BM821" t="str">
        <f>""</f>
        <v/>
      </c>
      <c r="BN821" t="str">
        <f>""</f>
        <v/>
      </c>
      <c r="BO821" t="str">
        <f>""</f>
        <v/>
      </c>
      <c r="BP821" t="str">
        <f>""</f>
        <v/>
      </c>
      <c r="BQ821" t="str">
        <f>""</f>
        <v/>
      </c>
      <c r="BR821" t="str">
        <f>"06/07/2023"</f>
        <v>06/07/2023</v>
      </c>
      <c r="BS821" t="str">
        <f>""</f>
        <v/>
      </c>
      <c r="BT821" t="str">
        <f>""</f>
        <v/>
      </c>
      <c r="BU821" t="str">
        <f>""</f>
        <v/>
      </c>
      <c r="BV821" t="str">
        <f>""</f>
        <v/>
      </c>
      <c r="BW821" t="str">
        <f>"Não visitado"</f>
        <v>Não visitado</v>
      </c>
    </row>
    <row r="822" spans="1:75" x14ac:dyDescent="0.35">
      <c r="A822">
        <v>157606</v>
      </c>
      <c r="B822" t="str">
        <f t="shared" si="394"/>
        <v>A</v>
      </c>
      <c r="C822" t="str">
        <f t="shared" si="395"/>
        <v>80</v>
      </c>
      <c r="D822" t="str">
        <f t="shared" si="417"/>
        <v>11121002</v>
      </c>
      <c r="E822" t="str">
        <f t="shared" si="418"/>
        <v>121002</v>
      </c>
      <c r="F822" t="str">
        <f t="shared" si="419"/>
        <v>CINTHIA NORONHA</v>
      </c>
      <c r="G822" t="str">
        <f>"41145091000130"</f>
        <v>41145091000130</v>
      </c>
      <c r="H822" t="str">
        <f>"0"</f>
        <v>0</v>
      </c>
      <c r="I822" t="str">
        <f t="shared" si="396"/>
        <v>CONTA OPTICA</v>
      </c>
      <c r="J822" t="str">
        <f>"LS COMERCIO DE PRODUTOS OTICOS LTDA"</f>
        <v>LS COMERCIO DE PRODUTOS OTICOS LTDA</v>
      </c>
      <c r="K822" t="str">
        <f>"OTICA HELENA (4281)"</f>
        <v>OTICA HELENA (4281)</v>
      </c>
      <c r="L822" t="str">
        <f>""</f>
        <v/>
      </c>
      <c r="M822" t="str">
        <f>""</f>
        <v/>
      </c>
      <c r="N822" t="str">
        <f>"PALHOCA@OTICAHELENA.COM.BR"</f>
        <v>PALHOCA@OTICAHELENA.COM.BR</v>
      </c>
      <c r="O822" t="str">
        <f>""</f>
        <v/>
      </c>
      <c r="P822" t="str">
        <f>"RUA PREFEITO ARI WAGNER"</f>
        <v>RUA PREFEITO ARI WAGNER</v>
      </c>
      <c r="Q822" t="str">
        <f>"242"</f>
        <v>242</v>
      </c>
      <c r="R822" t="str">
        <f>""</f>
        <v/>
      </c>
      <c r="S822" t="str">
        <f>""</f>
        <v/>
      </c>
      <c r="T822" t="str">
        <f>"88130070"</f>
        <v>88130070</v>
      </c>
      <c r="U822" t="str">
        <f>"CENTRO"</f>
        <v>CENTRO</v>
      </c>
      <c r="V822" t="str">
        <f>"PALHOCA"</f>
        <v>PALHOCA</v>
      </c>
      <c r="W822" t="str">
        <f t="shared" si="413"/>
        <v>SC</v>
      </c>
      <c r="X822" t="str">
        <f t="shared" si="420"/>
        <v>48</v>
      </c>
      <c r="Y822" t="str">
        <f>"37719761"</f>
        <v>37719761</v>
      </c>
      <c r="Z822" t="str">
        <f>""</f>
        <v/>
      </c>
      <c r="AA822" t="str">
        <f>""</f>
        <v/>
      </c>
      <c r="AB822" t="str">
        <f>""</f>
        <v/>
      </c>
      <c r="AC822" t="str">
        <f>""</f>
        <v/>
      </c>
      <c r="AD822" t="str">
        <f>""</f>
        <v/>
      </c>
      <c r="AE822" t="str">
        <f>""</f>
        <v/>
      </c>
      <c r="AF822" t="str">
        <f>""</f>
        <v/>
      </c>
      <c r="AG822" t="str">
        <f>""</f>
        <v/>
      </c>
      <c r="AH822" t="str">
        <f>""</f>
        <v/>
      </c>
      <c r="AI822" t="str">
        <f>""</f>
        <v/>
      </c>
      <c r="AJ822" t="str">
        <f>""</f>
        <v/>
      </c>
      <c r="AK822" t="str">
        <f>""</f>
        <v/>
      </c>
      <c r="AL822" t="str">
        <f>""</f>
        <v/>
      </c>
      <c r="AM822" t="str">
        <f>""</f>
        <v/>
      </c>
      <c r="AN822" t="str">
        <f>""</f>
        <v/>
      </c>
      <c r="AO822" t="str">
        <f>""</f>
        <v/>
      </c>
      <c r="AP822" t="str">
        <f>""</f>
        <v/>
      </c>
      <c r="AQ822" t="str">
        <f>""</f>
        <v/>
      </c>
      <c r="AR822" t="str">
        <f>""</f>
        <v/>
      </c>
      <c r="AS822" t="str">
        <f>""</f>
        <v/>
      </c>
      <c r="AT822" t="str">
        <f>""</f>
        <v/>
      </c>
      <c r="AU822" t="str">
        <f>""</f>
        <v/>
      </c>
      <c r="AV822" t="str">
        <f>""</f>
        <v/>
      </c>
      <c r="AW822" t="str">
        <f>""</f>
        <v/>
      </c>
      <c r="AX822" t="str">
        <f>""</f>
        <v/>
      </c>
      <c r="AY822" t="str">
        <f>""</f>
        <v/>
      </c>
      <c r="AZ822" t="str">
        <f>""</f>
        <v/>
      </c>
      <c r="BA822" t="str">
        <f>""</f>
        <v/>
      </c>
      <c r="BB822" t="str">
        <f>"11/07/2023 02:19:56"</f>
        <v>11/07/2023 02:19:56</v>
      </c>
      <c r="BC822" t="str">
        <f>""</f>
        <v/>
      </c>
      <c r="BD822" t="str">
        <f>""</f>
        <v/>
      </c>
      <c r="BE822" t="str">
        <f>""</f>
        <v/>
      </c>
      <c r="BF822" t="str">
        <f t="shared" si="397"/>
        <v>A</v>
      </c>
      <c r="BG822" t="str">
        <f>""</f>
        <v/>
      </c>
      <c r="BH822" t="str">
        <f>""</f>
        <v/>
      </c>
      <c r="BI822" t="str">
        <f t="shared" si="410"/>
        <v>EVENTUAL</v>
      </c>
      <c r="BJ822" t="str">
        <f t="shared" si="398"/>
        <v>1</v>
      </c>
      <c r="BK822" t="str">
        <f t="shared" si="399"/>
        <v>Farmacia</v>
      </c>
      <c r="BL822" t="str">
        <f>""</f>
        <v/>
      </c>
      <c r="BM822" t="str">
        <f>""</f>
        <v/>
      </c>
      <c r="BN822" t="str">
        <f>""</f>
        <v/>
      </c>
      <c r="BO822" t="str">
        <f>""</f>
        <v/>
      </c>
      <c r="BP822" t="str">
        <f>""</f>
        <v/>
      </c>
      <c r="BQ822" t="str">
        <f>""</f>
        <v/>
      </c>
      <c r="BR822" t="str">
        <f>"11/07/2023"</f>
        <v>11/07/2023</v>
      </c>
      <c r="BS822" t="str">
        <f>""</f>
        <v/>
      </c>
      <c r="BT822" t="str">
        <f>""</f>
        <v/>
      </c>
      <c r="BU822" t="str">
        <f>""</f>
        <v/>
      </c>
      <c r="BV822" t="str">
        <f>""</f>
        <v/>
      </c>
      <c r="BW822" t="str">
        <f>"Não visitado"</f>
        <v>Não visitado</v>
      </c>
    </row>
    <row r="823" spans="1:75" x14ac:dyDescent="0.35">
      <c r="A823">
        <v>134556</v>
      </c>
      <c r="B823" t="str">
        <f t="shared" si="394"/>
        <v>A</v>
      </c>
      <c r="C823" t="str">
        <f t="shared" si="395"/>
        <v>80</v>
      </c>
      <c r="D823" t="str">
        <f t="shared" si="417"/>
        <v>11121002</v>
      </c>
      <c r="E823" t="str">
        <f t="shared" si="418"/>
        <v>121002</v>
      </c>
      <c r="F823" t="str">
        <f t="shared" si="419"/>
        <v>CINTHIA NORONHA</v>
      </c>
      <c r="G823" t="str">
        <f>"38328335000106"</f>
        <v>38328335000106</v>
      </c>
      <c r="H823" t="str">
        <f>""</f>
        <v/>
      </c>
      <c r="I823" t="str">
        <f t="shared" si="396"/>
        <v>CONTA OPTICA</v>
      </c>
      <c r="J823" t="str">
        <f>"LUCIANA VENTURA &amp; TREVISANI COMERCIO OPTICOS LTDA"</f>
        <v>LUCIANA VENTURA &amp; TREVISANI COMERCIO OPTICOS LTDA</v>
      </c>
      <c r="K823" t="str">
        <f>"MERCADAO DOS OCULOS (4243)"</f>
        <v>MERCADAO DOS OCULOS (4243)</v>
      </c>
      <c r="L823" t="str">
        <f>""</f>
        <v/>
      </c>
      <c r="M823" t="str">
        <f>""</f>
        <v/>
      </c>
      <c r="N823" t="str">
        <f>"sc-biguacu@mercadaodosoculos.com.br"</f>
        <v>sc-biguacu@mercadaodosoculos.com.br</v>
      </c>
      <c r="O823" t="str">
        <f>""</f>
        <v/>
      </c>
      <c r="P823" t="str">
        <f>"RUA CORONEL TEIXEIRA OLIVEIRA"</f>
        <v>RUA CORONEL TEIXEIRA OLIVEIRA</v>
      </c>
      <c r="Q823" t="str">
        <f>"288"</f>
        <v>288</v>
      </c>
      <c r="R823" t="str">
        <f>"SALA 02"</f>
        <v>SALA 02</v>
      </c>
      <c r="S823" t="str">
        <f>"1259"</f>
        <v>1259</v>
      </c>
      <c r="T823" t="str">
        <f>"88160130"</f>
        <v>88160130</v>
      </c>
      <c r="U823" t="str">
        <f>"CENTRO"</f>
        <v>CENTRO</v>
      </c>
      <c r="V823" t="str">
        <f>"BIGUAÇU"</f>
        <v>BIGUAÇU</v>
      </c>
      <c r="W823" t="str">
        <f t="shared" si="413"/>
        <v>SC</v>
      </c>
      <c r="X823" t="str">
        <f t="shared" si="420"/>
        <v>48</v>
      </c>
      <c r="Y823" t="str">
        <f>"30653531"</f>
        <v>30653531</v>
      </c>
      <c r="Z823" t="str">
        <f>""</f>
        <v/>
      </c>
      <c r="AA823" t="str">
        <f>""</f>
        <v/>
      </c>
      <c r="AB823" t="str">
        <f>""</f>
        <v/>
      </c>
      <c r="AC823" t="str">
        <f>""</f>
        <v/>
      </c>
      <c r="AD823" t="str">
        <f>""</f>
        <v/>
      </c>
      <c r="AE823" t="str">
        <f>""</f>
        <v/>
      </c>
      <c r="AF823" t="str">
        <f>""</f>
        <v/>
      </c>
      <c r="AG823" t="str">
        <f>"S"</f>
        <v>S</v>
      </c>
      <c r="AH823" t="str">
        <f>""</f>
        <v/>
      </c>
      <c r="AI823" t="str">
        <f>""</f>
        <v/>
      </c>
      <c r="AJ823" t="str">
        <f>""</f>
        <v/>
      </c>
      <c r="AK823" t="str">
        <f>""</f>
        <v/>
      </c>
      <c r="AL823" t="str">
        <f>""</f>
        <v/>
      </c>
      <c r="AM823" t="str">
        <f>""</f>
        <v/>
      </c>
      <c r="AN823" t="str">
        <f>""</f>
        <v/>
      </c>
      <c r="AO823" t="str">
        <f>""</f>
        <v/>
      </c>
      <c r="AP823" t="str">
        <f>""</f>
        <v/>
      </c>
      <c r="AQ823" t="str">
        <f>"N"</f>
        <v>N</v>
      </c>
      <c r="AR823" t="str">
        <f>"N"</f>
        <v>N</v>
      </c>
      <c r="AS823" t="str">
        <f>"N"</f>
        <v>N</v>
      </c>
      <c r="AT823" t="str">
        <f>"N"</f>
        <v>N</v>
      </c>
      <c r="AU823" t="str">
        <f>"N"</f>
        <v>N</v>
      </c>
      <c r="AV823" t="str">
        <f>""</f>
        <v/>
      </c>
      <c r="AW823" t="str">
        <f>""</f>
        <v/>
      </c>
      <c r="AX823" t="str">
        <f>""</f>
        <v/>
      </c>
      <c r="AY823" t="str">
        <f>""</f>
        <v/>
      </c>
      <c r="AZ823" t="str">
        <f>""</f>
        <v/>
      </c>
      <c r="BA823" t="str">
        <f>""</f>
        <v/>
      </c>
      <c r="BB823" t="str">
        <f>""</f>
        <v/>
      </c>
      <c r="BC823" t="str">
        <f>"25/04/2022 13:37:32"</f>
        <v>25/04/2022 13:37:32</v>
      </c>
      <c r="BD823" t="str">
        <f>""</f>
        <v/>
      </c>
      <c r="BE823" t="str">
        <f>""</f>
        <v/>
      </c>
      <c r="BF823" t="str">
        <f t="shared" si="397"/>
        <v>A</v>
      </c>
      <c r="BG823" t="str">
        <f>""</f>
        <v/>
      </c>
      <c r="BH823" t="str">
        <f>"0,00"</f>
        <v>0,00</v>
      </c>
      <c r="BI823" t="str">
        <f t="shared" si="410"/>
        <v>EVENTUAL</v>
      </c>
      <c r="BJ823" t="str">
        <f t="shared" si="398"/>
        <v>1</v>
      </c>
      <c r="BK823" t="str">
        <f t="shared" si="399"/>
        <v>Farmacia</v>
      </c>
      <c r="BL823" t="str">
        <f>""</f>
        <v/>
      </c>
      <c r="BM823" t="str">
        <f>"NÃO É VARILUX ESPECIALISTA"</f>
        <v>NÃO É VARILUX ESPECIALISTA</v>
      </c>
      <c r="BN823" t="str">
        <f>"NA"</f>
        <v>NA</v>
      </c>
      <c r="BO823" t="str">
        <f>"FOCO VARILUX"</f>
        <v>FOCO VARILUX</v>
      </c>
      <c r="BP823" t="str">
        <f>""</f>
        <v/>
      </c>
      <c r="BQ823" t="str">
        <f>""</f>
        <v/>
      </c>
      <c r="BR823" t="str">
        <f>""</f>
        <v/>
      </c>
      <c r="BS823" t="str">
        <f>"25/04/2022"</f>
        <v>25/04/2022</v>
      </c>
      <c r="BT823" t="str">
        <f>""</f>
        <v/>
      </c>
      <c r="BU823" t="str">
        <f>""</f>
        <v/>
      </c>
      <c r="BV823" t="str">
        <f>""</f>
        <v/>
      </c>
      <c r="BW823" t="str">
        <f>"8"</f>
        <v>8</v>
      </c>
    </row>
    <row r="824" spans="1:75" x14ac:dyDescent="0.35">
      <c r="A824">
        <v>156875</v>
      </c>
      <c r="B824" t="str">
        <f t="shared" si="394"/>
        <v>A</v>
      </c>
      <c r="C824" t="str">
        <f t="shared" si="395"/>
        <v>80</v>
      </c>
      <c r="D824" t="str">
        <f t="shared" si="417"/>
        <v>11121002</v>
      </c>
      <c r="E824" t="str">
        <f t="shared" si="418"/>
        <v>121002</v>
      </c>
      <c r="F824" t="str">
        <f t="shared" si="419"/>
        <v>CINTHIA NORONHA</v>
      </c>
      <c r="G824" t="str">
        <f>"45227807000108"</f>
        <v>45227807000108</v>
      </c>
      <c r="H824" t="str">
        <f>"0"</f>
        <v>0</v>
      </c>
      <c r="I824" t="str">
        <f t="shared" si="396"/>
        <v>CONTA OPTICA</v>
      </c>
      <c r="J824" t="str">
        <f>"LUCIANA VENTURA COMERCIO OPTICOS LTDA"</f>
        <v>LUCIANA VENTURA COMERCIO OPTICOS LTDA</v>
      </c>
      <c r="K824" t="str">
        <f>"MERCADAO DOS OCULOS SANTO AMARO DA IMPERATRIZ (4510)"</f>
        <v>MERCADAO DOS OCULOS SANTO AMARO DA IMPERATRIZ (4510)</v>
      </c>
      <c r="L824" t="str">
        <f>""</f>
        <v/>
      </c>
      <c r="M824" t="str">
        <f>""</f>
        <v/>
      </c>
      <c r="N824" t="str">
        <f>""</f>
        <v/>
      </c>
      <c r="O824" t="str">
        <f>""</f>
        <v/>
      </c>
      <c r="P824" t="str">
        <f>"RUA MAJOR JOAQUIM ALEXANDRE DE CAMPOS"</f>
        <v>RUA MAJOR JOAQUIM ALEXANDRE DE CAMPOS</v>
      </c>
      <c r="Q824" t="str">
        <f>"5847"</f>
        <v>5847</v>
      </c>
      <c r="R824" t="str">
        <f>"SALA 02"</f>
        <v>SALA 02</v>
      </c>
      <c r="S824" t="str">
        <f>"1259"</f>
        <v>1259</v>
      </c>
      <c r="T824" t="str">
        <f>"88140000"</f>
        <v>88140000</v>
      </c>
      <c r="U824" t="str">
        <f>"CENTRO"</f>
        <v>CENTRO</v>
      </c>
      <c r="V824" t="str">
        <f>"SANTO AMARO DA IMPERATRIZ"</f>
        <v>SANTO AMARO DA IMPERATRIZ</v>
      </c>
      <c r="W824" t="str">
        <f t="shared" si="413"/>
        <v>SC</v>
      </c>
      <c r="X824" t="str">
        <f t="shared" si="420"/>
        <v>48</v>
      </c>
      <c r="Y824" t="str">
        <f>"992044997"</f>
        <v>992044997</v>
      </c>
      <c r="Z824" t="str">
        <f>""</f>
        <v/>
      </c>
      <c r="AA824" t="str">
        <f>""</f>
        <v/>
      </c>
      <c r="AB824" t="str">
        <f>""</f>
        <v/>
      </c>
      <c r="AC824" t="str">
        <f>""</f>
        <v/>
      </c>
      <c r="AD824" t="str">
        <f>""</f>
        <v/>
      </c>
      <c r="AE824" t="str">
        <f>""</f>
        <v/>
      </c>
      <c r="AF824" t="str">
        <f>""</f>
        <v/>
      </c>
      <c r="AG824" t="str">
        <f>""</f>
        <v/>
      </c>
      <c r="AH824" t="str">
        <f>""</f>
        <v/>
      </c>
      <c r="AI824" t="str">
        <f>""</f>
        <v/>
      </c>
      <c r="AJ824" t="str">
        <f>""</f>
        <v/>
      </c>
      <c r="AK824" t="str">
        <f>""</f>
        <v/>
      </c>
      <c r="AL824" t="str">
        <f>""</f>
        <v/>
      </c>
      <c r="AM824" t="str">
        <f>""</f>
        <v/>
      </c>
      <c r="AN824" t="str">
        <f>""</f>
        <v/>
      </c>
      <c r="AO824" t="str">
        <f>""</f>
        <v/>
      </c>
      <c r="AP824" t="str">
        <f>""</f>
        <v/>
      </c>
      <c r="AQ824" t="str">
        <f>""</f>
        <v/>
      </c>
      <c r="AR824" t="str">
        <f>""</f>
        <v/>
      </c>
      <c r="AS824" t="str">
        <f>""</f>
        <v/>
      </c>
      <c r="AT824" t="str">
        <f>""</f>
        <v/>
      </c>
      <c r="AU824" t="str">
        <f>""</f>
        <v/>
      </c>
      <c r="AV824" t="str">
        <f>""</f>
        <v/>
      </c>
      <c r="AW824" t="str">
        <f>""</f>
        <v/>
      </c>
      <c r="AX824" t="str">
        <f>""</f>
        <v/>
      </c>
      <c r="AY824" t="str">
        <f>""</f>
        <v/>
      </c>
      <c r="AZ824" t="str">
        <f>""</f>
        <v/>
      </c>
      <c r="BA824" t="str">
        <f>""</f>
        <v/>
      </c>
      <c r="BB824" t="str">
        <f>"06/07/2023 12:07:48"</f>
        <v>06/07/2023 12:07:48</v>
      </c>
      <c r="BC824" t="str">
        <f>""</f>
        <v/>
      </c>
      <c r="BD824" t="str">
        <f>""</f>
        <v/>
      </c>
      <c r="BE824" t="str">
        <f>""</f>
        <v/>
      </c>
      <c r="BF824" t="str">
        <f t="shared" si="397"/>
        <v>A</v>
      </c>
      <c r="BG824" t="str">
        <f>""</f>
        <v/>
      </c>
      <c r="BH824" t="str">
        <f>""</f>
        <v/>
      </c>
      <c r="BI824" t="str">
        <f t="shared" si="410"/>
        <v>EVENTUAL</v>
      </c>
      <c r="BJ824" t="str">
        <f t="shared" si="398"/>
        <v>1</v>
      </c>
      <c r="BK824" t="str">
        <f t="shared" si="399"/>
        <v>Farmacia</v>
      </c>
      <c r="BL824" t="str">
        <f>""</f>
        <v/>
      </c>
      <c r="BM824" t="str">
        <f>""</f>
        <v/>
      </c>
      <c r="BN824" t="str">
        <f>""</f>
        <v/>
      </c>
      <c r="BO824" t="str">
        <f>""</f>
        <v/>
      </c>
      <c r="BP824" t="str">
        <f>""</f>
        <v/>
      </c>
      <c r="BQ824" t="str">
        <f>""</f>
        <v/>
      </c>
      <c r="BR824" t="str">
        <f>"06/07/2023"</f>
        <v>06/07/2023</v>
      </c>
      <c r="BS824" t="str">
        <f>""</f>
        <v/>
      </c>
      <c r="BT824" t="str">
        <f>""</f>
        <v/>
      </c>
      <c r="BU824" t="str">
        <f>""</f>
        <v/>
      </c>
      <c r="BV824" t="str">
        <f>""</f>
        <v/>
      </c>
      <c r="BW824" t="str">
        <f>"Não visitado"</f>
        <v>Não visitado</v>
      </c>
    </row>
    <row r="825" spans="1:75" x14ac:dyDescent="0.35">
      <c r="A825">
        <v>134247</v>
      </c>
      <c r="B825" t="str">
        <f t="shared" si="394"/>
        <v>A</v>
      </c>
      <c r="C825" t="str">
        <f t="shared" si="395"/>
        <v>80</v>
      </c>
      <c r="D825" t="str">
        <f t="shared" si="417"/>
        <v>11121002</v>
      </c>
      <c r="E825" t="str">
        <f t="shared" si="418"/>
        <v>121002</v>
      </c>
      <c r="F825" t="str">
        <f t="shared" si="419"/>
        <v>CINTHIA NORONHA</v>
      </c>
      <c r="G825" t="str">
        <f>"16758835000145"</f>
        <v>16758835000145</v>
      </c>
      <c r="H825" t="str">
        <f>""</f>
        <v/>
      </c>
      <c r="I825" t="str">
        <f t="shared" si="396"/>
        <v>CONTA OPTICA</v>
      </c>
      <c r="J825" t="str">
        <f>"LUF ACESSORIOS LTDA EPP"</f>
        <v>LUF ACESSORIOS LTDA EPP</v>
      </c>
      <c r="K825" t="str">
        <f>"CHILLI BEANS (3784)"</f>
        <v>CHILLI BEANS (3784)</v>
      </c>
      <c r="L825" t="str">
        <f>""</f>
        <v/>
      </c>
      <c r="M825" t="str">
        <f>""</f>
        <v/>
      </c>
      <c r="N825" t="str">
        <f>"palhoca.viacatarina@chillisc.com.br"</f>
        <v>palhoca.viacatarina@chillisc.com.br</v>
      </c>
      <c r="O825" t="str">
        <f>""</f>
        <v/>
      </c>
      <c r="P825" t="str">
        <f>"RUA ATILIO PEDRO PAGANI"</f>
        <v>RUA ATILIO PEDRO PAGANI</v>
      </c>
      <c r="Q825" t="str">
        <f>"270"</f>
        <v>270</v>
      </c>
      <c r="R825" t="str">
        <f>"SALA 123"</f>
        <v>SALA 123</v>
      </c>
      <c r="S825" t="str">
        <f>"1259"</f>
        <v>1259</v>
      </c>
      <c r="T825" t="str">
        <f>"88132149"</f>
        <v>88132149</v>
      </c>
      <c r="U825" t="str">
        <f>"PASSA VINTE"</f>
        <v>PASSA VINTE</v>
      </c>
      <c r="V825" t="str">
        <f>"PALHOÇA"</f>
        <v>PALHOÇA</v>
      </c>
      <c r="W825" t="str">
        <f t="shared" si="413"/>
        <v>SC</v>
      </c>
      <c r="X825" t="str">
        <f t="shared" si="420"/>
        <v>48</v>
      </c>
      <c r="Y825" t="str">
        <f>"21327173"</f>
        <v>21327173</v>
      </c>
      <c r="Z825" t="str">
        <f>""</f>
        <v/>
      </c>
      <c r="AA825" t="str">
        <f>""</f>
        <v/>
      </c>
      <c r="AB825" t="str">
        <f>""</f>
        <v/>
      </c>
      <c r="AC825" t="str">
        <f>""</f>
        <v/>
      </c>
      <c r="AD825" t="str">
        <f>""</f>
        <v/>
      </c>
      <c r="AE825" t="str">
        <f>""</f>
        <v/>
      </c>
      <c r="AF825" t="str">
        <f>""</f>
        <v/>
      </c>
      <c r="AG825" t="str">
        <f>"S"</f>
        <v>S</v>
      </c>
      <c r="AH825" t="str">
        <f>""</f>
        <v/>
      </c>
      <c r="AI825" t="str">
        <f>""</f>
        <v/>
      </c>
      <c r="AJ825" t="str">
        <f>"0"</f>
        <v>0</v>
      </c>
      <c r="AK825" t="str">
        <f>"0"</f>
        <v>0</v>
      </c>
      <c r="AL825" t="str">
        <f>"0"</f>
        <v>0</v>
      </c>
      <c r="AM825" t="str">
        <f>""</f>
        <v/>
      </c>
      <c r="AN825" t="str">
        <f>""</f>
        <v/>
      </c>
      <c r="AO825" t="str">
        <f>""</f>
        <v/>
      </c>
      <c r="AP825" t="str">
        <f>""</f>
        <v/>
      </c>
      <c r="AQ825" t="str">
        <f>"N"</f>
        <v>N</v>
      </c>
      <c r="AR825" t="str">
        <f>"N"</f>
        <v>N</v>
      </c>
      <c r="AS825" t="str">
        <f>"N"</f>
        <v>N</v>
      </c>
      <c r="AT825" t="str">
        <f>"N"</f>
        <v>N</v>
      </c>
      <c r="AU825" t="str">
        <f>"N"</f>
        <v>N</v>
      </c>
      <c r="AV825" t="str">
        <f>""</f>
        <v/>
      </c>
      <c r="AW825" t="str">
        <f>""</f>
        <v/>
      </c>
      <c r="AX825" t="str">
        <f>""</f>
        <v/>
      </c>
      <c r="AY825" t="str">
        <f>""</f>
        <v/>
      </c>
      <c r="AZ825" t="str">
        <f>""</f>
        <v/>
      </c>
      <c r="BA825" t="str">
        <f>""</f>
        <v/>
      </c>
      <c r="BB825" t="str">
        <f>""</f>
        <v/>
      </c>
      <c r="BC825" t="str">
        <f>"13/09/2021 14:39:55"</f>
        <v>13/09/2021 14:39:55</v>
      </c>
      <c r="BD825" t="str">
        <f>""</f>
        <v/>
      </c>
      <c r="BE825" t="str">
        <f>""</f>
        <v/>
      </c>
      <c r="BF825" t="str">
        <f t="shared" si="397"/>
        <v>A</v>
      </c>
      <c r="BG825" t="str">
        <f>"0,00"</f>
        <v>0,00</v>
      </c>
      <c r="BH825" t="str">
        <f>"0,00"</f>
        <v>0,00</v>
      </c>
      <c r="BI825" t="str">
        <f t="shared" si="410"/>
        <v>EVENTUAL</v>
      </c>
      <c r="BJ825" t="str">
        <f t="shared" si="398"/>
        <v>1</v>
      </c>
      <c r="BK825" t="str">
        <f t="shared" si="399"/>
        <v>Farmacia</v>
      </c>
      <c r="BL825" t="str">
        <f>""</f>
        <v/>
      </c>
      <c r="BM825" t="str">
        <f>"NÃO É VARILUX ESPECIALISTA"</f>
        <v>NÃO É VARILUX ESPECIALISTA</v>
      </c>
      <c r="BN825" t="str">
        <f>"NA"</f>
        <v>NA</v>
      </c>
      <c r="BO825" t="str">
        <f>"FOCO VARILUX"</f>
        <v>FOCO VARILUX</v>
      </c>
      <c r="BP825" t="str">
        <f>""</f>
        <v/>
      </c>
      <c r="BQ825" t="str">
        <f>""</f>
        <v/>
      </c>
      <c r="BR825" t="str">
        <f>""</f>
        <v/>
      </c>
      <c r="BS825" t="str">
        <f>"13/09/2021"</f>
        <v>13/09/2021</v>
      </c>
      <c r="BT825" t="str">
        <f>""</f>
        <v/>
      </c>
      <c r="BU825" t="str">
        <f>""</f>
        <v/>
      </c>
      <c r="BV825" t="str">
        <f>"9"</f>
        <v>9</v>
      </c>
      <c r="BW825" t="str">
        <f>"332"</f>
        <v>332</v>
      </c>
    </row>
    <row r="826" spans="1:75" x14ac:dyDescent="0.35">
      <c r="A826">
        <v>157664</v>
      </c>
      <c r="B826" t="str">
        <f t="shared" si="394"/>
        <v>A</v>
      </c>
      <c r="C826" t="str">
        <f t="shared" si="395"/>
        <v>80</v>
      </c>
      <c r="D826" t="str">
        <f t="shared" si="417"/>
        <v>11121002</v>
      </c>
      <c r="E826" t="str">
        <f t="shared" si="418"/>
        <v>121002</v>
      </c>
      <c r="F826" t="str">
        <f t="shared" si="419"/>
        <v>CINTHIA NORONHA</v>
      </c>
      <c r="G826" t="str">
        <f>"12384961000126"</f>
        <v>12384961000126</v>
      </c>
      <c r="H826" t="str">
        <f>"0"</f>
        <v>0</v>
      </c>
      <c r="I826" t="str">
        <f t="shared" si="396"/>
        <v>CONTA OPTICA</v>
      </c>
      <c r="J826" t="str">
        <f>"LUIZ AUGUSTO DE AZEREDO 24095869020"</f>
        <v>LUIZ AUGUSTO DE AZEREDO 24095869020</v>
      </c>
      <c r="K826" t="str">
        <f>"RELOJOARIA LUIZ (1912)"</f>
        <v>RELOJOARIA LUIZ (1912)</v>
      </c>
      <c r="L826" t="str">
        <f>""</f>
        <v/>
      </c>
      <c r="M826" t="str">
        <f>""</f>
        <v/>
      </c>
      <c r="N826" t="str">
        <f>"RELOJOARIA_LUIZ@HOTMAIL.COM"</f>
        <v>RELOJOARIA_LUIZ@HOTMAIL.COM</v>
      </c>
      <c r="O826" t="str">
        <f>""</f>
        <v/>
      </c>
      <c r="P826" t="str">
        <f>"DOS IMIGRANTES"</f>
        <v>DOS IMIGRANTES</v>
      </c>
      <c r="Q826" t="str">
        <f>"157"</f>
        <v>157</v>
      </c>
      <c r="R826" t="str">
        <f>""</f>
        <v/>
      </c>
      <c r="S826" t="str">
        <f>"1269"</f>
        <v>1269</v>
      </c>
      <c r="T826" t="str">
        <f>"88801070"</f>
        <v>88801070</v>
      </c>
      <c r="U826" t="str">
        <f>"CENTRO"</f>
        <v>CENTRO</v>
      </c>
      <c r="V826" t="str">
        <f>"CRICIUMA"</f>
        <v>CRICIUMA</v>
      </c>
      <c r="W826" t="str">
        <f t="shared" si="413"/>
        <v>SC</v>
      </c>
      <c r="X826" t="str">
        <f t="shared" si="420"/>
        <v>48</v>
      </c>
      <c r="Y826" t="str">
        <f>"996270075"</f>
        <v>996270075</v>
      </c>
      <c r="Z826" t="str">
        <f>""</f>
        <v/>
      </c>
      <c r="AA826" t="str">
        <f>""</f>
        <v/>
      </c>
      <c r="AB826" t="str">
        <f>""</f>
        <v/>
      </c>
      <c r="AC826" t="str">
        <f>""</f>
        <v/>
      </c>
      <c r="AD826" t="str">
        <f>""</f>
        <v/>
      </c>
      <c r="AE826" t="str">
        <f>""</f>
        <v/>
      </c>
      <c r="AF826" t="str">
        <f>""</f>
        <v/>
      </c>
      <c r="AG826" t="str">
        <f>""</f>
        <v/>
      </c>
      <c r="AH826" t="str">
        <f>""</f>
        <v/>
      </c>
      <c r="AI826" t="str">
        <f>""</f>
        <v/>
      </c>
      <c r="AJ826" t="str">
        <f>""</f>
        <v/>
      </c>
      <c r="AK826" t="str">
        <f>""</f>
        <v/>
      </c>
      <c r="AL826" t="str">
        <f>""</f>
        <v/>
      </c>
      <c r="AM826" t="str">
        <f>""</f>
        <v/>
      </c>
      <c r="AN826" t="str">
        <f>""</f>
        <v/>
      </c>
      <c r="AO826" t="str">
        <f>""</f>
        <v/>
      </c>
      <c r="AP826" t="str">
        <f>""</f>
        <v/>
      </c>
      <c r="AQ826" t="str">
        <f>""</f>
        <v/>
      </c>
      <c r="AR826" t="str">
        <f>""</f>
        <v/>
      </c>
      <c r="AS826" t="str">
        <f>""</f>
        <v/>
      </c>
      <c r="AT826" t="str">
        <f>""</f>
        <v/>
      </c>
      <c r="AU826" t="str">
        <f>""</f>
        <v/>
      </c>
      <c r="AV826" t="str">
        <f>""</f>
        <v/>
      </c>
      <c r="AW826" t="str">
        <f>""</f>
        <v/>
      </c>
      <c r="AX826" t="str">
        <f>""</f>
        <v/>
      </c>
      <c r="AY826" t="str">
        <f>""</f>
        <v/>
      </c>
      <c r="AZ826" t="str">
        <f>""</f>
        <v/>
      </c>
      <c r="BA826" t="str">
        <f>""</f>
        <v/>
      </c>
      <c r="BB826" t="str">
        <f>"11/07/2023 02:19:56"</f>
        <v>11/07/2023 02:19:56</v>
      </c>
      <c r="BC826" t="str">
        <f>""</f>
        <v/>
      </c>
      <c r="BD826" t="str">
        <f>""</f>
        <v/>
      </c>
      <c r="BE826" t="str">
        <f>""</f>
        <v/>
      </c>
      <c r="BF826" t="str">
        <f t="shared" si="397"/>
        <v>A</v>
      </c>
      <c r="BG826" t="str">
        <f>""</f>
        <v/>
      </c>
      <c r="BH826" t="str">
        <f>""</f>
        <v/>
      </c>
      <c r="BI826" t="str">
        <f t="shared" si="410"/>
        <v>EVENTUAL</v>
      </c>
      <c r="BJ826" t="str">
        <f t="shared" si="398"/>
        <v>1</v>
      </c>
      <c r="BK826" t="str">
        <f t="shared" si="399"/>
        <v>Farmacia</v>
      </c>
      <c r="BL826" t="str">
        <f>""</f>
        <v/>
      </c>
      <c r="BM826" t="str">
        <f>""</f>
        <v/>
      </c>
      <c r="BN826" t="str">
        <f>""</f>
        <v/>
      </c>
      <c r="BO826" t="str">
        <f>""</f>
        <v/>
      </c>
      <c r="BP826" t="str">
        <f>""</f>
        <v/>
      </c>
      <c r="BQ826" t="str">
        <f>""</f>
        <v/>
      </c>
      <c r="BR826" t="str">
        <f>"11/07/2023"</f>
        <v>11/07/2023</v>
      </c>
      <c r="BS826" t="str">
        <f>""</f>
        <v/>
      </c>
      <c r="BT826" t="str">
        <f>""</f>
        <v/>
      </c>
      <c r="BU826" t="str">
        <f>""</f>
        <v/>
      </c>
      <c r="BV826" t="str">
        <f>""</f>
        <v/>
      </c>
      <c r="BW826" t="str">
        <f>"Não visitado"</f>
        <v>Não visitado</v>
      </c>
    </row>
    <row r="827" spans="1:75" x14ac:dyDescent="0.35">
      <c r="A827">
        <v>157671</v>
      </c>
      <c r="B827" t="str">
        <f t="shared" si="394"/>
        <v>A</v>
      </c>
      <c r="C827" t="str">
        <f t="shared" si="395"/>
        <v>80</v>
      </c>
      <c r="D827" t="str">
        <f t="shared" si="417"/>
        <v>11121002</v>
      </c>
      <c r="E827" t="str">
        <f t="shared" si="418"/>
        <v>121002</v>
      </c>
      <c r="F827" t="str">
        <f t="shared" si="419"/>
        <v>CINTHIA NORONHA</v>
      </c>
      <c r="G827" t="str">
        <f>"77889285000279"</f>
        <v>77889285000279</v>
      </c>
      <c r="H827" t="str">
        <f>"0"</f>
        <v>0</v>
      </c>
      <c r="I827" t="str">
        <f t="shared" si="396"/>
        <v>CONTA OPTICA</v>
      </c>
      <c r="J827" t="str">
        <f>"LUIZ CEOLIN ISIDORO"</f>
        <v>LUIZ CEOLIN ISIDORO</v>
      </c>
      <c r="K827" t="str">
        <f>"LUIZ CEOLIN ISIDORO (1347)"</f>
        <v>LUIZ CEOLIN ISIDORO (1347)</v>
      </c>
      <c r="L827" t="str">
        <f>""</f>
        <v/>
      </c>
      <c r="M827" t="str">
        <f>""</f>
        <v/>
      </c>
      <c r="N827" t="str">
        <f>""</f>
        <v/>
      </c>
      <c r="O827" t="str">
        <f>""</f>
        <v/>
      </c>
      <c r="P827" t="str">
        <f>"RUA CORONEL PEDRO BENEDET"</f>
        <v>RUA CORONEL PEDRO BENEDET</v>
      </c>
      <c r="Q827" t="str">
        <f>"393"</f>
        <v>393</v>
      </c>
      <c r="R827" t="str">
        <f>"SALA 04"</f>
        <v>SALA 04</v>
      </c>
      <c r="S827" t="str">
        <f>"1269"</f>
        <v>1269</v>
      </c>
      <c r="T827" t="str">
        <f>"88801250"</f>
        <v>88801250</v>
      </c>
      <c r="U827" t="str">
        <f>"CENTRO"</f>
        <v>CENTRO</v>
      </c>
      <c r="V827" t="str">
        <f>"CRICIUMA"</f>
        <v>CRICIUMA</v>
      </c>
      <c r="W827" t="str">
        <f t="shared" si="413"/>
        <v>SC</v>
      </c>
      <c r="X827" t="str">
        <f t="shared" si="420"/>
        <v>48</v>
      </c>
      <c r="Y827" t="str">
        <f>"34370118"</f>
        <v>34370118</v>
      </c>
      <c r="Z827" t="str">
        <f>""</f>
        <v/>
      </c>
      <c r="AA827" t="str">
        <f>""</f>
        <v/>
      </c>
      <c r="AB827" t="str">
        <f>""</f>
        <v/>
      </c>
      <c r="AC827" t="str">
        <f>""</f>
        <v/>
      </c>
      <c r="AD827" t="str">
        <f>""</f>
        <v/>
      </c>
      <c r="AE827" t="str">
        <f>""</f>
        <v/>
      </c>
      <c r="AF827" t="str">
        <f>""</f>
        <v/>
      </c>
      <c r="AG827" t="str">
        <f>""</f>
        <v/>
      </c>
      <c r="AH827" t="str">
        <f>""</f>
        <v/>
      </c>
      <c r="AI827" t="str">
        <f>""</f>
        <v/>
      </c>
      <c r="AJ827" t="str">
        <f>""</f>
        <v/>
      </c>
      <c r="AK827" t="str">
        <f>""</f>
        <v/>
      </c>
      <c r="AL827" t="str">
        <f>""</f>
        <v/>
      </c>
      <c r="AM827" t="str">
        <f>""</f>
        <v/>
      </c>
      <c r="AN827" t="str">
        <f>""</f>
        <v/>
      </c>
      <c r="AO827" t="str">
        <f>""</f>
        <v/>
      </c>
      <c r="AP827" t="str">
        <f>""</f>
        <v/>
      </c>
      <c r="AQ827" t="str">
        <f>""</f>
        <v/>
      </c>
      <c r="AR827" t="str">
        <f>""</f>
        <v/>
      </c>
      <c r="AS827" t="str">
        <f>""</f>
        <v/>
      </c>
      <c r="AT827" t="str">
        <f>""</f>
        <v/>
      </c>
      <c r="AU827" t="str">
        <f>""</f>
        <v/>
      </c>
      <c r="AV827" t="str">
        <f>""</f>
        <v/>
      </c>
      <c r="AW827" t="str">
        <f>""</f>
        <v/>
      </c>
      <c r="AX827" t="str">
        <f>""</f>
        <v/>
      </c>
      <c r="AY827" t="str">
        <f>""</f>
        <v/>
      </c>
      <c r="AZ827" t="str">
        <f>""</f>
        <v/>
      </c>
      <c r="BA827" t="str">
        <f>""</f>
        <v/>
      </c>
      <c r="BB827" t="str">
        <f>"11/07/2023 02:19:56"</f>
        <v>11/07/2023 02:19:56</v>
      </c>
      <c r="BC827" t="str">
        <f>""</f>
        <v/>
      </c>
      <c r="BD827" t="str">
        <f>""</f>
        <v/>
      </c>
      <c r="BE827" t="str">
        <f>""</f>
        <v/>
      </c>
      <c r="BF827" t="str">
        <f t="shared" si="397"/>
        <v>A</v>
      </c>
      <c r="BG827" t="str">
        <f>""</f>
        <v/>
      </c>
      <c r="BH827" t="str">
        <f>""</f>
        <v/>
      </c>
      <c r="BI827" t="str">
        <f t="shared" si="410"/>
        <v>EVENTUAL</v>
      </c>
      <c r="BJ827" t="str">
        <f t="shared" si="398"/>
        <v>1</v>
      </c>
      <c r="BK827" t="str">
        <f t="shared" si="399"/>
        <v>Farmacia</v>
      </c>
      <c r="BL827" t="str">
        <f>""</f>
        <v/>
      </c>
      <c r="BM827" t="str">
        <f>""</f>
        <v/>
      </c>
      <c r="BN827" t="str">
        <f>""</f>
        <v/>
      </c>
      <c r="BO827" t="str">
        <f>""</f>
        <v/>
      </c>
      <c r="BP827" t="str">
        <f>""</f>
        <v/>
      </c>
      <c r="BQ827" t="str">
        <f>""</f>
        <v/>
      </c>
      <c r="BR827" t="str">
        <f>"11/07/2023"</f>
        <v>11/07/2023</v>
      </c>
      <c r="BS827" t="str">
        <f>""</f>
        <v/>
      </c>
      <c r="BT827" t="str">
        <f>""</f>
        <v/>
      </c>
      <c r="BU827" t="str">
        <f>""</f>
        <v/>
      </c>
      <c r="BV827" t="str">
        <f>""</f>
        <v/>
      </c>
      <c r="BW827" t="str">
        <f>"Não visitado"</f>
        <v>Não visitado</v>
      </c>
    </row>
    <row r="828" spans="1:75" x14ac:dyDescent="0.35">
      <c r="A828">
        <v>157677</v>
      </c>
      <c r="B828" t="str">
        <f t="shared" si="394"/>
        <v>A</v>
      </c>
      <c r="C828" t="str">
        <f t="shared" si="395"/>
        <v>80</v>
      </c>
      <c r="D828" t="str">
        <f t="shared" si="417"/>
        <v>11121002</v>
      </c>
      <c r="E828" t="str">
        <f t="shared" si="418"/>
        <v>121002</v>
      </c>
      <c r="F828" t="str">
        <f t="shared" si="419"/>
        <v>CINTHIA NORONHA</v>
      </c>
      <c r="G828" t="str">
        <f>"77889285000198"</f>
        <v>77889285000198</v>
      </c>
      <c r="H828" t="str">
        <f>"0"</f>
        <v>0</v>
      </c>
      <c r="I828" t="str">
        <f t="shared" si="396"/>
        <v>CONTA OPTICA</v>
      </c>
      <c r="J828" t="str">
        <f>"LUIZ CEOLIN ISIDORO ME"</f>
        <v>LUIZ CEOLIN ISIDORO ME</v>
      </c>
      <c r="K828" t="str">
        <f>"LUIZ CEOLIN ISIDORO ME (489)"</f>
        <v>LUIZ CEOLIN ISIDORO ME (489)</v>
      </c>
      <c r="L828" t="str">
        <f>""</f>
        <v/>
      </c>
      <c r="M828" t="str">
        <f>""</f>
        <v/>
      </c>
      <c r="N828" t="str">
        <f>""</f>
        <v/>
      </c>
      <c r="O828" t="str">
        <f>""</f>
        <v/>
      </c>
      <c r="P828" t="str">
        <f>"RUA JOAO JOSE BACK"</f>
        <v>RUA JOAO JOSE BACK</v>
      </c>
      <c r="Q828" t="str">
        <f>"15"</f>
        <v>15</v>
      </c>
      <c r="R828" t="str">
        <f>""</f>
        <v/>
      </c>
      <c r="S828" t="str">
        <f>"1269"</f>
        <v>1269</v>
      </c>
      <c r="T828" t="str">
        <f>"88850000"</f>
        <v>88850000</v>
      </c>
      <c r="U828" t="str">
        <f>"NAO INFORMADO"</f>
        <v>NAO INFORMADO</v>
      </c>
      <c r="V828" t="str">
        <f>"FORQUILHINHA"</f>
        <v>FORQUILHINHA</v>
      </c>
      <c r="W828" t="str">
        <f t="shared" si="413"/>
        <v>SC</v>
      </c>
      <c r="X828" t="str">
        <f t="shared" si="420"/>
        <v>48</v>
      </c>
      <c r="Y828" t="str">
        <f>"34631243"</f>
        <v>34631243</v>
      </c>
      <c r="Z828" t="str">
        <f>""</f>
        <v/>
      </c>
      <c r="AA828" t="str">
        <f>""</f>
        <v/>
      </c>
      <c r="AB828" t="str">
        <f>""</f>
        <v/>
      </c>
      <c r="AC828" t="str">
        <f>""</f>
        <v/>
      </c>
      <c r="AD828" t="str">
        <f>""</f>
        <v/>
      </c>
      <c r="AE828" t="str">
        <f>""</f>
        <v/>
      </c>
      <c r="AF828" t="str">
        <f>""</f>
        <v/>
      </c>
      <c r="AG828" t="str">
        <f>""</f>
        <v/>
      </c>
      <c r="AH828" t="str">
        <f>""</f>
        <v/>
      </c>
      <c r="AI828" t="str">
        <f>""</f>
        <v/>
      </c>
      <c r="AJ828" t="str">
        <f>""</f>
        <v/>
      </c>
      <c r="AK828" t="str">
        <f>""</f>
        <v/>
      </c>
      <c r="AL828" t="str">
        <f>""</f>
        <v/>
      </c>
      <c r="AM828" t="str">
        <f>""</f>
        <v/>
      </c>
      <c r="AN828" t="str">
        <f>""</f>
        <v/>
      </c>
      <c r="AO828" t="str">
        <f>""</f>
        <v/>
      </c>
      <c r="AP828" t="str">
        <f>""</f>
        <v/>
      </c>
      <c r="AQ828" t="str">
        <f>""</f>
        <v/>
      </c>
      <c r="AR828" t="str">
        <f>""</f>
        <v/>
      </c>
      <c r="AS828" t="str">
        <f>""</f>
        <v/>
      </c>
      <c r="AT828" t="str">
        <f>""</f>
        <v/>
      </c>
      <c r="AU828" t="str">
        <f>""</f>
        <v/>
      </c>
      <c r="AV828" t="str">
        <f>""</f>
        <v/>
      </c>
      <c r="AW828" t="str">
        <f>""</f>
        <v/>
      </c>
      <c r="AX828" t="str">
        <f>""</f>
        <v/>
      </c>
      <c r="AY828" t="str">
        <f>""</f>
        <v/>
      </c>
      <c r="AZ828" t="str">
        <f>""</f>
        <v/>
      </c>
      <c r="BA828" t="str">
        <f>""</f>
        <v/>
      </c>
      <c r="BB828" t="str">
        <f>"11/07/2023 02:19:56"</f>
        <v>11/07/2023 02:19:56</v>
      </c>
      <c r="BC828" t="str">
        <f>""</f>
        <v/>
      </c>
      <c r="BD828" t="str">
        <f>""</f>
        <v/>
      </c>
      <c r="BE828" t="str">
        <f>""</f>
        <v/>
      </c>
      <c r="BF828" t="str">
        <f t="shared" si="397"/>
        <v>A</v>
      </c>
      <c r="BG828" t="str">
        <f>""</f>
        <v/>
      </c>
      <c r="BH828" t="str">
        <f>""</f>
        <v/>
      </c>
      <c r="BI828" t="str">
        <f t="shared" si="410"/>
        <v>EVENTUAL</v>
      </c>
      <c r="BJ828" t="str">
        <f t="shared" si="398"/>
        <v>1</v>
      </c>
      <c r="BK828" t="str">
        <f t="shared" si="399"/>
        <v>Farmacia</v>
      </c>
      <c r="BL828" t="str">
        <f>""</f>
        <v/>
      </c>
      <c r="BM828" t="str">
        <f>""</f>
        <v/>
      </c>
      <c r="BN828" t="str">
        <f>""</f>
        <v/>
      </c>
      <c r="BO828" t="str">
        <f>""</f>
        <v/>
      </c>
      <c r="BP828" t="str">
        <f>""</f>
        <v/>
      </c>
      <c r="BQ828" t="str">
        <f>""</f>
        <v/>
      </c>
      <c r="BR828" t="str">
        <f>"11/07/2023"</f>
        <v>11/07/2023</v>
      </c>
      <c r="BS828" t="str">
        <f>""</f>
        <v/>
      </c>
      <c r="BT828" t="str">
        <f>""</f>
        <v/>
      </c>
      <c r="BU828" t="str">
        <f>""</f>
        <v/>
      </c>
      <c r="BV828" t="str">
        <f>""</f>
        <v/>
      </c>
      <c r="BW828" t="str">
        <f>"Não visitado"</f>
        <v>Não visitado</v>
      </c>
    </row>
    <row r="829" spans="1:75" x14ac:dyDescent="0.35">
      <c r="A829">
        <v>316</v>
      </c>
      <c r="B829" t="str">
        <f t="shared" si="394"/>
        <v>A</v>
      </c>
      <c r="C829" t="str">
        <f t="shared" si="395"/>
        <v>80</v>
      </c>
      <c r="D829" t="str">
        <f t="shared" si="417"/>
        <v>11121002</v>
      </c>
      <c r="E829" t="str">
        <f t="shared" si="418"/>
        <v>121002</v>
      </c>
      <c r="F829" t="str">
        <f t="shared" si="419"/>
        <v>CINTHIA NORONHA</v>
      </c>
      <c r="G829" t="str">
        <f>"01693482000175"</f>
        <v>01693482000175</v>
      </c>
      <c r="H829" t="str">
        <f>""</f>
        <v/>
      </c>
      <c r="I829" t="str">
        <f t="shared" si="396"/>
        <v>CONTA OPTICA</v>
      </c>
      <c r="J829" t="str">
        <f>"LUIZ FABIANO DA SILVA ME"</f>
        <v>LUIZ FABIANO DA SILVA ME</v>
      </c>
      <c r="K829" t="str">
        <f>"OTICA JERONIMO COELHO (1071)"</f>
        <v>OTICA JERONIMO COELHO (1071)</v>
      </c>
      <c r="L829" t="str">
        <f>""</f>
        <v/>
      </c>
      <c r="M829" t="str">
        <f>""</f>
        <v/>
      </c>
      <c r="N829" t="str">
        <f>"oticajeronimocoelho@gmail.com"</f>
        <v>oticajeronimocoelho@gmail.com</v>
      </c>
      <c r="O829" t="str">
        <f>""</f>
        <v/>
      </c>
      <c r="P829" t="str">
        <f>"RUA JERONIMO COELHO"</f>
        <v>RUA JERONIMO COELHO</v>
      </c>
      <c r="Q829" t="str">
        <f>"393"</f>
        <v>393</v>
      </c>
      <c r="R829" t="str">
        <f>""</f>
        <v/>
      </c>
      <c r="S829" t="str">
        <f>"1254"</f>
        <v>1254</v>
      </c>
      <c r="T829" t="str">
        <f>"88010030"</f>
        <v>88010030</v>
      </c>
      <c r="U829" t="str">
        <f>"CENTRO"</f>
        <v>CENTRO</v>
      </c>
      <c r="V829" t="str">
        <f>"FLORIANÓPOLIS"</f>
        <v>FLORIANÓPOLIS</v>
      </c>
      <c r="W829" t="str">
        <f t="shared" si="413"/>
        <v>SC</v>
      </c>
      <c r="X829" t="str">
        <f t="shared" si="420"/>
        <v>48</v>
      </c>
      <c r="Y829" t="str">
        <f>"32234741"</f>
        <v>32234741</v>
      </c>
      <c r="Z829" t="str">
        <f>""</f>
        <v/>
      </c>
      <c r="AA829" t="str">
        <f>""</f>
        <v/>
      </c>
      <c r="AB829" t="str">
        <f>""</f>
        <v/>
      </c>
      <c r="AC829" t="str">
        <f>""</f>
        <v/>
      </c>
      <c r="AD829" t="str">
        <f>""</f>
        <v/>
      </c>
      <c r="AE829" t="str">
        <f>""</f>
        <v/>
      </c>
      <c r="AF829" t="str">
        <f>""</f>
        <v/>
      </c>
      <c r="AG829" t="str">
        <f>""</f>
        <v/>
      </c>
      <c r="AH829" t="str">
        <f>""</f>
        <v/>
      </c>
      <c r="AI829" t="str">
        <f>""</f>
        <v/>
      </c>
      <c r="AJ829" t="str">
        <f t="shared" ref="AJ829:AL830" si="421">"0"</f>
        <v>0</v>
      </c>
      <c r="AK829" t="str">
        <f t="shared" si="421"/>
        <v>0</v>
      </c>
      <c r="AL829" t="str">
        <f t="shared" si="421"/>
        <v>0</v>
      </c>
      <c r="AM829" t="str">
        <f>""</f>
        <v/>
      </c>
      <c r="AN829" t="str">
        <f>""</f>
        <v/>
      </c>
      <c r="AO829" t="str">
        <f>""</f>
        <v/>
      </c>
      <c r="AP829" t="str">
        <f>""</f>
        <v/>
      </c>
      <c r="AQ829" t="str">
        <f>""</f>
        <v/>
      </c>
      <c r="AR829" t="str">
        <f>""</f>
        <v/>
      </c>
      <c r="AS829" t="str">
        <f>""</f>
        <v/>
      </c>
      <c r="AT829" t="str">
        <f>""</f>
        <v/>
      </c>
      <c r="AU829" t="str">
        <f>""</f>
        <v/>
      </c>
      <c r="AV829" t="str">
        <f>""</f>
        <v/>
      </c>
      <c r="AW829" t="str">
        <f>""</f>
        <v/>
      </c>
      <c r="AX829" t="str">
        <f>""</f>
        <v/>
      </c>
      <c r="AY829" t="str">
        <f>""</f>
        <v/>
      </c>
      <c r="AZ829" t="str">
        <f>""</f>
        <v/>
      </c>
      <c r="BA829" t="str">
        <f>""</f>
        <v/>
      </c>
      <c r="BB829" t="str">
        <f>"27/07/2018 09:25:37"</f>
        <v>27/07/2018 09:25:37</v>
      </c>
      <c r="BC829" t="str">
        <f>""</f>
        <v/>
      </c>
      <c r="BD829" t="str">
        <f>""</f>
        <v/>
      </c>
      <c r="BE829" t="str">
        <f>"316"</f>
        <v>316</v>
      </c>
      <c r="BF829" t="str">
        <f t="shared" si="397"/>
        <v>A</v>
      </c>
      <c r="BG829" t="str">
        <f>"0,00"</f>
        <v>0,00</v>
      </c>
      <c r="BH829" t="str">
        <f>"0,00"</f>
        <v>0,00</v>
      </c>
      <c r="BI829" t="str">
        <f t="shared" si="410"/>
        <v>EVENTUAL</v>
      </c>
      <c r="BJ829" t="str">
        <f t="shared" si="398"/>
        <v>1</v>
      </c>
      <c r="BK829" t="str">
        <f t="shared" si="399"/>
        <v>Farmacia</v>
      </c>
      <c r="BL829" t="str">
        <f>""</f>
        <v/>
      </c>
      <c r="BM829" t="str">
        <f>"NÃO É VARILUX ESPECIALISTA"</f>
        <v>NÃO É VARILUX ESPECIALISTA</v>
      </c>
      <c r="BN829" t="str">
        <f>"EL360"</f>
        <v>EL360</v>
      </c>
      <c r="BO829" t="str">
        <f>"FOCO VARILUX"</f>
        <v>FOCO VARILUX</v>
      </c>
      <c r="BP829" t="str">
        <f>""</f>
        <v/>
      </c>
      <c r="BQ829" t="str">
        <f>""</f>
        <v/>
      </c>
      <c r="BR829" t="str">
        <f>"27/07/2018"</f>
        <v>27/07/2018</v>
      </c>
      <c r="BS829" t="str">
        <f>""</f>
        <v/>
      </c>
      <c r="BT829" t="str">
        <f>""</f>
        <v/>
      </c>
      <c r="BU829" t="str">
        <f>""</f>
        <v/>
      </c>
      <c r="BV829" t="str">
        <f>"3"</f>
        <v>3</v>
      </c>
      <c r="BW829" t="str">
        <f>"Não visitado"</f>
        <v>Não visitado</v>
      </c>
    </row>
    <row r="830" spans="1:75" x14ac:dyDescent="0.35">
      <c r="A830">
        <v>144327</v>
      </c>
      <c r="B830" t="str">
        <f t="shared" si="394"/>
        <v>A</v>
      </c>
      <c r="C830" t="str">
        <f t="shared" si="395"/>
        <v>80</v>
      </c>
      <c r="D830" t="str">
        <f t="shared" si="417"/>
        <v>11121002</v>
      </c>
      <c r="E830" t="str">
        <f t="shared" si="418"/>
        <v>121002</v>
      </c>
      <c r="F830" t="str">
        <f t="shared" si="419"/>
        <v>CINTHIA NORONHA</v>
      </c>
      <c r="G830" t="str">
        <f>"10977366000179"</f>
        <v>10977366000179</v>
      </c>
      <c r="H830" t="str">
        <f>""</f>
        <v/>
      </c>
      <c r="I830" t="str">
        <f t="shared" si="396"/>
        <v>CONTA OPTICA</v>
      </c>
      <c r="J830" t="str">
        <f>"LUMA JOALHERIA RELOJOARIA E OPTICA LTDA ME"</f>
        <v>LUMA JOALHERIA RELOJOARIA E OPTICA LTDA ME</v>
      </c>
      <c r="K830" t="str">
        <f>"MEGA OPTICA (2063)"</f>
        <v>MEGA OPTICA (2063)</v>
      </c>
      <c r="L830" t="str">
        <f>""</f>
        <v/>
      </c>
      <c r="M830" t="str">
        <f>""</f>
        <v/>
      </c>
      <c r="N830" t="str">
        <f>"mery@megacristal.com.br"</f>
        <v>mery@megacristal.com.br</v>
      </c>
      <c r="O830" t="str">
        <f>""</f>
        <v/>
      </c>
      <c r="P830" t="str">
        <f>"AVENIDA MARCOLINO MARTINS CABRAL"</f>
        <v>AVENIDA MARCOLINO MARTINS CABRAL</v>
      </c>
      <c r="Q830" t="str">
        <f>"1935"</f>
        <v>1935</v>
      </c>
      <c r="R830" t="str">
        <f>""</f>
        <v/>
      </c>
      <c r="S830" t="str">
        <f>"1268"</f>
        <v>1268</v>
      </c>
      <c r="T830" t="str">
        <f>"88705001"</f>
        <v>88705001</v>
      </c>
      <c r="U830" t="str">
        <f>"VILA MOEMA"</f>
        <v>VILA MOEMA</v>
      </c>
      <c r="V830" t="str">
        <f>"TUBARÃO"</f>
        <v>TUBARÃO</v>
      </c>
      <c r="W830" t="str">
        <f t="shared" si="413"/>
        <v>SC</v>
      </c>
      <c r="X830" t="str">
        <f t="shared" si="420"/>
        <v>48</v>
      </c>
      <c r="Y830" t="str">
        <f>"36266766"</f>
        <v>36266766</v>
      </c>
      <c r="Z830" t="str">
        <f>""</f>
        <v/>
      </c>
      <c r="AA830" t="str">
        <f>""</f>
        <v/>
      </c>
      <c r="AB830" t="str">
        <f>""</f>
        <v/>
      </c>
      <c r="AC830" t="str">
        <f>""</f>
        <v/>
      </c>
      <c r="AD830" t="str">
        <f>""</f>
        <v/>
      </c>
      <c r="AE830" t="str">
        <f>""</f>
        <v/>
      </c>
      <c r="AF830" t="str">
        <f>""</f>
        <v/>
      </c>
      <c r="AG830" t="str">
        <f>"S"</f>
        <v>S</v>
      </c>
      <c r="AH830" t="str">
        <f>""</f>
        <v/>
      </c>
      <c r="AI830" t="str">
        <f>""</f>
        <v/>
      </c>
      <c r="AJ830" t="str">
        <f t="shared" si="421"/>
        <v>0</v>
      </c>
      <c r="AK830" t="str">
        <f t="shared" si="421"/>
        <v>0</v>
      </c>
      <c r="AL830" t="str">
        <f t="shared" si="421"/>
        <v>0</v>
      </c>
      <c r="AM830" t="str">
        <f>""</f>
        <v/>
      </c>
      <c r="AN830" t="str">
        <f>""</f>
        <v/>
      </c>
      <c r="AO830" t="str">
        <f>""</f>
        <v/>
      </c>
      <c r="AP830" t="str">
        <f>""</f>
        <v/>
      </c>
      <c r="AQ830" t="str">
        <f t="shared" ref="AQ830:AU831" si="422">"N"</f>
        <v>N</v>
      </c>
      <c r="AR830" t="str">
        <f t="shared" si="422"/>
        <v>N</v>
      </c>
      <c r="AS830" t="str">
        <f t="shared" si="422"/>
        <v>N</v>
      </c>
      <c r="AT830" t="str">
        <f t="shared" si="422"/>
        <v>N</v>
      </c>
      <c r="AU830" t="str">
        <f t="shared" si="422"/>
        <v>N</v>
      </c>
      <c r="AV830" t="str">
        <f>""</f>
        <v/>
      </c>
      <c r="AW830" t="str">
        <f>""</f>
        <v/>
      </c>
      <c r="AX830" t="str">
        <f>""</f>
        <v/>
      </c>
      <c r="AY830" t="str">
        <f>""</f>
        <v/>
      </c>
      <c r="AZ830" t="str">
        <f>""</f>
        <v/>
      </c>
      <c r="BA830" t="str">
        <f>""</f>
        <v/>
      </c>
      <c r="BB830" t="str">
        <f>""</f>
        <v/>
      </c>
      <c r="BC830" t="str">
        <f>"11/07/2023 08:16:59"</f>
        <v>11/07/2023 08:16:59</v>
      </c>
      <c r="BD830" t="str">
        <f>""</f>
        <v/>
      </c>
      <c r="BE830" t="str">
        <f>""</f>
        <v/>
      </c>
      <c r="BF830" t="str">
        <f t="shared" si="397"/>
        <v>A</v>
      </c>
      <c r="BG830" t="str">
        <f>"0,00"</f>
        <v>0,00</v>
      </c>
      <c r="BH830" t="str">
        <f>"0,00"</f>
        <v>0,00</v>
      </c>
      <c r="BI830" t="str">
        <f t="shared" si="410"/>
        <v>EVENTUAL</v>
      </c>
      <c r="BJ830" t="str">
        <f t="shared" si="398"/>
        <v>1</v>
      </c>
      <c r="BK830" t="str">
        <f t="shared" si="399"/>
        <v>Farmacia</v>
      </c>
      <c r="BL830" t="str">
        <f>""</f>
        <v/>
      </c>
      <c r="BM830" t="str">
        <f>"NÃO É VARILUX ESPECIALISTA"</f>
        <v>NÃO É VARILUX ESPECIALISTA</v>
      </c>
      <c r="BN830" t="str">
        <f>"NA"</f>
        <v>NA</v>
      </c>
      <c r="BO830" t="str">
        <f>"FOCO KODAK 2"</f>
        <v>FOCO KODAK 2</v>
      </c>
      <c r="BP830" t="str">
        <f>""</f>
        <v/>
      </c>
      <c r="BQ830" t="str">
        <f>""</f>
        <v/>
      </c>
      <c r="BR830" t="str">
        <f>""</f>
        <v/>
      </c>
      <c r="BS830" t="str">
        <f>"11/07/2023"</f>
        <v>11/07/2023</v>
      </c>
      <c r="BT830" t="str">
        <f>""</f>
        <v/>
      </c>
      <c r="BU830" t="str">
        <f>""</f>
        <v/>
      </c>
      <c r="BV830" t="str">
        <f>"9"</f>
        <v>9</v>
      </c>
      <c r="BW830" t="str">
        <f>"86"</f>
        <v>86</v>
      </c>
    </row>
    <row r="831" spans="1:75" x14ac:dyDescent="0.35">
      <c r="A831">
        <v>144180</v>
      </c>
      <c r="B831" t="str">
        <f t="shared" si="394"/>
        <v>A</v>
      </c>
      <c r="C831" t="str">
        <f t="shared" si="395"/>
        <v>80</v>
      </c>
      <c r="D831" t="str">
        <f t="shared" si="417"/>
        <v>11121002</v>
      </c>
      <c r="E831" t="str">
        <f t="shared" si="418"/>
        <v>121002</v>
      </c>
      <c r="F831" t="str">
        <f t="shared" si="419"/>
        <v>CINTHIA NORONHA</v>
      </c>
      <c r="G831" t="str">
        <f>"43698496000121"</f>
        <v>43698496000121</v>
      </c>
      <c r="H831" t="str">
        <f>"0"</f>
        <v>0</v>
      </c>
      <c r="I831" t="str">
        <f t="shared" si="396"/>
        <v>CONTA OPTICA</v>
      </c>
      <c r="J831" t="str">
        <f>"LUNAH ACESSORIOS DE MODA LTDA"</f>
        <v>LUNAH ACESSORIOS DE MODA LTDA</v>
      </c>
      <c r="K831" t="str">
        <f>"CHILLI BEANS (4419)"</f>
        <v>CHILLI BEANS (4419)</v>
      </c>
      <c r="L831" t="str">
        <f>""</f>
        <v/>
      </c>
      <c r="M831" t="str">
        <f>""</f>
        <v/>
      </c>
      <c r="N831" t="str">
        <f>"CONTASPAGAR.ESTRELA@GMAIL.COM"</f>
        <v>CONTASPAGAR.ESTRELA@GMAIL.COM</v>
      </c>
      <c r="O831" t="str">
        <f>""</f>
        <v/>
      </c>
      <c r="P831" t="str">
        <f>"RUA FELIPE SCHIMIDT"</f>
        <v>RUA FELIPE SCHIMIDT</v>
      </c>
      <c r="Q831" t="str">
        <f>"367"</f>
        <v>367</v>
      </c>
      <c r="R831" t="str">
        <f>""</f>
        <v/>
      </c>
      <c r="S831" t="str">
        <f>"1254"</f>
        <v>1254</v>
      </c>
      <c r="T831" t="str">
        <f>"88010000"</f>
        <v>88010000</v>
      </c>
      <c r="U831" t="str">
        <f>"CENTRO"</f>
        <v>CENTRO</v>
      </c>
      <c r="V831" t="str">
        <f>"FLORIANÓPOLIS"</f>
        <v>FLORIANÓPOLIS</v>
      </c>
      <c r="W831" t="str">
        <f t="shared" si="413"/>
        <v>SC</v>
      </c>
      <c r="X831" t="str">
        <f t="shared" si="420"/>
        <v>48</v>
      </c>
      <c r="Y831" t="str">
        <f>"999490521"</f>
        <v>999490521</v>
      </c>
      <c r="Z831" t="str">
        <f>""</f>
        <v/>
      </c>
      <c r="AA831" t="str">
        <f>""</f>
        <v/>
      </c>
      <c r="AB831" t="str">
        <f>""</f>
        <v/>
      </c>
      <c r="AC831" t="str">
        <f>""</f>
        <v/>
      </c>
      <c r="AD831" t="str">
        <f>""</f>
        <v/>
      </c>
      <c r="AE831" t="str">
        <f>""</f>
        <v/>
      </c>
      <c r="AF831" t="str">
        <f>""</f>
        <v/>
      </c>
      <c r="AG831" t="str">
        <f>"S"</f>
        <v>S</v>
      </c>
      <c r="AH831" t="str">
        <f>""</f>
        <v/>
      </c>
      <c r="AI831" t="str">
        <f>""</f>
        <v/>
      </c>
      <c r="AJ831" t="str">
        <f>""</f>
        <v/>
      </c>
      <c r="AK831" t="str">
        <f>""</f>
        <v/>
      </c>
      <c r="AL831" t="str">
        <f>""</f>
        <v/>
      </c>
      <c r="AM831" t="str">
        <f>""</f>
        <v/>
      </c>
      <c r="AN831" t="str">
        <f>""</f>
        <v/>
      </c>
      <c r="AO831" t="str">
        <f>""</f>
        <v/>
      </c>
      <c r="AP831" t="str">
        <f>""</f>
        <v/>
      </c>
      <c r="AQ831" t="str">
        <f t="shared" si="422"/>
        <v>N</v>
      </c>
      <c r="AR831" t="str">
        <f t="shared" si="422"/>
        <v>N</v>
      </c>
      <c r="AS831" t="str">
        <f t="shared" si="422"/>
        <v>N</v>
      </c>
      <c r="AT831" t="str">
        <f t="shared" si="422"/>
        <v>N</v>
      </c>
      <c r="AU831" t="str">
        <f t="shared" si="422"/>
        <v>N</v>
      </c>
      <c r="AV831" t="str">
        <f>""</f>
        <v/>
      </c>
      <c r="AW831" t="str">
        <f>""</f>
        <v/>
      </c>
      <c r="AX831" t="str">
        <f>""</f>
        <v/>
      </c>
      <c r="AY831" t="str">
        <f>""</f>
        <v/>
      </c>
      <c r="AZ831" t="str">
        <f>""</f>
        <v/>
      </c>
      <c r="BA831" t="str">
        <f>""</f>
        <v/>
      </c>
      <c r="BB831" t="str">
        <f>"26/11/2021 14:59:30"</f>
        <v>26/11/2021 14:59:30</v>
      </c>
      <c r="BC831" t="str">
        <f>"27/12/2021 14:43:19"</f>
        <v>27/12/2021 14:43:19</v>
      </c>
      <c r="BD831" t="str">
        <f>""</f>
        <v/>
      </c>
      <c r="BE831" t="str">
        <f>""</f>
        <v/>
      </c>
      <c r="BF831" t="str">
        <f t="shared" si="397"/>
        <v>A</v>
      </c>
      <c r="BG831" t="str">
        <f>""</f>
        <v/>
      </c>
      <c r="BH831" t="str">
        <f>"0,00"</f>
        <v>0,00</v>
      </c>
      <c r="BI831" t="str">
        <f t="shared" si="410"/>
        <v>EVENTUAL</v>
      </c>
      <c r="BJ831" t="str">
        <f t="shared" si="398"/>
        <v>1</v>
      </c>
      <c r="BK831" t="str">
        <f t="shared" si="399"/>
        <v>Farmacia</v>
      </c>
      <c r="BL831" t="str">
        <f>""</f>
        <v/>
      </c>
      <c r="BM831" t="str">
        <f>""</f>
        <v/>
      </c>
      <c r="BN831" t="str">
        <f>""</f>
        <v/>
      </c>
      <c r="BO831" t="str">
        <f>"FOCO KODAK 2"</f>
        <v>FOCO KODAK 2</v>
      </c>
      <c r="BP831" t="str">
        <f>""</f>
        <v/>
      </c>
      <c r="BQ831" t="str">
        <f>""</f>
        <v/>
      </c>
      <c r="BR831" t="str">
        <f>"26/11/2021"</f>
        <v>26/11/2021</v>
      </c>
      <c r="BS831" t="str">
        <f>"27/12/2021"</f>
        <v>27/12/2021</v>
      </c>
      <c r="BT831" t="str">
        <f>""</f>
        <v/>
      </c>
      <c r="BU831" t="str">
        <f>""</f>
        <v/>
      </c>
      <c r="BV831" t="str">
        <f>""</f>
        <v/>
      </c>
      <c r="BW831" t="str">
        <f>"360"</f>
        <v>360</v>
      </c>
    </row>
    <row r="832" spans="1:75" x14ac:dyDescent="0.35">
      <c r="A832">
        <v>156918</v>
      </c>
      <c r="B832" t="str">
        <f t="shared" si="394"/>
        <v>A</v>
      </c>
      <c r="C832" t="str">
        <f t="shared" si="395"/>
        <v>80</v>
      </c>
      <c r="D832" t="str">
        <f t="shared" si="417"/>
        <v>11121002</v>
      </c>
      <c r="E832" t="str">
        <f t="shared" si="418"/>
        <v>121002</v>
      </c>
      <c r="F832" t="str">
        <f t="shared" si="419"/>
        <v>CINTHIA NORONHA</v>
      </c>
      <c r="G832" t="str">
        <f>"44511495000199"</f>
        <v>44511495000199</v>
      </c>
      <c r="H832" t="str">
        <f>"0"</f>
        <v>0</v>
      </c>
      <c r="I832" t="str">
        <f t="shared" si="396"/>
        <v>CONTA OPTICA</v>
      </c>
      <c r="J832" t="str">
        <f>"M.A OPTICA LTDA"</f>
        <v>M.A OPTICA LTDA</v>
      </c>
      <c r="K832" t="str">
        <f>"MERCADAO DOS OCULOS (4477)"</f>
        <v>MERCADAO DOS OCULOS (4477)</v>
      </c>
      <c r="L832" t="str">
        <f>""</f>
        <v/>
      </c>
      <c r="M832" t="str">
        <f>""</f>
        <v/>
      </c>
      <c r="N832" t="str">
        <f>"ALINE.V@OUTLOOK.COM"</f>
        <v>ALINE.V@OUTLOOK.COM</v>
      </c>
      <c r="O832" t="str">
        <f>""</f>
        <v/>
      </c>
      <c r="P832" t="str">
        <f>"GETULIO VARGAS"</f>
        <v>GETULIO VARGAS</v>
      </c>
      <c r="Q832" t="str">
        <f>"550"</f>
        <v>550</v>
      </c>
      <c r="R832" t="str">
        <f>"SALA 01"</f>
        <v>SALA 01</v>
      </c>
      <c r="S832" t="str">
        <f>"1270"</f>
        <v>1270</v>
      </c>
      <c r="T832" t="str">
        <f>"88960000"</f>
        <v>88960000</v>
      </c>
      <c r="U832" t="str">
        <f>"CENTRO"</f>
        <v>CENTRO</v>
      </c>
      <c r="V832" t="str">
        <f>"SOMBRIO"</f>
        <v>SOMBRIO</v>
      </c>
      <c r="W832" t="str">
        <f t="shared" si="413"/>
        <v>SC</v>
      </c>
      <c r="X832" t="str">
        <f t="shared" si="420"/>
        <v>48</v>
      </c>
      <c r="Y832" t="str">
        <f>"35122363"</f>
        <v>35122363</v>
      </c>
      <c r="Z832" t="str">
        <f>""</f>
        <v/>
      </c>
      <c r="AA832" t="str">
        <f>""</f>
        <v/>
      </c>
      <c r="AB832" t="str">
        <f>""</f>
        <v/>
      </c>
      <c r="AC832" t="str">
        <f>""</f>
        <v/>
      </c>
      <c r="AD832" t="str">
        <f>""</f>
        <v/>
      </c>
      <c r="AE832" t="str">
        <f>""</f>
        <v/>
      </c>
      <c r="AF832" t="str">
        <f>""</f>
        <v/>
      </c>
      <c r="AG832" t="str">
        <f>""</f>
        <v/>
      </c>
      <c r="AH832" t="str">
        <f>""</f>
        <v/>
      </c>
      <c r="AI832" t="str">
        <f>""</f>
        <v/>
      </c>
      <c r="AJ832" t="str">
        <f>""</f>
        <v/>
      </c>
      <c r="AK832" t="str">
        <f>""</f>
        <v/>
      </c>
      <c r="AL832" t="str">
        <f>""</f>
        <v/>
      </c>
      <c r="AM832" t="str">
        <f>""</f>
        <v/>
      </c>
      <c r="AN832" t="str">
        <f>""</f>
        <v/>
      </c>
      <c r="AO832" t="str">
        <f>""</f>
        <v/>
      </c>
      <c r="AP832" t="str">
        <f>""</f>
        <v/>
      </c>
      <c r="AQ832" t="str">
        <f>""</f>
        <v/>
      </c>
      <c r="AR832" t="str">
        <f>""</f>
        <v/>
      </c>
      <c r="AS832" t="str">
        <f>""</f>
        <v/>
      </c>
      <c r="AT832" t="str">
        <f>""</f>
        <v/>
      </c>
      <c r="AU832" t="str">
        <f>""</f>
        <v/>
      </c>
      <c r="AV832" t="str">
        <f>""</f>
        <v/>
      </c>
      <c r="AW832" t="str">
        <f>""</f>
        <v/>
      </c>
      <c r="AX832" t="str">
        <f>""</f>
        <v/>
      </c>
      <c r="AY832" t="str">
        <f>""</f>
        <v/>
      </c>
      <c r="AZ832" t="str">
        <f>""</f>
        <v/>
      </c>
      <c r="BA832" t="str">
        <f>""</f>
        <v/>
      </c>
      <c r="BB832" t="str">
        <f>"06/07/2023 12:07:48"</f>
        <v>06/07/2023 12:07:48</v>
      </c>
      <c r="BC832" t="str">
        <f>""</f>
        <v/>
      </c>
      <c r="BD832" t="str">
        <f>""</f>
        <v/>
      </c>
      <c r="BE832" t="str">
        <f>""</f>
        <v/>
      </c>
      <c r="BF832" t="str">
        <f t="shared" si="397"/>
        <v>A</v>
      </c>
      <c r="BG832" t="str">
        <f>""</f>
        <v/>
      </c>
      <c r="BH832" t="str">
        <f>""</f>
        <v/>
      </c>
      <c r="BI832" t="str">
        <f t="shared" si="410"/>
        <v>EVENTUAL</v>
      </c>
      <c r="BJ832" t="str">
        <f t="shared" si="398"/>
        <v>1</v>
      </c>
      <c r="BK832" t="str">
        <f t="shared" si="399"/>
        <v>Farmacia</v>
      </c>
      <c r="BL832" t="str">
        <f>""</f>
        <v/>
      </c>
      <c r="BM832" t="str">
        <f>""</f>
        <v/>
      </c>
      <c r="BN832" t="str">
        <f>""</f>
        <v/>
      </c>
      <c r="BO832" t="str">
        <f>""</f>
        <v/>
      </c>
      <c r="BP832" t="str">
        <f>""</f>
        <v/>
      </c>
      <c r="BQ832" t="str">
        <f>""</f>
        <v/>
      </c>
      <c r="BR832" t="str">
        <f>"06/07/2023"</f>
        <v>06/07/2023</v>
      </c>
      <c r="BS832" t="str">
        <f>""</f>
        <v/>
      </c>
      <c r="BT832" t="str">
        <f>""</f>
        <v/>
      </c>
      <c r="BU832" t="str">
        <f>""</f>
        <v/>
      </c>
      <c r="BV832" t="str">
        <f>""</f>
        <v/>
      </c>
      <c r="BW832" t="str">
        <f>"Não visitado"</f>
        <v>Não visitado</v>
      </c>
    </row>
    <row r="833" spans="1:75" x14ac:dyDescent="0.35">
      <c r="A833">
        <v>158702</v>
      </c>
      <c r="B833" t="str">
        <f t="shared" si="394"/>
        <v>A</v>
      </c>
      <c r="C833" t="str">
        <f t="shared" si="395"/>
        <v>80</v>
      </c>
      <c r="D833" t="str">
        <f t="shared" si="417"/>
        <v>11121002</v>
      </c>
      <c r="E833" t="str">
        <f t="shared" si="418"/>
        <v>121002</v>
      </c>
      <c r="F833" t="str">
        <f t="shared" si="419"/>
        <v>CINTHIA NORONHA</v>
      </c>
      <c r="G833" t="str">
        <f>"50454900000187"</f>
        <v>50454900000187</v>
      </c>
      <c r="H833" t="str">
        <f>""</f>
        <v/>
      </c>
      <c r="I833" t="str">
        <f t="shared" si="396"/>
        <v>CONTA OPTICA</v>
      </c>
      <c r="J833" t="str">
        <f>"MADERS OTICA E JOALHERIA LTDA"</f>
        <v>MADERS OTICA E JOALHERIA LTDA</v>
      </c>
      <c r="K833" t="str">
        <f>"QUEVEDO (4740)"</f>
        <v>QUEVEDO (4740)</v>
      </c>
      <c r="L833" t="str">
        <f>""</f>
        <v/>
      </c>
      <c r="M833" t="str">
        <f>""</f>
        <v/>
      </c>
      <c r="N833" t="str">
        <f>"MADERS.INGLESES@GMAIL.COM"</f>
        <v>MADERS.INGLESES@GMAIL.COM</v>
      </c>
      <c r="O833" t="str">
        <f>""</f>
        <v/>
      </c>
      <c r="P833" t="str">
        <f>"RUA INTENDENTE JOAO NUNES VIERA"</f>
        <v>RUA INTENDENTE JOAO NUNES VIERA</v>
      </c>
      <c r="Q833" t="str">
        <f>"1025"</f>
        <v>1025</v>
      </c>
      <c r="R833" t="str">
        <f>"LOJA 02"</f>
        <v>LOJA 02</v>
      </c>
      <c r="S833" t="str">
        <f>"1257"</f>
        <v>1257</v>
      </c>
      <c r="T833" t="str">
        <f>"88058100"</f>
        <v>88058100</v>
      </c>
      <c r="U833" t="str">
        <f>"INGLESES DO RIO VERMELHO"</f>
        <v>INGLESES DO RIO VERMELHO</v>
      </c>
      <c r="V833" t="str">
        <f>"FLORIANOPOLIS"</f>
        <v>FLORIANOPOLIS</v>
      </c>
      <c r="W833" t="str">
        <f t="shared" si="413"/>
        <v>SC</v>
      </c>
      <c r="X833" t="str">
        <f t="shared" si="420"/>
        <v>48</v>
      </c>
      <c r="Y833" t="str">
        <f>"996266055"</f>
        <v>996266055</v>
      </c>
      <c r="Z833" t="str">
        <f>""</f>
        <v/>
      </c>
      <c r="AA833" t="str">
        <f>""</f>
        <v/>
      </c>
      <c r="AB833" t="str">
        <f>""</f>
        <v/>
      </c>
      <c r="AC833" t="str">
        <f>""</f>
        <v/>
      </c>
      <c r="AD833" t="str">
        <f>""</f>
        <v/>
      </c>
      <c r="AE833" t="str">
        <f>""</f>
        <v/>
      </c>
      <c r="AF833" t="str">
        <f>""</f>
        <v/>
      </c>
      <c r="AG833" t="str">
        <f>""</f>
        <v/>
      </c>
      <c r="AH833" t="str">
        <f>""</f>
        <v/>
      </c>
      <c r="AI833" t="str">
        <f>""</f>
        <v/>
      </c>
      <c r="AJ833" t="str">
        <f>""</f>
        <v/>
      </c>
      <c r="AK833" t="str">
        <f>""</f>
        <v/>
      </c>
      <c r="AL833" t="str">
        <f>""</f>
        <v/>
      </c>
      <c r="AM833" t="str">
        <f>""</f>
        <v/>
      </c>
      <c r="AN833" t="str">
        <f>""</f>
        <v/>
      </c>
      <c r="AO833" t="str">
        <f>""</f>
        <v/>
      </c>
      <c r="AP833" t="str">
        <f>""</f>
        <v/>
      </c>
      <c r="AQ833" t="str">
        <f>""</f>
        <v/>
      </c>
      <c r="AR833" t="str">
        <f>""</f>
        <v/>
      </c>
      <c r="AS833" t="str">
        <f>""</f>
        <v/>
      </c>
      <c r="AT833" t="str">
        <f>""</f>
        <v/>
      </c>
      <c r="AU833" t="str">
        <f>""</f>
        <v/>
      </c>
      <c r="AV833" t="str">
        <f>""</f>
        <v/>
      </c>
      <c r="AW833" t="str">
        <f>""</f>
        <v/>
      </c>
      <c r="AX833" t="str">
        <f>""</f>
        <v/>
      </c>
      <c r="AY833" t="str">
        <f>""</f>
        <v/>
      </c>
      <c r="AZ833" t="str">
        <f>""</f>
        <v/>
      </c>
      <c r="BA833" t="str">
        <f>""</f>
        <v/>
      </c>
      <c r="BB833" t="str">
        <f>"17/08/2023 16:48:06"</f>
        <v>17/08/2023 16:48:06</v>
      </c>
      <c r="BC833" t="str">
        <f>""</f>
        <v/>
      </c>
      <c r="BD833" t="str">
        <f>""</f>
        <v/>
      </c>
      <c r="BE833" t="str">
        <f>""</f>
        <v/>
      </c>
      <c r="BF833" t="str">
        <f t="shared" si="397"/>
        <v>A</v>
      </c>
      <c r="BG833" t="str">
        <f>""</f>
        <v/>
      </c>
      <c r="BH833" t="str">
        <f>""</f>
        <v/>
      </c>
      <c r="BI833" t="str">
        <f t="shared" si="410"/>
        <v>EVENTUAL</v>
      </c>
      <c r="BJ833" t="str">
        <f t="shared" si="398"/>
        <v>1</v>
      </c>
      <c r="BK833" t="str">
        <f t="shared" si="399"/>
        <v>Farmacia</v>
      </c>
      <c r="BL833" t="str">
        <f>""</f>
        <v/>
      </c>
      <c r="BM833" t="str">
        <f>""</f>
        <v/>
      </c>
      <c r="BN833" t="str">
        <f>""</f>
        <v/>
      </c>
      <c r="BO833" t="str">
        <f>""</f>
        <v/>
      </c>
      <c r="BP833" t="str">
        <f>""</f>
        <v/>
      </c>
      <c r="BQ833" t="str">
        <f>""</f>
        <v/>
      </c>
      <c r="BR833" t="str">
        <f>"17/08/2023"</f>
        <v>17/08/2023</v>
      </c>
      <c r="BS833" t="str">
        <f>""</f>
        <v/>
      </c>
      <c r="BT833" t="str">
        <f>""</f>
        <v/>
      </c>
      <c r="BU833" t="str">
        <f>""</f>
        <v/>
      </c>
      <c r="BV833" t="str">
        <f>""</f>
        <v/>
      </c>
      <c r="BW833" t="str">
        <f>"Não visitado"</f>
        <v>Não visitado</v>
      </c>
    </row>
    <row r="834" spans="1:75" x14ac:dyDescent="0.35">
      <c r="A834">
        <v>156886</v>
      </c>
      <c r="B834" t="str">
        <f t="shared" ref="B834:B897" si="423">"A"</f>
        <v>A</v>
      </c>
      <c r="C834" t="str">
        <f t="shared" ref="C834:C897" si="424">"80"</f>
        <v>80</v>
      </c>
      <c r="D834" t="str">
        <f t="shared" si="417"/>
        <v>11121002</v>
      </c>
      <c r="E834" t="str">
        <f t="shared" si="418"/>
        <v>121002</v>
      </c>
      <c r="F834" t="str">
        <f t="shared" si="419"/>
        <v>CINTHIA NORONHA</v>
      </c>
      <c r="G834" t="str">
        <f>"21940791000100"</f>
        <v>21940791000100</v>
      </c>
      <c r="H834" t="str">
        <f>"0"</f>
        <v>0</v>
      </c>
      <c r="I834" t="str">
        <f t="shared" ref="I834:I897" si="425">"CONTA OPTICA"</f>
        <v>CONTA OPTICA</v>
      </c>
      <c r="J834" t="str">
        <f>"MADREPEROLA COMERCIO DE JOIAS E OTICA LTDA EPP"</f>
        <v>MADREPEROLA COMERCIO DE JOIAS E OTICA LTDA EPP</v>
      </c>
      <c r="K834" t="str">
        <f>"QUEVEDO JOALHERIA E OTICA (2211)"</f>
        <v>QUEVEDO JOALHERIA E OTICA (2211)</v>
      </c>
      <c r="L834" t="str">
        <f>""</f>
        <v/>
      </c>
      <c r="M834" t="str">
        <f>""</f>
        <v/>
      </c>
      <c r="N834" t="str">
        <f>"LABORATORIO@QUEVEDO.COM.BR"</f>
        <v>LABORATORIO@QUEVEDO.COM.BR</v>
      </c>
      <c r="O834" t="str">
        <f>""</f>
        <v/>
      </c>
      <c r="P834" t="str">
        <f>"RUA CORONEL TEIXEIRA OLIVEIRA"</f>
        <v>RUA CORONEL TEIXEIRA OLIVEIRA</v>
      </c>
      <c r="Q834" t="str">
        <f>"68"</f>
        <v>68</v>
      </c>
      <c r="R834" t="str">
        <f>""</f>
        <v/>
      </c>
      <c r="S834" t="str">
        <f>"1259"</f>
        <v>1259</v>
      </c>
      <c r="T834" t="str">
        <f>"88160130"</f>
        <v>88160130</v>
      </c>
      <c r="U834" t="str">
        <f>"CENTRO"</f>
        <v>CENTRO</v>
      </c>
      <c r="V834" t="str">
        <f>"BIGUACU"</f>
        <v>BIGUACU</v>
      </c>
      <c r="W834" t="str">
        <f t="shared" si="413"/>
        <v>SC</v>
      </c>
      <c r="X834" t="str">
        <f t="shared" si="420"/>
        <v>48</v>
      </c>
      <c r="Y834" t="str">
        <f>"30352753"</f>
        <v>30352753</v>
      </c>
      <c r="Z834" t="str">
        <f>""</f>
        <v/>
      </c>
      <c r="AA834" t="str">
        <f>""</f>
        <v/>
      </c>
      <c r="AB834" t="str">
        <f>""</f>
        <v/>
      </c>
      <c r="AC834" t="str">
        <f>""</f>
        <v/>
      </c>
      <c r="AD834" t="str">
        <f>""</f>
        <v/>
      </c>
      <c r="AE834" t="str">
        <f>""</f>
        <v/>
      </c>
      <c r="AF834" t="str">
        <f>""</f>
        <v/>
      </c>
      <c r="AG834" t="str">
        <f>""</f>
        <v/>
      </c>
      <c r="AH834" t="str">
        <f>""</f>
        <v/>
      </c>
      <c r="AI834" t="str">
        <f>""</f>
        <v/>
      </c>
      <c r="AJ834" t="str">
        <f>""</f>
        <v/>
      </c>
      <c r="AK834" t="str">
        <f>""</f>
        <v/>
      </c>
      <c r="AL834" t="str">
        <f>""</f>
        <v/>
      </c>
      <c r="AM834" t="str">
        <f>""</f>
        <v/>
      </c>
      <c r="AN834" t="str">
        <f>""</f>
        <v/>
      </c>
      <c r="AO834" t="str">
        <f>""</f>
        <v/>
      </c>
      <c r="AP834" t="str">
        <f>""</f>
        <v/>
      </c>
      <c r="AQ834" t="str">
        <f>""</f>
        <v/>
      </c>
      <c r="AR834" t="str">
        <f>""</f>
        <v/>
      </c>
      <c r="AS834" t="str">
        <f>""</f>
        <v/>
      </c>
      <c r="AT834" t="str">
        <f>""</f>
        <v/>
      </c>
      <c r="AU834" t="str">
        <f>""</f>
        <v/>
      </c>
      <c r="AV834" t="str">
        <f>""</f>
        <v/>
      </c>
      <c r="AW834" t="str">
        <f>""</f>
        <v/>
      </c>
      <c r="AX834" t="str">
        <f>""</f>
        <v/>
      </c>
      <c r="AY834" t="str">
        <f>""</f>
        <v/>
      </c>
      <c r="AZ834" t="str">
        <f>""</f>
        <v/>
      </c>
      <c r="BA834" t="str">
        <f>""</f>
        <v/>
      </c>
      <c r="BB834" t="str">
        <f>"06/07/2023 12:07:48"</f>
        <v>06/07/2023 12:07:48</v>
      </c>
      <c r="BC834" t="str">
        <f>""</f>
        <v/>
      </c>
      <c r="BD834" t="str">
        <f>""</f>
        <v/>
      </c>
      <c r="BE834" t="str">
        <f>""</f>
        <v/>
      </c>
      <c r="BF834" t="str">
        <f t="shared" ref="BF834:BF897" si="426">"A"</f>
        <v>A</v>
      </c>
      <c r="BG834" t="str">
        <f>""</f>
        <v/>
      </c>
      <c r="BH834" t="str">
        <f>""</f>
        <v/>
      </c>
      <c r="BI834" t="str">
        <f t="shared" si="410"/>
        <v>EVENTUAL</v>
      </c>
      <c r="BJ834" t="str">
        <f t="shared" ref="BJ834:BJ897" si="427">"1"</f>
        <v>1</v>
      </c>
      <c r="BK834" t="str">
        <f t="shared" ref="BK834:BK897" si="428">"Farmacia"</f>
        <v>Farmacia</v>
      </c>
      <c r="BL834" t="str">
        <f>""</f>
        <v/>
      </c>
      <c r="BM834" t="str">
        <f>""</f>
        <v/>
      </c>
      <c r="BN834" t="str">
        <f>""</f>
        <v/>
      </c>
      <c r="BO834" t="str">
        <f>""</f>
        <v/>
      </c>
      <c r="BP834" t="str">
        <f>""</f>
        <v/>
      </c>
      <c r="BQ834" t="str">
        <f>""</f>
        <v/>
      </c>
      <c r="BR834" t="str">
        <f>"06/07/2023"</f>
        <v>06/07/2023</v>
      </c>
      <c r="BS834" t="str">
        <f>""</f>
        <v/>
      </c>
      <c r="BT834" t="str">
        <f>""</f>
        <v/>
      </c>
      <c r="BU834" t="str">
        <f>""</f>
        <v/>
      </c>
      <c r="BV834" t="str">
        <f>""</f>
        <v/>
      </c>
      <c r="BW834" t="str">
        <f>"Não visitado"</f>
        <v>Não visitado</v>
      </c>
    </row>
    <row r="835" spans="1:75" x14ac:dyDescent="0.35">
      <c r="A835">
        <v>134311</v>
      </c>
      <c r="B835" t="str">
        <f t="shared" si="423"/>
        <v>A</v>
      </c>
      <c r="C835" t="str">
        <f t="shared" si="424"/>
        <v>80</v>
      </c>
      <c r="D835" t="str">
        <f t="shared" si="417"/>
        <v>11121002</v>
      </c>
      <c r="E835" t="str">
        <f t="shared" si="418"/>
        <v>121002</v>
      </c>
      <c r="F835" t="str">
        <f t="shared" si="419"/>
        <v>CINTHIA NORONHA</v>
      </c>
      <c r="G835" t="str">
        <f>"22537887000194"</f>
        <v>22537887000194</v>
      </c>
      <c r="H835" t="str">
        <f>""</f>
        <v/>
      </c>
      <c r="I835" t="str">
        <f t="shared" si="425"/>
        <v>CONTA OPTICA</v>
      </c>
      <c r="J835" t="str">
        <f>"MAICOL ALVES PACHECO - ME"</f>
        <v>MAICOL ALVES PACHECO - ME</v>
      </c>
      <c r="K835" t="str">
        <f>"OTICA TECNICA (3976)"</f>
        <v>OTICA TECNICA (3976)</v>
      </c>
      <c r="L835" t="str">
        <f>""</f>
        <v/>
      </c>
      <c r="M835" t="str">
        <f>""</f>
        <v/>
      </c>
      <c r="N835" t="str">
        <f>"oticamonsenhorprime@hotmail.com"</f>
        <v>oticamonsenhorprime@hotmail.com</v>
      </c>
      <c r="O835" t="str">
        <f>""</f>
        <v/>
      </c>
      <c r="P835" t="str">
        <f>"RUA VEREADOR ARTHUR MANOEL MARIANO"</f>
        <v>RUA VEREADOR ARTHUR MANOEL MARIANO</v>
      </c>
      <c r="Q835" t="str">
        <f>"767"</f>
        <v>767</v>
      </c>
      <c r="R835" t="str">
        <f>"SALA 01"</f>
        <v>SALA 01</v>
      </c>
      <c r="S835" t="str">
        <f>"1259"</f>
        <v>1259</v>
      </c>
      <c r="T835" t="str">
        <f>"88106500"</f>
        <v>88106500</v>
      </c>
      <c r="U835" t="str">
        <f>"FORQUILHINHAS"</f>
        <v>FORQUILHINHAS</v>
      </c>
      <c r="V835" t="str">
        <f>"SÃO JOSÉ"</f>
        <v>SÃO JOSÉ</v>
      </c>
      <c r="W835" t="str">
        <f t="shared" si="413"/>
        <v>SC</v>
      </c>
      <c r="X835" t="str">
        <f t="shared" si="420"/>
        <v>48</v>
      </c>
      <c r="Y835" t="str">
        <f>"311121222"</f>
        <v>311121222</v>
      </c>
      <c r="Z835" t="str">
        <f>""</f>
        <v/>
      </c>
      <c r="AA835" t="str">
        <f>""</f>
        <v/>
      </c>
      <c r="AB835" t="str">
        <f>""</f>
        <v/>
      </c>
      <c r="AC835" t="str">
        <f>""</f>
        <v/>
      </c>
      <c r="AD835" t="str">
        <f>""</f>
        <v/>
      </c>
      <c r="AE835" t="str">
        <f>""</f>
        <v/>
      </c>
      <c r="AF835" t="str">
        <f>""</f>
        <v/>
      </c>
      <c r="AG835" t="str">
        <f>"S"</f>
        <v>S</v>
      </c>
      <c r="AH835" t="str">
        <f>""</f>
        <v/>
      </c>
      <c r="AI835" t="str">
        <f>""</f>
        <v/>
      </c>
      <c r="AJ835" t="str">
        <f>"0"</f>
        <v>0</v>
      </c>
      <c r="AK835" t="str">
        <f>"0"</f>
        <v>0</v>
      </c>
      <c r="AL835" t="str">
        <f>"0"</f>
        <v>0</v>
      </c>
      <c r="AM835" t="str">
        <f>""</f>
        <v/>
      </c>
      <c r="AN835" t="str">
        <f>""</f>
        <v/>
      </c>
      <c r="AO835" t="str">
        <f>""</f>
        <v/>
      </c>
      <c r="AP835" t="str">
        <f>""</f>
        <v/>
      </c>
      <c r="AQ835" t="str">
        <f t="shared" ref="AQ835:AU836" si="429">"N"</f>
        <v>N</v>
      </c>
      <c r="AR835" t="str">
        <f t="shared" si="429"/>
        <v>N</v>
      </c>
      <c r="AS835" t="str">
        <f t="shared" si="429"/>
        <v>N</v>
      </c>
      <c r="AT835" t="str">
        <f t="shared" si="429"/>
        <v>N</v>
      </c>
      <c r="AU835" t="str">
        <f t="shared" si="429"/>
        <v>N</v>
      </c>
      <c r="AV835" t="str">
        <f>""</f>
        <v/>
      </c>
      <c r="AW835" t="str">
        <f>""</f>
        <v/>
      </c>
      <c r="AX835" t="str">
        <f>""</f>
        <v/>
      </c>
      <c r="AY835" t="str">
        <f>""</f>
        <v/>
      </c>
      <c r="AZ835" t="str">
        <f>""</f>
        <v/>
      </c>
      <c r="BA835" t="str">
        <f>""</f>
        <v/>
      </c>
      <c r="BB835" t="str">
        <f>""</f>
        <v/>
      </c>
      <c r="BC835" t="str">
        <f>"12/04/2022 14:42:32"</f>
        <v>12/04/2022 14:42:32</v>
      </c>
      <c r="BD835" t="str">
        <f>""</f>
        <v/>
      </c>
      <c r="BE835" t="str">
        <f>""</f>
        <v/>
      </c>
      <c r="BF835" t="str">
        <f t="shared" si="426"/>
        <v>A</v>
      </c>
      <c r="BG835" t="str">
        <f>"0,00"</f>
        <v>0,00</v>
      </c>
      <c r="BH835" t="str">
        <f>"0,00"</f>
        <v>0,00</v>
      </c>
      <c r="BI835" t="str">
        <f t="shared" si="410"/>
        <v>EVENTUAL</v>
      </c>
      <c r="BJ835" t="str">
        <f t="shared" si="427"/>
        <v>1</v>
      </c>
      <c r="BK835" t="str">
        <f t="shared" si="428"/>
        <v>Farmacia</v>
      </c>
      <c r="BL835" t="str">
        <f>""</f>
        <v/>
      </c>
      <c r="BM835" t="str">
        <f>"NÃO É VARILUX ESPECIALISTA"</f>
        <v>NÃO É VARILUX ESPECIALISTA</v>
      </c>
      <c r="BN835" t="str">
        <f>"NA"</f>
        <v>NA</v>
      </c>
      <c r="BO835" t="str">
        <f>"OUTROS"</f>
        <v>OUTROS</v>
      </c>
      <c r="BP835" t="str">
        <f>""</f>
        <v/>
      </c>
      <c r="BQ835" t="str">
        <f>""</f>
        <v/>
      </c>
      <c r="BR835" t="str">
        <f>""</f>
        <v/>
      </c>
      <c r="BS835" t="str">
        <f>"12/04/2022"</f>
        <v>12/04/2022</v>
      </c>
      <c r="BT835" t="str">
        <f>""</f>
        <v/>
      </c>
      <c r="BU835" t="str">
        <f>""</f>
        <v/>
      </c>
      <c r="BV835" t="str">
        <f>"9"</f>
        <v>9</v>
      </c>
      <c r="BW835" t="str">
        <f>"4"</f>
        <v>4</v>
      </c>
    </row>
    <row r="836" spans="1:75" x14ac:dyDescent="0.35">
      <c r="A836">
        <v>134500</v>
      </c>
      <c r="B836" t="str">
        <f t="shared" si="423"/>
        <v>A</v>
      </c>
      <c r="C836" t="str">
        <f t="shared" si="424"/>
        <v>80</v>
      </c>
      <c r="D836" t="str">
        <f t="shared" si="417"/>
        <v>11121002</v>
      </c>
      <c r="E836" t="str">
        <f t="shared" si="418"/>
        <v>121002</v>
      </c>
      <c r="F836" t="str">
        <f t="shared" si="419"/>
        <v>CINTHIA NORONHA</v>
      </c>
      <c r="G836" t="str">
        <f>"73219594000361"</f>
        <v>73219594000361</v>
      </c>
      <c r="H836" t="str">
        <f>""</f>
        <v/>
      </c>
      <c r="I836" t="str">
        <f t="shared" si="425"/>
        <v>CONTA OPTICA</v>
      </c>
      <c r="J836" t="str">
        <f>"MAR COM DE PRODUTOS OTICOS LTDA"</f>
        <v>MAR COM DE PRODUTOS OTICOS LTDA</v>
      </c>
      <c r="K836" t="str">
        <f>"MAR COMERCIO DE PRODUTOS OTICOS LTDA ME (1806)"</f>
        <v>MAR COMERCIO DE PRODUTOS OTICOS LTDA ME (1806)</v>
      </c>
      <c r="L836" t="str">
        <f>""</f>
        <v/>
      </c>
      <c r="M836" t="str">
        <f>""</f>
        <v/>
      </c>
      <c r="N836" t="str">
        <f>"administrativo@montrealotica.com.br"</f>
        <v>administrativo@montrealotica.com.br</v>
      </c>
      <c r="O836" t="str">
        <f>""</f>
        <v/>
      </c>
      <c r="P836" t="str">
        <f>"RUA R. FELIPE SCHMIDT"</f>
        <v>RUA R. FELIPE SCHMIDT</v>
      </c>
      <c r="Q836" t="str">
        <f>"249"</f>
        <v>249</v>
      </c>
      <c r="R836" t="str">
        <f>"LOJA 05"</f>
        <v>LOJA 05</v>
      </c>
      <c r="S836" t="str">
        <f>"1254"</f>
        <v>1254</v>
      </c>
      <c r="T836" t="str">
        <f>"88010001"</f>
        <v>88010001</v>
      </c>
      <c r="U836" t="str">
        <f>"CENTRO"</f>
        <v>CENTRO</v>
      </c>
      <c r="V836" t="str">
        <f>"FLORIANÓPOLIS"</f>
        <v>FLORIANÓPOLIS</v>
      </c>
      <c r="W836" t="str">
        <f t="shared" si="413"/>
        <v>SC</v>
      </c>
      <c r="X836" t="str">
        <f t="shared" si="420"/>
        <v>48</v>
      </c>
      <c r="Y836" t="str">
        <f>"30243847"</f>
        <v>30243847</v>
      </c>
      <c r="Z836" t="str">
        <f>""</f>
        <v/>
      </c>
      <c r="AA836" t="str">
        <f>""</f>
        <v/>
      </c>
      <c r="AB836" t="str">
        <f>""</f>
        <v/>
      </c>
      <c r="AC836" t="str">
        <f>""</f>
        <v/>
      </c>
      <c r="AD836" t="str">
        <f>""</f>
        <v/>
      </c>
      <c r="AE836" t="str">
        <f>""</f>
        <v/>
      </c>
      <c r="AF836" t="str">
        <f>""</f>
        <v/>
      </c>
      <c r="AG836" t="str">
        <f>"S"</f>
        <v>S</v>
      </c>
      <c r="AH836" t="str">
        <f>""</f>
        <v/>
      </c>
      <c r="AI836" t="str">
        <f>""</f>
        <v/>
      </c>
      <c r="AJ836" t="str">
        <f>""</f>
        <v/>
      </c>
      <c r="AK836" t="str">
        <f>""</f>
        <v/>
      </c>
      <c r="AL836" t="str">
        <f>""</f>
        <v/>
      </c>
      <c r="AM836" t="str">
        <f>""</f>
        <v/>
      </c>
      <c r="AN836" t="str">
        <f>""</f>
        <v/>
      </c>
      <c r="AO836" t="str">
        <f>""</f>
        <v/>
      </c>
      <c r="AP836" t="str">
        <f>""</f>
        <v/>
      </c>
      <c r="AQ836" t="str">
        <f t="shared" si="429"/>
        <v>N</v>
      </c>
      <c r="AR836" t="str">
        <f t="shared" si="429"/>
        <v>N</v>
      </c>
      <c r="AS836" t="str">
        <f t="shared" si="429"/>
        <v>N</v>
      </c>
      <c r="AT836" t="str">
        <f t="shared" si="429"/>
        <v>N</v>
      </c>
      <c r="AU836" t="str">
        <f t="shared" si="429"/>
        <v>N</v>
      </c>
      <c r="AV836" t="str">
        <f>""</f>
        <v/>
      </c>
      <c r="AW836" t="str">
        <f>""</f>
        <v/>
      </c>
      <c r="AX836" t="str">
        <f>""</f>
        <v/>
      </c>
      <c r="AY836" t="str">
        <f>""</f>
        <v/>
      </c>
      <c r="AZ836" t="str">
        <f>""</f>
        <v/>
      </c>
      <c r="BA836" t="str">
        <f>""</f>
        <v/>
      </c>
      <c r="BB836" t="str">
        <f>""</f>
        <v/>
      </c>
      <c r="BC836" t="str">
        <f>"19/05/2021 17:28:03"</f>
        <v>19/05/2021 17:28:03</v>
      </c>
      <c r="BD836" t="str">
        <f>""</f>
        <v/>
      </c>
      <c r="BE836" t="str">
        <f>""</f>
        <v/>
      </c>
      <c r="BF836" t="str">
        <f t="shared" si="426"/>
        <v>A</v>
      </c>
      <c r="BG836" t="str">
        <f>""</f>
        <v/>
      </c>
      <c r="BH836" t="str">
        <f>"0,00"</f>
        <v>0,00</v>
      </c>
      <c r="BI836" t="str">
        <f t="shared" si="410"/>
        <v>EVENTUAL</v>
      </c>
      <c r="BJ836" t="str">
        <f t="shared" si="427"/>
        <v>1</v>
      </c>
      <c r="BK836" t="str">
        <f t="shared" si="428"/>
        <v>Farmacia</v>
      </c>
      <c r="BL836" t="str">
        <f>""</f>
        <v/>
      </c>
      <c r="BM836" t="str">
        <f>"NÃO É VARILUX ESPECIALISTA"</f>
        <v>NÃO É VARILUX ESPECIALISTA</v>
      </c>
      <c r="BN836" t="str">
        <f>"NA"</f>
        <v>NA</v>
      </c>
      <c r="BO836" t="str">
        <f>"OUTROS"</f>
        <v>OUTROS</v>
      </c>
      <c r="BP836" t="str">
        <f>""</f>
        <v/>
      </c>
      <c r="BQ836" t="str">
        <f>""</f>
        <v/>
      </c>
      <c r="BR836" t="str">
        <f>""</f>
        <v/>
      </c>
      <c r="BS836" t="str">
        <f>"19/05/2021"</f>
        <v>19/05/2021</v>
      </c>
      <c r="BT836" t="str">
        <f>""</f>
        <v/>
      </c>
      <c r="BU836" t="str">
        <f>""</f>
        <v/>
      </c>
      <c r="BV836" t="str">
        <f>"4"</f>
        <v>4</v>
      </c>
      <c r="BW836" t="str">
        <f>"239"</f>
        <v>239</v>
      </c>
    </row>
    <row r="837" spans="1:75" x14ac:dyDescent="0.35">
      <c r="A837">
        <v>134499</v>
      </c>
      <c r="B837" t="str">
        <f t="shared" si="423"/>
        <v>A</v>
      </c>
      <c r="C837" t="str">
        <f t="shared" si="424"/>
        <v>80</v>
      </c>
      <c r="D837" t="str">
        <f t="shared" si="417"/>
        <v>11121002</v>
      </c>
      <c r="E837" t="str">
        <f t="shared" si="418"/>
        <v>121002</v>
      </c>
      <c r="F837" t="str">
        <f t="shared" si="419"/>
        <v>CINTHIA NORONHA</v>
      </c>
      <c r="G837" t="str">
        <f>"73219594000108"</f>
        <v>73219594000108</v>
      </c>
      <c r="H837" t="str">
        <f>""</f>
        <v/>
      </c>
      <c r="I837" t="str">
        <f t="shared" si="425"/>
        <v>CONTA OPTICA</v>
      </c>
      <c r="J837" t="str">
        <f>"MAR COMERCIO DE PRODUTOS OTICOS LTDA ME"</f>
        <v>MAR COMERCIO DE PRODUTOS OTICOS LTDA ME</v>
      </c>
      <c r="K837" t="str">
        <f>"MAR COMERCIO DE PRODUTOS OTICOS LTDA ME (578)"</f>
        <v>MAR COMERCIO DE PRODUTOS OTICOS LTDA ME (578)</v>
      </c>
      <c r="L837" t="str">
        <f>""</f>
        <v/>
      </c>
      <c r="M837" t="str">
        <f>""</f>
        <v/>
      </c>
      <c r="N837" t="str">
        <f>"administrativo@montrealotica.com.br"</f>
        <v>administrativo@montrealotica.com.br</v>
      </c>
      <c r="O837" t="str">
        <f>""</f>
        <v/>
      </c>
      <c r="P837" t="str">
        <f>"RUA FELIPE SCHMIDT"</f>
        <v>RUA FELIPE SCHMIDT</v>
      </c>
      <c r="Q837" t="str">
        <f>"705"</f>
        <v>705</v>
      </c>
      <c r="R837" t="str">
        <f>""</f>
        <v/>
      </c>
      <c r="S837" t="str">
        <f>"1254"</f>
        <v>1254</v>
      </c>
      <c r="T837" t="str">
        <f>"88010000"</f>
        <v>88010000</v>
      </c>
      <c r="U837" t="str">
        <f>"CENTRO"</f>
        <v>CENTRO</v>
      </c>
      <c r="V837" t="str">
        <f>"FLORIANOPOLIS"</f>
        <v>FLORIANOPOLIS</v>
      </c>
      <c r="W837" t="str">
        <f t="shared" si="413"/>
        <v>SC</v>
      </c>
      <c r="X837" t="str">
        <f t="shared" si="420"/>
        <v>48</v>
      </c>
      <c r="Y837" t="str">
        <f>"30243847"</f>
        <v>30243847</v>
      </c>
      <c r="Z837" t="str">
        <f>""</f>
        <v/>
      </c>
      <c r="AA837" t="str">
        <f>""</f>
        <v/>
      </c>
      <c r="AB837" t="str">
        <f>""</f>
        <v/>
      </c>
      <c r="AC837" t="str">
        <f>""</f>
        <v/>
      </c>
      <c r="AD837" t="str">
        <f>""</f>
        <v/>
      </c>
      <c r="AE837" t="str">
        <f>""</f>
        <v/>
      </c>
      <c r="AF837" t="str">
        <f>""</f>
        <v/>
      </c>
      <c r="AG837" t="str">
        <f>""</f>
        <v/>
      </c>
      <c r="AH837" t="str">
        <f>""</f>
        <v/>
      </c>
      <c r="AI837" t="str">
        <f>""</f>
        <v/>
      </c>
      <c r="AJ837" t="str">
        <f>""</f>
        <v/>
      </c>
      <c r="AK837" t="str">
        <f>""</f>
        <v/>
      </c>
      <c r="AL837" t="str">
        <f>""</f>
        <v/>
      </c>
      <c r="AM837" t="str">
        <f>""</f>
        <v/>
      </c>
      <c r="AN837" t="str">
        <f>""</f>
        <v/>
      </c>
      <c r="AO837" t="str">
        <f>""</f>
        <v/>
      </c>
      <c r="AP837" t="str">
        <f>""</f>
        <v/>
      </c>
      <c r="AQ837" t="str">
        <f>""</f>
        <v/>
      </c>
      <c r="AR837" t="str">
        <f>""</f>
        <v/>
      </c>
      <c r="AS837" t="str">
        <f>""</f>
        <v/>
      </c>
      <c r="AT837" t="str">
        <f>""</f>
        <v/>
      </c>
      <c r="AU837" t="str">
        <f>""</f>
        <v/>
      </c>
      <c r="AV837" t="str">
        <f>""</f>
        <v/>
      </c>
      <c r="AW837" t="str">
        <f>""</f>
        <v/>
      </c>
      <c r="AX837" t="str">
        <f>""</f>
        <v/>
      </c>
      <c r="AY837" t="str">
        <f>""</f>
        <v/>
      </c>
      <c r="AZ837" t="str">
        <f>""</f>
        <v/>
      </c>
      <c r="BA837" t="str">
        <f>""</f>
        <v/>
      </c>
      <c r="BB837" t="str">
        <f>""</f>
        <v/>
      </c>
      <c r="BC837" t="str">
        <f>""</f>
        <v/>
      </c>
      <c r="BD837" t="str">
        <f>""</f>
        <v/>
      </c>
      <c r="BE837" t="str">
        <f>""</f>
        <v/>
      </c>
      <c r="BF837" t="str">
        <f t="shared" si="426"/>
        <v>A</v>
      </c>
      <c r="BG837" t="str">
        <f>""</f>
        <v/>
      </c>
      <c r="BH837" t="str">
        <f>""</f>
        <v/>
      </c>
      <c r="BI837" t="str">
        <f t="shared" si="410"/>
        <v>EVENTUAL</v>
      </c>
      <c r="BJ837" t="str">
        <f t="shared" si="427"/>
        <v>1</v>
      </c>
      <c r="BK837" t="str">
        <f t="shared" si="428"/>
        <v>Farmacia</v>
      </c>
      <c r="BL837" t="str">
        <f>""</f>
        <v/>
      </c>
      <c r="BM837" t="str">
        <f>"NÃO É VARILUX ESPECIALISTA"</f>
        <v>NÃO É VARILUX ESPECIALISTA</v>
      </c>
      <c r="BN837" t="str">
        <f>"NA"</f>
        <v>NA</v>
      </c>
      <c r="BO837" t="str">
        <f>"FOCO KODAK 2"</f>
        <v>FOCO KODAK 2</v>
      </c>
      <c r="BP837" t="str">
        <f>""</f>
        <v/>
      </c>
      <c r="BQ837" t="str">
        <f>""</f>
        <v/>
      </c>
      <c r="BR837" t="str">
        <f>""</f>
        <v/>
      </c>
      <c r="BS837" t="str">
        <f>""</f>
        <v/>
      </c>
      <c r="BT837" t="str">
        <f>""</f>
        <v/>
      </c>
      <c r="BU837" t="str">
        <f>""</f>
        <v/>
      </c>
      <c r="BV837" t="str">
        <f>"4"</f>
        <v>4</v>
      </c>
      <c r="BW837" t="str">
        <f>"Não visitado"</f>
        <v>Não visitado</v>
      </c>
    </row>
    <row r="838" spans="1:75" x14ac:dyDescent="0.35">
      <c r="A838">
        <v>156967</v>
      </c>
      <c r="B838" t="str">
        <f t="shared" si="423"/>
        <v>A</v>
      </c>
      <c r="C838" t="str">
        <f t="shared" si="424"/>
        <v>80</v>
      </c>
      <c r="D838" t="str">
        <f t="shared" si="417"/>
        <v>11121002</v>
      </c>
      <c r="E838" t="str">
        <f t="shared" si="418"/>
        <v>121002</v>
      </c>
      <c r="F838" t="str">
        <f t="shared" si="419"/>
        <v>CINTHIA NORONHA</v>
      </c>
      <c r="G838" t="str">
        <f>"73219594000280"</f>
        <v>73219594000280</v>
      </c>
      <c r="H838" t="str">
        <f>"0"</f>
        <v>0</v>
      </c>
      <c r="I838" t="str">
        <f t="shared" si="425"/>
        <v>CONTA OPTICA</v>
      </c>
      <c r="J838" t="str">
        <f>"MAR COMERCIO DE PRODUTOS OTICOS LTDA ME"</f>
        <v>MAR COMERCIO DE PRODUTOS OTICOS LTDA ME</v>
      </c>
      <c r="K838" t="str">
        <f>"MAR COMERCIO DE PRODUTOS OTICOS LTDA ME (810)"</f>
        <v>MAR COMERCIO DE PRODUTOS OTICOS LTDA ME (810)</v>
      </c>
      <c r="L838" t="str">
        <f>""</f>
        <v/>
      </c>
      <c r="M838" t="str">
        <f>""</f>
        <v/>
      </c>
      <c r="N838" t="str">
        <f>""</f>
        <v/>
      </c>
      <c r="O838" t="str">
        <f>""</f>
        <v/>
      </c>
      <c r="P838" t="str">
        <f>"RUA ENGENHEIRO MAX DE SOUZA"</f>
        <v>RUA ENGENHEIRO MAX DE SOUZA</v>
      </c>
      <c r="Q838" t="str">
        <f>"1011"</f>
        <v>1011</v>
      </c>
      <c r="R838" t="str">
        <f>"LOJA 02"</f>
        <v>LOJA 02</v>
      </c>
      <c r="S838" t="str">
        <f>"1258"</f>
        <v>1258</v>
      </c>
      <c r="T838" t="str">
        <f>"88080000"</f>
        <v>88080000</v>
      </c>
      <c r="U838" t="str">
        <f>"COQUEIROS"</f>
        <v>COQUEIROS</v>
      </c>
      <c r="V838" t="str">
        <f>"FLORIANOPOLIS"</f>
        <v>FLORIANOPOLIS</v>
      </c>
      <c r="W838" t="str">
        <f t="shared" si="413"/>
        <v>SC</v>
      </c>
      <c r="X838" t="str">
        <f t="shared" si="420"/>
        <v>48</v>
      </c>
      <c r="Y838" t="str">
        <f>"30243847"</f>
        <v>30243847</v>
      </c>
      <c r="Z838" t="str">
        <f>""</f>
        <v/>
      </c>
      <c r="AA838" t="str">
        <f>""</f>
        <v/>
      </c>
      <c r="AB838" t="str">
        <f>""</f>
        <v/>
      </c>
      <c r="AC838" t="str">
        <f>""</f>
        <v/>
      </c>
      <c r="AD838" t="str">
        <f>""</f>
        <v/>
      </c>
      <c r="AE838" t="str">
        <f>""</f>
        <v/>
      </c>
      <c r="AF838" t="str">
        <f>""</f>
        <v/>
      </c>
      <c r="AG838" t="str">
        <f>""</f>
        <v/>
      </c>
      <c r="AH838" t="str">
        <f>""</f>
        <v/>
      </c>
      <c r="AI838" t="str">
        <f>""</f>
        <v/>
      </c>
      <c r="AJ838" t="str">
        <f>""</f>
        <v/>
      </c>
      <c r="AK838" t="str">
        <f>""</f>
        <v/>
      </c>
      <c r="AL838" t="str">
        <f>""</f>
        <v/>
      </c>
      <c r="AM838" t="str">
        <f>""</f>
        <v/>
      </c>
      <c r="AN838" t="str">
        <f>""</f>
        <v/>
      </c>
      <c r="AO838" t="str">
        <f>""</f>
        <v/>
      </c>
      <c r="AP838" t="str">
        <f>""</f>
        <v/>
      </c>
      <c r="AQ838" t="str">
        <f>""</f>
        <v/>
      </c>
      <c r="AR838" t="str">
        <f>""</f>
        <v/>
      </c>
      <c r="AS838" t="str">
        <f>""</f>
        <v/>
      </c>
      <c r="AT838" t="str">
        <f>""</f>
        <v/>
      </c>
      <c r="AU838" t="str">
        <f>""</f>
        <v/>
      </c>
      <c r="AV838" t="str">
        <f>""</f>
        <v/>
      </c>
      <c r="AW838" t="str">
        <f>""</f>
        <v/>
      </c>
      <c r="AX838" t="str">
        <f>""</f>
        <v/>
      </c>
      <c r="AY838" t="str">
        <f>""</f>
        <v/>
      </c>
      <c r="AZ838" t="str">
        <f>""</f>
        <v/>
      </c>
      <c r="BA838" t="str">
        <f>""</f>
        <v/>
      </c>
      <c r="BB838" t="str">
        <f>"06/07/2023 12:07:48"</f>
        <v>06/07/2023 12:07:48</v>
      </c>
      <c r="BC838" t="str">
        <f>""</f>
        <v/>
      </c>
      <c r="BD838" t="str">
        <f>""</f>
        <v/>
      </c>
      <c r="BE838" t="str">
        <f>""</f>
        <v/>
      </c>
      <c r="BF838" t="str">
        <f t="shared" si="426"/>
        <v>A</v>
      </c>
      <c r="BG838" t="str">
        <f>""</f>
        <v/>
      </c>
      <c r="BH838" t="str">
        <f>""</f>
        <v/>
      </c>
      <c r="BI838" t="str">
        <f t="shared" si="410"/>
        <v>EVENTUAL</v>
      </c>
      <c r="BJ838" t="str">
        <f t="shared" si="427"/>
        <v>1</v>
      </c>
      <c r="BK838" t="str">
        <f t="shared" si="428"/>
        <v>Farmacia</v>
      </c>
      <c r="BL838" t="str">
        <f>""</f>
        <v/>
      </c>
      <c r="BM838" t="str">
        <f>""</f>
        <v/>
      </c>
      <c r="BN838" t="str">
        <f>""</f>
        <v/>
      </c>
      <c r="BO838" t="str">
        <f>""</f>
        <v/>
      </c>
      <c r="BP838" t="str">
        <f>""</f>
        <v/>
      </c>
      <c r="BQ838" t="str">
        <f>""</f>
        <v/>
      </c>
      <c r="BR838" t="str">
        <f>"06/07/2023"</f>
        <v>06/07/2023</v>
      </c>
      <c r="BS838" t="str">
        <f>""</f>
        <v/>
      </c>
      <c r="BT838" t="str">
        <f>""</f>
        <v/>
      </c>
      <c r="BU838" t="str">
        <f>""</f>
        <v/>
      </c>
      <c r="BV838" t="str">
        <f>""</f>
        <v/>
      </c>
      <c r="BW838" t="str">
        <f>"Não visitado"</f>
        <v>Não visitado</v>
      </c>
    </row>
    <row r="839" spans="1:75" x14ac:dyDescent="0.35">
      <c r="A839">
        <v>144829</v>
      </c>
      <c r="B839" t="str">
        <f t="shared" si="423"/>
        <v>A</v>
      </c>
      <c r="C839" t="str">
        <f t="shared" si="424"/>
        <v>80</v>
      </c>
      <c r="D839" t="str">
        <f t="shared" si="417"/>
        <v>11121002</v>
      </c>
      <c r="E839" t="str">
        <f t="shared" si="418"/>
        <v>121002</v>
      </c>
      <c r="F839" t="str">
        <f t="shared" si="419"/>
        <v>CINTHIA NORONHA</v>
      </c>
      <c r="G839" t="str">
        <f>"40814770000192"</f>
        <v>40814770000192</v>
      </c>
      <c r="H839" t="str">
        <f>""</f>
        <v/>
      </c>
      <c r="I839" t="str">
        <f t="shared" si="425"/>
        <v>CONTA OPTICA</v>
      </c>
      <c r="J839" t="str">
        <f>"MAR OPTICA LTDA"</f>
        <v>MAR OPTICA LTDA</v>
      </c>
      <c r="K839" t="str">
        <f>"MERCADAO DOS OCULOS (4362)"</f>
        <v>MERCADAO DOS OCULOS (4362)</v>
      </c>
      <c r="L839" t="str">
        <f>""</f>
        <v/>
      </c>
      <c r="M839" t="str">
        <f>""</f>
        <v/>
      </c>
      <c r="N839" t="str">
        <f>"sc-criciuma02@mercadaodosoculos.com.br"</f>
        <v>sc-criciuma02@mercadaodosoculos.com.br</v>
      </c>
      <c r="O839" t="str">
        <f>""</f>
        <v/>
      </c>
      <c r="P839" t="str">
        <f>"RUA JOAO PESSOA"</f>
        <v>RUA JOAO PESSOA</v>
      </c>
      <c r="Q839" t="str">
        <f>"120"</f>
        <v>120</v>
      </c>
      <c r="R839" t="str">
        <f>"SALA 01"</f>
        <v>SALA 01</v>
      </c>
      <c r="S839" t="str">
        <f>"1269"</f>
        <v>1269</v>
      </c>
      <c r="T839" t="str">
        <f>"88801530"</f>
        <v>88801530</v>
      </c>
      <c r="U839" t="str">
        <f>"CENTRO"</f>
        <v>CENTRO</v>
      </c>
      <c r="V839" t="str">
        <f>"CRICIÚMA"</f>
        <v>CRICIÚMA</v>
      </c>
      <c r="W839" t="str">
        <f t="shared" ref="W839:W851" si="430">"SC"</f>
        <v>SC</v>
      </c>
      <c r="X839" t="str">
        <f t="shared" si="420"/>
        <v>48</v>
      </c>
      <c r="Y839" t="str">
        <f>"30562249"</f>
        <v>30562249</v>
      </c>
      <c r="Z839" t="str">
        <f>""</f>
        <v/>
      </c>
      <c r="AA839" t="str">
        <f>""</f>
        <v/>
      </c>
      <c r="AB839" t="str">
        <f>""</f>
        <v/>
      </c>
      <c r="AC839" t="str">
        <f>""</f>
        <v/>
      </c>
      <c r="AD839" t="str">
        <f>""</f>
        <v/>
      </c>
      <c r="AE839" t="str">
        <f>""</f>
        <v/>
      </c>
      <c r="AF839" t="str">
        <f>""</f>
        <v/>
      </c>
      <c r="AG839" t="str">
        <f>""</f>
        <v/>
      </c>
      <c r="AH839" t="str">
        <f>""</f>
        <v/>
      </c>
      <c r="AI839" t="str">
        <f>""</f>
        <v/>
      </c>
      <c r="AJ839" t="str">
        <f>"0"</f>
        <v>0</v>
      </c>
      <c r="AK839" t="str">
        <f>"0"</f>
        <v>0</v>
      </c>
      <c r="AL839" t="str">
        <f>"0"</f>
        <v>0</v>
      </c>
      <c r="AM839" t="str">
        <f>""</f>
        <v/>
      </c>
      <c r="AN839" t="str">
        <f>""</f>
        <v/>
      </c>
      <c r="AO839" t="str">
        <f>""</f>
        <v/>
      </c>
      <c r="AP839" t="str">
        <f>""</f>
        <v/>
      </c>
      <c r="AQ839" t="str">
        <f>""</f>
        <v/>
      </c>
      <c r="AR839" t="str">
        <f>""</f>
        <v/>
      </c>
      <c r="AS839" t="str">
        <f>""</f>
        <v/>
      </c>
      <c r="AT839" t="str">
        <f>""</f>
        <v/>
      </c>
      <c r="AU839" t="str">
        <f>""</f>
        <v/>
      </c>
      <c r="AV839" t="str">
        <f>""</f>
        <v/>
      </c>
      <c r="AW839" t="str">
        <f>""</f>
        <v/>
      </c>
      <c r="AX839" t="str">
        <f>""</f>
        <v/>
      </c>
      <c r="AY839" t="str">
        <f>""</f>
        <v/>
      </c>
      <c r="AZ839" t="str">
        <f>""</f>
        <v/>
      </c>
      <c r="BA839" t="str">
        <f>""</f>
        <v/>
      </c>
      <c r="BB839" t="str">
        <f>""</f>
        <v/>
      </c>
      <c r="BC839" t="str">
        <f>""</f>
        <v/>
      </c>
      <c r="BD839" t="str">
        <f>""</f>
        <v/>
      </c>
      <c r="BE839" t="str">
        <f>""</f>
        <v/>
      </c>
      <c r="BF839" t="str">
        <f t="shared" si="426"/>
        <v>A</v>
      </c>
      <c r="BG839" t="str">
        <f>"0,00"</f>
        <v>0,00</v>
      </c>
      <c r="BH839" t="str">
        <f>"0,00"</f>
        <v>0,00</v>
      </c>
      <c r="BI839" t="str">
        <f t="shared" si="410"/>
        <v>EVENTUAL</v>
      </c>
      <c r="BJ839" t="str">
        <f t="shared" si="427"/>
        <v>1</v>
      </c>
      <c r="BK839" t="str">
        <f t="shared" si="428"/>
        <v>Farmacia</v>
      </c>
      <c r="BL839" t="str">
        <f>""</f>
        <v/>
      </c>
      <c r="BM839" t="str">
        <f>"NÃO É VARILUX ESPECIALISTA"</f>
        <v>NÃO É VARILUX ESPECIALISTA</v>
      </c>
      <c r="BN839" t="str">
        <f>"NA"</f>
        <v>NA</v>
      </c>
      <c r="BO839" t="str">
        <f>"OUTROS"</f>
        <v>OUTROS</v>
      </c>
      <c r="BP839" t="str">
        <f>""</f>
        <v/>
      </c>
      <c r="BQ839" t="str">
        <f>""</f>
        <v/>
      </c>
      <c r="BR839" t="str">
        <f>""</f>
        <v/>
      </c>
      <c r="BS839" t="str">
        <f>""</f>
        <v/>
      </c>
      <c r="BT839" t="str">
        <f>""</f>
        <v/>
      </c>
      <c r="BU839" t="str">
        <f>""</f>
        <v/>
      </c>
      <c r="BV839" t="str">
        <f>""</f>
        <v/>
      </c>
      <c r="BW839" t="str">
        <f>"Não visitado"</f>
        <v>Não visitado</v>
      </c>
    </row>
    <row r="840" spans="1:75" x14ac:dyDescent="0.35">
      <c r="A840">
        <v>157721</v>
      </c>
      <c r="B840" t="str">
        <f t="shared" si="423"/>
        <v>A</v>
      </c>
      <c r="C840" t="str">
        <f t="shared" si="424"/>
        <v>80</v>
      </c>
      <c r="D840" t="str">
        <f t="shared" si="417"/>
        <v>11121002</v>
      </c>
      <c r="E840" t="str">
        <f t="shared" si="418"/>
        <v>121002</v>
      </c>
      <c r="F840" t="str">
        <f t="shared" si="419"/>
        <v>CINTHIA NORONHA</v>
      </c>
      <c r="G840" t="str">
        <f>"03506071000159"</f>
        <v>03506071000159</v>
      </c>
      <c r="H840" t="str">
        <f>"0"</f>
        <v>0</v>
      </c>
      <c r="I840" t="str">
        <f t="shared" si="425"/>
        <v>CONTA OPTICA</v>
      </c>
      <c r="J840" t="str">
        <f>"MARCELO DALMOLIN ME"</f>
        <v>MARCELO DALMOLIN ME</v>
      </c>
      <c r="K840" t="str">
        <f>"RELOJOARIA E JOALHERIA DALMOLIN (1797)"</f>
        <v>RELOJOARIA E JOALHERIA DALMOLIN (1797)</v>
      </c>
      <c r="L840" t="str">
        <f>""</f>
        <v/>
      </c>
      <c r="M840" t="str">
        <f>""</f>
        <v/>
      </c>
      <c r="N840" t="str">
        <f>"MARCELODALMOLIN@IG.COM.BR"</f>
        <v>MARCELODALMOLIN@IG.COM.BR</v>
      </c>
      <c r="O840" t="str">
        <f>""</f>
        <v/>
      </c>
      <c r="P840" t="str">
        <f>"RUA AV. GOVERNADOR IVO SILVEIRA"</f>
        <v>RUA AV. GOVERNADOR IVO SILVEIRA</v>
      </c>
      <c r="Q840" t="str">
        <f>"2445"</f>
        <v>2445</v>
      </c>
      <c r="R840" t="str">
        <f>"SUBSOLO"</f>
        <v>SUBSOLO</v>
      </c>
      <c r="S840" t="str">
        <f>"1258"</f>
        <v>1258</v>
      </c>
      <c r="T840" t="str">
        <f>"88085001"</f>
        <v>88085001</v>
      </c>
      <c r="U840" t="str">
        <f>"CAPOEIRAS"</f>
        <v>CAPOEIRAS</v>
      </c>
      <c r="V840" t="str">
        <f>"FLORIANOPOLIS"</f>
        <v>FLORIANOPOLIS</v>
      </c>
      <c r="W840" t="str">
        <f t="shared" si="430"/>
        <v>SC</v>
      </c>
      <c r="X840" t="str">
        <f t="shared" si="420"/>
        <v>48</v>
      </c>
      <c r="Y840" t="str">
        <f>"32483683"</f>
        <v>32483683</v>
      </c>
      <c r="Z840" t="str">
        <f>""</f>
        <v/>
      </c>
      <c r="AA840" t="str">
        <f>""</f>
        <v/>
      </c>
      <c r="AB840" t="str">
        <f>""</f>
        <v/>
      </c>
      <c r="AC840" t="str">
        <f>""</f>
        <v/>
      </c>
      <c r="AD840" t="str">
        <f>""</f>
        <v/>
      </c>
      <c r="AE840" t="str">
        <f>""</f>
        <v/>
      </c>
      <c r="AF840" t="str">
        <f>""</f>
        <v/>
      </c>
      <c r="AG840" t="str">
        <f>""</f>
        <v/>
      </c>
      <c r="AH840" t="str">
        <f>""</f>
        <v/>
      </c>
      <c r="AI840" t="str">
        <f>""</f>
        <v/>
      </c>
      <c r="AJ840" t="str">
        <f>""</f>
        <v/>
      </c>
      <c r="AK840" t="str">
        <f>""</f>
        <v/>
      </c>
      <c r="AL840" t="str">
        <f>""</f>
        <v/>
      </c>
      <c r="AM840" t="str">
        <f>""</f>
        <v/>
      </c>
      <c r="AN840" t="str">
        <f>""</f>
        <v/>
      </c>
      <c r="AO840" t="str">
        <f>""</f>
        <v/>
      </c>
      <c r="AP840" t="str">
        <f>""</f>
        <v/>
      </c>
      <c r="AQ840" t="str">
        <f>""</f>
        <v/>
      </c>
      <c r="AR840" t="str">
        <f>""</f>
        <v/>
      </c>
      <c r="AS840" t="str">
        <f>""</f>
        <v/>
      </c>
      <c r="AT840" t="str">
        <f>""</f>
        <v/>
      </c>
      <c r="AU840" t="str">
        <f>""</f>
        <v/>
      </c>
      <c r="AV840" t="str">
        <f>""</f>
        <v/>
      </c>
      <c r="AW840" t="str">
        <f>""</f>
        <v/>
      </c>
      <c r="AX840" t="str">
        <f>""</f>
        <v/>
      </c>
      <c r="AY840" t="str">
        <f>""</f>
        <v/>
      </c>
      <c r="AZ840" t="str">
        <f>""</f>
        <v/>
      </c>
      <c r="BA840" t="str">
        <f>""</f>
        <v/>
      </c>
      <c r="BB840" t="str">
        <f>"11/07/2023 02:19:56"</f>
        <v>11/07/2023 02:19:56</v>
      </c>
      <c r="BC840" t="str">
        <f>""</f>
        <v/>
      </c>
      <c r="BD840" t="str">
        <f>""</f>
        <v/>
      </c>
      <c r="BE840" t="str">
        <f>""</f>
        <v/>
      </c>
      <c r="BF840" t="str">
        <f t="shared" si="426"/>
        <v>A</v>
      </c>
      <c r="BG840" t="str">
        <f>""</f>
        <v/>
      </c>
      <c r="BH840" t="str">
        <f>""</f>
        <v/>
      </c>
      <c r="BI840" t="str">
        <f t="shared" si="410"/>
        <v>EVENTUAL</v>
      </c>
      <c r="BJ840" t="str">
        <f t="shared" si="427"/>
        <v>1</v>
      </c>
      <c r="BK840" t="str">
        <f t="shared" si="428"/>
        <v>Farmacia</v>
      </c>
      <c r="BL840" t="str">
        <f>""</f>
        <v/>
      </c>
      <c r="BM840" t="str">
        <f>""</f>
        <v/>
      </c>
      <c r="BN840" t="str">
        <f>""</f>
        <v/>
      </c>
      <c r="BO840" t="str">
        <f>""</f>
        <v/>
      </c>
      <c r="BP840" t="str">
        <f>""</f>
        <v/>
      </c>
      <c r="BQ840" t="str">
        <f>""</f>
        <v/>
      </c>
      <c r="BR840" t="str">
        <f>"11/07/2023"</f>
        <v>11/07/2023</v>
      </c>
      <c r="BS840" t="str">
        <f>""</f>
        <v/>
      </c>
      <c r="BT840" t="str">
        <f>""</f>
        <v/>
      </c>
      <c r="BU840" t="str">
        <f>""</f>
        <v/>
      </c>
      <c r="BV840" t="str">
        <f>""</f>
        <v/>
      </c>
      <c r="BW840" t="str">
        <f>"Não visitado"</f>
        <v>Não visitado</v>
      </c>
    </row>
    <row r="841" spans="1:75" x14ac:dyDescent="0.35">
      <c r="A841">
        <v>144518</v>
      </c>
      <c r="B841" t="str">
        <f t="shared" si="423"/>
        <v>A</v>
      </c>
      <c r="C841" t="str">
        <f t="shared" si="424"/>
        <v>80</v>
      </c>
      <c r="D841" t="str">
        <f t="shared" si="417"/>
        <v>11121002</v>
      </c>
      <c r="E841" t="str">
        <f t="shared" si="418"/>
        <v>121002</v>
      </c>
      <c r="F841" t="str">
        <f t="shared" si="419"/>
        <v>CINTHIA NORONHA</v>
      </c>
      <c r="G841" t="str">
        <f>"18252801000100"</f>
        <v>18252801000100</v>
      </c>
      <c r="H841" t="str">
        <f>""</f>
        <v/>
      </c>
      <c r="I841" t="str">
        <f t="shared" si="425"/>
        <v>CONTA OPTICA</v>
      </c>
      <c r="J841" t="str">
        <f>"MARCELO RAMOS JOALHERIA E OTICA ME"</f>
        <v>MARCELO RAMOS JOALHERIA E OTICA ME</v>
      </c>
      <c r="K841" t="str">
        <f>"JOALHERIA E OTICA NEXUS (4050)"</f>
        <v>JOALHERIA E OTICA NEXUS (4050)</v>
      </c>
      <c r="L841" t="str">
        <f>""</f>
        <v/>
      </c>
      <c r="M841" t="str">
        <f>""</f>
        <v/>
      </c>
      <c r="N841" t="str">
        <f>"oticasnexus@gmail.com"</f>
        <v>oticasnexus@gmail.com</v>
      </c>
      <c r="O841" t="str">
        <f>""</f>
        <v/>
      </c>
      <c r="P841" t="str">
        <f>"RUA XV DE NOVEMBRO"</f>
        <v>RUA XV DE NOVEMBRO</v>
      </c>
      <c r="Q841" t="str">
        <f>"1720"</f>
        <v>1720</v>
      </c>
      <c r="R841" t="str">
        <f>"SALA 02"</f>
        <v>SALA 02</v>
      </c>
      <c r="S841" t="str">
        <f>"1270"</f>
        <v>1270</v>
      </c>
      <c r="T841" t="str">
        <f>"88900021"</f>
        <v>88900021</v>
      </c>
      <c r="U841" t="str">
        <f>"CENTRO"</f>
        <v>CENTRO</v>
      </c>
      <c r="V841" t="str">
        <f>"ARARANGUÁ"</f>
        <v>ARARANGUÁ</v>
      </c>
      <c r="W841" t="str">
        <f t="shared" si="430"/>
        <v>SC</v>
      </c>
      <c r="X841" t="str">
        <f t="shared" si="420"/>
        <v>48</v>
      </c>
      <c r="Y841" t="str">
        <f>"35220198"</f>
        <v>35220198</v>
      </c>
      <c r="Z841" t="str">
        <f>""</f>
        <v/>
      </c>
      <c r="AA841" t="str">
        <f>""</f>
        <v/>
      </c>
      <c r="AB841" t="str">
        <f>""</f>
        <v/>
      </c>
      <c r="AC841" t="str">
        <f>""</f>
        <v/>
      </c>
      <c r="AD841" t="str">
        <f>""</f>
        <v/>
      </c>
      <c r="AE841" t="str">
        <f>""</f>
        <v/>
      </c>
      <c r="AF841" t="str">
        <f>""</f>
        <v/>
      </c>
      <c r="AG841" t="str">
        <f>""</f>
        <v/>
      </c>
      <c r="AH841" t="str">
        <f>""</f>
        <v/>
      </c>
      <c r="AI841" t="str">
        <f>""</f>
        <v/>
      </c>
      <c r="AJ841" t="str">
        <f t="shared" ref="AJ841:AL842" si="431">"0"</f>
        <v>0</v>
      </c>
      <c r="AK841" t="str">
        <f t="shared" si="431"/>
        <v>0</v>
      </c>
      <c r="AL841" t="str">
        <f t="shared" si="431"/>
        <v>0</v>
      </c>
      <c r="AM841" t="str">
        <f>""</f>
        <v/>
      </c>
      <c r="AN841" t="str">
        <f>""</f>
        <v/>
      </c>
      <c r="AO841" t="str">
        <f>""</f>
        <v/>
      </c>
      <c r="AP841" t="str">
        <f>""</f>
        <v/>
      </c>
      <c r="AQ841" t="str">
        <f>""</f>
        <v/>
      </c>
      <c r="AR841" t="str">
        <f>""</f>
        <v/>
      </c>
      <c r="AS841" t="str">
        <f>""</f>
        <v/>
      </c>
      <c r="AT841" t="str">
        <f>""</f>
        <v/>
      </c>
      <c r="AU841" t="str">
        <f>""</f>
        <v/>
      </c>
      <c r="AV841" t="str">
        <f>""</f>
        <v/>
      </c>
      <c r="AW841" t="str">
        <f>""</f>
        <v/>
      </c>
      <c r="AX841" t="str">
        <f>""</f>
        <v/>
      </c>
      <c r="AY841" t="str">
        <f>""</f>
        <v/>
      </c>
      <c r="AZ841" t="str">
        <f>""</f>
        <v/>
      </c>
      <c r="BA841" t="str">
        <f>""</f>
        <v/>
      </c>
      <c r="BB841" t="str">
        <f>""</f>
        <v/>
      </c>
      <c r="BC841" t="str">
        <f>""</f>
        <v/>
      </c>
      <c r="BD841" t="str">
        <f>""</f>
        <v/>
      </c>
      <c r="BE841" t="str">
        <f>""</f>
        <v/>
      </c>
      <c r="BF841" t="str">
        <f t="shared" si="426"/>
        <v>A</v>
      </c>
      <c r="BG841" t="str">
        <f>"0,00"</f>
        <v>0,00</v>
      </c>
      <c r="BH841" t="str">
        <f>"0,00"</f>
        <v>0,00</v>
      </c>
      <c r="BI841" t="str">
        <f t="shared" si="410"/>
        <v>EVENTUAL</v>
      </c>
      <c r="BJ841" t="str">
        <f t="shared" si="427"/>
        <v>1</v>
      </c>
      <c r="BK841" t="str">
        <f t="shared" si="428"/>
        <v>Farmacia</v>
      </c>
      <c r="BL841" t="str">
        <f>""</f>
        <v/>
      </c>
      <c r="BM841" t="str">
        <f>"NÃO É VARILUX ESPECIALISTA"</f>
        <v>NÃO É VARILUX ESPECIALISTA</v>
      </c>
      <c r="BN841" t="str">
        <f>"NA"</f>
        <v>NA</v>
      </c>
      <c r="BO841" t="str">
        <f>"FOCO VARILUX"</f>
        <v>FOCO VARILUX</v>
      </c>
      <c r="BP841" t="str">
        <f>""</f>
        <v/>
      </c>
      <c r="BQ841" t="str">
        <f>""</f>
        <v/>
      </c>
      <c r="BR841" t="str">
        <f>""</f>
        <v/>
      </c>
      <c r="BS841" t="str">
        <f>""</f>
        <v/>
      </c>
      <c r="BT841" t="str">
        <f>""</f>
        <v/>
      </c>
      <c r="BU841" t="str">
        <f>""</f>
        <v/>
      </c>
      <c r="BV841" t="str">
        <f>"9"</f>
        <v>9</v>
      </c>
      <c r="BW841" t="str">
        <f>"Não visitado"</f>
        <v>Não visitado</v>
      </c>
    </row>
    <row r="842" spans="1:75" x14ac:dyDescent="0.35">
      <c r="A842">
        <v>144333</v>
      </c>
      <c r="B842" t="str">
        <f t="shared" si="423"/>
        <v>A</v>
      </c>
      <c r="C842" t="str">
        <f t="shared" si="424"/>
        <v>80</v>
      </c>
      <c r="D842" t="str">
        <f t="shared" si="417"/>
        <v>11121002</v>
      </c>
      <c r="E842" t="str">
        <f t="shared" si="418"/>
        <v>121002</v>
      </c>
      <c r="F842" t="str">
        <f t="shared" si="419"/>
        <v>CINTHIA NORONHA</v>
      </c>
      <c r="G842" t="str">
        <f>"13164726000101"</f>
        <v>13164726000101</v>
      </c>
      <c r="H842" t="str">
        <f>""</f>
        <v/>
      </c>
      <c r="I842" t="str">
        <f t="shared" si="425"/>
        <v>CONTA OPTICA</v>
      </c>
      <c r="J842" t="str">
        <f>"MARCELO RIBEIRO CATTELAN ME"</f>
        <v>MARCELO RIBEIRO CATTELAN ME</v>
      </c>
      <c r="K842" t="str">
        <f>"OTICA E RELOJOARIA MARCELO (1801)"</f>
        <v>OTICA E RELOJOARIA MARCELO (1801)</v>
      </c>
      <c r="L842" t="str">
        <f>""</f>
        <v/>
      </c>
      <c r="M842" t="str">
        <f>""</f>
        <v/>
      </c>
      <c r="N842" t="str">
        <f>"opticamarcelor@hotmail.com"</f>
        <v>opticamarcelor@hotmail.com</v>
      </c>
      <c r="O842" t="str">
        <f>""</f>
        <v/>
      </c>
      <c r="P842" t="str">
        <f>"RUA R. PADRE AULING"</f>
        <v>RUA R. PADRE AULING</v>
      </c>
      <c r="Q842" t="str">
        <f>"15"</f>
        <v>15</v>
      </c>
      <c r="R842" t="str">
        <f>""</f>
        <v/>
      </c>
      <c r="S842" t="str">
        <f>"1268"</f>
        <v>1268</v>
      </c>
      <c r="T842" t="str">
        <f>"88760000"</f>
        <v>88760000</v>
      </c>
      <c r="U842" t="str">
        <f>"CENTRO"</f>
        <v>CENTRO</v>
      </c>
      <c r="V842" t="str">
        <f>"RIO FORTUNA"</f>
        <v>RIO FORTUNA</v>
      </c>
      <c r="W842" t="str">
        <f t="shared" si="430"/>
        <v>SC</v>
      </c>
      <c r="X842" t="str">
        <f t="shared" si="420"/>
        <v>48</v>
      </c>
      <c r="Y842" t="str">
        <f>"36531912"</f>
        <v>36531912</v>
      </c>
      <c r="Z842" t="str">
        <f>""</f>
        <v/>
      </c>
      <c r="AA842" t="str">
        <f>""</f>
        <v/>
      </c>
      <c r="AB842" t="str">
        <f>""</f>
        <v/>
      </c>
      <c r="AC842" t="str">
        <f>""</f>
        <v/>
      </c>
      <c r="AD842" t="str">
        <f>""</f>
        <v/>
      </c>
      <c r="AE842" t="str">
        <f>""</f>
        <v/>
      </c>
      <c r="AF842" t="str">
        <f>""</f>
        <v/>
      </c>
      <c r="AG842" t="str">
        <f>""</f>
        <v/>
      </c>
      <c r="AH842" t="str">
        <f>""</f>
        <v/>
      </c>
      <c r="AI842" t="str">
        <f>""</f>
        <v/>
      </c>
      <c r="AJ842" t="str">
        <f t="shared" si="431"/>
        <v>0</v>
      </c>
      <c r="AK842" t="str">
        <f t="shared" si="431"/>
        <v>0</v>
      </c>
      <c r="AL842" t="str">
        <f t="shared" si="431"/>
        <v>0</v>
      </c>
      <c r="AM842" t="str">
        <f>""</f>
        <v/>
      </c>
      <c r="AN842" t="str">
        <f>""</f>
        <v/>
      </c>
      <c r="AO842" t="str">
        <f>""</f>
        <v/>
      </c>
      <c r="AP842" t="str">
        <f>""</f>
        <v/>
      </c>
      <c r="AQ842" t="str">
        <f>""</f>
        <v/>
      </c>
      <c r="AR842" t="str">
        <f>""</f>
        <v/>
      </c>
      <c r="AS842" t="str">
        <f>""</f>
        <v/>
      </c>
      <c r="AT842" t="str">
        <f>""</f>
        <v/>
      </c>
      <c r="AU842" t="str">
        <f>""</f>
        <v/>
      </c>
      <c r="AV842" t="str">
        <f>""</f>
        <v/>
      </c>
      <c r="AW842" t="str">
        <f>""</f>
        <v/>
      </c>
      <c r="AX842" t="str">
        <f>""</f>
        <v/>
      </c>
      <c r="AY842" t="str">
        <f>""</f>
        <v/>
      </c>
      <c r="AZ842" t="str">
        <f>""</f>
        <v/>
      </c>
      <c r="BA842" t="str">
        <f>""</f>
        <v/>
      </c>
      <c r="BB842" t="str">
        <f>""</f>
        <v/>
      </c>
      <c r="BC842" t="str">
        <f>""</f>
        <v/>
      </c>
      <c r="BD842" t="str">
        <f>""</f>
        <v/>
      </c>
      <c r="BE842" t="str">
        <f>""</f>
        <v/>
      </c>
      <c r="BF842" t="str">
        <f t="shared" si="426"/>
        <v>A</v>
      </c>
      <c r="BG842" t="str">
        <f>"0,00"</f>
        <v>0,00</v>
      </c>
      <c r="BH842" t="str">
        <f>"0,00"</f>
        <v>0,00</v>
      </c>
      <c r="BI842" t="str">
        <f t="shared" si="410"/>
        <v>EVENTUAL</v>
      </c>
      <c r="BJ842" t="str">
        <f t="shared" si="427"/>
        <v>1</v>
      </c>
      <c r="BK842" t="str">
        <f t="shared" si="428"/>
        <v>Farmacia</v>
      </c>
      <c r="BL842" t="str">
        <f>""</f>
        <v/>
      </c>
      <c r="BM842" t="str">
        <f>"NÃO É VARILUX ESPECIALISTA"</f>
        <v>NÃO É VARILUX ESPECIALISTA</v>
      </c>
      <c r="BN842" t="str">
        <f>"NA"</f>
        <v>NA</v>
      </c>
      <c r="BO842" t="str">
        <f>"FOCO KODAK 1"</f>
        <v>FOCO KODAK 1</v>
      </c>
      <c r="BP842" t="str">
        <f>""</f>
        <v/>
      </c>
      <c r="BQ842" t="str">
        <f>""</f>
        <v/>
      </c>
      <c r="BR842" t="str">
        <f>""</f>
        <v/>
      </c>
      <c r="BS842" t="str">
        <f>""</f>
        <v/>
      </c>
      <c r="BT842" t="str">
        <f>""</f>
        <v/>
      </c>
      <c r="BU842" t="str">
        <f>""</f>
        <v/>
      </c>
      <c r="BV842" t="str">
        <f>"9"</f>
        <v>9</v>
      </c>
      <c r="BW842" t="str">
        <f>"66"</f>
        <v>66</v>
      </c>
    </row>
    <row r="843" spans="1:75" x14ac:dyDescent="0.35">
      <c r="A843">
        <v>151642</v>
      </c>
      <c r="B843" t="str">
        <f t="shared" si="423"/>
        <v>A</v>
      </c>
      <c r="C843" t="str">
        <f t="shared" si="424"/>
        <v>80</v>
      </c>
      <c r="D843" t="str">
        <f t="shared" si="417"/>
        <v>11121002</v>
      </c>
      <c r="E843" t="str">
        <f t="shared" si="418"/>
        <v>121002</v>
      </c>
      <c r="F843" t="str">
        <f t="shared" si="419"/>
        <v>CINTHIA NORONHA</v>
      </c>
      <c r="G843" t="str">
        <f>"00903462000119"</f>
        <v>00903462000119</v>
      </c>
      <c r="H843" t="str">
        <f>"0"</f>
        <v>0</v>
      </c>
      <c r="I843" t="str">
        <f t="shared" si="425"/>
        <v>CONTA OPTICA</v>
      </c>
      <c r="J843" t="str">
        <f>"MARCIO MIGUEL"</f>
        <v>MARCIO MIGUEL</v>
      </c>
      <c r="K843" t="str">
        <f>"RELOJOARIA E OTICA SANTINHO (4572)"</f>
        <v>RELOJOARIA E OTICA SANTINHO (4572)</v>
      </c>
      <c r="L843" t="str">
        <f>""</f>
        <v/>
      </c>
      <c r="M843" t="str">
        <f>""</f>
        <v/>
      </c>
      <c r="N843" t="str">
        <f>"RELOJOARIAEOTICASANTINHO@HOTMAIL.COM"</f>
        <v>RELOJOARIAEOTICASANTINHO@HOTMAIL.COM</v>
      </c>
      <c r="O843" t="str">
        <f>""</f>
        <v/>
      </c>
      <c r="P843" t="str">
        <f>"RUA MANOEL JOAQUIM PINTO"</f>
        <v>RUA MANOEL JOAQUIM PINTO</v>
      </c>
      <c r="Q843" t="str">
        <f>"271"</f>
        <v>271</v>
      </c>
      <c r="R843" t="str">
        <f>""</f>
        <v/>
      </c>
      <c r="S843" t="str">
        <f>"1267"</f>
        <v>1267</v>
      </c>
      <c r="T843" t="str">
        <f>"88600000"</f>
        <v>88600000</v>
      </c>
      <c r="U843" t="str">
        <f>"CENTRO"</f>
        <v>CENTRO</v>
      </c>
      <c r="V843" t="str">
        <f>"SAO JOAQUIM"</f>
        <v>SAO JOAQUIM</v>
      </c>
      <c r="W843" t="str">
        <f t="shared" si="430"/>
        <v>SC</v>
      </c>
      <c r="X843" t="str">
        <f>"49"</f>
        <v>49</v>
      </c>
      <c r="Y843" t="str">
        <f>"32331701"</f>
        <v>32331701</v>
      </c>
      <c r="Z843" t="str">
        <f>""</f>
        <v/>
      </c>
      <c r="AA843" t="str">
        <f>""</f>
        <v/>
      </c>
      <c r="AB843" t="str">
        <f>""</f>
        <v/>
      </c>
      <c r="AC843" t="str">
        <f>""</f>
        <v/>
      </c>
      <c r="AD843" t="str">
        <f>""</f>
        <v/>
      </c>
      <c r="AE843" t="str">
        <f>""</f>
        <v/>
      </c>
      <c r="AF843" t="str">
        <f>""</f>
        <v/>
      </c>
      <c r="AG843" t="str">
        <f>""</f>
        <v/>
      </c>
      <c r="AH843" t="str">
        <f>""</f>
        <v/>
      </c>
      <c r="AI843" t="str">
        <f>""</f>
        <v/>
      </c>
      <c r="AJ843" t="str">
        <f>""</f>
        <v/>
      </c>
      <c r="AK843" t="str">
        <f>""</f>
        <v/>
      </c>
      <c r="AL843" t="str">
        <f>""</f>
        <v/>
      </c>
      <c r="AM843" t="str">
        <f>""</f>
        <v/>
      </c>
      <c r="AN843" t="str">
        <f>""</f>
        <v/>
      </c>
      <c r="AO843" t="str">
        <f>""</f>
        <v/>
      </c>
      <c r="AP843" t="str">
        <f>""</f>
        <v/>
      </c>
      <c r="AQ843" t="str">
        <f>""</f>
        <v/>
      </c>
      <c r="AR843" t="str">
        <f>""</f>
        <v/>
      </c>
      <c r="AS843" t="str">
        <f>""</f>
        <v/>
      </c>
      <c r="AT843" t="str">
        <f>""</f>
        <v/>
      </c>
      <c r="AU843" t="str">
        <f>""</f>
        <v/>
      </c>
      <c r="AV843" t="str">
        <f>""</f>
        <v/>
      </c>
      <c r="AW843" t="str">
        <f>""</f>
        <v/>
      </c>
      <c r="AX843" t="str">
        <f>""</f>
        <v/>
      </c>
      <c r="AY843" t="str">
        <f>""</f>
        <v/>
      </c>
      <c r="AZ843" t="str">
        <f>""</f>
        <v/>
      </c>
      <c r="BA843" t="str">
        <f>""</f>
        <v/>
      </c>
      <c r="BB843" t="str">
        <f>"18/11/2022 14:22:14"</f>
        <v>18/11/2022 14:22:14</v>
      </c>
      <c r="BC843" t="str">
        <f>""</f>
        <v/>
      </c>
      <c r="BD843" t="str">
        <f>""</f>
        <v/>
      </c>
      <c r="BE843" t="str">
        <f>""</f>
        <v/>
      </c>
      <c r="BF843" t="str">
        <f t="shared" si="426"/>
        <v>A</v>
      </c>
      <c r="BG843" t="str">
        <f>""</f>
        <v/>
      </c>
      <c r="BH843" t="str">
        <f>""</f>
        <v/>
      </c>
      <c r="BI843" t="str">
        <f t="shared" si="410"/>
        <v>EVENTUAL</v>
      </c>
      <c r="BJ843" t="str">
        <f t="shared" si="427"/>
        <v>1</v>
      </c>
      <c r="BK843" t="str">
        <f t="shared" si="428"/>
        <v>Farmacia</v>
      </c>
      <c r="BL843" t="str">
        <f>""</f>
        <v/>
      </c>
      <c r="BM843" t="str">
        <f>"NÃO É VARILUX ESPECIALISTA"</f>
        <v>NÃO É VARILUX ESPECIALISTA</v>
      </c>
      <c r="BN843" t="str">
        <f>""</f>
        <v/>
      </c>
      <c r="BO843" t="str">
        <f>""</f>
        <v/>
      </c>
      <c r="BP843" t="str">
        <f>""</f>
        <v/>
      </c>
      <c r="BQ843" t="str">
        <f>""</f>
        <v/>
      </c>
      <c r="BR843" t="str">
        <f>"18/11/2022"</f>
        <v>18/11/2022</v>
      </c>
      <c r="BS843" t="str">
        <f>""</f>
        <v/>
      </c>
      <c r="BT843" t="str">
        <f>""</f>
        <v/>
      </c>
      <c r="BU843" t="str">
        <f>""</f>
        <v/>
      </c>
      <c r="BV843" t="str">
        <f>""</f>
        <v/>
      </c>
      <c r="BW843" t="str">
        <f>"65"</f>
        <v>65</v>
      </c>
    </row>
    <row r="844" spans="1:75" x14ac:dyDescent="0.35">
      <c r="A844">
        <v>134243</v>
      </c>
      <c r="B844" t="str">
        <f t="shared" si="423"/>
        <v>A</v>
      </c>
      <c r="C844" t="str">
        <f t="shared" si="424"/>
        <v>80</v>
      </c>
      <c r="D844" t="str">
        <f t="shared" si="417"/>
        <v>11121002</v>
      </c>
      <c r="E844" t="str">
        <f t="shared" si="418"/>
        <v>121002</v>
      </c>
      <c r="F844" t="str">
        <f t="shared" si="419"/>
        <v>CINTHIA NORONHA</v>
      </c>
      <c r="G844" t="str">
        <f>"15106916000106"</f>
        <v>15106916000106</v>
      </c>
      <c r="H844" t="str">
        <f>""</f>
        <v/>
      </c>
      <c r="I844" t="str">
        <f t="shared" si="425"/>
        <v>CONTA OPTICA</v>
      </c>
      <c r="J844" t="str">
        <f>"MARIA A. PEREIRA OPTICA EIRELI - EPP"</f>
        <v>MARIA A. PEREIRA OPTICA EIRELI - EPP</v>
      </c>
      <c r="K844" t="str">
        <f>"OPTICA MARIA (2140)"</f>
        <v>OPTICA MARIA (2140)</v>
      </c>
      <c r="L844" t="str">
        <f>""</f>
        <v/>
      </c>
      <c r="M844" t="str">
        <f>""</f>
        <v/>
      </c>
      <c r="N844" t="str">
        <f>"tem.mondadori@hotmail.com"</f>
        <v>tem.mondadori@hotmail.com</v>
      </c>
      <c r="O844" t="str">
        <f>""</f>
        <v/>
      </c>
      <c r="P844" t="str">
        <f>"AVENIDA DELAMAR JOSE DA SILVA"</f>
        <v>AVENIDA DELAMAR JOSE DA SILVA</v>
      </c>
      <c r="Q844" t="str">
        <f>"100"</f>
        <v>100</v>
      </c>
      <c r="R844" t="str">
        <f>"SALA 3"</f>
        <v>SALA 3</v>
      </c>
      <c r="S844" t="str">
        <f>"1259"</f>
        <v>1259</v>
      </c>
      <c r="T844" t="str">
        <f>"88102100"</f>
        <v>88102100</v>
      </c>
      <c r="U844" t="str">
        <f>"KOBRASOL"</f>
        <v>KOBRASOL</v>
      </c>
      <c r="V844" t="str">
        <f>"SÃO JOSÉ"</f>
        <v>SÃO JOSÉ</v>
      </c>
      <c r="W844" t="str">
        <f t="shared" si="430"/>
        <v>SC</v>
      </c>
      <c r="X844" t="str">
        <f t="shared" ref="X844:X850" si="432">"48"</f>
        <v>48</v>
      </c>
      <c r="Y844" t="str">
        <f>"30474767"</f>
        <v>30474767</v>
      </c>
      <c r="Z844" t="str">
        <f>""</f>
        <v/>
      </c>
      <c r="AA844" t="str">
        <f>""</f>
        <v/>
      </c>
      <c r="AB844" t="str">
        <f>""</f>
        <v/>
      </c>
      <c r="AC844" t="str">
        <f>""</f>
        <v/>
      </c>
      <c r="AD844" t="str">
        <f>""</f>
        <v/>
      </c>
      <c r="AE844" t="str">
        <f>""</f>
        <v/>
      </c>
      <c r="AF844" t="str">
        <f>""</f>
        <v/>
      </c>
      <c r="AG844" t="str">
        <f>"S"</f>
        <v>S</v>
      </c>
      <c r="AH844" t="str">
        <f>""</f>
        <v/>
      </c>
      <c r="AI844" t="str">
        <f>""</f>
        <v/>
      </c>
      <c r="AJ844" t="str">
        <f t="shared" ref="AJ844:AL845" si="433">"0"</f>
        <v>0</v>
      </c>
      <c r="AK844" t="str">
        <f t="shared" si="433"/>
        <v>0</v>
      </c>
      <c r="AL844" t="str">
        <f t="shared" si="433"/>
        <v>0</v>
      </c>
      <c r="AM844" t="str">
        <f>""</f>
        <v/>
      </c>
      <c r="AN844" t="str">
        <f>""</f>
        <v/>
      </c>
      <c r="AO844" t="str">
        <f>""</f>
        <v/>
      </c>
      <c r="AP844" t="str">
        <f>""</f>
        <v/>
      </c>
      <c r="AQ844" t="str">
        <f t="shared" ref="AQ844:AU845" si="434">"N"</f>
        <v>N</v>
      </c>
      <c r="AR844" t="str">
        <f t="shared" si="434"/>
        <v>N</v>
      </c>
      <c r="AS844" t="str">
        <f t="shared" si="434"/>
        <v>N</v>
      </c>
      <c r="AT844" t="str">
        <f t="shared" si="434"/>
        <v>N</v>
      </c>
      <c r="AU844" t="str">
        <f t="shared" si="434"/>
        <v>N</v>
      </c>
      <c r="AV844" t="str">
        <f>""</f>
        <v/>
      </c>
      <c r="AW844" t="str">
        <f>""</f>
        <v/>
      </c>
      <c r="AX844" t="str">
        <f>""</f>
        <v/>
      </c>
      <c r="AY844" t="str">
        <f>""</f>
        <v/>
      </c>
      <c r="AZ844" t="str">
        <f>""</f>
        <v/>
      </c>
      <c r="BA844" t="str">
        <f>""</f>
        <v/>
      </c>
      <c r="BB844" t="str">
        <f>""</f>
        <v/>
      </c>
      <c r="BC844" t="str">
        <f>"14/03/2022 09:58:13"</f>
        <v>14/03/2022 09:58:13</v>
      </c>
      <c r="BD844" t="str">
        <f>""</f>
        <v/>
      </c>
      <c r="BE844" t="str">
        <f>""</f>
        <v/>
      </c>
      <c r="BF844" t="str">
        <f t="shared" si="426"/>
        <v>A</v>
      </c>
      <c r="BG844" t="str">
        <f>"0,00"</f>
        <v>0,00</v>
      </c>
      <c r="BH844" t="str">
        <f>"0,00"</f>
        <v>0,00</v>
      </c>
      <c r="BI844" t="str">
        <f t="shared" si="410"/>
        <v>EVENTUAL</v>
      </c>
      <c r="BJ844" t="str">
        <f t="shared" si="427"/>
        <v>1</v>
      </c>
      <c r="BK844" t="str">
        <f t="shared" si="428"/>
        <v>Farmacia</v>
      </c>
      <c r="BL844" t="str">
        <f>""</f>
        <v/>
      </c>
      <c r="BM844" t="str">
        <f>"NÃO É VARILUX ESPECIALISTA"</f>
        <v>NÃO É VARILUX ESPECIALISTA</v>
      </c>
      <c r="BN844" t="str">
        <f>"NA"</f>
        <v>NA</v>
      </c>
      <c r="BO844" t="str">
        <f>"FOCO VARILUX"</f>
        <v>FOCO VARILUX</v>
      </c>
      <c r="BP844" t="str">
        <f>""</f>
        <v/>
      </c>
      <c r="BQ844" t="str">
        <f>""</f>
        <v/>
      </c>
      <c r="BR844" t="str">
        <f>""</f>
        <v/>
      </c>
      <c r="BS844" t="str">
        <f>"14/03/2022"</f>
        <v>14/03/2022</v>
      </c>
      <c r="BT844" t="str">
        <f>""</f>
        <v/>
      </c>
      <c r="BU844" t="str">
        <f>""</f>
        <v/>
      </c>
      <c r="BV844" t="str">
        <f>"2"</f>
        <v>2</v>
      </c>
      <c r="BW844" t="str">
        <f>"171"</f>
        <v>171</v>
      </c>
    </row>
    <row r="845" spans="1:75" x14ac:dyDescent="0.35">
      <c r="A845">
        <v>134232</v>
      </c>
      <c r="B845" t="str">
        <f t="shared" si="423"/>
        <v>A</v>
      </c>
      <c r="C845" t="str">
        <f t="shared" si="424"/>
        <v>80</v>
      </c>
      <c r="D845" t="str">
        <f t="shared" si="417"/>
        <v>11121002</v>
      </c>
      <c r="E845" t="str">
        <f t="shared" si="418"/>
        <v>121002</v>
      </c>
      <c r="F845" t="str">
        <f t="shared" si="419"/>
        <v>CINTHIA NORONHA</v>
      </c>
      <c r="G845" t="str">
        <f>"12275019000120"</f>
        <v>12275019000120</v>
      </c>
      <c r="H845" t="str">
        <f>""</f>
        <v/>
      </c>
      <c r="I845" t="str">
        <f t="shared" si="425"/>
        <v>CONTA OPTICA</v>
      </c>
      <c r="J845" t="str">
        <f>"MARIA ANGELICA DOS PASSOS GENTIL ME"</f>
        <v>MARIA ANGELICA DOS PASSOS GENTIL ME</v>
      </c>
      <c r="K845" t="str">
        <f>"OTICA CAMPECHE (1770)"</f>
        <v>OTICA CAMPECHE (1770)</v>
      </c>
      <c r="L845" t="str">
        <f>""</f>
        <v/>
      </c>
      <c r="M845" t="str">
        <f>""</f>
        <v/>
      </c>
      <c r="N845" t="str">
        <f>"oticacampeche@gmail.com"</f>
        <v>oticacampeche@gmail.com</v>
      </c>
      <c r="O845" t="str">
        <f>""</f>
        <v/>
      </c>
      <c r="P845" t="str">
        <f>"AVENIDA PEQUENO PRINCIPE"</f>
        <v>AVENIDA PEQUENO PRINCIPE</v>
      </c>
      <c r="Q845" t="str">
        <f>"2028"</f>
        <v>2028</v>
      </c>
      <c r="R845" t="str">
        <f>"LOJA 01"</f>
        <v>LOJA 01</v>
      </c>
      <c r="S845" t="str">
        <f>"1257"</f>
        <v>1257</v>
      </c>
      <c r="T845" t="str">
        <f>"88063000"</f>
        <v>88063000</v>
      </c>
      <c r="U845" t="str">
        <f>"CAMPECHE"</f>
        <v>CAMPECHE</v>
      </c>
      <c r="V845" t="str">
        <f>"FLORIANÓPOLIS"</f>
        <v>FLORIANÓPOLIS</v>
      </c>
      <c r="W845" t="str">
        <f t="shared" si="430"/>
        <v>SC</v>
      </c>
      <c r="X845" t="str">
        <f t="shared" si="432"/>
        <v>48</v>
      </c>
      <c r="Y845" t="str">
        <f>"33382101"</f>
        <v>33382101</v>
      </c>
      <c r="Z845" t="str">
        <f>""</f>
        <v/>
      </c>
      <c r="AA845" t="str">
        <f>""</f>
        <v/>
      </c>
      <c r="AB845" t="str">
        <f>""</f>
        <v/>
      </c>
      <c r="AC845" t="str">
        <f>""</f>
        <v/>
      </c>
      <c r="AD845" t="str">
        <f>""</f>
        <v/>
      </c>
      <c r="AE845" t="str">
        <f>""</f>
        <v/>
      </c>
      <c r="AF845" t="str">
        <f>""</f>
        <v/>
      </c>
      <c r="AG845" t="str">
        <f>"S"</f>
        <v>S</v>
      </c>
      <c r="AH845" t="str">
        <f>""</f>
        <v/>
      </c>
      <c r="AI845" t="str">
        <f>""</f>
        <v/>
      </c>
      <c r="AJ845" t="str">
        <f t="shared" si="433"/>
        <v>0</v>
      </c>
      <c r="AK845" t="str">
        <f t="shared" si="433"/>
        <v>0</v>
      </c>
      <c r="AL845" t="str">
        <f t="shared" si="433"/>
        <v>0</v>
      </c>
      <c r="AM845" t="str">
        <f>""</f>
        <v/>
      </c>
      <c r="AN845" t="str">
        <f>""</f>
        <v/>
      </c>
      <c r="AO845" t="str">
        <f>""</f>
        <v/>
      </c>
      <c r="AP845" t="str">
        <f>""</f>
        <v/>
      </c>
      <c r="AQ845" t="str">
        <f t="shared" si="434"/>
        <v>N</v>
      </c>
      <c r="AR845" t="str">
        <f t="shared" si="434"/>
        <v>N</v>
      </c>
      <c r="AS845" t="str">
        <f t="shared" si="434"/>
        <v>N</v>
      </c>
      <c r="AT845" t="str">
        <f t="shared" si="434"/>
        <v>N</v>
      </c>
      <c r="AU845" t="str">
        <f t="shared" si="434"/>
        <v>N</v>
      </c>
      <c r="AV845" t="str">
        <f>""</f>
        <v/>
      </c>
      <c r="AW845" t="str">
        <f>""</f>
        <v/>
      </c>
      <c r="AX845" t="str">
        <f>""</f>
        <v/>
      </c>
      <c r="AY845" t="str">
        <f>""</f>
        <v/>
      </c>
      <c r="AZ845" t="str">
        <f>""</f>
        <v/>
      </c>
      <c r="BA845" t="str">
        <f>""</f>
        <v/>
      </c>
      <c r="BB845" t="str">
        <f>""</f>
        <v/>
      </c>
      <c r="BC845" t="str">
        <f>"01/04/2022 15:02:45"</f>
        <v>01/04/2022 15:02:45</v>
      </c>
      <c r="BD845" t="str">
        <f>""</f>
        <v/>
      </c>
      <c r="BE845" t="str">
        <f>""</f>
        <v/>
      </c>
      <c r="BF845" t="str">
        <f t="shared" si="426"/>
        <v>A</v>
      </c>
      <c r="BG845" t="str">
        <f>"0,00"</f>
        <v>0,00</v>
      </c>
      <c r="BH845" t="str">
        <f>"0,00"</f>
        <v>0,00</v>
      </c>
      <c r="BI845" t="str">
        <f t="shared" si="410"/>
        <v>EVENTUAL</v>
      </c>
      <c r="BJ845" t="str">
        <f t="shared" si="427"/>
        <v>1</v>
      </c>
      <c r="BK845" t="str">
        <f t="shared" si="428"/>
        <v>Farmacia</v>
      </c>
      <c r="BL845" t="str">
        <f>""</f>
        <v/>
      </c>
      <c r="BM845" t="str">
        <f>"NÃO É VARILUX ESPECIALISTA"</f>
        <v>NÃO É VARILUX ESPECIALISTA</v>
      </c>
      <c r="BN845" t="str">
        <f>"NA"</f>
        <v>NA</v>
      </c>
      <c r="BO845" t="str">
        <f>"FOCO VARILUX DIGITAL"</f>
        <v>FOCO VARILUX DIGITAL</v>
      </c>
      <c r="BP845" t="str">
        <f>""</f>
        <v/>
      </c>
      <c r="BQ845" t="str">
        <f>""</f>
        <v/>
      </c>
      <c r="BR845" t="str">
        <f>""</f>
        <v/>
      </c>
      <c r="BS845" t="str">
        <f>"01/04/2022"</f>
        <v>01/04/2022</v>
      </c>
      <c r="BT845" t="str">
        <f>""</f>
        <v/>
      </c>
      <c r="BU845" t="str">
        <f>""</f>
        <v/>
      </c>
      <c r="BV845" t="str">
        <f>"1"</f>
        <v>1</v>
      </c>
      <c r="BW845" t="str">
        <f>"11"</f>
        <v>11</v>
      </c>
    </row>
    <row r="846" spans="1:75" x14ac:dyDescent="0.35">
      <c r="A846">
        <v>157593</v>
      </c>
      <c r="B846" t="str">
        <f t="shared" si="423"/>
        <v>A</v>
      </c>
      <c r="C846" t="str">
        <f t="shared" si="424"/>
        <v>80</v>
      </c>
      <c r="D846" t="str">
        <f t="shared" si="417"/>
        <v>11121002</v>
      </c>
      <c r="E846" t="str">
        <f t="shared" si="418"/>
        <v>121002</v>
      </c>
      <c r="F846" t="str">
        <f t="shared" si="419"/>
        <v>CINTHIA NORONHA</v>
      </c>
      <c r="G846" t="str">
        <f>"04788737000171"</f>
        <v>04788737000171</v>
      </c>
      <c r="H846" t="str">
        <f>"0"</f>
        <v>0</v>
      </c>
      <c r="I846" t="str">
        <f t="shared" si="425"/>
        <v>CONTA OPTICA</v>
      </c>
      <c r="J846" t="str">
        <f>"MARIA APARECIDA MARCILIO DA SILVA SANTOS"</f>
        <v>MARIA APARECIDA MARCILIO DA SILVA SANTOS</v>
      </c>
      <c r="K846" t="str">
        <f>"ARMAZEM DOS OCULOS (4639)"</f>
        <v>ARMAZEM DOS OCULOS (4639)</v>
      </c>
      <c r="L846" t="str">
        <f>""</f>
        <v/>
      </c>
      <c r="M846" t="str">
        <f>""</f>
        <v/>
      </c>
      <c r="N846" t="str">
        <f>"ARMAZEMDOSOCULOS@GMAIL.COM"</f>
        <v>ARMAZEMDOSOCULOS@GMAIL.COM</v>
      </c>
      <c r="O846" t="str">
        <f>""</f>
        <v/>
      </c>
      <c r="P846" t="str">
        <f>"RUA WANDERLEI JUNIOR"</f>
        <v>RUA WANDERLEI JUNIOR</v>
      </c>
      <c r="Q846" t="str">
        <f>"256"</f>
        <v>256</v>
      </c>
      <c r="R846" t="str">
        <f>"LOJA: 89 90 91"</f>
        <v>LOJA: 89 90 91</v>
      </c>
      <c r="S846" t="str">
        <f>"1259"</f>
        <v>1259</v>
      </c>
      <c r="T846" t="str">
        <f>"88101010"</f>
        <v>88101010</v>
      </c>
      <c r="U846" t="str">
        <f>"CAMPINAS"</f>
        <v>CAMPINAS</v>
      </c>
      <c r="V846" t="str">
        <f>"SAO JOSE"</f>
        <v>SAO JOSE</v>
      </c>
      <c r="W846" t="str">
        <f t="shared" si="430"/>
        <v>SC</v>
      </c>
      <c r="X846" t="str">
        <f t="shared" si="432"/>
        <v>48</v>
      </c>
      <c r="Y846" t="str">
        <f>"32418015"</f>
        <v>32418015</v>
      </c>
      <c r="Z846" t="str">
        <f>""</f>
        <v/>
      </c>
      <c r="AA846" t="str">
        <f>""</f>
        <v/>
      </c>
      <c r="AB846" t="str">
        <f>""</f>
        <v/>
      </c>
      <c r="AC846" t="str">
        <f>""</f>
        <v/>
      </c>
      <c r="AD846" t="str">
        <f>""</f>
        <v/>
      </c>
      <c r="AE846" t="str">
        <f>""</f>
        <v/>
      </c>
      <c r="AF846" t="str">
        <f>""</f>
        <v/>
      </c>
      <c r="AG846" t="str">
        <f>""</f>
        <v/>
      </c>
      <c r="AH846" t="str">
        <f>""</f>
        <v/>
      </c>
      <c r="AI846" t="str">
        <f>""</f>
        <v/>
      </c>
      <c r="AJ846" t="str">
        <f>""</f>
        <v/>
      </c>
      <c r="AK846" t="str">
        <f>""</f>
        <v/>
      </c>
      <c r="AL846" t="str">
        <f>""</f>
        <v/>
      </c>
      <c r="AM846" t="str">
        <f>""</f>
        <v/>
      </c>
      <c r="AN846" t="str">
        <f>""</f>
        <v/>
      </c>
      <c r="AO846" t="str">
        <f>""</f>
        <v/>
      </c>
      <c r="AP846" t="str">
        <f>""</f>
        <v/>
      </c>
      <c r="AQ846" t="str">
        <f>""</f>
        <v/>
      </c>
      <c r="AR846" t="str">
        <f>""</f>
        <v/>
      </c>
      <c r="AS846" t="str">
        <f>""</f>
        <v/>
      </c>
      <c r="AT846" t="str">
        <f>""</f>
        <v/>
      </c>
      <c r="AU846" t="str">
        <f>""</f>
        <v/>
      </c>
      <c r="AV846" t="str">
        <f>""</f>
        <v/>
      </c>
      <c r="AW846" t="str">
        <f>""</f>
        <v/>
      </c>
      <c r="AX846" t="str">
        <f>""</f>
        <v/>
      </c>
      <c r="AY846" t="str">
        <f>""</f>
        <v/>
      </c>
      <c r="AZ846" t="str">
        <f>""</f>
        <v/>
      </c>
      <c r="BA846" t="str">
        <f>""</f>
        <v/>
      </c>
      <c r="BB846" t="str">
        <f>"11/07/2023 02:19:56"</f>
        <v>11/07/2023 02:19:56</v>
      </c>
      <c r="BC846" t="str">
        <f>""</f>
        <v/>
      </c>
      <c r="BD846" t="str">
        <f>""</f>
        <v/>
      </c>
      <c r="BE846" t="str">
        <f>""</f>
        <v/>
      </c>
      <c r="BF846" t="str">
        <f t="shared" si="426"/>
        <v>A</v>
      </c>
      <c r="BG846" t="str">
        <f>""</f>
        <v/>
      </c>
      <c r="BH846" t="str">
        <f>""</f>
        <v/>
      </c>
      <c r="BI846" t="str">
        <f t="shared" si="410"/>
        <v>EVENTUAL</v>
      </c>
      <c r="BJ846" t="str">
        <f t="shared" si="427"/>
        <v>1</v>
      </c>
      <c r="BK846" t="str">
        <f t="shared" si="428"/>
        <v>Farmacia</v>
      </c>
      <c r="BL846" t="str">
        <f>""</f>
        <v/>
      </c>
      <c r="BM846" t="str">
        <f>""</f>
        <v/>
      </c>
      <c r="BN846" t="str">
        <f>""</f>
        <v/>
      </c>
      <c r="BO846" t="str">
        <f>""</f>
        <v/>
      </c>
      <c r="BP846" t="str">
        <f>""</f>
        <v/>
      </c>
      <c r="BQ846" t="str">
        <f>""</f>
        <v/>
      </c>
      <c r="BR846" t="str">
        <f>"11/07/2023"</f>
        <v>11/07/2023</v>
      </c>
      <c r="BS846" t="str">
        <f>""</f>
        <v/>
      </c>
      <c r="BT846" t="str">
        <f>""</f>
        <v/>
      </c>
      <c r="BU846" t="str">
        <f>""</f>
        <v/>
      </c>
      <c r="BV846" t="str">
        <f>""</f>
        <v/>
      </c>
      <c r="BW846" t="str">
        <f>"28"</f>
        <v>28</v>
      </c>
    </row>
    <row r="847" spans="1:75" x14ac:dyDescent="0.35">
      <c r="A847">
        <v>134281</v>
      </c>
      <c r="B847" t="str">
        <f t="shared" si="423"/>
        <v>A</v>
      </c>
      <c r="C847" t="str">
        <f t="shared" si="424"/>
        <v>80</v>
      </c>
      <c r="D847" t="str">
        <f t="shared" si="417"/>
        <v>11121002</v>
      </c>
      <c r="E847" t="str">
        <f t="shared" si="418"/>
        <v>121002</v>
      </c>
      <c r="F847" t="str">
        <f t="shared" si="419"/>
        <v>CINTHIA NORONHA</v>
      </c>
      <c r="G847" t="str">
        <f>"80644289000110"</f>
        <v>80644289000110</v>
      </c>
      <c r="H847" t="str">
        <f>""</f>
        <v/>
      </c>
      <c r="I847" t="str">
        <f t="shared" si="425"/>
        <v>CONTA OPTICA</v>
      </c>
      <c r="J847" t="str">
        <f>"MARIA DAS GRACAS AZEREDO DE OLIVEIRA"</f>
        <v>MARIA DAS GRACAS AZEREDO DE OLIVEIRA</v>
      </c>
      <c r="K847" t="str">
        <f>"OTICA BIGUACU (226)"</f>
        <v>OTICA BIGUACU (226)</v>
      </c>
      <c r="L847" t="str">
        <f>""</f>
        <v/>
      </c>
      <c r="M847" t="str">
        <f>""</f>
        <v/>
      </c>
      <c r="N847" t="str">
        <f>"oticabiguacu@hotmail.com"</f>
        <v>oticabiguacu@hotmail.com</v>
      </c>
      <c r="O847" t="str">
        <f>""</f>
        <v/>
      </c>
      <c r="P847" t="str">
        <f>"RUA NEREU RAMOS"</f>
        <v>RUA NEREU RAMOS</v>
      </c>
      <c r="Q847" t="str">
        <f>"10"</f>
        <v>10</v>
      </c>
      <c r="R847" t="str">
        <f>"SALA 03"</f>
        <v>SALA 03</v>
      </c>
      <c r="S847" t="str">
        <f>"1259"</f>
        <v>1259</v>
      </c>
      <c r="T847" t="str">
        <f>"88160116"</f>
        <v>88160116</v>
      </c>
      <c r="U847" t="str">
        <f t="shared" ref="U847:U853" si="435">"CENTRO"</f>
        <v>CENTRO</v>
      </c>
      <c r="V847" t="str">
        <f>"BIGUAÇU"</f>
        <v>BIGUAÇU</v>
      </c>
      <c r="W847" t="str">
        <f t="shared" si="430"/>
        <v>SC</v>
      </c>
      <c r="X847" t="str">
        <f t="shared" si="432"/>
        <v>48</v>
      </c>
      <c r="Y847" t="str">
        <f>"32431744"</f>
        <v>32431744</v>
      </c>
      <c r="Z847" t="str">
        <f>""</f>
        <v/>
      </c>
      <c r="AA847" t="str">
        <f>""</f>
        <v/>
      </c>
      <c r="AB847" t="str">
        <f>""</f>
        <v/>
      </c>
      <c r="AC847" t="str">
        <f>""</f>
        <v/>
      </c>
      <c r="AD847" t="str">
        <f>""</f>
        <v/>
      </c>
      <c r="AE847" t="str">
        <f>""</f>
        <v/>
      </c>
      <c r="AF847" t="str">
        <f>""</f>
        <v/>
      </c>
      <c r="AG847" t="str">
        <f>"S"</f>
        <v>S</v>
      </c>
      <c r="AH847" t="str">
        <f>""</f>
        <v/>
      </c>
      <c r="AI847" t="str">
        <f>""</f>
        <v/>
      </c>
      <c r="AJ847" t="str">
        <f>"0"</f>
        <v>0</v>
      </c>
      <c r="AK847" t="str">
        <f>"0"</f>
        <v>0</v>
      </c>
      <c r="AL847" t="str">
        <f>"0"</f>
        <v>0</v>
      </c>
      <c r="AM847" t="str">
        <f>""</f>
        <v/>
      </c>
      <c r="AN847" t="str">
        <f>""</f>
        <v/>
      </c>
      <c r="AO847" t="str">
        <f>""</f>
        <v/>
      </c>
      <c r="AP847" t="str">
        <f>""</f>
        <v/>
      </c>
      <c r="AQ847" t="str">
        <f>"N"</f>
        <v>N</v>
      </c>
      <c r="AR847" t="str">
        <f>"N"</f>
        <v>N</v>
      </c>
      <c r="AS847" t="str">
        <f>"N"</f>
        <v>N</v>
      </c>
      <c r="AT847" t="str">
        <f>"N"</f>
        <v>N</v>
      </c>
      <c r="AU847" t="str">
        <f>"N"</f>
        <v>N</v>
      </c>
      <c r="AV847" t="str">
        <f>""</f>
        <v/>
      </c>
      <c r="AW847" t="str">
        <f>""</f>
        <v/>
      </c>
      <c r="AX847" t="str">
        <f>""</f>
        <v/>
      </c>
      <c r="AY847" t="str">
        <f>""</f>
        <v/>
      </c>
      <c r="AZ847" t="str">
        <f>""</f>
        <v/>
      </c>
      <c r="BA847" t="str">
        <f>""</f>
        <v/>
      </c>
      <c r="BB847" t="str">
        <f>""</f>
        <v/>
      </c>
      <c r="BC847" t="str">
        <f>"06/09/2021 14:50:40"</f>
        <v>06/09/2021 14:50:40</v>
      </c>
      <c r="BD847" t="str">
        <f>""</f>
        <v/>
      </c>
      <c r="BE847" t="str">
        <f>""</f>
        <v/>
      </c>
      <c r="BF847" t="str">
        <f t="shared" si="426"/>
        <v>A</v>
      </c>
      <c r="BG847" t="str">
        <f>"0,00"</f>
        <v>0,00</v>
      </c>
      <c r="BH847" t="str">
        <f>"0,00"</f>
        <v>0,00</v>
      </c>
      <c r="BI847" t="str">
        <f t="shared" si="410"/>
        <v>EVENTUAL</v>
      </c>
      <c r="BJ847" t="str">
        <f t="shared" si="427"/>
        <v>1</v>
      </c>
      <c r="BK847" t="str">
        <f t="shared" si="428"/>
        <v>Farmacia</v>
      </c>
      <c r="BL847" t="str">
        <f>""</f>
        <v/>
      </c>
      <c r="BM847" t="str">
        <f>"NÃO É VARILUX ESPECIALISTA"</f>
        <v>NÃO É VARILUX ESPECIALISTA</v>
      </c>
      <c r="BN847" t="str">
        <f>"NA"</f>
        <v>NA</v>
      </c>
      <c r="BO847" t="str">
        <f>"OUTROS"</f>
        <v>OUTROS</v>
      </c>
      <c r="BP847" t="str">
        <f>""</f>
        <v/>
      </c>
      <c r="BQ847" t="str">
        <f>""</f>
        <v/>
      </c>
      <c r="BR847" t="str">
        <f>""</f>
        <v/>
      </c>
      <c r="BS847" t="str">
        <f>"06/09/2021"</f>
        <v>06/09/2021</v>
      </c>
      <c r="BT847" t="str">
        <f>""</f>
        <v/>
      </c>
      <c r="BU847" t="str">
        <f>""</f>
        <v/>
      </c>
      <c r="BV847" t="str">
        <f>"9"</f>
        <v>9</v>
      </c>
      <c r="BW847" t="str">
        <f>"655"</f>
        <v>655</v>
      </c>
    </row>
    <row r="848" spans="1:75" x14ac:dyDescent="0.35">
      <c r="A848">
        <v>157675</v>
      </c>
      <c r="B848" t="str">
        <f t="shared" si="423"/>
        <v>A</v>
      </c>
      <c r="C848" t="str">
        <f t="shared" si="424"/>
        <v>80</v>
      </c>
      <c r="D848" t="str">
        <f t="shared" si="417"/>
        <v>11121002</v>
      </c>
      <c r="E848" t="str">
        <f t="shared" si="418"/>
        <v>121002</v>
      </c>
      <c r="F848" t="str">
        <f t="shared" si="419"/>
        <v>CINTHIA NORONHA</v>
      </c>
      <c r="G848" t="str">
        <f>"81523979000184"</f>
        <v>81523979000184</v>
      </c>
      <c r="H848" t="str">
        <f>"0"</f>
        <v>0</v>
      </c>
      <c r="I848" t="str">
        <f t="shared" si="425"/>
        <v>CONTA OPTICA</v>
      </c>
      <c r="J848" t="str">
        <f>"MARIA ELIZA ZUMBLICK GELOSA E FILHO LTDA"</f>
        <v>MARIA ELIZA ZUMBLICK GELOSA E FILHO LTDA</v>
      </c>
      <c r="K848" t="str">
        <f>"OTICA CATEDRAL (01) (763)"</f>
        <v>OTICA CATEDRAL (01) (763)</v>
      </c>
      <c r="L848" t="str">
        <f>""</f>
        <v/>
      </c>
      <c r="M848" t="str">
        <f>""</f>
        <v/>
      </c>
      <c r="N848" t="str">
        <f>"OTICACATEDRAL1@HOTMAIL.COM"</f>
        <v>OTICACATEDRAL1@HOTMAIL.COM</v>
      </c>
      <c r="O848" t="str">
        <f>""</f>
        <v/>
      </c>
      <c r="P848" t="str">
        <f>"RUA CORONEL COLAÇO"</f>
        <v>RUA CORONEL COLAÇO</v>
      </c>
      <c r="Q848" t="str">
        <f>"143"</f>
        <v>143</v>
      </c>
      <c r="R848" t="str">
        <f>"A"</f>
        <v>A</v>
      </c>
      <c r="S848" t="str">
        <f>"1268"</f>
        <v>1268</v>
      </c>
      <c r="T848" t="str">
        <f>"88701110"</f>
        <v>88701110</v>
      </c>
      <c r="U848" t="str">
        <f t="shared" si="435"/>
        <v>CENTRO</v>
      </c>
      <c r="V848" t="str">
        <f>"TUBARAO"</f>
        <v>TUBARAO</v>
      </c>
      <c r="W848" t="str">
        <f t="shared" si="430"/>
        <v>SC</v>
      </c>
      <c r="X848" t="str">
        <f t="shared" si="432"/>
        <v>48</v>
      </c>
      <c r="Y848" t="str">
        <f>"36266975"</f>
        <v>36266975</v>
      </c>
      <c r="Z848" t="str">
        <f>""</f>
        <v/>
      </c>
      <c r="AA848" t="str">
        <f>""</f>
        <v/>
      </c>
      <c r="AB848" t="str">
        <f>""</f>
        <v/>
      </c>
      <c r="AC848" t="str">
        <f>""</f>
        <v/>
      </c>
      <c r="AD848" t="str">
        <f>""</f>
        <v/>
      </c>
      <c r="AE848" t="str">
        <f>""</f>
        <v/>
      </c>
      <c r="AF848" t="str">
        <f>""</f>
        <v/>
      </c>
      <c r="AG848" t="str">
        <f>""</f>
        <v/>
      </c>
      <c r="AH848" t="str">
        <f>""</f>
        <v/>
      </c>
      <c r="AI848" t="str">
        <f>""</f>
        <v/>
      </c>
      <c r="AJ848" t="str">
        <f>""</f>
        <v/>
      </c>
      <c r="AK848" t="str">
        <f>""</f>
        <v/>
      </c>
      <c r="AL848" t="str">
        <f>""</f>
        <v/>
      </c>
      <c r="AM848" t="str">
        <f>""</f>
        <v/>
      </c>
      <c r="AN848" t="str">
        <f>""</f>
        <v/>
      </c>
      <c r="AO848" t="str">
        <f>""</f>
        <v/>
      </c>
      <c r="AP848" t="str">
        <f>""</f>
        <v/>
      </c>
      <c r="AQ848" t="str">
        <f>""</f>
        <v/>
      </c>
      <c r="AR848" t="str">
        <f>""</f>
        <v/>
      </c>
      <c r="AS848" t="str">
        <f>""</f>
        <v/>
      </c>
      <c r="AT848" t="str">
        <f>""</f>
        <v/>
      </c>
      <c r="AU848" t="str">
        <f>""</f>
        <v/>
      </c>
      <c r="AV848" t="str">
        <f>""</f>
        <v/>
      </c>
      <c r="AW848" t="str">
        <f>""</f>
        <v/>
      </c>
      <c r="AX848" t="str">
        <f>""</f>
        <v/>
      </c>
      <c r="AY848" t="str">
        <f>""</f>
        <v/>
      </c>
      <c r="AZ848" t="str">
        <f>""</f>
        <v/>
      </c>
      <c r="BA848" t="str">
        <f>""</f>
        <v/>
      </c>
      <c r="BB848" t="str">
        <f>"11/07/2023 02:19:56"</f>
        <v>11/07/2023 02:19:56</v>
      </c>
      <c r="BC848" t="str">
        <f>""</f>
        <v/>
      </c>
      <c r="BD848" t="str">
        <f>""</f>
        <v/>
      </c>
      <c r="BE848" t="str">
        <f>""</f>
        <v/>
      </c>
      <c r="BF848" t="str">
        <f t="shared" si="426"/>
        <v>A</v>
      </c>
      <c r="BG848" t="str">
        <f>""</f>
        <v/>
      </c>
      <c r="BH848" t="str">
        <f>""</f>
        <v/>
      </c>
      <c r="BI848" t="str">
        <f t="shared" si="410"/>
        <v>EVENTUAL</v>
      </c>
      <c r="BJ848" t="str">
        <f t="shared" si="427"/>
        <v>1</v>
      </c>
      <c r="BK848" t="str">
        <f t="shared" si="428"/>
        <v>Farmacia</v>
      </c>
      <c r="BL848" t="str">
        <f>""</f>
        <v/>
      </c>
      <c r="BM848" t="str">
        <f>""</f>
        <v/>
      </c>
      <c r="BN848" t="str">
        <f>""</f>
        <v/>
      </c>
      <c r="BO848" t="str">
        <f>""</f>
        <v/>
      </c>
      <c r="BP848" t="str">
        <f>""</f>
        <v/>
      </c>
      <c r="BQ848" t="str">
        <f>""</f>
        <v/>
      </c>
      <c r="BR848" t="str">
        <f>"11/07/2023"</f>
        <v>11/07/2023</v>
      </c>
      <c r="BS848" t="str">
        <f>""</f>
        <v/>
      </c>
      <c r="BT848" t="str">
        <f>""</f>
        <v/>
      </c>
      <c r="BU848" t="str">
        <f>""</f>
        <v/>
      </c>
      <c r="BV848" t="str">
        <f>""</f>
        <v/>
      </c>
      <c r="BW848" t="str">
        <f>"Não visitado"</f>
        <v>Não visitado</v>
      </c>
    </row>
    <row r="849" spans="1:75" x14ac:dyDescent="0.35">
      <c r="A849">
        <v>156934</v>
      </c>
      <c r="B849" t="str">
        <f t="shared" si="423"/>
        <v>A</v>
      </c>
      <c r="C849" t="str">
        <f t="shared" si="424"/>
        <v>80</v>
      </c>
      <c r="D849" t="str">
        <f t="shared" si="417"/>
        <v>11121002</v>
      </c>
      <c r="E849" t="str">
        <f t="shared" si="418"/>
        <v>121002</v>
      </c>
      <c r="F849" t="str">
        <f t="shared" si="419"/>
        <v>CINTHIA NORONHA</v>
      </c>
      <c r="G849" t="str">
        <f>"15305070000125"</f>
        <v>15305070000125</v>
      </c>
      <c r="H849" t="str">
        <f>"0"</f>
        <v>0</v>
      </c>
      <c r="I849" t="str">
        <f t="shared" si="425"/>
        <v>CONTA OPTICA</v>
      </c>
      <c r="J849" t="str">
        <f>"MARIA TERESINHA GOMES SILVESTRE ME"</f>
        <v>MARIA TERESINHA GOMES SILVESTRE ME</v>
      </c>
      <c r="K849" t="str">
        <f>"JOALHERIA E OTICA SILVESTRE (2152)"</f>
        <v>JOALHERIA E OTICA SILVESTRE (2152)</v>
      </c>
      <c r="L849" t="str">
        <f>""</f>
        <v/>
      </c>
      <c r="M849" t="str">
        <f>""</f>
        <v/>
      </c>
      <c r="N849" t="str">
        <f>"RELOJOARIASUICA07@GMAIL.COM"</f>
        <v>RELOJOARIASUICA07@GMAIL.COM</v>
      </c>
      <c r="O849" t="str">
        <f>""</f>
        <v/>
      </c>
      <c r="P849" t="str">
        <f>"DUQUE DE CAXIAS"</f>
        <v>DUQUE DE CAXIAS</v>
      </c>
      <c r="Q849" t="str">
        <f>"551"</f>
        <v>551</v>
      </c>
      <c r="R849" t="str">
        <f>"SALA 02"</f>
        <v>SALA 02</v>
      </c>
      <c r="S849" t="str">
        <f>"1268"</f>
        <v>1268</v>
      </c>
      <c r="T849" t="str">
        <f>"88715000"</f>
        <v>88715000</v>
      </c>
      <c r="U849" t="str">
        <f t="shared" si="435"/>
        <v>CENTRO</v>
      </c>
      <c r="V849" t="str">
        <f>"JAGUARUNA"</f>
        <v>JAGUARUNA</v>
      </c>
      <c r="W849" t="str">
        <f t="shared" si="430"/>
        <v>SC</v>
      </c>
      <c r="X849" t="str">
        <f t="shared" si="432"/>
        <v>48</v>
      </c>
      <c r="Y849" t="str">
        <f>"36240599"</f>
        <v>36240599</v>
      </c>
      <c r="Z849" t="str">
        <f>""</f>
        <v/>
      </c>
      <c r="AA849" t="str">
        <f>""</f>
        <v/>
      </c>
      <c r="AB849" t="str">
        <f>""</f>
        <v/>
      </c>
      <c r="AC849" t="str">
        <f>""</f>
        <v/>
      </c>
      <c r="AD849" t="str">
        <f>""</f>
        <v/>
      </c>
      <c r="AE849" t="str">
        <f>""</f>
        <v/>
      </c>
      <c r="AF849" t="str">
        <f>""</f>
        <v/>
      </c>
      <c r="AG849" t="str">
        <f>""</f>
        <v/>
      </c>
      <c r="AH849" t="str">
        <f>""</f>
        <v/>
      </c>
      <c r="AI849" t="str">
        <f>""</f>
        <v/>
      </c>
      <c r="AJ849" t="str">
        <f>""</f>
        <v/>
      </c>
      <c r="AK849" t="str">
        <f>""</f>
        <v/>
      </c>
      <c r="AL849" t="str">
        <f>""</f>
        <v/>
      </c>
      <c r="AM849" t="str">
        <f>""</f>
        <v/>
      </c>
      <c r="AN849" t="str">
        <f>""</f>
        <v/>
      </c>
      <c r="AO849" t="str">
        <f>""</f>
        <v/>
      </c>
      <c r="AP849" t="str">
        <f>""</f>
        <v/>
      </c>
      <c r="AQ849" t="str">
        <f>""</f>
        <v/>
      </c>
      <c r="AR849" t="str">
        <f>""</f>
        <v/>
      </c>
      <c r="AS849" t="str">
        <f>""</f>
        <v/>
      </c>
      <c r="AT849" t="str">
        <f>""</f>
        <v/>
      </c>
      <c r="AU849" t="str">
        <f>""</f>
        <v/>
      </c>
      <c r="AV849" t="str">
        <f>""</f>
        <v/>
      </c>
      <c r="AW849" t="str">
        <f>""</f>
        <v/>
      </c>
      <c r="AX849" t="str">
        <f>""</f>
        <v/>
      </c>
      <c r="AY849" t="str">
        <f>""</f>
        <v/>
      </c>
      <c r="AZ849" t="str">
        <f>""</f>
        <v/>
      </c>
      <c r="BA849" t="str">
        <f>""</f>
        <v/>
      </c>
      <c r="BB849" t="str">
        <f>"06/07/2023 12:07:48"</f>
        <v>06/07/2023 12:07:48</v>
      </c>
      <c r="BC849" t="str">
        <f>""</f>
        <v/>
      </c>
      <c r="BD849" t="str">
        <f>""</f>
        <v/>
      </c>
      <c r="BE849" t="str">
        <f>""</f>
        <v/>
      </c>
      <c r="BF849" t="str">
        <f t="shared" si="426"/>
        <v>A</v>
      </c>
      <c r="BG849" t="str">
        <f>""</f>
        <v/>
      </c>
      <c r="BH849" t="str">
        <f>""</f>
        <v/>
      </c>
      <c r="BI849" t="str">
        <f t="shared" si="410"/>
        <v>EVENTUAL</v>
      </c>
      <c r="BJ849" t="str">
        <f t="shared" si="427"/>
        <v>1</v>
      </c>
      <c r="BK849" t="str">
        <f t="shared" si="428"/>
        <v>Farmacia</v>
      </c>
      <c r="BL849" t="str">
        <f>""</f>
        <v/>
      </c>
      <c r="BM849" t="str">
        <f>""</f>
        <v/>
      </c>
      <c r="BN849" t="str">
        <f>""</f>
        <v/>
      </c>
      <c r="BO849" t="str">
        <f>""</f>
        <v/>
      </c>
      <c r="BP849" t="str">
        <f>""</f>
        <v/>
      </c>
      <c r="BQ849" t="str">
        <f>""</f>
        <v/>
      </c>
      <c r="BR849" t="str">
        <f>"06/07/2023"</f>
        <v>06/07/2023</v>
      </c>
      <c r="BS849" t="str">
        <f>""</f>
        <v/>
      </c>
      <c r="BT849" t="str">
        <f>""</f>
        <v/>
      </c>
      <c r="BU849" t="str">
        <f>""</f>
        <v/>
      </c>
      <c r="BV849" t="str">
        <f>""</f>
        <v/>
      </c>
      <c r="BW849" t="str">
        <f>"38"</f>
        <v>38</v>
      </c>
    </row>
    <row r="850" spans="1:75" x14ac:dyDescent="0.35">
      <c r="A850">
        <v>134511</v>
      </c>
      <c r="B850" t="str">
        <f t="shared" si="423"/>
        <v>A</v>
      </c>
      <c r="C850" t="str">
        <f t="shared" si="424"/>
        <v>80</v>
      </c>
      <c r="D850" t="str">
        <f t="shared" si="417"/>
        <v>11121002</v>
      </c>
      <c r="E850" t="str">
        <f t="shared" si="418"/>
        <v>121002</v>
      </c>
      <c r="F850" t="str">
        <f t="shared" si="419"/>
        <v>CINTHIA NORONHA</v>
      </c>
      <c r="G850" t="str">
        <f>"30841864000105"</f>
        <v>30841864000105</v>
      </c>
      <c r="H850" t="str">
        <f>""</f>
        <v/>
      </c>
      <c r="I850" t="str">
        <f t="shared" si="425"/>
        <v>CONTA OPTICA</v>
      </c>
      <c r="J850" t="str">
        <f>"MARIAFORTE OTICA EIRELI"</f>
        <v>MARIAFORTE OTICA EIRELI</v>
      </c>
      <c r="K850" t="str">
        <f>"OTICA DINIZ (3900)"</f>
        <v>OTICA DINIZ (3900)</v>
      </c>
      <c r="L850" t="str">
        <f>""</f>
        <v/>
      </c>
      <c r="M850" t="str">
        <f>""</f>
        <v/>
      </c>
      <c r="N850" t="str">
        <f>"controladoria.lentes01@oticadinizfloripa.com.br"</f>
        <v>controladoria.lentes01@oticadinizfloripa.com.br</v>
      </c>
      <c r="O850" t="str">
        <f>""</f>
        <v/>
      </c>
      <c r="P850" t="str">
        <f>"RUA JERONIMO COELHO"</f>
        <v>RUA JERONIMO COELHO</v>
      </c>
      <c r="Q850" t="str">
        <f>"170"</f>
        <v>170</v>
      </c>
      <c r="R850" t="str">
        <f>"LJ 02"</f>
        <v>LJ 02</v>
      </c>
      <c r="S850" t="str">
        <f>"1254"</f>
        <v>1254</v>
      </c>
      <c r="T850" t="str">
        <f>"88010030"</f>
        <v>88010030</v>
      </c>
      <c r="U850" t="str">
        <f t="shared" si="435"/>
        <v>CENTRO</v>
      </c>
      <c r="V850" t="str">
        <f>"FLORIANÓPOLIS"</f>
        <v>FLORIANÓPOLIS</v>
      </c>
      <c r="W850" t="str">
        <f t="shared" si="430"/>
        <v>SC</v>
      </c>
      <c r="X850" t="str">
        <f t="shared" si="432"/>
        <v>48</v>
      </c>
      <c r="Y850" t="str">
        <f>"30625128"</f>
        <v>30625128</v>
      </c>
      <c r="Z850" t="str">
        <f>""</f>
        <v/>
      </c>
      <c r="AA850" t="str">
        <f>""</f>
        <v/>
      </c>
      <c r="AB850" t="str">
        <f>""</f>
        <v/>
      </c>
      <c r="AC850" t="str">
        <f>""</f>
        <v/>
      </c>
      <c r="AD850" t="str">
        <f>""</f>
        <v/>
      </c>
      <c r="AE850" t="str">
        <f>""</f>
        <v/>
      </c>
      <c r="AF850" t="str">
        <f>""</f>
        <v/>
      </c>
      <c r="AG850" t="str">
        <f>"S"</f>
        <v>S</v>
      </c>
      <c r="AH850" t="str">
        <f>""</f>
        <v/>
      </c>
      <c r="AI850" t="str">
        <f>""</f>
        <v/>
      </c>
      <c r="AJ850" t="str">
        <f>""</f>
        <v/>
      </c>
      <c r="AK850" t="str">
        <f>""</f>
        <v/>
      </c>
      <c r="AL850" t="str">
        <f>""</f>
        <v/>
      </c>
      <c r="AM850" t="str">
        <f>""</f>
        <v/>
      </c>
      <c r="AN850" t="str">
        <f>""</f>
        <v/>
      </c>
      <c r="AO850" t="str">
        <f>""</f>
        <v/>
      </c>
      <c r="AP850" t="str">
        <f>""</f>
        <v/>
      </c>
      <c r="AQ850" t="str">
        <f>"N"</f>
        <v>N</v>
      </c>
      <c r="AR850" t="str">
        <f>"N"</f>
        <v>N</v>
      </c>
      <c r="AS850" t="str">
        <f>"N"</f>
        <v>N</v>
      </c>
      <c r="AT850" t="str">
        <f>"N"</f>
        <v>N</v>
      </c>
      <c r="AU850" t="str">
        <f>"N"</f>
        <v>N</v>
      </c>
      <c r="AV850" t="str">
        <f>""</f>
        <v/>
      </c>
      <c r="AW850" t="str">
        <f>""</f>
        <v/>
      </c>
      <c r="AX850" t="str">
        <f>""</f>
        <v/>
      </c>
      <c r="AY850" t="str">
        <f>""</f>
        <v/>
      </c>
      <c r="AZ850" t="str">
        <f>""</f>
        <v/>
      </c>
      <c r="BA850" t="str">
        <f>""</f>
        <v/>
      </c>
      <c r="BB850" t="str">
        <f>""</f>
        <v/>
      </c>
      <c r="BC850" t="str">
        <f>"16/12/2021 16:27:27"</f>
        <v>16/12/2021 16:27:27</v>
      </c>
      <c r="BD850" t="str">
        <f>""</f>
        <v/>
      </c>
      <c r="BE850" t="str">
        <f>""</f>
        <v/>
      </c>
      <c r="BF850" t="str">
        <f t="shared" si="426"/>
        <v>A</v>
      </c>
      <c r="BG850" t="str">
        <f>""</f>
        <v/>
      </c>
      <c r="BH850" t="str">
        <f>"0,00"</f>
        <v>0,00</v>
      </c>
      <c r="BI850" t="str">
        <f t="shared" si="410"/>
        <v>EVENTUAL</v>
      </c>
      <c r="BJ850" t="str">
        <f t="shared" si="427"/>
        <v>1</v>
      </c>
      <c r="BK850" t="str">
        <f t="shared" si="428"/>
        <v>Farmacia</v>
      </c>
      <c r="BL850" t="str">
        <f>""</f>
        <v/>
      </c>
      <c r="BM850" t="str">
        <f>"VARILUX ESPECIALISTA SELECT"</f>
        <v>VARILUX ESPECIALISTA SELECT</v>
      </c>
      <c r="BN850" t="str">
        <f>"NA"</f>
        <v>NA</v>
      </c>
      <c r="BO850" t="str">
        <f>"FOCO VARILUX DIGITAL"</f>
        <v>FOCO VARILUX DIGITAL</v>
      </c>
      <c r="BP850" t="str">
        <f>""</f>
        <v/>
      </c>
      <c r="BQ850" t="str">
        <f>""</f>
        <v/>
      </c>
      <c r="BR850" t="str">
        <f>""</f>
        <v/>
      </c>
      <c r="BS850" t="str">
        <f>"16/12/2021"</f>
        <v>16/12/2021</v>
      </c>
      <c r="BT850" t="str">
        <f>""</f>
        <v/>
      </c>
      <c r="BU850" t="str">
        <f>""</f>
        <v/>
      </c>
      <c r="BV850" t="str">
        <f>"3"</f>
        <v>3</v>
      </c>
      <c r="BW850" t="str">
        <f>"372"</f>
        <v>372</v>
      </c>
    </row>
    <row r="851" spans="1:75" x14ac:dyDescent="0.35">
      <c r="A851">
        <v>157620</v>
      </c>
      <c r="B851" t="str">
        <f t="shared" si="423"/>
        <v>A</v>
      </c>
      <c r="C851" t="str">
        <f t="shared" si="424"/>
        <v>80</v>
      </c>
      <c r="D851" t="str">
        <f t="shared" si="417"/>
        <v>11121002</v>
      </c>
      <c r="E851" t="str">
        <f t="shared" si="418"/>
        <v>121002</v>
      </c>
      <c r="F851" t="str">
        <f t="shared" si="419"/>
        <v>CINTHIA NORONHA</v>
      </c>
      <c r="G851" t="str">
        <f>"11841097000181"</f>
        <v>11841097000181</v>
      </c>
      <c r="H851" t="str">
        <f>"0"</f>
        <v>0</v>
      </c>
      <c r="I851" t="str">
        <f t="shared" si="425"/>
        <v>CONTA OPTICA</v>
      </c>
      <c r="J851" t="str">
        <f>"MARIAN &amp; CIA LTDA"</f>
        <v>MARIAN &amp; CIA LTDA</v>
      </c>
      <c r="K851" t="str">
        <f>"MARIAN (2051)"</f>
        <v>MARIAN (2051)</v>
      </c>
      <c r="L851" t="str">
        <f>""</f>
        <v/>
      </c>
      <c r="M851" t="str">
        <f>""</f>
        <v/>
      </c>
      <c r="N851" t="str">
        <f>"BIANCAMARIAN01@HOTMAIL.COM"</f>
        <v>BIANCAMARIAN01@HOTMAIL.COM</v>
      </c>
      <c r="O851" t="str">
        <f>""</f>
        <v/>
      </c>
      <c r="P851" t="str">
        <f>"OLINKRAFT"</f>
        <v>OLINKRAFT</v>
      </c>
      <c r="Q851" t="str">
        <f>"2580"</f>
        <v>2580</v>
      </c>
      <c r="R851" t="str">
        <f>""</f>
        <v/>
      </c>
      <c r="S851" t="str">
        <f>"1266"</f>
        <v>1266</v>
      </c>
      <c r="T851" t="str">
        <f>"88540000"</f>
        <v>88540000</v>
      </c>
      <c r="U851" t="str">
        <f t="shared" si="435"/>
        <v>CENTRO</v>
      </c>
      <c r="V851" t="str">
        <f>"OTACILIO COSTA"</f>
        <v>OTACILIO COSTA</v>
      </c>
      <c r="W851" t="str">
        <f t="shared" si="430"/>
        <v>SC</v>
      </c>
      <c r="X851" t="str">
        <f>"49"</f>
        <v>49</v>
      </c>
      <c r="Y851" t="str">
        <f>"32751398"</f>
        <v>32751398</v>
      </c>
      <c r="Z851" t="str">
        <f>""</f>
        <v/>
      </c>
      <c r="AA851" t="str">
        <f>""</f>
        <v/>
      </c>
      <c r="AB851" t="str">
        <f>""</f>
        <v/>
      </c>
      <c r="AC851" t="str">
        <f>""</f>
        <v/>
      </c>
      <c r="AD851" t="str">
        <f>""</f>
        <v/>
      </c>
      <c r="AE851" t="str">
        <f>""</f>
        <v/>
      </c>
      <c r="AF851" t="str">
        <f>""</f>
        <v/>
      </c>
      <c r="AG851" t="str">
        <f>""</f>
        <v/>
      </c>
      <c r="AH851" t="str">
        <f>""</f>
        <v/>
      </c>
      <c r="AI851" t="str">
        <f>""</f>
        <v/>
      </c>
      <c r="AJ851" t="str">
        <f>""</f>
        <v/>
      </c>
      <c r="AK851" t="str">
        <f>""</f>
        <v/>
      </c>
      <c r="AL851" t="str">
        <f>""</f>
        <v/>
      </c>
      <c r="AM851" t="str">
        <f>""</f>
        <v/>
      </c>
      <c r="AN851" t="str">
        <f>""</f>
        <v/>
      </c>
      <c r="AO851" t="str">
        <f>""</f>
        <v/>
      </c>
      <c r="AP851" t="str">
        <f>""</f>
        <v/>
      </c>
      <c r="AQ851" t="str">
        <f>""</f>
        <v/>
      </c>
      <c r="AR851" t="str">
        <f>""</f>
        <v/>
      </c>
      <c r="AS851" t="str">
        <f>""</f>
        <v/>
      </c>
      <c r="AT851" t="str">
        <f>""</f>
        <v/>
      </c>
      <c r="AU851" t="str">
        <f>""</f>
        <v/>
      </c>
      <c r="AV851" t="str">
        <f>""</f>
        <v/>
      </c>
      <c r="AW851" t="str">
        <f>""</f>
        <v/>
      </c>
      <c r="AX851" t="str">
        <f>""</f>
        <v/>
      </c>
      <c r="AY851" t="str">
        <f>""</f>
        <v/>
      </c>
      <c r="AZ851" t="str">
        <f>""</f>
        <v/>
      </c>
      <c r="BA851" t="str">
        <f>""</f>
        <v/>
      </c>
      <c r="BB851" t="str">
        <f>"11/07/2023 02:19:56"</f>
        <v>11/07/2023 02:19:56</v>
      </c>
      <c r="BC851" t="str">
        <f>""</f>
        <v/>
      </c>
      <c r="BD851" t="str">
        <f>""</f>
        <v/>
      </c>
      <c r="BE851" t="str">
        <f>""</f>
        <v/>
      </c>
      <c r="BF851" t="str">
        <f t="shared" si="426"/>
        <v>A</v>
      </c>
      <c r="BG851" t="str">
        <f>""</f>
        <v/>
      </c>
      <c r="BH851" t="str">
        <f>""</f>
        <v/>
      </c>
      <c r="BI851" t="str">
        <f t="shared" si="410"/>
        <v>EVENTUAL</v>
      </c>
      <c r="BJ851" t="str">
        <f t="shared" si="427"/>
        <v>1</v>
      </c>
      <c r="BK851" t="str">
        <f t="shared" si="428"/>
        <v>Farmacia</v>
      </c>
      <c r="BL851" t="str">
        <f>""</f>
        <v/>
      </c>
      <c r="BM851" t="str">
        <f>""</f>
        <v/>
      </c>
      <c r="BN851" t="str">
        <f>""</f>
        <v/>
      </c>
      <c r="BO851" t="str">
        <f>""</f>
        <v/>
      </c>
      <c r="BP851" t="str">
        <f>""</f>
        <v/>
      </c>
      <c r="BQ851" t="str">
        <f>""</f>
        <v/>
      </c>
      <c r="BR851" t="str">
        <f>"11/07/2023"</f>
        <v>11/07/2023</v>
      </c>
      <c r="BS851" t="str">
        <f>""</f>
        <v/>
      </c>
      <c r="BT851" t="str">
        <f>""</f>
        <v/>
      </c>
      <c r="BU851" t="str">
        <f>""</f>
        <v/>
      </c>
      <c r="BV851" t="str">
        <f>""</f>
        <v/>
      </c>
      <c r="BW851" t="str">
        <f>"79"</f>
        <v>79</v>
      </c>
    </row>
    <row r="852" spans="1:75" x14ac:dyDescent="0.35">
      <c r="A852">
        <v>156931</v>
      </c>
      <c r="B852" t="str">
        <f t="shared" si="423"/>
        <v>A</v>
      </c>
      <c r="C852" t="str">
        <f t="shared" si="424"/>
        <v>80</v>
      </c>
      <c r="D852" t="str">
        <f t="shared" si="417"/>
        <v>11121002</v>
      </c>
      <c r="E852" t="str">
        <f t="shared" si="418"/>
        <v>121002</v>
      </c>
      <c r="F852" t="str">
        <f t="shared" si="419"/>
        <v>CINTHIA NORONHA</v>
      </c>
      <c r="G852" t="str">
        <f>"23531838000107"</f>
        <v>23531838000107</v>
      </c>
      <c r="H852" t="str">
        <f>"0"</f>
        <v>0</v>
      </c>
      <c r="I852" t="str">
        <f t="shared" si="425"/>
        <v>CONTA OPTICA</v>
      </c>
      <c r="J852" t="str">
        <f>"MARILDA GONÇALVES SCHEFFER E CIA LTDA"</f>
        <v>MARILDA GONÇALVES SCHEFFER E CIA LTDA</v>
      </c>
      <c r="K852" t="str">
        <f>"RELOJOARIA E OTICA CRISTAL (2299)"</f>
        <v>RELOJOARIA E OTICA CRISTAL (2299)</v>
      </c>
      <c r="L852" t="str">
        <f>""</f>
        <v/>
      </c>
      <c r="M852" t="str">
        <f>""</f>
        <v/>
      </c>
      <c r="N852" t="str">
        <f>"RELOJOARIA@OUTLOOK.COM"</f>
        <v>RELOJOARIA@OUTLOOK.COM</v>
      </c>
      <c r="O852" t="str">
        <f>""</f>
        <v/>
      </c>
      <c r="P852" t="str">
        <f>"JOSE BONIFACIO"</f>
        <v>JOSE BONIFACIO</v>
      </c>
      <c r="Q852" t="str">
        <f>"330"</f>
        <v>330</v>
      </c>
      <c r="R852" t="str">
        <f>"LOJA 02"</f>
        <v>LOJA 02</v>
      </c>
      <c r="S852" t="str">
        <f>"1336"</f>
        <v>1336</v>
      </c>
      <c r="T852" t="str">
        <f>"95560000"</f>
        <v>95560000</v>
      </c>
      <c r="U852" t="str">
        <f t="shared" si="435"/>
        <v>CENTRO</v>
      </c>
      <c r="V852" t="str">
        <f>"TORRES"</f>
        <v>TORRES</v>
      </c>
      <c r="W852" t="str">
        <f>"RS"</f>
        <v>RS</v>
      </c>
      <c r="X852" t="str">
        <f>"51"</f>
        <v>51</v>
      </c>
      <c r="Y852" t="str">
        <f>"36642038"</f>
        <v>36642038</v>
      </c>
      <c r="Z852" t="str">
        <f>""</f>
        <v/>
      </c>
      <c r="AA852" t="str">
        <f>""</f>
        <v/>
      </c>
      <c r="AB852" t="str">
        <f>""</f>
        <v/>
      </c>
      <c r="AC852" t="str">
        <f>""</f>
        <v/>
      </c>
      <c r="AD852" t="str">
        <f>""</f>
        <v/>
      </c>
      <c r="AE852" t="str">
        <f>""</f>
        <v/>
      </c>
      <c r="AF852" t="str">
        <f>""</f>
        <v/>
      </c>
      <c r="AG852" t="str">
        <f>""</f>
        <v/>
      </c>
      <c r="AH852" t="str">
        <f>""</f>
        <v/>
      </c>
      <c r="AI852" t="str">
        <f>""</f>
        <v/>
      </c>
      <c r="AJ852" t="str">
        <f>""</f>
        <v/>
      </c>
      <c r="AK852" t="str">
        <f>""</f>
        <v/>
      </c>
      <c r="AL852" t="str">
        <f>""</f>
        <v/>
      </c>
      <c r="AM852" t="str">
        <f>""</f>
        <v/>
      </c>
      <c r="AN852" t="str">
        <f>""</f>
        <v/>
      </c>
      <c r="AO852" t="str">
        <f>""</f>
        <v/>
      </c>
      <c r="AP852" t="str">
        <f>""</f>
        <v/>
      </c>
      <c r="AQ852" t="str">
        <f>""</f>
        <v/>
      </c>
      <c r="AR852" t="str">
        <f>""</f>
        <v/>
      </c>
      <c r="AS852" t="str">
        <f>""</f>
        <v/>
      </c>
      <c r="AT852" t="str">
        <f>""</f>
        <v/>
      </c>
      <c r="AU852" t="str">
        <f>""</f>
        <v/>
      </c>
      <c r="AV852" t="str">
        <f>""</f>
        <v/>
      </c>
      <c r="AW852" t="str">
        <f>""</f>
        <v/>
      </c>
      <c r="AX852" t="str">
        <f>""</f>
        <v/>
      </c>
      <c r="AY852" t="str">
        <f>""</f>
        <v/>
      </c>
      <c r="AZ852" t="str">
        <f>""</f>
        <v/>
      </c>
      <c r="BA852" t="str">
        <f>""</f>
        <v/>
      </c>
      <c r="BB852" t="str">
        <f>"06/07/2023 12:07:48"</f>
        <v>06/07/2023 12:07:48</v>
      </c>
      <c r="BC852" t="str">
        <f>""</f>
        <v/>
      </c>
      <c r="BD852" t="str">
        <f>""</f>
        <v/>
      </c>
      <c r="BE852" t="str">
        <f>""</f>
        <v/>
      </c>
      <c r="BF852" t="str">
        <f t="shared" si="426"/>
        <v>A</v>
      </c>
      <c r="BG852" t="str">
        <f>""</f>
        <v/>
      </c>
      <c r="BH852" t="str">
        <f>""</f>
        <v/>
      </c>
      <c r="BI852" t="str">
        <f t="shared" si="410"/>
        <v>EVENTUAL</v>
      </c>
      <c r="BJ852" t="str">
        <f t="shared" si="427"/>
        <v>1</v>
      </c>
      <c r="BK852" t="str">
        <f t="shared" si="428"/>
        <v>Farmacia</v>
      </c>
      <c r="BL852" t="str">
        <f>""</f>
        <v/>
      </c>
      <c r="BM852" t="str">
        <f>""</f>
        <v/>
      </c>
      <c r="BN852" t="str">
        <f>""</f>
        <v/>
      </c>
      <c r="BO852" t="str">
        <f>""</f>
        <v/>
      </c>
      <c r="BP852" t="str">
        <f>""</f>
        <v/>
      </c>
      <c r="BQ852" t="str">
        <f>""</f>
        <v/>
      </c>
      <c r="BR852" t="str">
        <f>"06/07/2023"</f>
        <v>06/07/2023</v>
      </c>
      <c r="BS852" t="str">
        <f>""</f>
        <v/>
      </c>
      <c r="BT852" t="str">
        <f>""</f>
        <v/>
      </c>
      <c r="BU852" t="str">
        <f>""</f>
        <v/>
      </c>
      <c r="BV852" t="str">
        <f>""</f>
        <v/>
      </c>
      <c r="BW852" t="str">
        <f>"Não visitado"</f>
        <v>Não visitado</v>
      </c>
    </row>
    <row r="853" spans="1:75" x14ac:dyDescent="0.35">
      <c r="A853">
        <v>156920</v>
      </c>
      <c r="B853" t="str">
        <f t="shared" si="423"/>
        <v>A</v>
      </c>
      <c r="C853" t="str">
        <f t="shared" si="424"/>
        <v>80</v>
      </c>
      <c r="D853" t="str">
        <f t="shared" si="417"/>
        <v>11121002</v>
      </c>
      <c r="E853" t="str">
        <f t="shared" si="418"/>
        <v>121002</v>
      </c>
      <c r="F853" t="str">
        <f t="shared" si="419"/>
        <v>CINTHIA NORONHA</v>
      </c>
      <c r="G853" t="str">
        <f>"45057175000173"</f>
        <v>45057175000173</v>
      </c>
      <c r="H853" t="str">
        <f>"0"</f>
        <v>0</v>
      </c>
      <c r="I853" t="str">
        <f t="shared" si="425"/>
        <v>CONTA OPTICA</v>
      </c>
      <c r="J853" t="str">
        <f>"MARILDA OPTICA E ACESSORIOS LTDA"</f>
        <v>MARILDA OPTICA E ACESSORIOS LTDA</v>
      </c>
      <c r="K853" t="str">
        <f>"MARILDA OPTICA E ACESSORIOS (4469)"</f>
        <v>MARILDA OPTICA E ACESSORIOS (4469)</v>
      </c>
      <c r="L853" t="str">
        <f>""</f>
        <v/>
      </c>
      <c r="M853" t="str">
        <f>""</f>
        <v/>
      </c>
      <c r="N853" t="str">
        <f>"NANASC1@HOTMAIL.COM"</f>
        <v>NANASC1@HOTMAIL.COM</v>
      </c>
      <c r="O853" t="str">
        <f>""</f>
        <v/>
      </c>
      <c r="P853" t="str">
        <f>"RUA PADRE BERNARDO FREUSER"</f>
        <v>RUA PADRE BERNARDO FREUSER</v>
      </c>
      <c r="Q853" t="str">
        <f>"176"</f>
        <v>176</v>
      </c>
      <c r="R853" t="str">
        <f>"S 1 EDF MABAL"</f>
        <v>S 1 EDF MABAL</v>
      </c>
      <c r="S853" t="str">
        <f>"1268"</f>
        <v>1268</v>
      </c>
      <c r="T853" t="str">
        <f>"88701140"</f>
        <v>88701140</v>
      </c>
      <c r="U853" t="str">
        <f t="shared" si="435"/>
        <v>CENTRO</v>
      </c>
      <c r="V853" t="str">
        <f>"TUBARAO"</f>
        <v>TUBARAO</v>
      </c>
      <c r="W853" t="str">
        <f t="shared" ref="W853:W861" si="436">"SC"</f>
        <v>SC</v>
      </c>
      <c r="X853" t="str">
        <f>"48"</f>
        <v>48</v>
      </c>
      <c r="Y853" t="str">
        <f>"30523033"</f>
        <v>30523033</v>
      </c>
      <c r="Z853" t="str">
        <f>""</f>
        <v/>
      </c>
      <c r="AA853" t="str">
        <f>""</f>
        <v/>
      </c>
      <c r="AB853" t="str">
        <f>""</f>
        <v/>
      </c>
      <c r="AC853" t="str">
        <f>""</f>
        <v/>
      </c>
      <c r="AD853" t="str">
        <f>""</f>
        <v/>
      </c>
      <c r="AE853" t="str">
        <f>""</f>
        <v/>
      </c>
      <c r="AF853" t="str">
        <f>""</f>
        <v/>
      </c>
      <c r="AG853" t="str">
        <f>""</f>
        <v/>
      </c>
      <c r="AH853" t="str">
        <f>""</f>
        <v/>
      </c>
      <c r="AI853" t="str">
        <f>""</f>
        <v/>
      </c>
      <c r="AJ853" t="str">
        <f>""</f>
        <v/>
      </c>
      <c r="AK853" t="str">
        <f>""</f>
        <v/>
      </c>
      <c r="AL853" t="str">
        <f>""</f>
        <v/>
      </c>
      <c r="AM853" t="str">
        <f>""</f>
        <v/>
      </c>
      <c r="AN853" t="str">
        <f>""</f>
        <v/>
      </c>
      <c r="AO853" t="str">
        <f>""</f>
        <v/>
      </c>
      <c r="AP853" t="str">
        <f>""</f>
        <v/>
      </c>
      <c r="AQ853" t="str">
        <f>""</f>
        <v/>
      </c>
      <c r="AR853" t="str">
        <f>""</f>
        <v/>
      </c>
      <c r="AS853" t="str">
        <f>""</f>
        <v/>
      </c>
      <c r="AT853" t="str">
        <f>""</f>
        <v/>
      </c>
      <c r="AU853" t="str">
        <f>""</f>
        <v/>
      </c>
      <c r="AV853" t="str">
        <f>""</f>
        <v/>
      </c>
      <c r="AW853" t="str">
        <f>""</f>
        <v/>
      </c>
      <c r="AX853" t="str">
        <f>""</f>
        <v/>
      </c>
      <c r="AY853" t="str">
        <f>""</f>
        <v/>
      </c>
      <c r="AZ853" t="str">
        <f>""</f>
        <v/>
      </c>
      <c r="BA853" t="str">
        <f>""</f>
        <v/>
      </c>
      <c r="BB853" t="str">
        <f>"06/07/2023 12:07:48"</f>
        <v>06/07/2023 12:07:48</v>
      </c>
      <c r="BC853" t="str">
        <f>""</f>
        <v/>
      </c>
      <c r="BD853" t="str">
        <f>""</f>
        <v/>
      </c>
      <c r="BE853" t="str">
        <f>""</f>
        <v/>
      </c>
      <c r="BF853" t="str">
        <f t="shared" si="426"/>
        <v>A</v>
      </c>
      <c r="BG853" t="str">
        <f>""</f>
        <v/>
      </c>
      <c r="BH853" t="str">
        <f>""</f>
        <v/>
      </c>
      <c r="BI853" t="str">
        <f t="shared" si="410"/>
        <v>EVENTUAL</v>
      </c>
      <c r="BJ853" t="str">
        <f t="shared" si="427"/>
        <v>1</v>
      </c>
      <c r="BK853" t="str">
        <f t="shared" si="428"/>
        <v>Farmacia</v>
      </c>
      <c r="BL853" t="str">
        <f>""</f>
        <v/>
      </c>
      <c r="BM853" t="str">
        <f>""</f>
        <v/>
      </c>
      <c r="BN853" t="str">
        <f>""</f>
        <v/>
      </c>
      <c r="BO853" t="str">
        <f>""</f>
        <v/>
      </c>
      <c r="BP853" t="str">
        <f>""</f>
        <v/>
      </c>
      <c r="BQ853" t="str">
        <f>""</f>
        <v/>
      </c>
      <c r="BR853" t="str">
        <f>"06/07/2023"</f>
        <v>06/07/2023</v>
      </c>
      <c r="BS853" t="str">
        <f>""</f>
        <v/>
      </c>
      <c r="BT853" t="str">
        <f>""</f>
        <v/>
      </c>
      <c r="BU853" t="str">
        <f>""</f>
        <v/>
      </c>
      <c r="BV853" t="str">
        <f>""</f>
        <v/>
      </c>
      <c r="BW853" t="str">
        <f>"18"</f>
        <v>18</v>
      </c>
    </row>
    <row r="854" spans="1:75" x14ac:dyDescent="0.35">
      <c r="A854">
        <v>159575</v>
      </c>
      <c r="B854" t="str">
        <f t="shared" si="423"/>
        <v>A</v>
      </c>
      <c r="C854" t="str">
        <f t="shared" si="424"/>
        <v>80</v>
      </c>
      <c r="D854" t="str">
        <f t="shared" si="417"/>
        <v>11121002</v>
      </c>
      <c r="E854" t="str">
        <f t="shared" si="418"/>
        <v>121002</v>
      </c>
      <c r="F854" t="str">
        <f t="shared" si="419"/>
        <v>CINTHIA NORONHA</v>
      </c>
      <c r="G854" t="str">
        <f>"51812934000169"</f>
        <v>51812934000169</v>
      </c>
      <c r="H854" t="str">
        <f>""</f>
        <v/>
      </c>
      <c r="I854" t="str">
        <f t="shared" si="425"/>
        <v>CONTA OPTICA</v>
      </c>
      <c r="J854" t="str">
        <f>"MARILENE PAZA LTDA"</f>
        <v>MARILENE PAZA LTDA</v>
      </c>
      <c r="K854" t="str">
        <f>"CHILLI BEANS  (4774)"</f>
        <v>CHILLI BEANS  (4774)</v>
      </c>
      <c r="L854" t="str">
        <f>""</f>
        <v/>
      </c>
      <c r="M854" t="str">
        <f>""</f>
        <v/>
      </c>
      <c r="N854" t="str">
        <f>"ADM.FERRONATTOEPAZA@GMAIL.COM"</f>
        <v>ADM.FERRONATTOEPAZA@GMAIL.COM</v>
      </c>
      <c r="O854" t="str">
        <f>""</f>
        <v/>
      </c>
      <c r="P854" t="str">
        <f>"RUA AV MADRE BENVENUTA"</f>
        <v>RUA AV MADRE BENVENUTA</v>
      </c>
      <c r="Q854" t="str">
        <f>"687"</f>
        <v>687</v>
      </c>
      <c r="R854" t="str">
        <f>"LOJA 324"</f>
        <v>LOJA 324</v>
      </c>
      <c r="S854" t="str">
        <f>"1257"</f>
        <v>1257</v>
      </c>
      <c r="T854" t="str">
        <f>"88035000"</f>
        <v>88035000</v>
      </c>
      <c r="U854" t="str">
        <f>"SANTA MONICA"</f>
        <v>SANTA MONICA</v>
      </c>
      <c r="V854" t="str">
        <f>"FLORIANOPOLIS"</f>
        <v>FLORIANOPOLIS</v>
      </c>
      <c r="W854" t="str">
        <f t="shared" si="436"/>
        <v>SC</v>
      </c>
      <c r="X854" t="str">
        <f>"42"</f>
        <v>42</v>
      </c>
      <c r="Y854" t="str">
        <f>"998585101"</f>
        <v>998585101</v>
      </c>
      <c r="Z854" t="str">
        <f>""</f>
        <v/>
      </c>
      <c r="AA854" t="str">
        <f>""</f>
        <v/>
      </c>
      <c r="AB854" t="str">
        <f>""</f>
        <v/>
      </c>
      <c r="AC854" t="str">
        <f>""</f>
        <v/>
      </c>
      <c r="AD854" t="str">
        <f>""</f>
        <v/>
      </c>
      <c r="AE854" t="str">
        <f>""</f>
        <v/>
      </c>
      <c r="AF854" t="str">
        <f>""</f>
        <v/>
      </c>
      <c r="AG854" t="str">
        <f>""</f>
        <v/>
      </c>
      <c r="AH854" t="str">
        <f>""</f>
        <v/>
      </c>
      <c r="AI854" t="str">
        <f>""</f>
        <v/>
      </c>
      <c r="AJ854" t="str">
        <f>""</f>
        <v/>
      </c>
      <c r="AK854" t="str">
        <f>""</f>
        <v/>
      </c>
      <c r="AL854" t="str">
        <f>""</f>
        <v/>
      </c>
      <c r="AM854" t="str">
        <f>""</f>
        <v/>
      </c>
      <c r="AN854" t="str">
        <f>""</f>
        <v/>
      </c>
      <c r="AO854" t="str">
        <f>""</f>
        <v/>
      </c>
      <c r="AP854" t="str">
        <f>""</f>
        <v/>
      </c>
      <c r="AQ854" t="str">
        <f>""</f>
        <v/>
      </c>
      <c r="AR854" t="str">
        <f>""</f>
        <v/>
      </c>
      <c r="AS854" t="str">
        <f>""</f>
        <v/>
      </c>
      <c r="AT854" t="str">
        <f>""</f>
        <v/>
      </c>
      <c r="AU854" t="str">
        <f>""</f>
        <v/>
      </c>
      <c r="AV854" t="str">
        <f>""</f>
        <v/>
      </c>
      <c r="AW854" t="str">
        <f>""</f>
        <v/>
      </c>
      <c r="AX854" t="str">
        <f>""</f>
        <v/>
      </c>
      <c r="AY854" t="str">
        <f>""</f>
        <v/>
      </c>
      <c r="AZ854" t="str">
        <f>""</f>
        <v/>
      </c>
      <c r="BA854" t="str">
        <f>""</f>
        <v/>
      </c>
      <c r="BB854" t="str">
        <f>"25/09/2023 11:47:13"</f>
        <v>25/09/2023 11:47:13</v>
      </c>
      <c r="BC854" t="str">
        <f>""</f>
        <v/>
      </c>
      <c r="BD854" t="str">
        <f>""</f>
        <v/>
      </c>
      <c r="BE854" t="str">
        <f>""</f>
        <v/>
      </c>
      <c r="BF854" t="str">
        <f t="shared" si="426"/>
        <v>A</v>
      </c>
      <c r="BG854" t="str">
        <f>""</f>
        <v/>
      </c>
      <c r="BH854" t="str">
        <f>""</f>
        <v/>
      </c>
      <c r="BI854" t="str">
        <f t="shared" si="410"/>
        <v>EVENTUAL</v>
      </c>
      <c r="BJ854" t="str">
        <f t="shared" si="427"/>
        <v>1</v>
      </c>
      <c r="BK854" t="str">
        <f t="shared" si="428"/>
        <v>Farmacia</v>
      </c>
      <c r="BL854" t="str">
        <f>""</f>
        <v/>
      </c>
      <c r="BM854" t="str">
        <f>""</f>
        <v/>
      </c>
      <c r="BN854" t="str">
        <f>""</f>
        <v/>
      </c>
      <c r="BO854" t="str">
        <f>""</f>
        <v/>
      </c>
      <c r="BP854" t="str">
        <f>""</f>
        <v/>
      </c>
      <c r="BQ854" t="str">
        <f>""</f>
        <v/>
      </c>
      <c r="BR854" t="str">
        <f>"25/09/2023"</f>
        <v>25/09/2023</v>
      </c>
      <c r="BS854" t="str">
        <f>""</f>
        <v/>
      </c>
      <c r="BT854" t="str">
        <f>""</f>
        <v/>
      </c>
      <c r="BU854" t="str">
        <f>""</f>
        <v/>
      </c>
      <c r="BV854" t="str">
        <f>""</f>
        <v/>
      </c>
      <c r="BW854" t="str">
        <f>"Não visitado"</f>
        <v>Não visitado</v>
      </c>
    </row>
    <row r="855" spans="1:75" x14ac:dyDescent="0.35">
      <c r="A855">
        <v>134223</v>
      </c>
      <c r="B855" t="str">
        <f t="shared" si="423"/>
        <v>A</v>
      </c>
      <c r="C855" t="str">
        <f t="shared" si="424"/>
        <v>80</v>
      </c>
      <c r="D855" t="str">
        <f t="shared" si="417"/>
        <v>11121002</v>
      </c>
      <c r="E855" t="str">
        <f t="shared" si="418"/>
        <v>121002</v>
      </c>
      <c r="F855" t="str">
        <f t="shared" si="419"/>
        <v>CINTHIA NORONHA</v>
      </c>
      <c r="G855" t="str">
        <f>"10288858000157"</f>
        <v>10288858000157</v>
      </c>
      <c r="H855" t="str">
        <f>""</f>
        <v/>
      </c>
      <c r="I855" t="str">
        <f t="shared" si="425"/>
        <v>CONTA OPTICA</v>
      </c>
      <c r="J855" t="str">
        <f>"MARINES NEVES MACHADO ME"</f>
        <v>MARINES NEVES MACHADO ME</v>
      </c>
      <c r="K855" t="str">
        <f>"OTICA ALINE (1452)"</f>
        <v>OTICA ALINE (1452)</v>
      </c>
      <c r="L855" t="str">
        <f>""</f>
        <v/>
      </c>
      <c r="M855" t="str">
        <f>""</f>
        <v/>
      </c>
      <c r="N855" t="str">
        <f>"oticaaline@yahoo.com.brx"</f>
        <v>oticaaline@yahoo.com.brx</v>
      </c>
      <c r="O855" t="str">
        <f>""</f>
        <v/>
      </c>
      <c r="P855" t="str">
        <f>"RUA PRESIDENTE KENNEDY"</f>
        <v>RUA PRESIDENTE KENNEDY</v>
      </c>
      <c r="Q855" t="str">
        <f>"698"</f>
        <v>698</v>
      </c>
      <c r="R855" t="str">
        <f>"LJ 22"</f>
        <v>LJ 22</v>
      </c>
      <c r="S855" t="str">
        <f>"1259"</f>
        <v>1259</v>
      </c>
      <c r="T855" t="str">
        <f>"88101000"</f>
        <v>88101000</v>
      </c>
      <c r="U855" t="str">
        <f>"CAMPINAS"</f>
        <v>CAMPINAS</v>
      </c>
      <c r="V855" t="str">
        <f>"SÃO JOSÉ"</f>
        <v>SÃO JOSÉ</v>
      </c>
      <c r="W855" t="str">
        <f t="shared" si="436"/>
        <v>SC</v>
      </c>
      <c r="X855" t="str">
        <f>"48"</f>
        <v>48</v>
      </c>
      <c r="Y855" t="str">
        <f>"30351879"</f>
        <v>30351879</v>
      </c>
      <c r="Z855" t="str">
        <f>""</f>
        <v/>
      </c>
      <c r="AA855" t="str">
        <f>""</f>
        <v/>
      </c>
      <c r="AB855" t="str">
        <f>""</f>
        <v/>
      </c>
      <c r="AC855" t="str">
        <f>""</f>
        <v/>
      </c>
      <c r="AD855" t="str">
        <f>""</f>
        <v/>
      </c>
      <c r="AE855" t="str">
        <f>""</f>
        <v/>
      </c>
      <c r="AF855" t="str">
        <f>""</f>
        <v/>
      </c>
      <c r="AG855" t="str">
        <f>"S"</f>
        <v>S</v>
      </c>
      <c r="AH855" t="str">
        <f>""</f>
        <v/>
      </c>
      <c r="AI855" t="str">
        <f>""</f>
        <v/>
      </c>
      <c r="AJ855" t="str">
        <f>"0"</f>
        <v>0</v>
      </c>
      <c r="AK855" t="str">
        <f>"0"</f>
        <v>0</v>
      </c>
      <c r="AL855" t="str">
        <f>"0"</f>
        <v>0</v>
      </c>
      <c r="AM855" t="str">
        <f>""</f>
        <v/>
      </c>
      <c r="AN855" t="str">
        <f>""</f>
        <v/>
      </c>
      <c r="AO855" t="str">
        <f>""</f>
        <v/>
      </c>
      <c r="AP855" t="str">
        <f>""</f>
        <v/>
      </c>
      <c r="AQ855" t="str">
        <f t="shared" ref="AQ855:AU856" si="437">"N"</f>
        <v>N</v>
      </c>
      <c r="AR855" t="str">
        <f t="shared" si="437"/>
        <v>N</v>
      </c>
      <c r="AS855" t="str">
        <f t="shared" si="437"/>
        <v>N</v>
      </c>
      <c r="AT855" t="str">
        <f t="shared" si="437"/>
        <v>N</v>
      </c>
      <c r="AU855" t="str">
        <f t="shared" si="437"/>
        <v>N</v>
      </c>
      <c r="AV855" t="str">
        <f>""</f>
        <v/>
      </c>
      <c r="AW855" t="str">
        <f>""</f>
        <v/>
      </c>
      <c r="AX855" t="str">
        <f>""</f>
        <v/>
      </c>
      <c r="AY855" t="str">
        <f>""</f>
        <v/>
      </c>
      <c r="AZ855" t="str">
        <f>""</f>
        <v/>
      </c>
      <c r="BA855" t="str">
        <f>""</f>
        <v/>
      </c>
      <c r="BB855" t="str">
        <f>""</f>
        <v/>
      </c>
      <c r="BC855" t="str">
        <f>"07/07/2023 15:18:23"</f>
        <v>07/07/2023 15:18:23</v>
      </c>
      <c r="BD855" t="str">
        <f>""</f>
        <v/>
      </c>
      <c r="BE855" t="str">
        <f>""</f>
        <v/>
      </c>
      <c r="BF855" t="str">
        <f t="shared" si="426"/>
        <v>A</v>
      </c>
      <c r="BG855" t="str">
        <f>"0,00"</f>
        <v>0,00</v>
      </c>
      <c r="BH855" t="str">
        <f>"0,00"</f>
        <v>0,00</v>
      </c>
      <c r="BI855" t="str">
        <f t="shared" si="410"/>
        <v>EVENTUAL</v>
      </c>
      <c r="BJ855" t="str">
        <f t="shared" si="427"/>
        <v>1</v>
      </c>
      <c r="BK855" t="str">
        <f t="shared" si="428"/>
        <v>Farmacia</v>
      </c>
      <c r="BL855" t="str">
        <f>""</f>
        <v/>
      </c>
      <c r="BM855" t="str">
        <f>"NÃO É VARILUX ESPECIALISTA"</f>
        <v>NÃO É VARILUX ESPECIALISTA</v>
      </c>
      <c r="BN855" t="str">
        <f>"NA"</f>
        <v>NA</v>
      </c>
      <c r="BO855" t="str">
        <f>"FOCO KODAK 1"</f>
        <v>FOCO KODAK 1</v>
      </c>
      <c r="BP855" t="str">
        <f>""</f>
        <v/>
      </c>
      <c r="BQ855" t="str">
        <f>""</f>
        <v/>
      </c>
      <c r="BR855" t="str">
        <f>""</f>
        <v/>
      </c>
      <c r="BS855" t="str">
        <f>"07/07/2023"</f>
        <v>07/07/2023</v>
      </c>
      <c r="BT855" t="str">
        <f>""</f>
        <v/>
      </c>
      <c r="BU855" t="str">
        <f>""</f>
        <v/>
      </c>
      <c r="BV855" t="str">
        <f>"5"</f>
        <v>5</v>
      </c>
      <c r="BW855" t="str">
        <f>"15"</f>
        <v>15</v>
      </c>
    </row>
    <row r="856" spans="1:75" x14ac:dyDescent="0.35">
      <c r="A856">
        <v>134525</v>
      </c>
      <c r="B856" t="str">
        <f t="shared" si="423"/>
        <v>A</v>
      </c>
      <c r="C856" t="str">
        <f t="shared" si="424"/>
        <v>80</v>
      </c>
      <c r="D856" t="str">
        <f t="shared" si="417"/>
        <v>11121002</v>
      </c>
      <c r="E856" t="str">
        <f t="shared" si="418"/>
        <v>121002</v>
      </c>
      <c r="F856" t="str">
        <f t="shared" si="419"/>
        <v>CINTHIA NORONHA</v>
      </c>
      <c r="G856" t="str">
        <f>"15236082000145"</f>
        <v>15236082000145</v>
      </c>
      <c r="H856" t="str">
        <f>""</f>
        <v/>
      </c>
      <c r="I856" t="str">
        <f t="shared" si="425"/>
        <v>CONTA OPTICA</v>
      </c>
      <c r="J856" t="str">
        <f>"MARINI &amp; TESSARO JOIAS LTDA ME"</f>
        <v>MARINI &amp; TESSARO JOIAS LTDA ME</v>
      </c>
      <c r="K856" t="str">
        <f>"BRUNA TESSARO JOIAS E OTICA (1975)"</f>
        <v>BRUNA TESSARO JOIAS E OTICA (1975)</v>
      </c>
      <c r="L856" t="str">
        <f>""</f>
        <v/>
      </c>
      <c r="M856" t="str">
        <f>""</f>
        <v/>
      </c>
      <c r="N856" t="str">
        <f>"marciaabm@brunatessaro.com.br"</f>
        <v>marciaabm@brunatessaro.com.br</v>
      </c>
      <c r="O856" t="str">
        <f>""</f>
        <v/>
      </c>
      <c r="P856" t="str">
        <f>"RUA GERONCIO THIVES"</f>
        <v>RUA GERONCIO THIVES</v>
      </c>
      <c r="Q856" t="str">
        <f>"1079"</f>
        <v>1079</v>
      </c>
      <c r="R856" t="str">
        <f>"SUC 424 LJ 06"</f>
        <v>SUC 424 LJ 06</v>
      </c>
      <c r="S856" t="str">
        <f>"1259"</f>
        <v>1259</v>
      </c>
      <c r="T856" t="str">
        <f>"88117900"</f>
        <v>88117900</v>
      </c>
      <c r="U856" t="str">
        <f>"BARREIROS"</f>
        <v>BARREIROS</v>
      </c>
      <c r="V856" t="str">
        <f>"SÃO JOSÉ"</f>
        <v>SÃO JOSÉ</v>
      </c>
      <c r="W856" t="str">
        <f t="shared" si="436"/>
        <v>SC</v>
      </c>
      <c r="X856" t="str">
        <f>"48"</f>
        <v>48</v>
      </c>
      <c r="Y856" t="str">
        <f>"32460747"</f>
        <v>32460747</v>
      </c>
      <c r="Z856" t="str">
        <f>""</f>
        <v/>
      </c>
      <c r="AA856" t="str">
        <f>""</f>
        <v/>
      </c>
      <c r="AB856" t="str">
        <f>""</f>
        <v/>
      </c>
      <c r="AC856" t="str">
        <f>""</f>
        <v/>
      </c>
      <c r="AD856" t="str">
        <f>""</f>
        <v/>
      </c>
      <c r="AE856" t="str">
        <f>""</f>
        <v/>
      </c>
      <c r="AF856" t="str">
        <f>""</f>
        <v/>
      </c>
      <c r="AG856" t="str">
        <f>"S"</f>
        <v>S</v>
      </c>
      <c r="AH856" t="str">
        <f>""</f>
        <v/>
      </c>
      <c r="AI856" t="str">
        <f>""</f>
        <v/>
      </c>
      <c r="AJ856" t="str">
        <f>""</f>
        <v/>
      </c>
      <c r="AK856" t="str">
        <f>""</f>
        <v/>
      </c>
      <c r="AL856" t="str">
        <f>""</f>
        <v/>
      </c>
      <c r="AM856" t="str">
        <f>""</f>
        <v/>
      </c>
      <c r="AN856" t="str">
        <f>""</f>
        <v/>
      </c>
      <c r="AO856" t="str">
        <f>""</f>
        <v/>
      </c>
      <c r="AP856" t="str">
        <f>""</f>
        <v/>
      </c>
      <c r="AQ856" t="str">
        <f t="shared" si="437"/>
        <v>N</v>
      </c>
      <c r="AR856" t="str">
        <f t="shared" si="437"/>
        <v>N</v>
      </c>
      <c r="AS856" t="str">
        <f t="shared" si="437"/>
        <v>N</v>
      </c>
      <c r="AT856" t="str">
        <f t="shared" si="437"/>
        <v>N</v>
      </c>
      <c r="AU856" t="str">
        <f t="shared" si="437"/>
        <v>N</v>
      </c>
      <c r="AV856" t="str">
        <f>""</f>
        <v/>
      </c>
      <c r="AW856" t="str">
        <f>""</f>
        <v/>
      </c>
      <c r="AX856" t="str">
        <f>""</f>
        <v/>
      </c>
      <c r="AY856" t="str">
        <f>""</f>
        <v/>
      </c>
      <c r="AZ856" t="str">
        <f>""</f>
        <v/>
      </c>
      <c r="BA856" t="str">
        <f>""</f>
        <v/>
      </c>
      <c r="BB856" t="str">
        <f>""</f>
        <v/>
      </c>
      <c r="BC856" t="str">
        <f>"10/12/2021 17:21:35"</f>
        <v>10/12/2021 17:21:35</v>
      </c>
      <c r="BD856" t="str">
        <f>""</f>
        <v/>
      </c>
      <c r="BE856" t="str">
        <f>""</f>
        <v/>
      </c>
      <c r="BF856" t="str">
        <f t="shared" si="426"/>
        <v>A</v>
      </c>
      <c r="BG856" t="str">
        <f>""</f>
        <v/>
      </c>
      <c r="BH856" t="str">
        <f>"0,00"</f>
        <v>0,00</v>
      </c>
      <c r="BI856" t="str">
        <f t="shared" si="410"/>
        <v>EVENTUAL</v>
      </c>
      <c r="BJ856" t="str">
        <f t="shared" si="427"/>
        <v>1</v>
      </c>
      <c r="BK856" t="str">
        <f t="shared" si="428"/>
        <v>Farmacia</v>
      </c>
      <c r="BL856" t="str">
        <f>""</f>
        <v/>
      </c>
      <c r="BM856" t="str">
        <f>"NÃO É VARILUX ESPECIALISTA"</f>
        <v>NÃO É VARILUX ESPECIALISTA</v>
      </c>
      <c r="BN856" t="str">
        <f>"NA"</f>
        <v>NA</v>
      </c>
      <c r="BO856" t="str">
        <f>"FOCO VARILUX DIGITAL"</f>
        <v>FOCO VARILUX DIGITAL</v>
      </c>
      <c r="BP856" t="str">
        <f>""</f>
        <v/>
      </c>
      <c r="BQ856" t="str">
        <f>""</f>
        <v/>
      </c>
      <c r="BR856" t="str">
        <f>""</f>
        <v/>
      </c>
      <c r="BS856" t="str">
        <f>"10/12/2021"</f>
        <v>10/12/2021</v>
      </c>
      <c r="BT856" t="str">
        <f>""</f>
        <v/>
      </c>
      <c r="BU856" t="str">
        <f>""</f>
        <v/>
      </c>
      <c r="BV856" t="str">
        <f>"9"</f>
        <v>9</v>
      </c>
      <c r="BW856" t="str">
        <f>"87"</f>
        <v>87</v>
      </c>
    </row>
    <row r="857" spans="1:75" x14ac:dyDescent="0.35">
      <c r="A857">
        <v>157622</v>
      </c>
      <c r="B857" t="str">
        <f t="shared" si="423"/>
        <v>A</v>
      </c>
      <c r="C857" t="str">
        <f t="shared" si="424"/>
        <v>80</v>
      </c>
      <c r="D857" t="str">
        <f t="shared" si="417"/>
        <v>11121002</v>
      </c>
      <c r="E857" t="str">
        <f t="shared" si="418"/>
        <v>121002</v>
      </c>
      <c r="F857" t="str">
        <f t="shared" si="419"/>
        <v>CINTHIA NORONHA</v>
      </c>
      <c r="G857" t="str">
        <f>"08192658000154"</f>
        <v>08192658000154</v>
      </c>
      <c r="H857" t="str">
        <f>"0"</f>
        <v>0</v>
      </c>
      <c r="I857" t="str">
        <f t="shared" si="425"/>
        <v>CONTA OPTICA</v>
      </c>
      <c r="J857" t="str">
        <f>"MARIO ADEMIR GOEDERT ME"</f>
        <v>MARIO ADEMIR GOEDERT ME</v>
      </c>
      <c r="K857" t="str">
        <f>"JOALHERIA GOEDERT (1982)"</f>
        <v>JOALHERIA GOEDERT (1982)</v>
      </c>
      <c r="L857" t="str">
        <f>""</f>
        <v/>
      </c>
      <c r="M857" t="str">
        <f>""</f>
        <v/>
      </c>
      <c r="N857" t="str">
        <f>"JOALHERIAGOEDERT@HOTMAIL.COM"</f>
        <v>JOALHERIAGOEDERT@HOTMAIL.COM</v>
      </c>
      <c r="O857" t="str">
        <f>""</f>
        <v/>
      </c>
      <c r="P857" t="str">
        <f>"RUA HERCILIO LUZ"</f>
        <v>RUA HERCILIO LUZ</v>
      </c>
      <c r="Q857" t="str">
        <f>"248"</f>
        <v>248</v>
      </c>
      <c r="R857" t="str">
        <f>""</f>
        <v/>
      </c>
      <c r="S857" t="str">
        <f>""</f>
        <v/>
      </c>
      <c r="T857" t="str">
        <f>"88501010"</f>
        <v>88501010</v>
      </c>
      <c r="U857" t="str">
        <f>"CENTRO"</f>
        <v>CENTRO</v>
      </c>
      <c r="V857" t="str">
        <f>"LAGES"</f>
        <v>LAGES</v>
      </c>
      <c r="W857" t="str">
        <f t="shared" si="436"/>
        <v>SC</v>
      </c>
      <c r="X857" t="str">
        <f>"49"</f>
        <v>49</v>
      </c>
      <c r="Y857" t="str">
        <f>"32224762"</f>
        <v>32224762</v>
      </c>
      <c r="Z857" t="str">
        <f>""</f>
        <v/>
      </c>
      <c r="AA857" t="str">
        <f>""</f>
        <v/>
      </c>
      <c r="AB857" t="str">
        <f>""</f>
        <v/>
      </c>
      <c r="AC857" t="str">
        <f>""</f>
        <v/>
      </c>
      <c r="AD857" t="str">
        <f>""</f>
        <v/>
      </c>
      <c r="AE857" t="str">
        <f>""</f>
        <v/>
      </c>
      <c r="AF857" t="str">
        <f>""</f>
        <v/>
      </c>
      <c r="AG857" t="str">
        <f>""</f>
        <v/>
      </c>
      <c r="AH857" t="str">
        <f>""</f>
        <v/>
      </c>
      <c r="AI857" t="str">
        <f>""</f>
        <v/>
      </c>
      <c r="AJ857" t="str">
        <f>""</f>
        <v/>
      </c>
      <c r="AK857" t="str">
        <f>""</f>
        <v/>
      </c>
      <c r="AL857" t="str">
        <f>""</f>
        <v/>
      </c>
      <c r="AM857" t="str">
        <f>""</f>
        <v/>
      </c>
      <c r="AN857" t="str">
        <f>""</f>
        <v/>
      </c>
      <c r="AO857" t="str">
        <f>""</f>
        <v/>
      </c>
      <c r="AP857" t="str">
        <f>""</f>
        <v/>
      </c>
      <c r="AQ857" t="str">
        <f>""</f>
        <v/>
      </c>
      <c r="AR857" t="str">
        <f>""</f>
        <v/>
      </c>
      <c r="AS857" t="str">
        <f>""</f>
        <v/>
      </c>
      <c r="AT857" t="str">
        <f>""</f>
        <v/>
      </c>
      <c r="AU857" t="str">
        <f>""</f>
        <v/>
      </c>
      <c r="AV857" t="str">
        <f>""</f>
        <v/>
      </c>
      <c r="AW857" t="str">
        <f>""</f>
        <v/>
      </c>
      <c r="AX857" t="str">
        <f>""</f>
        <v/>
      </c>
      <c r="AY857" t="str">
        <f>""</f>
        <v/>
      </c>
      <c r="AZ857" t="str">
        <f>""</f>
        <v/>
      </c>
      <c r="BA857" t="str">
        <f>""</f>
        <v/>
      </c>
      <c r="BB857" t="str">
        <f>"11/07/2023 02:19:56"</f>
        <v>11/07/2023 02:19:56</v>
      </c>
      <c r="BC857" t="str">
        <f>""</f>
        <v/>
      </c>
      <c r="BD857" t="str">
        <f>""</f>
        <v/>
      </c>
      <c r="BE857" t="str">
        <f>""</f>
        <v/>
      </c>
      <c r="BF857" t="str">
        <f t="shared" si="426"/>
        <v>A</v>
      </c>
      <c r="BG857" t="str">
        <f>""</f>
        <v/>
      </c>
      <c r="BH857" t="str">
        <f>""</f>
        <v/>
      </c>
      <c r="BI857" t="str">
        <f t="shared" si="410"/>
        <v>EVENTUAL</v>
      </c>
      <c r="BJ857" t="str">
        <f t="shared" si="427"/>
        <v>1</v>
      </c>
      <c r="BK857" t="str">
        <f t="shared" si="428"/>
        <v>Farmacia</v>
      </c>
      <c r="BL857" t="str">
        <f>""</f>
        <v/>
      </c>
      <c r="BM857" t="str">
        <f>""</f>
        <v/>
      </c>
      <c r="BN857" t="str">
        <f>""</f>
        <v/>
      </c>
      <c r="BO857" t="str">
        <f>""</f>
        <v/>
      </c>
      <c r="BP857" t="str">
        <f>""</f>
        <v/>
      </c>
      <c r="BQ857" t="str">
        <f>""</f>
        <v/>
      </c>
      <c r="BR857" t="str">
        <f>"11/07/2023"</f>
        <v>11/07/2023</v>
      </c>
      <c r="BS857" t="str">
        <f>""</f>
        <v/>
      </c>
      <c r="BT857" t="str">
        <f>""</f>
        <v/>
      </c>
      <c r="BU857" t="str">
        <f>""</f>
        <v/>
      </c>
      <c r="BV857" t="str">
        <f>""</f>
        <v/>
      </c>
      <c r="BW857" t="str">
        <f t="shared" ref="BW857:BW862" si="438">"Não visitado"</f>
        <v>Não visitado</v>
      </c>
    </row>
    <row r="858" spans="1:75" x14ac:dyDescent="0.35">
      <c r="A858">
        <v>157733</v>
      </c>
      <c r="B858" t="str">
        <f t="shared" si="423"/>
        <v>A</v>
      </c>
      <c r="C858" t="str">
        <f t="shared" si="424"/>
        <v>80</v>
      </c>
      <c r="D858" t="str">
        <f t="shared" si="417"/>
        <v>11121002</v>
      </c>
      <c r="E858" t="str">
        <f t="shared" si="418"/>
        <v>121002</v>
      </c>
      <c r="F858" t="str">
        <f t="shared" si="419"/>
        <v>CINTHIA NORONHA</v>
      </c>
      <c r="G858" t="str">
        <f>"80484728000418"</f>
        <v>80484728000418</v>
      </c>
      <c r="H858" t="str">
        <f>"0"</f>
        <v>0</v>
      </c>
      <c r="I858" t="str">
        <f t="shared" si="425"/>
        <v>CONTA OPTICA</v>
      </c>
      <c r="J858" t="str">
        <f>"MARIO JOALHEIRO LTDA"</f>
        <v>MARIO JOALHEIRO LTDA</v>
      </c>
      <c r="K858" t="str">
        <f>"MARIO JOALHEIRO LTDA (673)"</f>
        <v>MARIO JOALHEIRO LTDA (673)</v>
      </c>
      <c r="L858" t="str">
        <f>""</f>
        <v/>
      </c>
      <c r="M858" t="str">
        <f>""</f>
        <v/>
      </c>
      <c r="N858" t="str">
        <f>""</f>
        <v/>
      </c>
      <c r="O858" t="str">
        <f>""</f>
        <v/>
      </c>
      <c r="P858" t="str">
        <f>"RUA GERONCIO THIVES"</f>
        <v>RUA GERONCIO THIVES</v>
      </c>
      <c r="Q858" t="str">
        <f>"1079"</f>
        <v>1079</v>
      </c>
      <c r="R858" t="str">
        <f>"LOJA 57"</f>
        <v>LOJA 57</v>
      </c>
      <c r="S858" t="str">
        <f>"1259"</f>
        <v>1259</v>
      </c>
      <c r="T858" t="str">
        <f>"88117900"</f>
        <v>88117900</v>
      </c>
      <c r="U858" t="str">
        <f>"BARREIROS"</f>
        <v>BARREIROS</v>
      </c>
      <c r="V858" t="str">
        <f>"SAO JOSE"</f>
        <v>SAO JOSE</v>
      </c>
      <c r="W858" t="str">
        <f t="shared" si="436"/>
        <v>SC</v>
      </c>
      <c r="X858" t="str">
        <f>"48"</f>
        <v>48</v>
      </c>
      <c r="Y858" t="str">
        <f>"32576892"</f>
        <v>32576892</v>
      </c>
      <c r="Z858" t="str">
        <f>""</f>
        <v/>
      </c>
      <c r="AA858" t="str">
        <f>""</f>
        <v/>
      </c>
      <c r="AB858" t="str">
        <f>""</f>
        <v/>
      </c>
      <c r="AC858" t="str">
        <f>""</f>
        <v/>
      </c>
      <c r="AD858" t="str">
        <f>""</f>
        <v/>
      </c>
      <c r="AE858" t="str">
        <f>""</f>
        <v/>
      </c>
      <c r="AF858" t="str">
        <f>""</f>
        <v/>
      </c>
      <c r="AG858" t="str">
        <f>""</f>
        <v/>
      </c>
      <c r="AH858" t="str">
        <f>""</f>
        <v/>
      </c>
      <c r="AI858" t="str">
        <f>""</f>
        <v/>
      </c>
      <c r="AJ858" t="str">
        <f>""</f>
        <v/>
      </c>
      <c r="AK858" t="str">
        <f>""</f>
        <v/>
      </c>
      <c r="AL858" t="str">
        <f>""</f>
        <v/>
      </c>
      <c r="AM858" t="str">
        <f>""</f>
        <v/>
      </c>
      <c r="AN858" t="str">
        <f>""</f>
        <v/>
      </c>
      <c r="AO858" t="str">
        <f>""</f>
        <v/>
      </c>
      <c r="AP858" t="str">
        <f>""</f>
        <v/>
      </c>
      <c r="AQ858" t="str">
        <f>""</f>
        <v/>
      </c>
      <c r="AR858" t="str">
        <f>""</f>
        <v/>
      </c>
      <c r="AS858" t="str">
        <f>""</f>
        <v/>
      </c>
      <c r="AT858" t="str">
        <f>""</f>
        <v/>
      </c>
      <c r="AU858" t="str">
        <f>""</f>
        <v/>
      </c>
      <c r="AV858" t="str">
        <f>""</f>
        <v/>
      </c>
      <c r="AW858" t="str">
        <f>""</f>
        <v/>
      </c>
      <c r="AX858" t="str">
        <f>""</f>
        <v/>
      </c>
      <c r="AY858" t="str">
        <f>""</f>
        <v/>
      </c>
      <c r="AZ858" t="str">
        <f>""</f>
        <v/>
      </c>
      <c r="BA858" t="str">
        <f>""</f>
        <v/>
      </c>
      <c r="BB858" t="str">
        <f>"11/07/2023 02:19:56"</f>
        <v>11/07/2023 02:19:56</v>
      </c>
      <c r="BC858" t="str">
        <f>""</f>
        <v/>
      </c>
      <c r="BD858" t="str">
        <f>""</f>
        <v/>
      </c>
      <c r="BE858" t="str">
        <f>""</f>
        <v/>
      </c>
      <c r="BF858" t="str">
        <f t="shared" si="426"/>
        <v>A</v>
      </c>
      <c r="BG858" t="str">
        <f>""</f>
        <v/>
      </c>
      <c r="BH858" t="str">
        <f>""</f>
        <v/>
      </c>
      <c r="BI858" t="str">
        <f t="shared" si="410"/>
        <v>EVENTUAL</v>
      </c>
      <c r="BJ858" t="str">
        <f t="shared" si="427"/>
        <v>1</v>
      </c>
      <c r="BK858" t="str">
        <f t="shared" si="428"/>
        <v>Farmacia</v>
      </c>
      <c r="BL858" t="str">
        <f>""</f>
        <v/>
      </c>
      <c r="BM858" t="str">
        <f>""</f>
        <v/>
      </c>
      <c r="BN858" t="str">
        <f>""</f>
        <v/>
      </c>
      <c r="BO858" t="str">
        <f>""</f>
        <v/>
      </c>
      <c r="BP858" t="str">
        <f>""</f>
        <v/>
      </c>
      <c r="BQ858" t="str">
        <f>""</f>
        <v/>
      </c>
      <c r="BR858" t="str">
        <f>"11/07/2023"</f>
        <v>11/07/2023</v>
      </c>
      <c r="BS858" t="str">
        <f>""</f>
        <v/>
      </c>
      <c r="BT858" t="str">
        <f>""</f>
        <v/>
      </c>
      <c r="BU858" t="str">
        <f>""</f>
        <v/>
      </c>
      <c r="BV858" t="str">
        <f>""</f>
        <v/>
      </c>
      <c r="BW858" t="str">
        <f t="shared" si="438"/>
        <v>Não visitado</v>
      </c>
    </row>
    <row r="859" spans="1:75" x14ac:dyDescent="0.35">
      <c r="A859">
        <v>21</v>
      </c>
      <c r="B859" t="str">
        <f t="shared" si="423"/>
        <v>A</v>
      </c>
      <c r="C859" t="str">
        <f t="shared" si="424"/>
        <v>80</v>
      </c>
      <c r="D859" t="str">
        <f t="shared" si="417"/>
        <v>11121002</v>
      </c>
      <c r="E859" t="str">
        <f t="shared" si="418"/>
        <v>121002</v>
      </c>
      <c r="F859" t="str">
        <f t="shared" si="419"/>
        <v>CINTHIA NORONHA</v>
      </c>
      <c r="G859" t="str">
        <f>"01514246000144"</f>
        <v>01514246000144</v>
      </c>
      <c r="H859" t="str">
        <f>""</f>
        <v/>
      </c>
      <c r="I859" t="str">
        <f t="shared" si="425"/>
        <v>CONTA OPTICA</v>
      </c>
      <c r="J859" t="str">
        <f>"MARLENE PORTO DE SOUZA ME"</f>
        <v>MARLENE PORTO DE SOUZA ME</v>
      </c>
      <c r="K859" t="str">
        <f>"RELOJOARIA WILLIAN´S (1296)"</f>
        <v>RELOJOARIA WILLIAN´S (1296)</v>
      </c>
      <c r="L859" t="str">
        <f>""</f>
        <v/>
      </c>
      <c r="M859" t="str">
        <f>""</f>
        <v/>
      </c>
      <c r="N859" t="str">
        <f>"relojoariaeoticawillians@hotmail.com"</f>
        <v>relojoariaeoticawillians@hotmail.com</v>
      </c>
      <c r="O859" t="str">
        <f>""</f>
        <v/>
      </c>
      <c r="P859" t="str">
        <f>"AVENIDA UNIVERSITARIA"</f>
        <v>AVENIDA UNIVERSITARIA</v>
      </c>
      <c r="Q859" t="str">
        <f>"1834"</f>
        <v>1834</v>
      </c>
      <c r="R859" t="str">
        <f>"SALA-04"</f>
        <v>SALA-04</v>
      </c>
      <c r="S859" t="str">
        <f>"1269"</f>
        <v>1269</v>
      </c>
      <c r="T859" t="str">
        <f>"88806000"</f>
        <v>88806000</v>
      </c>
      <c r="U859" t="str">
        <f>"PRACA SANTA LUZIA"</f>
        <v>PRACA SANTA LUZIA</v>
      </c>
      <c r="V859" t="str">
        <f>"CRICIÚMA"</f>
        <v>CRICIÚMA</v>
      </c>
      <c r="W859" t="str">
        <f t="shared" si="436"/>
        <v>SC</v>
      </c>
      <c r="X859" t="str">
        <f>"48"</f>
        <v>48</v>
      </c>
      <c r="Y859" t="str">
        <f>"34380094"</f>
        <v>34380094</v>
      </c>
      <c r="Z859" t="str">
        <f>""</f>
        <v/>
      </c>
      <c r="AA859" t="str">
        <f>""</f>
        <v/>
      </c>
      <c r="AB859" t="str">
        <f>""</f>
        <v/>
      </c>
      <c r="AC859" t="str">
        <f>""</f>
        <v/>
      </c>
      <c r="AD859" t="str">
        <f>""</f>
        <v/>
      </c>
      <c r="AE859" t="str">
        <f>""</f>
        <v/>
      </c>
      <c r="AF859" t="str">
        <f>""</f>
        <v/>
      </c>
      <c r="AG859" t="str">
        <f>""</f>
        <v/>
      </c>
      <c r="AH859" t="str">
        <f>""</f>
        <v/>
      </c>
      <c r="AI859" t="str">
        <f>""</f>
        <v/>
      </c>
      <c r="AJ859" t="str">
        <f>"0"</f>
        <v>0</v>
      </c>
      <c r="AK859" t="str">
        <f>"0"</f>
        <v>0</v>
      </c>
      <c r="AL859" t="str">
        <f>"0"</f>
        <v>0</v>
      </c>
      <c r="AM859" t="str">
        <f>""</f>
        <v/>
      </c>
      <c r="AN859" t="str">
        <f>""</f>
        <v/>
      </c>
      <c r="AO859" t="str">
        <f>""</f>
        <v/>
      </c>
      <c r="AP859" t="str">
        <f>""</f>
        <v/>
      </c>
      <c r="AQ859" t="str">
        <f>""</f>
        <v/>
      </c>
      <c r="AR859" t="str">
        <f>""</f>
        <v/>
      </c>
      <c r="AS859" t="str">
        <f>""</f>
        <v/>
      </c>
      <c r="AT859" t="str">
        <f>""</f>
        <v/>
      </c>
      <c r="AU859" t="str">
        <f>""</f>
        <v/>
      </c>
      <c r="AV859" t="str">
        <f>""</f>
        <v/>
      </c>
      <c r="AW859" t="str">
        <f>""</f>
        <v/>
      </c>
      <c r="AX859" t="str">
        <f>""</f>
        <v/>
      </c>
      <c r="AY859" t="str">
        <f>""</f>
        <v/>
      </c>
      <c r="AZ859" t="str">
        <f>""</f>
        <v/>
      </c>
      <c r="BA859" t="str">
        <f>""</f>
        <v/>
      </c>
      <c r="BB859" t="str">
        <f>"27/07/2018 09:25:31"</f>
        <v>27/07/2018 09:25:31</v>
      </c>
      <c r="BC859" t="str">
        <f>""</f>
        <v/>
      </c>
      <c r="BD859" t="str">
        <f>""</f>
        <v/>
      </c>
      <c r="BE859" t="str">
        <f>"21"</f>
        <v>21</v>
      </c>
      <c r="BF859" t="str">
        <f t="shared" si="426"/>
        <v>A</v>
      </c>
      <c r="BG859" t="str">
        <f>"0,00"</f>
        <v>0,00</v>
      </c>
      <c r="BH859" t="str">
        <f>"0,00"</f>
        <v>0,00</v>
      </c>
      <c r="BI859" t="str">
        <f t="shared" si="410"/>
        <v>EVENTUAL</v>
      </c>
      <c r="BJ859" t="str">
        <f t="shared" si="427"/>
        <v>1</v>
      </c>
      <c r="BK859" t="str">
        <f t="shared" si="428"/>
        <v>Farmacia</v>
      </c>
      <c r="BL859" t="str">
        <f>""</f>
        <v/>
      </c>
      <c r="BM859" t="str">
        <f>"NÃO É VARILUX ESPECIALISTA"</f>
        <v>NÃO É VARILUX ESPECIALISTA</v>
      </c>
      <c r="BN859" t="str">
        <f>"NA"</f>
        <v>NA</v>
      </c>
      <c r="BO859" t="str">
        <f>"OUTROS"</f>
        <v>OUTROS</v>
      </c>
      <c r="BP859" t="str">
        <f>""</f>
        <v/>
      </c>
      <c r="BQ859" t="str">
        <f>""</f>
        <v/>
      </c>
      <c r="BR859" t="str">
        <f>"27/07/2018"</f>
        <v>27/07/2018</v>
      </c>
      <c r="BS859" t="str">
        <f>""</f>
        <v/>
      </c>
      <c r="BT859" t="str">
        <f>""</f>
        <v/>
      </c>
      <c r="BU859" t="str">
        <f>""</f>
        <v/>
      </c>
      <c r="BV859" t="str">
        <f>"9"</f>
        <v>9</v>
      </c>
      <c r="BW859" t="str">
        <f t="shared" si="438"/>
        <v>Não visitado</v>
      </c>
    </row>
    <row r="860" spans="1:75" x14ac:dyDescent="0.35">
      <c r="A860">
        <v>157588</v>
      </c>
      <c r="B860" t="str">
        <f t="shared" si="423"/>
        <v>A</v>
      </c>
      <c r="C860" t="str">
        <f t="shared" si="424"/>
        <v>80</v>
      </c>
      <c r="D860" t="str">
        <f t="shared" si="417"/>
        <v>11121002</v>
      </c>
      <c r="E860" t="str">
        <f t="shared" si="418"/>
        <v>121002</v>
      </c>
      <c r="F860" t="str">
        <f t="shared" si="419"/>
        <v>CINTHIA NORONHA</v>
      </c>
      <c r="G860" t="str">
        <f>"08831291000171"</f>
        <v>08831291000171</v>
      </c>
      <c r="H860" t="str">
        <f>"0"</f>
        <v>0</v>
      </c>
      <c r="I860" t="str">
        <f t="shared" si="425"/>
        <v>CONTA OPTICA</v>
      </c>
      <c r="J860" t="str">
        <f>"MARLENE SCHLICKMANN ISIDORO"</f>
        <v>MARLENE SCHLICKMANN ISIDORO</v>
      </c>
      <c r="K860" t="str">
        <f>"RELOJOARIA E OTICA ORIENT (1685)"</f>
        <v>RELOJOARIA E OTICA ORIENT (1685)</v>
      </c>
      <c r="L860" t="str">
        <f>""</f>
        <v/>
      </c>
      <c r="M860" t="str">
        <f>""</f>
        <v/>
      </c>
      <c r="N860" t="str">
        <f>"NILTONOTICA@GMAIL.COM"</f>
        <v>NILTONOTICA@GMAIL.COM</v>
      </c>
      <c r="O860" t="str">
        <f>""</f>
        <v/>
      </c>
      <c r="P860" t="str">
        <f>"RUA PRESIDENTE VARGAS"</f>
        <v>RUA PRESIDENTE VARGAS</v>
      </c>
      <c r="Q860" t="str">
        <f>"597"</f>
        <v>597</v>
      </c>
      <c r="R860" t="str">
        <f>"SALA 1"</f>
        <v>SALA 1</v>
      </c>
      <c r="S860" t="str">
        <f>"1269"</f>
        <v>1269</v>
      </c>
      <c r="T860" t="str">
        <f>"88890000"</f>
        <v>88890000</v>
      </c>
      <c r="U860" t="str">
        <f t="shared" ref="U860:U867" si="439">"CENTRO"</f>
        <v>CENTRO</v>
      </c>
      <c r="V860" t="str">
        <f>"GRAO PARA"</f>
        <v>GRAO PARA</v>
      </c>
      <c r="W860" t="str">
        <f t="shared" si="436"/>
        <v>SC</v>
      </c>
      <c r="X860" t="str">
        <f>"48"</f>
        <v>48</v>
      </c>
      <c r="Y860" t="str">
        <f>"36521068"</f>
        <v>36521068</v>
      </c>
      <c r="Z860" t="str">
        <f>""</f>
        <v/>
      </c>
      <c r="AA860" t="str">
        <f>""</f>
        <v/>
      </c>
      <c r="AB860" t="str">
        <f>""</f>
        <v/>
      </c>
      <c r="AC860" t="str">
        <f>""</f>
        <v/>
      </c>
      <c r="AD860" t="str">
        <f>""</f>
        <v/>
      </c>
      <c r="AE860" t="str">
        <f>""</f>
        <v/>
      </c>
      <c r="AF860" t="str">
        <f>""</f>
        <v/>
      </c>
      <c r="AG860" t="str">
        <f>""</f>
        <v/>
      </c>
      <c r="AH860" t="str">
        <f>""</f>
        <v/>
      </c>
      <c r="AI860" t="str">
        <f>""</f>
        <v/>
      </c>
      <c r="AJ860" t="str">
        <f>""</f>
        <v/>
      </c>
      <c r="AK860" t="str">
        <f>""</f>
        <v/>
      </c>
      <c r="AL860" t="str">
        <f>""</f>
        <v/>
      </c>
      <c r="AM860" t="str">
        <f>""</f>
        <v/>
      </c>
      <c r="AN860" t="str">
        <f>""</f>
        <v/>
      </c>
      <c r="AO860" t="str">
        <f>""</f>
        <v/>
      </c>
      <c r="AP860" t="str">
        <f>""</f>
        <v/>
      </c>
      <c r="AQ860" t="str">
        <f>""</f>
        <v/>
      </c>
      <c r="AR860" t="str">
        <f>""</f>
        <v/>
      </c>
      <c r="AS860" t="str">
        <f>""</f>
        <v/>
      </c>
      <c r="AT860" t="str">
        <f>""</f>
        <v/>
      </c>
      <c r="AU860" t="str">
        <f>""</f>
        <v/>
      </c>
      <c r="AV860" t="str">
        <f>""</f>
        <v/>
      </c>
      <c r="AW860" t="str">
        <f>""</f>
        <v/>
      </c>
      <c r="AX860" t="str">
        <f>""</f>
        <v/>
      </c>
      <c r="AY860" t="str">
        <f>""</f>
        <v/>
      </c>
      <c r="AZ860" t="str">
        <f>""</f>
        <v/>
      </c>
      <c r="BA860" t="str">
        <f>""</f>
        <v/>
      </c>
      <c r="BB860" t="str">
        <f>"11/07/2023 02:19:56"</f>
        <v>11/07/2023 02:19:56</v>
      </c>
      <c r="BC860" t="str">
        <f>""</f>
        <v/>
      </c>
      <c r="BD860" t="str">
        <f>""</f>
        <v/>
      </c>
      <c r="BE860" t="str">
        <f>""</f>
        <v/>
      </c>
      <c r="BF860" t="str">
        <f t="shared" si="426"/>
        <v>A</v>
      </c>
      <c r="BG860" t="str">
        <f>""</f>
        <v/>
      </c>
      <c r="BH860" t="str">
        <f>""</f>
        <v/>
      </c>
      <c r="BI860" t="str">
        <f t="shared" si="410"/>
        <v>EVENTUAL</v>
      </c>
      <c r="BJ860" t="str">
        <f t="shared" si="427"/>
        <v>1</v>
      </c>
      <c r="BK860" t="str">
        <f t="shared" si="428"/>
        <v>Farmacia</v>
      </c>
      <c r="BL860" t="str">
        <f>""</f>
        <v/>
      </c>
      <c r="BM860" t="str">
        <f>""</f>
        <v/>
      </c>
      <c r="BN860" t="str">
        <f>""</f>
        <v/>
      </c>
      <c r="BO860" t="str">
        <f>""</f>
        <v/>
      </c>
      <c r="BP860" t="str">
        <f>""</f>
        <v/>
      </c>
      <c r="BQ860" t="str">
        <f>""</f>
        <v/>
      </c>
      <c r="BR860" t="str">
        <f>"11/07/2023"</f>
        <v>11/07/2023</v>
      </c>
      <c r="BS860" t="str">
        <f>""</f>
        <v/>
      </c>
      <c r="BT860" t="str">
        <f>""</f>
        <v/>
      </c>
      <c r="BU860" t="str">
        <f>""</f>
        <v/>
      </c>
      <c r="BV860" t="str">
        <f>""</f>
        <v/>
      </c>
      <c r="BW860" t="str">
        <f t="shared" si="438"/>
        <v>Não visitado</v>
      </c>
    </row>
    <row r="861" spans="1:75" x14ac:dyDescent="0.35">
      <c r="A861">
        <v>157646</v>
      </c>
      <c r="B861" t="str">
        <f t="shared" si="423"/>
        <v>A</v>
      </c>
      <c r="C861" t="str">
        <f t="shared" si="424"/>
        <v>80</v>
      </c>
      <c r="D861" t="str">
        <f t="shared" si="417"/>
        <v>11121002</v>
      </c>
      <c r="E861" t="str">
        <f t="shared" si="418"/>
        <v>121002</v>
      </c>
      <c r="F861" t="str">
        <f t="shared" si="419"/>
        <v>CINTHIA NORONHA</v>
      </c>
      <c r="G861" t="str">
        <f>"33069416000115"</f>
        <v>33069416000115</v>
      </c>
      <c r="H861" t="str">
        <f>"0"</f>
        <v>0</v>
      </c>
      <c r="I861" t="str">
        <f t="shared" si="425"/>
        <v>CONTA OPTICA</v>
      </c>
      <c r="J861" t="str">
        <f>"MATHEUS SOUZA DA FONSECA JOALHERIA E OTICA EIRELI"</f>
        <v>MATHEUS SOUZA DA FONSECA JOALHERIA E OTICA EIRELI</v>
      </c>
      <c r="K861" t="str">
        <f>"MATHEUS SOUZA DA FONSECA JOALHERIA E OTICA (4027)"</f>
        <v>MATHEUS SOUZA DA FONSECA JOALHERIA E OTICA (4027)</v>
      </c>
      <c r="L861" t="str">
        <f>""</f>
        <v/>
      </c>
      <c r="M861" t="str">
        <f>""</f>
        <v/>
      </c>
      <c r="N861" t="str">
        <f>"SHARAALVES441@GMAIL.COM"</f>
        <v>SHARAALVES441@GMAIL.COM</v>
      </c>
      <c r="O861" t="str">
        <f>""</f>
        <v/>
      </c>
      <c r="P861" t="str">
        <f>"CELESTE RECCO"</f>
        <v>CELESTE RECCO</v>
      </c>
      <c r="Q861" t="str">
        <f>"494"</f>
        <v>494</v>
      </c>
      <c r="R861" t="str">
        <f>"SALA 02"</f>
        <v>SALA 02</v>
      </c>
      <c r="S861" t="str">
        <f>"1269"</f>
        <v>1269</v>
      </c>
      <c r="T861" t="str">
        <f>"88830000"</f>
        <v>88830000</v>
      </c>
      <c r="U861" t="str">
        <f t="shared" si="439"/>
        <v>CENTRO</v>
      </c>
      <c r="V861" t="str">
        <f>"MORRO DA FUMACA"</f>
        <v>MORRO DA FUMACA</v>
      </c>
      <c r="W861" t="str">
        <f t="shared" si="436"/>
        <v>SC</v>
      </c>
      <c r="X861" t="str">
        <f>"48"</f>
        <v>48</v>
      </c>
      <c r="Y861" t="str">
        <f>"34344221"</f>
        <v>34344221</v>
      </c>
      <c r="Z861" t="str">
        <f>""</f>
        <v/>
      </c>
      <c r="AA861" t="str">
        <f>""</f>
        <v/>
      </c>
      <c r="AB861" t="str">
        <f>""</f>
        <v/>
      </c>
      <c r="AC861" t="str">
        <f>""</f>
        <v/>
      </c>
      <c r="AD861" t="str">
        <f>""</f>
        <v/>
      </c>
      <c r="AE861" t="str">
        <f>""</f>
        <v/>
      </c>
      <c r="AF861" t="str">
        <f>""</f>
        <v/>
      </c>
      <c r="AG861" t="str">
        <f>""</f>
        <v/>
      </c>
      <c r="AH861" t="str">
        <f>""</f>
        <v/>
      </c>
      <c r="AI861" t="str">
        <f>""</f>
        <v/>
      </c>
      <c r="AJ861" t="str">
        <f>""</f>
        <v/>
      </c>
      <c r="AK861" t="str">
        <f>""</f>
        <v/>
      </c>
      <c r="AL861" t="str">
        <f>""</f>
        <v/>
      </c>
      <c r="AM861" t="str">
        <f>""</f>
        <v/>
      </c>
      <c r="AN861" t="str">
        <f>""</f>
        <v/>
      </c>
      <c r="AO861" t="str">
        <f>""</f>
        <v/>
      </c>
      <c r="AP861" t="str">
        <f>""</f>
        <v/>
      </c>
      <c r="AQ861" t="str">
        <f>""</f>
        <v/>
      </c>
      <c r="AR861" t="str">
        <f>""</f>
        <v/>
      </c>
      <c r="AS861" t="str">
        <f>""</f>
        <v/>
      </c>
      <c r="AT861" t="str">
        <f>""</f>
        <v/>
      </c>
      <c r="AU861" t="str">
        <f>""</f>
        <v/>
      </c>
      <c r="AV861" t="str">
        <f>""</f>
        <v/>
      </c>
      <c r="AW861" t="str">
        <f>""</f>
        <v/>
      </c>
      <c r="AX861" t="str">
        <f>""</f>
        <v/>
      </c>
      <c r="AY861" t="str">
        <f>""</f>
        <v/>
      </c>
      <c r="AZ861" t="str">
        <f>""</f>
        <v/>
      </c>
      <c r="BA861" t="str">
        <f>""</f>
        <v/>
      </c>
      <c r="BB861" t="str">
        <f>"11/07/2023 02:19:56"</f>
        <v>11/07/2023 02:19:56</v>
      </c>
      <c r="BC861" t="str">
        <f>""</f>
        <v/>
      </c>
      <c r="BD861" t="str">
        <f>""</f>
        <v/>
      </c>
      <c r="BE861" t="str">
        <f>""</f>
        <v/>
      </c>
      <c r="BF861" t="str">
        <f t="shared" si="426"/>
        <v>A</v>
      </c>
      <c r="BG861" t="str">
        <f>""</f>
        <v/>
      </c>
      <c r="BH861" t="str">
        <f>""</f>
        <v/>
      </c>
      <c r="BI861" t="str">
        <f t="shared" si="410"/>
        <v>EVENTUAL</v>
      </c>
      <c r="BJ861" t="str">
        <f t="shared" si="427"/>
        <v>1</v>
      </c>
      <c r="BK861" t="str">
        <f t="shared" si="428"/>
        <v>Farmacia</v>
      </c>
      <c r="BL861" t="str">
        <f>""</f>
        <v/>
      </c>
      <c r="BM861" t="str">
        <f>""</f>
        <v/>
      </c>
      <c r="BN861" t="str">
        <f>""</f>
        <v/>
      </c>
      <c r="BO861" t="str">
        <f>""</f>
        <v/>
      </c>
      <c r="BP861" t="str">
        <f>""</f>
        <v/>
      </c>
      <c r="BQ861" t="str">
        <f>""</f>
        <v/>
      </c>
      <c r="BR861" t="str">
        <f>"11/07/2023"</f>
        <v>11/07/2023</v>
      </c>
      <c r="BS861" t="str">
        <f>""</f>
        <v/>
      </c>
      <c r="BT861" t="str">
        <f>""</f>
        <v/>
      </c>
      <c r="BU861" t="str">
        <f>""</f>
        <v/>
      </c>
      <c r="BV861" t="str">
        <f>""</f>
        <v/>
      </c>
      <c r="BW861" t="str">
        <f t="shared" si="438"/>
        <v>Não visitado</v>
      </c>
    </row>
    <row r="862" spans="1:75" x14ac:dyDescent="0.35">
      <c r="A862">
        <v>144838</v>
      </c>
      <c r="B862" t="str">
        <f t="shared" si="423"/>
        <v>A</v>
      </c>
      <c r="C862" t="str">
        <f t="shared" si="424"/>
        <v>80</v>
      </c>
      <c r="D862" t="str">
        <f t="shared" si="417"/>
        <v>11121002</v>
      </c>
      <c r="E862" t="str">
        <f t="shared" si="418"/>
        <v>121002</v>
      </c>
      <c r="F862" t="str">
        <f t="shared" si="419"/>
        <v>CINTHIA NORONHA</v>
      </c>
      <c r="G862" t="str">
        <f>"39813906000160"</f>
        <v>39813906000160</v>
      </c>
      <c r="H862" t="str">
        <f>""</f>
        <v/>
      </c>
      <c r="I862" t="str">
        <f t="shared" si="425"/>
        <v>CONTA OPTICA</v>
      </c>
      <c r="J862" t="str">
        <f>"MATOS E PEREIRA JOALHERIA E OPTICA LTDA"</f>
        <v>MATOS E PEREIRA JOALHERIA E OPTICA LTDA</v>
      </c>
      <c r="K862" t="str">
        <f>"OTICA ESPECIALISTA (4392)"</f>
        <v>OTICA ESPECIALISTA (4392)</v>
      </c>
      <c r="L862" t="str">
        <f>""</f>
        <v/>
      </c>
      <c r="M862" t="str">
        <f>""</f>
        <v/>
      </c>
      <c r="N862" t="str">
        <f>"contato.tr@oticaespecialistars.com.br"</f>
        <v>contato.tr@oticaespecialistars.com.br</v>
      </c>
      <c r="O862" t="str">
        <f>""</f>
        <v/>
      </c>
      <c r="P862" t="str">
        <f>"AVENIDA BENJAMIN CONSTANT"</f>
        <v>AVENIDA BENJAMIN CONSTANT</v>
      </c>
      <c r="Q862" t="str">
        <f>"315"</f>
        <v>315</v>
      </c>
      <c r="R862" t="str">
        <f>"LOJA 36"</f>
        <v>LOJA 36</v>
      </c>
      <c r="S862" t="str">
        <f>"1336"</f>
        <v>1336</v>
      </c>
      <c r="T862" t="str">
        <f>"95560000"</f>
        <v>95560000</v>
      </c>
      <c r="U862" t="str">
        <f t="shared" si="439"/>
        <v>CENTRO</v>
      </c>
      <c r="V862" t="str">
        <f>"TORRES"</f>
        <v>TORRES</v>
      </c>
      <c r="W862" t="str">
        <f>"RS"</f>
        <v>RS</v>
      </c>
      <c r="X862" t="str">
        <f>"51"</f>
        <v>51</v>
      </c>
      <c r="Y862" t="str">
        <f>"21443040"</f>
        <v>21443040</v>
      </c>
      <c r="Z862" t="str">
        <f>""</f>
        <v/>
      </c>
      <c r="AA862" t="str">
        <f>""</f>
        <v/>
      </c>
      <c r="AB862" t="str">
        <f>""</f>
        <v/>
      </c>
      <c r="AC862" t="str">
        <f>""</f>
        <v/>
      </c>
      <c r="AD862" t="str">
        <f>""</f>
        <v/>
      </c>
      <c r="AE862" t="str">
        <f>""</f>
        <v/>
      </c>
      <c r="AF862" t="str">
        <f>""</f>
        <v/>
      </c>
      <c r="AG862" t="str">
        <f>""</f>
        <v/>
      </c>
      <c r="AH862" t="str">
        <f>""</f>
        <v/>
      </c>
      <c r="AI862" t="str">
        <f>""</f>
        <v/>
      </c>
      <c r="AJ862" t="str">
        <f t="shared" ref="AJ862:AL863" si="440">"0"</f>
        <v>0</v>
      </c>
      <c r="AK862" t="str">
        <f t="shared" si="440"/>
        <v>0</v>
      </c>
      <c r="AL862" t="str">
        <f t="shared" si="440"/>
        <v>0</v>
      </c>
      <c r="AM862" t="str">
        <f>""</f>
        <v/>
      </c>
      <c r="AN862" t="str">
        <f>""</f>
        <v/>
      </c>
      <c r="AO862" t="str">
        <f>""</f>
        <v/>
      </c>
      <c r="AP862" t="str">
        <f>""</f>
        <v/>
      </c>
      <c r="AQ862" t="str">
        <f>""</f>
        <v/>
      </c>
      <c r="AR862" t="str">
        <f>""</f>
        <v/>
      </c>
      <c r="AS862" t="str">
        <f>""</f>
        <v/>
      </c>
      <c r="AT862" t="str">
        <f>""</f>
        <v/>
      </c>
      <c r="AU862" t="str">
        <f>""</f>
        <v/>
      </c>
      <c r="AV862" t="str">
        <f>""</f>
        <v/>
      </c>
      <c r="AW862" t="str">
        <f>""</f>
        <v/>
      </c>
      <c r="AX862" t="str">
        <f>""</f>
        <v/>
      </c>
      <c r="AY862" t="str">
        <f>""</f>
        <v/>
      </c>
      <c r="AZ862" t="str">
        <f>""</f>
        <v/>
      </c>
      <c r="BA862" t="str">
        <f>""</f>
        <v/>
      </c>
      <c r="BB862" t="str">
        <f>""</f>
        <v/>
      </c>
      <c r="BC862" t="str">
        <f>""</f>
        <v/>
      </c>
      <c r="BD862" t="str">
        <f>""</f>
        <v/>
      </c>
      <c r="BE862" t="str">
        <f>""</f>
        <v/>
      </c>
      <c r="BF862" t="str">
        <f t="shared" si="426"/>
        <v>A</v>
      </c>
      <c r="BG862" t="str">
        <f>"0,00"</f>
        <v>0,00</v>
      </c>
      <c r="BH862" t="str">
        <f>"0,00"</f>
        <v>0,00</v>
      </c>
      <c r="BI862" t="str">
        <f t="shared" si="410"/>
        <v>EVENTUAL</v>
      </c>
      <c r="BJ862" t="str">
        <f t="shared" si="427"/>
        <v>1</v>
      </c>
      <c r="BK862" t="str">
        <f t="shared" si="428"/>
        <v>Farmacia</v>
      </c>
      <c r="BL862" t="str">
        <f>""</f>
        <v/>
      </c>
      <c r="BM862" t="str">
        <f>""</f>
        <v/>
      </c>
      <c r="BN862" t="str">
        <f>""</f>
        <v/>
      </c>
      <c r="BO862" t="str">
        <f>"OUTROS"</f>
        <v>OUTROS</v>
      </c>
      <c r="BP862" t="str">
        <f>""</f>
        <v/>
      </c>
      <c r="BQ862" t="str">
        <f>""</f>
        <v/>
      </c>
      <c r="BR862" t="str">
        <f>""</f>
        <v/>
      </c>
      <c r="BS862" t="str">
        <f>""</f>
        <v/>
      </c>
      <c r="BT862" t="str">
        <f>""</f>
        <v/>
      </c>
      <c r="BU862" t="str">
        <f>""</f>
        <v/>
      </c>
      <c r="BV862" t="str">
        <f>""</f>
        <v/>
      </c>
      <c r="BW862" t="str">
        <f t="shared" si="438"/>
        <v>Não visitado</v>
      </c>
    </row>
    <row r="863" spans="1:75" x14ac:dyDescent="0.35">
      <c r="A863">
        <v>134228</v>
      </c>
      <c r="B863" t="str">
        <f t="shared" si="423"/>
        <v>A</v>
      </c>
      <c r="C863" t="str">
        <f t="shared" si="424"/>
        <v>80</v>
      </c>
      <c r="D863" t="str">
        <f t="shared" si="417"/>
        <v>11121002</v>
      </c>
      <c r="E863" t="str">
        <f t="shared" si="418"/>
        <v>121002</v>
      </c>
      <c r="F863" t="str">
        <f t="shared" si="419"/>
        <v>CINTHIA NORONHA</v>
      </c>
      <c r="G863" t="str">
        <f>"11472682000151"</f>
        <v>11472682000151</v>
      </c>
      <c r="H863" t="str">
        <f>""</f>
        <v/>
      </c>
      <c r="I863" t="str">
        <f t="shared" si="425"/>
        <v>CONTA OPTICA</v>
      </c>
      <c r="J863" t="str">
        <f>"MAURA MARIA SODRE CARLOTTO ME"</f>
        <v>MAURA MARIA SODRE CARLOTTO ME</v>
      </c>
      <c r="K863" t="str">
        <f>"OTICA CARLOTTO REL. JOALH. E CANETARIA LTDA ME (1712)"</f>
        <v>OTICA CARLOTTO REL. JOALH. E CANETARIA LTDA ME (1712)</v>
      </c>
      <c r="L863" t="str">
        <f>""</f>
        <v/>
      </c>
      <c r="M863" t="str">
        <f>""</f>
        <v/>
      </c>
      <c r="N863" t="str">
        <f>"mauraotica@hotmail.com"</f>
        <v>mauraotica@hotmail.com</v>
      </c>
      <c r="O863" t="str">
        <f>""</f>
        <v/>
      </c>
      <c r="P863" t="str">
        <f>"RUA JERONIMO COELHO"</f>
        <v>RUA JERONIMO COELHO</v>
      </c>
      <c r="Q863" t="str">
        <f>"143"</f>
        <v>143</v>
      </c>
      <c r="R863" t="str">
        <f>""</f>
        <v/>
      </c>
      <c r="S863" t="str">
        <f>"1254"</f>
        <v>1254</v>
      </c>
      <c r="T863" t="str">
        <f>"88010030"</f>
        <v>88010030</v>
      </c>
      <c r="U863" t="str">
        <f t="shared" si="439"/>
        <v>CENTRO</v>
      </c>
      <c r="V863" t="str">
        <f>"FLORIANÓPOLIS"</f>
        <v>FLORIANÓPOLIS</v>
      </c>
      <c r="W863" t="str">
        <f t="shared" ref="W863:W894" si="441">"SC"</f>
        <v>SC</v>
      </c>
      <c r="X863" t="str">
        <f t="shared" ref="X863:X871" si="442">"48"</f>
        <v>48</v>
      </c>
      <c r="Y863" t="str">
        <f>"30241350"</f>
        <v>30241350</v>
      </c>
      <c r="Z863" t="str">
        <f>""</f>
        <v/>
      </c>
      <c r="AA863" t="str">
        <f>""</f>
        <v/>
      </c>
      <c r="AB863" t="str">
        <f>""</f>
        <v/>
      </c>
      <c r="AC863" t="str">
        <f>""</f>
        <v/>
      </c>
      <c r="AD863" t="str">
        <f>""</f>
        <v/>
      </c>
      <c r="AE863" t="str">
        <f>""</f>
        <v/>
      </c>
      <c r="AF863" t="str">
        <f>""</f>
        <v/>
      </c>
      <c r="AG863" t="str">
        <f>"S"</f>
        <v>S</v>
      </c>
      <c r="AH863" t="str">
        <f>""</f>
        <v/>
      </c>
      <c r="AI863" t="str">
        <f>""</f>
        <v/>
      </c>
      <c r="AJ863" t="str">
        <f t="shared" si="440"/>
        <v>0</v>
      </c>
      <c r="AK863" t="str">
        <f t="shared" si="440"/>
        <v>0</v>
      </c>
      <c r="AL863" t="str">
        <f t="shared" si="440"/>
        <v>0</v>
      </c>
      <c r="AM863" t="str">
        <f>""</f>
        <v/>
      </c>
      <c r="AN863" t="str">
        <f>""</f>
        <v/>
      </c>
      <c r="AO863" t="str">
        <f>""</f>
        <v/>
      </c>
      <c r="AP863" t="str">
        <f>""</f>
        <v/>
      </c>
      <c r="AQ863" t="str">
        <f>"N"</f>
        <v>N</v>
      </c>
      <c r="AR863" t="str">
        <f>"N"</f>
        <v>N</v>
      </c>
      <c r="AS863" t="str">
        <f>"N"</f>
        <v>N</v>
      </c>
      <c r="AT863" t="str">
        <f>"N"</f>
        <v>N</v>
      </c>
      <c r="AU863" t="str">
        <f>"N"</f>
        <v>N</v>
      </c>
      <c r="AV863" t="str">
        <f>""</f>
        <v/>
      </c>
      <c r="AW863" t="str">
        <f>""</f>
        <v/>
      </c>
      <c r="AX863" t="str">
        <f>""</f>
        <v/>
      </c>
      <c r="AY863" t="str">
        <f>""</f>
        <v/>
      </c>
      <c r="AZ863" t="str">
        <f>""</f>
        <v/>
      </c>
      <c r="BA863" t="str">
        <f>""</f>
        <v/>
      </c>
      <c r="BB863" t="str">
        <f>""</f>
        <v/>
      </c>
      <c r="BC863" t="str">
        <f>"03/03/2022 14:24:48"</f>
        <v>03/03/2022 14:24:48</v>
      </c>
      <c r="BD863" t="str">
        <f>""</f>
        <v/>
      </c>
      <c r="BE863" t="str">
        <f>""</f>
        <v/>
      </c>
      <c r="BF863" t="str">
        <f t="shared" si="426"/>
        <v>A</v>
      </c>
      <c r="BG863" t="str">
        <f>"0,00"</f>
        <v>0,00</v>
      </c>
      <c r="BH863" t="str">
        <f>"0,00"</f>
        <v>0,00</v>
      </c>
      <c r="BI863" t="str">
        <f t="shared" si="410"/>
        <v>EVENTUAL</v>
      </c>
      <c r="BJ863" t="str">
        <f t="shared" si="427"/>
        <v>1</v>
      </c>
      <c r="BK863" t="str">
        <f t="shared" si="428"/>
        <v>Farmacia</v>
      </c>
      <c r="BL863" t="str">
        <f>""</f>
        <v/>
      </c>
      <c r="BM863" t="str">
        <f>"NÃO É VARILUX ESPECIALISTA"</f>
        <v>NÃO É VARILUX ESPECIALISTA</v>
      </c>
      <c r="BN863" t="str">
        <f>"NA"</f>
        <v>NA</v>
      </c>
      <c r="BO863" t="str">
        <f>"OUTROS"</f>
        <v>OUTROS</v>
      </c>
      <c r="BP863" t="str">
        <f>""</f>
        <v/>
      </c>
      <c r="BQ863" t="str">
        <f>""</f>
        <v/>
      </c>
      <c r="BR863" t="str">
        <f>""</f>
        <v/>
      </c>
      <c r="BS863" t="str">
        <f>"03/03/2022"</f>
        <v>03/03/2022</v>
      </c>
      <c r="BT863" t="str">
        <f>""</f>
        <v/>
      </c>
      <c r="BU863" t="str">
        <f>""</f>
        <v/>
      </c>
      <c r="BV863" t="str">
        <f>"9"</f>
        <v>9</v>
      </c>
      <c r="BW863" t="str">
        <f>"493"</f>
        <v>493</v>
      </c>
    </row>
    <row r="864" spans="1:75" x14ac:dyDescent="0.35">
      <c r="A864">
        <v>156906</v>
      </c>
      <c r="B864" t="str">
        <f t="shared" si="423"/>
        <v>A</v>
      </c>
      <c r="C864" t="str">
        <f t="shared" si="424"/>
        <v>80</v>
      </c>
      <c r="D864" t="str">
        <f t="shared" si="417"/>
        <v>11121002</v>
      </c>
      <c r="E864" t="str">
        <f t="shared" si="418"/>
        <v>121002</v>
      </c>
      <c r="F864" t="str">
        <f t="shared" si="419"/>
        <v>CINTHIA NORONHA</v>
      </c>
      <c r="G864" t="str">
        <f>"27081828000178"</f>
        <v>27081828000178</v>
      </c>
      <c r="H864" t="str">
        <f>"0"</f>
        <v>0</v>
      </c>
      <c r="I864" t="str">
        <f t="shared" si="425"/>
        <v>CONTA OPTICA</v>
      </c>
      <c r="J864" t="str">
        <f>"MAX PRESENTES LTDA"</f>
        <v>MAX PRESENTES LTDA</v>
      </c>
      <c r="K864" t="str">
        <f>"CHILLI BEANS (4549)"</f>
        <v>CHILLI BEANS (4549)</v>
      </c>
      <c r="L864" t="str">
        <f>""</f>
        <v/>
      </c>
      <c r="M864" t="str">
        <f>""</f>
        <v/>
      </c>
      <c r="N864" t="str">
        <f>"ANAGHILARDINI2@GMAIL.COM"</f>
        <v>ANAGHILARDINI2@GMAIL.COM</v>
      </c>
      <c r="O864" t="str">
        <f>""</f>
        <v/>
      </c>
      <c r="P864" t="str">
        <f>"RUA SENADOR GUSTAVO RICHARD"</f>
        <v>RUA SENADOR GUSTAVO RICHARD</v>
      </c>
      <c r="Q864" t="str">
        <f>"376"</f>
        <v>376</v>
      </c>
      <c r="R864" t="str">
        <f>""</f>
        <v/>
      </c>
      <c r="S864" t="str">
        <f>"1268"</f>
        <v>1268</v>
      </c>
      <c r="T864" t="str">
        <f>"88790000"</f>
        <v>88790000</v>
      </c>
      <c r="U864" t="str">
        <f t="shared" si="439"/>
        <v>CENTRO</v>
      </c>
      <c r="V864" t="str">
        <f>"LAGUNA"</f>
        <v>LAGUNA</v>
      </c>
      <c r="W864" t="str">
        <f t="shared" si="441"/>
        <v>SC</v>
      </c>
      <c r="X864" t="str">
        <f t="shared" si="442"/>
        <v>48</v>
      </c>
      <c r="Y864" t="str">
        <f>"996608862"</f>
        <v>996608862</v>
      </c>
      <c r="Z864" t="str">
        <f>""</f>
        <v/>
      </c>
      <c r="AA864" t="str">
        <f>""</f>
        <v/>
      </c>
      <c r="AB864" t="str">
        <f>""</f>
        <v/>
      </c>
      <c r="AC864" t="str">
        <f>""</f>
        <v/>
      </c>
      <c r="AD864" t="str">
        <f>""</f>
        <v/>
      </c>
      <c r="AE864" t="str">
        <f>""</f>
        <v/>
      </c>
      <c r="AF864" t="str">
        <f>""</f>
        <v/>
      </c>
      <c r="AG864" t="str">
        <f>""</f>
        <v/>
      </c>
      <c r="AH864" t="str">
        <f>""</f>
        <v/>
      </c>
      <c r="AI864" t="str">
        <f>""</f>
        <v/>
      </c>
      <c r="AJ864" t="str">
        <f>""</f>
        <v/>
      </c>
      <c r="AK864" t="str">
        <f>""</f>
        <v/>
      </c>
      <c r="AL864" t="str">
        <f>""</f>
        <v/>
      </c>
      <c r="AM864" t="str">
        <f>""</f>
        <v/>
      </c>
      <c r="AN864" t="str">
        <f>""</f>
        <v/>
      </c>
      <c r="AO864" t="str">
        <f>""</f>
        <v/>
      </c>
      <c r="AP864" t="str">
        <f>""</f>
        <v/>
      </c>
      <c r="AQ864" t="str">
        <f>""</f>
        <v/>
      </c>
      <c r="AR864" t="str">
        <f>""</f>
        <v/>
      </c>
      <c r="AS864" t="str">
        <f>""</f>
        <v/>
      </c>
      <c r="AT864" t="str">
        <f>""</f>
        <v/>
      </c>
      <c r="AU864" t="str">
        <f>""</f>
        <v/>
      </c>
      <c r="AV864" t="str">
        <f>""</f>
        <v/>
      </c>
      <c r="AW864" t="str">
        <f>""</f>
        <v/>
      </c>
      <c r="AX864" t="str">
        <f>""</f>
        <v/>
      </c>
      <c r="AY864" t="str">
        <f>""</f>
        <v/>
      </c>
      <c r="AZ864" t="str">
        <f>""</f>
        <v/>
      </c>
      <c r="BA864" t="str">
        <f>""</f>
        <v/>
      </c>
      <c r="BB864" t="str">
        <f>"06/07/2023 12:07:48"</f>
        <v>06/07/2023 12:07:48</v>
      </c>
      <c r="BC864" t="str">
        <f>""</f>
        <v/>
      </c>
      <c r="BD864" t="str">
        <f>""</f>
        <v/>
      </c>
      <c r="BE864" t="str">
        <f>""</f>
        <v/>
      </c>
      <c r="BF864" t="str">
        <f t="shared" si="426"/>
        <v>A</v>
      </c>
      <c r="BG864" t="str">
        <f>""</f>
        <v/>
      </c>
      <c r="BH864" t="str">
        <f>""</f>
        <v/>
      </c>
      <c r="BI864" t="str">
        <f t="shared" ref="BI864:BI927" si="443">"EVENTUAL"</f>
        <v>EVENTUAL</v>
      </c>
      <c r="BJ864" t="str">
        <f t="shared" si="427"/>
        <v>1</v>
      </c>
      <c r="BK864" t="str">
        <f t="shared" si="428"/>
        <v>Farmacia</v>
      </c>
      <c r="BL864" t="str">
        <f>""</f>
        <v/>
      </c>
      <c r="BM864" t="str">
        <f>""</f>
        <v/>
      </c>
      <c r="BN864" t="str">
        <f>""</f>
        <v/>
      </c>
      <c r="BO864" t="str">
        <f>""</f>
        <v/>
      </c>
      <c r="BP864" t="str">
        <f>""</f>
        <v/>
      </c>
      <c r="BQ864" t="str">
        <f>""</f>
        <v/>
      </c>
      <c r="BR864" t="str">
        <f>"06/07/2023"</f>
        <v>06/07/2023</v>
      </c>
      <c r="BS864" t="str">
        <f>""</f>
        <v/>
      </c>
      <c r="BT864" t="str">
        <f>""</f>
        <v/>
      </c>
      <c r="BU864" t="str">
        <f>""</f>
        <v/>
      </c>
      <c r="BV864" t="str">
        <f>""</f>
        <v/>
      </c>
      <c r="BW864" t="str">
        <f>"Não visitado"</f>
        <v>Não visitado</v>
      </c>
    </row>
    <row r="865" spans="1:75" x14ac:dyDescent="0.35">
      <c r="A865">
        <v>157734</v>
      </c>
      <c r="B865" t="str">
        <f t="shared" si="423"/>
        <v>A</v>
      </c>
      <c r="C865" t="str">
        <f t="shared" si="424"/>
        <v>80</v>
      </c>
      <c r="D865" t="str">
        <f t="shared" si="417"/>
        <v>11121002</v>
      </c>
      <c r="E865" t="str">
        <f t="shared" si="418"/>
        <v>121002</v>
      </c>
      <c r="F865" t="str">
        <f t="shared" si="419"/>
        <v>CINTHIA NORONHA</v>
      </c>
      <c r="G865" t="str">
        <f>"85334456000140"</f>
        <v>85334456000140</v>
      </c>
      <c r="H865" t="str">
        <f>"0"</f>
        <v>0</v>
      </c>
      <c r="I865" t="str">
        <f t="shared" si="425"/>
        <v>CONTA OPTICA</v>
      </c>
      <c r="J865" t="str">
        <f>"MAXCI - RELOJOARIA OTICA JOALHERIA LTDA ME"</f>
        <v>MAXCI - RELOJOARIA OTICA JOALHERIA LTDA ME</v>
      </c>
      <c r="K865" t="str">
        <f>"OTICA MAXCI (506)"</f>
        <v>OTICA MAXCI (506)</v>
      </c>
      <c r="L865" t="str">
        <f>""</f>
        <v/>
      </c>
      <c r="M865" t="str">
        <f>""</f>
        <v/>
      </c>
      <c r="N865" t="str">
        <f>"MAXCIOTICA@BRTURBO.COM.BR"</f>
        <v>MAXCIOTICA@BRTURBO.COM.BR</v>
      </c>
      <c r="O865" t="str">
        <f>""</f>
        <v/>
      </c>
      <c r="P865" t="str">
        <f>"RUA FELIPE SCHMIDT"</f>
        <v>RUA FELIPE SCHMIDT</v>
      </c>
      <c r="Q865" t="str">
        <f>"413"</f>
        <v>413</v>
      </c>
      <c r="R865" t="str">
        <f>"GAL. JAQUELINE"</f>
        <v>GAL. JAQUELINE</v>
      </c>
      <c r="S865" t="str">
        <f>"1254"</f>
        <v>1254</v>
      </c>
      <c r="T865" t="str">
        <f>"88010000"</f>
        <v>88010000</v>
      </c>
      <c r="U865" t="str">
        <f t="shared" si="439"/>
        <v>CENTRO</v>
      </c>
      <c r="V865" t="str">
        <f>"FLORIANOPOLIS"</f>
        <v>FLORIANOPOLIS</v>
      </c>
      <c r="W865" t="str">
        <f t="shared" si="441"/>
        <v>SC</v>
      </c>
      <c r="X865" t="str">
        <f t="shared" si="442"/>
        <v>48</v>
      </c>
      <c r="Y865" t="str">
        <f>"32222309"</f>
        <v>32222309</v>
      </c>
      <c r="Z865" t="str">
        <f>""</f>
        <v/>
      </c>
      <c r="AA865" t="str">
        <f>""</f>
        <v/>
      </c>
      <c r="AB865" t="str">
        <f>""</f>
        <v/>
      </c>
      <c r="AC865" t="str">
        <f>""</f>
        <v/>
      </c>
      <c r="AD865" t="str">
        <f>""</f>
        <v/>
      </c>
      <c r="AE865" t="str">
        <f>""</f>
        <v/>
      </c>
      <c r="AF865" t="str">
        <f>""</f>
        <v/>
      </c>
      <c r="AG865" t="str">
        <f>""</f>
        <v/>
      </c>
      <c r="AH865" t="str">
        <f>""</f>
        <v/>
      </c>
      <c r="AI865" t="str">
        <f>""</f>
        <v/>
      </c>
      <c r="AJ865" t="str">
        <f>""</f>
        <v/>
      </c>
      <c r="AK865" t="str">
        <f>""</f>
        <v/>
      </c>
      <c r="AL865" t="str">
        <f>""</f>
        <v/>
      </c>
      <c r="AM865" t="str">
        <f>""</f>
        <v/>
      </c>
      <c r="AN865" t="str">
        <f>""</f>
        <v/>
      </c>
      <c r="AO865" t="str">
        <f>""</f>
        <v/>
      </c>
      <c r="AP865" t="str">
        <f>""</f>
        <v/>
      </c>
      <c r="AQ865" t="str">
        <f>""</f>
        <v/>
      </c>
      <c r="AR865" t="str">
        <f>""</f>
        <v/>
      </c>
      <c r="AS865" t="str">
        <f>""</f>
        <v/>
      </c>
      <c r="AT865" t="str">
        <f>""</f>
        <v/>
      </c>
      <c r="AU865" t="str">
        <f>""</f>
        <v/>
      </c>
      <c r="AV865" t="str">
        <f>""</f>
        <v/>
      </c>
      <c r="AW865" t="str">
        <f>""</f>
        <v/>
      </c>
      <c r="AX865" t="str">
        <f>""</f>
        <v/>
      </c>
      <c r="AY865" t="str">
        <f>""</f>
        <v/>
      </c>
      <c r="AZ865" t="str">
        <f>""</f>
        <v/>
      </c>
      <c r="BA865" t="str">
        <f>""</f>
        <v/>
      </c>
      <c r="BB865" t="str">
        <f>"11/07/2023 02:19:56"</f>
        <v>11/07/2023 02:19:56</v>
      </c>
      <c r="BC865" t="str">
        <f>""</f>
        <v/>
      </c>
      <c r="BD865" t="str">
        <f>""</f>
        <v/>
      </c>
      <c r="BE865" t="str">
        <f>""</f>
        <v/>
      </c>
      <c r="BF865" t="str">
        <f t="shared" si="426"/>
        <v>A</v>
      </c>
      <c r="BG865" t="str">
        <f>""</f>
        <v/>
      </c>
      <c r="BH865" t="str">
        <f>""</f>
        <v/>
      </c>
      <c r="BI865" t="str">
        <f t="shared" si="443"/>
        <v>EVENTUAL</v>
      </c>
      <c r="BJ865" t="str">
        <f t="shared" si="427"/>
        <v>1</v>
      </c>
      <c r="BK865" t="str">
        <f t="shared" si="428"/>
        <v>Farmacia</v>
      </c>
      <c r="BL865" t="str">
        <f>""</f>
        <v/>
      </c>
      <c r="BM865" t="str">
        <f>""</f>
        <v/>
      </c>
      <c r="BN865" t="str">
        <f>""</f>
        <v/>
      </c>
      <c r="BO865" t="str">
        <f>""</f>
        <v/>
      </c>
      <c r="BP865" t="str">
        <f>""</f>
        <v/>
      </c>
      <c r="BQ865" t="str">
        <f>""</f>
        <v/>
      </c>
      <c r="BR865" t="str">
        <f>"11/07/2023"</f>
        <v>11/07/2023</v>
      </c>
      <c r="BS865" t="str">
        <f>""</f>
        <v/>
      </c>
      <c r="BT865" t="str">
        <f>""</f>
        <v/>
      </c>
      <c r="BU865" t="str">
        <f>""</f>
        <v/>
      </c>
      <c r="BV865" t="str">
        <f>""</f>
        <v/>
      </c>
      <c r="BW865" t="str">
        <f>"Não visitado"</f>
        <v>Não visitado</v>
      </c>
    </row>
    <row r="866" spans="1:75" x14ac:dyDescent="0.35">
      <c r="A866">
        <v>157616</v>
      </c>
      <c r="B866" t="str">
        <f t="shared" si="423"/>
        <v>A</v>
      </c>
      <c r="C866" t="str">
        <f t="shared" si="424"/>
        <v>80</v>
      </c>
      <c r="D866" t="str">
        <f t="shared" si="417"/>
        <v>11121002</v>
      </c>
      <c r="E866" t="str">
        <f t="shared" si="418"/>
        <v>121002</v>
      </c>
      <c r="F866" t="str">
        <f t="shared" si="419"/>
        <v>CINTHIA NORONHA</v>
      </c>
      <c r="G866" t="str">
        <f>"26064257000109"</f>
        <v>26064257000109</v>
      </c>
      <c r="H866" t="str">
        <f>"0"</f>
        <v>0</v>
      </c>
      <c r="I866" t="str">
        <f t="shared" si="425"/>
        <v>CONTA OPTICA</v>
      </c>
      <c r="J866" t="str">
        <f>"MAXXIMO WR OTICA, RELOJOARIA E JOALHERIA LTDA - ME"</f>
        <v>MAXXIMO WR OTICA, RELOJOARIA E JOALHERIA LTDA - ME</v>
      </c>
      <c r="K866" t="str">
        <f>"MAXXIMO WR OTICA, RELOJOARIA E JOALHERIA  (3351)"</f>
        <v>MAXXIMO WR OTICA, RELOJOARIA E JOALHERIA  (3351)</v>
      </c>
      <c r="L866" t="str">
        <f>""</f>
        <v/>
      </c>
      <c r="M866" t="str">
        <f>""</f>
        <v/>
      </c>
      <c r="N866" t="str">
        <f>"ELISREGINAJUNCKES@HOTMAIL.COM"</f>
        <v>ELISREGINAJUNCKES@HOTMAIL.COM</v>
      </c>
      <c r="O866" t="str">
        <f>""</f>
        <v/>
      </c>
      <c r="P866" t="str">
        <f>"RUA AUGUSTO HAEMING"</f>
        <v>RUA AUGUSTO HAEMING</v>
      </c>
      <c r="Q866" t="str">
        <f>"7"</f>
        <v>7</v>
      </c>
      <c r="R866" t="str">
        <f>"SALA 08"</f>
        <v>SALA 08</v>
      </c>
      <c r="S866" t="str">
        <f>"1259"</f>
        <v>1259</v>
      </c>
      <c r="T866" t="str">
        <f>"88130090"</f>
        <v>88130090</v>
      </c>
      <c r="U866" t="str">
        <f t="shared" si="439"/>
        <v>CENTRO</v>
      </c>
      <c r="V866" t="str">
        <f>"PALHOCA"</f>
        <v>PALHOCA</v>
      </c>
      <c r="W866" t="str">
        <f t="shared" si="441"/>
        <v>SC</v>
      </c>
      <c r="X866" t="str">
        <f t="shared" si="442"/>
        <v>48</v>
      </c>
      <c r="Y866" t="str">
        <f>"99592769"</f>
        <v>99592769</v>
      </c>
      <c r="Z866" t="str">
        <f>""</f>
        <v/>
      </c>
      <c r="AA866" t="str">
        <f>""</f>
        <v/>
      </c>
      <c r="AB866" t="str">
        <f>""</f>
        <v/>
      </c>
      <c r="AC866" t="str">
        <f>""</f>
        <v/>
      </c>
      <c r="AD866" t="str">
        <f>""</f>
        <v/>
      </c>
      <c r="AE866" t="str">
        <f>""</f>
        <v/>
      </c>
      <c r="AF866" t="str">
        <f>""</f>
        <v/>
      </c>
      <c r="AG866" t="str">
        <f>""</f>
        <v/>
      </c>
      <c r="AH866" t="str">
        <f>""</f>
        <v/>
      </c>
      <c r="AI866" t="str">
        <f>""</f>
        <v/>
      </c>
      <c r="AJ866" t="str">
        <f>""</f>
        <v/>
      </c>
      <c r="AK866" t="str">
        <f>""</f>
        <v/>
      </c>
      <c r="AL866" t="str">
        <f>""</f>
        <v/>
      </c>
      <c r="AM866" t="str">
        <f>""</f>
        <v/>
      </c>
      <c r="AN866" t="str">
        <f>""</f>
        <v/>
      </c>
      <c r="AO866" t="str">
        <f>""</f>
        <v/>
      </c>
      <c r="AP866" t="str">
        <f>""</f>
        <v/>
      </c>
      <c r="AQ866" t="str">
        <f>""</f>
        <v/>
      </c>
      <c r="AR866" t="str">
        <f>""</f>
        <v/>
      </c>
      <c r="AS866" t="str">
        <f>""</f>
        <v/>
      </c>
      <c r="AT866" t="str">
        <f>""</f>
        <v/>
      </c>
      <c r="AU866" t="str">
        <f>""</f>
        <v/>
      </c>
      <c r="AV866" t="str">
        <f>""</f>
        <v/>
      </c>
      <c r="AW866" t="str">
        <f>""</f>
        <v/>
      </c>
      <c r="AX866" t="str">
        <f>""</f>
        <v/>
      </c>
      <c r="AY866" t="str">
        <f>""</f>
        <v/>
      </c>
      <c r="AZ866" t="str">
        <f>""</f>
        <v/>
      </c>
      <c r="BA866" t="str">
        <f>""</f>
        <v/>
      </c>
      <c r="BB866" t="str">
        <f>"11/07/2023 02:19:56"</f>
        <v>11/07/2023 02:19:56</v>
      </c>
      <c r="BC866" t="str">
        <f>""</f>
        <v/>
      </c>
      <c r="BD866" t="str">
        <f>""</f>
        <v/>
      </c>
      <c r="BE866" t="str">
        <f>""</f>
        <v/>
      </c>
      <c r="BF866" t="str">
        <f t="shared" si="426"/>
        <v>A</v>
      </c>
      <c r="BG866" t="str">
        <f>""</f>
        <v/>
      </c>
      <c r="BH866" t="str">
        <f>""</f>
        <v/>
      </c>
      <c r="BI866" t="str">
        <f t="shared" si="443"/>
        <v>EVENTUAL</v>
      </c>
      <c r="BJ866" t="str">
        <f t="shared" si="427"/>
        <v>1</v>
      </c>
      <c r="BK866" t="str">
        <f t="shared" si="428"/>
        <v>Farmacia</v>
      </c>
      <c r="BL866" t="str">
        <f>""</f>
        <v/>
      </c>
      <c r="BM866" t="str">
        <f>""</f>
        <v/>
      </c>
      <c r="BN866" t="str">
        <f>""</f>
        <v/>
      </c>
      <c r="BO866" t="str">
        <f>""</f>
        <v/>
      </c>
      <c r="BP866" t="str">
        <f>""</f>
        <v/>
      </c>
      <c r="BQ866" t="str">
        <f>""</f>
        <v/>
      </c>
      <c r="BR866" t="str">
        <f>"11/07/2023"</f>
        <v>11/07/2023</v>
      </c>
      <c r="BS866" t="str">
        <f>""</f>
        <v/>
      </c>
      <c r="BT866" t="str">
        <f>""</f>
        <v/>
      </c>
      <c r="BU866" t="str">
        <f>""</f>
        <v/>
      </c>
      <c r="BV866" t="str">
        <f>""</f>
        <v/>
      </c>
      <c r="BW866" t="str">
        <f>"Não visitado"</f>
        <v>Não visitado</v>
      </c>
    </row>
    <row r="867" spans="1:75" x14ac:dyDescent="0.35">
      <c r="A867">
        <v>337</v>
      </c>
      <c r="B867" t="str">
        <f t="shared" si="423"/>
        <v>A</v>
      </c>
      <c r="C867" t="str">
        <f t="shared" si="424"/>
        <v>80</v>
      </c>
      <c r="D867" t="str">
        <f t="shared" si="417"/>
        <v>11121002</v>
      </c>
      <c r="E867" t="str">
        <f t="shared" si="418"/>
        <v>121002</v>
      </c>
      <c r="F867" t="str">
        <f t="shared" si="419"/>
        <v>CINTHIA NORONHA</v>
      </c>
      <c r="G867" t="str">
        <f>"03069138000135"</f>
        <v>03069138000135</v>
      </c>
      <c r="H867" t="str">
        <f>""</f>
        <v/>
      </c>
      <c r="I867" t="str">
        <f t="shared" si="425"/>
        <v>CONTA OPTICA</v>
      </c>
      <c r="J867" t="str">
        <f>"MAYNARA MOTTA LINO"</f>
        <v>MAYNARA MOTTA LINO</v>
      </c>
      <c r="K867" t="str">
        <f>"NOVA VISAO (1095)"</f>
        <v>NOVA VISAO (1095)</v>
      </c>
      <c r="L867" t="str">
        <f>""</f>
        <v/>
      </c>
      <c r="M867" t="str">
        <f>""</f>
        <v/>
      </c>
      <c r="N867" t="str">
        <f>"oticanovavisao@ymail.com"</f>
        <v>oticanovavisao@ymail.com</v>
      </c>
      <c r="O867" t="str">
        <f>""</f>
        <v/>
      </c>
      <c r="P867" t="str">
        <f>"RUA GETULIO VARGAS"</f>
        <v>RUA GETULIO VARGAS</v>
      </c>
      <c r="Q867" t="str">
        <f>"2620"</f>
        <v>2620</v>
      </c>
      <c r="R867" t="str">
        <f>""</f>
        <v/>
      </c>
      <c r="S867" t="str">
        <f>"1259"</f>
        <v>1259</v>
      </c>
      <c r="T867" t="str">
        <f>"88103400"</f>
        <v>88103400</v>
      </c>
      <c r="U867" t="str">
        <f t="shared" si="439"/>
        <v>CENTRO</v>
      </c>
      <c r="V867" t="str">
        <f>"SÃO JOSÉ"</f>
        <v>SÃO JOSÉ</v>
      </c>
      <c r="W867" t="str">
        <f t="shared" si="441"/>
        <v>SC</v>
      </c>
      <c r="X867" t="str">
        <f t="shared" si="442"/>
        <v>48</v>
      </c>
      <c r="Y867" t="str">
        <f>"32478227"</f>
        <v>32478227</v>
      </c>
      <c r="Z867" t="str">
        <f>""</f>
        <v/>
      </c>
      <c r="AA867" t="str">
        <f>""</f>
        <v/>
      </c>
      <c r="AB867" t="str">
        <f>""</f>
        <v/>
      </c>
      <c r="AC867" t="str">
        <f>""</f>
        <v/>
      </c>
      <c r="AD867" t="str">
        <f>""</f>
        <v/>
      </c>
      <c r="AE867" t="str">
        <f>""</f>
        <v/>
      </c>
      <c r="AF867" t="str">
        <f>""</f>
        <v/>
      </c>
      <c r="AG867" t="str">
        <f>""</f>
        <v/>
      </c>
      <c r="AH867" t="str">
        <f>""</f>
        <v/>
      </c>
      <c r="AI867" t="str">
        <f>""</f>
        <v/>
      </c>
      <c r="AJ867" t="str">
        <f>"0"</f>
        <v>0</v>
      </c>
      <c r="AK867" t="str">
        <f>"0"</f>
        <v>0</v>
      </c>
      <c r="AL867" t="str">
        <f>"0"</f>
        <v>0</v>
      </c>
      <c r="AM867" t="str">
        <f>""</f>
        <v/>
      </c>
      <c r="AN867" t="str">
        <f>""</f>
        <v/>
      </c>
      <c r="AO867" t="str">
        <f>""</f>
        <v/>
      </c>
      <c r="AP867" t="str">
        <f>""</f>
        <v/>
      </c>
      <c r="AQ867" t="str">
        <f>""</f>
        <v/>
      </c>
      <c r="AR867" t="str">
        <f>""</f>
        <v/>
      </c>
      <c r="AS867" t="str">
        <f>""</f>
        <v/>
      </c>
      <c r="AT867" t="str">
        <f>""</f>
        <v/>
      </c>
      <c r="AU867" t="str">
        <f>""</f>
        <v/>
      </c>
      <c r="AV867" t="str">
        <f>""</f>
        <v/>
      </c>
      <c r="AW867" t="str">
        <f>""</f>
        <v/>
      </c>
      <c r="AX867" t="str">
        <f>""</f>
        <v/>
      </c>
      <c r="AY867" t="str">
        <f>""</f>
        <v/>
      </c>
      <c r="AZ867" t="str">
        <f>""</f>
        <v/>
      </c>
      <c r="BA867" t="str">
        <f>""</f>
        <v/>
      </c>
      <c r="BB867" t="str">
        <f>"27/07/2018 09:25:38"</f>
        <v>27/07/2018 09:25:38</v>
      </c>
      <c r="BC867" t="str">
        <f>""</f>
        <v/>
      </c>
      <c r="BD867" t="str">
        <f>""</f>
        <v/>
      </c>
      <c r="BE867" t="str">
        <f>"337"</f>
        <v>337</v>
      </c>
      <c r="BF867" t="str">
        <f t="shared" si="426"/>
        <v>A</v>
      </c>
      <c r="BG867" t="str">
        <f>"0,00"</f>
        <v>0,00</v>
      </c>
      <c r="BH867" t="str">
        <f>"0,00"</f>
        <v>0,00</v>
      </c>
      <c r="BI867" t="str">
        <f t="shared" si="443"/>
        <v>EVENTUAL</v>
      </c>
      <c r="BJ867" t="str">
        <f t="shared" si="427"/>
        <v>1</v>
      </c>
      <c r="BK867" t="str">
        <f t="shared" si="428"/>
        <v>Farmacia</v>
      </c>
      <c r="BL867" t="str">
        <f>""</f>
        <v/>
      </c>
      <c r="BM867" t="str">
        <f>"NÃO É VARILUX ESPECIALISTA"</f>
        <v>NÃO É VARILUX ESPECIALISTA</v>
      </c>
      <c r="BN867" t="str">
        <f>"NA"</f>
        <v>NA</v>
      </c>
      <c r="BO867" t="str">
        <f>"OUTROS"</f>
        <v>OUTROS</v>
      </c>
      <c r="BP867" t="str">
        <f>""</f>
        <v/>
      </c>
      <c r="BQ867" t="str">
        <f>""</f>
        <v/>
      </c>
      <c r="BR867" t="str">
        <f>"27/07/2018"</f>
        <v>27/07/2018</v>
      </c>
      <c r="BS867" t="str">
        <f>""</f>
        <v/>
      </c>
      <c r="BT867" t="str">
        <f>""</f>
        <v/>
      </c>
      <c r="BU867" t="str">
        <f>""</f>
        <v/>
      </c>
      <c r="BV867" t="str">
        <f>"9"</f>
        <v>9</v>
      </c>
      <c r="BW867" t="str">
        <f>"101"</f>
        <v>101</v>
      </c>
    </row>
    <row r="868" spans="1:75" x14ac:dyDescent="0.35">
      <c r="A868">
        <v>156858</v>
      </c>
      <c r="B868" t="str">
        <f t="shared" si="423"/>
        <v>A</v>
      </c>
      <c r="C868" t="str">
        <f t="shared" si="424"/>
        <v>80</v>
      </c>
      <c r="D868" t="str">
        <f t="shared" si="417"/>
        <v>11121002</v>
      </c>
      <c r="E868" t="str">
        <f t="shared" si="418"/>
        <v>121002</v>
      </c>
      <c r="F868" t="str">
        <f t="shared" si="419"/>
        <v>CINTHIA NORONHA</v>
      </c>
      <c r="G868" t="str">
        <f>"46165711000206"</f>
        <v>46165711000206</v>
      </c>
      <c r="H868" t="str">
        <f>"0"</f>
        <v>0</v>
      </c>
      <c r="I868" t="str">
        <f t="shared" si="425"/>
        <v>CONTA OPTICA</v>
      </c>
      <c r="J868" t="str">
        <f>"MB JOALHERIA E OTICA LTDA"</f>
        <v>MB JOALHERIA E OTICA LTDA</v>
      </c>
      <c r="K868" t="str">
        <f>"QUEVEDO JOALHERIA E OTICA (4669)"</f>
        <v>QUEVEDO JOALHERIA E OTICA (4669)</v>
      </c>
      <c r="L868" t="str">
        <f>""</f>
        <v/>
      </c>
      <c r="M868" t="str">
        <f>""</f>
        <v/>
      </c>
      <c r="N868" t="str">
        <f>"RH@QUEVEDO.COM.BR"</f>
        <v>RH@QUEVEDO.COM.BR</v>
      </c>
      <c r="O868" t="str">
        <f>""</f>
        <v/>
      </c>
      <c r="P868" t="str">
        <f>"RUA INTENDENTE JOAO NUNES VIEIRA"</f>
        <v>RUA INTENDENTE JOAO NUNES VIEIRA</v>
      </c>
      <c r="Q868" t="str">
        <f>"1025"</f>
        <v>1025</v>
      </c>
      <c r="R868" t="str">
        <f>"SALA 02"</f>
        <v>SALA 02</v>
      </c>
      <c r="S868" t="str">
        <f>"1257"</f>
        <v>1257</v>
      </c>
      <c r="T868" t="str">
        <f>"88058100"</f>
        <v>88058100</v>
      </c>
      <c r="U868" t="str">
        <f>"INGLESES"</f>
        <v>INGLESES</v>
      </c>
      <c r="V868" t="str">
        <f>"FLORIANOPOLIS"</f>
        <v>FLORIANOPOLIS</v>
      </c>
      <c r="W868" t="str">
        <f t="shared" si="441"/>
        <v>SC</v>
      </c>
      <c r="X868" t="str">
        <f t="shared" si="442"/>
        <v>48</v>
      </c>
      <c r="Y868" t="str">
        <f>"996266055"</f>
        <v>996266055</v>
      </c>
      <c r="Z868" t="str">
        <f>""</f>
        <v/>
      </c>
      <c r="AA868" t="str">
        <f>""</f>
        <v/>
      </c>
      <c r="AB868" t="str">
        <f>""</f>
        <v/>
      </c>
      <c r="AC868" t="str">
        <f>""</f>
        <v/>
      </c>
      <c r="AD868" t="str">
        <f>""</f>
        <v/>
      </c>
      <c r="AE868" t="str">
        <f>""</f>
        <v/>
      </c>
      <c r="AF868" t="str">
        <f>""</f>
        <v/>
      </c>
      <c r="AG868" t="str">
        <f>""</f>
        <v/>
      </c>
      <c r="AH868" t="str">
        <f>""</f>
        <v/>
      </c>
      <c r="AI868" t="str">
        <f>""</f>
        <v/>
      </c>
      <c r="AJ868" t="str">
        <f>""</f>
        <v/>
      </c>
      <c r="AK868" t="str">
        <f>""</f>
        <v/>
      </c>
      <c r="AL868" t="str">
        <f>""</f>
        <v/>
      </c>
      <c r="AM868" t="str">
        <f>""</f>
        <v/>
      </c>
      <c r="AN868" t="str">
        <f>""</f>
        <v/>
      </c>
      <c r="AO868" t="str">
        <f>""</f>
        <v/>
      </c>
      <c r="AP868" t="str">
        <f>""</f>
        <v/>
      </c>
      <c r="AQ868" t="str">
        <f>""</f>
        <v/>
      </c>
      <c r="AR868" t="str">
        <f>""</f>
        <v/>
      </c>
      <c r="AS868" t="str">
        <f>""</f>
        <v/>
      </c>
      <c r="AT868" t="str">
        <f>""</f>
        <v/>
      </c>
      <c r="AU868" t="str">
        <f>""</f>
        <v/>
      </c>
      <c r="AV868" t="str">
        <f>""</f>
        <v/>
      </c>
      <c r="AW868" t="str">
        <f>""</f>
        <v/>
      </c>
      <c r="AX868" t="str">
        <f>""</f>
        <v/>
      </c>
      <c r="AY868" t="str">
        <f>""</f>
        <v/>
      </c>
      <c r="AZ868" t="str">
        <f>""</f>
        <v/>
      </c>
      <c r="BA868" t="str">
        <f>""</f>
        <v/>
      </c>
      <c r="BB868" t="str">
        <f>"06/07/2023 12:07:48"</f>
        <v>06/07/2023 12:07:48</v>
      </c>
      <c r="BC868" t="str">
        <f>""</f>
        <v/>
      </c>
      <c r="BD868" t="str">
        <f>""</f>
        <v/>
      </c>
      <c r="BE868" t="str">
        <f>""</f>
        <v/>
      </c>
      <c r="BF868" t="str">
        <f t="shared" si="426"/>
        <v>A</v>
      </c>
      <c r="BG868" t="str">
        <f>""</f>
        <v/>
      </c>
      <c r="BH868" t="str">
        <f>""</f>
        <v/>
      </c>
      <c r="BI868" t="str">
        <f t="shared" si="443"/>
        <v>EVENTUAL</v>
      </c>
      <c r="BJ868" t="str">
        <f t="shared" si="427"/>
        <v>1</v>
      </c>
      <c r="BK868" t="str">
        <f t="shared" si="428"/>
        <v>Farmacia</v>
      </c>
      <c r="BL868" t="str">
        <f>""</f>
        <v/>
      </c>
      <c r="BM868" t="str">
        <f>""</f>
        <v/>
      </c>
      <c r="BN868" t="str">
        <f>""</f>
        <v/>
      </c>
      <c r="BO868" t="str">
        <f>""</f>
        <v/>
      </c>
      <c r="BP868" t="str">
        <f>""</f>
        <v/>
      </c>
      <c r="BQ868" t="str">
        <f>""</f>
        <v/>
      </c>
      <c r="BR868" t="str">
        <f>"06/07/2023"</f>
        <v>06/07/2023</v>
      </c>
      <c r="BS868" t="str">
        <f>""</f>
        <v/>
      </c>
      <c r="BT868" t="str">
        <f>""</f>
        <v/>
      </c>
      <c r="BU868" t="str">
        <f>""</f>
        <v/>
      </c>
      <c r="BV868" t="str">
        <f>""</f>
        <v/>
      </c>
      <c r="BW868" t="str">
        <f>"Não visitado"</f>
        <v>Não visitado</v>
      </c>
    </row>
    <row r="869" spans="1:75" x14ac:dyDescent="0.35">
      <c r="A869">
        <v>158699</v>
      </c>
      <c r="B869" t="str">
        <f t="shared" si="423"/>
        <v>A</v>
      </c>
      <c r="C869" t="str">
        <f t="shared" si="424"/>
        <v>80</v>
      </c>
      <c r="D869" t="str">
        <f t="shared" si="417"/>
        <v>11121002</v>
      </c>
      <c r="E869" t="str">
        <f t="shared" si="418"/>
        <v>121002</v>
      </c>
      <c r="F869" t="str">
        <f t="shared" si="419"/>
        <v>CINTHIA NORONHA</v>
      </c>
      <c r="G869" t="str">
        <f>"46165711000117"</f>
        <v>46165711000117</v>
      </c>
      <c r="H869" t="str">
        <f>""</f>
        <v/>
      </c>
      <c r="I869" t="str">
        <f t="shared" si="425"/>
        <v>CONTA OPTICA</v>
      </c>
      <c r="J869" t="str">
        <f>"MB JOALHERIA E OTICA LTDA"</f>
        <v>MB JOALHERIA E OTICA LTDA</v>
      </c>
      <c r="K869" t="str">
        <f>"QUEVEDO (4745)"</f>
        <v>QUEVEDO (4745)</v>
      </c>
      <c r="L869" t="str">
        <f>""</f>
        <v/>
      </c>
      <c r="M869" t="str">
        <f>""</f>
        <v/>
      </c>
      <c r="N869" t="str">
        <f>"MBKOBRASOL@GMAIL.COM"</f>
        <v>MBKOBRASOL@GMAIL.COM</v>
      </c>
      <c r="O869" t="str">
        <f>""</f>
        <v/>
      </c>
      <c r="P869" t="str">
        <f>"LEDIO JOAO MARTINS"</f>
        <v>LEDIO JOAO MARTINS</v>
      </c>
      <c r="Q869" t="str">
        <f>"649"</f>
        <v>649</v>
      </c>
      <c r="R869" t="str">
        <f>""</f>
        <v/>
      </c>
      <c r="S869" t="str">
        <f>"1259"</f>
        <v>1259</v>
      </c>
      <c r="T869" t="str">
        <f>"88102001"</f>
        <v>88102001</v>
      </c>
      <c r="U869" t="str">
        <f>"KOBRASOL"</f>
        <v>KOBRASOL</v>
      </c>
      <c r="V869" t="str">
        <f>"SAO JOSE"</f>
        <v>SAO JOSE</v>
      </c>
      <c r="W869" t="str">
        <f t="shared" si="441"/>
        <v>SC</v>
      </c>
      <c r="X869" t="str">
        <f t="shared" si="442"/>
        <v>48</v>
      </c>
      <c r="Y869" t="str">
        <f>"30353353"</f>
        <v>30353353</v>
      </c>
      <c r="Z869" t="str">
        <f>""</f>
        <v/>
      </c>
      <c r="AA869" t="str">
        <f>""</f>
        <v/>
      </c>
      <c r="AB869" t="str">
        <f>""</f>
        <v/>
      </c>
      <c r="AC869" t="str">
        <f>""</f>
        <v/>
      </c>
      <c r="AD869" t="str">
        <f>""</f>
        <v/>
      </c>
      <c r="AE869" t="str">
        <f>""</f>
        <v/>
      </c>
      <c r="AF869" t="str">
        <f>""</f>
        <v/>
      </c>
      <c r="AG869" t="str">
        <f>""</f>
        <v/>
      </c>
      <c r="AH869" t="str">
        <f>""</f>
        <v/>
      </c>
      <c r="AI869" t="str">
        <f>""</f>
        <v/>
      </c>
      <c r="AJ869" t="str">
        <f>""</f>
        <v/>
      </c>
      <c r="AK869" t="str">
        <f>""</f>
        <v/>
      </c>
      <c r="AL869" t="str">
        <f>""</f>
        <v/>
      </c>
      <c r="AM869" t="str">
        <f>""</f>
        <v/>
      </c>
      <c r="AN869" t="str">
        <f>""</f>
        <v/>
      </c>
      <c r="AO869" t="str">
        <f>""</f>
        <v/>
      </c>
      <c r="AP869" t="str">
        <f>""</f>
        <v/>
      </c>
      <c r="AQ869" t="str">
        <f>""</f>
        <v/>
      </c>
      <c r="AR869" t="str">
        <f>""</f>
        <v/>
      </c>
      <c r="AS869" t="str">
        <f>""</f>
        <v/>
      </c>
      <c r="AT869" t="str">
        <f>""</f>
        <v/>
      </c>
      <c r="AU869" t="str">
        <f>""</f>
        <v/>
      </c>
      <c r="AV869" t="str">
        <f>""</f>
        <v/>
      </c>
      <c r="AW869" t="str">
        <f>""</f>
        <v/>
      </c>
      <c r="AX869" t="str">
        <f>""</f>
        <v/>
      </c>
      <c r="AY869" t="str">
        <f>""</f>
        <v/>
      </c>
      <c r="AZ869" t="str">
        <f>""</f>
        <v/>
      </c>
      <c r="BA869" t="str">
        <f>""</f>
        <v/>
      </c>
      <c r="BB869" t="str">
        <f>"17/08/2023 16:48:06"</f>
        <v>17/08/2023 16:48:06</v>
      </c>
      <c r="BC869" t="str">
        <f>""</f>
        <v/>
      </c>
      <c r="BD869" t="str">
        <f>""</f>
        <v/>
      </c>
      <c r="BE869" t="str">
        <f>""</f>
        <v/>
      </c>
      <c r="BF869" t="str">
        <f t="shared" si="426"/>
        <v>A</v>
      </c>
      <c r="BG869" t="str">
        <f>""</f>
        <v/>
      </c>
      <c r="BH869" t="str">
        <f>""</f>
        <v/>
      </c>
      <c r="BI869" t="str">
        <f t="shared" si="443"/>
        <v>EVENTUAL</v>
      </c>
      <c r="BJ869" t="str">
        <f t="shared" si="427"/>
        <v>1</v>
      </c>
      <c r="BK869" t="str">
        <f t="shared" si="428"/>
        <v>Farmacia</v>
      </c>
      <c r="BL869" t="str">
        <f>""</f>
        <v/>
      </c>
      <c r="BM869" t="str">
        <f>""</f>
        <v/>
      </c>
      <c r="BN869" t="str">
        <f>""</f>
        <v/>
      </c>
      <c r="BO869" t="str">
        <f>""</f>
        <v/>
      </c>
      <c r="BP869" t="str">
        <f>""</f>
        <v/>
      </c>
      <c r="BQ869" t="str">
        <f>""</f>
        <v/>
      </c>
      <c r="BR869" t="str">
        <f>"17/08/2023"</f>
        <v>17/08/2023</v>
      </c>
      <c r="BS869" t="str">
        <f>""</f>
        <v/>
      </c>
      <c r="BT869" t="str">
        <f>""</f>
        <v/>
      </c>
      <c r="BU869" t="str">
        <f>""</f>
        <v/>
      </c>
      <c r="BV869" t="str">
        <f>""</f>
        <v/>
      </c>
      <c r="BW869" t="str">
        <f>"Não visitado"</f>
        <v>Não visitado</v>
      </c>
    </row>
    <row r="870" spans="1:75" x14ac:dyDescent="0.35">
      <c r="A870">
        <v>134258</v>
      </c>
      <c r="B870" t="str">
        <f t="shared" si="423"/>
        <v>A</v>
      </c>
      <c r="C870" t="str">
        <f t="shared" si="424"/>
        <v>80</v>
      </c>
      <c r="D870" t="str">
        <f t="shared" si="417"/>
        <v>11121002</v>
      </c>
      <c r="E870" t="str">
        <f t="shared" si="418"/>
        <v>121002</v>
      </c>
      <c r="F870" t="str">
        <f t="shared" si="419"/>
        <v>CINTHIA NORONHA</v>
      </c>
      <c r="G870" t="str">
        <f>"21546636000103"</f>
        <v>21546636000103</v>
      </c>
      <c r="H870" t="str">
        <f>""</f>
        <v/>
      </c>
      <c r="I870" t="str">
        <f t="shared" si="425"/>
        <v>CONTA OPTICA</v>
      </c>
      <c r="J870" t="str">
        <f>"MELISSA DA SILVA VAHL EIRELLI"</f>
        <v>MELISSA DA SILVA VAHL EIRELLI</v>
      </c>
      <c r="K870" t="str">
        <f>"OTICA KHARISMA (2184)"</f>
        <v>OTICA KHARISMA (2184)</v>
      </c>
      <c r="L870" t="str">
        <f>""</f>
        <v/>
      </c>
      <c r="M870" t="str">
        <f>""</f>
        <v/>
      </c>
      <c r="N870" t="str">
        <f>"nossaotica2006@hotmail.com"</f>
        <v>nossaotica2006@hotmail.com</v>
      </c>
      <c r="O870" t="str">
        <f>""</f>
        <v/>
      </c>
      <c r="P870" t="str">
        <f>"RUA CAETANO SILVEIRA DE MATOS"</f>
        <v>RUA CAETANO SILVEIRA DE MATOS</v>
      </c>
      <c r="Q870" t="str">
        <f>"2551"</f>
        <v>2551</v>
      </c>
      <c r="R870" t="str">
        <f>"SALA 04"</f>
        <v>SALA 04</v>
      </c>
      <c r="S870" t="str">
        <f>"1259"</f>
        <v>1259</v>
      </c>
      <c r="T870" t="str">
        <f>"88130005"</f>
        <v>88130005</v>
      </c>
      <c r="U870" t="str">
        <f>"CENTRO"</f>
        <v>CENTRO</v>
      </c>
      <c r="V870" t="str">
        <f>"PALHOÇA"</f>
        <v>PALHOÇA</v>
      </c>
      <c r="W870" t="str">
        <f t="shared" si="441"/>
        <v>SC</v>
      </c>
      <c r="X870" t="str">
        <f t="shared" si="442"/>
        <v>48</v>
      </c>
      <c r="Y870" t="str">
        <f>"30937333"</f>
        <v>30937333</v>
      </c>
      <c r="Z870" t="str">
        <f>""</f>
        <v/>
      </c>
      <c r="AA870" t="str">
        <f>""</f>
        <v/>
      </c>
      <c r="AB870" t="str">
        <f>""</f>
        <v/>
      </c>
      <c r="AC870" t="str">
        <f>""</f>
        <v/>
      </c>
      <c r="AD870" t="str">
        <f>""</f>
        <v/>
      </c>
      <c r="AE870" t="str">
        <f>""</f>
        <v/>
      </c>
      <c r="AF870" t="str">
        <f>""</f>
        <v/>
      </c>
      <c r="AG870" t="str">
        <f>"S"</f>
        <v>S</v>
      </c>
      <c r="AH870" t="str">
        <f>""</f>
        <v/>
      </c>
      <c r="AI870" t="str">
        <f>""</f>
        <v/>
      </c>
      <c r="AJ870" t="str">
        <f>"0"</f>
        <v>0</v>
      </c>
      <c r="AK870" t="str">
        <f>"0"</f>
        <v>0</v>
      </c>
      <c r="AL870" t="str">
        <f>"0"</f>
        <v>0</v>
      </c>
      <c r="AM870" t="str">
        <f>""</f>
        <v/>
      </c>
      <c r="AN870" t="str">
        <f>""</f>
        <v/>
      </c>
      <c r="AO870" t="str">
        <f>""</f>
        <v/>
      </c>
      <c r="AP870" t="str">
        <f>""</f>
        <v/>
      </c>
      <c r="AQ870" t="str">
        <f>"N"</f>
        <v>N</v>
      </c>
      <c r="AR870" t="str">
        <f>"N"</f>
        <v>N</v>
      </c>
      <c r="AS870" t="str">
        <f>"N"</f>
        <v>N</v>
      </c>
      <c r="AT870" t="str">
        <f>"N"</f>
        <v>N</v>
      </c>
      <c r="AU870" t="str">
        <f>"N"</f>
        <v>N</v>
      </c>
      <c r="AV870" t="str">
        <f>""</f>
        <v/>
      </c>
      <c r="AW870" t="str">
        <f>""</f>
        <v/>
      </c>
      <c r="AX870" t="str">
        <f>""</f>
        <v/>
      </c>
      <c r="AY870" t="str">
        <f>""</f>
        <v/>
      </c>
      <c r="AZ870" t="str">
        <f>""</f>
        <v/>
      </c>
      <c r="BA870" t="str">
        <f>""</f>
        <v/>
      </c>
      <c r="BB870" t="str">
        <f>""</f>
        <v/>
      </c>
      <c r="BC870" t="str">
        <f>"06/12/2021 11:18:46"</f>
        <v>06/12/2021 11:18:46</v>
      </c>
      <c r="BD870" t="str">
        <f>""</f>
        <v/>
      </c>
      <c r="BE870" t="str">
        <f>""</f>
        <v/>
      </c>
      <c r="BF870" t="str">
        <f t="shared" si="426"/>
        <v>A</v>
      </c>
      <c r="BG870" t="str">
        <f>"0,00"</f>
        <v>0,00</v>
      </c>
      <c r="BH870" t="str">
        <f>"0,00"</f>
        <v>0,00</v>
      </c>
      <c r="BI870" t="str">
        <f t="shared" si="443"/>
        <v>EVENTUAL</v>
      </c>
      <c r="BJ870" t="str">
        <f t="shared" si="427"/>
        <v>1</v>
      </c>
      <c r="BK870" t="str">
        <f t="shared" si="428"/>
        <v>Farmacia</v>
      </c>
      <c r="BL870" t="str">
        <f>""</f>
        <v/>
      </c>
      <c r="BM870" t="str">
        <f>"NÃO É VARILUX ESPECIALISTA"</f>
        <v>NÃO É VARILUX ESPECIALISTA</v>
      </c>
      <c r="BN870" t="str">
        <f>"NA"</f>
        <v>NA</v>
      </c>
      <c r="BO870" t="str">
        <f>"FOCO KODAK 2"</f>
        <v>FOCO KODAK 2</v>
      </c>
      <c r="BP870" t="str">
        <f>""</f>
        <v/>
      </c>
      <c r="BQ870" t="str">
        <f>""</f>
        <v/>
      </c>
      <c r="BR870" t="str">
        <f>""</f>
        <v/>
      </c>
      <c r="BS870" t="str">
        <f>"06/12/2021"</f>
        <v>06/12/2021</v>
      </c>
      <c r="BT870" t="str">
        <f>""</f>
        <v/>
      </c>
      <c r="BU870" t="str">
        <f>""</f>
        <v/>
      </c>
      <c r="BV870" t="str">
        <f>"9"</f>
        <v>9</v>
      </c>
      <c r="BW870" t="str">
        <f>"392"</f>
        <v>392</v>
      </c>
    </row>
    <row r="871" spans="1:75" x14ac:dyDescent="0.35">
      <c r="A871">
        <v>157694</v>
      </c>
      <c r="B871" t="str">
        <f t="shared" si="423"/>
        <v>A</v>
      </c>
      <c r="C871" t="str">
        <f t="shared" si="424"/>
        <v>80</v>
      </c>
      <c r="D871" t="str">
        <f t="shared" si="417"/>
        <v>11121002</v>
      </c>
      <c r="E871" t="str">
        <f t="shared" si="418"/>
        <v>121002</v>
      </c>
      <c r="F871" t="str">
        <f t="shared" si="419"/>
        <v>CINTHIA NORONHA</v>
      </c>
      <c r="G871" t="str">
        <f>"21546636000294"</f>
        <v>21546636000294</v>
      </c>
      <c r="H871" t="str">
        <f>"0"</f>
        <v>0</v>
      </c>
      <c r="I871" t="str">
        <f t="shared" si="425"/>
        <v>CONTA OPTICA</v>
      </c>
      <c r="J871" t="str">
        <f>"MELISSA DA SILVA VAHL LTDA"</f>
        <v>MELISSA DA SILVA VAHL LTDA</v>
      </c>
      <c r="K871" t="str">
        <f>"NOSSA OTICA (4183)"</f>
        <v>NOSSA OTICA (4183)</v>
      </c>
      <c r="L871" t="str">
        <f>""</f>
        <v/>
      </c>
      <c r="M871" t="str">
        <f>""</f>
        <v/>
      </c>
      <c r="N871" t="str">
        <f>"NOSSAOTICA2006@HOTMAIL.COM"</f>
        <v>NOSSAOTICA2006@HOTMAIL.COM</v>
      </c>
      <c r="O871" t="str">
        <f>""</f>
        <v/>
      </c>
      <c r="P871" t="str">
        <f>"RUA LEDIO JOAO MARTINS"</f>
        <v>RUA LEDIO JOAO MARTINS</v>
      </c>
      <c r="Q871" t="str">
        <f>"251"</f>
        <v>251</v>
      </c>
      <c r="R871" t="str">
        <f>"LOJA 02"</f>
        <v>LOJA 02</v>
      </c>
      <c r="S871" t="str">
        <f>"1259"</f>
        <v>1259</v>
      </c>
      <c r="T871" t="str">
        <f>"88102000"</f>
        <v>88102000</v>
      </c>
      <c r="U871" t="str">
        <f>"KOBRASOL"</f>
        <v>KOBRASOL</v>
      </c>
      <c r="V871" t="str">
        <f>"FLORIANOPOLIS"</f>
        <v>FLORIANOPOLIS</v>
      </c>
      <c r="W871" t="str">
        <f t="shared" si="441"/>
        <v>SC</v>
      </c>
      <c r="X871" t="str">
        <f t="shared" si="442"/>
        <v>48</v>
      </c>
      <c r="Y871" t="str">
        <f>"30351012"</f>
        <v>30351012</v>
      </c>
      <c r="Z871" t="str">
        <f>""</f>
        <v/>
      </c>
      <c r="AA871" t="str">
        <f>""</f>
        <v/>
      </c>
      <c r="AB871" t="str">
        <f>""</f>
        <v/>
      </c>
      <c r="AC871" t="str">
        <f>""</f>
        <v/>
      </c>
      <c r="AD871" t="str">
        <f>""</f>
        <v/>
      </c>
      <c r="AE871" t="str">
        <f>""</f>
        <v/>
      </c>
      <c r="AF871" t="str">
        <f>""</f>
        <v/>
      </c>
      <c r="AG871" t="str">
        <f>""</f>
        <v/>
      </c>
      <c r="AH871" t="str">
        <f>""</f>
        <v/>
      </c>
      <c r="AI871" t="str">
        <f>""</f>
        <v/>
      </c>
      <c r="AJ871" t="str">
        <f>""</f>
        <v/>
      </c>
      <c r="AK871" t="str">
        <f>""</f>
        <v/>
      </c>
      <c r="AL871" t="str">
        <f>""</f>
        <v/>
      </c>
      <c r="AM871" t="str">
        <f>""</f>
        <v/>
      </c>
      <c r="AN871" t="str">
        <f>""</f>
        <v/>
      </c>
      <c r="AO871" t="str">
        <f>""</f>
        <v/>
      </c>
      <c r="AP871" t="str">
        <f>""</f>
        <v/>
      </c>
      <c r="AQ871" t="str">
        <f>""</f>
        <v/>
      </c>
      <c r="AR871" t="str">
        <f>""</f>
        <v/>
      </c>
      <c r="AS871" t="str">
        <f>""</f>
        <v/>
      </c>
      <c r="AT871" t="str">
        <f>""</f>
        <v/>
      </c>
      <c r="AU871" t="str">
        <f>""</f>
        <v/>
      </c>
      <c r="AV871" t="str">
        <f>""</f>
        <v/>
      </c>
      <c r="AW871" t="str">
        <f>""</f>
        <v/>
      </c>
      <c r="AX871" t="str">
        <f>""</f>
        <v/>
      </c>
      <c r="AY871" t="str">
        <f>""</f>
        <v/>
      </c>
      <c r="AZ871" t="str">
        <f>""</f>
        <v/>
      </c>
      <c r="BA871" t="str">
        <f>""</f>
        <v/>
      </c>
      <c r="BB871" t="str">
        <f>"11/07/2023 02:19:56"</f>
        <v>11/07/2023 02:19:56</v>
      </c>
      <c r="BC871" t="str">
        <f>""</f>
        <v/>
      </c>
      <c r="BD871" t="str">
        <f>""</f>
        <v/>
      </c>
      <c r="BE871" t="str">
        <f>""</f>
        <v/>
      </c>
      <c r="BF871" t="str">
        <f t="shared" si="426"/>
        <v>A</v>
      </c>
      <c r="BG871" t="str">
        <f>""</f>
        <v/>
      </c>
      <c r="BH871" t="str">
        <f>""</f>
        <v/>
      </c>
      <c r="BI871" t="str">
        <f t="shared" si="443"/>
        <v>EVENTUAL</v>
      </c>
      <c r="BJ871" t="str">
        <f t="shared" si="427"/>
        <v>1</v>
      </c>
      <c r="BK871" t="str">
        <f t="shared" si="428"/>
        <v>Farmacia</v>
      </c>
      <c r="BL871" t="str">
        <f>""</f>
        <v/>
      </c>
      <c r="BM871" t="str">
        <f>""</f>
        <v/>
      </c>
      <c r="BN871" t="str">
        <f>""</f>
        <v/>
      </c>
      <c r="BO871" t="str">
        <f>""</f>
        <v/>
      </c>
      <c r="BP871" t="str">
        <f>""</f>
        <v/>
      </c>
      <c r="BQ871" t="str">
        <f>""</f>
        <v/>
      </c>
      <c r="BR871" t="str">
        <f>"11/07/2023"</f>
        <v>11/07/2023</v>
      </c>
      <c r="BS871" t="str">
        <f>""</f>
        <v/>
      </c>
      <c r="BT871" t="str">
        <f>""</f>
        <v/>
      </c>
      <c r="BU871" t="str">
        <f>""</f>
        <v/>
      </c>
      <c r="BV871" t="str">
        <f>""</f>
        <v/>
      </c>
      <c r="BW871" t="str">
        <f>"32"</f>
        <v>32</v>
      </c>
    </row>
    <row r="872" spans="1:75" x14ac:dyDescent="0.35">
      <c r="A872">
        <v>157632</v>
      </c>
      <c r="B872" t="str">
        <f t="shared" si="423"/>
        <v>A</v>
      </c>
      <c r="C872" t="str">
        <f t="shared" si="424"/>
        <v>80</v>
      </c>
      <c r="D872" t="str">
        <f t="shared" si="417"/>
        <v>11121002</v>
      </c>
      <c r="E872" t="str">
        <f t="shared" si="418"/>
        <v>121002</v>
      </c>
      <c r="F872" t="str">
        <f t="shared" si="419"/>
        <v>CINTHIA NORONHA</v>
      </c>
      <c r="G872" t="str">
        <f>"05328439000161"</f>
        <v>05328439000161</v>
      </c>
      <c r="H872" t="str">
        <f>"0"</f>
        <v>0</v>
      </c>
      <c r="I872" t="str">
        <f t="shared" si="425"/>
        <v>CONTA OPTICA</v>
      </c>
      <c r="J872" t="str">
        <f>"MELO &amp; BRETAS LTDA ME"</f>
        <v>MELO &amp; BRETAS LTDA ME</v>
      </c>
      <c r="K872" t="str">
        <f>"MELO &amp; BRETAS LTDA ME (619)"</f>
        <v>MELO &amp; BRETAS LTDA ME (619)</v>
      </c>
      <c r="L872" t="str">
        <f>""</f>
        <v/>
      </c>
      <c r="M872" t="str">
        <f>""</f>
        <v/>
      </c>
      <c r="N872" t="str">
        <f>""</f>
        <v/>
      </c>
      <c r="O872" t="str">
        <f>""</f>
        <v/>
      </c>
      <c r="P872" t="str">
        <f>"RUA MARECHAL DEODORO"</f>
        <v>RUA MARECHAL DEODORO</v>
      </c>
      <c r="Q872" t="str">
        <f>"71"</f>
        <v>71</v>
      </c>
      <c r="R872" t="str">
        <f>"SALA 605 / 604"</f>
        <v>SALA 605 / 604</v>
      </c>
      <c r="S872" t="str">
        <f>"1266"</f>
        <v>1266</v>
      </c>
      <c r="T872" t="str">
        <f>"88501000"</f>
        <v>88501000</v>
      </c>
      <c r="U872" t="str">
        <f>"CENTRO"</f>
        <v>CENTRO</v>
      </c>
      <c r="V872" t="str">
        <f>"LAGES"</f>
        <v>LAGES</v>
      </c>
      <c r="W872" t="str">
        <f t="shared" si="441"/>
        <v>SC</v>
      </c>
      <c r="X872" t="str">
        <f>"49"</f>
        <v>49</v>
      </c>
      <c r="Y872" t="str">
        <f>"32243696"</f>
        <v>32243696</v>
      </c>
      <c r="Z872" t="str">
        <f>""</f>
        <v/>
      </c>
      <c r="AA872" t="str">
        <f>""</f>
        <v/>
      </c>
      <c r="AB872" t="str">
        <f>""</f>
        <v/>
      </c>
      <c r="AC872" t="str">
        <f>""</f>
        <v/>
      </c>
      <c r="AD872" t="str">
        <f>""</f>
        <v/>
      </c>
      <c r="AE872" t="str">
        <f>""</f>
        <v/>
      </c>
      <c r="AF872" t="str">
        <f>""</f>
        <v/>
      </c>
      <c r="AG872" t="str">
        <f>""</f>
        <v/>
      </c>
      <c r="AH872" t="str">
        <f>""</f>
        <v/>
      </c>
      <c r="AI872" t="str">
        <f>""</f>
        <v/>
      </c>
      <c r="AJ872" t="str">
        <f>""</f>
        <v/>
      </c>
      <c r="AK872" t="str">
        <f>""</f>
        <v/>
      </c>
      <c r="AL872" t="str">
        <f>""</f>
        <v/>
      </c>
      <c r="AM872" t="str">
        <f>""</f>
        <v/>
      </c>
      <c r="AN872" t="str">
        <f>""</f>
        <v/>
      </c>
      <c r="AO872" t="str">
        <f>""</f>
        <v/>
      </c>
      <c r="AP872" t="str">
        <f>""</f>
        <v/>
      </c>
      <c r="AQ872" t="str">
        <f>""</f>
        <v/>
      </c>
      <c r="AR872" t="str">
        <f>""</f>
        <v/>
      </c>
      <c r="AS872" t="str">
        <f>""</f>
        <v/>
      </c>
      <c r="AT872" t="str">
        <f>""</f>
        <v/>
      </c>
      <c r="AU872" t="str">
        <f>""</f>
        <v/>
      </c>
      <c r="AV872" t="str">
        <f>""</f>
        <v/>
      </c>
      <c r="AW872" t="str">
        <f>""</f>
        <v/>
      </c>
      <c r="AX872" t="str">
        <f>""</f>
        <v/>
      </c>
      <c r="AY872" t="str">
        <f>""</f>
        <v/>
      </c>
      <c r="AZ872" t="str">
        <f>""</f>
        <v/>
      </c>
      <c r="BA872" t="str">
        <f>""</f>
        <v/>
      </c>
      <c r="BB872" t="str">
        <f>"11/07/2023 02:19:56"</f>
        <v>11/07/2023 02:19:56</v>
      </c>
      <c r="BC872" t="str">
        <f>""</f>
        <v/>
      </c>
      <c r="BD872" t="str">
        <f>""</f>
        <v/>
      </c>
      <c r="BE872" t="str">
        <f>""</f>
        <v/>
      </c>
      <c r="BF872" t="str">
        <f t="shared" si="426"/>
        <v>A</v>
      </c>
      <c r="BG872" t="str">
        <f>""</f>
        <v/>
      </c>
      <c r="BH872" t="str">
        <f>""</f>
        <v/>
      </c>
      <c r="BI872" t="str">
        <f t="shared" si="443"/>
        <v>EVENTUAL</v>
      </c>
      <c r="BJ872" t="str">
        <f t="shared" si="427"/>
        <v>1</v>
      </c>
      <c r="BK872" t="str">
        <f t="shared" si="428"/>
        <v>Farmacia</v>
      </c>
      <c r="BL872" t="str">
        <f>""</f>
        <v/>
      </c>
      <c r="BM872" t="str">
        <f>""</f>
        <v/>
      </c>
      <c r="BN872" t="str">
        <f>""</f>
        <v/>
      </c>
      <c r="BO872" t="str">
        <f>""</f>
        <v/>
      </c>
      <c r="BP872" t="str">
        <f>""</f>
        <v/>
      </c>
      <c r="BQ872" t="str">
        <f>""</f>
        <v/>
      </c>
      <c r="BR872" t="str">
        <f>"11/07/2023"</f>
        <v>11/07/2023</v>
      </c>
      <c r="BS872" t="str">
        <f>""</f>
        <v/>
      </c>
      <c r="BT872" t="str">
        <f>""</f>
        <v/>
      </c>
      <c r="BU872" t="str">
        <f>""</f>
        <v/>
      </c>
      <c r="BV872" t="str">
        <f>""</f>
        <v/>
      </c>
      <c r="BW872" t="str">
        <f>"Não visitado"</f>
        <v>Não visitado</v>
      </c>
    </row>
    <row r="873" spans="1:75" x14ac:dyDescent="0.35">
      <c r="A873">
        <v>134554</v>
      </c>
      <c r="B873" t="str">
        <f t="shared" si="423"/>
        <v>A</v>
      </c>
      <c r="C873" t="str">
        <f t="shared" si="424"/>
        <v>80</v>
      </c>
      <c r="D873" t="str">
        <f t="shared" si="417"/>
        <v>11121002</v>
      </c>
      <c r="E873" t="str">
        <f t="shared" si="418"/>
        <v>121002</v>
      </c>
      <c r="F873" t="str">
        <f t="shared" si="419"/>
        <v>CINTHIA NORONHA</v>
      </c>
      <c r="G873" t="str">
        <f>"39650265000170"</f>
        <v>39650265000170</v>
      </c>
      <c r="H873" t="str">
        <f>""</f>
        <v/>
      </c>
      <c r="I873" t="str">
        <f t="shared" si="425"/>
        <v>CONTA OPTICA</v>
      </c>
      <c r="J873" t="str">
        <f>"MERCADAO DOS OCULOS FELIPE SCHMIDT LTDA"</f>
        <v>MERCADAO DOS OCULOS FELIPE SCHMIDT LTDA</v>
      </c>
      <c r="K873" t="str">
        <f>"MERCADAO DOS OCULOS FELIPE SCHMIDT (4237)"</f>
        <v>MERCADAO DOS OCULOS FELIPE SCHMIDT (4237)</v>
      </c>
      <c r="L873" t="str">
        <f>""</f>
        <v/>
      </c>
      <c r="M873" t="str">
        <f>""</f>
        <v/>
      </c>
      <c r="N873" t="str">
        <f>"sc-florianopolis03@mercadaodosoculos.com.br"</f>
        <v>sc-florianopolis03@mercadaodosoculos.com.br</v>
      </c>
      <c r="O873" t="str">
        <f>""</f>
        <v/>
      </c>
      <c r="P873" t="str">
        <f>"RUA FELIPE SCHMIDT"</f>
        <v>RUA FELIPE SCHMIDT</v>
      </c>
      <c r="Q873" t="str">
        <f>"113"</f>
        <v>113</v>
      </c>
      <c r="R873" t="str">
        <f>""</f>
        <v/>
      </c>
      <c r="S873" t="str">
        <f>"1254"</f>
        <v>1254</v>
      </c>
      <c r="T873" t="str">
        <f>"88010000"</f>
        <v>88010000</v>
      </c>
      <c r="U873" t="str">
        <f>"CENTRO"</f>
        <v>CENTRO</v>
      </c>
      <c r="V873" t="str">
        <f>"FLORIANOPOLIS"</f>
        <v>FLORIANOPOLIS</v>
      </c>
      <c r="W873" t="str">
        <f t="shared" si="441"/>
        <v>SC</v>
      </c>
      <c r="X873" t="str">
        <f t="shared" ref="X873:X881" si="444">"48"</f>
        <v>48</v>
      </c>
      <c r="Y873" t="str">
        <f>"30912708"</f>
        <v>30912708</v>
      </c>
      <c r="Z873" t="str">
        <f>""</f>
        <v/>
      </c>
      <c r="AA873" t="str">
        <f>""</f>
        <v/>
      </c>
      <c r="AB873" t="str">
        <f>""</f>
        <v/>
      </c>
      <c r="AC873" t="str">
        <f>""</f>
        <v/>
      </c>
      <c r="AD873" t="str">
        <f>""</f>
        <v/>
      </c>
      <c r="AE873" t="str">
        <f>""</f>
        <v/>
      </c>
      <c r="AF873" t="str">
        <f>""</f>
        <v/>
      </c>
      <c r="AG873" t="str">
        <f>""</f>
        <v/>
      </c>
      <c r="AH873" t="str">
        <f>""</f>
        <v/>
      </c>
      <c r="AI873" t="str">
        <f>""</f>
        <v/>
      </c>
      <c r="AJ873" t="str">
        <f>""</f>
        <v/>
      </c>
      <c r="AK873" t="str">
        <f>""</f>
        <v/>
      </c>
      <c r="AL873" t="str">
        <f>""</f>
        <v/>
      </c>
      <c r="AM873" t="str">
        <f>""</f>
        <v/>
      </c>
      <c r="AN873" t="str">
        <f>""</f>
        <v/>
      </c>
      <c r="AO873" t="str">
        <f>""</f>
        <v/>
      </c>
      <c r="AP873" t="str">
        <f>""</f>
        <v/>
      </c>
      <c r="AQ873" t="str">
        <f>""</f>
        <v/>
      </c>
      <c r="AR873" t="str">
        <f>""</f>
        <v/>
      </c>
      <c r="AS873" t="str">
        <f>""</f>
        <v/>
      </c>
      <c r="AT873" t="str">
        <f>""</f>
        <v/>
      </c>
      <c r="AU873" t="str">
        <f>""</f>
        <v/>
      </c>
      <c r="AV873" t="str">
        <f>""</f>
        <v/>
      </c>
      <c r="AW873" t="str">
        <f>""</f>
        <v/>
      </c>
      <c r="AX873" t="str">
        <f>""</f>
        <v/>
      </c>
      <c r="AY873" t="str">
        <f>""</f>
        <v/>
      </c>
      <c r="AZ873" t="str">
        <f>""</f>
        <v/>
      </c>
      <c r="BA873" t="str">
        <f>""</f>
        <v/>
      </c>
      <c r="BB873" t="str">
        <f>""</f>
        <v/>
      </c>
      <c r="BC873" t="str">
        <f>""</f>
        <v/>
      </c>
      <c r="BD873" t="str">
        <f>""</f>
        <v/>
      </c>
      <c r="BE873" t="str">
        <f>""</f>
        <v/>
      </c>
      <c r="BF873" t="str">
        <f t="shared" si="426"/>
        <v>A</v>
      </c>
      <c r="BG873" t="str">
        <f>""</f>
        <v/>
      </c>
      <c r="BH873" t="str">
        <f>""</f>
        <v/>
      </c>
      <c r="BI873" t="str">
        <f t="shared" si="443"/>
        <v>EVENTUAL</v>
      </c>
      <c r="BJ873" t="str">
        <f t="shared" si="427"/>
        <v>1</v>
      </c>
      <c r="BK873" t="str">
        <f t="shared" si="428"/>
        <v>Farmacia</v>
      </c>
      <c r="BL873" t="str">
        <f>""</f>
        <v/>
      </c>
      <c r="BM873" t="str">
        <f>"NÃO É VARILUX ESPECIALISTA"</f>
        <v>NÃO É VARILUX ESPECIALISTA</v>
      </c>
      <c r="BN873" t="str">
        <f>"NA"</f>
        <v>NA</v>
      </c>
      <c r="BO873" t="str">
        <f>"OUTROS"</f>
        <v>OUTROS</v>
      </c>
      <c r="BP873" t="str">
        <f>""</f>
        <v/>
      </c>
      <c r="BQ873" t="str">
        <f>""</f>
        <v/>
      </c>
      <c r="BR873" t="str">
        <f>""</f>
        <v/>
      </c>
      <c r="BS873" t="str">
        <f>""</f>
        <v/>
      </c>
      <c r="BT873" t="str">
        <f>""</f>
        <v/>
      </c>
      <c r="BU873" t="str">
        <f>""</f>
        <v/>
      </c>
      <c r="BV873" t="str">
        <f>""</f>
        <v/>
      </c>
      <c r="BW873" t="str">
        <f>"Não visitado"</f>
        <v>Não visitado</v>
      </c>
    </row>
    <row r="874" spans="1:75" x14ac:dyDescent="0.35">
      <c r="A874">
        <v>141486</v>
      </c>
      <c r="B874" t="str">
        <f t="shared" si="423"/>
        <v>A</v>
      </c>
      <c r="C874" t="str">
        <f t="shared" si="424"/>
        <v>80</v>
      </c>
      <c r="D874" t="str">
        <f t="shared" si="417"/>
        <v>11121002</v>
      </c>
      <c r="E874" t="str">
        <f t="shared" si="418"/>
        <v>121002</v>
      </c>
      <c r="F874" t="str">
        <f t="shared" si="419"/>
        <v>CINTHIA NORONHA</v>
      </c>
      <c r="G874" t="str">
        <f>"42718749000119"</f>
        <v>42718749000119</v>
      </c>
      <c r="H874" t="str">
        <f>"0"</f>
        <v>0</v>
      </c>
      <c r="I874" t="str">
        <f t="shared" si="425"/>
        <v>CONTA OPTICA</v>
      </c>
      <c r="J874" t="str">
        <f>"MERCADAO DOS OCULOS INGLESES LTDA"</f>
        <v>MERCADAO DOS OCULOS INGLESES LTDA</v>
      </c>
      <c r="K874" t="str">
        <f>"MERCADAO DOS OCULOS (4391)"</f>
        <v>MERCADAO DOS OCULOS (4391)</v>
      </c>
      <c r="L874" t="str">
        <f>""</f>
        <v/>
      </c>
      <c r="M874" t="str">
        <f>""</f>
        <v/>
      </c>
      <c r="N874" t="str">
        <f>"SC-FLORIANOPOLIS02@MERCADAODOSOCULOS.COM.BR"</f>
        <v>SC-FLORIANOPOLIS02@MERCADAODOSOCULOS.COM.BR</v>
      </c>
      <c r="O874" t="str">
        <f>""</f>
        <v/>
      </c>
      <c r="P874" t="str">
        <f>"RODOVIA ARMANDO CALIL BULOS"</f>
        <v>RODOVIA ARMANDO CALIL BULOS</v>
      </c>
      <c r="Q874" t="str">
        <f>"6078"</f>
        <v>6078</v>
      </c>
      <c r="R874" t="str">
        <f>""</f>
        <v/>
      </c>
      <c r="S874" t="str">
        <f>""</f>
        <v/>
      </c>
      <c r="T874" t="str">
        <f>"88056618"</f>
        <v>88056618</v>
      </c>
      <c r="U874" t="str">
        <f>"VARGEM DO BOM JESUS"</f>
        <v>VARGEM DO BOM JESUS</v>
      </c>
      <c r="V874" t="str">
        <f>"FLORIANOPOLIS"</f>
        <v>FLORIANOPOLIS</v>
      </c>
      <c r="W874" t="str">
        <f t="shared" si="441"/>
        <v>SC</v>
      </c>
      <c r="X874" t="str">
        <f t="shared" si="444"/>
        <v>48</v>
      </c>
      <c r="Y874" t="str">
        <f>"30912708"</f>
        <v>30912708</v>
      </c>
      <c r="Z874" t="str">
        <f>""</f>
        <v/>
      </c>
      <c r="AA874" t="str">
        <f>""</f>
        <v/>
      </c>
      <c r="AB874" t="str">
        <f>""</f>
        <v/>
      </c>
      <c r="AC874" t="str">
        <f>""</f>
        <v/>
      </c>
      <c r="AD874" t="str">
        <f>""</f>
        <v/>
      </c>
      <c r="AE874" t="str">
        <f>""</f>
        <v/>
      </c>
      <c r="AF874" t="str">
        <f>""</f>
        <v/>
      </c>
      <c r="AG874" t="str">
        <f>""</f>
        <v/>
      </c>
      <c r="AH874" t="str">
        <f>""</f>
        <v/>
      </c>
      <c r="AI874" t="str">
        <f>""</f>
        <v/>
      </c>
      <c r="AJ874" t="str">
        <f>""</f>
        <v/>
      </c>
      <c r="AK874" t="str">
        <f>""</f>
        <v/>
      </c>
      <c r="AL874" t="str">
        <f>""</f>
        <v/>
      </c>
      <c r="AM874" t="str">
        <f>""</f>
        <v/>
      </c>
      <c r="AN874" t="str">
        <f>""</f>
        <v/>
      </c>
      <c r="AO874" t="str">
        <f>""</f>
        <v/>
      </c>
      <c r="AP874" t="str">
        <f>""</f>
        <v/>
      </c>
      <c r="AQ874" t="str">
        <f>""</f>
        <v/>
      </c>
      <c r="AR874" t="str">
        <f>""</f>
        <v/>
      </c>
      <c r="AS874" t="str">
        <f>""</f>
        <v/>
      </c>
      <c r="AT874" t="str">
        <f>""</f>
        <v/>
      </c>
      <c r="AU874" t="str">
        <f>""</f>
        <v/>
      </c>
      <c r="AV874" t="str">
        <f>""</f>
        <v/>
      </c>
      <c r="AW874" t="str">
        <f>""</f>
        <v/>
      </c>
      <c r="AX874" t="str">
        <f>""</f>
        <v/>
      </c>
      <c r="AY874" t="str">
        <f>""</f>
        <v/>
      </c>
      <c r="AZ874" t="str">
        <f>""</f>
        <v/>
      </c>
      <c r="BA874" t="str">
        <f>""</f>
        <v/>
      </c>
      <c r="BB874" t="str">
        <f>"05/10/2021 10:03:13"</f>
        <v>05/10/2021 10:03:13</v>
      </c>
      <c r="BC874" t="str">
        <f>""</f>
        <v/>
      </c>
      <c r="BD874" t="str">
        <f>""</f>
        <v/>
      </c>
      <c r="BE874" t="str">
        <f>""</f>
        <v/>
      </c>
      <c r="BF874" t="str">
        <f t="shared" si="426"/>
        <v>A</v>
      </c>
      <c r="BG874" t="str">
        <f>""</f>
        <v/>
      </c>
      <c r="BH874" t="str">
        <f>""</f>
        <v/>
      </c>
      <c r="BI874" t="str">
        <f t="shared" si="443"/>
        <v>EVENTUAL</v>
      </c>
      <c r="BJ874" t="str">
        <f t="shared" si="427"/>
        <v>1</v>
      </c>
      <c r="BK874" t="str">
        <f t="shared" si="428"/>
        <v>Farmacia</v>
      </c>
      <c r="BL874" t="str">
        <f>""</f>
        <v/>
      </c>
      <c r="BM874" t="str">
        <f>""</f>
        <v/>
      </c>
      <c r="BN874" t="str">
        <f>""</f>
        <v/>
      </c>
      <c r="BO874" t="str">
        <f>"OUTROS"</f>
        <v>OUTROS</v>
      </c>
      <c r="BP874" t="str">
        <f>""</f>
        <v/>
      </c>
      <c r="BQ874" t="str">
        <f>""</f>
        <v/>
      </c>
      <c r="BR874" t="str">
        <f>"05/10/2021"</f>
        <v>05/10/2021</v>
      </c>
      <c r="BS874" t="str">
        <f>""</f>
        <v/>
      </c>
      <c r="BT874" t="str">
        <f>""</f>
        <v/>
      </c>
      <c r="BU874" t="str">
        <f>""</f>
        <v/>
      </c>
      <c r="BV874" t="str">
        <f>""</f>
        <v/>
      </c>
      <c r="BW874" t="str">
        <f>"Não visitado"</f>
        <v>Não visitado</v>
      </c>
    </row>
    <row r="875" spans="1:75" x14ac:dyDescent="0.35">
      <c r="A875">
        <v>134415</v>
      </c>
      <c r="B875" t="str">
        <f t="shared" si="423"/>
        <v>A</v>
      </c>
      <c r="C875" t="str">
        <f t="shared" si="424"/>
        <v>80</v>
      </c>
      <c r="D875" t="str">
        <f t="shared" si="417"/>
        <v>11121002</v>
      </c>
      <c r="E875" t="str">
        <f t="shared" si="418"/>
        <v>121002</v>
      </c>
      <c r="F875" t="str">
        <f t="shared" si="419"/>
        <v>CINTHIA NORONHA</v>
      </c>
      <c r="G875" t="str">
        <f>"34594699000187"</f>
        <v>34594699000187</v>
      </c>
      <c r="H875" t="str">
        <f>""</f>
        <v/>
      </c>
      <c r="I875" t="str">
        <f t="shared" si="425"/>
        <v>CONTA OPTICA</v>
      </c>
      <c r="J875" t="str">
        <f>"MERCADAO DOS OCULOS SAO JOSE LTDA"</f>
        <v>MERCADAO DOS OCULOS SAO JOSE LTDA</v>
      </c>
      <c r="K875" t="str">
        <f>"MERCADAO DOS OCULOS (4051)"</f>
        <v>MERCADAO DOS OCULOS (4051)</v>
      </c>
      <c r="L875" t="str">
        <f>""</f>
        <v/>
      </c>
      <c r="M875" t="str">
        <f>""</f>
        <v/>
      </c>
      <c r="N875" t="str">
        <f>"sc-florianopolis03@mercadaodosoculos.com.br"</f>
        <v>sc-florianopolis03@mercadaodosoculos.com.br</v>
      </c>
      <c r="O875" t="str">
        <f>""</f>
        <v/>
      </c>
      <c r="P875" t="str">
        <f>"AVENIDA LEDIO JOAO MARTINS"</f>
        <v>AVENIDA LEDIO JOAO MARTINS</v>
      </c>
      <c r="Q875" t="str">
        <f>"246"</f>
        <v>246</v>
      </c>
      <c r="R875" t="str">
        <f>"LOJA 03"</f>
        <v>LOJA 03</v>
      </c>
      <c r="S875" t="str">
        <f>"1259"</f>
        <v>1259</v>
      </c>
      <c r="T875" t="str">
        <f>"88101100"</f>
        <v>88101100</v>
      </c>
      <c r="U875" t="str">
        <f>"KOBRASOL"</f>
        <v>KOBRASOL</v>
      </c>
      <c r="V875" t="str">
        <f>"SÃO JOSÉ"</f>
        <v>SÃO JOSÉ</v>
      </c>
      <c r="W875" t="str">
        <f t="shared" si="441"/>
        <v>SC</v>
      </c>
      <c r="X875" t="str">
        <f t="shared" si="444"/>
        <v>48</v>
      </c>
      <c r="Y875" t="str">
        <f>"30666630"</f>
        <v>30666630</v>
      </c>
      <c r="Z875" t="str">
        <f>""</f>
        <v/>
      </c>
      <c r="AA875" t="str">
        <f>""</f>
        <v/>
      </c>
      <c r="AB875" t="str">
        <f>""</f>
        <v/>
      </c>
      <c r="AC875" t="str">
        <f>""</f>
        <v/>
      </c>
      <c r="AD875" t="str">
        <f>""</f>
        <v/>
      </c>
      <c r="AE875" t="str">
        <f>""</f>
        <v/>
      </c>
      <c r="AF875" t="str">
        <f>""</f>
        <v/>
      </c>
      <c r="AG875" t="str">
        <f>"S"</f>
        <v>S</v>
      </c>
      <c r="AH875" t="str">
        <f>""</f>
        <v/>
      </c>
      <c r="AI875" t="str">
        <f>""</f>
        <v/>
      </c>
      <c r="AJ875" t="str">
        <f>""</f>
        <v/>
      </c>
      <c r="AK875" t="str">
        <f>""</f>
        <v/>
      </c>
      <c r="AL875" t="str">
        <f>""</f>
        <v/>
      </c>
      <c r="AM875" t="str">
        <f>""</f>
        <v/>
      </c>
      <c r="AN875" t="str">
        <f>""</f>
        <v/>
      </c>
      <c r="AO875" t="str">
        <f>""</f>
        <v/>
      </c>
      <c r="AP875" t="str">
        <f>""</f>
        <v/>
      </c>
      <c r="AQ875" t="str">
        <f>"N"</f>
        <v>N</v>
      </c>
      <c r="AR875" t="str">
        <f>"N"</f>
        <v>N</v>
      </c>
      <c r="AS875" t="str">
        <f>"N"</f>
        <v>N</v>
      </c>
      <c r="AT875" t="str">
        <f>"N"</f>
        <v>N</v>
      </c>
      <c r="AU875" t="str">
        <f>"N"</f>
        <v>N</v>
      </c>
      <c r="AV875" t="str">
        <f>""</f>
        <v/>
      </c>
      <c r="AW875" t="str">
        <f>""</f>
        <v/>
      </c>
      <c r="AX875" t="str">
        <f>""</f>
        <v/>
      </c>
      <c r="AY875" t="str">
        <f>""</f>
        <v/>
      </c>
      <c r="AZ875" t="str">
        <f>""</f>
        <v/>
      </c>
      <c r="BA875" t="str">
        <f>""</f>
        <v/>
      </c>
      <c r="BB875" t="str">
        <f>""</f>
        <v/>
      </c>
      <c r="BC875" t="str">
        <f>"17/11/2021 09:58:02"</f>
        <v>17/11/2021 09:58:02</v>
      </c>
      <c r="BD875" t="str">
        <f>""</f>
        <v/>
      </c>
      <c r="BE875" t="str">
        <f>""</f>
        <v/>
      </c>
      <c r="BF875" t="str">
        <f t="shared" si="426"/>
        <v>A</v>
      </c>
      <c r="BG875" t="str">
        <f>""</f>
        <v/>
      </c>
      <c r="BH875" t="str">
        <f>"0,00"</f>
        <v>0,00</v>
      </c>
      <c r="BI875" t="str">
        <f t="shared" si="443"/>
        <v>EVENTUAL</v>
      </c>
      <c r="BJ875" t="str">
        <f t="shared" si="427"/>
        <v>1</v>
      </c>
      <c r="BK875" t="str">
        <f t="shared" si="428"/>
        <v>Farmacia</v>
      </c>
      <c r="BL875" t="str">
        <f>""</f>
        <v/>
      </c>
      <c r="BM875" t="str">
        <f>"NÃO É VARILUX ESPECIALISTA"</f>
        <v>NÃO É VARILUX ESPECIALISTA</v>
      </c>
      <c r="BN875" t="str">
        <f>"NA"</f>
        <v>NA</v>
      </c>
      <c r="BO875" t="str">
        <f>"FOCO KODAK 2"</f>
        <v>FOCO KODAK 2</v>
      </c>
      <c r="BP875" t="str">
        <f>""</f>
        <v/>
      </c>
      <c r="BQ875" t="str">
        <f>""</f>
        <v/>
      </c>
      <c r="BR875" t="str">
        <f>""</f>
        <v/>
      </c>
      <c r="BS875" t="str">
        <f>"17/11/2021"</f>
        <v>17/11/2021</v>
      </c>
      <c r="BT875" t="str">
        <f>""</f>
        <v/>
      </c>
      <c r="BU875" t="str">
        <f>""</f>
        <v/>
      </c>
      <c r="BV875" t="str">
        <f>"9"</f>
        <v>9</v>
      </c>
      <c r="BW875" t="str">
        <f>"737"</f>
        <v>737</v>
      </c>
    </row>
    <row r="876" spans="1:75" x14ac:dyDescent="0.35">
      <c r="A876">
        <v>134555</v>
      </c>
      <c r="B876" t="str">
        <f t="shared" si="423"/>
        <v>A</v>
      </c>
      <c r="C876" t="str">
        <f t="shared" si="424"/>
        <v>80</v>
      </c>
      <c r="D876" t="str">
        <f t="shared" si="417"/>
        <v>11121002</v>
      </c>
      <c r="E876" t="str">
        <f t="shared" si="418"/>
        <v>121002</v>
      </c>
      <c r="F876" t="str">
        <f t="shared" si="419"/>
        <v>CINTHIA NORONHA</v>
      </c>
      <c r="G876" t="str">
        <f>"37747602000117"</f>
        <v>37747602000117</v>
      </c>
      <c r="H876" t="str">
        <f>""</f>
        <v/>
      </c>
      <c r="I876" t="str">
        <f t="shared" si="425"/>
        <v>CONTA OPTICA</v>
      </c>
      <c r="J876" t="str">
        <f>"MERCADAO DOS OCULOS SETE DE SETEMBRO LTDA"</f>
        <v>MERCADAO DOS OCULOS SETE DE SETEMBRO LTDA</v>
      </c>
      <c r="K876" t="str">
        <f>"MERCADAO DOS OCULOS SETE DE SETEMBRO (4238)"</f>
        <v>MERCADAO DOS OCULOS SETE DE SETEMBRO (4238)</v>
      </c>
      <c r="L876" t="str">
        <f>""</f>
        <v/>
      </c>
      <c r="M876" t="str">
        <f>""</f>
        <v/>
      </c>
      <c r="N876" t="str">
        <f>"sc-florianopolis03@mercadaodosoculos.com.br"</f>
        <v>sc-florianopolis03@mercadaodosoculos.com.br</v>
      </c>
      <c r="O876" t="str">
        <f>""</f>
        <v/>
      </c>
      <c r="P876" t="str">
        <f>"RUA SETE DE SETEMBRO"</f>
        <v>RUA SETE DE SETEMBRO</v>
      </c>
      <c r="Q876" t="str">
        <f>"130"</f>
        <v>130</v>
      </c>
      <c r="R876" t="str">
        <f>"LOJA 02"</f>
        <v>LOJA 02</v>
      </c>
      <c r="S876" t="str">
        <f>"1254"</f>
        <v>1254</v>
      </c>
      <c r="T876" t="str">
        <f>"88010060"</f>
        <v>88010060</v>
      </c>
      <c r="U876" t="str">
        <f>"CENTRO"</f>
        <v>CENTRO</v>
      </c>
      <c r="V876" t="str">
        <f>"FLORIANOPOLIS"</f>
        <v>FLORIANOPOLIS</v>
      </c>
      <c r="W876" t="str">
        <f t="shared" si="441"/>
        <v>SC</v>
      </c>
      <c r="X876" t="str">
        <f t="shared" si="444"/>
        <v>48</v>
      </c>
      <c r="Y876" t="str">
        <f>"30287090"</f>
        <v>30287090</v>
      </c>
      <c r="Z876" t="str">
        <f>""</f>
        <v/>
      </c>
      <c r="AA876" t="str">
        <f>""</f>
        <v/>
      </c>
      <c r="AB876" t="str">
        <f>""</f>
        <v/>
      </c>
      <c r="AC876" t="str">
        <f>""</f>
        <v/>
      </c>
      <c r="AD876" t="str">
        <f>""</f>
        <v/>
      </c>
      <c r="AE876" t="str">
        <f>""</f>
        <v/>
      </c>
      <c r="AF876" t="str">
        <f>""</f>
        <v/>
      </c>
      <c r="AG876" t="str">
        <f>""</f>
        <v/>
      </c>
      <c r="AH876" t="str">
        <f>""</f>
        <v/>
      </c>
      <c r="AI876" t="str">
        <f>""</f>
        <v/>
      </c>
      <c r="AJ876" t="str">
        <f>""</f>
        <v/>
      </c>
      <c r="AK876" t="str">
        <f>""</f>
        <v/>
      </c>
      <c r="AL876" t="str">
        <f>""</f>
        <v/>
      </c>
      <c r="AM876" t="str">
        <f>""</f>
        <v/>
      </c>
      <c r="AN876" t="str">
        <f>""</f>
        <v/>
      </c>
      <c r="AO876" t="str">
        <f>""</f>
        <v/>
      </c>
      <c r="AP876" t="str">
        <f>""</f>
        <v/>
      </c>
      <c r="AQ876" t="str">
        <f>""</f>
        <v/>
      </c>
      <c r="AR876" t="str">
        <f>""</f>
        <v/>
      </c>
      <c r="AS876" t="str">
        <f>""</f>
        <v/>
      </c>
      <c r="AT876" t="str">
        <f>""</f>
        <v/>
      </c>
      <c r="AU876" t="str">
        <f>""</f>
        <v/>
      </c>
      <c r="AV876" t="str">
        <f>""</f>
        <v/>
      </c>
      <c r="AW876" t="str">
        <f>""</f>
        <v/>
      </c>
      <c r="AX876" t="str">
        <f>""</f>
        <v/>
      </c>
      <c r="AY876" t="str">
        <f>""</f>
        <v/>
      </c>
      <c r="AZ876" t="str">
        <f>""</f>
        <v/>
      </c>
      <c r="BA876" t="str">
        <f>""</f>
        <v/>
      </c>
      <c r="BB876" t="str">
        <f>""</f>
        <v/>
      </c>
      <c r="BC876" t="str">
        <f>""</f>
        <v/>
      </c>
      <c r="BD876" t="str">
        <f>""</f>
        <v/>
      </c>
      <c r="BE876" t="str">
        <f>""</f>
        <v/>
      </c>
      <c r="BF876" t="str">
        <f t="shared" si="426"/>
        <v>A</v>
      </c>
      <c r="BG876" t="str">
        <f>""</f>
        <v/>
      </c>
      <c r="BH876" t="str">
        <f>""</f>
        <v/>
      </c>
      <c r="BI876" t="str">
        <f t="shared" si="443"/>
        <v>EVENTUAL</v>
      </c>
      <c r="BJ876" t="str">
        <f t="shared" si="427"/>
        <v>1</v>
      </c>
      <c r="BK876" t="str">
        <f t="shared" si="428"/>
        <v>Farmacia</v>
      </c>
      <c r="BL876" t="str">
        <f>""</f>
        <v/>
      </c>
      <c r="BM876" t="str">
        <f>"NÃO É VARILUX ESPECIALISTA"</f>
        <v>NÃO É VARILUX ESPECIALISTA</v>
      </c>
      <c r="BN876" t="str">
        <f>"NA"</f>
        <v>NA</v>
      </c>
      <c r="BO876" t="str">
        <f>"FOCO VARILUX"</f>
        <v>FOCO VARILUX</v>
      </c>
      <c r="BP876" t="str">
        <f>""</f>
        <v/>
      </c>
      <c r="BQ876" t="str">
        <f>""</f>
        <v/>
      </c>
      <c r="BR876" t="str">
        <f>""</f>
        <v/>
      </c>
      <c r="BS876" t="str">
        <f>""</f>
        <v/>
      </c>
      <c r="BT876" t="str">
        <f>""</f>
        <v/>
      </c>
      <c r="BU876" t="str">
        <f>""</f>
        <v/>
      </c>
      <c r="BV876" t="str">
        <f>""</f>
        <v/>
      </c>
      <c r="BW876" t="str">
        <f>"Não visitado"</f>
        <v>Não visitado</v>
      </c>
    </row>
    <row r="877" spans="1:75" x14ac:dyDescent="0.35">
      <c r="A877">
        <v>27</v>
      </c>
      <c r="B877" t="str">
        <f t="shared" si="423"/>
        <v>A</v>
      </c>
      <c r="C877" t="str">
        <f t="shared" si="424"/>
        <v>80</v>
      </c>
      <c r="D877" t="str">
        <f t="shared" si="417"/>
        <v>11121002</v>
      </c>
      <c r="E877" t="str">
        <f t="shared" si="418"/>
        <v>121002</v>
      </c>
      <c r="F877" t="str">
        <f t="shared" si="419"/>
        <v>CINTHIA NORONHA</v>
      </c>
      <c r="G877" t="str">
        <f>"03300044000125"</f>
        <v>03300044000125</v>
      </c>
      <c r="H877" t="str">
        <f>""</f>
        <v/>
      </c>
      <c r="I877" t="str">
        <f t="shared" si="425"/>
        <v>CONTA OPTICA</v>
      </c>
      <c r="J877" t="str">
        <f>"MEURER E MICHELS EIRELI"</f>
        <v>MEURER E MICHELS EIRELI</v>
      </c>
      <c r="K877" t="str">
        <f>"OTICA EXATA (1168)"</f>
        <v>OTICA EXATA (1168)</v>
      </c>
      <c r="L877" t="str">
        <f>""</f>
        <v/>
      </c>
      <c r="M877" t="str">
        <f>""</f>
        <v/>
      </c>
      <c r="N877" t="str">
        <f>"relojoariaexata@hotmail.com"</f>
        <v>relojoariaexata@hotmail.com</v>
      </c>
      <c r="O877" t="str">
        <f>""</f>
        <v/>
      </c>
      <c r="P877" t="str">
        <f>"RUA PADRE ROHER"</f>
        <v>RUA PADRE ROHER</v>
      </c>
      <c r="Q877" t="str">
        <f>"120"</f>
        <v>120</v>
      </c>
      <c r="R877" t="str">
        <f>"SALA 02"</f>
        <v>SALA 02</v>
      </c>
      <c r="S877" t="str">
        <f>"1268"</f>
        <v>1268</v>
      </c>
      <c r="T877" t="str">
        <f>"88730000"</f>
        <v>88730000</v>
      </c>
      <c r="U877" t="str">
        <f>"CENTRO"</f>
        <v>CENTRO</v>
      </c>
      <c r="V877" t="str">
        <f>"SÃO LUDGERO"</f>
        <v>SÃO LUDGERO</v>
      </c>
      <c r="W877" t="str">
        <f t="shared" si="441"/>
        <v>SC</v>
      </c>
      <c r="X877" t="str">
        <f t="shared" si="444"/>
        <v>48</v>
      </c>
      <c r="Y877" t="str">
        <f>"36571899"</f>
        <v>36571899</v>
      </c>
      <c r="Z877" t="str">
        <f>""</f>
        <v/>
      </c>
      <c r="AA877" t="str">
        <f>""</f>
        <v/>
      </c>
      <c r="AB877" t="str">
        <f>""</f>
        <v/>
      </c>
      <c r="AC877" t="str">
        <f>""</f>
        <v/>
      </c>
      <c r="AD877" t="str">
        <f>""</f>
        <v/>
      </c>
      <c r="AE877" t="str">
        <f>""</f>
        <v/>
      </c>
      <c r="AF877" t="str">
        <f>""</f>
        <v/>
      </c>
      <c r="AG877" t="str">
        <f>""</f>
        <v/>
      </c>
      <c r="AH877" t="str">
        <f>""</f>
        <v/>
      </c>
      <c r="AI877" t="str">
        <f>""</f>
        <v/>
      </c>
      <c r="AJ877" t="str">
        <f>"0"</f>
        <v>0</v>
      </c>
      <c r="AK877" t="str">
        <f>"0"</f>
        <v>0</v>
      </c>
      <c r="AL877" t="str">
        <f>"0"</f>
        <v>0</v>
      </c>
      <c r="AM877" t="str">
        <f>""</f>
        <v/>
      </c>
      <c r="AN877" t="str">
        <f>""</f>
        <v/>
      </c>
      <c r="AO877" t="str">
        <f>""</f>
        <v/>
      </c>
      <c r="AP877" t="str">
        <f>""</f>
        <v/>
      </c>
      <c r="AQ877" t="str">
        <f>""</f>
        <v/>
      </c>
      <c r="AR877" t="str">
        <f>""</f>
        <v/>
      </c>
      <c r="AS877" t="str">
        <f>""</f>
        <v/>
      </c>
      <c r="AT877" t="str">
        <f>""</f>
        <v/>
      </c>
      <c r="AU877" t="str">
        <f>""</f>
        <v/>
      </c>
      <c r="AV877" t="str">
        <f>""</f>
        <v/>
      </c>
      <c r="AW877" t="str">
        <f>""</f>
        <v/>
      </c>
      <c r="AX877" t="str">
        <f>""</f>
        <v/>
      </c>
      <c r="AY877" t="str">
        <f>""</f>
        <v/>
      </c>
      <c r="AZ877" t="str">
        <f>""</f>
        <v/>
      </c>
      <c r="BA877" t="str">
        <f>""</f>
        <v/>
      </c>
      <c r="BB877" t="str">
        <f>"27/07/2018 09:25:31"</f>
        <v>27/07/2018 09:25:31</v>
      </c>
      <c r="BC877" t="str">
        <f>""</f>
        <v/>
      </c>
      <c r="BD877" t="str">
        <f>""</f>
        <v/>
      </c>
      <c r="BE877" t="str">
        <f>"27"</f>
        <v>27</v>
      </c>
      <c r="BF877" t="str">
        <f t="shared" si="426"/>
        <v>A</v>
      </c>
      <c r="BG877" t="str">
        <f>"0,00"</f>
        <v>0,00</v>
      </c>
      <c r="BH877" t="str">
        <f>"0,00"</f>
        <v>0,00</v>
      </c>
      <c r="BI877" t="str">
        <f t="shared" si="443"/>
        <v>EVENTUAL</v>
      </c>
      <c r="BJ877" t="str">
        <f t="shared" si="427"/>
        <v>1</v>
      </c>
      <c r="BK877" t="str">
        <f t="shared" si="428"/>
        <v>Farmacia</v>
      </c>
      <c r="BL877" t="str">
        <f>""</f>
        <v/>
      </c>
      <c r="BM877" t="str">
        <f>"NÃO É VARILUX ESPECIALISTA"</f>
        <v>NÃO É VARILUX ESPECIALISTA</v>
      </c>
      <c r="BN877" t="str">
        <f>"NA"</f>
        <v>NA</v>
      </c>
      <c r="BO877" t="str">
        <f>"FOCO VARILUX"</f>
        <v>FOCO VARILUX</v>
      </c>
      <c r="BP877" t="str">
        <f>""</f>
        <v/>
      </c>
      <c r="BQ877" t="str">
        <f>""</f>
        <v/>
      </c>
      <c r="BR877" t="str">
        <f>"27/07/2018"</f>
        <v>27/07/2018</v>
      </c>
      <c r="BS877" t="str">
        <f>""</f>
        <v/>
      </c>
      <c r="BT877" t="str">
        <f>""</f>
        <v/>
      </c>
      <c r="BU877" t="str">
        <f>""</f>
        <v/>
      </c>
      <c r="BV877" t="str">
        <f>"9"</f>
        <v>9</v>
      </c>
      <c r="BW877" t="str">
        <f>"Não visitado"</f>
        <v>Não visitado</v>
      </c>
    </row>
    <row r="878" spans="1:75" x14ac:dyDescent="0.35">
      <c r="A878">
        <v>158706</v>
      </c>
      <c r="B878" t="str">
        <f t="shared" si="423"/>
        <v>A</v>
      </c>
      <c r="C878" t="str">
        <f t="shared" si="424"/>
        <v>80</v>
      </c>
      <c r="D878" t="str">
        <f t="shared" si="417"/>
        <v>11121002</v>
      </c>
      <c r="E878" t="str">
        <f t="shared" si="418"/>
        <v>121002</v>
      </c>
      <c r="F878" t="str">
        <f t="shared" si="419"/>
        <v>CINTHIA NORONHA</v>
      </c>
      <c r="G878" t="str">
        <f>"50807961000180"</f>
        <v>50807961000180</v>
      </c>
      <c r="H878" t="str">
        <f>""</f>
        <v/>
      </c>
      <c r="I878" t="str">
        <f t="shared" si="425"/>
        <v>CONTA OPTICA</v>
      </c>
      <c r="J878" t="str">
        <f>"MG OTICAS LTDA"</f>
        <v>MG OTICAS LTDA</v>
      </c>
      <c r="K878" t="str">
        <f>"OTICAS FERRI (4726)"</f>
        <v>OTICAS FERRI (4726)</v>
      </c>
      <c r="L878" t="str">
        <f>""</f>
        <v/>
      </c>
      <c r="M878" t="str">
        <f>""</f>
        <v/>
      </c>
      <c r="N878" t="str">
        <f>"OTICASFERRICOQUEIROSCOMERCIAL@GMAIL.COM"</f>
        <v>OTICASFERRICOQUEIROSCOMERCIAL@GMAIL.COM</v>
      </c>
      <c r="O878" t="str">
        <f>""</f>
        <v/>
      </c>
      <c r="P878" t="str">
        <f>"ENGENHEIRO MAX DE SOUZA"</f>
        <v>ENGENHEIRO MAX DE SOUZA</v>
      </c>
      <c r="Q878" t="str">
        <f>"1302"</f>
        <v>1302</v>
      </c>
      <c r="R878" t="str">
        <f>"LOJA 14 A"</f>
        <v>LOJA 14 A</v>
      </c>
      <c r="S878" t="str">
        <f>"1258"</f>
        <v>1258</v>
      </c>
      <c r="T878" t="str">
        <f>"88080000"</f>
        <v>88080000</v>
      </c>
      <c r="U878" t="str">
        <f>"COQUEIROS"</f>
        <v>COQUEIROS</v>
      </c>
      <c r="V878" t="str">
        <f>"FLORIANOPOLIS"</f>
        <v>FLORIANOPOLIS</v>
      </c>
      <c r="W878" t="str">
        <f t="shared" si="441"/>
        <v>SC</v>
      </c>
      <c r="X878" t="str">
        <f t="shared" si="444"/>
        <v>48</v>
      </c>
      <c r="Y878" t="str">
        <f>"991838770"</f>
        <v>991838770</v>
      </c>
      <c r="Z878" t="str">
        <f>""</f>
        <v/>
      </c>
      <c r="AA878" t="str">
        <f>""</f>
        <v/>
      </c>
      <c r="AB878" t="str">
        <f>""</f>
        <v/>
      </c>
      <c r="AC878" t="str">
        <f>""</f>
        <v/>
      </c>
      <c r="AD878" t="str">
        <f>""</f>
        <v/>
      </c>
      <c r="AE878" t="str">
        <f>""</f>
        <v/>
      </c>
      <c r="AF878" t="str">
        <f>""</f>
        <v/>
      </c>
      <c r="AG878" t="str">
        <f>""</f>
        <v/>
      </c>
      <c r="AH878" t="str">
        <f>""</f>
        <v/>
      </c>
      <c r="AI878" t="str">
        <f>""</f>
        <v/>
      </c>
      <c r="AJ878" t="str">
        <f>""</f>
        <v/>
      </c>
      <c r="AK878" t="str">
        <f>""</f>
        <v/>
      </c>
      <c r="AL878" t="str">
        <f>""</f>
        <v/>
      </c>
      <c r="AM878" t="str">
        <f>""</f>
        <v/>
      </c>
      <c r="AN878" t="str">
        <f>""</f>
        <v/>
      </c>
      <c r="AO878" t="str">
        <f>""</f>
        <v/>
      </c>
      <c r="AP878" t="str">
        <f>""</f>
        <v/>
      </c>
      <c r="AQ878" t="str">
        <f>""</f>
        <v/>
      </c>
      <c r="AR878" t="str">
        <f>""</f>
        <v/>
      </c>
      <c r="AS878" t="str">
        <f>""</f>
        <v/>
      </c>
      <c r="AT878" t="str">
        <f>""</f>
        <v/>
      </c>
      <c r="AU878" t="str">
        <f>""</f>
        <v/>
      </c>
      <c r="AV878" t="str">
        <f>""</f>
        <v/>
      </c>
      <c r="AW878" t="str">
        <f>""</f>
        <v/>
      </c>
      <c r="AX878" t="str">
        <f>""</f>
        <v/>
      </c>
      <c r="AY878" t="str">
        <f>""</f>
        <v/>
      </c>
      <c r="AZ878" t="str">
        <f>""</f>
        <v/>
      </c>
      <c r="BA878" t="str">
        <f>""</f>
        <v/>
      </c>
      <c r="BB878" t="str">
        <f>"17/08/2023 16:48:06"</f>
        <v>17/08/2023 16:48:06</v>
      </c>
      <c r="BC878" t="str">
        <f>""</f>
        <v/>
      </c>
      <c r="BD878" t="str">
        <f>""</f>
        <v/>
      </c>
      <c r="BE878" t="str">
        <f>""</f>
        <v/>
      </c>
      <c r="BF878" t="str">
        <f t="shared" si="426"/>
        <v>A</v>
      </c>
      <c r="BG878" t="str">
        <f>""</f>
        <v/>
      </c>
      <c r="BH878" t="str">
        <f>""</f>
        <v/>
      </c>
      <c r="BI878" t="str">
        <f t="shared" si="443"/>
        <v>EVENTUAL</v>
      </c>
      <c r="BJ878" t="str">
        <f t="shared" si="427"/>
        <v>1</v>
      </c>
      <c r="BK878" t="str">
        <f t="shared" si="428"/>
        <v>Farmacia</v>
      </c>
      <c r="BL878" t="str">
        <f>""</f>
        <v/>
      </c>
      <c r="BM878" t="str">
        <f>""</f>
        <v/>
      </c>
      <c r="BN878" t="str">
        <f>""</f>
        <v/>
      </c>
      <c r="BO878" t="str">
        <f>""</f>
        <v/>
      </c>
      <c r="BP878" t="str">
        <f>""</f>
        <v/>
      </c>
      <c r="BQ878" t="str">
        <f>""</f>
        <v/>
      </c>
      <c r="BR878" t="str">
        <f>"17/08/2023"</f>
        <v>17/08/2023</v>
      </c>
      <c r="BS878" t="str">
        <f>""</f>
        <v/>
      </c>
      <c r="BT878" t="str">
        <f>""</f>
        <v/>
      </c>
      <c r="BU878" t="str">
        <f>""</f>
        <v/>
      </c>
      <c r="BV878" t="str">
        <f>""</f>
        <v/>
      </c>
      <c r="BW878" t="str">
        <f>"Não visitado"</f>
        <v>Não visitado</v>
      </c>
    </row>
    <row r="879" spans="1:75" x14ac:dyDescent="0.35">
      <c r="A879">
        <v>157644</v>
      </c>
      <c r="B879" t="str">
        <f t="shared" si="423"/>
        <v>A</v>
      </c>
      <c r="C879" t="str">
        <f t="shared" si="424"/>
        <v>80</v>
      </c>
      <c r="D879" t="str">
        <f t="shared" si="417"/>
        <v>11121002</v>
      </c>
      <c r="E879" t="str">
        <f t="shared" si="418"/>
        <v>121002</v>
      </c>
      <c r="F879" t="str">
        <f t="shared" si="419"/>
        <v>CINTHIA NORONHA</v>
      </c>
      <c r="G879" t="str">
        <f>"34010572000173"</f>
        <v>34010572000173</v>
      </c>
      <c r="H879" t="str">
        <f>"0"</f>
        <v>0</v>
      </c>
      <c r="I879" t="str">
        <f t="shared" si="425"/>
        <v>CONTA OPTICA</v>
      </c>
      <c r="J879" t="str">
        <f>"MICAELLA SCHMITZ PINHEIRO E CIA LTDA"</f>
        <v>MICAELLA SCHMITZ PINHEIRO E CIA LTDA</v>
      </c>
      <c r="K879" t="str">
        <f>"OTICA ESTEIO (4088)"</f>
        <v>OTICA ESTEIO (4088)</v>
      </c>
      <c r="L879" t="str">
        <f>""</f>
        <v/>
      </c>
      <c r="M879" t="str">
        <f>""</f>
        <v/>
      </c>
      <c r="N879" t="str">
        <f>"OTICAESTEIOLAGUNA@GMAIL.COM"</f>
        <v>OTICAESTEIOLAGUNA@GMAIL.COM</v>
      </c>
      <c r="O879" t="str">
        <f>""</f>
        <v/>
      </c>
      <c r="P879" t="str">
        <f>"RUA RAULINO HORN"</f>
        <v>RUA RAULINO HORN</v>
      </c>
      <c r="Q879" t="str">
        <f>"41"</f>
        <v>41</v>
      </c>
      <c r="R879" t="str">
        <f>""</f>
        <v/>
      </c>
      <c r="S879" t="str">
        <f>"1268"</f>
        <v>1268</v>
      </c>
      <c r="T879" t="str">
        <f>"88790000"</f>
        <v>88790000</v>
      </c>
      <c r="U879" t="str">
        <f>"CENTRO"</f>
        <v>CENTRO</v>
      </c>
      <c r="V879" t="str">
        <f>"LAGUNA"</f>
        <v>LAGUNA</v>
      </c>
      <c r="W879" t="str">
        <f t="shared" si="441"/>
        <v>SC</v>
      </c>
      <c r="X879" t="str">
        <f t="shared" si="444"/>
        <v>48</v>
      </c>
      <c r="Y879" t="str">
        <f>"36440804"</f>
        <v>36440804</v>
      </c>
      <c r="Z879" t="str">
        <f>""</f>
        <v/>
      </c>
      <c r="AA879" t="str">
        <f>""</f>
        <v/>
      </c>
      <c r="AB879" t="str">
        <f>""</f>
        <v/>
      </c>
      <c r="AC879" t="str">
        <f>""</f>
        <v/>
      </c>
      <c r="AD879" t="str">
        <f>""</f>
        <v/>
      </c>
      <c r="AE879" t="str">
        <f>""</f>
        <v/>
      </c>
      <c r="AF879" t="str">
        <f>""</f>
        <v/>
      </c>
      <c r="AG879" t="str">
        <f>""</f>
        <v/>
      </c>
      <c r="AH879" t="str">
        <f>""</f>
        <v/>
      </c>
      <c r="AI879" t="str">
        <f>""</f>
        <v/>
      </c>
      <c r="AJ879" t="str">
        <f>""</f>
        <v/>
      </c>
      <c r="AK879" t="str">
        <f>""</f>
        <v/>
      </c>
      <c r="AL879" t="str">
        <f>""</f>
        <v/>
      </c>
      <c r="AM879" t="str">
        <f>""</f>
        <v/>
      </c>
      <c r="AN879" t="str">
        <f>""</f>
        <v/>
      </c>
      <c r="AO879" t="str">
        <f>""</f>
        <v/>
      </c>
      <c r="AP879" t="str">
        <f>""</f>
        <v/>
      </c>
      <c r="AQ879" t="str">
        <f>""</f>
        <v/>
      </c>
      <c r="AR879" t="str">
        <f>""</f>
        <v/>
      </c>
      <c r="AS879" t="str">
        <f>""</f>
        <v/>
      </c>
      <c r="AT879" t="str">
        <f>""</f>
        <v/>
      </c>
      <c r="AU879" t="str">
        <f>""</f>
        <v/>
      </c>
      <c r="AV879" t="str">
        <f>""</f>
        <v/>
      </c>
      <c r="AW879" t="str">
        <f>""</f>
        <v/>
      </c>
      <c r="AX879" t="str">
        <f>""</f>
        <v/>
      </c>
      <c r="AY879" t="str">
        <f>""</f>
        <v/>
      </c>
      <c r="AZ879" t="str">
        <f>""</f>
        <v/>
      </c>
      <c r="BA879" t="str">
        <f>""</f>
        <v/>
      </c>
      <c r="BB879" t="str">
        <f>"11/07/2023 02:19:56"</f>
        <v>11/07/2023 02:19:56</v>
      </c>
      <c r="BC879" t="str">
        <f>""</f>
        <v/>
      </c>
      <c r="BD879" t="str">
        <f>""</f>
        <v/>
      </c>
      <c r="BE879" t="str">
        <f>""</f>
        <v/>
      </c>
      <c r="BF879" t="str">
        <f t="shared" si="426"/>
        <v>A</v>
      </c>
      <c r="BG879" t="str">
        <f>""</f>
        <v/>
      </c>
      <c r="BH879" t="str">
        <f>""</f>
        <v/>
      </c>
      <c r="BI879" t="str">
        <f t="shared" si="443"/>
        <v>EVENTUAL</v>
      </c>
      <c r="BJ879" t="str">
        <f t="shared" si="427"/>
        <v>1</v>
      </c>
      <c r="BK879" t="str">
        <f t="shared" si="428"/>
        <v>Farmacia</v>
      </c>
      <c r="BL879" t="str">
        <f>""</f>
        <v/>
      </c>
      <c r="BM879" t="str">
        <f>""</f>
        <v/>
      </c>
      <c r="BN879" t="str">
        <f>""</f>
        <v/>
      </c>
      <c r="BO879" t="str">
        <f>""</f>
        <v/>
      </c>
      <c r="BP879" t="str">
        <f>""</f>
        <v/>
      </c>
      <c r="BQ879" t="str">
        <f>""</f>
        <v/>
      </c>
      <c r="BR879" t="str">
        <f>"11/07/2023"</f>
        <v>11/07/2023</v>
      </c>
      <c r="BS879" t="str">
        <f>""</f>
        <v/>
      </c>
      <c r="BT879" t="str">
        <f>""</f>
        <v/>
      </c>
      <c r="BU879" t="str">
        <f>""</f>
        <v/>
      </c>
      <c r="BV879" t="str">
        <f>""</f>
        <v/>
      </c>
      <c r="BW879" t="str">
        <f>"Não visitado"</f>
        <v>Não visitado</v>
      </c>
    </row>
    <row r="880" spans="1:75" x14ac:dyDescent="0.35">
      <c r="A880">
        <v>152742</v>
      </c>
      <c r="B880" t="str">
        <f t="shared" si="423"/>
        <v>A</v>
      </c>
      <c r="C880" t="str">
        <f t="shared" si="424"/>
        <v>80</v>
      </c>
      <c r="D880" t="str">
        <f t="shared" si="417"/>
        <v>11121002</v>
      </c>
      <c r="E880" t="str">
        <f t="shared" si="418"/>
        <v>121002</v>
      </c>
      <c r="F880" t="str">
        <f t="shared" si="419"/>
        <v>CINTHIA NORONHA</v>
      </c>
      <c r="G880" t="str">
        <f>"38429943000107"</f>
        <v>38429943000107</v>
      </c>
      <c r="H880" t="str">
        <f>"0"</f>
        <v>0</v>
      </c>
      <c r="I880" t="str">
        <f t="shared" si="425"/>
        <v>CONTA OPTICA</v>
      </c>
      <c r="J880" t="str">
        <f>"MICHEL PEREIRA BENINI 08867543997"</f>
        <v>MICHEL PEREIRA BENINI 08867543997</v>
      </c>
      <c r="K880" t="str">
        <f>"OTICA STELLA"</f>
        <v>OTICA STELLA</v>
      </c>
      <c r="L880" t="str">
        <f>""</f>
        <v/>
      </c>
      <c r="M880" t="str">
        <f>""</f>
        <v/>
      </c>
      <c r="N880" t="str">
        <f>"oticastellaadm@gmail.com"</f>
        <v>oticastellaadm@gmail.com</v>
      </c>
      <c r="O880" t="str">
        <f>""</f>
        <v/>
      </c>
      <c r="P880" t="str">
        <f>"RUA GENERAL LIBERATO BITTENCOURT"</f>
        <v>RUA GENERAL LIBERATO BITTENCOURT</v>
      </c>
      <c r="Q880" t="str">
        <f>"1602"</f>
        <v>1602</v>
      </c>
      <c r="R880" t="str">
        <f>""</f>
        <v/>
      </c>
      <c r="S880" t="str">
        <f>"1258"</f>
        <v>1258</v>
      </c>
      <c r="T880" t="str">
        <f>"88070800"</f>
        <v>88070800</v>
      </c>
      <c r="U880" t="str">
        <f>"CANTO"</f>
        <v>CANTO</v>
      </c>
      <c r="V880" t="str">
        <f>"FLORIANOPOLIS"</f>
        <v>FLORIANOPOLIS</v>
      </c>
      <c r="W880" t="str">
        <f t="shared" si="441"/>
        <v>SC</v>
      </c>
      <c r="X880" t="str">
        <f t="shared" si="444"/>
        <v>48</v>
      </c>
      <c r="Y880" t="str">
        <f>"998128524"</f>
        <v>998128524</v>
      </c>
      <c r="Z880" t="str">
        <f>""</f>
        <v/>
      </c>
      <c r="AA880" t="str">
        <f>""</f>
        <v/>
      </c>
      <c r="AB880" t="str">
        <f>""</f>
        <v/>
      </c>
      <c r="AC880" t="str">
        <f>""</f>
        <v/>
      </c>
      <c r="AD880" t="str">
        <f>""</f>
        <v/>
      </c>
      <c r="AE880" t="str">
        <f>""</f>
        <v/>
      </c>
      <c r="AF880" t="str">
        <f>""</f>
        <v/>
      </c>
      <c r="AG880" t="str">
        <f>""</f>
        <v/>
      </c>
      <c r="AH880" t="str">
        <f>""</f>
        <v/>
      </c>
      <c r="AI880" t="str">
        <f>""</f>
        <v/>
      </c>
      <c r="AJ880" t="str">
        <f>""</f>
        <v/>
      </c>
      <c r="AK880" t="str">
        <f>""</f>
        <v/>
      </c>
      <c r="AL880" t="str">
        <f>""</f>
        <v/>
      </c>
      <c r="AM880" t="str">
        <f>""</f>
        <v/>
      </c>
      <c r="AN880" t="str">
        <f>""</f>
        <v/>
      </c>
      <c r="AO880" t="str">
        <f>""</f>
        <v/>
      </c>
      <c r="AP880" t="str">
        <f>""</f>
        <v/>
      </c>
      <c r="AQ880" t="str">
        <f>""</f>
        <v/>
      </c>
      <c r="AR880" t="str">
        <f>""</f>
        <v/>
      </c>
      <c r="AS880" t="str">
        <f>""</f>
        <v/>
      </c>
      <c r="AT880" t="str">
        <f>""</f>
        <v/>
      </c>
      <c r="AU880" t="str">
        <f>""</f>
        <v/>
      </c>
      <c r="AV880" t="str">
        <f>""</f>
        <v/>
      </c>
      <c r="AW880" t="str">
        <f>""</f>
        <v/>
      </c>
      <c r="AX880" t="str">
        <f>""</f>
        <v/>
      </c>
      <c r="AY880" t="str">
        <f>""</f>
        <v/>
      </c>
      <c r="AZ880" t="str">
        <f>""</f>
        <v/>
      </c>
      <c r="BA880" t="str">
        <f>""</f>
        <v/>
      </c>
      <c r="BB880" t="str">
        <f>"03/04/2023 13:34:29"</f>
        <v>03/04/2023 13:34:29</v>
      </c>
      <c r="BC880" t="str">
        <f>""</f>
        <v/>
      </c>
      <c r="BD880" t="str">
        <f>""</f>
        <v/>
      </c>
      <c r="BE880" t="str">
        <f>""</f>
        <v/>
      </c>
      <c r="BF880" t="str">
        <f t="shared" si="426"/>
        <v>A</v>
      </c>
      <c r="BG880" t="str">
        <f>""</f>
        <v/>
      </c>
      <c r="BH880" t="str">
        <f>""</f>
        <v/>
      </c>
      <c r="BI880" t="str">
        <f t="shared" si="443"/>
        <v>EVENTUAL</v>
      </c>
      <c r="BJ880" t="str">
        <f t="shared" si="427"/>
        <v>1</v>
      </c>
      <c r="BK880" t="str">
        <f t="shared" si="428"/>
        <v>Farmacia</v>
      </c>
      <c r="BL880" t="str">
        <f>""</f>
        <v/>
      </c>
      <c r="BM880" t="str">
        <f>""</f>
        <v/>
      </c>
      <c r="BN880" t="str">
        <f>""</f>
        <v/>
      </c>
      <c r="BO880" t="str">
        <f>""</f>
        <v/>
      </c>
      <c r="BP880" t="str">
        <f>""</f>
        <v/>
      </c>
      <c r="BQ880" t="str">
        <f>""</f>
        <v/>
      </c>
      <c r="BR880" t="str">
        <f>"03/04/2023"</f>
        <v>03/04/2023</v>
      </c>
      <c r="BS880" t="str">
        <f>""</f>
        <v/>
      </c>
      <c r="BT880" t="str">
        <f>""</f>
        <v/>
      </c>
      <c r="BU880" t="str">
        <f>""</f>
        <v/>
      </c>
      <c r="BV880" t="str">
        <f>""</f>
        <v/>
      </c>
      <c r="BW880" t="str">
        <f>"Não visitado"</f>
        <v>Não visitado</v>
      </c>
    </row>
    <row r="881" spans="1:75" x14ac:dyDescent="0.35">
      <c r="A881">
        <v>36</v>
      </c>
      <c r="B881" t="str">
        <f t="shared" si="423"/>
        <v>A</v>
      </c>
      <c r="C881" t="str">
        <f t="shared" si="424"/>
        <v>80</v>
      </c>
      <c r="D881" t="str">
        <f t="shared" si="417"/>
        <v>11121002</v>
      </c>
      <c r="E881" t="str">
        <f t="shared" si="418"/>
        <v>121002</v>
      </c>
      <c r="F881" t="str">
        <f t="shared" si="419"/>
        <v>CINTHIA NORONHA</v>
      </c>
      <c r="G881" t="str">
        <f>"03799466000197"</f>
        <v>03799466000197</v>
      </c>
      <c r="H881" t="str">
        <f>""</f>
        <v/>
      </c>
      <c r="I881" t="str">
        <f t="shared" si="425"/>
        <v>CONTA OPTICA</v>
      </c>
      <c r="J881" t="str">
        <f>"MICHELS RELOJOARIA E OTICA"</f>
        <v>MICHELS RELOJOARIA E OTICA</v>
      </c>
      <c r="K881" t="str">
        <f>"MICHELS RELOJOARIA E OTICA (1987)"</f>
        <v>MICHELS RELOJOARIA E OTICA (1987)</v>
      </c>
      <c r="L881" t="str">
        <f>""</f>
        <v/>
      </c>
      <c r="M881" t="str">
        <f>""</f>
        <v/>
      </c>
      <c r="N881" t="str">
        <f>"omichels@hotmail.com"</f>
        <v>omichels@hotmail.com</v>
      </c>
      <c r="O881" t="str">
        <f>""</f>
        <v/>
      </c>
      <c r="P881" t="str">
        <f>"RUA CEL. PEDRO BENEDET"</f>
        <v>RUA CEL. PEDRO BENEDET</v>
      </c>
      <c r="Q881" t="str">
        <f>"522"</f>
        <v>522</v>
      </c>
      <c r="R881" t="str">
        <f>""</f>
        <v/>
      </c>
      <c r="S881" t="str">
        <f>"1269"</f>
        <v>1269</v>
      </c>
      <c r="T881" t="str">
        <f>"88801250"</f>
        <v>88801250</v>
      </c>
      <c r="U881" t="str">
        <f>"CENTRO"</f>
        <v>CENTRO</v>
      </c>
      <c r="V881" t="str">
        <f>"CRICIÚMA"</f>
        <v>CRICIÚMA</v>
      </c>
      <c r="W881" t="str">
        <f t="shared" si="441"/>
        <v>SC</v>
      </c>
      <c r="X881" t="str">
        <f t="shared" si="444"/>
        <v>48</v>
      </c>
      <c r="Y881" t="str">
        <f>"34330140"</f>
        <v>34330140</v>
      </c>
      <c r="Z881" t="str">
        <f>""</f>
        <v/>
      </c>
      <c r="AA881" t="str">
        <f>""</f>
        <v/>
      </c>
      <c r="AB881" t="str">
        <f>""</f>
        <v/>
      </c>
      <c r="AC881" t="str">
        <f>""</f>
        <v/>
      </c>
      <c r="AD881" t="str">
        <f>""</f>
        <v/>
      </c>
      <c r="AE881" t="str">
        <f>""</f>
        <v/>
      </c>
      <c r="AF881" t="str">
        <f>""</f>
        <v/>
      </c>
      <c r="AG881" t="str">
        <f>""</f>
        <v/>
      </c>
      <c r="AH881" t="str">
        <f>""</f>
        <v/>
      </c>
      <c r="AI881" t="str">
        <f>""</f>
        <v/>
      </c>
      <c r="AJ881" t="str">
        <f>"0"</f>
        <v>0</v>
      </c>
      <c r="AK881" t="str">
        <f>"0"</f>
        <v>0</v>
      </c>
      <c r="AL881" t="str">
        <f>"0"</f>
        <v>0</v>
      </c>
      <c r="AM881" t="str">
        <f>""</f>
        <v/>
      </c>
      <c r="AN881" t="str">
        <f>""</f>
        <v/>
      </c>
      <c r="AO881" t="str">
        <f>""</f>
        <v/>
      </c>
      <c r="AP881" t="str">
        <f>""</f>
        <v/>
      </c>
      <c r="AQ881" t="str">
        <f>""</f>
        <v/>
      </c>
      <c r="AR881" t="str">
        <f>""</f>
        <v/>
      </c>
      <c r="AS881" t="str">
        <f>""</f>
        <v/>
      </c>
      <c r="AT881" t="str">
        <f>""</f>
        <v/>
      </c>
      <c r="AU881" t="str">
        <f>""</f>
        <v/>
      </c>
      <c r="AV881" t="str">
        <f>""</f>
        <v/>
      </c>
      <c r="AW881" t="str">
        <f>""</f>
        <v/>
      </c>
      <c r="AX881" t="str">
        <f>""</f>
        <v/>
      </c>
      <c r="AY881" t="str">
        <f>""</f>
        <v/>
      </c>
      <c r="AZ881" t="str">
        <f>""</f>
        <v/>
      </c>
      <c r="BA881" t="str">
        <f>""</f>
        <v/>
      </c>
      <c r="BB881" t="str">
        <f>"27/07/2018 09:25:31"</f>
        <v>27/07/2018 09:25:31</v>
      </c>
      <c r="BC881" t="str">
        <f>""</f>
        <v/>
      </c>
      <c r="BD881" t="str">
        <f>""</f>
        <v/>
      </c>
      <c r="BE881" t="str">
        <f>"36"</f>
        <v>36</v>
      </c>
      <c r="BF881" t="str">
        <f t="shared" si="426"/>
        <v>A</v>
      </c>
      <c r="BG881" t="str">
        <f>"0,00"</f>
        <v>0,00</v>
      </c>
      <c r="BH881" t="str">
        <f>"0,00"</f>
        <v>0,00</v>
      </c>
      <c r="BI881" t="str">
        <f t="shared" si="443"/>
        <v>EVENTUAL</v>
      </c>
      <c r="BJ881" t="str">
        <f t="shared" si="427"/>
        <v>1</v>
      </c>
      <c r="BK881" t="str">
        <f t="shared" si="428"/>
        <v>Farmacia</v>
      </c>
      <c r="BL881" t="str">
        <f>""</f>
        <v/>
      </c>
      <c r="BM881" t="str">
        <f>"NÃO É VARILUX ESPECIALISTA"</f>
        <v>NÃO É VARILUX ESPECIALISTA</v>
      </c>
      <c r="BN881" t="str">
        <f>"NA"</f>
        <v>NA</v>
      </c>
      <c r="BO881" t="str">
        <f>"FOCO VARILUX DIGITAL"</f>
        <v>FOCO VARILUX DIGITAL</v>
      </c>
      <c r="BP881" t="str">
        <f>""</f>
        <v/>
      </c>
      <c r="BQ881" t="str">
        <f>""</f>
        <v/>
      </c>
      <c r="BR881" t="str">
        <f>"27/07/2018"</f>
        <v>27/07/2018</v>
      </c>
      <c r="BS881" t="str">
        <f>""</f>
        <v/>
      </c>
      <c r="BT881" t="str">
        <f>""</f>
        <v/>
      </c>
      <c r="BU881" t="str">
        <f>""</f>
        <v/>
      </c>
      <c r="BV881" t="str">
        <f>"5"</f>
        <v>5</v>
      </c>
      <c r="BW881" t="str">
        <f>"14"</f>
        <v>14</v>
      </c>
    </row>
    <row r="882" spans="1:75" x14ac:dyDescent="0.35">
      <c r="A882">
        <v>152767</v>
      </c>
      <c r="B882" t="str">
        <f t="shared" si="423"/>
        <v>A</v>
      </c>
      <c r="C882" t="str">
        <f t="shared" si="424"/>
        <v>80</v>
      </c>
      <c r="D882" t="str">
        <f t="shared" si="417"/>
        <v>11121002</v>
      </c>
      <c r="E882" t="str">
        <f t="shared" si="418"/>
        <v>121002</v>
      </c>
      <c r="F882" t="str">
        <f t="shared" si="419"/>
        <v>CINTHIA NORONHA</v>
      </c>
      <c r="G882" t="str">
        <f>"46424765000150"</f>
        <v>46424765000150</v>
      </c>
      <c r="H882" t="str">
        <f>"0"</f>
        <v>0</v>
      </c>
      <c r="I882" t="str">
        <f t="shared" si="425"/>
        <v>CONTA OPTICA</v>
      </c>
      <c r="J882" t="str">
        <f>"MIRA JOALHERIA E OTICA LTDA"</f>
        <v>MIRA JOALHERIA E OTICA LTDA</v>
      </c>
      <c r="K882" t="str">
        <f>"OJO BY MR RAY (SAO JOSE)"</f>
        <v>OJO BY MR RAY (SAO JOSE)</v>
      </c>
      <c r="L882" t="str">
        <f>""</f>
        <v/>
      </c>
      <c r="M882" t="str">
        <f>""</f>
        <v/>
      </c>
      <c r="N882" t="str">
        <f>"enzo@ojomrray.com.br"</f>
        <v>enzo@ojomrray.com.br</v>
      </c>
      <c r="O882" t="str">
        <f>""</f>
        <v/>
      </c>
      <c r="P882" t="str">
        <f>"RODOVIA BR-101"</f>
        <v>RODOVIA BR-101</v>
      </c>
      <c r="Q882" t="str">
        <f>"SN"</f>
        <v>SN</v>
      </c>
      <c r="R882" t="str">
        <f>"LOJA 117"</f>
        <v>LOJA 117</v>
      </c>
      <c r="S882" t="str">
        <f>"1259"</f>
        <v>1259</v>
      </c>
      <c r="T882" t="str">
        <f>"88104800"</f>
        <v>88104800</v>
      </c>
      <c r="U882" t="str">
        <f>"DISTRITO INDUSTRIAL"</f>
        <v>DISTRITO INDUSTRIAL</v>
      </c>
      <c r="V882" t="str">
        <f>"SAO JOSE"</f>
        <v>SAO JOSE</v>
      </c>
      <c r="W882" t="str">
        <f t="shared" si="441"/>
        <v>SC</v>
      </c>
      <c r="X882" t="str">
        <f>"51"</f>
        <v>51</v>
      </c>
      <c r="Y882" t="str">
        <f>"999090271"</f>
        <v>999090271</v>
      </c>
      <c r="Z882" t="str">
        <f>""</f>
        <v/>
      </c>
      <c r="AA882" t="str">
        <f>""</f>
        <v/>
      </c>
      <c r="AB882" t="str">
        <f>""</f>
        <v/>
      </c>
      <c r="AC882" t="str">
        <f>""</f>
        <v/>
      </c>
      <c r="AD882" t="str">
        <f>""</f>
        <v/>
      </c>
      <c r="AE882" t="str">
        <f>""</f>
        <v/>
      </c>
      <c r="AF882" t="str">
        <f>""</f>
        <v/>
      </c>
      <c r="AG882" t="str">
        <f>""</f>
        <v/>
      </c>
      <c r="AH882" t="str">
        <f>""</f>
        <v/>
      </c>
      <c r="AI882" t="str">
        <f>""</f>
        <v/>
      </c>
      <c r="AJ882" t="str">
        <f>""</f>
        <v/>
      </c>
      <c r="AK882" t="str">
        <f>""</f>
        <v/>
      </c>
      <c r="AL882" t="str">
        <f>""</f>
        <v/>
      </c>
      <c r="AM882" t="str">
        <f>""</f>
        <v/>
      </c>
      <c r="AN882" t="str">
        <f>""</f>
        <v/>
      </c>
      <c r="AO882" t="str">
        <f>""</f>
        <v/>
      </c>
      <c r="AP882" t="str">
        <f>""</f>
        <v/>
      </c>
      <c r="AQ882" t="str">
        <f>""</f>
        <v/>
      </c>
      <c r="AR882" t="str">
        <f>""</f>
        <v/>
      </c>
      <c r="AS882" t="str">
        <f>""</f>
        <v/>
      </c>
      <c r="AT882" t="str">
        <f>""</f>
        <v/>
      </c>
      <c r="AU882" t="str">
        <f>""</f>
        <v/>
      </c>
      <c r="AV882" t="str">
        <f>""</f>
        <v/>
      </c>
      <c r="AW882" t="str">
        <f>""</f>
        <v/>
      </c>
      <c r="AX882" t="str">
        <f>""</f>
        <v/>
      </c>
      <c r="AY882" t="str">
        <f>""</f>
        <v/>
      </c>
      <c r="AZ882" t="str">
        <f>""</f>
        <v/>
      </c>
      <c r="BA882" t="str">
        <f>""</f>
        <v/>
      </c>
      <c r="BB882" t="str">
        <f>"03/04/2023 13:34:29"</f>
        <v>03/04/2023 13:34:29</v>
      </c>
      <c r="BC882" t="str">
        <f>""</f>
        <v/>
      </c>
      <c r="BD882" t="str">
        <f>""</f>
        <v/>
      </c>
      <c r="BE882" t="str">
        <f>""</f>
        <v/>
      </c>
      <c r="BF882" t="str">
        <f t="shared" si="426"/>
        <v>A</v>
      </c>
      <c r="BG882" t="str">
        <f>""</f>
        <v/>
      </c>
      <c r="BH882" t="str">
        <f>""</f>
        <v/>
      </c>
      <c r="BI882" t="str">
        <f t="shared" si="443"/>
        <v>EVENTUAL</v>
      </c>
      <c r="BJ882" t="str">
        <f t="shared" si="427"/>
        <v>1</v>
      </c>
      <c r="BK882" t="str">
        <f t="shared" si="428"/>
        <v>Farmacia</v>
      </c>
      <c r="BL882" t="str">
        <f>""</f>
        <v/>
      </c>
      <c r="BM882" t="str">
        <f>""</f>
        <v/>
      </c>
      <c r="BN882" t="str">
        <f>""</f>
        <v/>
      </c>
      <c r="BO882" t="str">
        <f>""</f>
        <v/>
      </c>
      <c r="BP882" t="str">
        <f>""</f>
        <v/>
      </c>
      <c r="BQ882" t="str">
        <f>""</f>
        <v/>
      </c>
      <c r="BR882" t="str">
        <f>"03/04/2023"</f>
        <v>03/04/2023</v>
      </c>
      <c r="BS882" t="str">
        <f>""</f>
        <v/>
      </c>
      <c r="BT882" t="str">
        <f>""</f>
        <v/>
      </c>
      <c r="BU882" t="str">
        <f>""</f>
        <v/>
      </c>
      <c r="BV882" t="str">
        <f>""</f>
        <v/>
      </c>
      <c r="BW882" t="str">
        <f>"Não visitado"</f>
        <v>Não visitado</v>
      </c>
    </row>
    <row r="883" spans="1:75" x14ac:dyDescent="0.35">
      <c r="A883">
        <v>144347</v>
      </c>
      <c r="B883" t="str">
        <f t="shared" si="423"/>
        <v>A</v>
      </c>
      <c r="C883" t="str">
        <f t="shared" si="424"/>
        <v>80</v>
      </c>
      <c r="D883" t="str">
        <f t="shared" si="417"/>
        <v>11121002</v>
      </c>
      <c r="E883" t="str">
        <f t="shared" si="418"/>
        <v>121002</v>
      </c>
      <c r="F883" t="str">
        <f t="shared" si="419"/>
        <v>CINTHIA NORONHA</v>
      </c>
      <c r="G883" t="str">
        <f>"20497781000189"</f>
        <v>20497781000189</v>
      </c>
      <c r="H883" t="str">
        <f>""</f>
        <v/>
      </c>
      <c r="I883" t="str">
        <f t="shared" si="425"/>
        <v>CONTA OPTICA</v>
      </c>
      <c r="J883" t="str">
        <f>"MODA OPTICA LTDA"</f>
        <v>MODA OPTICA LTDA</v>
      </c>
      <c r="K883" t="str">
        <f>"CRIS MODA OPTICA LTDA (2159)"</f>
        <v>CRIS MODA OPTICA LTDA (2159)</v>
      </c>
      <c r="L883" t="str">
        <f>""</f>
        <v/>
      </c>
      <c r="M883" t="str">
        <f>""</f>
        <v/>
      </c>
      <c r="N883" t="str">
        <f>"cris@crismodaoptica.com.br"</f>
        <v>cris@crismodaoptica.com.br</v>
      </c>
      <c r="O883" t="str">
        <f>""</f>
        <v/>
      </c>
      <c r="P883" t="str">
        <f>"RUA MARCOLINO MARTINS CABRAL"</f>
        <v>RUA MARCOLINO MARTINS CABRAL</v>
      </c>
      <c r="Q883" t="str">
        <f>"1085"</f>
        <v>1085</v>
      </c>
      <c r="R883" t="str">
        <f>"SALA 05"</f>
        <v>SALA 05</v>
      </c>
      <c r="S883" t="str">
        <f>"1268"</f>
        <v>1268</v>
      </c>
      <c r="T883" t="str">
        <f>"88701001"</f>
        <v>88701001</v>
      </c>
      <c r="U883" t="str">
        <f>"CENTRO"</f>
        <v>CENTRO</v>
      </c>
      <c r="V883" t="str">
        <f>"TUBARÃO"</f>
        <v>TUBARÃO</v>
      </c>
      <c r="W883" t="str">
        <f t="shared" si="441"/>
        <v>SC</v>
      </c>
      <c r="X883" t="str">
        <f>"48"</f>
        <v>48</v>
      </c>
      <c r="Y883" t="str">
        <f>"30522522"</f>
        <v>30522522</v>
      </c>
      <c r="Z883" t="str">
        <f>""</f>
        <v/>
      </c>
      <c r="AA883" t="str">
        <f>""</f>
        <v/>
      </c>
      <c r="AB883" t="str">
        <f>""</f>
        <v/>
      </c>
      <c r="AC883" t="str">
        <f>""</f>
        <v/>
      </c>
      <c r="AD883" t="str">
        <f>""</f>
        <v/>
      </c>
      <c r="AE883" t="str">
        <f>""</f>
        <v/>
      </c>
      <c r="AF883" t="str">
        <f>""</f>
        <v/>
      </c>
      <c r="AG883" t="str">
        <f>""</f>
        <v/>
      </c>
      <c r="AH883" t="str">
        <f>""</f>
        <v/>
      </c>
      <c r="AI883" t="str">
        <f>""</f>
        <v/>
      </c>
      <c r="AJ883" t="str">
        <f t="shared" ref="AJ883:AL884" si="445">"0"</f>
        <v>0</v>
      </c>
      <c r="AK883" t="str">
        <f t="shared" si="445"/>
        <v>0</v>
      </c>
      <c r="AL883" t="str">
        <f t="shared" si="445"/>
        <v>0</v>
      </c>
      <c r="AM883" t="str">
        <f>""</f>
        <v/>
      </c>
      <c r="AN883" t="str">
        <f>""</f>
        <v/>
      </c>
      <c r="AO883" t="str">
        <f>""</f>
        <v/>
      </c>
      <c r="AP883" t="str">
        <f>""</f>
        <v/>
      </c>
      <c r="AQ883" t="str">
        <f>""</f>
        <v/>
      </c>
      <c r="AR883" t="str">
        <f>""</f>
        <v/>
      </c>
      <c r="AS883" t="str">
        <f>""</f>
        <v/>
      </c>
      <c r="AT883" t="str">
        <f>""</f>
        <v/>
      </c>
      <c r="AU883" t="str">
        <f>""</f>
        <v/>
      </c>
      <c r="AV883" t="str">
        <f>""</f>
        <v/>
      </c>
      <c r="AW883" t="str">
        <f>""</f>
        <v/>
      </c>
      <c r="AX883" t="str">
        <f>""</f>
        <v/>
      </c>
      <c r="AY883" t="str">
        <f>""</f>
        <v/>
      </c>
      <c r="AZ883" t="str">
        <f>""</f>
        <v/>
      </c>
      <c r="BA883" t="str">
        <f>""</f>
        <v/>
      </c>
      <c r="BB883" t="str">
        <f>""</f>
        <v/>
      </c>
      <c r="BC883" t="str">
        <f>""</f>
        <v/>
      </c>
      <c r="BD883" t="str">
        <f>""</f>
        <v/>
      </c>
      <c r="BE883" t="str">
        <f>""</f>
        <v/>
      </c>
      <c r="BF883" t="str">
        <f t="shared" si="426"/>
        <v>A</v>
      </c>
      <c r="BG883" t="str">
        <f>"0,00"</f>
        <v>0,00</v>
      </c>
      <c r="BH883" t="str">
        <f>"0,00"</f>
        <v>0,00</v>
      </c>
      <c r="BI883" t="str">
        <f t="shared" si="443"/>
        <v>EVENTUAL</v>
      </c>
      <c r="BJ883" t="str">
        <f t="shared" si="427"/>
        <v>1</v>
      </c>
      <c r="BK883" t="str">
        <f t="shared" si="428"/>
        <v>Farmacia</v>
      </c>
      <c r="BL883" t="str">
        <f>""</f>
        <v/>
      </c>
      <c r="BM883" t="str">
        <f>"NÃO É VARILUX ESPECIALISTA"</f>
        <v>NÃO É VARILUX ESPECIALISTA</v>
      </c>
      <c r="BN883" t="str">
        <f>"NA"</f>
        <v>NA</v>
      </c>
      <c r="BO883" t="str">
        <f>"FOCO VARILUX"</f>
        <v>FOCO VARILUX</v>
      </c>
      <c r="BP883" t="str">
        <f>""</f>
        <v/>
      </c>
      <c r="BQ883" t="str">
        <f>""</f>
        <v/>
      </c>
      <c r="BR883" t="str">
        <f>""</f>
        <v/>
      </c>
      <c r="BS883" t="str">
        <f>""</f>
        <v/>
      </c>
      <c r="BT883" t="str">
        <f>""</f>
        <v/>
      </c>
      <c r="BU883" t="str">
        <f>""</f>
        <v/>
      </c>
      <c r="BV883" t="str">
        <f>"9"</f>
        <v>9</v>
      </c>
      <c r="BW883" t="str">
        <f>"179"</f>
        <v>179</v>
      </c>
    </row>
    <row r="884" spans="1:75" x14ac:dyDescent="0.35">
      <c r="A884">
        <v>127436</v>
      </c>
      <c r="B884" t="str">
        <f t="shared" si="423"/>
        <v>A</v>
      </c>
      <c r="C884" t="str">
        <f t="shared" si="424"/>
        <v>80</v>
      </c>
      <c r="D884" t="str">
        <f t="shared" ref="D884:D947" si="446">"11121002"</f>
        <v>11121002</v>
      </c>
      <c r="E884" t="str">
        <f t="shared" ref="E884:E947" si="447">"121002"</f>
        <v>121002</v>
      </c>
      <c r="F884" t="str">
        <f t="shared" ref="F884:F947" si="448">"CINTHIA NORONHA"</f>
        <v>CINTHIA NORONHA</v>
      </c>
      <c r="G884" t="str">
        <f>"02091400000185"</f>
        <v>02091400000185</v>
      </c>
      <c r="H884" t="str">
        <f>"0"</f>
        <v>0</v>
      </c>
      <c r="I884" t="str">
        <f t="shared" si="425"/>
        <v>CONTA OPTICA</v>
      </c>
      <c r="J884" t="str">
        <f>"MONDO JOALHERIA E OPTICA LTDA"</f>
        <v>MONDO JOALHERIA E OPTICA LTDA</v>
      </c>
      <c r="K884" t="str">
        <f>"MONDO JOALHERIA E OPTICA (2006)"</f>
        <v>MONDO JOALHERIA E OPTICA (2006)</v>
      </c>
      <c r="L884" t="str">
        <f>""</f>
        <v/>
      </c>
      <c r="M884" t="str">
        <f>""</f>
        <v/>
      </c>
      <c r="N884" t="str">
        <f>"mondojoalheriaeoptica@hotmail.com"</f>
        <v>mondojoalheriaeoptica@hotmail.com</v>
      </c>
      <c r="O884" t="str">
        <f>""</f>
        <v/>
      </c>
      <c r="P884" t="str">
        <f>"RUA ARISTILIANO RAMOS"</f>
        <v>RUA ARISTILIANO RAMOS</v>
      </c>
      <c r="Q884" t="str">
        <f>"539"</f>
        <v>539</v>
      </c>
      <c r="R884" t="str">
        <f>"SALA 2"</f>
        <v>SALA 2</v>
      </c>
      <c r="S884" t="str">
        <f>"1269"</f>
        <v>1269</v>
      </c>
      <c r="T884" t="str">
        <f>"88870000"</f>
        <v>88870000</v>
      </c>
      <c r="U884" t="str">
        <f>"CENTRO"</f>
        <v>CENTRO</v>
      </c>
      <c r="V884" t="str">
        <f>"ORLEANS"</f>
        <v>ORLEANS</v>
      </c>
      <c r="W884" t="str">
        <f t="shared" si="441"/>
        <v>SC</v>
      </c>
      <c r="X884" t="str">
        <f>"48"</f>
        <v>48</v>
      </c>
      <c r="Y884" t="str">
        <f>"34660329"</f>
        <v>34660329</v>
      </c>
      <c r="Z884" t="str">
        <f>""</f>
        <v/>
      </c>
      <c r="AA884" t="str">
        <f>""</f>
        <v/>
      </c>
      <c r="AB884" t="str">
        <f>""</f>
        <v/>
      </c>
      <c r="AC884" t="str">
        <f>""</f>
        <v/>
      </c>
      <c r="AD884" t="str">
        <f>""</f>
        <v/>
      </c>
      <c r="AE884" t="str">
        <f>""</f>
        <v/>
      </c>
      <c r="AF884" t="str">
        <f>""</f>
        <v/>
      </c>
      <c r="AG884" t="str">
        <f>""</f>
        <v/>
      </c>
      <c r="AH884" t="str">
        <f>""</f>
        <v/>
      </c>
      <c r="AI884" t="str">
        <f>""</f>
        <v/>
      </c>
      <c r="AJ884" t="str">
        <f t="shared" si="445"/>
        <v>0</v>
      </c>
      <c r="AK884" t="str">
        <f t="shared" si="445"/>
        <v>0</v>
      </c>
      <c r="AL884" t="str">
        <f t="shared" si="445"/>
        <v>0</v>
      </c>
      <c r="AM884" t="str">
        <f>""</f>
        <v/>
      </c>
      <c r="AN884" t="str">
        <f>""</f>
        <v/>
      </c>
      <c r="AO884" t="str">
        <f>""</f>
        <v/>
      </c>
      <c r="AP884" t="str">
        <f>""</f>
        <v/>
      </c>
      <c r="AQ884" t="str">
        <f>""</f>
        <v/>
      </c>
      <c r="AR884" t="str">
        <f>""</f>
        <v/>
      </c>
      <c r="AS884" t="str">
        <f>""</f>
        <v/>
      </c>
      <c r="AT884" t="str">
        <f>""</f>
        <v/>
      </c>
      <c r="AU884" t="str">
        <f>""</f>
        <v/>
      </c>
      <c r="AV884" t="str">
        <f>""</f>
        <v/>
      </c>
      <c r="AW884" t="str">
        <f>""</f>
        <v/>
      </c>
      <c r="AX884" t="str">
        <f>""</f>
        <v/>
      </c>
      <c r="AY884" t="str">
        <f>""</f>
        <v/>
      </c>
      <c r="AZ884" t="str">
        <f>""</f>
        <v/>
      </c>
      <c r="BA884" t="str">
        <f>""</f>
        <v/>
      </c>
      <c r="BB884" t="str">
        <f>"07/10/2020 09:08:38"</f>
        <v>07/10/2020 09:08:38</v>
      </c>
      <c r="BC884" t="str">
        <f>""</f>
        <v/>
      </c>
      <c r="BD884" t="str">
        <f>""</f>
        <v/>
      </c>
      <c r="BE884" t="str">
        <f>""</f>
        <v/>
      </c>
      <c r="BF884" t="str">
        <f t="shared" si="426"/>
        <v>A</v>
      </c>
      <c r="BG884" t="str">
        <f>"0,00"</f>
        <v>0,00</v>
      </c>
      <c r="BH884" t="str">
        <f>"0,00"</f>
        <v>0,00</v>
      </c>
      <c r="BI884" t="str">
        <f t="shared" si="443"/>
        <v>EVENTUAL</v>
      </c>
      <c r="BJ884" t="str">
        <f t="shared" si="427"/>
        <v>1</v>
      </c>
      <c r="BK884" t="str">
        <f t="shared" si="428"/>
        <v>Farmacia</v>
      </c>
      <c r="BL884" t="str">
        <f>""</f>
        <v/>
      </c>
      <c r="BM884" t="str">
        <f>"NÃO É VARILUX ESPECIALISTA"</f>
        <v>NÃO É VARILUX ESPECIALISTA</v>
      </c>
      <c r="BN884" t="str">
        <f>"NA"</f>
        <v>NA</v>
      </c>
      <c r="BO884" t="str">
        <f>"FOCO VARILUX"</f>
        <v>FOCO VARILUX</v>
      </c>
      <c r="BP884" t="str">
        <f>""</f>
        <v/>
      </c>
      <c r="BQ884" t="str">
        <f>""</f>
        <v/>
      </c>
      <c r="BR884" t="str">
        <f>"07/10/2020"</f>
        <v>07/10/2020</v>
      </c>
      <c r="BS884" t="str">
        <f>""</f>
        <v/>
      </c>
      <c r="BT884" t="str">
        <f>""</f>
        <v/>
      </c>
      <c r="BU884" t="str">
        <f>""</f>
        <v/>
      </c>
      <c r="BV884" t="str">
        <f>"9"</f>
        <v>9</v>
      </c>
      <c r="BW884" t="str">
        <f>"Não visitado"</f>
        <v>Não visitado</v>
      </c>
    </row>
    <row r="885" spans="1:75" x14ac:dyDescent="0.35">
      <c r="A885">
        <v>152749</v>
      </c>
      <c r="B885" t="str">
        <f t="shared" si="423"/>
        <v>A</v>
      </c>
      <c r="C885" t="str">
        <f t="shared" si="424"/>
        <v>80</v>
      </c>
      <c r="D885" t="str">
        <f t="shared" si="446"/>
        <v>11121002</v>
      </c>
      <c r="E885" t="str">
        <f t="shared" si="447"/>
        <v>121002</v>
      </c>
      <c r="F885" t="str">
        <f t="shared" si="448"/>
        <v>CINTHIA NORONHA</v>
      </c>
      <c r="G885" t="str">
        <f>"22543253000144"</f>
        <v>22543253000144</v>
      </c>
      <c r="H885" t="str">
        <f>"0"</f>
        <v>0</v>
      </c>
      <c r="I885" t="str">
        <f t="shared" si="425"/>
        <v>CONTA OPTICA</v>
      </c>
      <c r="J885" t="str">
        <f>"MONIQUE VIEIRA SANTAROSA ME"</f>
        <v>MONIQUE VIEIRA SANTAROSA ME</v>
      </c>
      <c r="K885" t="str">
        <f>"MONIQUE VIEIRA SANTAROSA ME"</f>
        <v>MONIQUE VIEIRA SANTAROSA ME</v>
      </c>
      <c r="L885" t="str">
        <f>""</f>
        <v/>
      </c>
      <c r="M885" t="str">
        <f>""</f>
        <v/>
      </c>
      <c r="N885" t="str">
        <f>"artedoolhar@hotmail.com"</f>
        <v>artedoolhar@hotmail.com</v>
      </c>
      <c r="O885" t="str">
        <f>""</f>
        <v/>
      </c>
      <c r="P885" t="str">
        <f>"AVENIDA LEDIO JOAO MARTINS"</f>
        <v>AVENIDA LEDIO JOAO MARTINS</v>
      </c>
      <c r="Q885" t="str">
        <f>"209"</f>
        <v>209</v>
      </c>
      <c r="R885" t="str">
        <f>"SL SLJ"</f>
        <v>SL SLJ</v>
      </c>
      <c r="S885" t="str">
        <f>"1259"</f>
        <v>1259</v>
      </c>
      <c r="T885" t="str">
        <f>"88102000"</f>
        <v>88102000</v>
      </c>
      <c r="U885" t="str">
        <f>"KOBRASOL"</f>
        <v>KOBRASOL</v>
      </c>
      <c r="V885" t="str">
        <f>"SAO JOSE"</f>
        <v>SAO JOSE</v>
      </c>
      <c r="W885" t="str">
        <f t="shared" si="441"/>
        <v>SC</v>
      </c>
      <c r="X885" t="str">
        <f>""</f>
        <v/>
      </c>
      <c r="Y885" t="str">
        <f>""</f>
        <v/>
      </c>
      <c r="Z885" t="str">
        <f>""</f>
        <v/>
      </c>
      <c r="AA885" t="str">
        <f>""</f>
        <v/>
      </c>
      <c r="AB885" t="str">
        <f>""</f>
        <v/>
      </c>
      <c r="AC885" t="str">
        <f>""</f>
        <v/>
      </c>
      <c r="AD885" t="str">
        <f>""</f>
        <v/>
      </c>
      <c r="AE885" t="str">
        <f>""</f>
        <v/>
      </c>
      <c r="AF885" t="str">
        <f>""</f>
        <v/>
      </c>
      <c r="AG885" t="str">
        <f>""</f>
        <v/>
      </c>
      <c r="AH885" t="str">
        <f>""</f>
        <v/>
      </c>
      <c r="AI885" t="str">
        <f>""</f>
        <v/>
      </c>
      <c r="AJ885" t="str">
        <f>""</f>
        <v/>
      </c>
      <c r="AK885" t="str">
        <f>""</f>
        <v/>
      </c>
      <c r="AL885" t="str">
        <f>""</f>
        <v/>
      </c>
      <c r="AM885" t="str">
        <f>""</f>
        <v/>
      </c>
      <c r="AN885" t="str">
        <f>""</f>
        <v/>
      </c>
      <c r="AO885" t="str">
        <f>""</f>
        <v/>
      </c>
      <c r="AP885" t="str">
        <f>""</f>
        <v/>
      </c>
      <c r="AQ885" t="str">
        <f>""</f>
        <v/>
      </c>
      <c r="AR885" t="str">
        <f>""</f>
        <v/>
      </c>
      <c r="AS885" t="str">
        <f>""</f>
        <v/>
      </c>
      <c r="AT885" t="str">
        <f>""</f>
        <v/>
      </c>
      <c r="AU885" t="str">
        <f>""</f>
        <v/>
      </c>
      <c r="AV885" t="str">
        <f>""</f>
        <v/>
      </c>
      <c r="AW885" t="str">
        <f>""</f>
        <v/>
      </c>
      <c r="AX885" t="str">
        <f>""</f>
        <v/>
      </c>
      <c r="AY885" t="str">
        <f>""</f>
        <v/>
      </c>
      <c r="AZ885" t="str">
        <f>""</f>
        <v/>
      </c>
      <c r="BA885" t="str">
        <f>""</f>
        <v/>
      </c>
      <c r="BB885" t="str">
        <f>"03/04/2023 13:34:29"</f>
        <v>03/04/2023 13:34:29</v>
      </c>
      <c r="BC885" t="str">
        <f>""</f>
        <v/>
      </c>
      <c r="BD885" t="str">
        <f>""</f>
        <v/>
      </c>
      <c r="BE885" t="str">
        <f>""</f>
        <v/>
      </c>
      <c r="BF885" t="str">
        <f t="shared" si="426"/>
        <v>A</v>
      </c>
      <c r="BG885" t="str">
        <f>""</f>
        <v/>
      </c>
      <c r="BH885" t="str">
        <f>""</f>
        <v/>
      </c>
      <c r="BI885" t="str">
        <f t="shared" si="443"/>
        <v>EVENTUAL</v>
      </c>
      <c r="BJ885" t="str">
        <f t="shared" si="427"/>
        <v>1</v>
      </c>
      <c r="BK885" t="str">
        <f t="shared" si="428"/>
        <v>Farmacia</v>
      </c>
      <c r="BL885" t="str">
        <f>""</f>
        <v/>
      </c>
      <c r="BM885" t="str">
        <f>""</f>
        <v/>
      </c>
      <c r="BN885" t="str">
        <f>""</f>
        <v/>
      </c>
      <c r="BO885" t="str">
        <f>""</f>
        <v/>
      </c>
      <c r="BP885" t="str">
        <f>""</f>
        <v/>
      </c>
      <c r="BQ885" t="str">
        <f>""</f>
        <v/>
      </c>
      <c r="BR885" t="str">
        <f>"03/04/2023"</f>
        <v>03/04/2023</v>
      </c>
      <c r="BS885" t="str">
        <f>""</f>
        <v/>
      </c>
      <c r="BT885" t="str">
        <f>""</f>
        <v/>
      </c>
      <c r="BU885" t="str">
        <f>""</f>
        <v/>
      </c>
      <c r="BV885" t="str">
        <f>""</f>
        <v/>
      </c>
      <c r="BW885" t="str">
        <f>"Não visitado"</f>
        <v>Não visitado</v>
      </c>
    </row>
    <row r="886" spans="1:75" x14ac:dyDescent="0.35">
      <c r="A886">
        <v>157636</v>
      </c>
      <c r="B886" t="str">
        <f t="shared" si="423"/>
        <v>A</v>
      </c>
      <c r="C886" t="str">
        <f t="shared" si="424"/>
        <v>80</v>
      </c>
      <c r="D886" t="str">
        <f t="shared" si="446"/>
        <v>11121002</v>
      </c>
      <c r="E886" t="str">
        <f t="shared" si="447"/>
        <v>121002</v>
      </c>
      <c r="F886" t="str">
        <f t="shared" si="448"/>
        <v>CINTHIA NORONHA</v>
      </c>
      <c r="G886" t="str">
        <f>"00953862000139"</f>
        <v>00953862000139</v>
      </c>
      <c r="H886" t="str">
        <f>"0"</f>
        <v>0</v>
      </c>
      <c r="I886" t="str">
        <f t="shared" si="425"/>
        <v>CONTA OPTICA</v>
      </c>
      <c r="J886" t="str">
        <f>"MOVELMAQ EQUIP. P ESCRITORIO LT"</f>
        <v>MOVELMAQ EQUIP. P ESCRITORIO LT</v>
      </c>
      <c r="K886" t="str">
        <f>"MOVELMAQ EQUIP. P ESCRITORIO LT (11199)"</f>
        <v>MOVELMAQ EQUIP. P ESCRITORIO LT (11199)</v>
      </c>
      <c r="L886" t="str">
        <f>""</f>
        <v/>
      </c>
      <c r="M886" t="str">
        <f>""</f>
        <v/>
      </c>
      <c r="N886" t="str">
        <f>""</f>
        <v/>
      </c>
      <c r="O886" t="str">
        <f>""</f>
        <v/>
      </c>
      <c r="P886" t="str">
        <f>"CENTENARIO"</f>
        <v>CENTENARIO</v>
      </c>
      <c r="Q886" t="str">
        <f>"2657"</f>
        <v>2657</v>
      </c>
      <c r="R886" t="str">
        <f>""</f>
        <v/>
      </c>
      <c r="S886" t="str">
        <f>"1269"</f>
        <v>1269</v>
      </c>
      <c r="T886" t="str">
        <f>"88801040"</f>
        <v>88801040</v>
      </c>
      <c r="U886" t="str">
        <f>"CENTRO"</f>
        <v>CENTRO</v>
      </c>
      <c r="V886" t="str">
        <f>"CRICIUMA"</f>
        <v>CRICIUMA</v>
      </c>
      <c r="W886" t="str">
        <f t="shared" si="441"/>
        <v>SC</v>
      </c>
      <c r="X886" t="str">
        <f t="shared" ref="X886:X908" si="449">"48"</f>
        <v>48</v>
      </c>
      <c r="Y886" t="str">
        <f>"34330625"</f>
        <v>34330625</v>
      </c>
      <c r="Z886" t="str">
        <f>""</f>
        <v/>
      </c>
      <c r="AA886" t="str">
        <f>""</f>
        <v/>
      </c>
      <c r="AB886" t="str">
        <f>""</f>
        <v/>
      </c>
      <c r="AC886" t="str">
        <f>""</f>
        <v/>
      </c>
      <c r="AD886" t="str">
        <f>""</f>
        <v/>
      </c>
      <c r="AE886" t="str">
        <f>""</f>
        <v/>
      </c>
      <c r="AF886" t="str">
        <f>""</f>
        <v/>
      </c>
      <c r="AG886" t="str">
        <f>""</f>
        <v/>
      </c>
      <c r="AH886" t="str">
        <f>""</f>
        <v/>
      </c>
      <c r="AI886" t="str">
        <f>""</f>
        <v/>
      </c>
      <c r="AJ886" t="str">
        <f>""</f>
        <v/>
      </c>
      <c r="AK886" t="str">
        <f>""</f>
        <v/>
      </c>
      <c r="AL886" t="str">
        <f>""</f>
        <v/>
      </c>
      <c r="AM886" t="str">
        <f>""</f>
        <v/>
      </c>
      <c r="AN886" t="str">
        <f>""</f>
        <v/>
      </c>
      <c r="AO886" t="str">
        <f>""</f>
        <v/>
      </c>
      <c r="AP886" t="str">
        <f>""</f>
        <v/>
      </c>
      <c r="AQ886" t="str">
        <f>""</f>
        <v/>
      </c>
      <c r="AR886" t="str">
        <f>""</f>
        <v/>
      </c>
      <c r="AS886" t="str">
        <f>""</f>
        <v/>
      </c>
      <c r="AT886" t="str">
        <f>""</f>
        <v/>
      </c>
      <c r="AU886" t="str">
        <f>""</f>
        <v/>
      </c>
      <c r="AV886" t="str">
        <f>""</f>
        <v/>
      </c>
      <c r="AW886" t="str">
        <f>""</f>
        <v/>
      </c>
      <c r="AX886" t="str">
        <f>""</f>
        <v/>
      </c>
      <c r="AY886" t="str">
        <f>""</f>
        <v/>
      </c>
      <c r="AZ886" t="str">
        <f>""</f>
        <v/>
      </c>
      <c r="BA886" t="str">
        <f>""</f>
        <v/>
      </c>
      <c r="BB886" t="str">
        <f>"11/07/2023 02:19:56"</f>
        <v>11/07/2023 02:19:56</v>
      </c>
      <c r="BC886" t="str">
        <f>""</f>
        <v/>
      </c>
      <c r="BD886" t="str">
        <f>""</f>
        <v/>
      </c>
      <c r="BE886" t="str">
        <f>""</f>
        <v/>
      </c>
      <c r="BF886" t="str">
        <f t="shared" si="426"/>
        <v>A</v>
      </c>
      <c r="BG886" t="str">
        <f>""</f>
        <v/>
      </c>
      <c r="BH886" t="str">
        <f>""</f>
        <v/>
      </c>
      <c r="BI886" t="str">
        <f t="shared" si="443"/>
        <v>EVENTUAL</v>
      </c>
      <c r="BJ886" t="str">
        <f t="shared" si="427"/>
        <v>1</v>
      </c>
      <c r="BK886" t="str">
        <f t="shared" si="428"/>
        <v>Farmacia</v>
      </c>
      <c r="BL886" t="str">
        <f>""</f>
        <v/>
      </c>
      <c r="BM886" t="str">
        <f>""</f>
        <v/>
      </c>
      <c r="BN886" t="str">
        <f>""</f>
        <v/>
      </c>
      <c r="BO886" t="str">
        <f>""</f>
        <v/>
      </c>
      <c r="BP886" t="str">
        <f>""</f>
        <v/>
      </c>
      <c r="BQ886" t="str">
        <f>""</f>
        <v/>
      </c>
      <c r="BR886" t="str">
        <f>"11/07/2023"</f>
        <v>11/07/2023</v>
      </c>
      <c r="BS886" t="str">
        <f>""</f>
        <v/>
      </c>
      <c r="BT886" t="str">
        <f>""</f>
        <v/>
      </c>
      <c r="BU886" t="str">
        <f>""</f>
        <v/>
      </c>
      <c r="BV886" t="str">
        <f>""</f>
        <v/>
      </c>
      <c r="BW886" t="str">
        <f>"Não visitado"</f>
        <v>Não visitado</v>
      </c>
    </row>
    <row r="887" spans="1:75" x14ac:dyDescent="0.35">
      <c r="A887">
        <v>156959</v>
      </c>
      <c r="B887" t="str">
        <f t="shared" si="423"/>
        <v>A</v>
      </c>
      <c r="C887" t="str">
        <f t="shared" si="424"/>
        <v>80</v>
      </c>
      <c r="D887" t="str">
        <f t="shared" si="446"/>
        <v>11121002</v>
      </c>
      <c r="E887" t="str">
        <f t="shared" si="447"/>
        <v>121002</v>
      </c>
      <c r="F887" t="str">
        <f t="shared" si="448"/>
        <v>CINTHIA NORONHA</v>
      </c>
      <c r="G887" t="str">
        <f>"19284380000161"</f>
        <v>19284380000161</v>
      </c>
      <c r="H887" t="str">
        <f>"0"</f>
        <v>0</v>
      </c>
      <c r="I887" t="str">
        <f t="shared" si="425"/>
        <v>CONTA OPTICA</v>
      </c>
      <c r="J887" t="str">
        <f>"MPCLASS OTICA E JOALHERIA LTA ME"</f>
        <v>MPCLASS OTICA E JOALHERIA LTA ME</v>
      </c>
      <c r="K887" t="str">
        <f>"MPCLASS  JOALHERIA  E OTICA (2086)"</f>
        <v>MPCLASS  JOALHERIA  E OTICA (2086)</v>
      </c>
      <c r="L887" t="str">
        <f>""</f>
        <v/>
      </c>
      <c r="M887" t="str">
        <f>""</f>
        <v/>
      </c>
      <c r="N887" t="str">
        <f>"PASKI@TERRA.COM.BR"</f>
        <v>PASKI@TERRA.COM.BR</v>
      </c>
      <c r="O887" t="str">
        <f>""</f>
        <v/>
      </c>
      <c r="P887" t="str">
        <f>"RUA GENERAL LIBERATO BITTENCOURT"</f>
        <v>RUA GENERAL LIBERATO BITTENCOURT</v>
      </c>
      <c r="Q887" t="str">
        <f>"1885"</f>
        <v>1885</v>
      </c>
      <c r="R887" t="str">
        <f>"SALA 10"</f>
        <v>SALA 10</v>
      </c>
      <c r="S887" t="str">
        <f>"1258"</f>
        <v>1258</v>
      </c>
      <c r="T887" t="str">
        <f>"88070800"</f>
        <v>88070800</v>
      </c>
      <c r="U887" t="str">
        <f>"CANTO"</f>
        <v>CANTO</v>
      </c>
      <c r="V887" t="str">
        <f>"FLORIANOPOLIS"</f>
        <v>FLORIANOPOLIS</v>
      </c>
      <c r="W887" t="str">
        <f t="shared" si="441"/>
        <v>SC</v>
      </c>
      <c r="X887" t="str">
        <f t="shared" si="449"/>
        <v>48</v>
      </c>
      <c r="Y887" t="str">
        <f>"30121280"</f>
        <v>30121280</v>
      </c>
      <c r="Z887" t="str">
        <f>""</f>
        <v/>
      </c>
      <c r="AA887" t="str">
        <f>""</f>
        <v/>
      </c>
      <c r="AB887" t="str">
        <f>""</f>
        <v/>
      </c>
      <c r="AC887" t="str">
        <f>""</f>
        <v/>
      </c>
      <c r="AD887" t="str">
        <f>""</f>
        <v/>
      </c>
      <c r="AE887" t="str">
        <f>""</f>
        <v/>
      </c>
      <c r="AF887" t="str">
        <f>""</f>
        <v/>
      </c>
      <c r="AG887" t="str">
        <f>""</f>
        <v/>
      </c>
      <c r="AH887" t="str">
        <f>""</f>
        <v/>
      </c>
      <c r="AI887" t="str">
        <f>""</f>
        <v/>
      </c>
      <c r="AJ887" t="str">
        <f>""</f>
        <v/>
      </c>
      <c r="AK887" t="str">
        <f>""</f>
        <v/>
      </c>
      <c r="AL887" t="str">
        <f>""</f>
        <v/>
      </c>
      <c r="AM887" t="str">
        <f>""</f>
        <v/>
      </c>
      <c r="AN887" t="str">
        <f>""</f>
        <v/>
      </c>
      <c r="AO887" t="str">
        <f>""</f>
        <v/>
      </c>
      <c r="AP887" t="str">
        <f>""</f>
        <v/>
      </c>
      <c r="AQ887" t="str">
        <f>""</f>
        <v/>
      </c>
      <c r="AR887" t="str">
        <f>""</f>
        <v/>
      </c>
      <c r="AS887" t="str">
        <f>""</f>
        <v/>
      </c>
      <c r="AT887" t="str">
        <f>""</f>
        <v/>
      </c>
      <c r="AU887" t="str">
        <f>""</f>
        <v/>
      </c>
      <c r="AV887" t="str">
        <f>""</f>
        <v/>
      </c>
      <c r="AW887" t="str">
        <f>""</f>
        <v/>
      </c>
      <c r="AX887" t="str">
        <f>""</f>
        <v/>
      </c>
      <c r="AY887" t="str">
        <f>""</f>
        <v/>
      </c>
      <c r="AZ887" t="str">
        <f>""</f>
        <v/>
      </c>
      <c r="BA887" t="str">
        <f>""</f>
        <v/>
      </c>
      <c r="BB887" t="str">
        <f>"06/07/2023 12:07:48"</f>
        <v>06/07/2023 12:07:48</v>
      </c>
      <c r="BC887" t="str">
        <f>""</f>
        <v/>
      </c>
      <c r="BD887" t="str">
        <f>""</f>
        <v/>
      </c>
      <c r="BE887" t="str">
        <f>""</f>
        <v/>
      </c>
      <c r="BF887" t="str">
        <f t="shared" si="426"/>
        <v>A</v>
      </c>
      <c r="BG887" t="str">
        <f>""</f>
        <v/>
      </c>
      <c r="BH887" t="str">
        <f>""</f>
        <v/>
      </c>
      <c r="BI887" t="str">
        <f t="shared" si="443"/>
        <v>EVENTUAL</v>
      </c>
      <c r="BJ887" t="str">
        <f t="shared" si="427"/>
        <v>1</v>
      </c>
      <c r="BK887" t="str">
        <f t="shared" si="428"/>
        <v>Farmacia</v>
      </c>
      <c r="BL887" t="str">
        <f>""</f>
        <v/>
      </c>
      <c r="BM887" t="str">
        <f>""</f>
        <v/>
      </c>
      <c r="BN887" t="str">
        <f>""</f>
        <v/>
      </c>
      <c r="BO887" t="str">
        <f>""</f>
        <v/>
      </c>
      <c r="BP887" t="str">
        <f>""</f>
        <v/>
      </c>
      <c r="BQ887" t="str">
        <f>""</f>
        <v/>
      </c>
      <c r="BR887" t="str">
        <f>"06/07/2023"</f>
        <v>06/07/2023</v>
      </c>
      <c r="BS887" t="str">
        <f>""</f>
        <v/>
      </c>
      <c r="BT887" t="str">
        <f>""</f>
        <v/>
      </c>
      <c r="BU887" t="str">
        <f>""</f>
        <v/>
      </c>
      <c r="BV887" t="str">
        <f>""</f>
        <v/>
      </c>
      <c r="BW887" t="str">
        <f>"Não visitado"</f>
        <v>Não visitado</v>
      </c>
    </row>
    <row r="888" spans="1:75" x14ac:dyDescent="0.35">
      <c r="A888">
        <v>156919</v>
      </c>
      <c r="B888" t="str">
        <f t="shared" si="423"/>
        <v>A</v>
      </c>
      <c r="C888" t="str">
        <f t="shared" si="424"/>
        <v>80</v>
      </c>
      <c r="D888" t="str">
        <f t="shared" si="446"/>
        <v>11121002</v>
      </c>
      <c r="E888" t="str">
        <f t="shared" si="447"/>
        <v>121002</v>
      </c>
      <c r="F888" t="str">
        <f t="shared" si="448"/>
        <v>CINTHIA NORONHA</v>
      </c>
      <c r="G888" t="str">
        <f>"44575689000158"</f>
        <v>44575689000158</v>
      </c>
      <c r="H888" t="str">
        <f>"0"</f>
        <v>0</v>
      </c>
      <c r="I888" t="str">
        <f t="shared" si="425"/>
        <v>CONTA OPTICA</v>
      </c>
      <c r="J888" t="str">
        <f>"MRA OPTICA LTDA"</f>
        <v>MRA OPTICA LTDA</v>
      </c>
      <c r="K888" t="str">
        <f>"MERCADÃO DOS OCULOS (4476)"</f>
        <v>MERCADÃO DOS OCULOS (4476)</v>
      </c>
      <c r="L888" t="str">
        <f>""</f>
        <v/>
      </c>
      <c r="M888" t="str">
        <f>""</f>
        <v/>
      </c>
      <c r="N888" t="str">
        <f>"MDOIMBITUBA@OUTLOOK.COM"</f>
        <v>MDOIMBITUBA@OUTLOOK.COM</v>
      </c>
      <c r="O888" t="str">
        <f>""</f>
        <v/>
      </c>
      <c r="P888" t="str">
        <f>"SANTA CATARINA"</f>
        <v>SANTA CATARINA</v>
      </c>
      <c r="Q888" t="str">
        <f>"589"</f>
        <v>589</v>
      </c>
      <c r="R888" t="str">
        <f>""</f>
        <v/>
      </c>
      <c r="S888" t="str">
        <f>"1268"</f>
        <v>1268</v>
      </c>
      <c r="T888" t="str">
        <f>"88780000"</f>
        <v>88780000</v>
      </c>
      <c r="U888" t="str">
        <f>"CENTRO"</f>
        <v>CENTRO</v>
      </c>
      <c r="V888" t="str">
        <f>"IMBITUBA"</f>
        <v>IMBITUBA</v>
      </c>
      <c r="W888" t="str">
        <f t="shared" si="441"/>
        <v>SC</v>
      </c>
      <c r="X888" t="str">
        <f t="shared" si="449"/>
        <v>48</v>
      </c>
      <c r="Y888" t="str">
        <f>"991815775"</f>
        <v>991815775</v>
      </c>
      <c r="Z888" t="str">
        <f>""</f>
        <v/>
      </c>
      <c r="AA888" t="str">
        <f>""</f>
        <v/>
      </c>
      <c r="AB888" t="str">
        <f>""</f>
        <v/>
      </c>
      <c r="AC888" t="str">
        <f>""</f>
        <v/>
      </c>
      <c r="AD888" t="str">
        <f>""</f>
        <v/>
      </c>
      <c r="AE888" t="str">
        <f>""</f>
        <v/>
      </c>
      <c r="AF888" t="str">
        <f>""</f>
        <v/>
      </c>
      <c r="AG888" t="str">
        <f>""</f>
        <v/>
      </c>
      <c r="AH888" t="str">
        <f>""</f>
        <v/>
      </c>
      <c r="AI888" t="str">
        <f>""</f>
        <v/>
      </c>
      <c r="AJ888" t="str">
        <f>""</f>
        <v/>
      </c>
      <c r="AK888" t="str">
        <f>""</f>
        <v/>
      </c>
      <c r="AL888" t="str">
        <f>""</f>
        <v/>
      </c>
      <c r="AM888" t="str">
        <f>""</f>
        <v/>
      </c>
      <c r="AN888" t="str">
        <f>""</f>
        <v/>
      </c>
      <c r="AO888" t="str">
        <f>""</f>
        <v/>
      </c>
      <c r="AP888" t="str">
        <f>""</f>
        <v/>
      </c>
      <c r="AQ888" t="str">
        <f>""</f>
        <v/>
      </c>
      <c r="AR888" t="str">
        <f>""</f>
        <v/>
      </c>
      <c r="AS888" t="str">
        <f>""</f>
        <v/>
      </c>
      <c r="AT888" t="str">
        <f>""</f>
        <v/>
      </c>
      <c r="AU888" t="str">
        <f>""</f>
        <v/>
      </c>
      <c r="AV888" t="str">
        <f>""</f>
        <v/>
      </c>
      <c r="AW888" t="str">
        <f>""</f>
        <v/>
      </c>
      <c r="AX888" t="str">
        <f>""</f>
        <v/>
      </c>
      <c r="AY888" t="str">
        <f>""</f>
        <v/>
      </c>
      <c r="AZ888" t="str">
        <f>""</f>
        <v/>
      </c>
      <c r="BA888" t="str">
        <f>""</f>
        <v/>
      </c>
      <c r="BB888" t="str">
        <f>"06/07/2023 12:07:48"</f>
        <v>06/07/2023 12:07:48</v>
      </c>
      <c r="BC888" t="str">
        <f>""</f>
        <v/>
      </c>
      <c r="BD888" t="str">
        <f>""</f>
        <v/>
      </c>
      <c r="BE888" t="str">
        <f>""</f>
        <v/>
      </c>
      <c r="BF888" t="str">
        <f t="shared" si="426"/>
        <v>A</v>
      </c>
      <c r="BG888" t="str">
        <f>""</f>
        <v/>
      </c>
      <c r="BH888" t="str">
        <f>""</f>
        <v/>
      </c>
      <c r="BI888" t="str">
        <f t="shared" si="443"/>
        <v>EVENTUAL</v>
      </c>
      <c r="BJ888" t="str">
        <f t="shared" si="427"/>
        <v>1</v>
      </c>
      <c r="BK888" t="str">
        <f t="shared" si="428"/>
        <v>Farmacia</v>
      </c>
      <c r="BL888" t="str">
        <f>""</f>
        <v/>
      </c>
      <c r="BM888" t="str">
        <f>""</f>
        <v/>
      </c>
      <c r="BN888" t="str">
        <f>""</f>
        <v/>
      </c>
      <c r="BO888" t="str">
        <f>""</f>
        <v/>
      </c>
      <c r="BP888" t="str">
        <f>""</f>
        <v/>
      </c>
      <c r="BQ888" t="str">
        <f>""</f>
        <v/>
      </c>
      <c r="BR888" t="str">
        <f>"06/07/2023"</f>
        <v>06/07/2023</v>
      </c>
      <c r="BS888" t="str">
        <f>""</f>
        <v/>
      </c>
      <c r="BT888" t="str">
        <f>""</f>
        <v/>
      </c>
      <c r="BU888" t="str">
        <f>""</f>
        <v/>
      </c>
      <c r="BV888" t="str">
        <f>""</f>
        <v/>
      </c>
      <c r="BW888" t="str">
        <f>"Não visitado"</f>
        <v>Não visitado</v>
      </c>
    </row>
    <row r="889" spans="1:75" x14ac:dyDescent="0.35">
      <c r="A889">
        <v>144356</v>
      </c>
      <c r="B889" t="str">
        <f t="shared" si="423"/>
        <v>A</v>
      </c>
      <c r="C889" t="str">
        <f t="shared" si="424"/>
        <v>80</v>
      </c>
      <c r="D889" t="str">
        <f t="shared" si="446"/>
        <v>11121002</v>
      </c>
      <c r="E889" t="str">
        <f t="shared" si="447"/>
        <v>121002</v>
      </c>
      <c r="F889" t="str">
        <f t="shared" si="448"/>
        <v>CINTHIA NORONHA</v>
      </c>
      <c r="G889" t="str">
        <f>"27616711000141"</f>
        <v>27616711000141</v>
      </c>
      <c r="H889" t="str">
        <f>""</f>
        <v/>
      </c>
      <c r="I889" t="str">
        <f t="shared" si="425"/>
        <v>CONTA OPTICA</v>
      </c>
      <c r="J889" t="str">
        <f>"MS OPTICA EIRELI - ME"</f>
        <v>MS OPTICA EIRELI - ME</v>
      </c>
      <c r="K889" t="str">
        <f>"OPTICA VISUAL (3787)"</f>
        <v>OPTICA VISUAL (3787)</v>
      </c>
      <c r="L889" t="str">
        <f>""</f>
        <v/>
      </c>
      <c r="M889" t="str">
        <f>""</f>
        <v/>
      </c>
      <c r="N889" t="str">
        <f>"opticavisualfinanceiro@gmail.com"</f>
        <v>opticavisualfinanceiro@gmail.com</v>
      </c>
      <c r="O889" t="str">
        <f>""</f>
        <v/>
      </c>
      <c r="P889" t="str">
        <f>"RUA R EMILIANO SA"</f>
        <v>RUA R EMILIANO SA</v>
      </c>
      <c r="Q889" t="str">
        <f>"253"</f>
        <v>253</v>
      </c>
      <c r="R889" t="str">
        <f>""</f>
        <v/>
      </c>
      <c r="S889" t="str">
        <f>"1268"</f>
        <v>1268</v>
      </c>
      <c r="T889" t="str">
        <f>"88740000"</f>
        <v>88740000</v>
      </c>
      <c r="U889" t="str">
        <f>"CENTRO"</f>
        <v>CENTRO</v>
      </c>
      <c r="V889" t="str">
        <f>"ARMAZÉM"</f>
        <v>ARMAZÉM</v>
      </c>
      <c r="W889" t="str">
        <f t="shared" si="441"/>
        <v>SC</v>
      </c>
      <c r="X889" t="str">
        <f t="shared" si="449"/>
        <v>48</v>
      </c>
      <c r="Y889" t="str">
        <f>"36450671"</f>
        <v>36450671</v>
      </c>
      <c r="Z889" t="str">
        <f>""</f>
        <v/>
      </c>
      <c r="AA889" t="str">
        <f>""</f>
        <v/>
      </c>
      <c r="AB889" t="str">
        <f>""</f>
        <v/>
      </c>
      <c r="AC889" t="str">
        <f>""</f>
        <v/>
      </c>
      <c r="AD889" t="str">
        <f>""</f>
        <v/>
      </c>
      <c r="AE889" t="str">
        <f>""</f>
        <v/>
      </c>
      <c r="AF889" t="str">
        <f>""</f>
        <v/>
      </c>
      <c r="AG889" t="str">
        <f>""</f>
        <v/>
      </c>
      <c r="AH889" t="str">
        <f>""</f>
        <v/>
      </c>
      <c r="AI889" t="str">
        <f>""</f>
        <v/>
      </c>
      <c r="AJ889" t="str">
        <f>"0"</f>
        <v>0</v>
      </c>
      <c r="AK889" t="str">
        <f>"0"</f>
        <v>0</v>
      </c>
      <c r="AL889" t="str">
        <f>"0"</f>
        <v>0</v>
      </c>
      <c r="AM889" t="str">
        <f>""</f>
        <v/>
      </c>
      <c r="AN889" t="str">
        <f>""</f>
        <v/>
      </c>
      <c r="AO889" t="str">
        <f>""</f>
        <v/>
      </c>
      <c r="AP889" t="str">
        <f>""</f>
        <v/>
      </c>
      <c r="AQ889" t="str">
        <f>""</f>
        <v/>
      </c>
      <c r="AR889" t="str">
        <f>""</f>
        <v/>
      </c>
      <c r="AS889" t="str">
        <f>""</f>
        <v/>
      </c>
      <c r="AT889" t="str">
        <f>""</f>
        <v/>
      </c>
      <c r="AU889" t="str">
        <f>""</f>
        <v/>
      </c>
      <c r="AV889" t="str">
        <f>""</f>
        <v/>
      </c>
      <c r="AW889" t="str">
        <f>""</f>
        <v/>
      </c>
      <c r="AX889" t="str">
        <f>""</f>
        <v/>
      </c>
      <c r="AY889" t="str">
        <f>""</f>
        <v/>
      </c>
      <c r="AZ889" t="str">
        <f>""</f>
        <v/>
      </c>
      <c r="BA889" t="str">
        <f>""</f>
        <v/>
      </c>
      <c r="BB889" t="str">
        <f>""</f>
        <v/>
      </c>
      <c r="BC889" t="str">
        <f>""</f>
        <v/>
      </c>
      <c r="BD889" t="str">
        <f>""</f>
        <v/>
      </c>
      <c r="BE889" t="str">
        <f>""</f>
        <v/>
      </c>
      <c r="BF889" t="str">
        <f t="shared" si="426"/>
        <v>A</v>
      </c>
      <c r="BG889" t="str">
        <f>"0,00"</f>
        <v>0,00</v>
      </c>
      <c r="BH889" t="str">
        <f>"0,00"</f>
        <v>0,00</v>
      </c>
      <c r="BI889" t="str">
        <f t="shared" si="443"/>
        <v>EVENTUAL</v>
      </c>
      <c r="BJ889" t="str">
        <f t="shared" si="427"/>
        <v>1</v>
      </c>
      <c r="BK889" t="str">
        <f t="shared" si="428"/>
        <v>Farmacia</v>
      </c>
      <c r="BL889" t="str">
        <f>""</f>
        <v/>
      </c>
      <c r="BM889" t="str">
        <f>"NÃO É VARILUX ESPECIALISTA"</f>
        <v>NÃO É VARILUX ESPECIALISTA</v>
      </c>
      <c r="BN889" t="str">
        <f>"NA"</f>
        <v>NA</v>
      </c>
      <c r="BO889" t="str">
        <f>"FOCO VARILUX"</f>
        <v>FOCO VARILUX</v>
      </c>
      <c r="BP889" t="str">
        <f>""</f>
        <v/>
      </c>
      <c r="BQ889" t="str">
        <f>""</f>
        <v/>
      </c>
      <c r="BR889" t="str">
        <f>""</f>
        <v/>
      </c>
      <c r="BS889" t="str">
        <f>""</f>
        <v/>
      </c>
      <c r="BT889" t="str">
        <f>""</f>
        <v/>
      </c>
      <c r="BU889" t="str">
        <f>""</f>
        <v/>
      </c>
      <c r="BV889" t="str">
        <f>"9"</f>
        <v>9</v>
      </c>
      <c r="BW889" t="str">
        <f>"70"</f>
        <v>70</v>
      </c>
    </row>
    <row r="890" spans="1:75" x14ac:dyDescent="0.35">
      <c r="A890">
        <v>157640</v>
      </c>
      <c r="B890" t="str">
        <f t="shared" si="423"/>
        <v>A</v>
      </c>
      <c r="C890" t="str">
        <f t="shared" si="424"/>
        <v>80</v>
      </c>
      <c r="D890" t="str">
        <f t="shared" si="446"/>
        <v>11121002</v>
      </c>
      <c r="E890" t="str">
        <f t="shared" si="447"/>
        <v>121002</v>
      </c>
      <c r="F890" t="str">
        <f t="shared" si="448"/>
        <v>CINTHIA NORONHA</v>
      </c>
      <c r="G890" t="str">
        <f>"39628933000163"</f>
        <v>39628933000163</v>
      </c>
      <c r="H890" t="str">
        <f>"0"</f>
        <v>0</v>
      </c>
      <c r="I890" t="str">
        <f t="shared" si="425"/>
        <v>CONTA OPTICA</v>
      </c>
      <c r="J890" t="str">
        <f>"MS OTICA LTDA"</f>
        <v>MS OTICA LTDA</v>
      </c>
      <c r="K890" t="str">
        <f>"OTICAS SUL SC (4412)"</f>
        <v>OTICAS SUL SC (4412)</v>
      </c>
      <c r="L890" t="str">
        <f>""</f>
        <v/>
      </c>
      <c r="M890" t="str">
        <f>""</f>
        <v/>
      </c>
      <c r="N890" t="str">
        <f>"OTICASSULSC@GMAIL.COM"</f>
        <v>OTICASSULSC@GMAIL.COM</v>
      </c>
      <c r="O890" t="str">
        <f>""</f>
        <v/>
      </c>
      <c r="P890" t="str">
        <f>"RUA CORONEL PEDRO BENEDET"</f>
        <v>RUA CORONEL PEDRO BENEDET</v>
      </c>
      <c r="Q890" t="str">
        <f>"488"</f>
        <v>488</v>
      </c>
      <c r="R890" t="str">
        <f>"SALA 002A"</f>
        <v>SALA 002A</v>
      </c>
      <c r="S890" t="str">
        <f>""</f>
        <v/>
      </c>
      <c r="T890" t="str">
        <f>"88811508"</f>
        <v>88811508</v>
      </c>
      <c r="U890" t="str">
        <f>"CENTRO"</f>
        <v>CENTRO</v>
      </c>
      <c r="V890" t="str">
        <f>"CRICIUMA"</f>
        <v>CRICIUMA</v>
      </c>
      <c r="W890" t="str">
        <f t="shared" si="441"/>
        <v>SC</v>
      </c>
      <c r="X890" t="str">
        <f t="shared" si="449"/>
        <v>48</v>
      </c>
      <c r="Y890" t="str">
        <f>"991163880"</f>
        <v>991163880</v>
      </c>
      <c r="Z890" t="str">
        <f>""</f>
        <v/>
      </c>
      <c r="AA890" t="str">
        <f>""</f>
        <v/>
      </c>
      <c r="AB890" t="str">
        <f>""</f>
        <v/>
      </c>
      <c r="AC890" t="str">
        <f>""</f>
        <v/>
      </c>
      <c r="AD890" t="str">
        <f>""</f>
        <v/>
      </c>
      <c r="AE890" t="str">
        <f>""</f>
        <v/>
      </c>
      <c r="AF890" t="str">
        <f>""</f>
        <v/>
      </c>
      <c r="AG890" t="str">
        <f>""</f>
        <v/>
      </c>
      <c r="AH890" t="str">
        <f>""</f>
        <v/>
      </c>
      <c r="AI890" t="str">
        <f>""</f>
        <v/>
      </c>
      <c r="AJ890" t="str">
        <f>""</f>
        <v/>
      </c>
      <c r="AK890" t="str">
        <f>""</f>
        <v/>
      </c>
      <c r="AL890" t="str">
        <f>""</f>
        <v/>
      </c>
      <c r="AM890" t="str">
        <f>""</f>
        <v/>
      </c>
      <c r="AN890" t="str">
        <f>""</f>
        <v/>
      </c>
      <c r="AO890" t="str">
        <f>""</f>
        <v/>
      </c>
      <c r="AP890" t="str">
        <f>""</f>
        <v/>
      </c>
      <c r="AQ890" t="str">
        <f>""</f>
        <v/>
      </c>
      <c r="AR890" t="str">
        <f>""</f>
        <v/>
      </c>
      <c r="AS890" t="str">
        <f>""</f>
        <v/>
      </c>
      <c r="AT890" t="str">
        <f>""</f>
        <v/>
      </c>
      <c r="AU890" t="str">
        <f>""</f>
        <v/>
      </c>
      <c r="AV890" t="str">
        <f>""</f>
        <v/>
      </c>
      <c r="AW890" t="str">
        <f>""</f>
        <v/>
      </c>
      <c r="AX890" t="str">
        <f>""</f>
        <v/>
      </c>
      <c r="AY890" t="str">
        <f>""</f>
        <v/>
      </c>
      <c r="AZ890" t="str">
        <f>""</f>
        <v/>
      </c>
      <c r="BA890" t="str">
        <f>""</f>
        <v/>
      </c>
      <c r="BB890" t="str">
        <f>"11/07/2023 02:19:56"</f>
        <v>11/07/2023 02:19:56</v>
      </c>
      <c r="BC890" t="str">
        <f>""</f>
        <v/>
      </c>
      <c r="BD890" t="str">
        <f>""</f>
        <v/>
      </c>
      <c r="BE890" t="str">
        <f>""</f>
        <v/>
      </c>
      <c r="BF890" t="str">
        <f t="shared" si="426"/>
        <v>A</v>
      </c>
      <c r="BG890" t="str">
        <f>""</f>
        <v/>
      </c>
      <c r="BH890" t="str">
        <f>""</f>
        <v/>
      </c>
      <c r="BI890" t="str">
        <f t="shared" si="443"/>
        <v>EVENTUAL</v>
      </c>
      <c r="BJ890" t="str">
        <f t="shared" si="427"/>
        <v>1</v>
      </c>
      <c r="BK890" t="str">
        <f t="shared" si="428"/>
        <v>Farmacia</v>
      </c>
      <c r="BL890" t="str">
        <f>""</f>
        <v/>
      </c>
      <c r="BM890" t="str">
        <f>""</f>
        <v/>
      </c>
      <c r="BN890" t="str">
        <f>""</f>
        <v/>
      </c>
      <c r="BO890" t="str">
        <f>""</f>
        <v/>
      </c>
      <c r="BP890" t="str">
        <f>""</f>
        <v/>
      </c>
      <c r="BQ890" t="str">
        <f>""</f>
        <v/>
      </c>
      <c r="BR890" t="str">
        <f>"11/07/2023"</f>
        <v>11/07/2023</v>
      </c>
      <c r="BS890" t="str">
        <f>""</f>
        <v/>
      </c>
      <c r="BT890" t="str">
        <f>""</f>
        <v/>
      </c>
      <c r="BU890" t="str">
        <f>""</f>
        <v/>
      </c>
      <c r="BV890" t="str">
        <f>""</f>
        <v/>
      </c>
      <c r="BW890" t="str">
        <f>"Não visitado"</f>
        <v>Não visitado</v>
      </c>
    </row>
    <row r="891" spans="1:75" x14ac:dyDescent="0.35">
      <c r="A891">
        <v>156922</v>
      </c>
      <c r="B891" t="str">
        <f t="shared" si="423"/>
        <v>A</v>
      </c>
      <c r="C891" t="str">
        <f t="shared" si="424"/>
        <v>80</v>
      </c>
      <c r="D891" t="str">
        <f t="shared" si="446"/>
        <v>11121002</v>
      </c>
      <c r="E891" t="str">
        <f t="shared" si="447"/>
        <v>121002</v>
      </c>
      <c r="F891" t="str">
        <f t="shared" si="448"/>
        <v>CINTHIA NORONHA</v>
      </c>
      <c r="G891" t="str">
        <f>"39628933000244"</f>
        <v>39628933000244</v>
      </c>
      <c r="H891" t="str">
        <f>"0"</f>
        <v>0</v>
      </c>
      <c r="I891" t="str">
        <f t="shared" si="425"/>
        <v>CONTA OPTICA</v>
      </c>
      <c r="J891" t="str">
        <f>"MS OTICA LTDA"</f>
        <v>MS OTICA LTDA</v>
      </c>
      <c r="K891" t="str">
        <f>"OTICAS SUL SC (4439)"</f>
        <v>OTICAS SUL SC (4439)</v>
      </c>
      <c r="L891" t="str">
        <f>""</f>
        <v/>
      </c>
      <c r="M891" t="str">
        <f>""</f>
        <v/>
      </c>
      <c r="N891" t="str">
        <f>"OTICASSULSC@GMAIL.COM"</f>
        <v>OTICASSULSC@GMAIL.COM</v>
      </c>
      <c r="O891" t="str">
        <f>""</f>
        <v/>
      </c>
      <c r="P891" t="str">
        <f>"RUA ANITA GARIBALDI"</f>
        <v>RUA ANITA GARIBALDI</v>
      </c>
      <c r="Q891" t="str">
        <f>"207"</f>
        <v>207</v>
      </c>
      <c r="R891" t="str">
        <f>""</f>
        <v/>
      </c>
      <c r="S891" t="str">
        <f>"1269"</f>
        <v>1269</v>
      </c>
      <c r="T891" t="str">
        <f>"88820000"</f>
        <v>88820000</v>
      </c>
      <c r="U891" t="str">
        <f>"CENTRO"</f>
        <v>CENTRO</v>
      </c>
      <c r="V891" t="str">
        <f>"ICARA"</f>
        <v>ICARA</v>
      </c>
      <c r="W891" t="str">
        <f t="shared" si="441"/>
        <v>SC</v>
      </c>
      <c r="X891" t="str">
        <f t="shared" si="449"/>
        <v>48</v>
      </c>
      <c r="Y891" t="str">
        <f>"34132183"</f>
        <v>34132183</v>
      </c>
      <c r="Z891" t="str">
        <f>""</f>
        <v/>
      </c>
      <c r="AA891" t="str">
        <f>""</f>
        <v/>
      </c>
      <c r="AB891" t="str">
        <f>""</f>
        <v/>
      </c>
      <c r="AC891" t="str">
        <f>""</f>
        <v/>
      </c>
      <c r="AD891" t="str">
        <f>""</f>
        <v/>
      </c>
      <c r="AE891" t="str">
        <f>""</f>
        <v/>
      </c>
      <c r="AF891" t="str">
        <f>""</f>
        <v/>
      </c>
      <c r="AG891" t="str">
        <f>""</f>
        <v/>
      </c>
      <c r="AH891" t="str">
        <f>""</f>
        <v/>
      </c>
      <c r="AI891" t="str">
        <f>""</f>
        <v/>
      </c>
      <c r="AJ891" t="str">
        <f>""</f>
        <v/>
      </c>
      <c r="AK891" t="str">
        <f>""</f>
        <v/>
      </c>
      <c r="AL891" t="str">
        <f>""</f>
        <v/>
      </c>
      <c r="AM891" t="str">
        <f>""</f>
        <v/>
      </c>
      <c r="AN891" t="str">
        <f>""</f>
        <v/>
      </c>
      <c r="AO891" t="str">
        <f>""</f>
        <v/>
      </c>
      <c r="AP891" t="str">
        <f>""</f>
        <v/>
      </c>
      <c r="AQ891" t="str">
        <f>""</f>
        <v/>
      </c>
      <c r="AR891" t="str">
        <f>""</f>
        <v/>
      </c>
      <c r="AS891" t="str">
        <f>""</f>
        <v/>
      </c>
      <c r="AT891" t="str">
        <f>""</f>
        <v/>
      </c>
      <c r="AU891" t="str">
        <f>""</f>
        <v/>
      </c>
      <c r="AV891" t="str">
        <f>""</f>
        <v/>
      </c>
      <c r="AW891" t="str">
        <f>""</f>
        <v/>
      </c>
      <c r="AX891" t="str">
        <f>""</f>
        <v/>
      </c>
      <c r="AY891" t="str">
        <f>""</f>
        <v/>
      </c>
      <c r="AZ891" t="str">
        <f>""</f>
        <v/>
      </c>
      <c r="BA891" t="str">
        <f>""</f>
        <v/>
      </c>
      <c r="BB891" t="str">
        <f>"06/07/2023 12:07:48"</f>
        <v>06/07/2023 12:07:48</v>
      </c>
      <c r="BC891" t="str">
        <f>""</f>
        <v/>
      </c>
      <c r="BD891" t="str">
        <f>""</f>
        <v/>
      </c>
      <c r="BE891" t="str">
        <f>""</f>
        <v/>
      </c>
      <c r="BF891" t="str">
        <f t="shared" si="426"/>
        <v>A</v>
      </c>
      <c r="BG891" t="str">
        <f>""</f>
        <v/>
      </c>
      <c r="BH891" t="str">
        <f>""</f>
        <v/>
      </c>
      <c r="BI891" t="str">
        <f t="shared" si="443"/>
        <v>EVENTUAL</v>
      </c>
      <c r="BJ891" t="str">
        <f t="shared" si="427"/>
        <v>1</v>
      </c>
      <c r="BK891" t="str">
        <f t="shared" si="428"/>
        <v>Farmacia</v>
      </c>
      <c r="BL891" t="str">
        <f>""</f>
        <v/>
      </c>
      <c r="BM891" t="str">
        <f>""</f>
        <v/>
      </c>
      <c r="BN891" t="str">
        <f>""</f>
        <v/>
      </c>
      <c r="BO891" t="str">
        <f>""</f>
        <v/>
      </c>
      <c r="BP891" t="str">
        <f>""</f>
        <v/>
      </c>
      <c r="BQ891" t="str">
        <f>""</f>
        <v/>
      </c>
      <c r="BR891" t="str">
        <f>"06/07/2023"</f>
        <v>06/07/2023</v>
      </c>
      <c r="BS891" t="str">
        <f>""</f>
        <v/>
      </c>
      <c r="BT891" t="str">
        <f>""</f>
        <v/>
      </c>
      <c r="BU891" t="str">
        <f>""</f>
        <v/>
      </c>
      <c r="BV891" t="str">
        <f>""</f>
        <v/>
      </c>
      <c r="BW891" t="str">
        <f>"Não visitado"</f>
        <v>Não visitado</v>
      </c>
    </row>
    <row r="892" spans="1:75" x14ac:dyDescent="0.35">
      <c r="A892">
        <v>139589</v>
      </c>
      <c r="B892" t="str">
        <f t="shared" si="423"/>
        <v>A</v>
      </c>
      <c r="C892" t="str">
        <f t="shared" si="424"/>
        <v>80</v>
      </c>
      <c r="D892" t="str">
        <f t="shared" si="446"/>
        <v>11121002</v>
      </c>
      <c r="E892" t="str">
        <f t="shared" si="447"/>
        <v>121002</v>
      </c>
      <c r="F892" t="str">
        <f t="shared" si="448"/>
        <v>CINTHIA NORONHA</v>
      </c>
      <c r="G892" t="str">
        <f>"09130888000151"</f>
        <v>09130888000151</v>
      </c>
      <c r="H892" t="str">
        <f>"0"</f>
        <v>0</v>
      </c>
      <c r="I892" t="str">
        <f t="shared" si="425"/>
        <v>CONTA OPTICA</v>
      </c>
      <c r="J892" t="str">
        <f>"MULTIPLOS COMERCIO E CONSERTO DE OCULOS E JOIAS LTDA"</f>
        <v>MULTIPLOS COMERCIO E CONSERTO DE OCULOS E JOIAS LTDA</v>
      </c>
      <c r="K892" t="str">
        <f>"MULTIPLOS OCULOS (1387)"</f>
        <v>MULTIPLOS OCULOS (1387)</v>
      </c>
      <c r="L892" t="str">
        <f>""</f>
        <v/>
      </c>
      <c r="M892" t="str">
        <f>""</f>
        <v/>
      </c>
      <c r="N892" t="str">
        <f>"multiplosconsertos@gmail.com"</f>
        <v>multiplosconsertos@gmail.com</v>
      </c>
      <c r="O892" t="str">
        <f>""</f>
        <v/>
      </c>
      <c r="P892" t="str">
        <f>"RUA FELIPE SCHMIDT"</f>
        <v>RUA FELIPE SCHMIDT</v>
      </c>
      <c r="Q892" t="str">
        <f>"303"</f>
        <v>303</v>
      </c>
      <c r="R892" t="str">
        <f>"SL 15"</f>
        <v>SL 15</v>
      </c>
      <c r="S892" t="str">
        <f>"1254"</f>
        <v>1254</v>
      </c>
      <c r="T892" t="str">
        <f>"88010000"</f>
        <v>88010000</v>
      </c>
      <c r="U892" t="str">
        <f>"CENTRO"</f>
        <v>CENTRO</v>
      </c>
      <c r="V892" t="str">
        <f>"FLORIANÓPOLIS"</f>
        <v>FLORIANÓPOLIS</v>
      </c>
      <c r="W892" t="str">
        <f t="shared" si="441"/>
        <v>SC</v>
      </c>
      <c r="X892" t="str">
        <f t="shared" si="449"/>
        <v>48</v>
      </c>
      <c r="Y892" t="str">
        <f>"32225557"</f>
        <v>32225557</v>
      </c>
      <c r="Z892" t="str">
        <f>""</f>
        <v/>
      </c>
      <c r="AA892" t="str">
        <f>""</f>
        <v/>
      </c>
      <c r="AB892" t="str">
        <f>""</f>
        <v/>
      </c>
      <c r="AC892" t="str">
        <f>""</f>
        <v/>
      </c>
      <c r="AD892" t="str">
        <f>""</f>
        <v/>
      </c>
      <c r="AE892" t="str">
        <f>""</f>
        <v/>
      </c>
      <c r="AF892" t="str">
        <f>""</f>
        <v/>
      </c>
      <c r="AG892" t="str">
        <f>""</f>
        <v/>
      </c>
      <c r="AH892" t="str">
        <f>""</f>
        <v/>
      </c>
      <c r="AI892" t="str">
        <f>""</f>
        <v/>
      </c>
      <c r="AJ892" t="str">
        <f>"0"</f>
        <v>0</v>
      </c>
      <c r="AK892" t="str">
        <f>"0"</f>
        <v>0</v>
      </c>
      <c r="AL892" t="str">
        <f>"0"</f>
        <v>0</v>
      </c>
      <c r="AM892" t="str">
        <f>""</f>
        <v/>
      </c>
      <c r="AN892" t="str">
        <f>""</f>
        <v/>
      </c>
      <c r="AO892" t="str">
        <f>""</f>
        <v/>
      </c>
      <c r="AP892" t="str">
        <f>""</f>
        <v/>
      </c>
      <c r="AQ892" t="str">
        <f>""</f>
        <v/>
      </c>
      <c r="AR892" t="str">
        <f>""</f>
        <v/>
      </c>
      <c r="AS892" t="str">
        <f>""</f>
        <v/>
      </c>
      <c r="AT892" t="str">
        <f>""</f>
        <v/>
      </c>
      <c r="AU892" t="str">
        <f>""</f>
        <v/>
      </c>
      <c r="AV892" t="str">
        <f>""</f>
        <v/>
      </c>
      <c r="AW892" t="str">
        <f>""</f>
        <v/>
      </c>
      <c r="AX892" t="str">
        <f>""</f>
        <v/>
      </c>
      <c r="AY892" t="str">
        <f>""</f>
        <v/>
      </c>
      <c r="AZ892" t="str">
        <f>""</f>
        <v/>
      </c>
      <c r="BA892" t="str">
        <f>""</f>
        <v/>
      </c>
      <c r="BB892" t="str">
        <f>"09/08/2021 12:02:51"</f>
        <v>09/08/2021 12:02:51</v>
      </c>
      <c r="BC892" t="str">
        <f>""</f>
        <v/>
      </c>
      <c r="BD892" t="str">
        <f>""</f>
        <v/>
      </c>
      <c r="BE892" t="str">
        <f>""</f>
        <v/>
      </c>
      <c r="BF892" t="str">
        <f t="shared" si="426"/>
        <v>A</v>
      </c>
      <c r="BG892" t="str">
        <f>"0,00"</f>
        <v>0,00</v>
      </c>
      <c r="BH892" t="str">
        <f>"0,00"</f>
        <v>0,00</v>
      </c>
      <c r="BI892" t="str">
        <f t="shared" si="443"/>
        <v>EVENTUAL</v>
      </c>
      <c r="BJ892" t="str">
        <f t="shared" si="427"/>
        <v>1</v>
      </c>
      <c r="BK892" t="str">
        <f t="shared" si="428"/>
        <v>Farmacia</v>
      </c>
      <c r="BL892" t="str">
        <f>""</f>
        <v/>
      </c>
      <c r="BM892" t="str">
        <f>"NÃO É VARILUX ESPECIALISTA"</f>
        <v>NÃO É VARILUX ESPECIALISTA</v>
      </c>
      <c r="BN892" t="str">
        <f>"NA"</f>
        <v>NA</v>
      </c>
      <c r="BO892" t="str">
        <f>"OUTROS"</f>
        <v>OUTROS</v>
      </c>
      <c r="BP892" t="str">
        <f>""</f>
        <v/>
      </c>
      <c r="BQ892" t="str">
        <f>""</f>
        <v/>
      </c>
      <c r="BR892" t="str">
        <f>"09/08/2021"</f>
        <v>09/08/2021</v>
      </c>
      <c r="BS892" t="str">
        <f>""</f>
        <v/>
      </c>
      <c r="BT892" t="str">
        <f>""</f>
        <v/>
      </c>
      <c r="BU892" t="str">
        <f>""</f>
        <v/>
      </c>
      <c r="BV892" t="str">
        <f>""</f>
        <v/>
      </c>
      <c r="BW892" t="str">
        <f>"67"</f>
        <v>67</v>
      </c>
    </row>
    <row r="893" spans="1:75" x14ac:dyDescent="0.35">
      <c r="A893">
        <v>156947</v>
      </c>
      <c r="B893" t="str">
        <f t="shared" si="423"/>
        <v>A</v>
      </c>
      <c r="C893" t="str">
        <f t="shared" si="424"/>
        <v>80</v>
      </c>
      <c r="D893" t="str">
        <f t="shared" si="446"/>
        <v>11121002</v>
      </c>
      <c r="E893" t="str">
        <f t="shared" si="447"/>
        <v>121002</v>
      </c>
      <c r="F893" t="str">
        <f t="shared" si="448"/>
        <v>CINTHIA NORONHA</v>
      </c>
      <c r="G893" t="str">
        <f>"22543253000225"</f>
        <v>22543253000225</v>
      </c>
      <c r="H893" t="str">
        <f>"0"</f>
        <v>0</v>
      </c>
      <c r="I893" t="str">
        <f t="shared" si="425"/>
        <v>CONTA OPTICA</v>
      </c>
      <c r="J893" t="str">
        <f>"MVS COMERCIO DE OPTICA LTDA"</f>
        <v>MVS COMERCIO DE OPTICA LTDA</v>
      </c>
      <c r="K893" t="str">
        <f>"OPTICA FIT MASTER (4631)"</f>
        <v>OPTICA FIT MASTER (4631)</v>
      </c>
      <c r="L893" t="str">
        <f>""</f>
        <v/>
      </c>
      <c r="M893" t="str">
        <f>""</f>
        <v/>
      </c>
      <c r="N893" t="str">
        <f>"FITMASTER_K@OUTLOOK.COM"</f>
        <v>FITMASTER_K@OUTLOOK.COM</v>
      </c>
      <c r="O893" t="str">
        <f>""</f>
        <v/>
      </c>
      <c r="P893" t="str">
        <f>"LEDIO JOAO MARTINS"</f>
        <v>LEDIO JOAO MARTINS</v>
      </c>
      <c r="Q893" t="str">
        <f>"209"</f>
        <v>209</v>
      </c>
      <c r="R893" t="str">
        <f>"LOJA 02"</f>
        <v>LOJA 02</v>
      </c>
      <c r="S893" t="str">
        <f>"1259"</f>
        <v>1259</v>
      </c>
      <c r="T893" t="str">
        <f>"88102000"</f>
        <v>88102000</v>
      </c>
      <c r="U893" t="str">
        <f>"KOBRASOL"</f>
        <v>KOBRASOL</v>
      </c>
      <c r="V893" t="str">
        <f>"SAO JOSE"</f>
        <v>SAO JOSE</v>
      </c>
      <c r="W893" t="str">
        <f t="shared" si="441"/>
        <v>SC</v>
      </c>
      <c r="X893" t="str">
        <f t="shared" si="449"/>
        <v>48</v>
      </c>
      <c r="Y893" t="str">
        <f>"30353366"</f>
        <v>30353366</v>
      </c>
      <c r="Z893" t="str">
        <f>""</f>
        <v/>
      </c>
      <c r="AA893" t="str">
        <f>""</f>
        <v/>
      </c>
      <c r="AB893" t="str">
        <f>""</f>
        <v/>
      </c>
      <c r="AC893" t="str">
        <f>""</f>
        <v/>
      </c>
      <c r="AD893" t="str">
        <f>""</f>
        <v/>
      </c>
      <c r="AE893" t="str">
        <f>""</f>
        <v/>
      </c>
      <c r="AF893" t="str">
        <f>""</f>
        <v/>
      </c>
      <c r="AG893" t="str">
        <f>""</f>
        <v/>
      </c>
      <c r="AH893" t="str">
        <f>""</f>
        <v/>
      </c>
      <c r="AI893" t="str">
        <f>""</f>
        <v/>
      </c>
      <c r="AJ893" t="str">
        <f>""</f>
        <v/>
      </c>
      <c r="AK893" t="str">
        <f>""</f>
        <v/>
      </c>
      <c r="AL893" t="str">
        <f>""</f>
        <v/>
      </c>
      <c r="AM893" t="str">
        <f>""</f>
        <v/>
      </c>
      <c r="AN893" t="str">
        <f>""</f>
        <v/>
      </c>
      <c r="AO893" t="str">
        <f>""</f>
        <v/>
      </c>
      <c r="AP893" t="str">
        <f>""</f>
        <v/>
      </c>
      <c r="AQ893" t="str">
        <f>""</f>
        <v/>
      </c>
      <c r="AR893" t="str">
        <f>""</f>
        <v/>
      </c>
      <c r="AS893" t="str">
        <f>""</f>
        <v/>
      </c>
      <c r="AT893" t="str">
        <f>""</f>
        <v/>
      </c>
      <c r="AU893" t="str">
        <f>""</f>
        <v/>
      </c>
      <c r="AV893" t="str">
        <f>""</f>
        <v/>
      </c>
      <c r="AW893" t="str">
        <f>""</f>
        <v/>
      </c>
      <c r="AX893" t="str">
        <f>""</f>
        <v/>
      </c>
      <c r="AY893" t="str">
        <f>""</f>
        <v/>
      </c>
      <c r="AZ893" t="str">
        <f>""</f>
        <v/>
      </c>
      <c r="BA893" t="str">
        <f>""</f>
        <v/>
      </c>
      <c r="BB893" t="str">
        <f>"06/07/2023 12:07:48"</f>
        <v>06/07/2023 12:07:48</v>
      </c>
      <c r="BC893" t="str">
        <f>""</f>
        <v/>
      </c>
      <c r="BD893" t="str">
        <f>""</f>
        <v/>
      </c>
      <c r="BE893" t="str">
        <f>""</f>
        <v/>
      </c>
      <c r="BF893" t="str">
        <f t="shared" si="426"/>
        <v>A</v>
      </c>
      <c r="BG893" t="str">
        <f>""</f>
        <v/>
      </c>
      <c r="BH893" t="str">
        <f>""</f>
        <v/>
      </c>
      <c r="BI893" t="str">
        <f t="shared" si="443"/>
        <v>EVENTUAL</v>
      </c>
      <c r="BJ893" t="str">
        <f t="shared" si="427"/>
        <v>1</v>
      </c>
      <c r="BK893" t="str">
        <f t="shared" si="428"/>
        <v>Farmacia</v>
      </c>
      <c r="BL893" t="str">
        <f>""</f>
        <v/>
      </c>
      <c r="BM893" t="str">
        <f>""</f>
        <v/>
      </c>
      <c r="BN893" t="str">
        <f>""</f>
        <v/>
      </c>
      <c r="BO893" t="str">
        <f>""</f>
        <v/>
      </c>
      <c r="BP893" t="str">
        <f>""</f>
        <v/>
      </c>
      <c r="BQ893" t="str">
        <f>""</f>
        <v/>
      </c>
      <c r="BR893" t="str">
        <f>"06/07/2023"</f>
        <v>06/07/2023</v>
      </c>
      <c r="BS893" t="str">
        <f>""</f>
        <v/>
      </c>
      <c r="BT893" t="str">
        <f>""</f>
        <v/>
      </c>
      <c r="BU893" t="str">
        <f>""</f>
        <v/>
      </c>
      <c r="BV893" t="str">
        <f>""</f>
        <v/>
      </c>
      <c r="BW893" t="str">
        <f>"Não visitado"</f>
        <v>Não visitado</v>
      </c>
    </row>
    <row r="894" spans="1:75" x14ac:dyDescent="0.35">
      <c r="A894">
        <v>134410</v>
      </c>
      <c r="B894" t="str">
        <f t="shared" si="423"/>
        <v>A</v>
      </c>
      <c r="C894" t="str">
        <f t="shared" si="424"/>
        <v>80</v>
      </c>
      <c r="D894" t="str">
        <f t="shared" si="446"/>
        <v>11121002</v>
      </c>
      <c r="E894" t="str">
        <f t="shared" si="447"/>
        <v>121002</v>
      </c>
      <c r="F894" t="str">
        <f t="shared" si="448"/>
        <v>CINTHIA NORONHA</v>
      </c>
      <c r="G894" t="str">
        <f>"32936204000125"</f>
        <v>32936204000125</v>
      </c>
      <c r="H894" t="str">
        <f>""</f>
        <v/>
      </c>
      <c r="I894" t="str">
        <f t="shared" si="425"/>
        <v>CONTA OPTICA</v>
      </c>
      <c r="J894" t="str">
        <f>"NACLEUZA VAVASSORI 75057964968"</f>
        <v>NACLEUZA VAVASSORI 75057964968</v>
      </c>
      <c r="K894" t="str">
        <f>"ATELIER VIP (3982)"</f>
        <v>ATELIER VIP (3982)</v>
      </c>
      <c r="L894" t="str">
        <f>""</f>
        <v/>
      </c>
      <c r="M894" t="str">
        <f>""</f>
        <v/>
      </c>
      <c r="N894" t="str">
        <f>"cleo_vas@yahoo.com.br"</f>
        <v>cleo_vas@yahoo.com.br</v>
      </c>
      <c r="O894" t="str">
        <f>""</f>
        <v/>
      </c>
      <c r="P894" t="str">
        <f>"RUA SRV MARIA DA GLORIA DE MELO"</f>
        <v>RUA SRV MARIA DA GLORIA DE MELO</v>
      </c>
      <c r="Q894" t="str">
        <f>"199"</f>
        <v>199</v>
      </c>
      <c r="R894" t="str">
        <f>""</f>
        <v/>
      </c>
      <c r="S894" t="str">
        <f>""</f>
        <v/>
      </c>
      <c r="T894" t="str">
        <f>"88037450"</f>
        <v>88037450</v>
      </c>
      <c r="U894" t="str">
        <f>"CORREGO GRANDE"</f>
        <v>CORREGO GRANDE</v>
      </c>
      <c r="V894" t="str">
        <f>"FLORIANÓPOLIS"</f>
        <v>FLORIANÓPOLIS</v>
      </c>
      <c r="W894" t="str">
        <f t="shared" si="441"/>
        <v>SC</v>
      </c>
      <c r="X894" t="str">
        <f t="shared" si="449"/>
        <v>48</v>
      </c>
      <c r="Y894" t="str">
        <f>"999518033"</f>
        <v>999518033</v>
      </c>
      <c r="Z894" t="str">
        <f>""</f>
        <v/>
      </c>
      <c r="AA894" t="str">
        <f>""</f>
        <v/>
      </c>
      <c r="AB894" t="str">
        <f>""</f>
        <v/>
      </c>
      <c r="AC894" t="str">
        <f>""</f>
        <v/>
      </c>
      <c r="AD894" t="str">
        <f>""</f>
        <v/>
      </c>
      <c r="AE894" t="str">
        <f>""</f>
        <v/>
      </c>
      <c r="AF894" t="str">
        <f>""</f>
        <v/>
      </c>
      <c r="AG894" t="str">
        <f>"S"</f>
        <v>S</v>
      </c>
      <c r="AH894" t="str">
        <f>""</f>
        <v/>
      </c>
      <c r="AI894" t="str">
        <f>""</f>
        <v/>
      </c>
      <c r="AJ894" t="str">
        <f>""</f>
        <v/>
      </c>
      <c r="AK894" t="str">
        <f>""</f>
        <v/>
      </c>
      <c r="AL894" t="str">
        <f>""</f>
        <v/>
      </c>
      <c r="AM894" t="str">
        <f>""</f>
        <v/>
      </c>
      <c r="AN894" t="str">
        <f>""</f>
        <v/>
      </c>
      <c r="AO894" t="str">
        <f>""</f>
        <v/>
      </c>
      <c r="AP894" t="str">
        <f>""</f>
        <v/>
      </c>
      <c r="AQ894" t="str">
        <f>"N"</f>
        <v>N</v>
      </c>
      <c r="AR894" t="str">
        <f>"N"</f>
        <v>N</v>
      </c>
      <c r="AS894" t="str">
        <f>"N"</f>
        <v>N</v>
      </c>
      <c r="AT894" t="str">
        <f>"N"</f>
        <v>N</v>
      </c>
      <c r="AU894" t="str">
        <f>"N"</f>
        <v>N</v>
      </c>
      <c r="AV894" t="str">
        <f>""</f>
        <v/>
      </c>
      <c r="AW894" t="str">
        <f>""</f>
        <v/>
      </c>
      <c r="AX894" t="str">
        <f>""</f>
        <v/>
      </c>
      <c r="AY894" t="str">
        <f>""</f>
        <v/>
      </c>
      <c r="AZ894" t="str">
        <f>""</f>
        <v/>
      </c>
      <c r="BA894" t="str">
        <f>""</f>
        <v/>
      </c>
      <c r="BB894" t="str">
        <f>""</f>
        <v/>
      </c>
      <c r="BC894" t="str">
        <f>"06/12/2021 16:21:05"</f>
        <v>06/12/2021 16:21:05</v>
      </c>
      <c r="BD894" t="str">
        <f>""</f>
        <v/>
      </c>
      <c r="BE894" t="str">
        <f>""</f>
        <v/>
      </c>
      <c r="BF894" t="str">
        <f t="shared" si="426"/>
        <v>A</v>
      </c>
      <c r="BG894" t="str">
        <f>""</f>
        <v/>
      </c>
      <c r="BH894" t="str">
        <f>"0,00"</f>
        <v>0,00</v>
      </c>
      <c r="BI894" t="str">
        <f t="shared" si="443"/>
        <v>EVENTUAL</v>
      </c>
      <c r="BJ894" t="str">
        <f t="shared" si="427"/>
        <v>1</v>
      </c>
      <c r="BK894" t="str">
        <f t="shared" si="428"/>
        <v>Farmacia</v>
      </c>
      <c r="BL894" t="str">
        <f>""</f>
        <v/>
      </c>
      <c r="BM894" t="str">
        <f>"NÃO É VARILUX ESPECIALISTA"</f>
        <v>NÃO É VARILUX ESPECIALISTA</v>
      </c>
      <c r="BN894" t="str">
        <f>"NA"</f>
        <v>NA</v>
      </c>
      <c r="BO894" t="str">
        <f>"OUTROS"</f>
        <v>OUTROS</v>
      </c>
      <c r="BP894" t="str">
        <f>""</f>
        <v/>
      </c>
      <c r="BQ894" t="str">
        <f>""</f>
        <v/>
      </c>
      <c r="BR894" t="str">
        <f>""</f>
        <v/>
      </c>
      <c r="BS894" t="str">
        <f>"06/12/2021"</f>
        <v>06/12/2021</v>
      </c>
      <c r="BT894" t="str">
        <f>""</f>
        <v/>
      </c>
      <c r="BU894" t="str">
        <f>""</f>
        <v/>
      </c>
      <c r="BV894" t="str">
        <f>"9"</f>
        <v>9</v>
      </c>
      <c r="BW894" t="str">
        <f>"85"</f>
        <v>85</v>
      </c>
    </row>
    <row r="895" spans="1:75" x14ac:dyDescent="0.35">
      <c r="A895">
        <v>157681</v>
      </c>
      <c r="B895" t="str">
        <f t="shared" si="423"/>
        <v>A</v>
      </c>
      <c r="C895" t="str">
        <f t="shared" si="424"/>
        <v>80</v>
      </c>
      <c r="D895" t="str">
        <f t="shared" si="446"/>
        <v>11121002</v>
      </c>
      <c r="E895" t="str">
        <f t="shared" si="447"/>
        <v>121002</v>
      </c>
      <c r="F895" t="str">
        <f t="shared" si="448"/>
        <v>CINTHIA NORONHA</v>
      </c>
      <c r="G895" t="str">
        <f>"80457534000261"</f>
        <v>80457534000261</v>
      </c>
      <c r="H895" t="str">
        <f>"0"</f>
        <v>0</v>
      </c>
      <c r="I895" t="str">
        <f t="shared" si="425"/>
        <v>CONTA OPTICA</v>
      </c>
      <c r="J895" t="str">
        <f>"NCR MATERIAIS E EQUIPAMENTOS LTDA"</f>
        <v>NCR MATERIAIS E EQUIPAMENTOS LTDA</v>
      </c>
      <c r="K895" t="str">
        <f>"NCR ELETRONICA (11192)"</f>
        <v>NCR ELETRONICA (11192)</v>
      </c>
      <c r="L895" t="str">
        <f>""</f>
        <v/>
      </c>
      <c r="M895" t="str">
        <f>""</f>
        <v/>
      </c>
      <c r="N895" t="str">
        <f>""</f>
        <v/>
      </c>
      <c r="O895" t="str">
        <f>""</f>
        <v/>
      </c>
      <c r="P895" t="str">
        <f>"PRES KENNEDY"</f>
        <v>PRES KENNEDY</v>
      </c>
      <c r="Q895" t="str">
        <f>"86"</f>
        <v>86</v>
      </c>
      <c r="R895" t="str">
        <f>"LOJA 20"</f>
        <v>LOJA 20</v>
      </c>
      <c r="S895" t="str">
        <f>"1259"</f>
        <v>1259</v>
      </c>
      <c r="T895" t="str">
        <f>"88101000"</f>
        <v>88101000</v>
      </c>
      <c r="U895" t="str">
        <f>"CAMPINAS"</f>
        <v>CAMPINAS</v>
      </c>
      <c r="V895" t="str">
        <f>"SAO JOSE"</f>
        <v>SAO JOSE</v>
      </c>
      <c r="W895" t="str">
        <f t="shared" ref="W895:W914" si="450">"SC"</f>
        <v>SC</v>
      </c>
      <c r="X895" t="str">
        <f t="shared" si="449"/>
        <v>48</v>
      </c>
      <c r="Y895" t="str">
        <f>"30355040"</f>
        <v>30355040</v>
      </c>
      <c r="Z895" t="str">
        <f>""</f>
        <v/>
      </c>
      <c r="AA895" t="str">
        <f>""</f>
        <v/>
      </c>
      <c r="AB895" t="str">
        <f>""</f>
        <v/>
      </c>
      <c r="AC895" t="str">
        <f>""</f>
        <v/>
      </c>
      <c r="AD895" t="str">
        <f>""</f>
        <v/>
      </c>
      <c r="AE895" t="str">
        <f>""</f>
        <v/>
      </c>
      <c r="AF895" t="str">
        <f>""</f>
        <v/>
      </c>
      <c r="AG895" t="str">
        <f>""</f>
        <v/>
      </c>
      <c r="AH895" t="str">
        <f>""</f>
        <v/>
      </c>
      <c r="AI895" t="str">
        <f>""</f>
        <v/>
      </c>
      <c r="AJ895" t="str">
        <f>""</f>
        <v/>
      </c>
      <c r="AK895" t="str">
        <f>""</f>
        <v/>
      </c>
      <c r="AL895" t="str">
        <f>""</f>
        <v/>
      </c>
      <c r="AM895" t="str">
        <f>""</f>
        <v/>
      </c>
      <c r="AN895" t="str">
        <f>""</f>
        <v/>
      </c>
      <c r="AO895" t="str">
        <f>""</f>
        <v/>
      </c>
      <c r="AP895" t="str">
        <f>""</f>
        <v/>
      </c>
      <c r="AQ895" t="str">
        <f>""</f>
        <v/>
      </c>
      <c r="AR895" t="str">
        <f>""</f>
        <v/>
      </c>
      <c r="AS895" t="str">
        <f>""</f>
        <v/>
      </c>
      <c r="AT895" t="str">
        <f>""</f>
        <v/>
      </c>
      <c r="AU895" t="str">
        <f>""</f>
        <v/>
      </c>
      <c r="AV895" t="str">
        <f>""</f>
        <v/>
      </c>
      <c r="AW895" t="str">
        <f>""</f>
        <v/>
      </c>
      <c r="AX895" t="str">
        <f>""</f>
        <v/>
      </c>
      <c r="AY895" t="str">
        <f>""</f>
        <v/>
      </c>
      <c r="AZ895" t="str">
        <f>""</f>
        <v/>
      </c>
      <c r="BA895" t="str">
        <f>""</f>
        <v/>
      </c>
      <c r="BB895" t="str">
        <f>"11/07/2023 02:19:56"</f>
        <v>11/07/2023 02:19:56</v>
      </c>
      <c r="BC895" t="str">
        <f>""</f>
        <v/>
      </c>
      <c r="BD895" t="str">
        <f>""</f>
        <v/>
      </c>
      <c r="BE895" t="str">
        <f>""</f>
        <v/>
      </c>
      <c r="BF895" t="str">
        <f t="shared" si="426"/>
        <v>A</v>
      </c>
      <c r="BG895" t="str">
        <f>""</f>
        <v/>
      </c>
      <c r="BH895" t="str">
        <f>""</f>
        <v/>
      </c>
      <c r="BI895" t="str">
        <f t="shared" si="443"/>
        <v>EVENTUAL</v>
      </c>
      <c r="BJ895" t="str">
        <f t="shared" si="427"/>
        <v>1</v>
      </c>
      <c r="BK895" t="str">
        <f t="shared" si="428"/>
        <v>Farmacia</v>
      </c>
      <c r="BL895" t="str">
        <f>""</f>
        <v/>
      </c>
      <c r="BM895" t="str">
        <f>""</f>
        <v/>
      </c>
      <c r="BN895" t="str">
        <f>""</f>
        <v/>
      </c>
      <c r="BO895" t="str">
        <f>""</f>
        <v/>
      </c>
      <c r="BP895" t="str">
        <f>""</f>
        <v/>
      </c>
      <c r="BQ895" t="str">
        <f>""</f>
        <v/>
      </c>
      <c r="BR895" t="str">
        <f>"11/07/2023"</f>
        <v>11/07/2023</v>
      </c>
      <c r="BS895" t="str">
        <f>""</f>
        <v/>
      </c>
      <c r="BT895" t="str">
        <f>""</f>
        <v/>
      </c>
      <c r="BU895" t="str">
        <f>""</f>
        <v/>
      </c>
      <c r="BV895" t="str">
        <f>""</f>
        <v/>
      </c>
      <c r="BW895" t="str">
        <f>"Não visitado"</f>
        <v>Não visitado</v>
      </c>
    </row>
    <row r="896" spans="1:75" x14ac:dyDescent="0.35">
      <c r="A896">
        <v>157686</v>
      </c>
      <c r="B896" t="str">
        <f t="shared" si="423"/>
        <v>A</v>
      </c>
      <c r="C896" t="str">
        <f t="shared" si="424"/>
        <v>80</v>
      </c>
      <c r="D896" t="str">
        <f t="shared" si="446"/>
        <v>11121002</v>
      </c>
      <c r="E896" t="str">
        <f t="shared" si="447"/>
        <v>121002</v>
      </c>
      <c r="F896" t="str">
        <f t="shared" si="448"/>
        <v>CINTHIA NORONHA</v>
      </c>
      <c r="G896" t="str">
        <f>"39288122000160"</f>
        <v>39288122000160</v>
      </c>
      <c r="H896" t="str">
        <f>"0"</f>
        <v>0</v>
      </c>
      <c r="I896" t="str">
        <f t="shared" si="425"/>
        <v>CONTA OPTICA</v>
      </c>
      <c r="J896" t="str">
        <f>"NERY INACIO EZEQUIEL BARTH LTDA"</f>
        <v>NERY INACIO EZEQUIEL BARTH LTDA</v>
      </c>
      <c r="K896" t="str">
        <f>"OTICA COQUEIROS (4441)"</f>
        <v>OTICA COQUEIROS (4441)</v>
      </c>
      <c r="L896" t="str">
        <f>""</f>
        <v/>
      </c>
      <c r="M896" t="str">
        <f>""</f>
        <v/>
      </c>
      <c r="N896" t="str">
        <f>"OPTICACOQUEIROS@GMAIL.COM"</f>
        <v>OPTICACOQUEIROS@GMAIL.COM</v>
      </c>
      <c r="O896" t="str">
        <f>""</f>
        <v/>
      </c>
      <c r="P896" t="str">
        <f>"ENGENHEIRO MAX DE SOUZA"</f>
        <v>ENGENHEIRO MAX DE SOUZA</v>
      </c>
      <c r="Q896" t="str">
        <f>"1468"</f>
        <v>1468</v>
      </c>
      <c r="R896" t="str">
        <f>"SALA01"</f>
        <v>SALA01</v>
      </c>
      <c r="S896" t="str">
        <f>"1258"</f>
        <v>1258</v>
      </c>
      <c r="T896" t="str">
        <f>"88080000"</f>
        <v>88080000</v>
      </c>
      <c r="U896" t="str">
        <f>"COQUEIROS"</f>
        <v>COQUEIROS</v>
      </c>
      <c r="V896" t="str">
        <f>"FLORIANOPOLIS"</f>
        <v>FLORIANOPOLIS</v>
      </c>
      <c r="W896" t="str">
        <f t="shared" si="450"/>
        <v>SC</v>
      </c>
      <c r="X896" t="str">
        <f t="shared" si="449"/>
        <v>48</v>
      </c>
      <c r="Y896" t="str">
        <f>"32444195"</f>
        <v>32444195</v>
      </c>
      <c r="Z896" t="str">
        <f>""</f>
        <v/>
      </c>
      <c r="AA896" t="str">
        <f>""</f>
        <v/>
      </c>
      <c r="AB896" t="str">
        <f>""</f>
        <v/>
      </c>
      <c r="AC896" t="str">
        <f>""</f>
        <v/>
      </c>
      <c r="AD896" t="str">
        <f>""</f>
        <v/>
      </c>
      <c r="AE896" t="str">
        <f>""</f>
        <v/>
      </c>
      <c r="AF896" t="str">
        <f>""</f>
        <v/>
      </c>
      <c r="AG896" t="str">
        <f>""</f>
        <v/>
      </c>
      <c r="AH896" t="str">
        <f>""</f>
        <v/>
      </c>
      <c r="AI896" t="str">
        <f>""</f>
        <v/>
      </c>
      <c r="AJ896" t="str">
        <f>""</f>
        <v/>
      </c>
      <c r="AK896" t="str">
        <f>""</f>
        <v/>
      </c>
      <c r="AL896" t="str">
        <f>""</f>
        <v/>
      </c>
      <c r="AM896" t="str">
        <f>""</f>
        <v/>
      </c>
      <c r="AN896" t="str">
        <f>""</f>
        <v/>
      </c>
      <c r="AO896" t="str">
        <f>""</f>
        <v/>
      </c>
      <c r="AP896" t="str">
        <f>""</f>
        <v/>
      </c>
      <c r="AQ896" t="str">
        <f>""</f>
        <v/>
      </c>
      <c r="AR896" t="str">
        <f>""</f>
        <v/>
      </c>
      <c r="AS896" t="str">
        <f>""</f>
        <v/>
      </c>
      <c r="AT896" t="str">
        <f>""</f>
        <v/>
      </c>
      <c r="AU896" t="str">
        <f>""</f>
        <v/>
      </c>
      <c r="AV896" t="str">
        <f>""</f>
        <v/>
      </c>
      <c r="AW896" t="str">
        <f>""</f>
        <v/>
      </c>
      <c r="AX896" t="str">
        <f>""</f>
        <v/>
      </c>
      <c r="AY896" t="str">
        <f>""</f>
        <v/>
      </c>
      <c r="AZ896" t="str">
        <f>""</f>
        <v/>
      </c>
      <c r="BA896" t="str">
        <f>""</f>
        <v/>
      </c>
      <c r="BB896" t="str">
        <f>"11/07/2023 02:19:56"</f>
        <v>11/07/2023 02:19:56</v>
      </c>
      <c r="BC896" t="str">
        <f>""</f>
        <v/>
      </c>
      <c r="BD896" t="str">
        <f>""</f>
        <v/>
      </c>
      <c r="BE896" t="str">
        <f>""</f>
        <v/>
      </c>
      <c r="BF896" t="str">
        <f t="shared" si="426"/>
        <v>A</v>
      </c>
      <c r="BG896" t="str">
        <f>""</f>
        <v/>
      </c>
      <c r="BH896" t="str">
        <f>""</f>
        <v/>
      </c>
      <c r="BI896" t="str">
        <f t="shared" si="443"/>
        <v>EVENTUAL</v>
      </c>
      <c r="BJ896" t="str">
        <f t="shared" si="427"/>
        <v>1</v>
      </c>
      <c r="BK896" t="str">
        <f t="shared" si="428"/>
        <v>Farmacia</v>
      </c>
      <c r="BL896" t="str">
        <f>""</f>
        <v/>
      </c>
      <c r="BM896" t="str">
        <f>""</f>
        <v/>
      </c>
      <c r="BN896" t="str">
        <f>""</f>
        <v/>
      </c>
      <c r="BO896" t="str">
        <f>""</f>
        <v/>
      </c>
      <c r="BP896" t="str">
        <f>""</f>
        <v/>
      </c>
      <c r="BQ896" t="str">
        <f>""</f>
        <v/>
      </c>
      <c r="BR896" t="str">
        <f>"11/07/2023"</f>
        <v>11/07/2023</v>
      </c>
      <c r="BS896" t="str">
        <f>""</f>
        <v/>
      </c>
      <c r="BT896" t="str">
        <f>""</f>
        <v/>
      </c>
      <c r="BU896" t="str">
        <f>""</f>
        <v/>
      </c>
      <c r="BV896" t="str">
        <f>""</f>
        <v/>
      </c>
      <c r="BW896" t="str">
        <f>"Não visitado"</f>
        <v>Não visitado</v>
      </c>
    </row>
    <row r="897" spans="1:75" x14ac:dyDescent="0.35">
      <c r="A897">
        <v>144858</v>
      </c>
      <c r="B897" t="str">
        <f t="shared" si="423"/>
        <v>A</v>
      </c>
      <c r="C897" t="str">
        <f t="shared" si="424"/>
        <v>80</v>
      </c>
      <c r="D897" t="str">
        <f t="shared" si="446"/>
        <v>11121002</v>
      </c>
      <c r="E897" t="str">
        <f t="shared" si="447"/>
        <v>121002</v>
      </c>
      <c r="F897" t="str">
        <f t="shared" si="448"/>
        <v>CINTHIA NORONHA</v>
      </c>
      <c r="G897" t="str">
        <f>"43609286000110"</f>
        <v>43609286000110</v>
      </c>
      <c r="H897" t="str">
        <f>""</f>
        <v/>
      </c>
      <c r="I897" t="str">
        <f t="shared" si="425"/>
        <v>CONTA OPTICA</v>
      </c>
      <c r="J897" t="str">
        <f>"NEXUS COMERCIO DE OPTICOS LTDA"</f>
        <v>NEXUS COMERCIO DE OPTICOS LTDA</v>
      </c>
      <c r="K897" t="str">
        <f>"OTICA NEXUS (4418)"</f>
        <v>OTICA NEXUS (4418)</v>
      </c>
      <c r="L897" t="str">
        <f>""</f>
        <v/>
      </c>
      <c r="M897" t="str">
        <f>""</f>
        <v/>
      </c>
      <c r="N897" t="str">
        <f>"OTICASNEXUS@GMAIL.COM"</f>
        <v>OTICASNEXUS@GMAIL.COM</v>
      </c>
      <c r="O897" t="str">
        <f>""</f>
        <v/>
      </c>
      <c r="P897" t="str">
        <f>"RUA CAETANO LUMMERTZ"</f>
        <v>RUA CAETANO LUMMERTZ</v>
      </c>
      <c r="Q897" t="str">
        <f>"456"</f>
        <v>456</v>
      </c>
      <c r="R897" t="str">
        <f>"SALA 3"</f>
        <v>SALA 3</v>
      </c>
      <c r="S897" t="str">
        <f>""</f>
        <v/>
      </c>
      <c r="T897" t="str">
        <f>"88900043"</f>
        <v>88900043</v>
      </c>
      <c r="U897" t="str">
        <f>"CENTRO"</f>
        <v>CENTRO</v>
      </c>
      <c r="V897" t="str">
        <f>"ARARANGUA"</f>
        <v>ARARANGUA</v>
      </c>
      <c r="W897" t="str">
        <f t="shared" si="450"/>
        <v>SC</v>
      </c>
      <c r="X897" t="str">
        <f t="shared" si="449"/>
        <v>48</v>
      </c>
      <c r="Y897" t="str">
        <f>"35220198"</f>
        <v>35220198</v>
      </c>
      <c r="Z897" t="str">
        <f>""</f>
        <v/>
      </c>
      <c r="AA897" t="str">
        <f>""</f>
        <v/>
      </c>
      <c r="AB897" t="str">
        <f>""</f>
        <v/>
      </c>
      <c r="AC897" t="str">
        <f>""</f>
        <v/>
      </c>
      <c r="AD897" t="str">
        <f>""</f>
        <v/>
      </c>
      <c r="AE897" t="str">
        <f>""</f>
        <v/>
      </c>
      <c r="AF897" t="str">
        <f>""</f>
        <v/>
      </c>
      <c r="AG897" t="str">
        <f>""</f>
        <v/>
      </c>
      <c r="AH897" t="str">
        <f>""</f>
        <v/>
      </c>
      <c r="AI897" t="str">
        <f>""</f>
        <v/>
      </c>
      <c r="AJ897" t="str">
        <f>""</f>
        <v/>
      </c>
      <c r="AK897" t="str">
        <f>""</f>
        <v/>
      </c>
      <c r="AL897" t="str">
        <f>""</f>
        <v/>
      </c>
      <c r="AM897" t="str">
        <f>""</f>
        <v/>
      </c>
      <c r="AN897" t="str">
        <f>""</f>
        <v/>
      </c>
      <c r="AO897" t="str">
        <f>""</f>
        <v/>
      </c>
      <c r="AP897" t="str">
        <f>""</f>
        <v/>
      </c>
      <c r="AQ897" t="str">
        <f>""</f>
        <v/>
      </c>
      <c r="AR897" t="str">
        <f>""</f>
        <v/>
      </c>
      <c r="AS897" t="str">
        <f>""</f>
        <v/>
      </c>
      <c r="AT897" t="str">
        <f>""</f>
        <v/>
      </c>
      <c r="AU897" t="str">
        <f>""</f>
        <v/>
      </c>
      <c r="AV897" t="str">
        <f>""</f>
        <v/>
      </c>
      <c r="AW897" t="str">
        <f>""</f>
        <v/>
      </c>
      <c r="AX897" t="str">
        <f>""</f>
        <v/>
      </c>
      <c r="AY897" t="str">
        <f>""</f>
        <v/>
      </c>
      <c r="AZ897" t="str">
        <f>""</f>
        <v/>
      </c>
      <c r="BA897" t="str">
        <f>""</f>
        <v/>
      </c>
      <c r="BB897" t="str">
        <f>""</f>
        <v/>
      </c>
      <c r="BC897" t="str">
        <f>""</f>
        <v/>
      </c>
      <c r="BD897" t="str">
        <f>""</f>
        <v/>
      </c>
      <c r="BE897" t="str">
        <f>""</f>
        <v/>
      </c>
      <c r="BF897" t="str">
        <f t="shared" si="426"/>
        <v>A</v>
      </c>
      <c r="BG897" t="str">
        <f>""</f>
        <v/>
      </c>
      <c r="BH897" t="str">
        <f>""</f>
        <v/>
      </c>
      <c r="BI897" t="str">
        <f t="shared" si="443"/>
        <v>EVENTUAL</v>
      </c>
      <c r="BJ897" t="str">
        <f t="shared" si="427"/>
        <v>1</v>
      </c>
      <c r="BK897" t="str">
        <f t="shared" si="428"/>
        <v>Farmacia</v>
      </c>
      <c r="BL897" t="str">
        <f>""</f>
        <v/>
      </c>
      <c r="BM897" t="str">
        <f>""</f>
        <v/>
      </c>
      <c r="BN897" t="str">
        <f>""</f>
        <v/>
      </c>
      <c r="BO897" t="str">
        <f>""</f>
        <v/>
      </c>
      <c r="BP897" t="str">
        <f>""</f>
        <v/>
      </c>
      <c r="BQ897" t="str">
        <f>""</f>
        <v/>
      </c>
      <c r="BR897" t="str">
        <f>""</f>
        <v/>
      </c>
      <c r="BS897" t="str">
        <f>""</f>
        <v/>
      </c>
      <c r="BT897" t="str">
        <f>""</f>
        <v/>
      </c>
      <c r="BU897" t="str">
        <f>""</f>
        <v/>
      </c>
      <c r="BV897" t="str">
        <f>""</f>
        <v/>
      </c>
      <c r="BW897" t="str">
        <f>"Não visitado"</f>
        <v>Não visitado</v>
      </c>
    </row>
    <row r="898" spans="1:75" x14ac:dyDescent="0.35">
      <c r="A898">
        <v>134544</v>
      </c>
      <c r="B898" t="str">
        <f t="shared" ref="B898:B961" si="451">"A"</f>
        <v>A</v>
      </c>
      <c r="C898" t="str">
        <f t="shared" ref="C898:C961" si="452">"80"</f>
        <v>80</v>
      </c>
      <c r="D898" t="str">
        <f t="shared" si="446"/>
        <v>11121002</v>
      </c>
      <c r="E898" t="str">
        <f t="shared" si="447"/>
        <v>121002</v>
      </c>
      <c r="F898" t="str">
        <f t="shared" si="448"/>
        <v>CINTHIA NORONHA</v>
      </c>
      <c r="G898" t="str">
        <f>"10955053000110"</f>
        <v>10955053000110</v>
      </c>
      <c r="H898" t="str">
        <f>""</f>
        <v/>
      </c>
      <c r="I898" t="str">
        <f t="shared" ref="I898:I961" si="453">"CONTA OPTICA"</f>
        <v>CONTA OPTICA</v>
      </c>
      <c r="J898" t="str">
        <f>"NICE ACESSORIOS LTDA"</f>
        <v>NICE ACESSORIOS LTDA</v>
      </c>
      <c r="K898" t="str">
        <f>"OPTICA POPULAR (4203)"</f>
        <v>OPTICA POPULAR (4203)</v>
      </c>
      <c r="L898" t="str">
        <f>""</f>
        <v/>
      </c>
      <c r="M898" t="str">
        <f>""</f>
        <v/>
      </c>
      <c r="N898" t="str">
        <f>"oticapopular_sr@hotmail.com"</f>
        <v>oticapopular_sr@hotmail.com</v>
      </c>
      <c r="O898" t="str">
        <f>""</f>
        <v/>
      </c>
      <c r="P898" t="str">
        <f>"RUA FRANCISCO TOLENTINO"</f>
        <v>RUA FRANCISCO TOLENTINO</v>
      </c>
      <c r="Q898" t="str">
        <f>"315"</f>
        <v>315</v>
      </c>
      <c r="R898" t="str">
        <f>""</f>
        <v/>
      </c>
      <c r="S898" t="str">
        <f>""</f>
        <v/>
      </c>
      <c r="T898" t="str">
        <f>"88010913"</f>
        <v>88010913</v>
      </c>
      <c r="U898" t="str">
        <f>"CENTRO"</f>
        <v>CENTRO</v>
      </c>
      <c r="V898" t="str">
        <f>"FLORIANÓPOLIS"</f>
        <v>FLORIANÓPOLIS</v>
      </c>
      <c r="W898" t="str">
        <f t="shared" si="450"/>
        <v>SC</v>
      </c>
      <c r="X898" t="str">
        <f t="shared" si="449"/>
        <v>48</v>
      </c>
      <c r="Y898" t="str">
        <f>"32232082"</f>
        <v>32232082</v>
      </c>
      <c r="Z898" t="str">
        <f>""</f>
        <v/>
      </c>
      <c r="AA898" t="str">
        <f>""</f>
        <v/>
      </c>
      <c r="AB898" t="str">
        <f>""</f>
        <v/>
      </c>
      <c r="AC898" t="str">
        <f>""</f>
        <v/>
      </c>
      <c r="AD898" t="str">
        <f>""</f>
        <v/>
      </c>
      <c r="AE898" t="str">
        <f>""</f>
        <v/>
      </c>
      <c r="AF898" t="str">
        <f>""</f>
        <v/>
      </c>
      <c r="AG898" t="str">
        <f>"S"</f>
        <v>S</v>
      </c>
      <c r="AH898" t="str">
        <f>""</f>
        <v/>
      </c>
      <c r="AI898" t="str">
        <f>""</f>
        <v/>
      </c>
      <c r="AJ898" t="str">
        <f>""</f>
        <v/>
      </c>
      <c r="AK898" t="str">
        <f>""</f>
        <v/>
      </c>
      <c r="AL898" t="str">
        <f>""</f>
        <v/>
      </c>
      <c r="AM898" t="str">
        <f>""</f>
        <v/>
      </c>
      <c r="AN898" t="str">
        <f>""</f>
        <v/>
      </c>
      <c r="AO898" t="str">
        <f>""</f>
        <v/>
      </c>
      <c r="AP898" t="str">
        <f>""</f>
        <v/>
      </c>
      <c r="AQ898" t="str">
        <f t="shared" ref="AQ898:AU900" si="454">"N"</f>
        <v>N</v>
      </c>
      <c r="AR898" t="str">
        <f t="shared" si="454"/>
        <v>N</v>
      </c>
      <c r="AS898" t="str">
        <f t="shared" si="454"/>
        <v>N</v>
      </c>
      <c r="AT898" t="str">
        <f t="shared" si="454"/>
        <v>N</v>
      </c>
      <c r="AU898" t="str">
        <f t="shared" si="454"/>
        <v>N</v>
      </c>
      <c r="AV898" t="str">
        <f>""</f>
        <v/>
      </c>
      <c r="AW898" t="str">
        <f>""</f>
        <v/>
      </c>
      <c r="AX898" t="str">
        <f>""</f>
        <v/>
      </c>
      <c r="AY898" t="str">
        <f>""</f>
        <v/>
      </c>
      <c r="AZ898" t="str">
        <f>""</f>
        <v/>
      </c>
      <c r="BA898" t="str">
        <f>""</f>
        <v/>
      </c>
      <c r="BB898" t="str">
        <f>""</f>
        <v/>
      </c>
      <c r="BC898" t="str">
        <f>"10/07/2023 10:13:43"</f>
        <v>10/07/2023 10:13:43</v>
      </c>
      <c r="BD898" t="str">
        <f>""</f>
        <v/>
      </c>
      <c r="BE898" t="str">
        <f>""</f>
        <v/>
      </c>
      <c r="BF898" t="str">
        <f t="shared" ref="BF898:BF961" si="455">"A"</f>
        <v>A</v>
      </c>
      <c r="BG898" t="str">
        <f>""</f>
        <v/>
      </c>
      <c r="BH898" t="str">
        <f>"0,00"</f>
        <v>0,00</v>
      </c>
      <c r="BI898" t="str">
        <f t="shared" si="443"/>
        <v>EVENTUAL</v>
      </c>
      <c r="BJ898" t="str">
        <f t="shared" ref="BJ898:BJ961" si="456">"1"</f>
        <v>1</v>
      </c>
      <c r="BK898" t="str">
        <f t="shared" ref="BK898:BK961" si="457">"Farmacia"</f>
        <v>Farmacia</v>
      </c>
      <c r="BL898" t="str">
        <f>""</f>
        <v/>
      </c>
      <c r="BM898" t="str">
        <f>"NÃO É VARILUX ESPECIALISTA"</f>
        <v>NÃO É VARILUX ESPECIALISTA</v>
      </c>
      <c r="BN898" t="str">
        <f>"NA"</f>
        <v>NA</v>
      </c>
      <c r="BO898" t="str">
        <f>"OUTROS"</f>
        <v>OUTROS</v>
      </c>
      <c r="BP898" t="str">
        <f>""</f>
        <v/>
      </c>
      <c r="BQ898" t="str">
        <f>""</f>
        <v/>
      </c>
      <c r="BR898" t="str">
        <f>""</f>
        <v/>
      </c>
      <c r="BS898" t="str">
        <f>"10/07/2023"</f>
        <v>10/07/2023</v>
      </c>
      <c r="BT898" t="str">
        <f>""</f>
        <v/>
      </c>
      <c r="BU898" t="str">
        <f>""</f>
        <v/>
      </c>
      <c r="BV898" t="str">
        <f>""</f>
        <v/>
      </c>
      <c r="BW898" t="str">
        <f>"155"</f>
        <v>155</v>
      </c>
    </row>
    <row r="899" spans="1:75" x14ac:dyDescent="0.35">
      <c r="A899">
        <v>98455</v>
      </c>
      <c r="B899" t="str">
        <f t="shared" si="451"/>
        <v>A</v>
      </c>
      <c r="C899" t="str">
        <f t="shared" si="452"/>
        <v>80</v>
      </c>
      <c r="D899" t="str">
        <f t="shared" si="446"/>
        <v>11121002</v>
      </c>
      <c r="E899" t="str">
        <f t="shared" si="447"/>
        <v>121002</v>
      </c>
      <c r="F899" t="str">
        <f t="shared" si="448"/>
        <v>CINTHIA NORONHA</v>
      </c>
      <c r="G899" t="str">
        <f>"33649925000117"</f>
        <v>33649925000117</v>
      </c>
      <c r="H899" t="str">
        <f>"0"</f>
        <v>0</v>
      </c>
      <c r="I899" t="str">
        <f t="shared" si="453"/>
        <v>CONTA OPTICA</v>
      </c>
      <c r="J899" t="str">
        <f>"NILOFLORIPA OTICA EIRELI"</f>
        <v>NILOFLORIPA OTICA EIRELI</v>
      </c>
      <c r="K899" t="str">
        <f>"OTICA DINIZ (4010)"</f>
        <v>OTICA DINIZ (4010)</v>
      </c>
      <c r="L899" t="str">
        <f>""</f>
        <v/>
      </c>
      <c r="M899" t="str">
        <f>""</f>
        <v/>
      </c>
      <c r="N899" t="str">
        <f>""</f>
        <v/>
      </c>
      <c r="O899" t="str">
        <f>""</f>
        <v/>
      </c>
      <c r="P899" t="str">
        <f>"RUA PREFEITO OSMAR CUNHA"</f>
        <v>RUA PREFEITO OSMAR CUNHA</v>
      </c>
      <c r="Q899" t="str">
        <f>"472"</f>
        <v>472</v>
      </c>
      <c r="R899" t="str">
        <f>"LOJA 01"</f>
        <v>LOJA 01</v>
      </c>
      <c r="S899" t="str">
        <f>"1255"</f>
        <v>1255</v>
      </c>
      <c r="T899" t="str">
        <f>"88015100"</f>
        <v>88015100</v>
      </c>
      <c r="U899" t="str">
        <f>"CENTRO"</f>
        <v>CENTRO</v>
      </c>
      <c r="V899" t="str">
        <f>"FLORIANÓPOLIS"</f>
        <v>FLORIANÓPOLIS</v>
      </c>
      <c r="W899" t="str">
        <f t="shared" si="450"/>
        <v>SC</v>
      </c>
      <c r="X899" t="str">
        <f t="shared" si="449"/>
        <v>48</v>
      </c>
      <c r="Y899" t="str">
        <f>"30625125"</f>
        <v>30625125</v>
      </c>
      <c r="Z899" t="str">
        <f>""</f>
        <v/>
      </c>
      <c r="AA899" t="str">
        <f>""</f>
        <v/>
      </c>
      <c r="AB899" t="str">
        <f>""</f>
        <v/>
      </c>
      <c r="AC899" t="str">
        <f>""</f>
        <v/>
      </c>
      <c r="AD899" t="str">
        <f>""</f>
        <v/>
      </c>
      <c r="AE899" t="str">
        <f>""</f>
        <v/>
      </c>
      <c r="AF899" t="str">
        <f>""</f>
        <v/>
      </c>
      <c r="AG899" t="str">
        <f>"S"</f>
        <v>S</v>
      </c>
      <c r="AH899" t="str">
        <f>""</f>
        <v/>
      </c>
      <c r="AI899" t="str">
        <f>""</f>
        <v/>
      </c>
      <c r="AJ899" t="str">
        <f>"0"</f>
        <v>0</v>
      </c>
      <c r="AK899" t="str">
        <f>"0"</f>
        <v>0</v>
      </c>
      <c r="AL899" t="str">
        <f>"0"</f>
        <v>0</v>
      </c>
      <c r="AM899" t="str">
        <f>""</f>
        <v/>
      </c>
      <c r="AN899" t="str">
        <f>""</f>
        <v/>
      </c>
      <c r="AO899" t="str">
        <f>""</f>
        <v/>
      </c>
      <c r="AP899" t="str">
        <f>""</f>
        <v/>
      </c>
      <c r="AQ899" t="str">
        <f t="shared" si="454"/>
        <v>N</v>
      </c>
      <c r="AR899" t="str">
        <f t="shared" si="454"/>
        <v>N</v>
      </c>
      <c r="AS899" t="str">
        <f t="shared" si="454"/>
        <v>N</v>
      </c>
      <c r="AT899" t="str">
        <f t="shared" si="454"/>
        <v>N</v>
      </c>
      <c r="AU899" t="str">
        <f t="shared" si="454"/>
        <v>N</v>
      </c>
      <c r="AV899" t="str">
        <f>""</f>
        <v/>
      </c>
      <c r="AW899" t="str">
        <f>""</f>
        <v/>
      </c>
      <c r="AX899" t="str">
        <f>""</f>
        <v/>
      </c>
      <c r="AY899" t="str">
        <f>""</f>
        <v/>
      </c>
      <c r="AZ899" t="str">
        <f>""</f>
        <v/>
      </c>
      <c r="BA899" t="str">
        <f>""</f>
        <v/>
      </c>
      <c r="BB899" t="str">
        <f>"05/08/2019 10:41:00"</f>
        <v>05/08/2019 10:41:00</v>
      </c>
      <c r="BC899" t="str">
        <f>"29/12/2021 13:50:31"</f>
        <v>29/12/2021 13:50:31</v>
      </c>
      <c r="BD899" t="str">
        <f>""</f>
        <v/>
      </c>
      <c r="BE899" t="str">
        <f>""</f>
        <v/>
      </c>
      <c r="BF899" t="str">
        <f t="shared" si="455"/>
        <v>A</v>
      </c>
      <c r="BG899" t="str">
        <f>"0,00"</f>
        <v>0,00</v>
      </c>
      <c r="BH899" t="str">
        <f>"0,00"</f>
        <v>0,00</v>
      </c>
      <c r="BI899" t="str">
        <f t="shared" si="443"/>
        <v>EVENTUAL</v>
      </c>
      <c r="BJ899" t="str">
        <f t="shared" si="456"/>
        <v>1</v>
      </c>
      <c r="BK899" t="str">
        <f t="shared" si="457"/>
        <v>Farmacia</v>
      </c>
      <c r="BL899" t="str">
        <f>""</f>
        <v/>
      </c>
      <c r="BM899" t="str">
        <f>"NÃO É VARILUX ESPECIALISTA"</f>
        <v>NÃO É VARILUX ESPECIALISTA</v>
      </c>
      <c r="BN899" t="str">
        <f>"NA"</f>
        <v>NA</v>
      </c>
      <c r="BO899" t="str">
        <f>"FOCO VARILUX"</f>
        <v>FOCO VARILUX</v>
      </c>
      <c r="BP899" t="str">
        <f>""</f>
        <v/>
      </c>
      <c r="BQ899" t="str">
        <f>""</f>
        <v/>
      </c>
      <c r="BR899" t="str">
        <f>"05/08/2019"</f>
        <v>05/08/2019</v>
      </c>
      <c r="BS899" t="str">
        <f>"29/12/2021"</f>
        <v>29/12/2021</v>
      </c>
      <c r="BT899" t="str">
        <f>""</f>
        <v/>
      </c>
      <c r="BU899" t="str">
        <f>""</f>
        <v/>
      </c>
      <c r="BV899" t="str">
        <f>"9"</f>
        <v>9</v>
      </c>
      <c r="BW899" t="str">
        <f>"7"</f>
        <v>7</v>
      </c>
    </row>
    <row r="900" spans="1:75" x14ac:dyDescent="0.35">
      <c r="A900">
        <v>156865</v>
      </c>
      <c r="B900" t="str">
        <f t="shared" si="451"/>
        <v>A</v>
      </c>
      <c r="C900" t="str">
        <f t="shared" si="452"/>
        <v>80</v>
      </c>
      <c r="D900" t="str">
        <f t="shared" si="446"/>
        <v>11121002</v>
      </c>
      <c r="E900" t="str">
        <f t="shared" si="447"/>
        <v>121002</v>
      </c>
      <c r="F900" t="str">
        <f t="shared" si="448"/>
        <v>CINTHIA NORONHA</v>
      </c>
      <c r="G900" t="str">
        <f>"33649925000206"</f>
        <v>33649925000206</v>
      </c>
      <c r="H900" t="str">
        <f>"0"</f>
        <v>0</v>
      </c>
      <c r="I900" t="str">
        <f t="shared" si="453"/>
        <v>CONTA OPTICA</v>
      </c>
      <c r="J900" t="str">
        <f>"NILOFLORIPA OTICA LTDA"</f>
        <v>NILOFLORIPA OTICA LTDA</v>
      </c>
      <c r="K900" t="str">
        <f>"OTICA DINIZ (4608)"</f>
        <v>OTICA DINIZ (4608)</v>
      </c>
      <c r="L900" t="str">
        <f>""</f>
        <v/>
      </c>
      <c r="M900" t="str">
        <f>""</f>
        <v/>
      </c>
      <c r="N900" t="str">
        <f>"AUXILIAR.CAIXA@OTICADINIZFLORIPA.COM.BR"</f>
        <v>AUXILIAR.CAIXA@OTICADINIZFLORIPA.COM.BR</v>
      </c>
      <c r="O900" t="str">
        <f>""</f>
        <v/>
      </c>
      <c r="P900" t="str">
        <f>"RUA JERONIMO COELHO"</f>
        <v>RUA JERONIMO COELHO</v>
      </c>
      <c r="Q900" t="str">
        <f>"170"</f>
        <v>170</v>
      </c>
      <c r="R900" t="str">
        <f>"LOJA 02"</f>
        <v>LOJA 02</v>
      </c>
      <c r="S900" t="str">
        <f>"1254"</f>
        <v>1254</v>
      </c>
      <c r="T900" t="str">
        <f>"88010030"</f>
        <v>88010030</v>
      </c>
      <c r="U900" t="str">
        <f>"CENTRO"</f>
        <v>CENTRO</v>
      </c>
      <c r="V900" t="str">
        <f>"FLORIANÓPOLIS"</f>
        <v>FLORIANÓPOLIS</v>
      </c>
      <c r="W900" t="str">
        <f t="shared" si="450"/>
        <v>SC</v>
      </c>
      <c r="X900" t="str">
        <f t="shared" si="449"/>
        <v>48</v>
      </c>
      <c r="Y900" t="str">
        <f>"930625125"</f>
        <v>930625125</v>
      </c>
      <c r="Z900" t="str">
        <f>""</f>
        <v/>
      </c>
      <c r="AA900" t="str">
        <f>""</f>
        <v/>
      </c>
      <c r="AB900" t="str">
        <f>""</f>
        <v/>
      </c>
      <c r="AC900" t="str">
        <f>""</f>
        <v/>
      </c>
      <c r="AD900" t="str">
        <f>""</f>
        <v/>
      </c>
      <c r="AE900" t="str">
        <f>""</f>
        <v/>
      </c>
      <c r="AF900" t="str">
        <f>""</f>
        <v/>
      </c>
      <c r="AG900" t="str">
        <f>"S"</f>
        <v>S</v>
      </c>
      <c r="AH900" t="str">
        <f>""</f>
        <v/>
      </c>
      <c r="AI900" t="str">
        <f>""</f>
        <v/>
      </c>
      <c r="AJ900" t="str">
        <f>""</f>
        <v/>
      </c>
      <c r="AK900" t="str">
        <f>""</f>
        <v/>
      </c>
      <c r="AL900" t="str">
        <f>""</f>
        <v/>
      </c>
      <c r="AM900" t="str">
        <f>""</f>
        <v/>
      </c>
      <c r="AN900" t="str">
        <f>""</f>
        <v/>
      </c>
      <c r="AO900" t="str">
        <f>""</f>
        <v/>
      </c>
      <c r="AP900" t="str">
        <f>""</f>
        <v/>
      </c>
      <c r="AQ900" t="str">
        <f t="shared" si="454"/>
        <v>N</v>
      </c>
      <c r="AR900" t="str">
        <f t="shared" si="454"/>
        <v>N</v>
      </c>
      <c r="AS900" t="str">
        <f t="shared" si="454"/>
        <v>N</v>
      </c>
      <c r="AT900" t="str">
        <f t="shared" si="454"/>
        <v>N</v>
      </c>
      <c r="AU900" t="str">
        <f t="shared" si="454"/>
        <v>N</v>
      </c>
      <c r="AV900" t="str">
        <f>""</f>
        <v/>
      </c>
      <c r="AW900" t="str">
        <f>""</f>
        <v/>
      </c>
      <c r="AX900" t="str">
        <f>""</f>
        <v/>
      </c>
      <c r="AY900" t="str">
        <f>""</f>
        <v/>
      </c>
      <c r="AZ900" t="str">
        <f>""</f>
        <v/>
      </c>
      <c r="BA900" t="str">
        <f>""</f>
        <v/>
      </c>
      <c r="BB900" t="str">
        <f>"06/07/2023 12:07:48"</f>
        <v>06/07/2023 12:07:48</v>
      </c>
      <c r="BC900" t="str">
        <f>"10/07/2023 09:38:30"</f>
        <v>10/07/2023 09:38:30</v>
      </c>
      <c r="BD900" t="str">
        <f>""</f>
        <v/>
      </c>
      <c r="BE900" t="str">
        <f>""</f>
        <v/>
      </c>
      <c r="BF900" t="str">
        <f t="shared" si="455"/>
        <v>A</v>
      </c>
      <c r="BG900" t="str">
        <f>""</f>
        <v/>
      </c>
      <c r="BH900" t="str">
        <f>"0,00"</f>
        <v>0,00</v>
      </c>
      <c r="BI900" t="str">
        <f t="shared" si="443"/>
        <v>EVENTUAL</v>
      </c>
      <c r="BJ900" t="str">
        <f t="shared" si="456"/>
        <v>1</v>
      </c>
      <c r="BK900" t="str">
        <f t="shared" si="457"/>
        <v>Farmacia</v>
      </c>
      <c r="BL900" t="str">
        <f>""</f>
        <v/>
      </c>
      <c r="BM900" t="str">
        <f>""</f>
        <v/>
      </c>
      <c r="BN900" t="str">
        <f>""</f>
        <v/>
      </c>
      <c r="BO900" t="str">
        <f>""</f>
        <v/>
      </c>
      <c r="BP900" t="str">
        <f>""</f>
        <v/>
      </c>
      <c r="BQ900" t="str">
        <f>""</f>
        <v/>
      </c>
      <c r="BR900" t="str">
        <f>"06/07/2023"</f>
        <v>06/07/2023</v>
      </c>
      <c r="BS900" t="str">
        <f>"10/07/2023"</f>
        <v>10/07/2023</v>
      </c>
      <c r="BT900" t="str">
        <f>""</f>
        <v/>
      </c>
      <c r="BU900" t="str">
        <f>""</f>
        <v/>
      </c>
      <c r="BV900" t="str">
        <f>""</f>
        <v/>
      </c>
      <c r="BW900" t="str">
        <f>"36"</f>
        <v>36</v>
      </c>
    </row>
    <row r="901" spans="1:75" x14ac:dyDescent="0.35">
      <c r="A901">
        <v>157708</v>
      </c>
      <c r="B901" t="str">
        <f t="shared" si="451"/>
        <v>A</v>
      </c>
      <c r="C901" t="str">
        <f t="shared" si="452"/>
        <v>80</v>
      </c>
      <c r="D901" t="str">
        <f t="shared" si="446"/>
        <v>11121002</v>
      </c>
      <c r="E901" t="str">
        <f t="shared" si="447"/>
        <v>121002</v>
      </c>
      <c r="F901" t="str">
        <f t="shared" si="448"/>
        <v>CINTHIA NORONHA</v>
      </c>
      <c r="G901" t="str">
        <f>"21206581000192"</f>
        <v>21206581000192</v>
      </c>
      <c r="H901" t="str">
        <f>"0"</f>
        <v>0</v>
      </c>
      <c r="I901" t="str">
        <f t="shared" si="453"/>
        <v>CONTA OPTICA</v>
      </c>
      <c r="J901" t="str">
        <f>"NILSON MARCHIORO JUNIOR ME"</f>
        <v>NILSON MARCHIORO JUNIOR ME</v>
      </c>
      <c r="K901" t="str">
        <f>"VISÓTICA (2188)"</f>
        <v>VISÓTICA (2188)</v>
      </c>
      <c r="L901" t="str">
        <f>""</f>
        <v/>
      </c>
      <c r="M901" t="str">
        <f>""</f>
        <v/>
      </c>
      <c r="N901" t="str">
        <f>"VISOTICAJURERE@HOTMAIL.COM"</f>
        <v>VISOTICAJURERE@HOTMAIL.COM</v>
      </c>
      <c r="O901" t="str">
        <f>""</f>
        <v/>
      </c>
      <c r="P901" t="str">
        <f>"RUA DOS BUZIOS"</f>
        <v>RUA DOS BUZIOS</v>
      </c>
      <c r="Q901" t="str">
        <f>"1760"</f>
        <v>1760</v>
      </c>
      <c r="R901" t="str">
        <f>"LOJA 9 TORRE 1"</f>
        <v>LOJA 9 TORRE 1</v>
      </c>
      <c r="S901" t="str">
        <f>"1257"</f>
        <v>1257</v>
      </c>
      <c r="T901" t="str">
        <f>"88053301"</f>
        <v>88053301</v>
      </c>
      <c r="U901" t="str">
        <f>"JURERE INTERNACIONAL"</f>
        <v>JURERE INTERNACIONAL</v>
      </c>
      <c r="V901" t="str">
        <f>"FLORIANOPOLIS"</f>
        <v>FLORIANOPOLIS</v>
      </c>
      <c r="W901" t="str">
        <f t="shared" si="450"/>
        <v>SC</v>
      </c>
      <c r="X901" t="str">
        <f t="shared" si="449"/>
        <v>48</v>
      </c>
      <c r="Y901" t="str">
        <f>"32821639"</f>
        <v>32821639</v>
      </c>
      <c r="Z901" t="str">
        <f>""</f>
        <v/>
      </c>
      <c r="AA901" t="str">
        <f>""</f>
        <v/>
      </c>
      <c r="AB901" t="str">
        <f>""</f>
        <v/>
      </c>
      <c r="AC901" t="str">
        <f>""</f>
        <v/>
      </c>
      <c r="AD901" t="str">
        <f>""</f>
        <v/>
      </c>
      <c r="AE901" t="str">
        <f>""</f>
        <v/>
      </c>
      <c r="AF901" t="str">
        <f>""</f>
        <v/>
      </c>
      <c r="AG901" t="str">
        <f>""</f>
        <v/>
      </c>
      <c r="AH901" t="str">
        <f>""</f>
        <v/>
      </c>
      <c r="AI901" t="str">
        <f>""</f>
        <v/>
      </c>
      <c r="AJ901" t="str">
        <f>""</f>
        <v/>
      </c>
      <c r="AK901" t="str">
        <f>""</f>
        <v/>
      </c>
      <c r="AL901" t="str">
        <f>""</f>
        <v/>
      </c>
      <c r="AM901" t="str">
        <f>""</f>
        <v/>
      </c>
      <c r="AN901" t="str">
        <f>""</f>
        <v/>
      </c>
      <c r="AO901" t="str">
        <f>""</f>
        <v/>
      </c>
      <c r="AP901" t="str">
        <f>""</f>
        <v/>
      </c>
      <c r="AQ901" t="str">
        <f>""</f>
        <v/>
      </c>
      <c r="AR901" t="str">
        <f>""</f>
        <v/>
      </c>
      <c r="AS901" t="str">
        <f>""</f>
        <v/>
      </c>
      <c r="AT901" t="str">
        <f>""</f>
        <v/>
      </c>
      <c r="AU901" t="str">
        <f>""</f>
        <v/>
      </c>
      <c r="AV901" t="str">
        <f>""</f>
        <v/>
      </c>
      <c r="AW901" t="str">
        <f>""</f>
        <v/>
      </c>
      <c r="AX901" t="str">
        <f>""</f>
        <v/>
      </c>
      <c r="AY901" t="str">
        <f>""</f>
        <v/>
      </c>
      <c r="AZ901" t="str">
        <f>""</f>
        <v/>
      </c>
      <c r="BA901" t="str">
        <f>""</f>
        <v/>
      </c>
      <c r="BB901" t="str">
        <f>"11/07/2023 02:19:56"</f>
        <v>11/07/2023 02:19:56</v>
      </c>
      <c r="BC901" t="str">
        <f>""</f>
        <v/>
      </c>
      <c r="BD901" t="str">
        <f>""</f>
        <v/>
      </c>
      <c r="BE901" t="str">
        <f>""</f>
        <v/>
      </c>
      <c r="BF901" t="str">
        <f t="shared" si="455"/>
        <v>A</v>
      </c>
      <c r="BG901" t="str">
        <f>""</f>
        <v/>
      </c>
      <c r="BH901" t="str">
        <f>""</f>
        <v/>
      </c>
      <c r="BI901" t="str">
        <f t="shared" si="443"/>
        <v>EVENTUAL</v>
      </c>
      <c r="BJ901" t="str">
        <f t="shared" si="456"/>
        <v>1</v>
      </c>
      <c r="BK901" t="str">
        <f t="shared" si="457"/>
        <v>Farmacia</v>
      </c>
      <c r="BL901" t="str">
        <f>""</f>
        <v/>
      </c>
      <c r="BM901" t="str">
        <f>""</f>
        <v/>
      </c>
      <c r="BN901" t="str">
        <f>""</f>
        <v/>
      </c>
      <c r="BO901" t="str">
        <f>""</f>
        <v/>
      </c>
      <c r="BP901" t="str">
        <f>""</f>
        <v/>
      </c>
      <c r="BQ901" t="str">
        <f>""</f>
        <v/>
      </c>
      <c r="BR901" t="str">
        <f>"11/07/2023"</f>
        <v>11/07/2023</v>
      </c>
      <c r="BS901" t="str">
        <f>""</f>
        <v/>
      </c>
      <c r="BT901" t="str">
        <f>""</f>
        <v/>
      </c>
      <c r="BU901" t="str">
        <f>""</f>
        <v/>
      </c>
      <c r="BV901" t="str">
        <f>""</f>
        <v/>
      </c>
      <c r="BW901" t="str">
        <f t="shared" ref="BW901:BW906" si="458">"Não visitado"</f>
        <v>Não visitado</v>
      </c>
    </row>
    <row r="902" spans="1:75" x14ac:dyDescent="0.35">
      <c r="A902">
        <v>157697</v>
      </c>
      <c r="B902" t="str">
        <f t="shared" si="451"/>
        <v>A</v>
      </c>
      <c r="C902" t="str">
        <f t="shared" si="452"/>
        <v>80</v>
      </c>
      <c r="D902" t="str">
        <f t="shared" si="446"/>
        <v>11121002</v>
      </c>
      <c r="E902" t="str">
        <f t="shared" si="447"/>
        <v>121002</v>
      </c>
      <c r="F902" t="str">
        <f t="shared" si="448"/>
        <v>CINTHIA NORONHA</v>
      </c>
      <c r="G902" t="str">
        <f>"29910744000125"</f>
        <v>29910744000125</v>
      </c>
      <c r="H902" t="str">
        <f>"0"</f>
        <v>0</v>
      </c>
      <c r="I902" t="str">
        <f t="shared" si="453"/>
        <v>CONTA OPTICA</v>
      </c>
      <c r="J902" t="str">
        <f>"NILTON AUGUSTO FERREIRA 91074789920"</f>
        <v>NILTON AUGUSTO FERREIRA 91074789920</v>
      </c>
      <c r="K902" t="str">
        <f>"USA RELOGIOS E ACESSORIOS (4103)"</f>
        <v>USA RELOGIOS E ACESSORIOS (4103)</v>
      </c>
      <c r="L902" t="str">
        <f>""</f>
        <v/>
      </c>
      <c r="M902" t="str">
        <f>""</f>
        <v/>
      </c>
      <c r="N902" t="str">
        <f>"ADM.NILTON@GMAIL.COM"</f>
        <v>ADM.NILTON@GMAIL.COM</v>
      </c>
      <c r="O902" t="str">
        <f>""</f>
        <v/>
      </c>
      <c r="P902" t="str">
        <f>"SALVADOR DI BERNARDI"</f>
        <v>SALVADOR DI BERNARDI</v>
      </c>
      <c r="Q902" t="str">
        <f>"680"</f>
        <v>680</v>
      </c>
      <c r="R902" t="str">
        <f>"APTO 403"</f>
        <v>APTO 403</v>
      </c>
      <c r="S902" t="str">
        <f>""</f>
        <v/>
      </c>
      <c r="T902" t="str">
        <f>"88101260"</f>
        <v>88101260</v>
      </c>
      <c r="U902" t="str">
        <f>"CAMPINAS"</f>
        <v>CAMPINAS</v>
      </c>
      <c r="V902" t="str">
        <f>"SAO JOSE"</f>
        <v>SAO JOSE</v>
      </c>
      <c r="W902" t="str">
        <f t="shared" si="450"/>
        <v>SC</v>
      </c>
      <c r="X902" t="str">
        <f t="shared" si="449"/>
        <v>48</v>
      </c>
      <c r="Y902" t="str">
        <f>"999114663"</f>
        <v>999114663</v>
      </c>
      <c r="Z902" t="str">
        <f>""</f>
        <v/>
      </c>
      <c r="AA902" t="str">
        <f>""</f>
        <v/>
      </c>
      <c r="AB902" t="str">
        <f>""</f>
        <v/>
      </c>
      <c r="AC902" t="str">
        <f>""</f>
        <v/>
      </c>
      <c r="AD902" t="str">
        <f>""</f>
        <v/>
      </c>
      <c r="AE902" t="str">
        <f>""</f>
        <v/>
      </c>
      <c r="AF902" t="str">
        <f>""</f>
        <v/>
      </c>
      <c r="AG902" t="str">
        <f>""</f>
        <v/>
      </c>
      <c r="AH902" t="str">
        <f>""</f>
        <v/>
      </c>
      <c r="AI902" t="str">
        <f>""</f>
        <v/>
      </c>
      <c r="AJ902" t="str">
        <f>""</f>
        <v/>
      </c>
      <c r="AK902" t="str">
        <f>""</f>
        <v/>
      </c>
      <c r="AL902" t="str">
        <f>""</f>
        <v/>
      </c>
      <c r="AM902" t="str">
        <f>""</f>
        <v/>
      </c>
      <c r="AN902" t="str">
        <f>""</f>
        <v/>
      </c>
      <c r="AO902" t="str">
        <f>""</f>
        <v/>
      </c>
      <c r="AP902" t="str">
        <f>""</f>
        <v/>
      </c>
      <c r="AQ902" t="str">
        <f>""</f>
        <v/>
      </c>
      <c r="AR902" t="str">
        <f>""</f>
        <v/>
      </c>
      <c r="AS902" t="str">
        <f>""</f>
        <v/>
      </c>
      <c r="AT902" t="str">
        <f>""</f>
        <v/>
      </c>
      <c r="AU902" t="str">
        <f>""</f>
        <v/>
      </c>
      <c r="AV902" t="str">
        <f>""</f>
        <v/>
      </c>
      <c r="AW902" t="str">
        <f>""</f>
        <v/>
      </c>
      <c r="AX902" t="str">
        <f>""</f>
        <v/>
      </c>
      <c r="AY902" t="str">
        <f>""</f>
        <v/>
      </c>
      <c r="AZ902" t="str">
        <f>""</f>
        <v/>
      </c>
      <c r="BA902" t="str">
        <f>""</f>
        <v/>
      </c>
      <c r="BB902" t="str">
        <f>"11/07/2023 02:19:56"</f>
        <v>11/07/2023 02:19:56</v>
      </c>
      <c r="BC902" t="str">
        <f>""</f>
        <v/>
      </c>
      <c r="BD902" t="str">
        <f>""</f>
        <v/>
      </c>
      <c r="BE902" t="str">
        <f>""</f>
        <v/>
      </c>
      <c r="BF902" t="str">
        <f t="shared" si="455"/>
        <v>A</v>
      </c>
      <c r="BG902" t="str">
        <f>""</f>
        <v/>
      </c>
      <c r="BH902" t="str">
        <f>""</f>
        <v/>
      </c>
      <c r="BI902" t="str">
        <f t="shared" si="443"/>
        <v>EVENTUAL</v>
      </c>
      <c r="BJ902" t="str">
        <f t="shared" si="456"/>
        <v>1</v>
      </c>
      <c r="BK902" t="str">
        <f t="shared" si="457"/>
        <v>Farmacia</v>
      </c>
      <c r="BL902" t="str">
        <f>""</f>
        <v/>
      </c>
      <c r="BM902" t="str">
        <f>""</f>
        <v/>
      </c>
      <c r="BN902" t="str">
        <f>""</f>
        <v/>
      </c>
      <c r="BO902" t="str">
        <f>""</f>
        <v/>
      </c>
      <c r="BP902" t="str">
        <f>""</f>
        <v/>
      </c>
      <c r="BQ902" t="str">
        <f>""</f>
        <v/>
      </c>
      <c r="BR902" t="str">
        <f>"11/07/2023"</f>
        <v>11/07/2023</v>
      </c>
      <c r="BS902" t="str">
        <f>""</f>
        <v/>
      </c>
      <c r="BT902" t="str">
        <f>""</f>
        <v/>
      </c>
      <c r="BU902" t="str">
        <f>""</f>
        <v/>
      </c>
      <c r="BV902" t="str">
        <f>""</f>
        <v/>
      </c>
      <c r="BW902" t="str">
        <f t="shared" si="458"/>
        <v>Não visitado</v>
      </c>
    </row>
    <row r="903" spans="1:75" x14ac:dyDescent="0.35">
      <c r="A903">
        <v>157709</v>
      </c>
      <c r="B903" t="str">
        <f t="shared" si="451"/>
        <v>A</v>
      </c>
      <c r="C903" t="str">
        <f t="shared" si="452"/>
        <v>80</v>
      </c>
      <c r="D903" t="str">
        <f t="shared" si="446"/>
        <v>11121002</v>
      </c>
      <c r="E903" t="str">
        <f t="shared" si="447"/>
        <v>121002</v>
      </c>
      <c r="F903" t="str">
        <f t="shared" si="448"/>
        <v>CINTHIA NORONHA</v>
      </c>
      <c r="G903" t="str">
        <f>"05642460000137"</f>
        <v>05642460000137</v>
      </c>
      <c r="H903" t="str">
        <f>"0"</f>
        <v>0</v>
      </c>
      <c r="I903" t="str">
        <f t="shared" si="453"/>
        <v>CONTA OPTICA</v>
      </c>
      <c r="J903" t="str">
        <f>"NOELY SOARES ME"</f>
        <v>NOELY SOARES ME</v>
      </c>
      <c r="K903" t="str">
        <f>"STAR PRATAS RELOJOARIA E OTICA (2103)"</f>
        <v>STAR PRATAS RELOJOARIA E OTICA (2103)</v>
      </c>
      <c r="L903" t="str">
        <f>""</f>
        <v/>
      </c>
      <c r="M903" t="str">
        <f>""</f>
        <v/>
      </c>
      <c r="N903" t="str">
        <f>"starpratas1@hotmail.com"</f>
        <v>starpratas1@hotmail.com</v>
      </c>
      <c r="O903" t="str">
        <f>""</f>
        <v/>
      </c>
      <c r="P903" t="str">
        <f>"RUA LUCIO BORN"</f>
        <v>RUA LUCIO BORN</v>
      </c>
      <c r="Q903" t="str">
        <f>"55"</f>
        <v>55</v>
      </c>
      <c r="R903" t="str">
        <f>"SALA 04"</f>
        <v>SALA 04</v>
      </c>
      <c r="S903" t="str">
        <f>"1259"</f>
        <v>1259</v>
      </c>
      <c r="T903" t="str">
        <f>"88160000"</f>
        <v>88160000</v>
      </c>
      <c r="U903" t="str">
        <f>"CENTRO"</f>
        <v>CENTRO</v>
      </c>
      <c r="V903" t="str">
        <f>"BIGUACU"</f>
        <v>BIGUACU</v>
      </c>
      <c r="W903" t="str">
        <f t="shared" si="450"/>
        <v>SC</v>
      </c>
      <c r="X903" t="str">
        <f t="shared" si="449"/>
        <v>48</v>
      </c>
      <c r="Y903" t="str">
        <f>"32435434"</f>
        <v>32435434</v>
      </c>
      <c r="Z903" t="str">
        <f>""</f>
        <v/>
      </c>
      <c r="AA903" t="str">
        <f>""</f>
        <v/>
      </c>
      <c r="AB903" t="str">
        <f>""</f>
        <v/>
      </c>
      <c r="AC903" t="str">
        <f>""</f>
        <v/>
      </c>
      <c r="AD903" t="str">
        <f>""</f>
        <v/>
      </c>
      <c r="AE903" t="str">
        <f>""</f>
        <v/>
      </c>
      <c r="AF903" t="str">
        <f>""</f>
        <v/>
      </c>
      <c r="AG903" t="str">
        <f>""</f>
        <v/>
      </c>
      <c r="AH903" t="str">
        <f>""</f>
        <v/>
      </c>
      <c r="AI903" t="str">
        <f>""</f>
        <v/>
      </c>
      <c r="AJ903" t="str">
        <f>""</f>
        <v/>
      </c>
      <c r="AK903" t="str">
        <f>""</f>
        <v/>
      </c>
      <c r="AL903" t="str">
        <f>""</f>
        <v/>
      </c>
      <c r="AM903" t="str">
        <f>""</f>
        <v/>
      </c>
      <c r="AN903" t="str">
        <f>""</f>
        <v/>
      </c>
      <c r="AO903" t="str">
        <f>""</f>
        <v/>
      </c>
      <c r="AP903" t="str">
        <f>""</f>
        <v/>
      </c>
      <c r="AQ903" t="str">
        <f>""</f>
        <v/>
      </c>
      <c r="AR903" t="str">
        <f>""</f>
        <v/>
      </c>
      <c r="AS903" t="str">
        <f>""</f>
        <v/>
      </c>
      <c r="AT903" t="str">
        <f>""</f>
        <v/>
      </c>
      <c r="AU903" t="str">
        <f>""</f>
        <v/>
      </c>
      <c r="AV903" t="str">
        <f>""</f>
        <v/>
      </c>
      <c r="AW903" t="str">
        <f>""</f>
        <v/>
      </c>
      <c r="AX903" t="str">
        <f>""</f>
        <v/>
      </c>
      <c r="AY903" t="str">
        <f>""</f>
        <v/>
      </c>
      <c r="AZ903" t="str">
        <f>""</f>
        <v/>
      </c>
      <c r="BA903" t="str">
        <f>""</f>
        <v/>
      </c>
      <c r="BB903" t="str">
        <f>"11/07/2023 02:19:56"</f>
        <v>11/07/2023 02:19:56</v>
      </c>
      <c r="BC903" t="str">
        <f>""</f>
        <v/>
      </c>
      <c r="BD903" t="str">
        <f>""</f>
        <v/>
      </c>
      <c r="BE903" t="str">
        <f>""</f>
        <v/>
      </c>
      <c r="BF903" t="str">
        <f t="shared" si="455"/>
        <v>A</v>
      </c>
      <c r="BG903" t="str">
        <f>""</f>
        <v/>
      </c>
      <c r="BH903" t="str">
        <f>""</f>
        <v/>
      </c>
      <c r="BI903" t="str">
        <f t="shared" si="443"/>
        <v>EVENTUAL</v>
      </c>
      <c r="BJ903" t="str">
        <f t="shared" si="456"/>
        <v>1</v>
      </c>
      <c r="BK903" t="str">
        <f t="shared" si="457"/>
        <v>Farmacia</v>
      </c>
      <c r="BL903" t="str">
        <f>""</f>
        <v/>
      </c>
      <c r="BM903" t="str">
        <f>""</f>
        <v/>
      </c>
      <c r="BN903" t="str">
        <f>""</f>
        <v/>
      </c>
      <c r="BO903" t="str">
        <f>""</f>
        <v/>
      </c>
      <c r="BP903" t="str">
        <f>""</f>
        <v/>
      </c>
      <c r="BQ903" t="str">
        <f>""</f>
        <v/>
      </c>
      <c r="BR903" t="str">
        <f>"11/07/2023"</f>
        <v>11/07/2023</v>
      </c>
      <c r="BS903" t="str">
        <f>""</f>
        <v/>
      </c>
      <c r="BT903" t="str">
        <f>""</f>
        <v/>
      </c>
      <c r="BU903" t="str">
        <f>""</f>
        <v/>
      </c>
      <c r="BV903" t="str">
        <f>""</f>
        <v/>
      </c>
      <c r="BW903" t="str">
        <f t="shared" si="458"/>
        <v>Não visitado</v>
      </c>
    </row>
    <row r="904" spans="1:75" x14ac:dyDescent="0.35">
      <c r="A904">
        <v>20</v>
      </c>
      <c r="B904" t="str">
        <f t="shared" si="451"/>
        <v>A</v>
      </c>
      <c r="C904" t="str">
        <f t="shared" si="452"/>
        <v>80</v>
      </c>
      <c r="D904" t="str">
        <f t="shared" si="446"/>
        <v>11121002</v>
      </c>
      <c r="E904" t="str">
        <f t="shared" si="447"/>
        <v>121002</v>
      </c>
      <c r="F904" t="str">
        <f t="shared" si="448"/>
        <v>CINTHIA NORONHA</v>
      </c>
      <c r="G904" t="str">
        <f>"01209544000120"</f>
        <v>01209544000120</v>
      </c>
      <c r="H904" t="str">
        <f>""</f>
        <v/>
      </c>
      <c r="I904" t="str">
        <f t="shared" si="453"/>
        <v>CONTA OPTICA</v>
      </c>
      <c r="J904" t="str">
        <f>"NORMA FERRO DE SOUZA ME"</f>
        <v>NORMA FERRO DE SOUZA ME</v>
      </c>
      <c r="K904" t="str">
        <f>"OTICA SOUZA (1029)"</f>
        <v>OTICA SOUZA (1029)</v>
      </c>
      <c r="L904" t="str">
        <f>""</f>
        <v/>
      </c>
      <c r="M904" t="str">
        <f>""</f>
        <v/>
      </c>
      <c r="N904" t="str">
        <f>"oticasouzaicara@gmail.com"</f>
        <v>oticasouzaicara@gmail.com</v>
      </c>
      <c r="O904" t="str">
        <f>""</f>
        <v/>
      </c>
      <c r="P904" t="str">
        <f>"RUA CORONEL MARCOS ROVARIS"</f>
        <v>RUA CORONEL MARCOS ROVARIS</v>
      </c>
      <c r="Q904" t="str">
        <f>"404"</f>
        <v>404</v>
      </c>
      <c r="R904" t="str">
        <f>""</f>
        <v/>
      </c>
      <c r="S904" t="str">
        <f>"1269"</f>
        <v>1269</v>
      </c>
      <c r="T904" t="str">
        <f>"88820000"</f>
        <v>88820000</v>
      </c>
      <c r="U904" t="str">
        <f>"CENTRO"</f>
        <v>CENTRO</v>
      </c>
      <c r="V904" t="str">
        <f>"IÇARA"</f>
        <v>IÇARA</v>
      </c>
      <c r="W904" t="str">
        <f t="shared" si="450"/>
        <v>SC</v>
      </c>
      <c r="X904" t="str">
        <f t="shared" si="449"/>
        <v>48</v>
      </c>
      <c r="Y904" t="str">
        <f>"34323304"</f>
        <v>34323304</v>
      </c>
      <c r="Z904" t="str">
        <f>""</f>
        <v/>
      </c>
      <c r="AA904" t="str">
        <f>""</f>
        <v/>
      </c>
      <c r="AB904" t="str">
        <f>""</f>
        <v/>
      </c>
      <c r="AC904" t="str">
        <f>""</f>
        <v/>
      </c>
      <c r="AD904" t="str">
        <f>""</f>
        <v/>
      </c>
      <c r="AE904" t="str">
        <f>""</f>
        <v/>
      </c>
      <c r="AF904" t="str">
        <f>""</f>
        <v/>
      </c>
      <c r="AG904" t="str">
        <f>""</f>
        <v/>
      </c>
      <c r="AH904" t="str">
        <f>""</f>
        <v/>
      </c>
      <c r="AI904" t="str">
        <f>""</f>
        <v/>
      </c>
      <c r="AJ904" t="str">
        <f>"0"</f>
        <v>0</v>
      </c>
      <c r="AK904" t="str">
        <f>"0"</f>
        <v>0</v>
      </c>
      <c r="AL904" t="str">
        <f>"0"</f>
        <v>0</v>
      </c>
      <c r="AM904" t="str">
        <f>""</f>
        <v/>
      </c>
      <c r="AN904" t="str">
        <f>""</f>
        <v/>
      </c>
      <c r="AO904" t="str">
        <f>""</f>
        <v/>
      </c>
      <c r="AP904" t="str">
        <f>""</f>
        <v/>
      </c>
      <c r="AQ904" t="str">
        <f>""</f>
        <v/>
      </c>
      <c r="AR904" t="str">
        <f>""</f>
        <v/>
      </c>
      <c r="AS904" t="str">
        <f>""</f>
        <v/>
      </c>
      <c r="AT904" t="str">
        <f>""</f>
        <v/>
      </c>
      <c r="AU904" t="str">
        <f>""</f>
        <v/>
      </c>
      <c r="AV904" t="str">
        <f>""</f>
        <v/>
      </c>
      <c r="AW904" t="str">
        <f>""</f>
        <v/>
      </c>
      <c r="AX904" t="str">
        <f>""</f>
        <v/>
      </c>
      <c r="AY904" t="str">
        <f>""</f>
        <v/>
      </c>
      <c r="AZ904" t="str">
        <f>""</f>
        <v/>
      </c>
      <c r="BA904" t="str">
        <f>""</f>
        <v/>
      </c>
      <c r="BB904" t="str">
        <f>"27/07/2018 09:25:31"</f>
        <v>27/07/2018 09:25:31</v>
      </c>
      <c r="BC904" t="str">
        <f>""</f>
        <v/>
      </c>
      <c r="BD904" t="str">
        <f>""</f>
        <v/>
      </c>
      <c r="BE904" t="str">
        <f>"20"</f>
        <v>20</v>
      </c>
      <c r="BF904" t="str">
        <f t="shared" si="455"/>
        <v>A</v>
      </c>
      <c r="BG904" t="str">
        <f>"0,00"</f>
        <v>0,00</v>
      </c>
      <c r="BH904" t="str">
        <f>"0,00"</f>
        <v>0,00</v>
      </c>
      <c r="BI904" t="str">
        <f t="shared" si="443"/>
        <v>EVENTUAL</v>
      </c>
      <c r="BJ904" t="str">
        <f t="shared" si="456"/>
        <v>1</v>
      </c>
      <c r="BK904" t="str">
        <f t="shared" si="457"/>
        <v>Farmacia</v>
      </c>
      <c r="BL904" t="str">
        <f>""</f>
        <v/>
      </c>
      <c r="BM904" t="str">
        <f>"NÃO É VARILUX ESPECIALISTA"</f>
        <v>NÃO É VARILUX ESPECIALISTA</v>
      </c>
      <c r="BN904" t="str">
        <f>"NA"</f>
        <v>NA</v>
      </c>
      <c r="BO904" t="str">
        <f>"FOCO VARILUX DIGITAL"</f>
        <v>FOCO VARILUX DIGITAL</v>
      </c>
      <c r="BP904" t="str">
        <f>""</f>
        <v/>
      </c>
      <c r="BQ904" t="str">
        <f>""</f>
        <v/>
      </c>
      <c r="BR904" t="str">
        <f>"27/07/2018"</f>
        <v>27/07/2018</v>
      </c>
      <c r="BS904" t="str">
        <f>""</f>
        <v/>
      </c>
      <c r="BT904" t="str">
        <f>""</f>
        <v/>
      </c>
      <c r="BU904" t="str">
        <f>""</f>
        <v/>
      </c>
      <c r="BV904" t="str">
        <f>"9"</f>
        <v>9</v>
      </c>
      <c r="BW904" t="str">
        <f t="shared" si="458"/>
        <v>Não visitado</v>
      </c>
    </row>
    <row r="905" spans="1:75" x14ac:dyDescent="0.35">
      <c r="A905">
        <v>157719</v>
      </c>
      <c r="B905" t="str">
        <f t="shared" si="451"/>
        <v>A</v>
      </c>
      <c r="C905" t="str">
        <f t="shared" si="452"/>
        <v>80</v>
      </c>
      <c r="D905" t="str">
        <f t="shared" si="446"/>
        <v>11121002</v>
      </c>
      <c r="E905" t="str">
        <f t="shared" si="447"/>
        <v>121002</v>
      </c>
      <c r="F905" t="str">
        <f t="shared" si="448"/>
        <v>CINTHIA NORONHA</v>
      </c>
      <c r="G905" t="str">
        <f>"97530529000159"</f>
        <v>97530529000159</v>
      </c>
      <c r="H905" t="str">
        <f>"0"</f>
        <v>0</v>
      </c>
      <c r="I905" t="str">
        <f t="shared" si="453"/>
        <v>CONTA OPTICA</v>
      </c>
      <c r="J905" t="str">
        <f>"NORMA PIRES DE SOUZA ME"</f>
        <v>NORMA PIRES DE SOUZA ME</v>
      </c>
      <c r="K905" t="str">
        <f>"OTICA SOUZA (1861)"</f>
        <v>OTICA SOUZA (1861)</v>
      </c>
      <c r="L905" t="str">
        <f>""</f>
        <v/>
      </c>
      <c r="M905" t="str">
        <f>""</f>
        <v/>
      </c>
      <c r="N905" t="str">
        <f>"OTICASOUZA@GMAIL.COM"</f>
        <v>OTICASOUZA@GMAIL.COM</v>
      </c>
      <c r="O905" t="str">
        <f>""</f>
        <v/>
      </c>
      <c r="P905" t="str">
        <f>"RUA LEDIO JOAO MARTINS"</f>
        <v>RUA LEDIO JOAO MARTINS</v>
      </c>
      <c r="Q905" t="str">
        <f>"1244"</f>
        <v>1244</v>
      </c>
      <c r="R905" t="str">
        <f>"LOJA 02"</f>
        <v>LOJA 02</v>
      </c>
      <c r="S905" t="str">
        <f>"1259"</f>
        <v>1259</v>
      </c>
      <c r="T905" t="str">
        <f>"88102000"</f>
        <v>88102000</v>
      </c>
      <c r="U905" t="str">
        <f>"KOBRASOL"</f>
        <v>KOBRASOL</v>
      </c>
      <c r="V905" t="str">
        <f>"SAO JOSE"</f>
        <v>SAO JOSE</v>
      </c>
      <c r="W905" t="str">
        <f t="shared" si="450"/>
        <v>SC</v>
      </c>
      <c r="X905" t="str">
        <f t="shared" si="449"/>
        <v>48</v>
      </c>
      <c r="Y905" t="str">
        <f>"30355883"</f>
        <v>30355883</v>
      </c>
      <c r="Z905" t="str">
        <f>""</f>
        <v/>
      </c>
      <c r="AA905" t="str">
        <f>""</f>
        <v/>
      </c>
      <c r="AB905" t="str">
        <f>""</f>
        <v/>
      </c>
      <c r="AC905" t="str">
        <f>""</f>
        <v/>
      </c>
      <c r="AD905" t="str">
        <f>""</f>
        <v/>
      </c>
      <c r="AE905" t="str">
        <f>""</f>
        <v/>
      </c>
      <c r="AF905" t="str">
        <f>""</f>
        <v/>
      </c>
      <c r="AG905" t="str">
        <f>""</f>
        <v/>
      </c>
      <c r="AH905" t="str">
        <f>""</f>
        <v/>
      </c>
      <c r="AI905" t="str">
        <f>""</f>
        <v/>
      </c>
      <c r="AJ905" t="str">
        <f>""</f>
        <v/>
      </c>
      <c r="AK905" t="str">
        <f>""</f>
        <v/>
      </c>
      <c r="AL905" t="str">
        <f>""</f>
        <v/>
      </c>
      <c r="AM905" t="str">
        <f>""</f>
        <v/>
      </c>
      <c r="AN905" t="str">
        <f>""</f>
        <v/>
      </c>
      <c r="AO905" t="str">
        <f>""</f>
        <v/>
      </c>
      <c r="AP905" t="str">
        <f>""</f>
        <v/>
      </c>
      <c r="AQ905" t="str">
        <f>""</f>
        <v/>
      </c>
      <c r="AR905" t="str">
        <f>""</f>
        <v/>
      </c>
      <c r="AS905" t="str">
        <f>""</f>
        <v/>
      </c>
      <c r="AT905" t="str">
        <f>""</f>
        <v/>
      </c>
      <c r="AU905" t="str">
        <f>""</f>
        <v/>
      </c>
      <c r="AV905" t="str">
        <f>""</f>
        <v/>
      </c>
      <c r="AW905" t="str">
        <f>""</f>
        <v/>
      </c>
      <c r="AX905" t="str">
        <f>""</f>
        <v/>
      </c>
      <c r="AY905" t="str">
        <f>""</f>
        <v/>
      </c>
      <c r="AZ905" t="str">
        <f>""</f>
        <v/>
      </c>
      <c r="BA905" t="str">
        <f>""</f>
        <v/>
      </c>
      <c r="BB905" t="str">
        <f>"11/07/2023 02:19:56"</f>
        <v>11/07/2023 02:19:56</v>
      </c>
      <c r="BC905" t="str">
        <f>""</f>
        <v/>
      </c>
      <c r="BD905" t="str">
        <f>""</f>
        <v/>
      </c>
      <c r="BE905" t="str">
        <f>""</f>
        <v/>
      </c>
      <c r="BF905" t="str">
        <f t="shared" si="455"/>
        <v>A</v>
      </c>
      <c r="BG905" t="str">
        <f>""</f>
        <v/>
      </c>
      <c r="BH905" t="str">
        <f>""</f>
        <v/>
      </c>
      <c r="BI905" t="str">
        <f t="shared" si="443"/>
        <v>EVENTUAL</v>
      </c>
      <c r="BJ905" t="str">
        <f t="shared" si="456"/>
        <v>1</v>
      </c>
      <c r="BK905" t="str">
        <f t="shared" si="457"/>
        <v>Farmacia</v>
      </c>
      <c r="BL905" t="str">
        <f>""</f>
        <v/>
      </c>
      <c r="BM905" t="str">
        <f>""</f>
        <v/>
      </c>
      <c r="BN905" t="str">
        <f>""</f>
        <v/>
      </c>
      <c r="BO905" t="str">
        <f>""</f>
        <v/>
      </c>
      <c r="BP905" t="str">
        <f>""</f>
        <v/>
      </c>
      <c r="BQ905" t="str">
        <f>""</f>
        <v/>
      </c>
      <c r="BR905" t="str">
        <f>"11/07/2023"</f>
        <v>11/07/2023</v>
      </c>
      <c r="BS905" t="str">
        <f>""</f>
        <v/>
      </c>
      <c r="BT905" t="str">
        <f>""</f>
        <v/>
      </c>
      <c r="BU905" t="str">
        <f>""</f>
        <v/>
      </c>
      <c r="BV905" t="str">
        <f>""</f>
        <v/>
      </c>
      <c r="BW905" t="str">
        <f t="shared" si="458"/>
        <v>Não visitado</v>
      </c>
    </row>
    <row r="906" spans="1:75" x14ac:dyDescent="0.35">
      <c r="A906">
        <v>156874</v>
      </c>
      <c r="B906" t="str">
        <f t="shared" si="451"/>
        <v>A</v>
      </c>
      <c r="C906" t="str">
        <f t="shared" si="452"/>
        <v>80</v>
      </c>
      <c r="D906" t="str">
        <f t="shared" si="446"/>
        <v>11121002</v>
      </c>
      <c r="E906" t="str">
        <f t="shared" si="447"/>
        <v>121002</v>
      </c>
      <c r="F906" t="str">
        <f t="shared" si="448"/>
        <v>CINTHIA NORONHA</v>
      </c>
      <c r="G906" t="str">
        <f>"17849331000284"</f>
        <v>17849331000284</v>
      </c>
      <c r="H906" t="str">
        <f>"0"</f>
        <v>0</v>
      </c>
      <c r="I906" t="str">
        <f t="shared" si="453"/>
        <v>CONTA OPTICA</v>
      </c>
      <c r="J906" t="str">
        <f>"NOVA CIELO ACESSORIOS DE MODA LTDA"</f>
        <v>NOVA CIELO ACESSORIOS DE MODA LTDA</v>
      </c>
      <c r="K906" t="str">
        <f>"CHILLI BEANS (4525)"</f>
        <v>CHILLI BEANS (4525)</v>
      </c>
      <c r="L906" t="str">
        <f>""</f>
        <v/>
      </c>
      <c r="M906" t="str">
        <f>""</f>
        <v/>
      </c>
      <c r="N906" t="str">
        <f>"CONTASPAGAR.ESTRELA@GMAIL.COM"</f>
        <v>CONTASPAGAR.ESTRELA@GMAIL.COM</v>
      </c>
      <c r="O906" t="str">
        <f>""</f>
        <v/>
      </c>
      <c r="P906" t="str">
        <f>"RUA GERONCIO THIVES"</f>
        <v>RUA GERONCIO THIVES</v>
      </c>
      <c r="Q906" t="str">
        <f>"1079"</f>
        <v>1079</v>
      </c>
      <c r="R906" t="str">
        <f>"QUIOSQ42"</f>
        <v>QUIOSQ42</v>
      </c>
      <c r="S906" t="str">
        <f>"1259"</f>
        <v>1259</v>
      </c>
      <c r="T906" t="str">
        <f>"88117900"</f>
        <v>88117900</v>
      </c>
      <c r="U906" t="str">
        <f>"BARREIROS"</f>
        <v>BARREIROS</v>
      </c>
      <c r="V906" t="str">
        <f>"SAO JOSE"</f>
        <v>SAO JOSE</v>
      </c>
      <c r="W906" t="str">
        <f t="shared" si="450"/>
        <v>SC</v>
      </c>
      <c r="X906" t="str">
        <f t="shared" si="449"/>
        <v>48</v>
      </c>
      <c r="Y906" t="str">
        <f>"30243492"</f>
        <v>30243492</v>
      </c>
      <c r="Z906" t="str">
        <f>""</f>
        <v/>
      </c>
      <c r="AA906" t="str">
        <f>""</f>
        <v/>
      </c>
      <c r="AB906" t="str">
        <f>""</f>
        <v/>
      </c>
      <c r="AC906" t="str">
        <f>""</f>
        <v/>
      </c>
      <c r="AD906" t="str">
        <f>""</f>
        <v/>
      </c>
      <c r="AE906" t="str">
        <f>""</f>
        <v/>
      </c>
      <c r="AF906" t="str">
        <f>""</f>
        <v/>
      </c>
      <c r="AG906" t="str">
        <f>""</f>
        <v/>
      </c>
      <c r="AH906" t="str">
        <f>""</f>
        <v/>
      </c>
      <c r="AI906" t="str">
        <f>""</f>
        <v/>
      </c>
      <c r="AJ906" t="str">
        <f>""</f>
        <v/>
      </c>
      <c r="AK906" t="str">
        <f>""</f>
        <v/>
      </c>
      <c r="AL906" t="str">
        <f>""</f>
        <v/>
      </c>
      <c r="AM906" t="str">
        <f>""</f>
        <v/>
      </c>
      <c r="AN906" t="str">
        <f>""</f>
        <v/>
      </c>
      <c r="AO906" t="str">
        <f>""</f>
        <v/>
      </c>
      <c r="AP906" t="str">
        <f>""</f>
        <v/>
      </c>
      <c r="AQ906" t="str">
        <f>""</f>
        <v/>
      </c>
      <c r="AR906" t="str">
        <f>""</f>
        <v/>
      </c>
      <c r="AS906" t="str">
        <f>""</f>
        <v/>
      </c>
      <c r="AT906" t="str">
        <f>""</f>
        <v/>
      </c>
      <c r="AU906" t="str">
        <f>""</f>
        <v/>
      </c>
      <c r="AV906" t="str">
        <f>""</f>
        <v/>
      </c>
      <c r="AW906" t="str">
        <f>""</f>
        <v/>
      </c>
      <c r="AX906" t="str">
        <f>""</f>
        <v/>
      </c>
      <c r="AY906" t="str">
        <f>""</f>
        <v/>
      </c>
      <c r="AZ906" t="str">
        <f>""</f>
        <v/>
      </c>
      <c r="BA906" t="str">
        <f>""</f>
        <v/>
      </c>
      <c r="BB906" t="str">
        <f>"06/07/2023 12:07:48"</f>
        <v>06/07/2023 12:07:48</v>
      </c>
      <c r="BC906" t="str">
        <f>""</f>
        <v/>
      </c>
      <c r="BD906" t="str">
        <f>""</f>
        <v/>
      </c>
      <c r="BE906" t="str">
        <f>""</f>
        <v/>
      </c>
      <c r="BF906" t="str">
        <f t="shared" si="455"/>
        <v>A</v>
      </c>
      <c r="BG906" t="str">
        <f>""</f>
        <v/>
      </c>
      <c r="BH906" t="str">
        <f>""</f>
        <v/>
      </c>
      <c r="BI906" t="str">
        <f t="shared" si="443"/>
        <v>EVENTUAL</v>
      </c>
      <c r="BJ906" t="str">
        <f t="shared" si="456"/>
        <v>1</v>
      </c>
      <c r="BK906" t="str">
        <f t="shared" si="457"/>
        <v>Farmacia</v>
      </c>
      <c r="BL906" t="str">
        <f>""</f>
        <v/>
      </c>
      <c r="BM906" t="str">
        <f>""</f>
        <v/>
      </c>
      <c r="BN906" t="str">
        <f>""</f>
        <v/>
      </c>
      <c r="BO906" t="str">
        <f>""</f>
        <v/>
      </c>
      <c r="BP906" t="str">
        <f>""</f>
        <v/>
      </c>
      <c r="BQ906" t="str">
        <f>""</f>
        <v/>
      </c>
      <c r="BR906" t="str">
        <f>"06/07/2023"</f>
        <v>06/07/2023</v>
      </c>
      <c r="BS906" t="str">
        <f>""</f>
        <v/>
      </c>
      <c r="BT906" t="str">
        <f>""</f>
        <v/>
      </c>
      <c r="BU906" t="str">
        <f>""</f>
        <v/>
      </c>
      <c r="BV906" t="str">
        <f>""</f>
        <v/>
      </c>
      <c r="BW906" t="str">
        <f t="shared" si="458"/>
        <v>Não visitado</v>
      </c>
    </row>
    <row r="907" spans="1:75" x14ac:dyDescent="0.35">
      <c r="A907">
        <v>134444</v>
      </c>
      <c r="B907" t="str">
        <f t="shared" si="451"/>
        <v>A</v>
      </c>
      <c r="C907" t="str">
        <f t="shared" si="452"/>
        <v>80</v>
      </c>
      <c r="D907" t="str">
        <f t="shared" si="446"/>
        <v>11121002</v>
      </c>
      <c r="E907" t="str">
        <f t="shared" si="447"/>
        <v>121002</v>
      </c>
      <c r="F907" t="str">
        <f t="shared" si="448"/>
        <v>CINTHIA NORONHA</v>
      </c>
      <c r="G907" t="str">
        <f>"17849331000101"</f>
        <v>17849331000101</v>
      </c>
      <c r="H907" t="str">
        <f>""</f>
        <v/>
      </c>
      <c r="I907" t="str">
        <f t="shared" si="453"/>
        <v>CONTA OPTICA</v>
      </c>
      <c r="J907" t="str">
        <f>"NOVA CIELO ACESSORIOS DE MODA LTDA"</f>
        <v>NOVA CIELO ACESSORIOS DE MODA LTDA</v>
      </c>
      <c r="K907" t="str">
        <f>"CHILLI BEANS (4187)"</f>
        <v>CHILLI BEANS (4187)</v>
      </c>
      <c r="L907" t="str">
        <f>""</f>
        <v/>
      </c>
      <c r="M907" t="str">
        <f>""</f>
        <v/>
      </c>
      <c r="N907" t="str">
        <f>"otica.itaguacu@gmail.com"</f>
        <v>otica.itaguacu@gmail.com</v>
      </c>
      <c r="O907" t="str">
        <f>""</f>
        <v/>
      </c>
      <c r="P907" t="str">
        <f>"RUA GERONCIO THIVES"</f>
        <v>RUA GERONCIO THIVES</v>
      </c>
      <c r="Q907" t="str">
        <f>"1079"</f>
        <v>1079</v>
      </c>
      <c r="R907" t="str">
        <f>"244 SH ITAGUACU"</f>
        <v>244 SH ITAGUACU</v>
      </c>
      <c r="S907" t="str">
        <f>"1259"</f>
        <v>1259</v>
      </c>
      <c r="T907" t="str">
        <f>"88117292"</f>
        <v>88117292</v>
      </c>
      <c r="U907" t="str">
        <f>"BARREIROS"</f>
        <v>BARREIROS</v>
      </c>
      <c r="V907" t="str">
        <f>"SÃO JOSÉ"</f>
        <v>SÃO JOSÉ</v>
      </c>
      <c r="W907" t="str">
        <f t="shared" si="450"/>
        <v>SC</v>
      </c>
      <c r="X907" t="str">
        <f t="shared" si="449"/>
        <v>48</v>
      </c>
      <c r="Y907" t="str">
        <f>"998358386"</f>
        <v>998358386</v>
      </c>
      <c r="Z907" t="str">
        <f>""</f>
        <v/>
      </c>
      <c r="AA907" t="str">
        <f>""</f>
        <v/>
      </c>
      <c r="AB907" t="str">
        <f>""</f>
        <v/>
      </c>
      <c r="AC907" t="str">
        <f>""</f>
        <v/>
      </c>
      <c r="AD907" t="str">
        <f>""</f>
        <v/>
      </c>
      <c r="AE907" t="str">
        <f>""</f>
        <v/>
      </c>
      <c r="AF907" t="str">
        <f>""</f>
        <v/>
      </c>
      <c r="AG907" t="str">
        <f>"S"</f>
        <v>S</v>
      </c>
      <c r="AH907" t="str">
        <f>""</f>
        <v/>
      </c>
      <c r="AI907" t="str">
        <f>""</f>
        <v/>
      </c>
      <c r="AJ907" t="str">
        <f>""</f>
        <v/>
      </c>
      <c r="AK907" t="str">
        <f>""</f>
        <v/>
      </c>
      <c r="AL907" t="str">
        <f>""</f>
        <v/>
      </c>
      <c r="AM907" t="str">
        <f>""</f>
        <v/>
      </c>
      <c r="AN907" t="str">
        <f>""</f>
        <v/>
      </c>
      <c r="AO907" t="str">
        <f>""</f>
        <v/>
      </c>
      <c r="AP907" t="str">
        <f>""</f>
        <v/>
      </c>
      <c r="AQ907" t="str">
        <f>"N"</f>
        <v>N</v>
      </c>
      <c r="AR907" t="str">
        <f>"N"</f>
        <v>N</v>
      </c>
      <c r="AS907" t="str">
        <f>"N"</f>
        <v>N</v>
      </c>
      <c r="AT907" t="str">
        <f>"N"</f>
        <v>N</v>
      </c>
      <c r="AU907" t="str">
        <f>"N"</f>
        <v>N</v>
      </c>
      <c r="AV907" t="str">
        <f>""</f>
        <v/>
      </c>
      <c r="AW907" t="str">
        <f>""</f>
        <v/>
      </c>
      <c r="AX907" t="str">
        <f>""</f>
        <v/>
      </c>
      <c r="AY907" t="str">
        <f>""</f>
        <v/>
      </c>
      <c r="AZ907" t="str">
        <f>""</f>
        <v/>
      </c>
      <c r="BA907" t="str">
        <f>""</f>
        <v/>
      </c>
      <c r="BB907" t="str">
        <f>""</f>
        <v/>
      </c>
      <c r="BC907" t="str">
        <f>"08/04/2022 17:47:16"</f>
        <v>08/04/2022 17:47:16</v>
      </c>
      <c r="BD907" t="str">
        <f>""</f>
        <v/>
      </c>
      <c r="BE907" t="str">
        <f>""</f>
        <v/>
      </c>
      <c r="BF907" t="str">
        <f t="shared" si="455"/>
        <v>A</v>
      </c>
      <c r="BG907" t="str">
        <f>""</f>
        <v/>
      </c>
      <c r="BH907" t="str">
        <f>"0,00"</f>
        <v>0,00</v>
      </c>
      <c r="BI907" t="str">
        <f t="shared" si="443"/>
        <v>EVENTUAL</v>
      </c>
      <c r="BJ907" t="str">
        <f t="shared" si="456"/>
        <v>1</v>
      </c>
      <c r="BK907" t="str">
        <f t="shared" si="457"/>
        <v>Farmacia</v>
      </c>
      <c r="BL907" t="str">
        <f>""</f>
        <v/>
      </c>
      <c r="BM907" t="str">
        <f>"NÃO É VARILUX ESPECIALISTA"</f>
        <v>NÃO É VARILUX ESPECIALISTA</v>
      </c>
      <c r="BN907" t="str">
        <f>"NA"</f>
        <v>NA</v>
      </c>
      <c r="BO907" t="str">
        <f>"FOCO VARILUX"</f>
        <v>FOCO VARILUX</v>
      </c>
      <c r="BP907" t="str">
        <f>""</f>
        <v/>
      </c>
      <c r="BQ907" t="str">
        <f>""</f>
        <v/>
      </c>
      <c r="BR907" t="str">
        <f>""</f>
        <v/>
      </c>
      <c r="BS907" t="str">
        <f>"08/04/2022"</f>
        <v>08/04/2022</v>
      </c>
      <c r="BT907" t="str">
        <f>""</f>
        <v/>
      </c>
      <c r="BU907" t="str">
        <f>""</f>
        <v/>
      </c>
      <c r="BV907" t="str">
        <f>"9"</f>
        <v>9</v>
      </c>
      <c r="BW907" t="str">
        <f>"283"</f>
        <v>283</v>
      </c>
    </row>
    <row r="908" spans="1:75" x14ac:dyDescent="0.35">
      <c r="A908">
        <v>159586</v>
      </c>
      <c r="B908" t="str">
        <f t="shared" si="451"/>
        <v>A</v>
      </c>
      <c r="C908" t="str">
        <f t="shared" si="452"/>
        <v>80</v>
      </c>
      <c r="D908" t="str">
        <f t="shared" si="446"/>
        <v>11121002</v>
      </c>
      <c r="E908" t="str">
        <f t="shared" si="447"/>
        <v>121002</v>
      </c>
      <c r="F908" t="str">
        <f t="shared" si="448"/>
        <v>CINTHIA NORONHA</v>
      </c>
      <c r="G908" t="str">
        <f>"48252834000110"</f>
        <v>48252834000110</v>
      </c>
      <c r="H908" t="str">
        <f>""</f>
        <v/>
      </c>
      <c r="I908" t="str">
        <f t="shared" si="453"/>
        <v>CONTA OPTICA</v>
      </c>
      <c r="J908" t="str">
        <f>"OC BEIRAMAR COMERCIO DE PRODUTOS OTICOS LTDA"</f>
        <v>OC BEIRAMAR COMERCIO DE PRODUTOS OTICOS LTDA</v>
      </c>
      <c r="K908" t="str">
        <f>"OTICAS CAROL BEIRAMAR SH (4760)"</f>
        <v>OTICAS CAROL BEIRAMAR SH (4760)</v>
      </c>
      <c r="L908" t="str">
        <f>""</f>
        <v/>
      </c>
      <c r="M908" t="str">
        <f>""</f>
        <v/>
      </c>
      <c r="N908" t="str">
        <f>"ADM.SC@OTICASCAROL.COM.BR"</f>
        <v>ADM.SC@OTICASCAROL.COM.BR</v>
      </c>
      <c r="O908" t="str">
        <f>""</f>
        <v/>
      </c>
      <c r="P908" t="str">
        <f>"RUA BOCAIUVA"</f>
        <v>RUA BOCAIUVA</v>
      </c>
      <c r="Q908" t="str">
        <f>"2468"</f>
        <v>2468</v>
      </c>
      <c r="R908" t="str">
        <f>"LJ 106 PISO L1"</f>
        <v>LJ 106 PISO L1</v>
      </c>
      <c r="S908" t="str">
        <f>"1255"</f>
        <v>1255</v>
      </c>
      <c r="T908" t="str">
        <f>"88015902"</f>
        <v>88015902</v>
      </c>
      <c r="U908" t="str">
        <f>"CENTRO"</f>
        <v>CENTRO</v>
      </c>
      <c r="V908" t="str">
        <f>"FLORIANOPOLIS"</f>
        <v>FLORIANOPOLIS</v>
      </c>
      <c r="W908" t="str">
        <f t="shared" si="450"/>
        <v>SC</v>
      </c>
      <c r="X908" t="str">
        <f t="shared" si="449"/>
        <v>48</v>
      </c>
      <c r="Y908" t="str">
        <f>"32259791"</f>
        <v>32259791</v>
      </c>
      <c r="Z908" t="str">
        <f>""</f>
        <v/>
      </c>
      <c r="AA908" t="str">
        <f>""</f>
        <v/>
      </c>
      <c r="AB908" t="str">
        <f>""</f>
        <v/>
      </c>
      <c r="AC908" t="str">
        <f>""</f>
        <v/>
      </c>
      <c r="AD908" t="str">
        <f>""</f>
        <v/>
      </c>
      <c r="AE908" t="str">
        <f>""</f>
        <v/>
      </c>
      <c r="AF908" t="str">
        <f>""</f>
        <v/>
      </c>
      <c r="AG908" t="str">
        <f>""</f>
        <v/>
      </c>
      <c r="AH908" t="str">
        <f>""</f>
        <v/>
      </c>
      <c r="AI908" t="str">
        <f>""</f>
        <v/>
      </c>
      <c r="AJ908" t="str">
        <f>""</f>
        <v/>
      </c>
      <c r="AK908" t="str">
        <f>""</f>
        <v/>
      </c>
      <c r="AL908" t="str">
        <f>""</f>
        <v/>
      </c>
      <c r="AM908" t="str">
        <f>""</f>
        <v/>
      </c>
      <c r="AN908" t="str">
        <f>""</f>
        <v/>
      </c>
      <c r="AO908" t="str">
        <f>""</f>
        <v/>
      </c>
      <c r="AP908" t="str">
        <f>""</f>
        <v/>
      </c>
      <c r="AQ908" t="str">
        <f>""</f>
        <v/>
      </c>
      <c r="AR908" t="str">
        <f>""</f>
        <v/>
      </c>
      <c r="AS908" t="str">
        <f>""</f>
        <v/>
      </c>
      <c r="AT908" t="str">
        <f>""</f>
        <v/>
      </c>
      <c r="AU908" t="str">
        <f>""</f>
        <v/>
      </c>
      <c r="AV908" t="str">
        <f>""</f>
        <v/>
      </c>
      <c r="AW908" t="str">
        <f>""</f>
        <v/>
      </c>
      <c r="AX908" t="str">
        <f>""</f>
        <v/>
      </c>
      <c r="AY908" t="str">
        <f>""</f>
        <v/>
      </c>
      <c r="AZ908" t="str">
        <f>""</f>
        <v/>
      </c>
      <c r="BA908" t="str">
        <f>""</f>
        <v/>
      </c>
      <c r="BB908" t="str">
        <f>"25/09/2023 11:47:13"</f>
        <v>25/09/2023 11:47:13</v>
      </c>
      <c r="BC908" t="str">
        <f>""</f>
        <v/>
      </c>
      <c r="BD908" t="str">
        <f>""</f>
        <v/>
      </c>
      <c r="BE908" t="str">
        <f>""</f>
        <v/>
      </c>
      <c r="BF908" t="str">
        <f t="shared" si="455"/>
        <v>A</v>
      </c>
      <c r="BG908" t="str">
        <f>""</f>
        <v/>
      </c>
      <c r="BH908" t="str">
        <f>""</f>
        <v/>
      </c>
      <c r="BI908" t="str">
        <f t="shared" si="443"/>
        <v>EVENTUAL</v>
      </c>
      <c r="BJ908" t="str">
        <f t="shared" si="456"/>
        <v>1</v>
      </c>
      <c r="BK908" t="str">
        <f t="shared" si="457"/>
        <v>Farmacia</v>
      </c>
      <c r="BL908" t="str">
        <f>""</f>
        <v/>
      </c>
      <c r="BM908" t="str">
        <f>""</f>
        <v/>
      </c>
      <c r="BN908" t="str">
        <f>""</f>
        <v/>
      </c>
      <c r="BO908" t="str">
        <f>""</f>
        <v/>
      </c>
      <c r="BP908" t="str">
        <f>""</f>
        <v/>
      </c>
      <c r="BQ908" t="str">
        <f>""</f>
        <v/>
      </c>
      <c r="BR908" t="str">
        <f>"25/09/2023"</f>
        <v>25/09/2023</v>
      </c>
      <c r="BS908" t="str">
        <f>""</f>
        <v/>
      </c>
      <c r="BT908" t="str">
        <f>""</f>
        <v/>
      </c>
      <c r="BU908" t="str">
        <f>""</f>
        <v/>
      </c>
      <c r="BV908" t="str">
        <f>""</f>
        <v/>
      </c>
      <c r="BW908" t="str">
        <f>"Não visitado"</f>
        <v>Não visitado</v>
      </c>
    </row>
    <row r="909" spans="1:75" x14ac:dyDescent="0.35">
      <c r="A909">
        <v>157676</v>
      </c>
      <c r="B909" t="str">
        <f t="shared" si="451"/>
        <v>A</v>
      </c>
      <c r="C909" t="str">
        <f t="shared" si="452"/>
        <v>80</v>
      </c>
      <c r="D909" t="str">
        <f t="shared" si="446"/>
        <v>11121002</v>
      </c>
      <c r="E909" t="str">
        <f t="shared" si="447"/>
        <v>121002</v>
      </c>
      <c r="F909" t="str">
        <f t="shared" si="448"/>
        <v>CINTHIA NORONHA</v>
      </c>
      <c r="G909" t="str">
        <f>"75306902000150"</f>
        <v>75306902000150</v>
      </c>
      <c r="H909" t="str">
        <f>"0"</f>
        <v>0</v>
      </c>
      <c r="I909" t="str">
        <f t="shared" si="453"/>
        <v>CONTA OPTICA</v>
      </c>
      <c r="J909" t="str">
        <f>"ODARI JUSTINO GUERO ME"</f>
        <v>ODARI JUSTINO GUERO ME</v>
      </c>
      <c r="K909" t="str">
        <f>"JOALHERIA OTICA GUERO (589)"</f>
        <v>JOALHERIA OTICA GUERO (589)</v>
      </c>
      <c r="L909" t="str">
        <f>""</f>
        <v/>
      </c>
      <c r="M909" t="str">
        <f>""</f>
        <v/>
      </c>
      <c r="N909" t="str">
        <f>""</f>
        <v/>
      </c>
      <c r="O909" t="str">
        <f>""</f>
        <v/>
      </c>
      <c r="P909" t="str">
        <f>"GETULIO VARGAS"</f>
        <v>GETULIO VARGAS</v>
      </c>
      <c r="Q909" t="str">
        <f>"739"</f>
        <v>739</v>
      </c>
      <c r="R909" t="str">
        <f>""</f>
        <v/>
      </c>
      <c r="S909" t="str">
        <f>"1288"</f>
        <v>1288</v>
      </c>
      <c r="T909" t="str">
        <f>"89830000"</f>
        <v>89830000</v>
      </c>
      <c r="U909" t="str">
        <f>"NAO INFORMADO"</f>
        <v>NAO INFORMADO</v>
      </c>
      <c r="V909" t="str">
        <f>"PASSO DE TORRES"</f>
        <v>PASSO DE TORRES</v>
      </c>
      <c r="W909" t="str">
        <f t="shared" si="450"/>
        <v>SC</v>
      </c>
      <c r="X909" t="str">
        <f>"49"</f>
        <v>49</v>
      </c>
      <c r="Y909" t="str">
        <f>"34454262"</f>
        <v>34454262</v>
      </c>
      <c r="Z909" t="str">
        <f>""</f>
        <v/>
      </c>
      <c r="AA909" t="str">
        <f>""</f>
        <v/>
      </c>
      <c r="AB909" t="str">
        <f>""</f>
        <v/>
      </c>
      <c r="AC909" t="str">
        <f>""</f>
        <v/>
      </c>
      <c r="AD909" t="str">
        <f>""</f>
        <v/>
      </c>
      <c r="AE909" t="str">
        <f>""</f>
        <v/>
      </c>
      <c r="AF909" t="str">
        <f>""</f>
        <v/>
      </c>
      <c r="AG909" t="str">
        <f>""</f>
        <v/>
      </c>
      <c r="AH909" t="str">
        <f>""</f>
        <v/>
      </c>
      <c r="AI909" t="str">
        <f>""</f>
        <v/>
      </c>
      <c r="AJ909" t="str">
        <f>""</f>
        <v/>
      </c>
      <c r="AK909" t="str">
        <f>""</f>
        <v/>
      </c>
      <c r="AL909" t="str">
        <f>""</f>
        <v/>
      </c>
      <c r="AM909" t="str">
        <f>""</f>
        <v/>
      </c>
      <c r="AN909" t="str">
        <f>""</f>
        <v/>
      </c>
      <c r="AO909" t="str">
        <f>""</f>
        <v/>
      </c>
      <c r="AP909" t="str">
        <f>""</f>
        <v/>
      </c>
      <c r="AQ909" t="str">
        <f>""</f>
        <v/>
      </c>
      <c r="AR909" t="str">
        <f>""</f>
        <v/>
      </c>
      <c r="AS909" t="str">
        <f>""</f>
        <v/>
      </c>
      <c r="AT909" t="str">
        <f>""</f>
        <v/>
      </c>
      <c r="AU909" t="str">
        <f>""</f>
        <v/>
      </c>
      <c r="AV909" t="str">
        <f>""</f>
        <v/>
      </c>
      <c r="AW909" t="str">
        <f>""</f>
        <v/>
      </c>
      <c r="AX909" t="str">
        <f>""</f>
        <v/>
      </c>
      <c r="AY909" t="str">
        <f>""</f>
        <v/>
      </c>
      <c r="AZ909" t="str">
        <f>""</f>
        <v/>
      </c>
      <c r="BA909" t="str">
        <f>""</f>
        <v/>
      </c>
      <c r="BB909" t="str">
        <f>"11/07/2023 02:19:56"</f>
        <v>11/07/2023 02:19:56</v>
      </c>
      <c r="BC909" t="str">
        <f>""</f>
        <v/>
      </c>
      <c r="BD909" t="str">
        <f>""</f>
        <v/>
      </c>
      <c r="BE909" t="str">
        <f>""</f>
        <v/>
      </c>
      <c r="BF909" t="str">
        <f t="shared" si="455"/>
        <v>A</v>
      </c>
      <c r="BG909" t="str">
        <f>""</f>
        <v/>
      </c>
      <c r="BH909" t="str">
        <f>""</f>
        <v/>
      </c>
      <c r="BI909" t="str">
        <f t="shared" si="443"/>
        <v>EVENTUAL</v>
      </c>
      <c r="BJ909" t="str">
        <f t="shared" si="456"/>
        <v>1</v>
      </c>
      <c r="BK909" t="str">
        <f t="shared" si="457"/>
        <v>Farmacia</v>
      </c>
      <c r="BL909" t="str">
        <f>""</f>
        <v/>
      </c>
      <c r="BM909" t="str">
        <f>""</f>
        <v/>
      </c>
      <c r="BN909" t="str">
        <f>""</f>
        <v/>
      </c>
      <c r="BO909" t="str">
        <f>""</f>
        <v/>
      </c>
      <c r="BP909" t="str">
        <f>""</f>
        <v/>
      </c>
      <c r="BQ909" t="str">
        <f>""</f>
        <v/>
      </c>
      <c r="BR909" t="str">
        <f>"11/07/2023"</f>
        <v>11/07/2023</v>
      </c>
      <c r="BS909" t="str">
        <f>""</f>
        <v/>
      </c>
      <c r="BT909" t="str">
        <f>""</f>
        <v/>
      </c>
      <c r="BU909" t="str">
        <f>""</f>
        <v/>
      </c>
      <c r="BV909" t="str">
        <f>""</f>
        <v/>
      </c>
      <c r="BW909" t="str">
        <f>"Não visitado"</f>
        <v>Não visitado</v>
      </c>
    </row>
    <row r="910" spans="1:75" x14ac:dyDescent="0.35">
      <c r="A910">
        <v>157599</v>
      </c>
      <c r="B910" t="str">
        <f t="shared" si="451"/>
        <v>A</v>
      </c>
      <c r="C910" t="str">
        <f t="shared" si="452"/>
        <v>80</v>
      </c>
      <c r="D910" t="str">
        <f t="shared" si="446"/>
        <v>11121002</v>
      </c>
      <c r="E910" t="str">
        <f t="shared" si="447"/>
        <v>121002</v>
      </c>
      <c r="F910" t="str">
        <f t="shared" si="448"/>
        <v>CINTHIA NORONHA</v>
      </c>
      <c r="G910" t="str">
        <f>"07908795000180"</f>
        <v>07908795000180</v>
      </c>
      <c r="H910" t="str">
        <f>"0"</f>
        <v>0</v>
      </c>
      <c r="I910" t="str">
        <f t="shared" si="453"/>
        <v>CONTA OPTICA</v>
      </c>
      <c r="J910" t="str">
        <f>"ODITE SOUZA PRADO"</f>
        <v>ODITE SOUZA PRADO</v>
      </c>
      <c r="K910" t="str">
        <f>"OTICA TADEU (912)"</f>
        <v>OTICA TADEU (912)</v>
      </c>
      <c r="L910" t="str">
        <f>""</f>
        <v/>
      </c>
      <c r="M910" t="str">
        <f>""</f>
        <v/>
      </c>
      <c r="N910" t="str">
        <f>"thadeuoptica@hotmail.com"</f>
        <v>thadeuoptica@hotmail.com</v>
      </c>
      <c r="O910" t="str">
        <f>""</f>
        <v/>
      </c>
      <c r="P910" t="str">
        <f>"RUA VIDAL RAMOS"</f>
        <v>RUA VIDAL RAMOS</v>
      </c>
      <c r="Q910" t="str">
        <f>"110"</f>
        <v>110</v>
      </c>
      <c r="R910" t="str">
        <f>"SALA 04"</f>
        <v>SALA 04</v>
      </c>
      <c r="S910" t="str">
        <f>"1254"</f>
        <v>1254</v>
      </c>
      <c r="T910" t="str">
        <f>"88010320"</f>
        <v>88010320</v>
      </c>
      <c r="U910" t="str">
        <f>"CENTRO"</f>
        <v>CENTRO</v>
      </c>
      <c r="V910" t="str">
        <f>"FLORIANOPOLIS"</f>
        <v>FLORIANOPOLIS</v>
      </c>
      <c r="W910" t="str">
        <f t="shared" si="450"/>
        <v>SC</v>
      </c>
      <c r="X910" t="str">
        <f>"48"</f>
        <v>48</v>
      </c>
      <c r="Y910" t="str">
        <f>"32257362"</f>
        <v>32257362</v>
      </c>
      <c r="Z910" t="str">
        <f>""</f>
        <v/>
      </c>
      <c r="AA910" t="str">
        <f>""</f>
        <v/>
      </c>
      <c r="AB910" t="str">
        <f>""</f>
        <v/>
      </c>
      <c r="AC910" t="str">
        <f>""</f>
        <v/>
      </c>
      <c r="AD910" t="str">
        <f>""</f>
        <v/>
      </c>
      <c r="AE910" t="str">
        <f>""</f>
        <v/>
      </c>
      <c r="AF910" t="str">
        <f>""</f>
        <v/>
      </c>
      <c r="AG910" t="str">
        <f>""</f>
        <v/>
      </c>
      <c r="AH910" t="str">
        <f>""</f>
        <v/>
      </c>
      <c r="AI910" t="str">
        <f>""</f>
        <v/>
      </c>
      <c r="AJ910" t="str">
        <f>""</f>
        <v/>
      </c>
      <c r="AK910" t="str">
        <f>""</f>
        <v/>
      </c>
      <c r="AL910" t="str">
        <f>""</f>
        <v/>
      </c>
      <c r="AM910" t="str">
        <f>""</f>
        <v/>
      </c>
      <c r="AN910" t="str">
        <f>""</f>
        <v/>
      </c>
      <c r="AO910" t="str">
        <f>""</f>
        <v/>
      </c>
      <c r="AP910" t="str">
        <f>""</f>
        <v/>
      </c>
      <c r="AQ910" t="str">
        <f>""</f>
        <v/>
      </c>
      <c r="AR910" t="str">
        <f>""</f>
        <v/>
      </c>
      <c r="AS910" t="str">
        <f>""</f>
        <v/>
      </c>
      <c r="AT910" t="str">
        <f>""</f>
        <v/>
      </c>
      <c r="AU910" t="str">
        <f>""</f>
        <v/>
      </c>
      <c r="AV910" t="str">
        <f>""</f>
        <v/>
      </c>
      <c r="AW910" t="str">
        <f>""</f>
        <v/>
      </c>
      <c r="AX910" t="str">
        <f>""</f>
        <v/>
      </c>
      <c r="AY910" t="str">
        <f>""</f>
        <v/>
      </c>
      <c r="AZ910" t="str">
        <f>""</f>
        <v/>
      </c>
      <c r="BA910" t="str">
        <f>""</f>
        <v/>
      </c>
      <c r="BB910" t="str">
        <f>"11/07/2023 02:19:56"</f>
        <v>11/07/2023 02:19:56</v>
      </c>
      <c r="BC910" t="str">
        <f>""</f>
        <v/>
      </c>
      <c r="BD910" t="str">
        <f>""</f>
        <v/>
      </c>
      <c r="BE910" t="str">
        <f>""</f>
        <v/>
      </c>
      <c r="BF910" t="str">
        <f t="shared" si="455"/>
        <v>A</v>
      </c>
      <c r="BG910" t="str">
        <f>""</f>
        <v/>
      </c>
      <c r="BH910" t="str">
        <f>""</f>
        <v/>
      </c>
      <c r="BI910" t="str">
        <f t="shared" si="443"/>
        <v>EVENTUAL</v>
      </c>
      <c r="BJ910" t="str">
        <f t="shared" si="456"/>
        <v>1</v>
      </c>
      <c r="BK910" t="str">
        <f t="shared" si="457"/>
        <v>Farmacia</v>
      </c>
      <c r="BL910" t="str">
        <f>""</f>
        <v/>
      </c>
      <c r="BM910" t="str">
        <f>""</f>
        <v/>
      </c>
      <c r="BN910" t="str">
        <f>""</f>
        <v/>
      </c>
      <c r="BO910" t="str">
        <f>""</f>
        <v/>
      </c>
      <c r="BP910" t="str">
        <f>""</f>
        <v/>
      </c>
      <c r="BQ910" t="str">
        <f>""</f>
        <v/>
      </c>
      <c r="BR910" t="str">
        <f>"11/07/2023"</f>
        <v>11/07/2023</v>
      </c>
      <c r="BS910" t="str">
        <f>""</f>
        <v/>
      </c>
      <c r="BT910" t="str">
        <f>""</f>
        <v/>
      </c>
      <c r="BU910" t="str">
        <f>""</f>
        <v/>
      </c>
      <c r="BV910" t="str">
        <f>""</f>
        <v/>
      </c>
      <c r="BW910" t="str">
        <f>"11"</f>
        <v>11</v>
      </c>
    </row>
    <row r="911" spans="1:75" x14ac:dyDescent="0.35">
      <c r="A911">
        <v>158698</v>
      </c>
      <c r="B911" t="str">
        <f t="shared" si="451"/>
        <v>A</v>
      </c>
      <c r="C911" t="str">
        <f t="shared" si="452"/>
        <v>80</v>
      </c>
      <c r="D911" t="str">
        <f t="shared" si="446"/>
        <v>11121002</v>
      </c>
      <c r="E911" t="str">
        <f t="shared" si="447"/>
        <v>121002</v>
      </c>
      <c r="F911" t="str">
        <f t="shared" si="448"/>
        <v>CINTHIA NORONHA</v>
      </c>
      <c r="G911" t="str">
        <f>"50973837000195"</f>
        <v>50973837000195</v>
      </c>
      <c r="H911" t="str">
        <f>""</f>
        <v/>
      </c>
      <c r="I911" t="str">
        <f t="shared" si="453"/>
        <v>CONTA OPTICA</v>
      </c>
      <c r="J911" t="str">
        <f>"OF PRAIA DO SONHO LTDA"</f>
        <v>OF PRAIA DO SONHO LTDA</v>
      </c>
      <c r="K911" t="str">
        <f>"OTICAS FERRI (4748)"</f>
        <v>OTICAS FERRI (4748)</v>
      </c>
      <c r="L911" t="str">
        <f>""</f>
        <v/>
      </c>
      <c r="M911" t="str">
        <f>""</f>
        <v/>
      </c>
      <c r="N911" t="str">
        <f>"LABORATORIO@OTICASFERRI.COM.BR"</f>
        <v>LABORATORIO@OTICASFERRI.COM.BR</v>
      </c>
      <c r="O911" t="str">
        <f>""</f>
        <v/>
      </c>
      <c r="P911" t="str">
        <f>"EVADIO PAULO BROERING"</f>
        <v>EVADIO PAULO BROERING</v>
      </c>
      <c r="Q911" t="str">
        <f>"SN"</f>
        <v>SN</v>
      </c>
      <c r="R911" t="str">
        <f>""</f>
        <v/>
      </c>
      <c r="S911" t="str">
        <f>""</f>
        <v/>
      </c>
      <c r="T911" t="str">
        <f>"88139075"</f>
        <v>88139075</v>
      </c>
      <c r="U911" t="str">
        <f>"PRAIA DO SONHO"</f>
        <v>PRAIA DO SONHO</v>
      </c>
      <c r="V911" t="str">
        <f>"PALHOCA"</f>
        <v>PALHOCA</v>
      </c>
      <c r="W911" t="str">
        <f t="shared" si="450"/>
        <v>SC</v>
      </c>
      <c r="X911" t="str">
        <f>"48"</f>
        <v>48</v>
      </c>
      <c r="Y911" t="str">
        <f>"991838770"</f>
        <v>991838770</v>
      </c>
      <c r="Z911" t="str">
        <f>""</f>
        <v/>
      </c>
      <c r="AA911" t="str">
        <f>""</f>
        <v/>
      </c>
      <c r="AB911" t="str">
        <f>""</f>
        <v/>
      </c>
      <c r="AC911" t="str">
        <f>""</f>
        <v/>
      </c>
      <c r="AD911" t="str">
        <f>""</f>
        <v/>
      </c>
      <c r="AE911" t="str">
        <f>""</f>
        <v/>
      </c>
      <c r="AF911" t="str">
        <f>""</f>
        <v/>
      </c>
      <c r="AG911" t="str">
        <f>""</f>
        <v/>
      </c>
      <c r="AH911" t="str">
        <f>""</f>
        <v/>
      </c>
      <c r="AI911" t="str">
        <f>""</f>
        <v/>
      </c>
      <c r="AJ911" t="str">
        <f>""</f>
        <v/>
      </c>
      <c r="AK911" t="str">
        <f>""</f>
        <v/>
      </c>
      <c r="AL911" t="str">
        <f>""</f>
        <v/>
      </c>
      <c r="AM911" t="str">
        <f>""</f>
        <v/>
      </c>
      <c r="AN911" t="str">
        <f>""</f>
        <v/>
      </c>
      <c r="AO911" t="str">
        <f>""</f>
        <v/>
      </c>
      <c r="AP911" t="str">
        <f>""</f>
        <v/>
      </c>
      <c r="AQ911" t="str">
        <f>""</f>
        <v/>
      </c>
      <c r="AR911" t="str">
        <f>""</f>
        <v/>
      </c>
      <c r="AS911" t="str">
        <f>""</f>
        <v/>
      </c>
      <c r="AT911" t="str">
        <f>""</f>
        <v/>
      </c>
      <c r="AU911" t="str">
        <f>""</f>
        <v/>
      </c>
      <c r="AV911" t="str">
        <f>""</f>
        <v/>
      </c>
      <c r="AW911" t="str">
        <f>""</f>
        <v/>
      </c>
      <c r="AX911" t="str">
        <f>""</f>
        <v/>
      </c>
      <c r="AY911" t="str">
        <f>""</f>
        <v/>
      </c>
      <c r="AZ911" t="str">
        <f>""</f>
        <v/>
      </c>
      <c r="BA911" t="str">
        <f>""</f>
        <v/>
      </c>
      <c r="BB911" t="str">
        <f>"17/08/2023 16:48:06"</f>
        <v>17/08/2023 16:48:06</v>
      </c>
      <c r="BC911" t="str">
        <f>""</f>
        <v/>
      </c>
      <c r="BD911" t="str">
        <f>""</f>
        <v/>
      </c>
      <c r="BE911" t="str">
        <f>""</f>
        <v/>
      </c>
      <c r="BF911" t="str">
        <f t="shared" si="455"/>
        <v>A</v>
      </c>
      <c r="BG911" t="str">
        <f>""</f>
        <v/>
      </c>
      <c r="BH911" t="str">
        <f>""</f>
        <v/>
      </c>
      <c r="BI911" t="str">
        <f t="shared" si="443"/>
        <v>EVENTUAL</v>
      </c>
      <c r="BJ911" t="str">
        <f t="shared" si="456"/>
        <v>1</v>
      </c>
      <c r="BK911" t="str">
        <f t="shared" si="457"/>
        <v>Farmacia</v>
      </c>
      <c r="BL911" t="str">
        <f>""</f>
        <v/>
      </c>
      <c r="BM911" t="str">
        <f>""</f>
        <v/>
      </c>
      <c r="BN911" t="str">
        <f>""</f>
        <v/>
      </c>
      <c r="BO911" t="str">
        <f>""</f>
        <v/>
      </c>
      <c r="BP911" t="str">
        <f>""</f>
        <v/>
      </c>
      <c r="BQ911" t="str">
        <f>""</f>
        <v/>
      </c>
      <c r="BR911" t="str">
        <f>"17/08/2023"</f>
        <v>17/08/2023</v>
      </c>
      <c r="BS911" t="str">
        <f>""</f>
        <v/>
      </c>
      <c r="BT911" t="str">
        <f>""</f>
        <v/>
      </c>
      <c r="BU911" t="str">
        <f>""</f>
        <v/>
      </c>
      <c r="BV911" t="str">
        <f>""</f>
        <v/>
      </c>
      <c r="BW911" t="str">
        <f>"Não visitado"</f>
        <v>Não visitado</v>
      </c>
    </row>
    <row r="912" spans="1:75" x14ac:dyDescent="0.35">
      <c r="A912">
        <v>159580</v>
      </c>
      <c r="B912" t="str">
        <f t="shared" si="451"/>
        <v>A</v>
      </c>
      <c r="C912" t="str">
        <f t="shared" si="452"/>
        <v>80</v>
      </c>
      <c r="D912" t="str">
        <f t="shared" si="446"/>
        <v>11121002</v>
      </c>
      <c r="E912" t="str">
        <f t="shared" si="447"/>
        <v>121002</v>
      </c>
      <c r="F912" t="str">
        <f t="shared" si="448"/>
        <v>CINTHIA NORONHA</v>
      </c>
      <c r="G912" t="str">
        <f>"51288120000177"</f>
        <v>51288120000177</v>
      </c>
      <c r="H912" t="str">
        <f>""</f>
        <v/>
      </c>
      <c r="I912" t="str">
        <f t="shared" si="453"/>
        <v>CONTA OPTICA</v>
      </c>
      <c r="J912" t="str">
        <f>"OLIVEIRA COMERCIO DE PRODUTOS OTICOS LTDA"</f>
        <v>OLIVEIRA COMERCIO DE PRODUTOS OTICOS LTDA</v>
      </c>
      <c r="K912" t="str">
        <f>"JOALHERIA E OTICA CRISTAL (4767)"</f>
        <v>JOALHERIA E OTICA CRISTAL (4767)</v>
      </c>
      <c r="L912" t="str">
        <f>""</f>
        <v/>
      </c>
      <c r="M912" t="str">
        <f>""</f>
        <v/>
      </c>
      <c r="N912" t="str">
        <f>"CA.DUARTEOLIVEIRA@GMAIL.COM"</f>
        <v>CA.DUARTEOLIVEIRA@GMAIL.COM</v>
      </c>
      <c r="O912" t="str">
        <f>""</f>
        <v/>
      </c>
      <c r="P912" t="str">
        <f>"RUA VENANCIO BORGES DE CARVALHO"</f>
        <v>RUA VENANCIO BORGES DE CARVALHO</v>
      </c>
      <c r="Q912" t="str">
        <f>"352"</f>
        <v>352</v>
      </c>
      <c r="R912" t="str">
        <f>""</f>
        <v/>
      </c>
      <c r="S912" t="str">
        <f>""</f>
        <v/>
      </c>
      <c r="T912" t="str">
        <f>"88640000"</f>
        <v>88640000</v>
      </c>
      <c r="U912" t="str">
        <f>"CENTRO"</f>
        <v>CENTRO</v>
      </c>
      <c r="V912" t="str">
        <f>"BOM JARDIM DA SERRA"</f>
        <v>BOM JARDIM DA SERRA</v>
      </c>
      <c r="W912" t="str">
        <f t="shared" si="450"/>
        <v>SC</v>
      </c>
      <c r="X912" t="str">
        <f>"49"</f>
        <v>49</v>
      </c>
      <c r="Y912" t="str">
        <f>"34337991"</f>
        <v>34337991</v>
      </c>
      <c r="Z912" t="str">
        <f>""</f>
        <v/>
      </c>
      <c r="AA912" t="str">
        <f>""</f>
        <v/>
      </c>
      <c r="AB912" t="str">
        <f>""</f>
        <v/>
      </c>
      <c r="AC912" t="str">
        <f>""</f>
        <v/>
      </c>
      <c r="AD912" t="str">
        <f>""</f>
        <v/>
      </c>
      <c r="AE912" t="str">
        <f>""</f>
        <v/>
      </c>
      <c r="AF912" t="str">
        <f>""</f>
        <v/>
      </c>
      <c r="AG912" t="str">
        <f>""</f>
        <v/>
      </c>
      <c r="AH912" t="str">
        <f>""</f>
        <v/>
      </c>
      <c r="AI912" t="str">
        <f>""</f>
        <v/>
      </c>
      <c r="AJ912" t="str">
        <f>""</f>
        <v/>
      </c>
      <c r="AK912" t="str">
        <f>""</f>
        <v/>
      </c>
      <c r="AL912" t="str">
        <f>""</f>
        <v/>
      </c>
      <c r="AM912" t="str">
        <f>""</f>
        <v/>
      </c>
      <c r="AN912" t="str">
        <f>""</f>
        <v/>
      </c>
      <c r="AO912" t="str">
        <f>""</f>
        <v/>
      </c>
      <c r="AP912" t="str">
        <f>""</f>
        <v/>
      </c>
      <c r="AQ912" t="str">
        <f>""</f>
        <v/>
      </c>
      <c r="AR912" t="str">
        <f>""</f>
        <v/>
      </c>
      <c r="AS912" t="str">
        <f>""</f>
        <v/>
      </c>
      <c r="AT912" t="str">
        <f>""</f>
        <v/>
      </c>
      <c r="AU912" t="str">
        <f>""</f>
        <v/>
      </c>
      <c r="AV912" t="str">
        <f>""</f>
        <v/>
      </c>
      <c r="AW912" t="str">
        <f>""</f>
        <v/>
      </c>
      <c r="AX912" t="str">
        <f>""</f>
        <v/>
      </c>
      <c r="AY912" t="str">
        <f>""</f>
        <v/>
      </c>
      <c r="AZ912" t="str">
        <f>""</f>
        <v/>
      </c>
      <c r="BA912" t="str">
        <f>""</f>
        <v/>
      </c>
      <c r="BB912" t="str">
        <f>"25/09/2023 11:47:13"</f>
        <v>25/09/2023 11:47:13</v>
      </c>
      <c r="BC912" t="str">
        <f>""</f>
        <v/>
      </c>
      <c r="BD912" t="str">
        <f>""</f>
        <v/>
      </c>
      <c r="BE912" t="str">
        <f>""</f>
        <v/>
      </c>
      <c r="BF912" t="str">
        <f t="shared" si="455"/>
        <v>A</v>
      </c>
      <c r="BG912" t="str">
        <f>""</f>
        <v/>
      </c>
      <c r="BH912" t="str">
        <f>""</f>
        <v/>
      </c>
      <c r="BI912" t="str">
        <f t="shared" si="443"/>
        <v>EVENTUAL</v>
      </c>
      <c r="BJ912" t="str">
        <f t="shared" si="456"/>
        <v>1</v>
      </c>
      <c r="BK912" t="str">
        <f t="shared" si="457"/>
        <v>Farmacia</v>
      </c>
      <c r="BL912" t="str">
        <f>""</f>
        <v/>
      </c>
      <c r="BM912" t="str">
        <f>""</f>
        <v/>
      </c>
      <c r="BN912" t="str">
        <f>""</f>
        <v/>
      </c>
      <c r="BO912" t="str">
        <f>""</f>
        <v/>
      </c>
      <c r="BP912" t="str">
        <f>""</f>
        <v/>
      </c>
      <c r="BQ912" t="str">
        <f>""</f>
        <v/>
      </c>
      <c r="BR912" t="str">
        <f>"25/09/2023"</f>
        <v>25/09/2023</v>
      </c>
      <c r="BS912" t="str">
        <f>""</f>
        <v/>
      </c>
      <c r="BT912" t="str">
        <f>""</f>
        <v/>
      </c>
      <c r="BU912" t="str">
        <f>""</f>
        <v/>
      </c>
      <c r="BV912" t="str">
        <f>""</f>
        <v/>
      </c>
      <c r="BW912" t="str">
        <f>"Não visitado"</f>
        <v>Não visitado</v>
      </c>
    </row>
    <row r="913" spans="1:75" x14ac:dyDescent="0.35">
      <c r="A913">
        <v>650</v>
      </c>
      <c r="B913" t="str">
        <f t="shared" si="451"/>
        <v>A</v>
      </c>
      <c r="C913" t="str">
        <f t="shared" si="452"/>
        <v>80</v>
      </c>
      <c r="D913" t="str">
        <f t="shared" si="446"/>
        <v>11121002</v>
      </c>
      <c r="E913" t="str">
        <f t="shared" si="447"/>
        <v>121002</v>
      </c>
      <c r="F913" t="str">
        <f t="shared" si="448"/>
        <v>CINTHIA NORONHA</v>
      </c>
      <c r="G913" t="str">
        <f>"24544198000132"</f>
        <v>24544198000132</v>
      </c>
      <c r="H913" t="str">
        <f>""</f>
        <v/>
      </c>
      <c r="I913" t="str">
        <f t="shared" si="453"/>
        <v>CONTA OPTICA</v>
      </c>
      <c r="J913" t="str">
        <f>"OLIVEIRA COMERCIO OTICO LTDA ME"</f>
        <v>OLIVEIRA COMERCIO OTICO LTDA ME</v>
      </c>
      <c r="K913" t="str">
        <f>"OTICA PERFEICAO (3304)"</f>
        <v>OTICA PERFEICAO (3304)</v>
      </c>
      <c r="L913" t="str">
        <f>""</f>
        <v/>
      </c>
      <c r="M913" t="str">
        <f>""</f>
        <v/>
      </c>
      <c r="N913" t="str">
        <f>"oticamastercolor@hotmail.com"</f>
        <v>oticamastercolor@hotmail.com</v>
      </c>
      <c r="O913" t="str">
        <f>""</f>
        <v/>
      </c>
      <c r="P913" t="str">
        <f>"RUA JOSE MARIA DA LUZ"</f>
        <v>RUA JOSE MARIA DA LUZ</v>
      </c>
      <c r="Q913" t="str">
        <f>"2900"</f>
        <v>2900</v>
      </c>
      <c r="R913" t="str">
        <f>"LOJA 02"</f>
        <v>LOJA 02</v>
      </c>
      <c r="S913" t="str">
        <f>"1259"</f>
        <v>1259</v>
      </c>
      <c r="T913" t="str">
        <f>"88131000"</f>
        <v>88131000</v>
      </c>
      <c r="U913" t="str">
        <f>"CENTRO"</f>
        <v>CENTRO</v>
      </c>
      <c r="V913" t="str">
        <f>"PALHOÇA"</f>
        <v>PALHOÇA</v>
      </c>
      <c r="W913" t="str">
        <f t="shared" si="450"/>
        <v>SC</v>
      </c>
      <c r="X913" t="str">
        <f>"48"</f>
        <v>48</v>
      </c>
      <c r="Y913" t="str">
        <f>"30333953"</f>
        <v>30333953</v>
      </c>
      <c r="Z913" t="str">
        <f>""</f>
        <v/>
      </c>
      <c r="AA913" t="str">
        <f>""</f>
        <v/>
      </c>
      <c r="AB913" t="str">
        <f>""</f>
        <v/>
      </c>
      <c r="AC913" t="str">
        <f>""</f>
        <v/>
      </c>
      <c r="AD913" t="str">
        <f>""</f>
        <v/>
      </c>
      <c r="AE913" t="str">
        <f>""</f>
        <v/>
      </c>
      <c r="AF913" t="str">
        <f>""</f>
        <v/>
      </c>
      <c r="AG913" t="str">
        <f>"S"</f>
        <v>S</v>
      </c>
      <c r="AH913" t="str">
        <f>""</f>
        <v/>
      </c>
      <c r="AI913" t="str">
        <f>""</f>
        <v/>
      </c>
      <c r="AJ913" t="str">
        <f t="shared" ref="AJ913:AL915" si="459">"0"</f>
        <v>0</v>
      </c>
      <c r="AK913" t="str">
        <f t="shared" si="459"/>
        <v>0</v>
      </c>
      <c r="AL913" t="str">
        <f t="shared" si="459"/>
        <v>0</v>
      </c>
      <c r="AM913" t="str">
        <f>""</f>
        <v/>
      </c>
      <c r="AN913" t="str">
        <f>""</f>
        <v/>
      </c>
      <c r="AO913" t="str">
        <f>""</f>
        <v/>
      </c>
      <c r="AP913" t="str">
        <f>""</f>
        <v/>
      </c>
      <c r="AQ913" t="str">
        <f>"N"</f>
        <v>N</v>
      </c>
      <c r="AR913" t="str">
        <f>"N"</f>
        <v>N</v>
      </c>
      <c r="AS913" t="str">
        <f>"N"</f>
        <v>N</v>
      </c>
      <c r="AT913" t="str">
        <f>"N"</f>
        <v>N</v>
      </c>
      <c r="AU913" t="str">
        <f>"N"</f>
        <v>N</v>
      </c>
      <c r="AV913" t="str">
        <f>""</f>
        <v/>
      </c>
      <c r="AW913" t="str">
        <f>""</f>
        <v/>
      </c>
      <c r="AX913" t="str">
        <f>""</f>
        <v/>
      </c>
      <c r="AY913" t="str">
        <f>""</f>
        <v/>
      </c>
      <c r="AZ913" t="str">
        <f>""</f>
        <v/>
      </c>
      <c r="BA913" t="str">
        <f>""</f>
        <v/>
      </c>
      <c r="BB913" t="str">
        <f>"27/07/2018 09:25:48"</f>
        <v>27/07/2018 09:25:48</v>
      </c>
      <c r="BC913" t="str">
        <f>"07/07/2023 17:09:01"</f>
        <v>07/07/2023 17:09:01</v>
      </c>
      <c r="BD913" t="str">
        <f>""</f>
        <v/>
      </c>
      <c r="BE913" t="str">
        <f>"650"</f>
        <v>650</v>
      </c>
      <c r="BF913" t="str">
        <f t="shared" si="455"/>
        <v>A</v>
      </c>
      <c r="BG913" t="str">
        <f t="shared" ref="BG913:BH915" si="460">"0,00"</f>
        <v>0,00</v>
      </c>
      <c r="BH913" t="str">
        <f t="shared" si="460"/>
        <v>0,00</v>
      </c>
      <c r="BI913" t="str">
        <f t="shared" si="443"/>
        <v>EVENTUAL</v>
      </c>
      <c r="BJ913" t="str">
        <f t="shared" si="456"/>
        <v>1</v>
      </c>
      <c r="BK913" t="str">
        <f t="shared" si="457"/>
        <v>Farmacia</v>
      </c>
      <c r="BL913" t="str">
        <f>""</f>
        <v/>
      </c>
      <c r="BM913" t="str">
        <f>"NÃO É VARILUX ESPECIALISTA"</f>
        <v>NÃO É VARILUX ESPECIALISTA</v>
      </c>
      <c r="BN913" t="str">
        <f>"NA"</f>
        <v>NA</v>
      </c>
      <c r="BO913" t="str">
        <f>"FOCO VARILUX"</f>
        <v>FOCO VARILUX</v>
      </c>
      <c r="BP913" t="str">
        <f>""</f>
        <v/>
      </c>
      <c r="BQ913" t="str">
        <f>""</f>
        <v/>
      </c>
      <c r="BR913" t="str">
        <f>"27/07/2018"</f>
        <v>27/07/2018</v>
      </c>
      <c r="BS913" t="str">
        <f>"07/07/2023"</f>
        <v>07/07/2023</v>
      </c>
      <c r="BT913" t="str">
        <f>""</f>
        <v/>
      </c>
      <c r="BU913" t="str">
        <f>""</f>
        <v/>
      </c>
      <c r="BV913" t="str">
        <f>"9"</f>
        <v>9</v>
      </c>
      <c r="BW913" t="str">
        <f>"15"</f>
        <v>15</v>
      </c>
    </row>
    <row r="914" spans="1:75" x14ac:dyDescent="0.35">
      <c r="A914">
        <v>118704</v>
      </c>
      <c r="B914" t="str">
        <f t="shared" si="451"/>
        <v>A</v>
      </c>
      <c r="C914" t="str">
        <f t="shared" si="452"/>
        <v>80</v>
      </c>
      <c r="D914" t="str">
        <f t="shared" si="446"/>
        <v>11121002</v>
      </c>
      <c r="E914" t="str">
        <f t="shared" si="447"/>
        <v>121002</v>
      </c>
      <c r="F914" t="str">
        <f t="shared" si="448"/>
        <v>CINTHIA NORONHA</v>
      </c>
      <c r="G914" t="str">
        <f>"04782640000151"</f>
        <v>04782640000151</v>
      </c>
      <c r="H914" t="str">
        <f>""</f>
        <v/>
      </c>
      <c r="I914" t="str">
        <f t="shared" si="453"/>
        <v>CONTA OPTICA</v>
      </c>
      <c r="J914" t="str">
        <f>"OLIVEIRA E JAEGER LTDA - ME"</f>
        <v>OLIVEIRA E JAEGER LTDA - ME</v>
      </c>
      <c r="K914" t="str">
        <f>"MASTERCOLOR (108)"</f>
        <v>MASTERCOLOR (108)</v>
      </c>
      <c r="L914" t="str">
        <f>""</f>
        <v/>
      </c>
      <c r="M914" t="str">
        <f>""</f>
        <v/>
      </c>
      <c r="N914" t="str">
        <f>"oticamastercolor@hotmail.com"</f>
        <v>oticamastercolor@hotmail.com</v>
      </c>
      <c r="O914" t="str">
        <f>""</f>
        <v/>
      </c>
      <c r="P914" t="str">
        <f>"RUA JOSE MARIA DA LUZ"</f>
        <v>RUA JOSE MARIA DA LUZ</v>
      </c>
      <c r="Q914" t="str">
        <f>"2780"</f>
        <v>2780</v>
      </c>
      <c r="R914" t="str">
        <f>""</f>
        <v/>
      </c>
      <c r="S914" t="str">
        <f>"1259"</f>
        <v>1259</v>
      </c>
      <c r="T914" t="str">
        <f>"88131000"</f>
        <v>88131000</v>
      </c>
      <c r="U914" t="str">
        <f>"CENTRO"</f>
        <v>CENTRO</v>
      </c>
      <c r="V914" t="str">
        <f>"PALHOÇA"</f>
        <v>PALHOÇA</v>
      </c>
      <c r="W914" t="str">
        <f t="shared" si="450"/>
        <v>SC</v>
      </c>
      <c r="X914" t="str">
        <f>"48"</f>
        <v>48</v>
      </c>
      <c r="Y914" t="str">
        <f>"32422829"</f>
        <v>32422829</v>
      </c>
      <c r="Z914" t="str">
        <f>""</f>
        <v/>
      </c>
      <c r="AA914" t="str">
        <f>""</f>
        <v/>
      </c>
      <c r="AB914" t="str">
        <f>""</f>
        <v/>
      </c>
      <c r="AC914" t="str">
        <f>""</f>
        <v/>
      </c>
      <c r="AD914" t="str">
        <f>""</f>
        <v/>
      </c>
      <c r="AE914" t="str">
        <f>""</f>
        <v/>
      </c>
      <c r="AF914" t="str">
        <f>""</f>
        <v/>
      </c>
      <c r="AG914" t="str">
        <f>""</f>
        <v/>
      </c>
      <c r="AH914" t="str">
        <f>""</f>
        <v/>
      </c>
      <c r="AI914" t="str">
        <f>""</f>
        <v/>
      </c>
      <c r="AJ914" t="str">
        <f t="shared" si="459"/>
        <v>0</v>
      </c>
      <c r="AK914" t="str">
        <f t="shared" si="459"/>
        <v>0</v>
      </c>
      <c r="AL914" t="str">
        <f t="shared" si="459"/>
        <v>0</v>
      </c>
      <c r="AM914" t="str">
        <f>""</f>
        <v/>
      </c>
      <c r="AN914" t="str">
        <f>""</f>
        <v/>
      </c>
      <c r="AO914" t="str">
        <f>""</f>
        <v/>
      </c>
      <c r="AP914" t="str">
        <f>""</f>
        <v/>
      </c>
      <c r="AQ914" t="str">
        <f>""</f>
        <v/>
      </c>
      <c r="AR914" t="str">
        <f>""</f>
        <v/>
      </c>
      <c r="AS914" t="str">
        <f>""</f>
        <v/>
      </c>
      <c r="AT914" t="str">
        <f>""</f>
        <v/>
      </c>
      <c r="AU914" t="str">
        <f>""</f>
        <v/>
      </c>
      <c r="AV914" t="str">
        <f>""</f>
        <v/>
      </c>
      <c r="AW914" t="str">
        <f>""</f>
        <v/>
      </c>
      <c r="AX914" t="str">
        <f>""</f>
        <v/>
      </c>
      <c r="AY914" t="str">
        <f>""</f>
        <v/>
      </c>
      <c r="AZ914" t="str">
        <f>""</f>
        <v/>
      </c>
      <c r="BA914" t="str">
        <f>""</f>
        <v/>
      </c>
      <c r="BB914" t="str">
        <f>""</f>
        <v/>
      </c>
      <c r="BC914" t="str">
        <f>""</f>
        <v/>
      </c>
      <c r="BD914" t="str">
        <f>""</f>
        <v/>
      </c>
      <c r="BE914" t="str">
        <f>""</f>
        <v/>
      </c>
      <c r="BF914" t="str">
        <f t="shared" si="455"/>
        <v>A</v>
      </c>
      <c r="BG914" t="str">
        <f t="shared" si="460"/>
        <v>0,00</v>
      </c>
      <c r="BH914" t="str">
        <f t="shared" si="460"/>
        <v>0,00</v>
      </c>
      <c r="BI914" t="str">
        <f t="shared" si="443"/>
        <v>EVENTUAL</v>
      </c>
      <c r="BJ914" t="str">
        <f t="shared" si="456"/>
        <v>1</v>
      </c>
      <c r="BK914" t="str">
        <f t="shared" si="457"/>
        <v>Farmacia</v>
      </c>
      <c r="BL914" t="str">
        <f>""</f>
        <v/>
      </c>
      <c r="BM914" t="str">
        <f>"VARILUX ESPECIALISTA SELECT"</f>
        <v>VARILUX ESPECIALISTA SELECT</v>
      </c>
      <c r="BN914" t="str">
        <f>"NA"</f>
        <v>NA</v>
      </c>
      <c r="BO914" t="str">
        <f>"FOCO KODAK 1"</f>
        <v>FOCO KODAK 1</v>
      </c>
      <c r="BP914" t="str">
        <f>""</f>
        <v/>
      </c>
      <c r="BQ914" t="str">
        <f>""</f>
        <v/>
      </c>
      <c r="BR914" t="str">
        <f>""</f>
        <v/>
      </c>
      <c r="BS914" t="str">
        <f>""</f>
        <v/>
      </c>
      <c r="BT914" t="str">
        <f>""</f>
        <v/>
      </c>
      <c r="BU914" t="str">
        <f>""</f>
        <v/>
      </c>
      <c r="BV914" t="str">
        <f>"9"</f>
        <v>9</v>
      </c>
      <c r="BW914" t="str">
        <f>"16"</f>
        <v>16</v>
      </c>
    </row>
    <row r="915" spans="1:75" x14ac:dyDescent="0.35">
      <c r="A915">
        <v>144706</v>
      </c>
      <c r="B915" t="str">
        <f t="shared" si="451"/>
        <v>A</v>
      </c>
      <c r="C915" t="str">
        <f t="shared" si="452"/>
        <v>80</v>
      </c>
      <c r="D915" t="str">
        <f t="shared" si="446"/>
        <v>11121002</v>
      </c>
      <c r="E915" t="str">
        <f t="shared" si="447"/>
        <v>121002</v>
      </c>
      <c r="F915" t="str">
        <f t="shared" si="448"/>
        <v>CINTHIA NORONHA</v>
      </c>
      <c r="G915" t="str">
        <f>"93377570000186"</f>
        <v>93377570000186</v>
      </c>
      <c r="H915" t="str">
        <f>""</f>
        <v/>
      </c>
      <c r="I915" t="str">
        <f t="shared" si="453"/>
        <v>CONTA OPTICA</v>
      </c>
      <c r="J915" t="str">
        <f>"OMAR VITORETI PEREIRA"</f>
        <v>OMAR VITORETI PEREIRA</v>
      </c>
      <c r="K915" t="str">
        <f>"OMAR VITORETI PEREIRA (1741)"</f>
        <v>OMAR VITORETI PEREIRA (1741)</v>
      </c>
      <c r="L915" t="str">
        <f>""</f>
        <v/>
      </c>
      <c r="M915" t="str">
        <f>""</f>
        <v/>
      </c>
      <c r="N915" t="str">
        <f>"reloticabrilhante@hotmail.com"</f>
        <v>reloticabrilhante@hotmail.com</v>
      </c>
      <c r="O915" t="str">
        <f>""</f>
        <v/>
      </c>
      <c r="P915" t="str">
        <f>"RUA FRANCISCO HIPOLITO ROLIM"</f>
        <v>RUA FRANCISCO HIPOLITO ROLIM</v>
      </c>
      <c r="Q915" t="str">
        <f>"663"</f>
        <v>663</v>
      </c>
      <c r="R915" t="str">
        <f>"SALA 03"</f>
        <v>SALA 03</v>
      </c>
      <c r="S915" t="str">
        <f>"1336"</f>
        <v>1336</v>
      </c>
      <c r="T915" t="str">
        <f>"95580000"</f>
        <v>95580000</v>
      </c>
      <c r="U915" t="str">
        <f>"CENTRO"</f>
        <v>CENTRO</v>
      </c>
      <c r="V915" t="str">
        <f>"TRÊS CACHOEIRAS"</f>
        <v>TRÊS CACHOEIRAS</v>
      </c>
      <c r="W915" t="str">
        <f>"RS"</f>
        <v>RS</v>
      </c>
      <c r="X915" t="str">
        <f>"51"</f>
        <v>51</v>
      </c>
      <c r="Y915" t="str">
        <f>"36671000"</f>
        <v>36671000</v>
      </c>
      <c r="Z915" t="str">
        <f>""</f>
        <v/>
      </c>
      <c r="AA915" t="str">
        <f>""</f>
        <v/>
      </c>
      <c r="AB915" t="str">
        <f>""</f>
        <v/>
      </c>
      <c r="AC915" t="str">
        <f>""</f>
        <v/>
      </c>
      <c r="AD915" t="str">
        <f>""</f>
        <v/>
      </c>
      <c r="AE915" t="str">
        <f>""</f>
        <v/>
      </c>
      <c r="AF915" t="str">
        <f>""</f>
        <v/>
      </c>
      <c r="AG915" t="str">
        <f>""</f>
        <v/>
      </c>
      <c r="AH915" t="str">
        <f>""</f>
        <v/>
      </c>
      <c r="AI915" t="str">
        <f>""</f>
        <v/>
      </c>
      <c r="AJ915" t="str">
        <f t="shared" si="459"/>
        <v>0</v>
      </c>
      <c r="AK915" t="str">
        <f t="shared" si="459"/>
        <v>0</v>
      </c>
      <c r="AL915" t="str">
        <f t="shared" si="459"/>
        <v>0</v>
      </c>
      <c r="AM915" t="str">
        <f>""</f>
        <v/>
      </c>
      <c r="AN915" t="str">
        <f>""</f>
        <v/>
      </c>
      <c r="AO915" t="str">
        <f>""</f>
        <v/>
      </c>
      <c r="AP915" t="str">
        <f>""</f>
        <v/>
      </c>
      <c r="AQ915" t="str">
        <f>""</f>
        <v/>
      </c>
      <c r="AR915" t="str">
        <f>""</f>
        <v/>
      </c>
      <c r="AS915" t="str">
        <f>""</f>
        <v/>
      </c>
      <c r="AT915" t="str">
        <f>""</f>
        <v/>
      </c>
      <c r="AU915" t="str">
        <f>""</f>
        <v/>
      </c>
      <c r="AV915" t="str">
        <f>""</f>
        <v/>
      </c>
      <c r="AW915" t="str">
        <f>""</f>
        <v/>
      </c>
      <c r="AX915" t="str">
        <f>""</f>
        <v/>
      </c>
      <c r="AY915" t="str">
        <f>""</f>
        <v/>
      </c>
      <c r="AZ915" t="str">
        <f>""</f>
        <v/>
      </c>
      <c r="BA915" t="str">
        <f>""</f>
        <v/>
      </c>
      <c r="BB915" t="str">
        <f>""</f>
        <v/>
      </c>
      <c r="BC915" t="str">
        <f>""</f>
        <v/>
      </c>
      <c r="BD915" t="str">
        <f>""</f>
        <v/>
      </c>
      <c r="BE915" t="str">
        <f>""</f>
        <v/>
      </c>
      <c r="BF915" t="str">
        <f t="shared" si="455"/>
        <v>A</v>
      </c>
      <c r="BG915" t="str">
        <f t="shared" si="460"/>
        <v>0,00</v>
      </c>
      <c r="BH915" t="str">
        <f t="shared" si="460"/>
        <v>0,00</v>
      </c>
      <c r="BI915" t="str">
        <f t="shared" si="443"/>
        <v>EVENTUAL</v>
      </c>
      <c r="BJ915" t="str">
        <f t="shared" si="456"/>
        <v>1</v>
      </c>
      <c r="BK915" t="str">
        <f t="shared" si="457"/>
        <v>Farmacia</v>
      </c>
      <c r="BL915" t="str">
        <f>""</f>
        <v/>
      </c>
      <c r="BM915" t="str">
        <f>"NÃO É VARILUX ESPECIALISTA"</f>
        <v>NÃO É VARILUX ESPECIALISTA</v>
      </c>
      <c r="BN915" t="str">
        <f>"NA"</f>
        <v>NA</v>
      </c>
      <c r="BO915" t="str">
        <f>"FOCO KODAK 2"</f>
        <v>FOCO KODAK 2</v>
      </c>
      <c r="BP915" t="str">
        <f>""</f>
        <v/>
      </c>
      <c r="BQ915" t="str">
        <f>""</f>
        <v/>
      </c>
      <c r="BR915" t="str">
        <f>""</f>
        <v/>
      </c>
      <c r="BS915" t="str">
        <f>""</f>
        <v/>
      </c>
      <c r="BT915" t="str">
        <f>""</f>
        <v/>
      </c>
      <c r="BU915" t="str">
        <f>""</f>
        <v/>
      </c>
      <c r="BV915" t="str">
        <f>"9"</f>
        <v>9</v>
      </c>
      <c r="BW915" t="str">
        <f>"30"</f>
        <v>30</v>
      </c>
    </row>
    <row r="916" spans="1:75" x14ac:dyDescent="0.35">
      <c r="A916">
        <v>157700</v>
      </c>
      <c r="B916" t="str">
        <f t="shared" si="451"/>
        <v>A</v>
      </c>
      <c r="C916" t="str">
        <f t="shared" si="452"/>
        <v>80</v>
      </c>
      <c r="D916" t="str">
        <f t="shared" si="446"/>
        <v>11121002</v>
      </c>
      <c r="E916" t="str">
        <f t="shared" si="447"/>
        <v>121002</v>
      </c>
      <c r="F916" t="str">
        <f t="shared" si="448"/>
        <v>CINTHIA NORONHA</v>
      </c>
      <c r="G916" t="str">
        <f>"31432510000161"</f>
        <v>31432510000161</v>
      </c>
      <c r="H916" t="str">
        <f>"0"</f>
        <v>0</v>
      </c>
      <c r="I916" t="str">
        <f t="shared" si="453"/>
        <v>CONTA OPTICA</v>
      </c>
      <c r="J916" t="str">
        <f>"OPTICA CIDA LTDA"</f>
        <v>OPTICA CIDA LTDA</v>
      </c>
      <c r="K916" t="str">
        <f>"OTICA CIDA (4006)"</f>
        <v>OTICA CIDA (4006)</v>
      </c>
      <c r="L916" t="str">
        <f>""</f>
        <v/>
      </c>
      <c r="M916" t="str">
        <f>""</f>
        <v/>
      </c>
      <c r="N916" t="str">
        <f>"VALDIR.KALIBRA@GMAIL.COM"</f>
        <v>VALDIR.KALIBRA@GMAIL.COM</v>
      </c>
      <c r="O916" t="str">
        <f>""</f>
        <v/>
      </c>
      <c r="P916" t="str">
        <f>"RUA DELAMAR JOSE DA SILVA"</f>
        <v>RUA DELAMAR JOSE DA SILVA</v>
      </c>
      <c r="Q916" t="str">
        <f>"140"</f>
        <v>140</v>
      </c>
      <c r="R916" t="str">
        <f>""</f>
        <v/>
      </c>
      <c r="S916" t="str">
        <f>"1259"</f>
        <v>1259</v>
      </c>
      <c r="T916" t="str">
        <f>"88102100"</f>
        <v>88102100</v>
      </c>
      <c r="U916" t="str">
        <f>"KOBRASOL"</f>
        <v>KOBRASOL</v>
      </c>
      <c r="V916" t="str">
        <f>"SAO JOSE"</f>
        <v>SAO JOSE</v>
      </c>
      <c r="W916" t="str">
        <f>"SC"</f>
        <v>SC</v>
      </c>
      <c r="X916" t="str">
        <f>""</f>
        <v/>
      </c>
      <c r="Y916" t="str">
        <f>"32479454"</f>
        <v>32479454</v>
      </c>
      <c r="Z916" t="str">
        <f>""</f>
        <v/>
      </c>
      <c r="AA916" t="str">
        <f>""</f>
        <v/>
      </c>
      <c r="AB916" t="str">
        <f>""</f>
        <v/>
      </c>
      <c r="AC916" t="str">
        <f>""</f>
        <v/>
      </c>
      <c r="AD916" t="str">
        <f>""</f>
        <v/>
      </c>
      <c r="AE916" t="str">
        <f>""</f>
        <v/>
      </c>
      <c r="AF916" t="str">
        <f>""</f>
        <v/>
      </c>
      <c r="AG916" t="str">
        <f>""</f>
        <v/>
      </c>
      <c r="AH916" t="str">
        <f>""</f>
        <v/>
      </c>
      <c r="AI916" t="str">
        <f>""</f>
        <v/>
      </c>
      <c r="AJ916" t="str">
        <f>""</f>
        <v/>
      </c>
      <c r="AK916" t="str">
        <f>""</f>
        <v/>
      </c>
      <c r="AL916" t="str">
        <f>""</f>
        <v/>
      </c>
      <c r="AM916" t="str">
        <f>""</f>
        <v/>
      </c>
      <c r="AN916" t="str">
        <f>""</f>
        <v/>
      </c>
      <c r="AO916" t="str">
        <f>""</f>
        <v/>
      </c>
      <c r="AP916" t="str">
        <f>""</f>
        <v/>
      </c>
      <c r="AQ916" t="str">
        <f>""</f>
        <v/>
      </c>
      <c r="AR916" t="str">
        <f>""</f>
        <v/>
      </c>
      <c r="AS916" t="str">
        <f>""</f>
        <v/>
      </c>
      <c r="AT916" t="str">
        <f>""</f>
        <v/>
      </c>
      <c r="AU916" t="str">
        <f>""</f>
        <v/>
      </c>
      <c r="AV916" t="str">
        <f>""</f>
        <v/>
      </c>
      <c r="AW916" t="str">
        <f>""</f>
        <v/>
      </c>
      <c r="AX916" t="str">
        <f>""</f>
        <v/>
      </c>
      <c r="AY916" t="str">
        <f>""</f>
        <v/>
      </c>
      <c r="AZ916" t="str">
        <f>""</f>
        <v/>
      </c>
      <c r="BA916" t="str">
        <f>""</f>
        <v/>
      </c>
      <c r="BB916" t="str">
        <f>"11/07/2023 02:19:56"</f>
        <v>11/07/2023 02:19:56</v>
      </c>
      <c r="BC916" t="str">
        <f>""</f>
        <v/>
      </c>
      <c r="BD916" t="str">
        <f>""</f>
        <v/>
      </c>
      <c r="BE916" t="str">
        <f>""</f>
        <v/>
      </c>
      <c r="BF916" t="str">
        <f t="shared" si="455"/>
        <v>A</v>
      </c>
      <c r="BG916" t="str">
        <f>""</f>
        <v/>
      </c>
      <c r="BH916" t="str">
        <f>""</f>
        <v/>
      </c>
      <c r="BI916" t="str">
        <f t="shared" si="443"/>
        <v>EVENTUAL</v>
      </c>
      <c r="BJ916" t="str">
        <f t="shared" si="456"/>
        <v>1</v>
      </c>
      <c r="BK916" t="str">
        <f t="shared" si="457"/>
        <v>Farmacia</v>
      </c>
      <c r="BL916" t="str">
        <f>""</f>
        <v/>
      </c>
      <c r="BM916" t="str">
        <f>""</f>
        <v/>
      </c>
      <c r="BN916" t="str">
        <f>""</f>
        <v/>
      </c>
      <c r="BO916" t="str">
        <f>""</f>
        <v/>
      </c>
      <c r="BP916" t="str">
        <f>""</f>
        <v/>
      </c>
      <c r="BQ916" t="str">
        <f>""</f>
        <v/>
      </c>
      <c r="BR916" t="str">
        <f>"11/07/2023"</f>
        <v>11/07/2023</v>
      </c>
      <c r="BS916" t="str">
        <f>""</f>
        <v/>
      </c>
      <c r="BT916" t="str">
        <f>""</f>
        <v/>
      </c>
      <c r="BU916" t="str">
        <f>""</f>
        <v/>
      </c>
      <c r="BV916" t="str">
        <f>""</f>
        <v/>
      </c>
      <c r="BW916" t="str">
        <f>"Não visitado"</f>
        <v>Não visitado</v>
      </c>
    </row>
    <row r="917" spans="1:75" x14ac:dyDescent="0.35">
      <c r="A917">
        <v>144334</v>
      </c>
      <c r="B917" t="str">
        <f t="shared" si="451"/>
        <v>A</v>
      </c>
      <c r="C917" t="str">
        <f t="shared" si="452"/>
        <v>80</v>
      </c>
      <c r="D917" t="str">
        <f t="shared" si="446"/>
        <v>11121002</v>
      </c>
      <c r="E917" t="str">
        <f t="shared" si="447"/>
        <v>121002</v>
      </c>
      <c r="F917" t="str">
        <f t="shared" si="448"/>
        <v>CINTHIA NORONHA</v>
      </c>
      <c r="G917" t="str">
        <f>"13592633000188"</f>
        <v>13592633000188</v>
      </c>
      <c r="H917" t="str">
        <f>""</f>
        <v/>
      </c>
      <c r="I917" t="str">
        <f t="shared" si="453"/>
        <v>CONTA OPTICA</v>
      </c>
      <c r="J917" t="str">
        <f>"OPTICA E JOALHERIA FRITZEN LTDA"</f>
        <v>OPTICA E JOALHERIA FRITZEN LTDA</v>
      </c>
      <c r="K917" t="str">
        <f>"OPTICA E JOALHERIA FRITZEN LTDA (1826)"</f>
        <v>OPTICA E JOALHERIA FRITZEN LTDA (1826)</v>
      </c>
      <c r="L917" t="str">
        <f>""</f>
        <v/>
      </c>
      <c r="M917" t="str">
        <f>""</f>
        <v/>
      </c>
      <c r="N917" t="str">
        <f>"oticafritzen-sl@hotmail.com"</f>
        <v>oticafritzen-sl@hotmail.com</v>
      </c>
      <c r="O917" t="str">
        <f>""</f>
        <v/>
      </c>
      <c r="P917" t="str">
        <f>"RUA JOAO WESSLER"</f>
        <v>RUA JOAO WESSLER</v>
      </c>
      <c r="Q917" t="str">
        <f>"149"</f>
        <v>149</v>
      </c>
      <c r="R917" t="str">
        <f>""</f>
        <v/>
      </c>
      <c r="S917" t="str">
        <f>"1268"</f>
        <v>1268</v>
      </c>
      <c r="T917" t="str">
        <f>"88730000"</f>
        <v>88730000</v>
      </c>
      <c r="U917" t="str">
        <f>"CENTRO"</f>
        <v>CENTRO</v>
      </c>
      <c r="V917" t="str">
        <f>"SÃO LUDGERO"</f>
        <v>SÃO LUDGERO</v>
      </c>
      <c r="W917" t="str">
        <f>"SC"</f>
        <v>SC</v>
      </c>
      <c r="X917" t="str">
        <f>"48"</f>
        <v>48</v>
      </c>
      <c r="Y917" t="str">
        <f>"36570198"</f>
        <v>36570198</v>
      </c>
      <c r="Z917" t="str">
        <f>""</f>
        <v/>
      </c>
      <c r="AA917" t="str">
        <f>""</f>
        <v/>
      </c>
      <c r="AB917" t="str">
        <f>""</f>
        <v/>
      </c>
      <c r="AC917" t="str">
        <f>""</f>
        <v/>
      </c>
      <c r="AD917" t="str">
        <f>""</f>
        <v/>
      </c>
      <c r="AE917" t="str">
        <f>""</f>
        <v/>
      </c>
      <c r="AF917" t="str">
        <f>""</f>
        <v/>
      </c>
      <c r="AG917" t="str">
        <f>""</f>
        <v/>
      </c>
      <c r="AH917" t="str">
        <f>""</f>
        <v/>
      </c>
      <c r="AI917" t="str">
        <f>""</f>
        <v/>
      </c>
      <c r="AJ917" t="str">
        <f t="shared" ref="AJ917:AL918" si="461">"0"</f>
        <v>0</v>
      </c>
      <c r="AK917" t="str">
        <f t="shared" si="461"/>
        <v>0</v>
      </c>
      <c r="AL917" t="str">
        <f t="shared" si="461"/>
        <v>0</v>
      </c>
      <c r="AM917" t="str">
        <f>""</f>
        <v/>
      </c>
      <c r="AN917" t="str">
        <f>""</f>
        <v/>
      </c>
      <c r="AO917" t="str">
        <f>""</f>
        <v/>
      </c>
      <c r="AP917" t="str">
        <f>""</f>
        <v/>
      </c>
      <c r="AQ917" t="str">
        <f>""</f>
        <v/>
      </c>
      <c r="AR917" t="str">
        <f>""</f>
        <v/>
      </c>
      <c r="AS917" t="str">
        <f>""</f>
        <v/>
      </c>
      <c r="AT917" t="str">
        <f>""</f>
        <v/>
      </c>
      <c r="AU917" t="str">
        <f>""</f>
        <v/>
      </c>
      <c r="AV917" t="str">
        <f>""</f>
        <v/>
      </c>
      <c r="AW917" t="str">
        <f>""</f>
        <v/>
      </c>
      <c r="AX917" t="str">
        <f>""</f>
        <v/>
      </c>
      <c r="AY917" t="str">
        <f>""</f>
        <v/>
      </c>
      <c r="AZ917" t="str">
        <f>""</f>
        <v/>
      </c>
      <c r="BA917" t="str">
        <f>""</f>
        <v/>
      </c>
      <c r="BB917" t="str">
        <f>""</f>
        <v/>
      </c>
      <c r="BC917" t="str">
        <f>""</f>
        <v/>
      </c>
      <c r="BD917" t="str">
        <f>""</f>
        <v/>
      </c>
      <c r="BE917" t="str">
        <f>""</f>
        <v/>
      </c>
      <c r="BF917" t="str">
        <f t="shared" si="455"/>
        <v>A</v>
      </c>
      <c r="BG917" t="str">
        <f>"0,00"</f>
        <v>0,00</v>
      </c>
      <c r="BH917" t="str">
        <f>"0,00"</f>
        <v>0,00</v>
      </c>
      <c r="BI917" t="str">
        <f t="shared" si="443"/>
        <v>EVENTUAL</v>
      </c>
      <c r="BJ917" t="str">
        <f t="shared" si="456"/>
        <v>1</v>
      </c>
      <c r="BK917" t="str">
        <f t="shared" si="457"/>
        <v>Farmacia</v>
      </c>
      <c r="BL917" t="str">
        <f>""</f>
        <v/>
      </c>
      <c r="BM917" t="str">
        <f>"NÃO É VARILUX ESPECIALISTA"</f>
        <v>NÃO É VARILUX ESPECIALISTA</v>
      </c>
      <c r="BN917" t="str">
        <f>"NA"</f>
        <v>NA</v>
      </c>
      <c r="BO917" t="str">
        <f>"FOCO VARILUX"</f>
        <v>FOCO VARILUX</v>
      </c>
      <c r="BP917" t="str">
        <f>""</f>
        <v/>
      </c>
      <c r="BQ917" t="str">
        <f>""</f>
        <v/>
      </c>
      <c r="BR917" t="str">
        <f>""</f>
        <v/>
      </c>
      <c r="BS917" t="str">
        <f>""</f>
        <v/>
      </c>
      <c r="BT917" t="str">
        <f>""</f>
        <v/>
      </c>
      <c r="BU917" t="str">
        <f>""</f>
        <v/>
      </c>
      <c r="BV917" t="str">
        <f>"9"</f>
        <v>9</v>
      </c>
      <c r="BW917" t="str">
        <f>"128"</f>
        <v>128</v>
      </c>
    </row>
    <row r="918" spans="1:75" x14ac:dyDescent="0.35">
      <c r="A918">
        <v>1585</v>
      </c>
      <c r="B918" t="str">
        <f t="shared" si="451"/>
        <v>A</v>
      </c>
      <c r="C918" t="str">
        <f t="shared" si="452"/>
        <v>80</v>
      </c>
      <c r="D918" t="str">
        <f t="shared" si="446"/>
        <v>11121002</v>
      </c>
      <c r="E918" t="str">
        <f t="shared" si="447"/>
        <v>121002</v>
      </c>
      <c r="F918" t="str">
        <f t="shared" si="448"/>
        <v>CINTHIA NORONHA</v>
      </c>
      <c r="G918" t="str">
        <f>"07079028000105"</f>
        <v>07079028000105</v>
      </c>
      <c r="H918" t="str">
        <f>""</f>
        <v/>
      </c>
      <c r="I918" t="str">
        <f t="shared" si="453"/>
        <v>CONTA OPTICA</v>
      </c>
      <c r="J918" t="str">
        <f>"OPTICA E JOALHERIA LAPIDARE LTDA"</f>
        <v>OPTICA E JOALHERIA LAPIDARE LTDA</v>
      </c>
      <c r="K918" t="str">
        <f>"OPTICA E JOALHERIA LAPIDARE LTDA (642)"</f>
        <v>OPTICA E JOALHERIA LAPIDARE LTDA (642)</v>
      </c>
      <c r="L918" t="str">
        <f>""</f>
        <v/>
      </c>
      <c r="M918" t="str">
        <f>""</f>
        <v/>
      </c>
      <c r="N918" t="str">
        <f>"lapidare@hotmail.com"</f>
        <v>lapidare@hotmail.com</v>
      </c>
      <c r="O918" t="str">
        <f>""</f>
        <v/>
      </c>
      <c r="P918" t="str">
        <f>"CAL TULIO FIUZA DE CARVALHO"</f>
        <v>CAL TULIO FIUZA DE CARVALHO</v>
      </c>
      <c r="Q918" t="str">
        <f>"82"</f>
        <v>82</v>
      </c>
      <c r="R918" t="str">
        <f>""</f>
        <v/>
      </c>
      <c r="S918" t="str">
        <f>"1266"</f>
        <v>1266</v>
      </c>
      <c r="T918" t="str">
        <f>"88501000"</f>
        <v>88501000</v>
      </c>
      <c r="U918" t="str">
        <f>"CENTRO"</f>
        <v>CENTRO</v>
      </c>
      <c r="V918" t="str">
        <f>"LAGES"</f>
        <v>LAGES</v>
      </c>
      <c r="W918" t="str">
        <f>"SC"</f>
        <v>SC</v>
      </c>
      <c r="X918" t="str">
        <f>"49"</f>
        <v>49</v>
      </c>
      <c r="Y918" t="str">
        <f>"32231590"</f>
        <v>32231590</v>
      </c>
      <c r="Z918" t="str">
        <f>""</f>
        <v/>
      </c>
      <c r="AA918" t="str">
        <f>""</f>
        <v/>
      </c>
      <c r="AB918" t="str">
        <f>""</f>
        <v/>
      </c>
      <c r="AC918" t="str">
        <f>""</f>
        <v/>
      </c>
      <c r="AD918" t="str">
        <f>""</f>
        <v/>
      </c>
      <c r="AE918" t="str">
        <f>""</f>
        <v/>
      </c>
      <c r="AF918" t="str">
        <f>""</f>
        <v/>
      </c>
      <c r="AG918" t="str">
        <f>""</f>
        <v/>
      </c>
      <c r="AH918" t="str">
        <f>""</f>
        <v/>
      </c>
      <c r="AI918" t="str">
        <f>""</f>
        <v/>
      </c>
      <c r="AJ918" t="str">
        <f t="shared" si="461"/>
        <v>0</v>
      </c>
      <c r="AK918" t="str">
        <f t="shared" si="461"/>
        <v>0</v>
      </c>
      <c r="AL918" t="str">
        <f t="shared" si="461"/>
        <v>0</v>
      </c>
      <c r="AM918" t="str">
        <f>""</f>
        <v/>
      </c>
      <c r="AN918" t="str">
        <f>""</f>
        <v/>
      </c>
      <c r="AO918" t="str">
        <f>""</f>
        <v/>
      </c>
      <c r="AP918" t="str">
        <f>""</f>
        <v/>
      </c>
      <c r="AQ918" t="str">
        <f>""</f>
        <v/>
      </c>
      <c r="AR918" t="str">
        <f>""</f>
        <v/>
      </c>
      <c r="AS918" t="str">
        <f>""</f>
        <v/>
      </c>
      <c r="AT918" t="str">
        <f>""</f>
        <v/>
      </c>
      <c r="AU918" t="str">
        <f>""</f>
        <v/>
      </c>
      <c r="AV918" t="str">
        <f>""</f>
        <v/>
      </c>
      <c r="AW918" t="str">
        <f>""</f>
        <v/>
      </c>
      <c r="AX918" t="str">
        <f>""</f>
        <v/>
      </c>
      <c r="AY918" t="str">
        <f>""</f>
        <v/>
      </c>
      <c r="AZ918" t="str">
        <f>""</f>
        <v/>
      </c>
      <c r="BA918" t="str">
        <f>""</f>
        <v/>
      </c>
      <c r="BB918" t="str">
        <f>"27/07/2018 09:26:26"</f>
        <v>27/07/2018 09:26:26</v>
      </c>
      <c r="BC918" t="str">
        <f>""</f>
        <v/>
      </c>
      <c r="BD918" t="str">
        <f>""</f>
        <v/>
      </c>
      <c r="BE918" t="str">
        <f>"1585"</f>
        <v>1585</v>
      </c>
      <c r="BF918" t="str">
        <f t="shared" si="455"/>
        <v>A</v>
      </c>
      <c r="BG918" t="str">
        <f>"0,00"</f>
        <v>0,00</v>
      </c>
      <c r="BH918" t="str">
        <f>"0,00"</f>
        <v>0,00</v>
      </c>
      <c r="BI918" t="str">
        <f t="shared" si="443"/>
        <v>EVENTUAL</v>
      </c>
      <c r="BJ918" t="str">
        <f t="shared" si="456"/>
        <v>1</v>
      </c>
      <c r="BK918" t="str">
        <f t="shared" si="457"/>
        <v>Farmacia</v>
      </c>
      <c r="BL918" t="str">
        <f>""</f>
        <v/>
      </c>
      <c r="BM918" t="str">
        <f>"NÃO É VARILUX ESPECIALISTA"</f>
        <v>NÃO É VARILUX ESPECIALISTA</v>
      </c>
      <c r="BN918" t="str">
        <f>"NA"</f>
        <v>NA</v>
      </c>
      <c r="BO918" t="str">
        <f>"FOCO VARILUX DIGITAL"</f>
        <v>FOCO VARILUX DIGITAL</v>
      </c>
      <c r="BP918" t="str">
        <f>""</f>
        <v/>
      </c>
      <c r="BQ918" t="str">
        <f>""</f>
        <v/>
      </c>
      <c r="BR918" t="str">
        <f>"27/07/2018"</f>
        <v>27/07/2018</v>
      </c>
      <c r="BS918" t="str">
        <f>""</f>
        <v/>
      </c>
      <c r="BT918" t="str">
        <f>""</f>
        <v/>
      </c>
      <c r="BU918" t="str">
        <f>""</f>
        <v/>
      </c>
      <c r="BV918" t="str">
        <f>"5"</f>
        <v>5</v>
      </c>
      <c r="BW918" t="str">
        <f>"17"</f>
        <v>17</v>
      </c>
    </row>
    <row r="919" spans="1:75" x14ac:dyDescent="0.35">
      <c r="A919">
        <v>157617</v>
      </c>
      <c r="B919" t="str">
        <f t="shared" si="451"/>
        <v>A</v>
      </c>
      <c r="C919" t="str">
        <f t="shared" si="452"/>
        <v>80</v>
      </c>
      <c r="D919" t="str">
        <f t="shared" si="446"/>
        <v>11121002</v>
      </c>
      <c r="E919" t="str">
        <f t="shared" si="447"/>
        <v>121002</v>
      </c>
      <c r="F919" t="str">
        <f t="shared" si="448"/>
        <v>CINTHIA NORONHA</v>
      </c>
      <c r="G919" t="str">
        <f>"20694225000100"</f>
        <v>20694225000100</v>
      </c>
      <c r="H919" t="str">
        <f>"0"</f>
        <v>0</v>
      </c>
      <c r="I919" t="str">
        <f t="shared" si="453"/>
        <v>CONTA OPTICA</v>
      </c>
      <c r="J919" t="str">
        <f>"OPTICA E RELOJOARIA GHENO LTDA"</f>
        <v>OPTICA E RELOJOARIA GHENO LTDA</v>
      </c>
      <c r="K919" t="str">
        <f>"OPTICA E RELOJOARIA GHENO (2153)"</f>
        <v>OPTICA E RELOJOARIA GHENO (2153)</v>
      </c>
      <c r="L919" t="str">
        <f>""</f>
        <v/>
      </c>
      <c r="M919" t="str">
        <f>""</f>
        <v/>
      </c>
      <c r="N919" t="str">
        <f>"OPTICASGHENO@GMAIL.COM"</f>
        <v>OPTICASGHENO@GMAIL.COM</v>
      </c>
      <c r="O919" t="str">
        <f>""</f>
        <v/>
      </c>
      <c r="P919" t="str">
        <f>"RUA PRESIDENTE NEREU RAMOS"</f>
        <v>RUA PRESIDENTE NEREU RAMOS</v>
      </c>
      <c r="Q919" t="str">
        <f>"223"</f>
        <v>223</v>
      </c>
      <c r="R919" t="str">
        <f>"SALA 17"</f>
        <v>SALA 17</v>
      </c>
      <c r="S919" t="str">
        <f>"1266"</f>
        <v>1266</v>
      </c>
      <c r="T919" t="str">
        <f>"88502170"</f>
        <v>88502170</v>
      </c>
      <c r="U919" t="str">
        <f>"CENTRO"</f>
        <v>CENTRO</v>
      </c>
      <c r="V919" t="str">
        <f>"LAGES"</f>
        <v>LAGES</v>
      </c>
      <c r="W919" t="str">
        <f>"SC"</f>
        <v>SC</v>
      </c>
      <c r="X919" t="str">
        <f>"49"</f>
        <v>49</v>
      </c>
      <c r="Y919" t="str">
        <f>"30180931"</f>
        <v>30180931</v>
      </c>
      <c r="Z919" t="str">
        <f>""</f>
        <v/>
      </c>
      <c r="AA919" t="str">
        <f>""</f>
        <v/>
      </c>
      <c r="AB919" t="str">
        <f>""</f>
        <v/>
      </c>
      <c r="AC919" t="str">
        <f>""</f>
        <v/>
      </c>
      <c r="AD919" t="str">
        <f>""</f>
        <v/>
      </c>
      <c r="AE919" t="str">
        <f>""</f>
        <v/>
      </c>
      <c r="AF919" t="str">
        <f>""</f>
        <v/>
      </c>
      <c r="AG919" t="str">
        <f>""</f>
        <v/>
      </c>
      <c r="AH919" t="str">
        <f>""</f>
        <v/>
      </c>
      <c r="AI919" t="str">
        <f>""</f>
        <v/>
      </c>
      <c r="AJ919" t="str">
        <f>""</f>
        <v/>
      </c>
      <c r="AK919" t="str">
        <f>""</f>
        <v/>
      </c>
      <c r="AL919" t="str">
        <f>""</f>
        <v/>
      </c>
      <c r="AM919" t="str">
        <f>""</f>
        <v/>
      </c>
      <c r="AN919" t="str">
        <f>""</f>
        <v/>
      </c>
      <c r="AO919" t="str">
        <f>""</f>
        <v/>
      </c>
      <c r="AP919" t="str">
        <f>""</f>
        <v/>
      </c>
      <c r="AQ919" t="str">
        <f>""</f>
        <v/>
      </c>
      <c r="AR919" t="str">
        <f>""</f>
        <v/>
      </c>
      <c r="AS919" t="str">
        <f>""</f>
        <v/>
      </c>
      <c r="AT919" t="str">
        <f>""</f>
        <v/>
      </c>
      <c r="AU919" t="str">
        <f>""</f>
        <v/>
      </c>
      <c r="AV919" t="str">
        <f>""</f>
        <v/>
      </c>
      <c r="AW919" t="str">
        <f>""</f>
        <v/>
      </c>
      <c r="AX919" t="str">
        <f>""</f>
        <v/>
      </c>
      <c r="AY919" t="str">
        <f>""</f>
        <v/>
      </c>
      <c r="AZ919" t="str">
        <f>""</f>
        <v/>
      </c>
      <c r="BA919" t="str">
        <f>""</f>
        <v/>
      </c>
      <c r="BB919" t="str">
        <f>"11/07/2023 02:19:56"</f>
        <v>11/07/2023 02:19:56</v>
      </c>
      <c r="BC919" t="str">
        <f>""</f>
        <v/>
      </c>
      <c r="BD919" t="str">
        <f>""</f>
        <v/>
      </c>
      <c r="BE919" t="str">
        <f>""</f>
        <v/>
      </c>
      <c r="BF919" t="str">
        <f t="shared" si="455"/>
        <v>A</v>
      </c>
      <c r="BG919" t="str">
        <f>""</f>
        <v/>
      </c>
      <c r="BH919" t="str">
        <f>""</f>
        <v/>
      </c>
      <c r="BI919" t="str">
        <f t="shared" si="443"/>
        <v>EVENTUAL</v>
      </c>
      <c r="BJ919" t="str">
        <f t="shared" si="456"/>
        <v>1</v>
      </c>
      <c r="BK919" t="str">
        <f t="shared" si="457"/>
        <v>Farmacia</v>
      </c>
      <c r="BL919" t="str">
        <f>""</f>
        <v/>
      </c>
      <c r="BM919" t="str">
        <f>""</f>
        <v/>
      </c>
      <c r="BN919" t="str">
        <f>""</f>
        <v/>
      </c>
      <c r="BO919" t="str">
        <f>""</f>
        <v/>
      </c>
      <c r="BP919" t="str">
        <f>""</f>
        <v/>
      </c>
      <c r="BQ919" t="str">
        <f>""</f>
        <v/>
      </c>
      <c r="BR919" t="str">
        <f>"11/07/2023"</f>
        <v>11/07/2023</v>
      </c>
      <c r="BS919" t="str">
        <f>""</f>
        <v/>
      </c>
      <c r="BT919" t="str">
        <f>""</f>
        <v/>
      </c>
      <c r="BU919" t="str">
        <f>""</f>
        <v/>
      </c>
      <c r="BV919" t="str">
        <f>""</f>
        <v/>
      </c>
      <c r="BW919" t="str">
        <f>"Não visitado"</f>
        <v>Não visitado</v>
      </c>
    </row>
    <row r="920" spans="1:75" x14ac:dyDescent="0.35">
      <c r="A920">
        <v>118690</v>
      </c>
      <c r="B920" t="str">
        <f t="shared" si="451"/>
        <v>A</v>
      </c>
      <c r="C920" t="str">
        <f t="shared" si="452"/>
        <v>80</v>
      </c>
      <c r="D920" t="str">
        <f t="shared" si="446"/>
        <v>11121002</v>
      </c>
      <c r="E920" t="str">
        <f t="shared" si="447"/>
        <v>121002</v>
      </c>
      <c r="F920" t="str">
        <f t="shared" si="448"/>
        <v>CINTHIA NORONHA</v>
      </c>
      <c r="G920" t="str">
        <f>"08674381000104"</f>
        <v>08674381000104</v>
      </c>
      <c r="H920" t="str">
        <f>""</f>
        <v/>
      </c>
      <c r="I920" t="str">
        <f t="shared" si="453"/>
        <v>CONTA OPTICA</v>
      </c>
      <c r="J920" t="str">
        <f>"OPTICA E RELOJOARIA GREICY LTDA -ME"</f>
        <v>OPTICA E RELOJOARIA GREICY LTDA -ME</v>
      </c>
      <c r="K920" t="str">
        <f>"OPTICA E RELOJOARIA GREICY LTDA -ME (1668)"</f>
        <v>OPTICA E RELOJOARIA GREICY LTDA -ME (1668)</v>
      </c>
      <c r="L920" t="str">
        <f>""</f>
        <v/>
      </c>
      <c r="M920" t="str">
        <f>""</f>
        <v/>
      </c>
      <c r="N920" t="str">
        <f>"greicyisidoro@bol.com.br"</f>
        <v>greicyisidoro@bol.com.br</v>
      </c>
      <c r="O920" t="str">
        <f>""</f>
        <v/>
      </c>
      <c r="P920" t="str">
        <f>"RUA DR VALDIR COTRIN"</f>
        <v>RUA DR VALDIR COTRIN</v>
      </c>
      <c r="Q920" t="str">
        <f>"258"</f>
        <v>258</v>
      </c>
      <c r="R920" t="str">
        <f>"SALA 02"</f>
        <v>SALA 02</v>
      </c>
      <c r="S920" t="str">
        <f>"1269"</f>
        <v>1269</v>
      </c>
      <c r="T920" t="str">
        <f>"88880000"</f>
        <v>88880000</v>
      </c>
      <c r="U920" t="str">
        <f>"CENTRO"</f>
        <v>CENTRO</v>
      </c>
      <c r="V920" t="str">
        <f>"LAURO MÜLLER"</f>
        <v>LAURO MÜLLER</v>
      </c>
      <c r="W920" t="str">
        <f>"SC"</f>
        <v>SC</v>
      </c>
      <c r="X920" t="str">
        <f>"48"</f>
        <v>48</v>
      </c>
      <c r="Y920" t="str">
        <f>"34643071"</f>
        <v>34643071</v>
      </c>
      <c r="Z920" t="str">
        <f>""</f>
        <v/>
      </c>
      <c r="AA920" t="str">
        <f>""</f>
        <v/>
      </c>
      <c r="AB920" t="str">
        <f>""</f>
        <v/>
      </c>
      <c r="AC920" t="str">
        <f>""</f>
        <v/>
      </c>
      <c r="AD920" t="str">
        <f>""</f>
        <v/>
      </c>
      <c r="AE920" t="str">
        <f>""</f>
        <v/>
      </c>
      <c r="AF920" t="str">
        <f>""</f>
        <v/>
      </c>
      <c r="AG920" t="str">
        <f>""</f>
        <v/>
      </c>
      <c r="AH920" t="str">
        <f>""</f>
        <v/>
      </c>
      <c r="AI920" t="str">
        <f>""</f>
        <v/>
      </c>
      <c r="AJ920" t="str">
        <f t="shared" ref="AJ920:AL921" si="462">"0"</f>
        <v>0</v>
      </c>
      <c r="AK920" t="str">
        <f t="shared" si="462"/>
        <v>0</v>
      </c>
      <c r="AL920" t="str">
        <f t="shared" si="462"/>
        <v>0</v>
      </c>
      <c r="AM920" t="str">
        <f>""</f>
        <v/>
      </c>
      <c r="AN920" t="str">
        <f>""</f>
        <v/>
      </c>
      <c r="AO920" t="str">
        <f>""</f>
        <v/>
      </c>
      <c r="AP920" t="str">
        <f>""</f>
        <v/>
      </c>
      <c r="AQ920" t="str">
        <f>""</f>
        <v/>
      </c>
      <c r="AR920" t="str">
        <f>""</f>
        <v/>
      </c>
      <c r="AS920" t="str">
        <f>""</f>
        <v/>
      </c>
      <c r="AT920" t="str">
        <f>""</f>
        <v/>
      </c>
      <c r="AU920" t="str">
        <f>""</f>
        <v/>
      </c>
      <c r="AV920" t="str">
        <f>""</f>
        <v/>
      </c>
      <c r="AW920" t="str">
        <f>""</f>
        <v/>
      </c>
      <c r="AX920" t="str">
        <f>""</f>
        <v/>
      </c>
      <c r="AY920" t="str">
        <f>""</f>
        <v/>
      </c>
      <c r="AZ920" t="str">
        <f>""</f>
        <v/>
      </c>
      <c r="BA920" t="str">
        <f>""</f>
        <v/>
      </c>
      <c r="BB920" t="str">
        <f>""</f>
        <v/>
      </c>
      <c r="BC920" t="str">
        <f>""</f>
        <v/>
      </c>
      <c r="BD920" t="str">
        <f>""</f>
        <v/>
      </c>
      <c r="BE920" t="str">
        <f>""</f>
        <v/>
      </c>
      <c r="BF920" t="str">
        <f t="shared" si="455"/>
        <v>A</v>
      </c>
      <c r="BG920" t="str">
        <f>"0,00"</f>
        <v>0,00</v>
      </c>
      <c r="BH920" t="str">
        <f>"0,00"</f>
        <v>0,00</v>
      </c>
      <c r="BI920" t="str">
        <f t="shared" si="443"/>
        <v>EVENTUAL</v>
      </c>
      <c r="BJ920" t="str">
        <f t="shared" si="456"/>
        <v>1</v>
      </c>
      <c r="BK920" t="str">
        <f t="shared" si="457"/>
        <v>Farmacia</v>
      </c>
      <c r="BL920" t="str">
        <f>""</f>
        <v/>
      </c>
      <c r="BM920" t="str">
        <f>"NÃO É VARILUX ESPECIALISTA"</f>
        <v>NÃO É VARILUX ESPECIALISTA</v>
      </c>
      <c r="BN920" t="str">
        <f>"NA"</f>
        <v>NA</v>
      </c>
      <c r="BO920" t="str">
        <f>"FOCO VARILUX"</f>
        <v>FOCO VARILUX</v>
      </c>
      <c r="BP920" t="str">
        <f>""</f>
        <v/>
      </c>
      <c r="BQ920" t="str">
        <f>""</f>
        <v/>
      </c>
      <c r="BR920" t="str">
        <f>""</f>
        <v/>
      </c>
      <c r="BS920" t="str">
        <f>""</f>
        <v/>
      </c>
      <c r="BT920" t="str">
        <f>""</f>
        <v/>
      </c>
      <c r="BU920" t="str">
        <f>""</f>
        <v/>
      </c>
      <c r="BV920" t="str">
        <f>"9"</f>
        <v>9</v>
      </c>
      <c r="BW920" t="str">
        <f>"35"</f>
        <v>35</v>
      </c>
    </row>
    <row r="921" spans="1:75" x14ac:dyDescent="0.35">
      <c r="A921">
        <v>144631</v>
      </c>
      <c r="B921" t="str">
        <f t="shared" si="451"/>
        <v>A</v>
      </c>
      <c r="C921" t="str">
        <f t="shared" si="452"/>
        <v>80</v>
      </c>
      <c r="D921" t="str">
        <f t="shared" si="446"/>
        <v>11121002</v>
      </c>
      <c r="E921" t="str">
        <f t="shared" si="447"/>
        <v>121002</v>
      </c>
      <c r="F921" t="str">
        <f t="shared" si="448"/>
        <v>CINTHIA NORONHA</v>
      </c>
      <c r="G921" t="str">
        <f>"24533995000114"</f>
        <v>24533995000114</v>
      </c>
      <c r="H921" t="str">
        <f>""</f>
        <v/>
      </c>
      <c r="I921" t="str">
        <f t="shared" si="453"/>
        <v>CONTA OPTICA</v>
      </c>
      <c r="J921" t="str">
        <f>"OPTICA FERRAZ LTDA"</f>
        <v>OPTICA FERRAZ LTDA</v>
      </c>
      <c r="K921" t="str">
        <f>"OPTICA FERRAZ (3894)"</f>
        <v>OPTICA FERRAZ (3894)</v>
      </c>
      <c r="L921" t="str">
        <f>""</f>
        <v/>
      </c>
      <c r="M921" t="str">
        <f>""</f>
        <v/>
      </c>
      <c r="N921" t="str">
        <f>"opticaferraz@gmail.com"</f>
        <v>opticaferraz@gmail.com</v>
      </c>
      <c r="O921" t="str">
        <f>""</f>
        <v/>
      </c>
      <c r="P921" t="str">
        <f>"RUA JOAQUIM PORTO"</f>
        <v>RUA JOAQUIM PORTO</v>
      </c>
      <c r="Q921" t="str">
        <f>"527"</f>
        <v>527</v>
      </c>
      <c r="R921" t="str">
        <f>"LJ 02"</f>
        <v>LJ 02</v>
      </c>
      <c r="S921" t="str">
        <f>"1336"</f>
        <v>1336</v>
      </c>
      <c r="T921" t="str">
        <f>"95560000"</f>
        <v>95560000</v>
      </c>
      <c r="U921" t="str">
        <f>"CENTRO"</f>
        <v>CENTRO</v>
      </c>
      <c r="V921" t="str">
        <f>"TORRES"</f>
        <v>TORRES</v>
      </c>
      <c r="W921" t="str">
        <f>"RS"</f>
        <v>RS</v>
      </c>
      <c r="X921" t="str">
        <f>"51"</f>
        <v>51</v>
      </c>
      <c r="Y921" t="str">
        <f>"36643432"</f>
        <v>36643432</v>
      </c>
      <c r="Z921" t="str">
        <f>""</f>
        <v/>
      </c>
      <c r="AA921" t="str">
        <f>""</f>
        <v/>
      </c>
      <c r="AB921" t="str">
        <f>""</f>
        <v/>
      </c>
      <c r="AC921" t="str">
        <f>""</f>
        <v/>
      </c>
      <c r="AD921" t="str">
        <f>""</f>
        <v/>
      </c>
      <c r="AE921" t="str">
        <f>""</f>
        <v/>
      </c>
      <c r="AF921" t="str">
        <f>""</f>
        <v/>
      </c>
      <c r="AG921" t="str">
        <f>""</f>
        <v/>
      </c>
      <c r="AH921" t="str">
        <f>""</f>
        <v/>
      </c>
      <c r="AI921" t="str">
        <f>""</f>
        <v/>
      </c>
      <c r="AJ921" t="str">
        <f t="shared" si="462"/>
        <v>0</v>
      </c>
      <c r="AK921" t="str">
        <f t="shared" si="462"/>
        <v>0</v>
      </c>
      <c r="AL921" t="str">
        <f t="shared" si="462"/>
        <v>0</v>
      </c>
      <c r="AM921" t="str">
        <f>""</f>
        <v/>
      </c>
      <c r="AN921" t="str">
        <f>""</f>
        <v/>
      </c>
      <c r="AO921" t="str">
        <f>""</f>
        <v/>
      </c>
      <c r="AP921" t="str">
        <f>""</f>
        <v/>
      </c>
      <c r="AQ921" t="str">
        <f>""</f>
        <v/>
      </c>
      <c r="AR921" t="str">
        <f>""</f>
        <v/>
      </c>
      <c r="AS921" t="str">
        <f>""</f>
        <v/>
      </c>
      <c r="AT921" t="str">
        <f>""</f>
        <v/>
      </c>
      <c r="AU921" t="str">
        <f>""</f>
        <v/>
      </c>
      <c r="AV921" t="str">
        <f>""</f>
        <v/>
      </c>
      <c r="AW921" t="str">
        <f>""</f>
        <v/>
      </c>
      <c r="AX921" t="str">
        <f>""</f>
        <v/>
      </c>
      <c r="AY921" t="str">
        <f>""</f>
        <v/>
      </c>
      <c r="AZ921" t="str">
        <f>""</f>
        <v/>
      </c>
      <c r="BA921" t="str">
        <f>""</f>
        <v/>
      </c>
      <c r="BB921" t="str">
        <f>""</f>
        <v/>
      </c>
      <c r="BC921" t="str">
        <f>""</f>
        <v/>
      </c>
      <c r="BD921" t="str">
        <f>""</f>
        <v/>
      </c>
      <c r="BE921" t="str">
        <f>""</f>
        <v/>
      </c>
      <c r="BF921" t="str">
        <f t="shared" si="455"/>
        <v>A</v>
      </c>
      <c r="BG921" t="str">
        <f>"0,00"</f>
        <v>0,00</v>
      </c>
      <c r="BH921" t="str">
        <f>"0,00"</f>
        <v>0,00</v>
      </c>
      <c r="BI921" t="str">
        <f t="shared" si="443"/>
        <v>EVENTUAL</v>
      </c>
      <c r="BJ921" t="str">
        <f t="shared" si="456"/>
        <v>1</v>
      </c>
      <c r="BK921" t="str">
        <f t="shared" si="457"/>
        <v>Farmacia</v>
      </c>
      <c r="BL921" t="str">
        <f>""</f>
        <v/>
      </c>
      <c r="BM921" t="str">
        <f>"NÃO É VARILUX ESPECIALISTA"</f>
        <v>NÃO É VARILUX ESPECIALISTA</v>
      </c>
      <c r="BN921" t="str">
        <f>"NA"</f>
        <v>NA</v>
      </c>
      <c r="BO921" t="str">
        <f>"FOCO VARILUX"</f>
        <v>FOCO VARILUX</v>
      </c>
      <c r="BP921" t="str">
        <f>""</f>
        <v/>
      </c>
      <c r="BQ921" t="str">
        <f>""</f>
        <v/>
      </c>
      <c r="BR921" t="str">
        <f>""</f>
        <v/>
      </c>
      <c r="BS921" t="str">
        <f>""</f>
        <v/>
      </c>
      <c r="BT921" t="str">
        <f>""</f>
        <v/>
      </c>
      <c r="BU921" t="str">
        <f>""</f>
        <v/>
      </c>
      <c r="BV921" t="str">
        <f>"9"</f>
        <v>9</v>
      </c>
      <c r="BW921" t="str">
        <f>"18"</f>
        <v>18</v>
      </c>
    </row>
    <row r="922" spans="1:75" x14ac:dyDescent="0.35">
      <c r="A922">
        <v>134550</v>
      </c>
      <c r="B922" t="str">
        <f t="shared" si="451"/>
        <v>A</v>
      </c>
      <c r="C922" t="str">
        <f t="shared" si="452"/>
        <v>80</v>
      </c>
      <c r="D922" t="str">
        <f t="shared" si="446"/>
        <v>11121002</v>
      </c>
      <c r="E922" t="str">
        <f t="shared" si="447"/>
        <v>121002</v>
      </c>
      <c r="F922" t="str">
        <f t="shared" si="448"/>
        <v>CINTHIA NORONHA</v>
      </c>
      <c r="G922" t="str">
        <f>"33141233000163"</f>
        <v>33141233000163</v>
      </c>
      <c r="H922" t="str">
        <f>""</f>
        <v/>
      </c>
      <c r="I922" t="str">
        <f t="shared" si="453"/>
        <v>CONTA OPTICA</v>
      </c>
      <c r="J922" t="str">
        <f>"OPTICA GOLDIN COMERCIO DE ARTIGOS DE OPTICA LTDA"</f>
        <v>OPTICA GOLDIN COMERCIO DE ARTIGOS DE OPTICA LTDA</v>
      </c>
      <c r="K922" t="str">
        <f>"OTICA GOLDIN (4224)"</f>
        <v>OTICA GOLDIN (4224)</v>
      </c>
      <c r="L922" t="str">
        <f>""</f>
        <v/>
      </c>
      <c r="M922" t="str">
        <f>""</f>
        <v/>
      </c>
      <c r="N922" t="str">
        <f>"danigoudinside@gmail.com"</f>
        <v>danigoudinside@gmail.com</v>
      </c>
      <c r="O922" t="str">
        <f>""</f>
        <v/>
      </c>
      <c r="P922" t="str">
        <f>"RUA PREFEITO REINOLDO ALVES"</f>
        <v>RUA PREFEITO REINOLDO ALVES</v>
      </c>
      <c r="Q922" t="str">
        <f>"41"</f>
        <v>41</v>
      </c>
      <c r="R922" t="str">
        <f>"LOJA 39"</f>
        <v>LOJA 39</v>
      </c>
      <c r="S922" t="str">
        <f>""</f>
        <v/>
      </c>
      <c r="T922" t="str">
        <f>"88132000"</f>
        <v>88132000</v>
      </c>
      <c r="U922" t="str">
        <f>"PASSA VINTE"</f>
        <v>PASSA VINTE</v>
      </c>
      <c r="V922" t="str">
        <f>"PALHOÇA"</f>
        <v>PALHOÇA</v>
      </c>
      <c r="W922" t="str">
        <f t="shared" ref="W922:W943" si="463">"SC"</f>
        <v>SC</v>
      </c>
      <c r="X922" t="str">
        <f>"48"</f>
        <v>48</v>
      </c>
      <c r="Y922" t="str">
        <f>"33444255"</f>
        <v>33444255</v>
      </c>
      <c r="Z922" t="str">
        <f>""</f>
        <v/>
      </c>
      <c r="AA922" t="str">
        <f>""</f>
        <v/>
      </c>
      <c r="AB922" t="str">
        <f>""</f>
        <v/>
      </c>
      <c r="AC922" t="str">
        <f>""</f>
        <v/>
      </c>
      <c r="AD922" t="str">
        <f>""</f>
        <v/>
      </c>
      <c r="AE922" t="str">
        <f>""</f>
        <v/>
      </c>
      <c r="AF922" t="str">
        <f>""</f>
        <v/>
      </c>
      <c r="AG922" t="str">
        <f>"S"</f>
        <v>S</v>
      </c>
      <c r="AH922" t="str">
        <f>""</f>
        <v/>
      </c>
      <c r="AI922" t="str">
        <f>""</f>
        <v/>
      </c>
      <c r="AJ922" t="str">
        <f>""</f>
        <v/>
      </c>
      <c r="AK922" t="str">
        <f>""</f>
        <v/>
      </c>
      <c r="AL922" t="str">
        <f>""</f>
        <v/>
      </c>
      <c r="AM922" t="str">
        <f>""</f>
        <v/>
      </c>
      <c r="AN922" t="str">
        <f>""</f>
        <v/>
      </c>
      <c r="AO922" t="str">
        <f>""</f>
        <v/>
      </c>
      <c r="AP922" t="str">
        <f>""</f>
        <v/>
      </c>
      <c r="AQ922" t="str">
        <f>"N"</f>
        <v>N</v>
      </c>
      <c r="AR922" t="str">
        <f>"N"</f>
        <v>N</v>
      </c>
      <c r="AS922" t="str">
        <f>"N"</f>
        <v>N</v>
      </c>
      <c r="AT922" t="str">
        <f>"N"</f>
        <v>N</v>
      </c>
      <c r="AU922" t="str">
        <f>"N"</f>
        <v>N</v>
      </c>
      <c r="AV922" t="str">
        <f>""</f>
        <v/>
      </c>
      <c r="AW922" t="str">
        <f>""</f>
        <v/>
      </c>
      <c r="AX922" t="str">
        <f>""</f>
        <v/>
      </c>
      <c r="AY922" t="str">
        <f>""</f>
        <v/>
      </c>
      <c r="AZ922" t="str">
        <f>""</f>
        <v/>
      </c>
      <c r="BA922" t="str">
        <f>""</f>
        <v/>
      </c>
      <c r="BB922" t="str">
        <f>""</f>
        <v/>
      </c>
      <c r="BC922" t="str">
        <f>"04/05/2022 10:50:14"</f>
        <v>04/05/2022 10:50:14</v>
      </c>
      <c r="BD922" t="str">
        <f>""</f>
        <v/>
      </c>
      <c r="BE922" t="str">
        <f>""</f>
        <v/>
      </c>
      <c r="BF922" t="str">
        <f t="shared" si="455"/>
        <v>A</v>
      </c>
      <c r="BG922" t="str">
        <f>""</f>
        <v/>
      </c>
      <c r="BH922" t="str">
        <f>"0,00"</f>
        <v>0,00</v>
      </c>
      <c r="BI922" t="str">
        <f t="shared" si="443"/>
        <v>EVENTUAL</v>
      </c>
      <c r="BJ922" t="str">
        <f t="shared" si="456"/>
        <v>1</v>
      </c>
      <c r="BK922" t="str">
        <f t="shared" si="457"/>
        <v>Farmacia</v>
      </c>
      <c r="BL922" t="str">
        <f>""</f>
        <v/>
      </c>
      <c r="BM922" t="str">
        <f>"NÃO É VARILUX ESPECIALISTA"</f>
        <v>NÃO É VARILUX ESPECIALISTA</v>
      </c>
      <c r="BN922" t="str">
        <f>"NA"</f>
        <v>NA</v>
      </c>
      <c r="BO922" t="str">
        <f>"OUTROS"</f>
        <v>OUTROS</v>
      </c>
      <c r="BP922" t="str">
        <f>""</f>
        <v/>
      </c>
      <c r="BQ922" t="str">
        <f>""</f>
        <v/>
      </c>
      <c r="BR922" t="str">
        <f>""</f>
        <v/>
      </c>
      <c r="BS922" t="str">
        <f>"04/05/2022"</f>
        <v>04/05/2022</v>
      </c>
      <c r="BT922" t="str">
        <f>""</f>
        <v/>
      </c>
      <c r="BU922" t="str">
        <f>""</f>
        <v/>
      </c>
      <c r="BV922" t="str">
        <f>""</f>
        <v/>
      </c>
      <c r="BW922" t="str">
        <f>"11"</f>
        <v>11</v>
      </c>
    </row>
    <row r="923" spans="1:75" x14ac:dyDescent="0.35">
      <c r="A923">
        <v>1616</v>
      </c>
      <c r="B923" t="str">
        <f t="shared" si="451"/>
        <v>A</v>
      </c>
      <c r="C923" t="str">
        <f t="shared" si="452"/>
        <v>80</v>
      </c>
      <c r="D923" t="str">
        <f t="shared" si="446"/>
        <v>11121002</v>
      </c>
      <c r="E923" t="str">
        <f t="shared" si="447"/>
        <v>121002</v>
      </c>
      <c r="F923" t="str">
        <f t="shared" si="448"/>
        <v>CINTHIA NORONHA</v>
      </c>
      <c r="G923" t="str">
        <f>"08613703000288"</f>
        <v>08613703000288</v>
      </c>
      <c r="H923" t="str">
        <f>""</f>
        <v/>
      </c>
      <c r="I923" t="str">
        <f t="shared" si="453"/>
        <v>CONTA OPTICA</v>
      </c>
      <c r="J923" t="str">
        <f>"OPTICA JUNG LTDA"</f>
        <v>OPTICA JUNG LTDA</v>
      </c>
      <c r="K923" t="str">
        <f>"OPTICA JUNG (1816)"</f>
        <v>OPTICA JUNG (1816)</v>
      </c>
      <c r="L923" t="str">
        <f>""</f>
        <v/>
      </c>
      <c r="M923" t="str">
        <f>""</f>
        <v/>
      </c>
      <c r="N923" t="str">
        <f>"vendas1@opticajung.com.br"</f>
        <v>vendas1@opticajung.com.br</v>
      </c>
      <c r="O923" t="str">
        <f>""</f>
        <v/>
      </c>
      <c r="P923" t="str">
        <f>"RUA CORONEL CORDOVA"</f>
        <v>RUA CORONEL CORDOVA</v>
      </c>
      <c r="Q923" t="str">
        <f>"103"</f>
        <v>103</v>
      </c>
      <c r="R923" t="str">
        <f>""</f>
        <v/>
      </c>
      <c r="S923" t="str">
        <f>"1266"</f>
        <v>1266</v>
      </c>
      <c r="T923" t="str">
        <f>"88502000"</f>
        <v>88502000</v>
      </c>
      <c r="U923" t="str">
        <f>"CENTRO"</f>
        <v>CENTRO</v>
      </c>
      <c r="V923" t="str">
        <f>"LAGES"</f>
        <v>LAGES</v>
      </c>
      <c r="W923" t="str">
        <f t="shared" si="463"/>
        <v>SC</v>
      </c>
      <c r="X923" t="str">
        <f>"49"</f>
        <v>49</v>
      </c>
      <c r="Y923" t="str">
        <f>"32232388"</f>
        <v>32232388</v>
      </c>
      <c r="Z923" t="str">
        <f>""</f>
        <v/>
      </c>
      <c r="AA923" t="str">
        <f>""</f>
        <v/>
      </c>
      <c r="AB923" t="str">
        <f>""</f>
        <v/>
      </c>
      <c r="AC923" t="str">
        <f>""</f>
        <v/>
      </c>
      <c r="AD923" t="str">
        <f>""</f>
        <v/>
      </c>
      <c r="AE923" t="str">
        <f>""</f>
        <v/>
      </c>
      <c r="AF923" t="str">
        <f>""</f>
        <v/>
      </c>
      <c r="AG923" t="str">
        <f>""</f>
        <v/>
      </c>
      <c r="AH923" t="str">
        <f>""</f>
        <v/>
      </c>
      <c r="AI923" t="str">
        <f>""</f>
        <v/>
      </c>
      <c r="AJ923" t="str">
        <f>"0"</f>
        <v>0</v>
      </c>
      <c r="AK923" t="str">
        <f>"0"</f>
        <v>0</v>
      </c>
      <c r="AL923" t="str">
        <f>"0"</f>
        <v>0</v>
      </c>
      <c r="AM923" t="str">
        <f>""</f>
        <v/>
      </c>
      <c r="AN923" t="str">
        <f>""</f>
        <v/>
      </c>
      <c r="AO923" t="str">
        <f>""</f>
        <v/>
      </c>
      <c r="AP923" t="str">
        <f>""</f>
        <v/>
      </c>
      <c r="AQ923" t="str">
        <f>""</f>
        <v/>
      </c>
      <c r="AR923" t="str">
        <f>""</f>
        <v/>
      </c>
      <c r="AS923" t="str">
        <f>""</f>
        <v/>
      </c>
      <c r="AT923" t="str">
        <f>""</f>
        <v/>
      </c>
      <c r="AU923" t="str">
        <f>""</f>
        <v/>
      </c>
      <c r="AV923" t="str">
        <f>""</f>
        <v/>
      </c>
      <c r="AW923" t="str">
        <f>""</f>
        <v/>
      </c>
      <c r="AX923" t="str">
        <f>""</f>
        <v/>
      </c>
      <c r="AY923" t="str">
        <f>""</f>
        <v/>
      </c>
      <c r="AZ923" t="str">
        <f>""</f>
        <v/>
      </c>
      <c r="BA923" t="str">
        <f>""</f>
        <v/>
      </c>
      <c r="BB923" t="str">
        <f>"27/07/2018 09:26:28"</f>
        <v>27/07/2018 09:26:28</v>
      </c>
      <c r="BC923" t="str">
        <f>""</f>
        <v/>
      </c>
      <c r="BD923" t="str">
        <f>""</f>
        <v/>
      </c>
      <c r="BE923" t="str">
        <f>"1616"</f>
        <v>1616</v>
      </c>
      <c r="BF923" t="str">
        <f t="shared" si="455"/>
        <v>A</v>
      </c>
      <c r="BG923" t="str">
        <f>"0,00"</f>
        <v>0,00</v>
      </c>
      <c r="BH923" t="str">
        <f>"0,00"</f>
        <v>0,00</v>
      </c>
      <c r="BI923" t="str">
        <f t="shared" si="443"/>
        <v>EVENTUAL</v>
      </c>
      <c r="BJ923" t="str">
        <f t="shared" si="456"/>
        <v>1</v>
      </c>
      <c r="BK923" t="str">
        <f t="shared" si="457"/>
        <v>Farmacia</v>
      </c>
      <c r="BL923" t="str">
        <f>""</f>
        <v/>
      </c>
      <c r="BM923" t="str">
        <f>"VARILUX ESPECIALISTA PLATINE"</f>
        <v>VARILUX ESPECIALISTA PLATINE</v>
      </c>
      <c r="BN923" t="str">
        <f>"NA"</f>
        <v>NA</v>
      </c>
      <c r="BO923" t="str">
        <f>"FOCO VARILUX DIGITAL"</f>
        <v>FOCO VARILUX DIGITAL</v>
      </c>
      <c r="BP923" t="str">
        <f>""</f>
        <v/>
      </c>
      <c r="BQ923" t="str">
        <f>""</f>
        <v/>
      </c>
      <c r="BR923" t="str">
        <f>"27/07/2018"</f>
        <v>27/07/2018</v>
      </c>
      <c r="BS923" t="str">
        <f>""</f>
        <v/>
      </c>
      <c r="BT923" t="str">
        <f>""</f>
        <v/>
      </c>
      <c r="BU923" t="str">
        <f>""</f>
        <v/>
      </c>
      <c r="BV923" t="str">
        <f>"1"</f>
        <v>1</v>
      </c>
      <c r="BW923" t="str">
        <f>"Não visitado"</f>
        <v>Não visitado</v>
      </c>
    </row>
    <row r="924" spans="1:75" x14ac:dyDescent="0.35">
      <c r="A924">
        <v>157630</v>
      </c>
      <c r="B924" t="str">
        <f t="shared" si="451"/>
        <v>A</v>
      </c>
      <c r="C924" t="str">
        <f t="shared" si="452"/>
        <v>80</v>
      </c>
      <c r="D924" t="str">
        <f t="shared" si="446"/>
        <v>11121002</v>
      </c>
      <c r="E924" t="str">
        <f t="shared" si="447"/>
        <v>121002</v>
      </c>
      <c r="F924" t="str">
        <f t="shared" si="448"/>
        <v>CINTHIA NORONHA</v>
      </c>
      <c r="G924" t="str">
        <f>"04786399000139"</f>
        <v>04786399000139</v>
      </c>
      <c r="H924" t="str">
        <f>"0"</f>
        <v>0</v>
      </c>
      <c r="I924" t="str">
        <f t="shared" si="453"/>
        <v>CONTA OPTICA</v>
      </c>
      <c r="J924" t="str">
        <f>"OPTICA NERIS LTDA ME"</f>
        <v>OPTICA NERIS LTDA ME</v>
      </c>
      <c r="K924" t="str">
        <f>"OPTICA NERIS LTDA ME  (893)"</f>
        <v>OPTICA NERIS LTDA ME  (893)</v>
      </c>
      <c r="L924" t="str">
        <f>""</f>
        <v/>
      </c>
      <c r="M924" t="str">
        <f>""</f>
        <v/>
      </c>
      <c r="N924" t="str">
        <f>"EDNA@WOLFF.CNT.BR"</f>
        <v>EDNA@WOLFF.CNT.BR</v>
      </c>
      <c r="O924" t="str">
        <f>""</f>
        <v/>
      </c>
      <c r="P924" t="str">
        <f>"LUIZ DE CAMOES"</f>
        <v>LUIZ DE CAMOES</v>
      </c>
      <c r="Q924" t="str">
        <f>"715"</f>
        <v>715</v>
      </c>
      <c r="R924" t="str">
        <f>"SALA 711"</f>
        <v>SALA 711</v>
      </c>
      <c r="S924" t="str">
        <f>"1266"</f>
        <v>1266</v>
      </c>
      <c r="T924" t="str">
        <f>"88523000"</f>
        <v>88523000</v>
      </c>
      <c r="U924" t="str">
        <f>"CORAL"</f>
        <v>CORAL</v>
      </c>
      <c r="V924" t="str">
        <f>"LAGES"</f>
        <v>LAGES</v>
      </c>
      <c r="W924" t="str">
        <f t="shared" si="463"/>
        <v>SC</v>
      </c>
      <c r="X924" t="str">
        <f>"49"</f>
        <v>49</v>
      </c>
      <c r="Y924" t="str">
        <f>"32236652"</f>
        <v>32236652</v>
      </c>
      <c r="Z924" t="str">
        <f>""</f>
        <v/>
      </c>
      <c r="AA924" t="str">
        <f>""</f>
        <v/>
      </c>
      <c r="AB924" t="str">
        <f>""</f>
        <v/>
      </c>
      <c r="AC924" t="str">
        <f>""</f>
        <v/>
      </c>
      <c r="AD924" t="str">
        <f>""</f>
        <v/>
      </c>
      <c r="AE924" t="str">
        <f>""</f>
        <v/>
      </c>
      <c r="AF924" t="str">
        <f>""</f>
        <v/>
      </c>
      <c r="AG924" t="str">
        <f>""</f>
        <v/>
      </c>
      <c r="AH924" t="str">
        <f>""</f>
        <v/>
      </c>
      <c r="AI924" t="str">
        <f>""</f>
        <v/>
      </c>
      <c r="AJ924" t="str">
        <f>""</f>
        <v/>
      </c>
      <c r="AK924" t="str">
        <f>""</f>
        <v/>
      </c>
      <c r="AL924" t="str">
        <f>""</f>
        <v/>
      </c>
      <c r="AM924" t="str">
        <f>""</f>
        <v/>
      </c>
      <c r="AN924" t="str">
        <f>""</f>
        <v/>
      </c>
      <c r="AO924" t="str">
        <f>""</f>
        <v/>
      </c>
      <c r="AP924" t="str">
        <f>""</f>
        <v/>
      </c>
      <c r="AQ924" t="str">
        <f>""</f>
        <v/>
      </c>
      <c r="AR924" t="str">
        <f>""</f>
        <v/>
      </c>
      <c r="AS924" t="str">
        <f>""</f>
        <v/>
      </c>
      <c r="AT924" t="str">
        <f>""</f>
        <v/>
      </c>
      <c r="AU924" t="str">
        <f>""</f>
        <v/>
      </c>
      <c r="AV924" t="str">
        <f>""</f>
        <v/>
      </c>
      <c r="AW924" t="str">
        <f>""</f>
        <v/>
      </c>
      <c r="AX924" t="str">
        <f>""</f>
        <v/>
      </c>
      <c r="AY924" t="str">
        <f>""</f>
        <v/>
      </c>
      <c r="AZ924" t="str">
        <f>""</f>
        <v/>
      </c>
      <c r="BA924" t="str">
        <f>""</f>
        <v/>
      </c>
      <c r="BB924" t="str">
        <f>"11/07/2023 02:19:56"</f>
        <v>11/07/2023 02:19:56</v>
      </c>
      <c r="BC924" t="str">
        <f>""</f>
        <v/>
      </c>
      <c r="BD924" t="str">
        <f>""</f>
        <v/>
      </c>
      <c r="BE924" t="str">
        <f>""</f>
        <v/>
      </c>
      <c r="BF924" t="str">
        <f t="shared" si="455"/>
        <v>A</v>
      </c>
      <c r="BG924" t="str">
        <f>""</f>
        <v/>
      </c>
      <c r="BH924" t="str">
        <f>""</f>
        <v/>
      </c>
      <c r="BI924" t="str">
        <f t="shared" si="443"/>
        <v>EVENTUAL</v>
      </c>
      <c r="BJ924" t="str">
        <f t="shared" si="456"/>
        <v>1</v>
      </c>
      <c r="BK924" t="str">
        <f t="shared" si="457"/>
        <v>Farmacia</v>
      </c>
      <c r="BL924" t="str">
        <f>""</f>
        <v/>
      </c>
      <c r="BM924" t="str">
        <f>""</f>
        <v/>
      </c>
      <c r="BN924" t="str">
        <f>""</f>
        <v/>
      </c>
      <c r="BO924" t="str">
        <f>""</f>
        <v/>
      </c>
      <c r="BP924" t="str">
        <f>""</f>
        <v/>
      </c>
      <c r="BQ924" t="str">
        <f>""</f>
        <v/>
      </c>
      <c r="BR924" t="str">
        <f>"11/07/2023"</f>
        <v>11/07/2023</v>
      </c>
      <c r="BS924" t="str">
        <f>""</f>
        <v/>
      </c>
      <c r="BT924" t="str">
        <f>""</f>
        <v/>
      </c>
      <c r="BU924" t="str">
        <f>""</f>
        <v/>
      </c>
      <c r="BV924" t="str">
        <f>""</f>
        <v/>
      </c>
      <c r="BW924" t="str">
        <f>"Não visitado"</f>
        <v>Não visitado</v>
      </c>
    </row>
    <row r="925" spans="1:75" x14ac:dyDescent="0.35">
      <c r="A925">
        <v>118689</v>
      </c>
      <c r="B925" t="str">
        <f t="shared" si="451"/>
        <v>A</v>
      </c>
      <c r="C925" t="str">
        <f t="shared" si="452"/>
        <v>80</v>
      </c>
      <c r="D925" t="str">
        <f t="shared" si="446"/>
        <v>11121002</v>
      </c>
      <c r="E925" t="str">
        <f t="shared" si="447"/>
        <v>121002</v>
      </c>
      <c r="F925" t="str">
        <f t="shared" si="448"/>
        <v>CINTHIA NORONHA</v>
      </c>
      <c r="G925" t="str">
        <f>"07949590000142"</f>
        <v>07949590000142</v>
      </c>
      <c r="H925" t="str">
        <f>""</f>
        <v/>
      </c>
      <c r="I925" t="str">
        <f t="shared" si="453"/>
        <v>CONTA OPTICA</v>
      </c>
      <c r="J925" t="str">
        <f>"OPTICA OCULARE COMERCIO DE OCULOS LTDA"</f>
        <v>OPTICA OCULARE COMERCIO DE OCULOS LTDA</v>
      </c>
      <c r="K925" t="str">
        <f>"OCULARE OPTICA (881)"</f>
        <v>OCULARE OPTICA (881)</v>
      </c>
      <c r="L925" t="str">
        <f>""</f>
        <v/>
      </c>
      <c r="M925" t="str">
        <f>""</f>
        <v/>
      </c>
      <c r="N925" t="str">
        <f>"oculare@opticaoculare.com.br"</f>
        <v>oculare@opticaoculare.com.br</v>
      </c>
      <c r="O925" t="str">
        <f>""</f>
        <v/>
      </c>
      <c r="P925" t="str">
        <f>"RUA ALTAMIRO GUIMARAES"</f>
        <v>RUA ALTAMIRO GUIMARAES</v>
      </c>
      <c r="Q925" t="str">
        <f>"924"</f>
        <v>924</v>
      </c>
      <c r="R925" t="str">
        <f>"SALA B"</f>
        <v>SALA B</v>
      </c>
      <c r="S925" t="str">
        <f>"1268"</f>
        <v>1268</v>
      </c>
      <c r="T925" t="str">
        <f>"88701302"</f>
        <v>88701302</v>
      </c>
      <c r="U925" t="str">
        <f>"OFICINAS"</f>
        <v>OFICINAS</v>
      </c>
      <c r="V925" t="str">
        <f>"TUBARÃO"</f>
        <v>TUBARÃO</v>
      </c>
      <c r="W925" t="str">
        <f t="shared" si="463"/>
        <v>SC</v>
      </c>
      <c r="X925" t="str">
        <f t="shared" ref="X925:X932" si="464">"48"</f>
        <v>48</v>
      </c>
      <c r="Y925" t="str">
        <f>"36326298"</f>
        <v>36326298</v>
      </c>
      <c r="Z925" t="str">
        <f>""</f>
        <v/>
      </c>
      <c r="AA925" t="str">
        <f>""</f>
        <v/>
      </c>
      <c r="AB925" t="str">
        <f>""</f>
        <v/>
      </c>
      <c r="AC925" t="str">
        <f>""</f>
        <v/>
      </c>
      <c r="AD925" t="str">
        <f>""</f>
        <v/>
      </c>
      <c r="AE925" t="str">
        <f>""</f>
        <v/>
      </c>
      <c r="AF925" t="str">
        <f>""</f>
        <v/>
      </c>
      <c r="AG925" t="str">
        <f>""</f>
        <v/>
      </c>
      <c r="AH925" t="str">
        <f>""</f>
        <v/>
      </c>
      <c r="AI925" t="str">
        <f>""</f>
        <v/>
      </c>
      <c r="AJ925" t="str">
        <f>"0"</f>
        <v>0</v>
      </c>
      <c r="AK925" t="str">
        <f>"0"</f>
        <v>0</v>
      </c>
      <c r="AL925" t="str">
        <f>"0"</f>
        <v>0</v>
      </c>
      <c r="AM925" t="str">
        <f>""</f>
        <v/>
      </c>
      <c r="AN925" t="str">
        <f>""</f>
        <v/>
      </c>
      <c r="AO925" t="str">
        <f>""</f>
        <v/>
      </c>
      <c r="AP925" t="str">
        <f>""</f>
        <v/>
      </c>
      <c r="AQ925" t="str">
        <f>""</f>
        <v/>
      </c>
      <c r="AR925" t="str">
        <f>""</f>
        <v/>
      </c>
      <c r="AS925" t="str">
        <f>""</f>
        <v/>
      </c>
      <c r="AT925" t="str">
        <f>""</f>
        <v/>
      </c>
      <c r="AU925" t="str">
        <f>""</f>
        <v/>
      </c>
      <c r="AV925" t="str">
        <f>""</f>
        <v/>
      </c>
      <c r="AW925" t="str">
        <f>""</f>
        <v/>
      </c>
      <c r="AX925" t="str">
        <f>""</f>
        <v/>
      </c>
      <c r="AY925" t="str">
        <f>""</f>
        <v/>
      </c>
      <c r="AZ925" t="str">
        <f>""</f>
        <v/>
      </c>
      <c r="BA925" t="str">
        <f>""</f>
        <v/>
      </c>
      <c r="BB925" t="str">
        <f>""</f>
        <v/>
      </c>
      <c r="BC925" t="str">
        <f>""</f>
        <v/>
      </c>
      <c r="BD925" t="str">
        <f>""</f>
        <v/>
      </c>
      <c r="BE925" t="str">
        <f>""</f>
        <v/>
      </c>
      <c r="BF925" t="str">
        <f t="shared" si="455"/>
        <v>A</v>
      </c>
      <c r="BG925" t="str">
        <f>"0,00"</f>
        <v>0,00</v>
      </c>
      <c r="BH925" t="str">
        <f>"0,00"</f>
        <v>0,00</v>
      </c>
      <c r="BI925" t="str">
        <f t="shared" si="443"/>
        <v>EVENTUAL</v>
      </c>
      <c r="BJ925" t="str">
        <f t="shared" si="456"/>
        <v>1</v>
      </c>
      <c r="BK925" t="str">
        <f t="shared" si="457"/>
        <v>Farmacia</v>
      </c>
      <c r="BL925" t="str">
        <f>""</f>
        <v/>
      </c>
      <c r="BM925" t="str">
        <f>"NÃO É VARILUX ESPECIALISTA"</f>
        <v>NÃO É VARILUX ESPECIALISTA</v>
      </c>
      <c r="BN925" t="str">
        <f>"NA"</f>
        <v>NA</v>
      </c>
      <c r="BO925" t="str">
        <f>"FOCO VARILUX"</f>
        <v>FOCO VARILUX</v>
      </c>
      <c r="BP925" t="str">
        <f>""</f>
        <v/>
      </c>
      <c r="BQ925" t="str">
        <f>""</f>
        <v/>
      </c>
      <c r="BR925" t="str">
        <f>""</f>
        <v/>
      </c>
      <c r="BS925" t="str">
        <f>""</f>
        <v/>
      </c>
      <c r="BT925" t="str">
        <f>""</f>
        <v/>
      </c>
      <c r="BU925" t="str">
        <f>""</f>
        <v/>
      </c>
      <c r="BV925" t="str">
        <f>"9"</f>
        <v>9</v>
      </c>
      <c r="BW925" t="str">
        <f>"2"</f>
        <v>2</v>
      </c>
    </row>
    <row r="926" spans="1:75" x14ac:dyDescent="0.35">
      <c r="A926">
        <v>156905</v>
      </c>
      <c r="B926" t="str">
        <f t="shared" si="451"/>
        <v>A</v>
      </c>
      <c r="C926" t="str">
        <f t="shared" si="452"/>
        <v>80</v>
      </c>
      <c r="D926" t="str">
        <f t="shared" si="446"/>
        <v>11121002</v>
      </c>
      <c r="E926" t="str">
        <f t="shared" si="447"/>
        <v>121002</v>
      </c>
      <c r="F926" t="str">
        <f t="shared" si="448"/>
        <v>CINTHIA NORONHA</v>
      </c>
      <c r="G926" t="str">
        <f>"46832712000178"</f>
        <v>46832712000178</v>
      </c>
      <c r="H926" t="str">
        <f t="shared" ref="H926:H931" si="465">"0"</f>
        <v>0</v>
      </c>
      <c r="I926" t="str">
        <f t="shared" si="453"/>
        <v>CONTA OPTICA</v>
      </c>
      <c r="J926" t="str">
        <f>"OPTICA OFICINAS LTDA"</f>
        <v>OPTICA OFICINAS LTDA</v>
      </c>
      <c r="K926" t="str">
        <f>"MERCADAO DOS OCULOS OFICINAS (4550)"</f>
        <v>MERCADAO DOS OCULOS OFICINAS (4550)</v>
      </c>
      <c r="L926" t="str">
        <f>""</f>
        <v/>
      </c>
      <c r="M926" t="str">
        <f>""</f>
        <v/>
      </c>
      <c r="N926" t="str">
        <f>"MDOTBOFICINAS@GMAIL.COM"</f>
        <v>MDOTBOFICINAS@GMAIL.COM</v>
      </c>
      <c r="O926" t="str">
        <f>""</f>
        <v/>
      </c>
      <c r="P926" t="str">
        <f>"RUA ALTAMIRO GUIMARAES"</f>
        <v>RUA ALTAMIRO GUIMARAES</v>
      </c>
      <c r="Q926" t="str">
        <f>"960"</f>
        <v>960</v>
      </c>
      <c r="R926" t="str">
        <f>""</f>
        <v/>
      </c>
      <c r="S926" t="str">
        <f>"1268"</f>
        <v>1268</v>
      </c>
      <c r="T926" t="str">
        <f>"88702100"</f>
        <v>88702100</v>
      </c>
      <c r="U926" t="str">
        <f>"OFICINAS"</f>
        <v>OFICINAS</v>
      </c>
      <c r="V926" t="str">
        <f>"TUBARAO"</f>
        <v>TUBARAO</v>
      </c>
      <c r="W926" t="str">
        <f t="shared" si="463"/>
        <v>SC</v>
      </c>
      <c r="X926" t="str">
        <f t="shared" si="464"/>
        <v>48</v>
      </c>
      <c r="Y926" t="str">
        <f>"996684529"</f>
        <v>996684529</v>
      </c>
      <c r="Z926" t="str">
        <f>""</f>
        <v/>
      </c>
      <c r="AA926" t="str">
        <f>""</f>
        <v/>
      </c>
      <c r="AB926" t="str">
        <f>""</f>
        <v/>
      </c>
      <c r="AC926" t="str">
        <f>""</f>
        <v/>
      </c>
      <c r="AD926" t="str">
        <f>""</f>
        <v/>
      </c>
      <c r="AE926" t="str">
        <f>""</f>
        <v/>
      </c>
      <c r="AF926" t="str">
        <f>""</f>
        <v/>
      </c>
      <c r="AG926" t="str">
        <f>""</f>
        <v/>
      </c>
      <c r="AH926" t="str">
        <f>""</f>
        <v/>
      </c>
      <c r="AI926" t="str">
        <f>""</f>
        <v/>
      </c>
      <c r="AJ926" t="str">
        <f>""</f>
        <v/>
      </c>
      <c r="AK926" t="str">
        <f>""</f>
        <v/>
      </c>
      <c r="AL926" t="str">
        <f>""</f>
        <v/>
      </c>
      <c r="AM926" t="str">
        <f>""</f>
        <v/>
      </c>
      <c r="AN926" t="str">
        <f>""</f>
        <v/>
      </c>
      <c r="AO926" t="str">
        <f>""</f>
        <v/>
      </c>
      <c r="AP926" t="str">
        <f>""</f>
        <v/>
      </c>
      <c r="AQ926" t="str">
        <f>""</f>
        <v/>
      </c>
      <c r="AR926" t="str">
        <f>""</f>
        <v/>
      </c>
      <c r="AS926" t="str">
        <f>""</f>
        <v/>
      </c>
      <c r="AT926" t="str">
        <f>""</f>
        <v/>
      </c>
      <c r="AU926" t="str">
        <f>""</f>
        <v/>
      </c>
      <c r="AV926" t="str">
        <f>""</f>
        <v/>
      </c>
      <c r="AW926" t="str">
        <f>""</f>
        <v/>
      </c>
      <c r="AX926" t="str">
        <f>""</f>
        <v/>
      </c>
      <c r="AY926" t="str">
        <f>""</f>
        <v/>
      </c>
      <c r="AZ926" t="str">
        <f>""</f>
        <v/>
      </c>
      <c r="BA926" t="str">
        <f>""</f>
        <v/>
      </c>
      <c r="BB926" t="str">
        <f>"06/07/2023 12:07:48"</f>
        <v>06/07/2023 12:07:48</v>
      </c>
      <c r="BC926" t="str">
        <f>""</f>
        <v/>
      </c>
      <c r="BD926" t="str">
        <f>""</f>
        <v/>
      </c>
      <c r="BE926" t="str">
        <f>""</f>
        <v/>
      </c>
      <c r="BF926" t="str">
        <f t="shared" si="455"/>
        <v>A</v>
      </c>
      <c r="BG926" t="str">
        <f>""</f>
        <v/>
      </c>
      <c r="BH926" t="str">
        <f>""</f>
        <v/>
      </c>
      <c r="BI926" t="str">
        <f t="shared" si="443"/>
        <v>EVENTUAL</v>
      </c>
      <c r="BJ926" t="str">
        <f t="shared" si="456"/>
        <v>1</v>
      </c>
      <c r="BK926" t="str">
        <f t="shared" si="457"/>
        <v>Farmacia</v>
      </c>
      <c r="BL926" t="str">
        <f>""</f>
        <v/>
      </c>
      <c r="BM926" t="str">
        <f>""</f>
        <v/>
      </c>
      <c r="BN926" t="str">
        <f>""</f>
        <v/>
      </c>
      <c r="BO926" t="str">
        <f>""</f>
        <v/>
      </c>
      <c r="BP926" t="str">
        <f>""</f>
        <v/>
      </c>
      <c r="BQ926" t="str">
        <f>""</f>
        <v/>
      </c>
      <c r="BR926" t="str">
        <f>"06/07/2023"</f>
        <v>06/07/2023</v>
      </c>
      <c r="BS926" t="str">
        <f>""</f>
        <v/>
      </c>
      <c r="BT926" t="str">
        <f>""</f>
        <v/>
      </c>
      <c r="BU926" t="str">
        <f>""</f>
        <v/>
      </c>
      <c r="BV926" t="str">
        <f>""</f>
        <v/>
      </c>
      <c r="BW926" t="str">
        <f>"Não visitado"</f>
        <v>Não visitado</v>
      </c>
    </row>
    <row r="927" spans="1:75" x14ac:dyDescent="0.35">
      <c r="A927">
        <v>127484</v>
      </c>
      <c r="B927" t="str">
        <f t="shared" si="451"/>
        <v>A</v>
      </c>
      <c r="C927" t="str">
        <f t="shared" si="452"/>
        <v>80</v>
      </c>
      <c r="D927" t="str">
        <f t="shared" si="446"/>
        <v>11121002</v>
      </c>
      <c r="E927" t="str">
        <f t="shared" si="447"/>
        <v>121002</v>
      </c>
      <c r="F927" t="str">
        <f t="shared" si="448"/>
        <v>CINTHIA NORONHA</v>
      </c>
      <c r="G927" t="str">
        <f>"03072835000145"</f>
        <v>03072835000145</v>
      </c>
      <c r="H927" t="str">
        <f t="shared" si="465"/>
        <v>0</v>
      </c>
      <c r="I927" t="str">
        <f t="shared" si="453"/>
        <v>CONTA OPTICA</v>
      </c>
      <c r="J927" t="str">
        <f>"OPTICA PONTO DE VISTA LTDA - ME"</f>
        <v>OPTICA PONTO DE VISTA LTDA - ME</v>
      </c>
      <c r="K927" t="str">
        <f>"OTICA PONTO DE VISTA (1134)"</f>
        <v>OTICA PONTO DE VISTA (1134)</v>
      </c>
      <c r="L927" t="str">
        <f>""</f>
        <v/>
      </c>
      <c r="M927" t="str">
        <f>""</f>
        <v/>
      </c>
      <c r="N927" t="str">
        <f>"oticapontodevista@globomail.com"</f>
        <v>oticapontodevista@globomail.com</v>
      </c>
      <c r="O927" t="str">
        <f>""</f>
        <v/>
      </c>
      <c r="P927" t="str">
        <f>"RODOVIA VIRGILIO VARZEA"</f>
        <v>RODOVIA VIRGILIO VARZEA</v>
      </c>
      <c r="Q927" t="str">
        <f>"530"</f>
        <v>530</v>
      </c>
      <c r="R927" t="str">
        <f>"A"</f>
        <v>A</v>
      </c>
      <c r="S927" t="str">
        <f>"1257"</f>
        <v>1257</v>
      </c>
      <c r="T927" t="str">
        <f>"88032001"</f>
        <v>88032001</v>
      </c>
      <c r="U927" t="str">
        <f>"SACO GRANDE"</f>
        <v>SACO GRANDE</v>
      </c>
      <c r="V927" t="str">
        <f>"FLORIANÓPOLIS"</f>
        <v>FLORIANÓPOLIS</v>
      </c>
      <c r="W927" t="str">
        <f t="shared" si="463"/>
        <v>SC</v>
      </c>
      <c r="X927" t="str">
        <f t="shared" si="464"/>
        <v>48</v>
      </c>
      <c r="Y927" t="str">
        <f>"32386737"</f>
        <v>32386737</v>
      </c>
      <c r="Z927" t="str">
        <f>""</f>
        <v/>
      </c>
      <c r="AA927" t="str">
        <f>""</f>
        <v/>
      </c>
      <c r="AB927" t="str">
        <f>""</f>
        <v/>
      </c>
      <c r="AC927" t="str">
        <f>""</f>
        <v/>
      </c>
      <c r="AD927" t="str">
        <f>""</f>
        <v/>
      </c>
      <c r="AE927" t="str">
        <f>""</f>
        <v/>
      </c>
      <c r="AF927" t="str">
        <f>""</f>
        <v/>
      </c>
      <c r="AG927" t="str">
        <f>""</f>
        <v/>
      </c>
      <c r="AH927" t="str">
        <f>""</f>
        <v/>
      </c>
      <c r="AI927" t="str">
        <f>""</f>
        <v/>
      </c>
      <c r="AJ927" t="str">
        <f>"0"</f>
        <v>0</v>
      </c>
      <c r="AK927" t="str">
        <f>"0"</f>
        <v>0</v>
      </c>
      <c r="AL927" t="str">
        <f>"0"</f>
        <v>0</v>
      </c>
      <c r="AM927" t="str">
        <f>""</f>
        <v/>
      </c>
      <c r="AN927" t="str">
        <f>""</f>
        <v/>
      </c>
      <c r="AO927" t="str">
        <f>""</f>
        <v/>
      </c>
      <c r="AP927" t="str">
        <f>""</f>
        <v/>
      </c>
      <c r="AQ927" t="str">
        <f>""</f>
        <v/>
      </c>
      <c r="AR927" t="str">
        <f>""</f>
        <v/>
      </c>
      <c r="AS927" t="str">
        <f>""</f>
        <v/>
      </c>
      <c r="AT927" t="str">
        <f>""</f>
        <v/>
      </c>
      <c r="AU927" t="str">
        <f>""</f>
        <v/>
      </c>
      <c r="AV927" t="str">
        <f>""</f>
        <v/>
      </c>
      <c r="AW927" t="str">
        <f>""</f>
        <v/>
      </c>
      <c r="AX927" t="str">
        <f>""</f>
        <v/>
      </c>
      <c r="AY927" t="str">
        <f>""</f>
        <v/>
      </c>
      <c r="AZ927" t="str">
        <f>""</f>
        <v/>
      </c>
      <c r="BA927" t="str">
        <f>""</f>
        <v/>
      </c>
      <c r="BB927" t="str">
        <f>"07/10/2020 09:08:38"</f>
        <v>07/10/2020 09:08:38</v>
      </c>
      <c r="BC927" t="str">
        <f>""</f>
        <v/>
      </c>
      <c r="BD927" t="str">
        <f>""</f>
        <v/>
      </c>
      <c r="BE927" t="str">
        <f>""</f>
        <v/>
      </c>
      <c r="BF927" t="str">
        <f t="shared" si="455"/>
        <v>A</v>
      </c>
      <c r="BG927" t="str">
        <f>"0,00"</f>
        <v>0,00</v>
      </c>
      <c r="BH927" t="str">
        <f>"0,00"</f>
        <v>0,00</v>
      </c>
      <c r="BI927" t="str">
        <f t="shared" si="443"/>
        <v>EVENTUAL</v>
      </c>
      <c r="BJ927" t="str">
        <f t="shared" si="456"/>
        <v>1</v>
      </c>
      <c r="BK927" t="str">
        <f t="shared" si="457"/>
        <v>Farmacia</v>
      </c>
      <c r="BL927" t="str">
        <f>""</f>
        <v/>
      </c>
      <c r="BM927" t="str">
        <f>"NÃO É VARILUX ESPECIALISTA"</f>
        <v>NÃO É VARILUX ESPECIALISTA</v>
      </c>
      <c r="BN927" t="str">
        <f>"NA"</f>
        <v>NA</v>
      </c>
      <c r="BO927" t="str">
        <f>"FOCO VARILUX"</f>
        <v>FOCO VARILUX</v>
      </c>
      <c r="BP927" t="str">
        <f>""</f>
        <v/>
      </c>
      <c r="BQ927" t="str">
        <f>""</f>
        <v/>
      </c>
      <c r="BR927" t="str">
        <f>"07/10/2020"</f>
        <v>07/10/2020</v>
      </c>
      <c r="BS927" t="str">
        <f>""</f>
        <v/>
      </c>
      <c r="BT927" t="str">
        <f>""</f>
        <v/>
      </c>
      <c r="BU927" t="str">
        <f>""</f>
        <v/>
      </c>
      <c r="BV927" t="str">
        <f>"9"</f>
        <v>9</v>
      </c>
      <c r="BW927" t="str">
        <f>"121"</f>
        <v>121</v>
      </c>
    </row>
    <row r="928" spans="1:75" x14ac:dyDescent="0.35">
      <c r="A928">
        <v>157601</v>
      </c>
      <c r="B928" t="str">
        <f t="shared" si="451"/>
        <v>A</v>
      </c>
      <c r="C928" t="str">
        <f t="shared" si="452"/>
        <v>80</v>
      </c>
      <c r="D928" t="str">
        <f t="shared" si="446"/>
        <v>11121002</v>
      </c>
      <c r="E928" t="str">
        <f t="shared" si="447"/>
        <v>121002</v>
      </c>
      <c r="F928" t="str">
        <f t="shared" si="448"/>
        <v>CINTHIA NORONHA</v>
      </c>
      <c r="G928" t="str">
        <f>"05857766000100"</f>
        <v>05857766000100</v>
      </c>
      <c r="H928" t="str">
        <f t="shared" si="465"/>
        <v>0</v>
      </c>
      <c r="I928" t="str">
        <f t="shared" si="453"/>
        <v>CONTA OPTICA</v>
      </c>
      <c r="J928" t="str">
        <f>"OPTICA REFERENCIA LTDA  ME"</f>
        <v>OPTICA REFERENCIA LTDA  ME</v>
      </c>
      <c r="K928" t="str">
        <f>"OPTICA REFERENCIA LTDA ME  (411)"</f>
        <v>OPTICA REFERENCIA LTDA ME  (411)</v>
      </c>
      <c r="L928" t="str">
        <f>""</f>
        <v/>
      </c>
      <c r="M928" t="str">
        <f>""</f>
        <v/>
      </c>
      <c r="N928" t="str">
        <f>"ESCRITORIO.REFERENCIA@HOTMAIL.COM"</f>
        <v>ESCRITORIO.REFERENCIA@HOTMAIL.COM</v>
      </c>
      <c r="O928" t="str">
        <f>""</f>
        <v/>
      </c>
      <c r="P928" t="str">
        <f>"RUA GENERAL LIBERATO BITTENCOURT"</f>
        <v>RUA GENERAL LIBERATO BITTENCOURT</v>
      </c>
      <c r="Q928" t="str">
        <f>"1474"</f>
        <v>1474</v>
      </c>
      <c r="R928" t="str">
        <f>"SALA 01"</f>
        <v>SALA 01</v>
      </c>
      <c r="S928" t="str">
        <f>"1258"</f>
        <v>1258</v>
      </c>
      <c r="T928" t="str">
        <f>"88075400"</f>
        <v>88075400</v>
      </c>
      <c r="U928" t="str">
        <f>"ESTREITO"</f>
        <v>ESTREITO</v>
      </c>
      <c r="V928" t="str">
        <f>"FLORIANOPOLIS"</f>
        <v>FLORIANOPOLIS</v>
      </c>
      <c r="W928" t="str">
        <f t="shared" si="463"/>
        <v>SC</v>
      </c>
      <c r="X928" t="str">
        <f t="shared" si="464"/>
        <v>48</v>
      </c>
      <c r="Y928" t="str">
        <f>"32485222"</f>
        <v>32485222</v>
      </c>
      <c r="Z928" t="str">
        <f>""</f>
        <v/>
      </c>
      <c r="AA928" t="str">
        <f>""</f>
        <v/>
      </c>
      <c r="AB928" t="str">
        <f>""</f>
        <v/>
      </c>
      <c r="AC928" t="str">
        <f>""</f>
        <v/>
      </c>
      <c r="AD928" t="str">
        <f>""</f>
        <v/>
      </c>
      <c r="AE928" t="str">
        <f>""</f>
        <v/>
      </c>
      <c r="AF928" t="str">
        <f>""</f>
        <v/>
      </c>
      <c r="AG928" t="str">
        <f>""</f>
        <v/>
      </c>
      <c r="AH928" t="str">
        <f>""</f>
        <v/>
      </c>
      <c r="AI928" t="str">
        <f>""</f>
        <v/>
      </c>
      <c r="AJ928" t="str">
        <f>""</f>
        <v/>
      </c>
      <c r="AK928" t="str">
        <f>""</f>
        <v/>
      </c>
      <c r="AL928" t="str">
        <f>""</f>
        <v/>
      </c>
      <c r="AM928" t="str">
        <f>""</f>
        <v/>
      </c>
      <c r="AN928" t="str">
        <f>""</f>
        <v/>
      </c>
      <c r="AO928" t="str">
        <f>""</f>
        <v/>
      </c>
      <c r="AP928" t="str">
        <f>""</f>
        <v/>
      </c>
      <c r="AQ928" t="str">
        <f>""</f>
        <v/>
      </c>
      <c r="AR928" t="str">
        <f>""</f>
        <v/>
      </c>
      <c r="AS928" t="str">
        <f>""</f>
        <v/>
      </c>
      <c r="AT928" t="str">
        <f>""</f>
        <v/>
      </c>
      <c r="AU928" t="str">
        <f>""</f>
        <v/>
      </c>
      <c r="AV928" t="str">
        <f>""</f>
        <v/>
      </c>
      <c r="AW928" t="str">
        <f>""</f>
        <v/>
      </c>
      <c r="AX928" t="str">
        <f>""</f>
        <v/>
      </c>
      <c r="AY928" t="str">
        <f>""</f>
        <v/>
      </c>
      <c r="AZ928" t="str">
        <f>""</f>
        <v/>
      </c>
      <c r="BA928" t="str">
        <f>""</f>
        <v/>
      </c>
      <c r="BB928" t="str">
        <f>"11/07/2023 02:19:56"</f>
        <v>11/07/2023 02:19:56</v>
      </c>
      <c r="BC928" t="str">
        <f>""</f>
        <v/>
      </c>
      <c r="BD928" t="str">
        <f>""</f>
        <v/>
      </c>
      <c r="BE928" t="str">
        <f>""</f>
        <v/>
      </c>
      <c r="BF928" t="str">
        <f t="shared" si="455"/>
        <v>A</v>
      </c>
      <c r="BG928" t="str">
        <f>""</f>
        <v/>
      </c>
      <c r="BH928" t="str">
        <f>""</f>
        <v/>
      </c>
      <c r="BI928" t="str">
        <f t="shared" ref="BI928:BI991" si="466">"EVENTUAL"</f>
        <v>EVENTUAL</v>
      </c>
      <c r="BJ928" t="str">
        <f t="shared" si="456"/>
        <v>1</v>
      </c>
      <c r="BK928" t="str">
        <f t="shared" si="457"/>
        <v>Farmacia</v>
      </c>
      <c r="BL928" t="str">
        <f>""</f>
        <v/>
      </c>
      <c r="BM928" t="str">
        <f>""</f>
        <v/>
      </c>
      <c r="BN928" t="str">
        <f>""</f>
        <v/>
      </c>
      <c r="BO928" t="str">
        <f>""</f>
        <v/>
      </c>
      <c r="BP928" t="str">
        <f>""</f>
        <v/>
      </c>
      <c r="BQ928" t="str">
        <f>""</f>
        <v/>
      </c>
      <c r="BR928" t="str">
        <f>"11/07/2023"</f>
        <v>11/07/2023</v>
      </c>
      <c r="BS928" t="str">
        <f>""</f>
        <v/>
      </c>
      <c r="BT928" t="str">
        <f>""</f>
        <v/>
      </c>
      <c r="BU928" t="str">
        <f>""</f>
        <v/>
      </c>
      <c r="BV928" t="str">
        <f>""</f>
        <v/>
      </c>
      <c r="BW928" t="str">
        <f>"2"</f>
        <v>2</v>
      </c>
    </row>
    <row r="929" spans="1:75" x14ac:dyDescent="0.35">
      <c r="A929">
        <v>157732</v>
      </c>
      <c r="B929" t="str">
        <f t="shared" si="451"/>
        <v>A</v>
      </c>
      <c r="C929" t="str">
        <f t="shared" si="452"/>
        <v>80</v>
      </c>
      <c r="D929" t="str">
        <f t="shared" si="446"/>
        <v>11121002</v>
      </c>
      <c r="E929" t="str">
        <f t="shared" si="447"/>
        <v>121002</v>
      </c>
      <c r="F929" t="str">
        <f t="shared" si="448"/>
        <v>CINTHIA NORONHA</v>
      </c>
      <c r="G929" t="str">
        <f>"05857766000291"</f>
        <v>05857766000291</v>
      </c>
      <c r="H929" t="str">
        <f t="shared" si="465"/>
        <v>0</v>
      </c>
      <c r="I929" t="str">
        <f t="shared" si="453"/>
        <v>CONTA OPTICA</v>
      </c>
      <c r="J929" t="str">
        <f>"OPTICA REFERENCIA LTDA ME"</f>
        <v>OPTICA REFERENCIA LTDA ME</v>
      </c>
      <c r="K929" t="str">
        <f>"OPTICA REFERENCIA LTDA ME  (880)"</f>
        <v>OPTICA REFERENCIA LTDA ME  (880)</v>
      </c>
      <c r="L929" t="str">
        <f>""</f>
        <v/>
      </c>
      <c r="M929" t="str">
        <f>""</f>
        <v/>
      </c>
      <c r="N929" t="str">
        <f>"confianca01@globo.com"</f>
        <v>confianca01@globo.com</v>
      </c>
      <c r="O929" t="str">
        <f>""</f>
        <v/>
      </c>
      <c r="P929" t="str">
        <f>"RUA PRESIDENTE COUTINHO"</f>
        <v>RUA PRESIDENTE COUTINHO</v>
      </c>
      <c r="Q929" t="str">
        <f>"582"</f>
        <v>582</v>
      </c>
      <c r="R929" t="str">
        <f>"TÉRREO"</f>
        <v>TÉRREO</v>
      </c>
      <c r="S929" t="str">
        <f>"1255"</f>
        <v>1255</v>
      </c>
      <c r="T929" t="str">
        <f>"88015231"</f>
        <v>88015231</v>
      </c>
      <c r="U929" t="str">
        <f>"CENTRO"</f>
        <v>CENTRO</v>
      </c>
      <c r="V929" t="str">
        <f>"FLORIANOPOLIS"</f>
        <v>FLORIANOPOLIS</v>
      </c>
      <c r="W929" t="str">
        <f t="shared" si="463"/>
        <v>SC</v>
      </c>
      <c r="X929" t="str">
        <f t="shared" si="464"/>
        <v>48</v>
      </c>
      <c r="Y929" t="str">
        <f>"30251282"</f>
        <v>30251282</v>
      </c>
      <c r="Z929" t="str">
        <f>""</f>
        <v/>
      </c>
      <c r="AA929" t="str">
        <f>""</f>
        <v/>
      </c>
      <c r="AB929" t="str">
        <f>""</f>
        <v/>
      </c>
      <c r="AC929" t="str">
        <f>""</f>
        <v/>
      </c>
      <c r="AD929" t="str">
        <f>""</f>
        <v/>
      </c>
      <c r="AE929" t="str">
        <f>""</f>
        <v/>
      </c>
      <c r="AF929" t="str">
        <f>""</f>
        <v/>
      </c>
      <c r="AG929" t="str">
        <f>""</f>
        <v/>
      </c>
      <c r="AH929" t="str">
        <f>""</f>
        <v/>
      </c>
      <c r="AI929" t="str">
        <f>""</f>
        <v/>
      </c>
      <c r="AJ929" t="str">
        <f>""</f>
        <v/>
      </c>
      <c r="AK929" t="str">
        <f>""</f>
        <v/>
      </c>
      <c r="AL929" t="str">
        <f>""</f>
        <v/>
      </c>
      <c r="AM929" t="str">
        <f>""</f>
        <v/>
      </c>
      <c r="AN929" t="str">
        <f>""</f>
        <v/>
      </c>
      <c r="AO929" t="str">
        <f>""</f>
        <v/>
      </c>
      <c r="AP929" t="str">
        <f>""</f>
        <v/>
      </c>
      <c r="AQ929" t="str">
        <f>""</f>
        <v/>
      </c>
      <c r="AR929" t="str">
        <f>""</f>
        <v/>
      </c>
      <c r="AS929" t="str">
        <f>""</f>
        <v/>
      </c>
      <c r="AT929" t="str">
        <f>""</f>
        <v/>
      </c>
      <c r="AU929" t="str">
        <f>""</f>
        <v/>
      </c>
      <c r="AV929" t="str">
        <f>""</f>
        <v/>
      </c>
      <c r="AW929" t="str">
        <f>""</f>
        <v/>
      </c>
      <c r="AX929" t="str">
        <f>""</f>
        <v/>
      </c>
      <c r="AY929" t="str">
        <f>""</f>
        <v/>
      </c>
      <c r="AZ929" t="str">
        <f>""</f>
        <v/>
      </c>
      <c r="BA929" t="str">
        <f>""</f>
        <v/>
      </c>
      <c r="BB929" t="str">
        <f>"11/07/2023 02:19:56"</f>
        <v>11/07/2023 02:19:56</v>
      </c>
      <c r="BC929" t="str">
        <f>""</f>
        <v/>
      </c>
      <c r="BD929" t="str">
        <f>""</f>
        <v/>
      </c>
      <c r="BE929" t="str">
        <f>""</f>
        <v/>
      </c>
      <c r="BF929" t="str">
        <f t="shared" si="455"/>
        <v>A</v>
      </c>
      <c r="BG929" t="str">
        <f>""</f>
        <v/>
      </c>
      <c r="BH929" t="str">
        <f>""</f>
        <v/>
      </c>
      <c r="BI929" t="str">
        <f t="shared" si="466"/>
        <v>EVENTUAL</v>
      </c>
      <c r="BJ929" t="str">
        <f t="shared" si="456"/>
        <v>1</v>
      </c>
      <c r="BK929" t="str">
        <f t="shared" si="457"/>
        <v>Farmacia</v>
      </c>
      <c r="BL929" t="str">
        <f>""</f>
        <v/>
      </c>
      <c r="BM929" t="str">
        <f>""</f>
        <v/>
      </c>
      <c r="BN929" t="str">
        <f>""</f>
        <v/>
      </c>
      <c r="BO929" t="str">
        <f>""</f>
        <v/>
      </c>
      <c r="BP929" t="str">
        <f>""</f>
        <v/>
      </c>
      <c r="BQ929" t="str">
        <f>""</f>
        <v/>
      </c>
      <c r="BR929" t="str">
        <f>"11/07/2023"</f>
        <v>11/07/2023</v>
      </c>
      <c r="BS929" t="str">
        <f>""</f>
        <v/>
      </c>
      <c r="BT929" t="str">
        <f>""</f>
        <v/>
      </c>
      <c r="BU929" t="str">
        <f>""</f>
        <v/>
      </c>
      <c r="BV929" t="str">
        <f>""</f>
        <v/>
      </c>
      <c r="BW929" t="str">
        <f>"Não visitado"</f>
        <v>Não visitado</v>
      </c>
    </row>
    <row r="930" spans="1:75" x14ac:dyDescent="0.35">
      <c r="A930">
        <v>156908</v>
      </c>
      <c r="B930" t="str">
        <f t="shared" si="451"/>
        <v>A</v>
      </c>
      <c r="C930" t="str">
        <f t="shared" si="452"/>
        <v>80</v>
      </c>
      <c r="D930" t="str">
        <f t="shared" si="446"/>
        <v>11121002</v>
      </c>
      <c r="E930" t="str">
        <f t="shared" si="447"/>
        <v>121002</v>
      </c>
      <c r="F930" t="str">
        <f t="shared" si="448"/>
        <v>CINTHIA NORONHA</v>
      </c>
      <c r="G930" t="str">
        <f>"46637360000108"</f>
        <v>46637360000108</v>
      </c>
      <c r="H930" t="str">
        <f t="shared" si="465"/>
        <v>0</v>
      </c>
      <c r="I930" t="str">
        <f t="shared" si="453"/>
        <v>CONTA OPTICA</v>
      </c>
      <c r="J930" t="str">
        <f>"OPTICA REVOLUCAO LTDA"</f>
        <v>OPTICA REVOLUCAO LTDA</v>
      </c>
      <c r="K930" t="str">
        <f>"OPTICA REVOLUCAO (4541)"</f>
        <v>OPTICA REVOLUCAO (4541)</v>
      </c>
      <c r="L930" t="str">
        <f>""</f>
        <v/>
      </c>
      <c r="M930" t="str">
        <f>""</f>
        <v/>
      </c>
      <c r="N930" t="str">
        <f>"OPTICAREVOLUCAO@GMAIL.COM"</f>
        <v>OPTICAREVOLUCAO@GMAIL.COM</v>
      </c>
      <c r="O930" t="str">
        <f>""</f>
        <v/>
      </c>
      <c r="P930" t="str">
        <f>"RUA LAURO MULLER"</f>
        <v>RUA LAURO MULLER</v>
      </c>
      <c r="Q930" t="str">
        <f>"138"</f>
        <v>138</v>
      </c>
      <c r="R930" t="str">
        <f>"SALA:1"</f>
        <v>SALA:1</v>
      </c>
      <c r="S930" t="str">
        <f>""</f>
        <v/>
      </c>
      <c r="T930" t="str">
        <f>"88701070"</f>
        <v>88701070</v>
      </c>
      <c r="U930" t="str">
        <f>"OFICINAS"</f>
        <v>OFICINAS</v>
      </c>
      <c r="V930" t="str">
        <f>"TUBARAO"</f>
        <v>TUBARAO</v>
      </c>
      <c r="W930" t="str">
        <f t="shared" si="463"/>
        <v>SC</v>
      </c>
      <c r="X930" t="str">
        <f t="shared" si="464"/>
        <v>48</v>
      </c>
      <c r="Y930" t="str">
        <f>"31990599"</f>
        <v>31990599</v>
      </c>
      <c r="Z930" t="str">
        <f>""</f>
        <v/>
      </c>
      <c r="AA930" t="str">
        <f>""</f>
        <v/>
      </c>
      <c r="AB930" t="str">
        <f>""</f>
        <v/>
      </c>
      <c r="AC930" t="str">
        <f>""</f>
        <v/>
      </c>
      <c r="AD930" t="str">
        <f>""</f>
        <v/>
      </c>
      <c r="AE930" t="str">
        <f>""</f>
        <v/>
      </c>
      <c r="AF930" t="str">
        <f>""</f>
        <v/>
      </c>
      <c r="AG930" t="str">
        <f>""</f>
        <v/>
      </c>
      <c r="AH930" t="str">
        <f>""</f>
        <v/>
      </c>
      <c r="AI930" t="str">
        <f>""</f>
        <v/>
      </c>
      <c r="AJ930" t="str">
        <f>""</f>
        <v/>
      </c>
      <c r="AK930" t="str">
        <f>""</f>
        <v/>
      </c>
      <c r="AL930" t="str">
        <f>""</f>
        <v/>
      </c>
      <c r="AM930" t="str">
        <f>""</f>
        <v/>
      </c>
      <c r="AN930" t="str">
        <f>""</f>
        <v/>
      </c>
      <c r="AO930" t="str">
        <f>""</f>
        <v/>
      </c>
      <c r="AP930" t="str">
        <f>""</f>
        <v/>
      </c>
      <c r="AQ930" t="str">
        <f>""</f>
        <v/>
      </c>
      <c r="AR930" t="str">
        <f>""</f>
        <v/>
      </c>
      <c r="AS930" t="str">
        <f>""</f>
        <v/>
      </c>
      <c r="AT930" t="str">
        <f>""</f>
        <v/>
      </c>
      <c r="AU930" t="str">
        <f>""</f>
        <v/>
      </c>
      <c r="AV930" t="str">
        <f>""</f>
        <v/>
      </c>
      <c r="AW930" t="str">
        <f>""</f>
        <v/>
      </c>
      <c r="AX930" t="str">
        <f>""</f>
        <v/>
      </c>
      <c r="AY930" t="str">
        <f>""</f>
        <v/>
      </c>
      <c r="AZ930" t="str">
        <f>""</f>
        <v/>
      </c>
      <c r="BA930" t="str">
        <f>""</f>
        <v/>
      </c>
      <c r="BB930" t="str">
        <f>"06/07/2023 12:07:48"</f>
        <v>06/07/2023 12:07:48</v>
      </c>
      <c r="BC930" t="str">
        <f>""</f>
        <v/>
      </c>
      <c r="BD930" t="str">
        <f>""</f>
        <v/>
      </c>
      <c r="BE930" t="str">
        <f>""</f>
        <v/>
      </c>
      <c r="BF930" t="str">
        <f t="shared" si="455"/>
        <v>A</v>
      </c>
      <c r="BG930" t="str">
        <f>""</f>
        <v/>
      </c>
      <c r="BH930" t="str">
        <f>""</f>
        <v/>
      </c>
      <c r="BI930" t="str">
        <f t="shared" si="466"/>
        <v>EVENTUAL</v>
      </c>
      <c r="BJ930" t="str">
        <f t="shared" si="456"/>
        <v>1</v>
      </c>
      <c r="BK930" t="str">
        <f t="shared" si="457"/>
        <v>Farmacia</v>
      </c>
      <c r="BL930" t="str">
        <f>""</f>
        <v/>
      </c>
      <c r="BM930" t="str">
        <f>""</f>
        <v/>
      </c>
      <c r="BN930" t="str">
        <f>""</f>
        <v/>
      </c>
      <c r="BO930" t="str">
        <f>""</f>
        <v/>
      </c>
      <c r="BP930" t="str">
        <f>""</f>
        <v/>
      </c>
      <c r="BQ930" t="str">
        <f>""</f>
        <v/>
      </c>
      <c r="BR930" t="str">
        <f>"06/07/2023"</f>
        <v>06/07/2023</v>
      </c>
      <c r="BS930" t="str">
        <f>""</f>
        <v/>
      </c>
      <c r="BT930" t="str">
        <f>""</f>
        <v/>
      </c>
      <c r="BU930" t="str">
        <f>""</f>
        <v/>
      </c>
      <c r="BV930" t="str">
        <f>""</f>
        <v/>
      </c>
      <c r="BW930" t="str">
        <f>"Não visitado"</f>
        <v>Não visitado</v>
      </c>
    </row>
    <row r="931" spans="1:75" x14ac:dyDescent="0.35">
      <c r="A931">
        <v>157693</v>
      </c>
      <c r="B931" t="str">
        <f t="shared" si="451"/>
        <v>A</v>
      </c>
      <c r="C931" t="str">
        <f t="shared" si="452"/>
        <v>80</v>
      </c>
      <c r="D931" t="str">
        <f t="shared" si="446"/>
        <v>11121002</v>
      </c>
      <c r="E931" t="str">
        <f t="shared" si="447"/>
        <v>121002</v>
      </c>
      <c r="F931" t="str">
        <f t="shared" si="448"/>
        <v>CINTHIA NORONHA</v>
      </c>
      <c r="G931" t="str">
        <f>"40274689000167"</f>
        <v>40274689000167</v>
      </c>
      <c r="H931" t="str">
        <f t="shared" si="465"/>
        <v>0</v>
      </c>
      <c r="I931" t="str">
        <f t="shared" si="453"/>
        <v>CONTA OPTICA</v>
      </c>
      <c r="J931" t="str">
        <f>"OPTICA SANTO LTDA"</f>
        <v>OPTICA SANTO LTDA</v>
      </c>
      <c r="K931" t="str">
        <f>"OPTICA SANTO (4273)"</f>
        <v>OPTICA SANTO (4273)</v>
      </c>
      <c r="L931" t="str">
        <f>""</f>
        <v/>
      </c>
      <c r="M931" t="str">
        <f>""</f>
        <v/>
      </c>
      <c r="N931" t="str">
        <f>"SABRINAOPTOMETRISTA@GMAIL.COM"</f>
        <v>SABRINAOPTOMETRISTA@GMAIL.COM</v>
      </c>
      <c r="O931" t="str">
        <f>""</f>
        <v/>
      </c>
      <c r="P931" t="str">
        <f>"RUA LEDIO JOAO MARTINS"</f>
        <v>RUA LEDIO JOAO MARTINS</v>
      </c>
      <c r="Q931" t="str">
        <f>"80"</f>
        <v>80</v>
      </c>
      <c r="R931" t="str">
        <f>"LOJA 3"</f>
        <v>LOJA 3</v>
      </c>
      <c r="S931" t="str">
        <f>"1259"</f>
        <v>1259</v>
      </c>
      <c r="T931" t="str">
        <f>"88101100"</f>
        <v>88101100</v>
      </c>
      <c r="U931" t="str">
        <f>"KOBRASOL"</f>
        <v>KOBRASOL</v>
      </c>
      <c r="V931" t="str">
        <f>"SAO JOSE"</f>
        <v>SAO JOSE</v>
      </c>
      <c r="W931" t="str">
        <f t="shared" si="463"/>
        <v>SC</v>
      </c>
      <c r="X931" t="str">
        <f t="shared" si="464"/>
        <v>48</v>
      </c>
      <c r="Y931" t="str">
        <f>"996453331"</f>
        <v>996453331</v>
      </c>
      <c r="Z931" t="str">
        <f>""</f>
        <v/>
      </c>
      <c r="AA931" t="str">
        <f>""</f>
        <v/>
      </c>
      <c r="AB931" t="str">
        <f>""</f>
        <v/>
      </c>
      <c r="AC931" t="str">
        <f>""</f>
        <v/>
      </c>
      <c r="AD931" t="str">
        <f>""</f>
        <v/>
      </c>
      <c r="AE931" t="str">
        <f>""</f>
        <v/>
      </c>
      <c r="AF931" t="str">
        <f>""</f>
        <v/>
      </c>
      <c r="AG931" t="str">
        <f>""</f>
        <v/>
      </c>
      <c r="AH931" t="str">
        <f>""</f>
        <v/>
      </c>
      <c r="AI931" t="str">
        <f>""</f>
        <v/>
      </c>
      <c r="AJ931" t="str">
        <f>""</f>
        <v/>
      </c>
      <c r="AK931" t="str">
        <f>""</f>
        <v/>
      </c>
      <c r="AL931" t="str">
        <f>""</f>
        <v/>
      </c>
      <c r="AM931" t="str">
        <f>""</f>
        <v/>
      </c>
      <c r="AN931" t="str">
        <f>""</f>
        <v/>
      </c>
      <c r="AO931" t="str">
        <f>""</f>
        <v/>
      </c>
      <c r="AP931" t="str">
        <f>""</f>
        <v/>
      </c>
      <c r="AQ931" t="str">
        <f>""</f>
        <v/>
      </c>
      <c r="AR931" t="str">
        <f>""</f>
        <v/>
      </c>
      <c r="AS931" t="str">
        <f>""</f>
        <v/>
      </c>
      <c r="AT931" t="str">
        <f>""</f>
        <v/>
      </c>
      <c r="AU931" t="str">
        <f>""</f>
        <v/>
      </c>
      <c r="AV931" t="str">
        <f>""</f>
        <v/>
      </c>
      <c r="AW931" t="str">
        <f>""</f>
        <v/>
      </c>
      <c r="AX931" t="str">
        <f>""</f>
        <v/>
      </c>
      <c r="AY931" t="str">
        <f>""</f>
        <v/>
      </c>
      <c r="AZ931" t="str">
        <f>""</f>
        <v/>
      </c>
      <c r="BA931" t="str">
        <f>""</f>
        <v/>
      </c>
      <c r="BB931" t="str">
        <f>"11/07/2023 02:19:56"</f>
        <v>11/07/2023 02:19:56</v>
      </c>
      <c r="BC931" t="str">
        <f>""</f>
        <v/>
      </c>
      <c r="BD931" t="str">
        <f>""</f>
        <v/>
      </c>
      <c r="BE931" t="str">
        <f>""</f>
        <v/>
      </c>
      <c r="BF931" t="str">
        <f t="shared" si="455"/>
        <v>A</v>
      </c>
      <c r="BG931" t="str">
        <f>""</f>
        <v/>
      </c>
      <c r="BH931" t="str">
        <f>""</f>
        <v/>
      </c>
      <c r="BI931" t="str">
        <f t="shared" si="466"/>
        <v>EVENTUAL</v>
      </c>
      <c r="BJ931" t="str">
        <f t="shared" si="456"/>
        <v>1</v>
      </c>
      <c r="BK931" t="str">
        <f t="shared" si="457"/>
        <v>Farmacia</v>
      </c>
      <c r="BL931" t="str">
        <f>""</f>
        <v/>
      </c>
      <c r="BM931" t="str">
        <f>""</f>
        <v/>
      </c>
      <c r="BN931" t="str">
        <f>""</f>
        <v/>
      </c>
      <c r="BO931" t="str">
        <f>""</f>
        <v/>
      </c>
      <c r="BP931" t="str">
        <f>""</f>
        <v/>
      </c>
      <c r="BQ931" t="str">
        <f>""</f>
        <v/>
      </c>
      <c r="BR931" t="str">
        <f>"11/07/2023"</f>
        <v>11/07/2023</v>
      </c>
      <c r="BS931" t="str">
        <f>""</f>
        <v/>
      </c>
      <c r="BT931" t="str">
        <f>""</f>
        <v/>
      </c>
      <c r="BU931" t="str">
        <f>""</f>
        <v/>
      </c>
      <c r="BV931" t="str">
        <f>""</f>
        <v/>
      </c>
      <c r="BW931" t="str">
        <f>"Não visitado"</f>
        <v>Não visitado</v>
      </c>
    </row>
    <row r="932" spans="1:75" x14ac:dyDescent="0.35">
      <c r="A932">
        <v>134469</v>
      </c>
      <c r="B932" t="str">
        <f t="shared" si="451"/>
        <v>A</v>
      </c>
      <c r="C932" t="str">
        <f t="shared" si="452"/>
        <v>80</v>
      </c>
      <c r="D932" t="str">
        <f t="shared" si="446"/>
        <v>11121002</v>
      </c>
      <c r="E932" t="str">
        <f t="shared" si="447"/>
        <v>121002</v>
      </c>
      <c r="F932" t="str">
        <f t="shared" si="448"/>
        <v>CINTHIA NORONHA</v>
      </c>
      <c r="G932" t="str">
        <f>"14081732000168"</f>
        <v>14081732000168</v>
      </c>
      <c r="H932" t="str">
        <f>""</f>
        <v/>
      </c>
      <c r="I932" t="str">
        <f t="shared" si="453"/>
        <v>CONTA OPTICA</v>
      </c>
      <c r="J932" t="str">
        <f>"OPTICA SIRIO E ROSANA LTDA"</f>
        <v>OPTICA SIRIO E ROSANA LTDA</v>
      </c>
      <c r="K932" t="str">
        <f>"OPTICA FUTURA (1846)"</f>
        <v>OPTICA FUTURA (1846)</v>
      </c>
      <c r="L932" t="str">
        <f>""</f>
        <v/>
      </c>
      <c r="M932" t="str">
        <f>""</f>
        <v/>
      </c>
      <c r="N932" t="str">
        <f>"oticafutura@gmail.com"</f>
        <v>oticafutura@gmail.com</v>
      </c>
      <c r="O932" t="str">
        <f>""</f>
        <v/>
      </c>
      <c r="P932" t="str">
        <f>"RODOVIA JOAO GUALBERTO SOARES"</f>
        <v>RODOVIA JOAO GUALBERTO SOARES</v>
      </c>
      <c r="Q932" t="str">
        <f>"96"</f>
        <v>96</v>
      </c>
      <c r="R932" t="str">
        <f>""</f>
        <v/>
      </c>
      <c r="S932" t="str">
        <f>"1257"</f>
        <v>1257</v>
      </c>
      <c r="T932" t="str">
        <f>"88058300"</f>
        <v>88058300</v>
      </c>
      <c r="U932" t="str">
        <f>"INGLESES DO RIO VERMELHO"</f>
        <v>INGLESES DO RIO VERMELHO</v>
      </c>
      <c r="V932" t="str">
        <f>"FLORIANÓPOLIS"</f>
        <v>FLORIANÓPOLIS</v>
      </c>
      <c r="W932" t="str">
        <f t="shared" si="463"/>
        <v>SC</v>
      </c>
      <c r="X932" t="str">
        <f t="shared" si="464"/>
        <v>48</v>
      </c>
      <c r="Y932" t="str">
        <f>"32049081"</f>
        <v>32049081</v>
      </c>
      <c r="Z932" t="str">
        <f>""</f>
        <v/>
      </c>
      <c r="AA932" t="str">
        <f>""</f>
        <v/>
      </c>
      <c r="AB932" t="str">
        <f>""</f>
        <v/>
      </c>
      <c r="AC932" t="str">
        <f>""</f>
        <v/>
      </c>
      <c r="AD932" t="str">
        <f>""</f>
        <v/>
      </c>
      <c r="AE932" t="str">
        <f>""</f>
        <v/>
      </c>
      <c r="AF932" t="str">
        <f>""</f>
        <v/>
      </c>
      <c r="AG932" t="str">
        <f>"S"</f>
        <v>S</v>
      </c>
      <c r="AH932" t="str">
        <f>""</f>
        <v/>
      </c>
      <c r="AI932" t="str">
        <f>""</f>
        <v/>
      </c>
      <c r="AJ932" t="str">
        <f>"0"</f>
        <v>0</v>
      </c>
      <c r="AK932" t="str">
        <f>"0"</f>
        <v>0</v>
      </c>
      <c r="AL932" t="str">
        <f>"0"</f>
        <v>0</v>
      </c>
      <c r="AM932" t="str">
        <f>""</f>
        <v/>
      </c>
      <c r="AN932" t="str">
        <f>""</f>
        <v/>
      </c>
      <c r="AO932" t="str">
        <f>""</f>
        <v/>
      </c>
      <c r="AP932" t="str">
        <f>""</f>
        <v/>
      </c>
      <c r="AQ932" t="str">
        <f>"N"</f>
        <v>N</v>
      </c>
      <c r="AR932" t="str">
        <f>"N"</f>
        <v>N</v>
      </c>
      <c r="AS932" t="str">
        <f>"N"</f>
        <v>N</v>
      </c>
      <c r="AT932" t="str">
        <f>"N"</f>
        <v>N</v>
      </c>
      <c r="AU932" t="str">
        <f>"N"</f>
        <v>N</v>
      </c>
      <c r="AV932" t="str">
        <f>""</f>
        <v/>
      </c>
      <c r="AW932" t="str">
        <f>""</f>
        <v/>
      </c>
      <c r="AX932" t="str">
        <f>""</f>
        <v/>
      </c>
      <c r="AY932" t="str">
        <f>""</f>
        <v/>
      </c>
      <c r="AZ932" t="str">
        <f>""</f>
        <v/>
      </c>
      <c r="BA932" t="str">
        <f>""</f>
        <v/>
      </c>
      <c r="BB932" t="str">
        <f>""</f>
        <v/>
      </c>
      <c r="BC932" t="str">
        <f>"06/09/2021 14:42:11"</f>
        <v>06/09/2021 14:42:11</v>
      </c>
      <c r="BD932" t="str">
        <f>""</f>
        <v/>
      </c>
      <c r="BE932" t="str">
        <f>""</f>
        <v/>
      </c>
      <c r="BF932" t="str">
        <f t="shared" si="455"/>
        <v>A</v>
      </c>
      <c r="BG932" t="str">
        <f>"0,00"</f>
        <v>0,00</v>
      </c>
      <c r="BH932" t="str">
        <f>"0,00"</f>
        <v>0,00</v>
      </c>
      <c r="BI932" t="str">
        <f t="shared" si="466"/>
        <v>EVENTUAL</v>
      </c>
      <c r="BJ932" t="str">
        <f t="shared" si="456"/>
        <v>1</v>
      </c>
      <c r="BK932" t="str">
        <f t="shared" si="457"/>
        <v>Farmacia</v>
      </c>
      <c r="BL932" t="str">
        <f>""</f>
        <v/>
      </c>
      <c r="BM932" t="str">
        <f>"NÃO É VARILUX ESPECIALISTA"</f>
        <v>NÃO É VARILUX ESPECIALISTA</v>
      </c>
      <c r="BN932" t="str">
        <f>"NA"</f>
        <v>NA</v>
      </c>
      <c r="BO932" t="str">
        <f>"OUTROS"</f>
        <v>OUTROS</v>
      </c>
      <c r="BP932" t="str">
        <f>""</f>
        <v/>
      </c>
      <c r="BQ932" t="str">
        <f>""</f>
        <v/>
      </c>
      <c r="BR932" t="str">
        <f>""</f>
        <v/>
      </c>
      <c r="BS932" t="str">
        <f>"06/09/2021"</f>
        <v>06/09/2021</v>
      </c>
      <c r="BT932" t="str">
        <f>""</f>
        <v/>
      </c>
      <c r="BU932" t="str">
        <f>""</f>
        <v/>
      </c>
      <c r="BV932" t="str">
        <f>"9"</f>
        <v>9</v>
      </c>
      <c r="BW932" t="str">
        <f>"317"</f>
        <v>317</v>
      </c>
    </row>
    <row r="933" spans="1:75" x14ac:dyDescent="0.35">
      <c r="A933">
        <v>152734</v>
      </c>
      <c r="B933" t="str">
        <f t="shared" si="451"/>
        <v>A</v>
      </c>
      <c r="C933" t="str">
        <f t="shared" si="452"/>
        <v>80</v>
      </c>
      <c r="D933" t="str">
        <f t="shared" si="446"/>
        <v>11121002</v>
      </c>
      <c r="E933" t="str">
        <f t="shared" si="447"/>
        <v>121002</v>
      </c>
      <c r="F933" t="str">
        <f t="shared" si="448"/>
        <v>CINTHIA NORONHA</v>
      </c>
      <c r="G933" t="str">
        <f>"45871194000139"</f>
        <v>45871194000139</v>
      </c>
      <c r="H933" t="str">
        <f>"0"</f>
        <v>0</v>
      </c>
      <c r="I933" t="str">
        <f t="shared" si="453"/>
        <v>CONTA OPTICA</v>
      </c>
      <c r="J933" t="str">
        <f>"OPTICA VIEIRA LTDA"</f>
        <v>OPTICA VIEIRA LTDA</v>
      </c>
      <c r="K933" t="str">
        <f>"OPTICA BRASIL"</f>
        <v>OPTICA BRASIL</v>
      </c>
      <c r="L933" t="str">
        <f>""</f>
        <v/>
      </c>
      <c r="M933" t="str">
        <f>""</f>
        <v/>
      </c>
      <c r="N933" t="str">
        <f>"oticasbrasillages@gmail.com"</f>
        <v>oticasbrasillages@gmail.com</v>
      </c>
      <c r="O933" t="str">
        <f>""</f>
        <v/>
      </c>
      <c r="P933" t="str">
        <f>"RUA MARECHAL DEODORO"</f>
        <v>RUA MARECHAL DEODORO</v>
      </c>
      <c r="Q933" t="str">
        <f>"234"</f>
        <v>234</v>
      </c>
      <c r="R933" t="str">
        <f>""</f>
        <v/>
      </c>
      <c r="S933" t="str">
        <f>"1266"</f>
        <v>1266</v>
      </c>
      <c r="T933" t="str">
        <f>"88501000"</f>
        <v>88501000</v>
      </c>
      <c r="U933" t="str">
        <f>"CENTRO"</f>
        <v>CENTRO</v>
      </c>
      <c r="V933" t="str">
        <f>"LAGES"</f>
        <v>LAGES</v>
      </c>
      <c r="W933" t="str">
        <f t="shared" si="463"/>
        <v>SC</v>
      </c>
      <c r="X933" t="str">
        <f>""</f>
        <v/>
      </c>
      <c r="Y933" t="str">
        <f>""</f>
        <v/>
      </c>
      <c r="Z933" t="str">
        <f>""</f>
        <v/>
      </c>
      <c r="AA933" t="str">
        <f>""</f>
        <v/>
      </c>
      <c r="AB933" t="str">
        <f>""</f>
        <v/>
      </c>
      <c r="AC933" t="str">
        <f>""</f>
        <v/>
      </c>
      <c r="AD933" t="str">
        <f>""</f>
        <v/>
      </c>
      <c r="AE933" t="str">
        <f>""</f>
        <v/>
      </c>
      <c r="AF933" t="str">
        <f>""</f>
        <v/>
      </c>
      <c r="AG933" t="str">
        <f>""</f>
        <v/>
      </c>
      <c r="AH933" t="str">
        <f>""</f>
        <v/>
      </c>
      <c r="AI933" t="str">
        <f>""</f>
        <v/>
      </c>
      <c r="AJ933" t="str">
        <f>""</f>
        <v/>
      </c>
      <c r="AK933" t="str">
        <f>""</f>
        <v/>
      </c>
      <c r="AL933" t="str">
        <f>""</f>
        <v/>
      </c>
      <c r="AM933" t="str">
        <f>""</f>
        <v/>
      </c>
      <c r="AN933" t="str">
        <f>""</f>
        <v/>
      </c>
      <c r="AO933" t="str">
        <f>""</f>
        <v/>
      </c>
      <c r="AP933" t="str">
        <f>""</f>
        <v/>
      </c>
      <c r="AQ933" t="str">
        <f>""</f>
        <v/>
      </c>
      <c r="AR933" t="str">
        <f>""</f>
        <v/>
      </c>
      <c r="AS933" t="str">
        <f>""</f>
        <v/>
      </c>
      <c r="AT933" t="str">
        <f>""</f>
        <v/>
      </c>
      <c r="AU933" t="str">
        <f>""</f>
        <v/>
      </c>
      <c r="AV933" t="str">
        <f>""</f>
        <v/>
      </c>
      <c r="AW933" t="str">
        <f>""</f>
        <v/>
      </c>
      <c r="AX933" t="str">
        <f>""</f>
        <v/>
      </c>
      <c r="AY933" t="str">
        <f>""</f>
        <v/>
      </c>
      <c r="AZ933" t="str">
        <f>""</f>
        <v/>
      </c>
      <c r="BA933" t="str">
        <f>""</f>
        <v/>
      </c>
      <c r="BB933" t="str">
        <f>"03/04/2023 13:34:29"</f>
        <v>03/04/2023 13:34:29</v>
      </c>
      <c r="BC933" t="str">
        <f>""</f>
        <v/>
      </c>
      <c r="BD933" t="str">
        <f>""</f>
        <v/>
      </c>
      <c r="BE933" t="str">
        <f>""</f>
        <v/>
      </c>
      <c r="BF933" t="str">
        <f t="shared" si="455"/>
        <v>A</v>
      </c>
      <c r="BG933" t="str">
        <f>""</f>
        <v/>
      </c>
      <c r="BH933" t="str">
        <f>""</f>
        <v/>
      </c>
      <c r="BI933" t="str">
        <f t="shared" si="466"/>
        <v>EVENTUAL</v>
      </c>
      <c r="BJ933" t="str">
        <f t="shared" si="456"/>
        <v>1</v>
      </c>
      <c r="BK933" t="str">
        <f t="shared" si="457"/>
        <v>Farmacia</v>
      </c>
      <c r="BL933" t="str">
        <f>""</f>
        <v/>
      </c>
      <c r="BM933" t="str">
        <f>""</f>
        <v/>
      </c>
      <c r="BN933" t="str">
        <f>""</f>
        <v/>
      </c>
      <c r="BO933" t="str">
        <f>""</f>
        <v/>
      </c>
      <c r="BP933" t="str">
        <f>""</f>
        <v/>
      </c>
      <c r="BQ933" t="str">
        <f>""</f>
        <v/>
      </c>
      <c r="BR933" t="str">
        <f>"03/04/2023"</f>
        <v>03/04/2023</v>
      </c>
      <c r="BS933" t="str">
        <f>""</f>
        <v/>
      </c>
      <c r="BT933" t="str">
        <f>""</f>
        <v/>
      </c>
      <c r="BU933" t="str">
        <f>""</f>
        <v/>
      </c>
      <c r="BV933" t="str">
        <f>""</f>
        <v/>
      </c>
      <c r="BW933" t="str">
        <f>"Não visitado"</f>
        <v>Não visitado</v>
      </c>
    </row>
    <row r="934" spans="1:75" x14ac:dyDescent="0.35">
      <c r="A934">
        <v>152748</v>
      </c>
      <c r="B934" t="str">
        <f t="shared" si="451"/>
        <v>A</v>
      </c>
      <c r="C934" t="str">
        <f t="shared" si="452"/>
        <v>80</v>
      </c>
      <c r="D934" t="str">
        <f t="shared" si="446"/>
        <v>11121002</v>
      </c>
      <c r="E934" t="str">
        <f t="shared" si="447"/>
        <v>121002</v>
      </c>
      <c r="F934" t="str">
        <f t="shared" si="448"/>
        <v>CINTHIA NORONHA</v>
      </c>
      <c r="G934" t="str">
        <f>"44591067000113"</f>
        <v>44591067000113</v>
      </c>
      <c r="H934" t="str">
        <f>"0"</f>
        <v>0</v>
      </c>
      <c r="I934" t="str">
        <f t="shared" si="453"/>
        <v>CONTA OPTICA</v>
      </c>
      <c r="J934" t="str">
        <f>"OPTICA VISAO VIP LTDA"</f>
        <v>OPTICA VISAO VIP LTDA</v>
      </c>
      <c r="K934" t="str">
        <f>"OPTICA VISAO VIP"</f>
        <v>OPTICA VISAO VIP</v>
      </c>
      <c r="L934" t="str">
        <f>""</f>
        <v/>
      </c>
      <c r="M934" t="str">
        <f>""</f>
        <v/>
      </c>
      <c r="N934" t="str">
        <f>"visaovipotica@gmail.com"</f>
        <v>visaovipotica@gmail.com</v>
      </c>
      <c r="O934" t="str">
        <f>""</f>
        <v/>
      </c>
      <c r="P934" t="str">
        <f>"RUA SOUZA DUTRA"</f>
        <v>RUA SOUZA DUTRA</v>
      </c>
      <c r="Q934" t="str">
        <f>"128"</f>
        <v>128</v>
      </c>
      <c r="R934" t="str">
        <f>"LOJA 04"</f>
        <v>LOJA 04</v>
      </c>
      <c r="S934" t="str">
        <f>""</f>
        <v/>
      </c>
      <c r="T934" t="str">
        <f>"88070605"</f>
        <v>88070605</v>
      </c>
      <c r="U934" t="str">
        <f>"ESTREITO"</f>
        <v>ESTREITO</v>
      </c>
      <c r="V934" t="str">
        <f>"FLORIANOPOLIS"</f>
        <v>FLORIANOPOLIS</v>
      </c>
      <c r="W934" t="str">
        <f t="shared" si="463"/>
        <v>SC</v>
      </c>
      <c r="X934" t="str">
        <f>""</f>
        <v/>
      </c>
      <c r="Y934" t="str">
        <f>""</f>
        <v/>
      </c>
      <c r="Z934" t="str">
        <f>""</f>
        <v/>
      </c>
      <c r="AA934" t="str">
        <f>""</f>
        <v/>
      </c>
      <c r="AB934" t="str">
        <f>""</f>
        <v/>
      </c>
      <c r="AC934" t="str">
        <f>""</f>
        <v/>
      </c>
      <c r="AD934" t="str">
        <f>""</f>
        <v/>
      </c>
      <c r="AE934" t="str">
        <f>""</f>
        <v/>
      </c>
      <c r="AF934" t="str">
        <f>""</f>
        <v/>
      </c>
      <c r="AG934" t="str">
        <f>""</f>
        <v/>
      </c>
      <c r="AH934" t="str">
        <f>""</f>
        <v/>
      </c>
      <c r="AI934" t="str">
        <f>""</f>
        <v/>
      </c>
      <c r="AJ934" t="str">
        <f>""</f>
        <v/>
      </c>
      <c r="AK934" t="str">
        <f>""</f>
        <v/>
      </c>
      <c r="AL934" t="str">
        <f>""</f>
        <v/>
      </c>
      <c r="AM934" t="str">
        <f>""</f>
        <v/>
      </c>
      <c r="AN934" t="str">
        <f>""</f>
        <v/>
      </c>
      <c r="AO934" t="str">
        <f>""</f>
        <v/>
      </c>
      <c r="AP934" t="str">
        <f>""</f>
        <v/>
      </c>
      <c r="AQ934" t="str">
        <f>""</f>
        <v/>
      </c>
      <c r="AR934" t="str">
        <f>""</f>
        <v/>
      </c>
      <c r="AS934" t="str">
        <f>""</f>
        <v/>
      </c>
      <c r="AT934" t="str">
        <f>""</f>
        <v/>
      </c>
      <c r="AU934" t="str">
        <f>""</f>
        <v/>
      </c>
      <c r="AV934" t="str">
        <f>""</f>
        <v/>
      </c>
      <c r="AW934" t="str">
        <f>""</f>
        <v/>
      </c>
      <c r="AX934" t="str">
        <f>""</f>
        <v/>
      </c>
      <c r="AY934" t="str">
        <f>""</f>
        <v/>
      </c>
      <c r="AZ934" t="str">
        <f>""</f>
        <v/>
      </c>
      <c r="BA934" t="str">
        <f>""</f>
        <v/>
      </c>
      <c r="BB934" t="str">
        <f>"03/04/2023 13:34:29"</f>
        <v>03/04/2023 13:34:29</v>
      </c>
      <c r="BC934" t="str">
        <f>""</f>
        <v/>
      </c>
      <c r="BD934" t="str">
        <f>""</f>
        <v/>
      </c>
      <c r="BE934" t="str">
        <f>""</f>
        <v/>
      </c>
      <c r="BF934" t="str">
        <f t="shared" si="455"/>
        <v>A</v>
      </c>
      <c r="BG934" t="str">
        <f>""</f>
        <v/>
      </c>
      <c r="BH934" t="str">
        <f>""</f>
        <v/>
      </c>
      <c r="BI934" t="str">
        <f t="shared" si="466"/>
        <v>EVENTUAL</v>
      </c>
      <c r="BJ934" t="str">
        <f t="shared" si="456"/>
        <v>1</v>
      </c>
      <c r="BK934" t="str">
        <f t="shared" si="457"/>
        <v>Farmacia</v>
      </c>
      <c r="BL934" t="str">
        <f>""</f>
        <v/>
      </c>
      <c r="BM934" t="str">
        <f>""</f>
        <v/>
      </c>
      <c r="BN934" t="str">
        <f>""</f>
        <v/>
      </c>
      <c r="BO934" t="str">
        <f>""</f>
        <v/>
      </c>
      <c r="BP934" t="str">
        <f>""</f>
        <v/>
      </c>
      <c r="BQ934" t="str">
        <f>""</f>
        <v/>
      </c>
      <c r="BR934" t="str">
        <f>"03/04/2023"</f>
        <v>03/04/2023</v>
      </c>
      <c r="BS934" t="str">
        <f>""</f>
        <v/>
      </c>
      <c r="BT934" t="str">
        <f>""</f>
        <v/>
      </c>
      <c r="BU934" t="str">
        <f>""</f>
        <v/>
      </c>
      <c r="BV934" t="str">
        <f>""</f>
        <v/>
      </c>
      <c r="BW934" t="str">
        <f>"113"</f>
        <v>113</v>
      </c>
    </row>
    <row r="935" spans="1:75" x14ac:dyDescent="0.35">
      <c r="A935">
        <v>134490</v>
      </c>
      <c r="B935" t="str">
        <f t="shared" si="451"/>
        <v>A</v>
      </c>
      <c r="C935" t="str">
        <f t="shared" si="452"/>
        <v>80</v>
      </c>
      <c r="D935" t="str">
        <f t="shared" si="446"/>
        <v>11121002</v>
      </c>
      <c r="E935" t="str">
        <f t="shared" si="447"/>
        <v>121002</v>
      </c>
      <c r="F935" t="str">
        <f t="shared" si="448"/>
        <v>CINTHIA NORONHA</v>
      </c>
      <c r="G935" t="str">
        <f>"24122716000120"</f>
        <v>24122716000120</v>
      </c>
      <c r="H935" t="str">
        <f>""</f>
        <v/>
      </c>
      <c r="I935" t="str">
        <f t="shared" si="453"/>
        <v>CONTA OPTICA</v>
      </c>
      <c r="J935" t="str">
        <f>"OPTIMUS COMERCIO VAREJ DE ART DE OPTICA LTDA ME"</f>
        <v>OPTIMUS COMERCIO VAREJ DE ART DE OPTICA LTDA ME</v>
      </c>
      <c r="K935" t="str">
        <f>"SUPER OPTICA SAO JOSE (3300)"</f>
        <v>SUPER OPTICA SAO JOSE (3300)</v>
      </c>
      <c r="L935" t="str">
        <f>""</f>
        <v/>
      </c>
      <c r="M935" t="str">
        <f>""</f>
        <v/>
      </c>
      <c r="N935" t="str">
        <f>"floripasaojose@superoticasaojose.com.br"</f>
        <v>floripasaojose@superoticasaojose.com.br</v>
      </c>
      <c r="O935" t="str">
        <f>""</f>
        <v/>
      </c>
      <c r="P935" t="str">
        <f>"RUA LEDIO JOAO MARTINS"</f>
        <v>RUA LEDIO JOAO MARTINS</v>
      </c>
      <c r="Q935" t="str">
        <f>"401"</f>
        <v>401</v>
      </c>
      <c r="R935" t="str">
        <f>"LOJA 01"</f>
        <v>LOJA 01</v>
      </c>
      <c r="S935" t="str">
        <f>"1259"</f>
        <v>1259</v>
      </c>
      <c r="T935" t="str">
        <f>"88102000"</f>
        <v>88102000</v>
      </c>
      <c r="U935" t="str">
        <f>"KOBRASOL"</f>
        <v>KOBRASOL</v>
      </c>
      <c r="V935" t="str">
        <f>"SÃO JOSÉ"</f>
        <v>SÃO JOSÉ</v>
      </c>
      <c r="W935" t="str">
        <f t="shared" si="463"/>
        <v>SC</v>
      </c>
      <c r="X935" t="str">
        <f t="shared" ref="X935:X943" si="467">"48"</f>
        <v>48</v>
      </c>
      <c r="Y935" t="str">
        <f>"30947013"</f>
        <v>30947013</v>
      </c>
      <c r="Z935" t="str">
        <f>""</f>
        <v/>
      </c>
      <c r="AA935" t="str">
        <f>""</f>
        <v/>
      </c>
      <c r="AB935" t="str">
        <f>""</f>
        <v/>
      </c>
      <c r="AC935" t="str">
        <f>""</f>
        <v/>
      </c>
      <c r="AD935" t="str">
        <f>""</f>
        <v/>
      </c>
      <c r="AE935" t="str">
        <f>""</f>
        <v/>
      </c>
      <c r="AF935" t="str">
        <f>""</f>
        <v/>
      </c>
      <c r="AG935" t="str">
        <f>"S"</f>
        <v>S</v>
      </c>
      <c r="AH935" t="str">
        <f>""</f>
        <v/>
      </c>
      <c r="AI935" t="str">
        <f>""</f>
        <v/>
      </c>
      <c r="AJ935" t="str">
        <f>""</f>
        <v/>
      </c>
      <c r="AK935" t="str">
        <f>""</f>
        <v/>
      </c>
      <c r="AL935" t="str">
        <f>""</f>
        <v/>
      </c>
      <c r="AM935" t="str">
        <f>""</f>
        <v/>
      </c>
      <c r="AN935" t="str">
        <f>""</f>
        <v/>
      </c>
      <c r="AO935" t="str">
        <f>""</f>
        <v/>
      </c>
      <c r="AP935" t="str">
        <f>""</f>
        <v/>
      </c>
      <c r="AQ935" t="str">
        <f t="shared" ref="AQ935:AU936" si="468">"N"</f>
        <v>N</v>
      </c>
      <c r="AR935" t="str">
        <f t="shared" si="468"/>
        <v>N</v>
      </c>
      <c r="AS935" t="str">
        <f t="shared" si="468"/>
        <v>N</v>
      </c>
      <c r="AT935" t="str">
        <f t="shared" si="468"/>
        <v>N</v>
      </c>
      <c r="AU935" t="str">
        <f t="shared" si="468"/>
        <v>N</v>
      </c>
      <c r="AV935" t="str">
        <f>""</f>
        <v/>
      </c>
      <c r="AW935" t="str">
        <f>""</f>
        <v/>
      </c>
      <c r="AX935" t="str">
        <f>""</f>
        <v/>
      </c>
      <c r="AY935" t="str">
        <f>""</f>
        <v/>
      </c>
      <c r="AZ935" t="str">
        <f>""</f>
        <v/>
      </c>
      <c r="BA935" t="str">
        <f>""</f>
        <v/>
      </c>
      <c r="BB935" t="str">
        <f>""</f>
        <v/>
      </c>
      <c r="BC935" t="str">
        <f>"01/04/2022 14:14:35"</f>
        <v>01/04/2022 14:14:35</v>
      </c>
      <c r="BD935" t="str">
        <f>""</f>
        <v/>
      </c>
      <c r="BE935" t="str">
        <f>""</f>
        <v/>
      </c>
      <c r="BF935" t="str">
        <f t="shared" si="455"/>
        <v>A</v>
      </c>
      <c r="BG935" t="str">
        <f>""</f>
        <v/>
      </c>
      <c r="BH935" t="str">
        <f>"0,00"</f>
        <v>0,00</v>
      </c>
      <c r="BI935" t="str">
        <f t="shared" si="466"/>
        <v>EVENTUAL</v>
      </c>
      <c r="BJ935" t="str">
        <f t="shared" si="456"/>
        <v>1</v>
      </c>
      <c r="BK935" t="str">
        <f t="shared" si="457"/>
        <v>Farmacia</v>
      </c>
      <c r="BL935" t="str">
        <f>""</f>
        <v/>
      </c>
      <c r="BM935" t="str">
        <f>"NÃO É VARILUX ESPECIALISTA"</f>
        <v>NÃO É VARILUX ESPECIALISTA</v>
      </c>
      <c r="BN935" t="str">
        <f>"NA"</f>
        <v>NA</v>
      </c>
      <c r="BO935" t="str">
        <f>"FOCO VARILUX DIGITAL"</f>
        <v>FOCO VARILUX DIGITAL</v>
      </c>
      <c r="BP935" t="str">
        <f>""</f>
        <v/>
      </c>
      <c r="BQ935" t="str">
        <f>""</f>
        <v/>
      </c>
      <c r="BR935" t="str">
        <f>""</f>
        <v/>
      </c>
      <c r="BS935" t="str">
        <f>"01/04/2022"</f>
        <v>01/04/2022</v>
      </c>
      <c r="BT935" t="str">
        <f>""</f>
        <v/>
      </c>
      <c r="BU935" t="str">
        <f>""</f>
        <v/>
      </c>
      <c r="BV935" t="str">
        <f>"9"</f>
        <v>9</v>
      </c>
      <c r="BW935" t="str">
        <f>"112"</f>
        <v>112</v>
      </c>
    </row>
    <row r="936" spans="1:75" x14ac:dyDescent="0.35">
      <c r="A936">
        <v>134439</v>
      </c>
      <c r="B936" t="str">
        <f t="shared" si="451"/>
        <v>A</v>
      </c>
      <c r="C936" t="str">
        <f t="shared" si="452"/>
        <v>80</v>
      </c>
      <c r="D936" t="str">
        <f t="shared" si="446"/>
        <v>11121002</v>
      </c>
      <c r="E936" t="str">
        <f t="shared" si="447"/>
        <v>121002</v>
      </c>
      <c r="F936" t="str">
        <f t="shared" si="448"/>
        <v>CINTHIA NORONHA</v>
      </c>
      <c r="G936" t="str">
        <f>"85372258000171"</f>
        <v>85372258000171</v>
      </c>
      <c r="H936" t="str">
        <f>""</f>
        <v/>
      </c>
      <c r="I936" t="str">
        <f t="shared" si="453"/>
        <v>CONTA OPTICA</v>
      </c>
      <c r="J936" t="str">
        <f>"OPTOFLEX COMERCIO DE PRODUTOS OPTICOS LTDA"</f>
        <v>OPTOFLEX COMERCIO DE PRODUTOS OPTICOS LTDA</v>
      </c>
      <c r="K936" t="str">
        <f>"OPTOFLEX (3961)"</f>
        <v>OPTOFLEX (3961)</v>
      </c>
      <c r="L936" t="str">
        <f>""</f>
        <v/>
      </c>
      <c r="M936" t="str">
        <f>""</f>
        <v/>
      </c>
      <c r="N936" t="str">
        <f>"goots@bol.com.br"</f>
        <v>goots@bol.com.br</v>
      </c>
      <c r="O936" t="str">
        <f>""</f>
        <v/>
      </c>
      <c r="P936" t="str">
        <f>"RUA LISBOA"</f>
        <v>RUA LISBOA</v>
      </c>
      <c r="Q936" t="str">
        <f>"6256"</f>
        <v>6256</v>
      </c>
      <c r="R936" t="str">
        <f>"SALA 2"</f>
        <v>SALA 2</v>
      </c>
      <c r="S936" t="str">
        <f>"1259"</f>
        <v>1259</v>
      </c>
      <c r="T936" t="str">
        <f>"88107350"</f>
        <v>88107350</v>
      </c>
      <c r="U936" t="str">
        <f>"FORQUILHAS"</f>
        <v>FORQUILHAS</v>
      </c>
      <c r="V936" t="str">
        <f>"SÃO JOSÉ"</f>
        <v>SÃO JOSÉ</v>
      </c>
      <c r="W936" t="str">
        <f t="shared" si="463"/>
        <v>SC</v>
      </c>
      <c r="X936" t="str">
        <f t="shared" si="467"/>
        <v>48</v>
      </c>
      <c r="Y936" t="str">
        <f>"33570968"</f>
        <v>33570968</v>
      </c>
      <c r="Z936" t="str">
        <f>""</f>
        <v/>
      </c>
      <c r="AA936" t="str">
        <f>""</f>
        <v/>
      </c>
      <c r="AB936" t="str">
        <f>""</f>
        <v/>
      </c>
      <c r="AC936" t="str">
        <f>""</f>
        <v/>
      </c>
      <c r="AD936" t="str">
        <f>""</f>
        <v/>
      </c>
      <c r="AE936" t="str">
        <f>""</f>
        <v/>
      </c>
      <c r="AF936" t="str">
        <f>""</f>
        <v/>
      </c>
      <c r="AG936" t="str">
        <f>"S"</f>
        <v>S</v>
      </c>
      <c r="AH936" t="str">
        <f>""</f>
        <v/>
      </c>
      <c r="AI936" t="str">
        <f>""</f>
        <v/>
      </c>
      <c r="AJ936" t="str">
        <f t="shared" ref="AJ936:AL938" si="469">"0"</f>
        <v>0</v>
      </c>
      <c r="AK936" t="str">
        <f t="shared" si="469"/>
        <v>0</v>
      </c>
      <c r="AL936" t="str">
        <f t="shared" si="469"/>
        <v>0</v>
      </c>
      <c r="AM936" t="str">
        <f>""</f>
        <v/>
      </c>
      <c r="AN936" t="str">
        <f>""</f>
        <v/>
      </c>
      <c r="AO936" t="str">
        <f>""</f>
        <v/>
      </c>
      <c r="AP936" t="str">
        <f>""</f>
        <v/>
      </c>
      <c r="AQ936" t="str">
        <f t="shared" si="468"/>
        <v>N</v>
      </c>
      <c r="AR936" t="str">
        <f t="shared" si="468"/>
        <v>N</v>
      </c>
      <c r="AS936" t="str">
        <f t="shared" si="468"/>
        <v>N</v>
      </c>
      <c r="AT936" t="str">
        <f t="shared" si="468"/>
        <v>N</v>
      </c>
      <c r="AU936" t="str">
        <f t="shared" si="468"/>
        <v>N</v>
      </c>
      <c r="AV936" t="str">
        <f>""</f>
        <v/>
      </c>
      <c r="AW936" t="str">
        <f>""</f>
        <v/>
      </c>
      <c r="AX936" t="str">
        <f>""</f>
        <v/>
      </c>
      <c r="AY936" t="str">
        <f>""</f>
        <v/>
      </c>
      <c r="AZ936" t="str">
        <f>""</f>
        <v/>
      </c>
      <c r="BA936" t="str">
        <f>""</f>
        <v/>
      </c>
      <c r="BB936" t="str">
        <f>""</f>
        <v/>
      </c>
      <c r="BC936" t="str">
        <f>"01/09/2021 17:43:21"</f>
        <v>01/09/2021 17:43:21</v>
      </c>
      <c r="BD936" t="str">
        <f>""</f>
        <v/>
      </c>
      <c r="BE936" t="str">
        <f>""</f>
        <v/>
      </c>
      <c r="BF936" t="str">
        <f t="shared" si="455"/>
        <v>A</v>
      </c>
      <c r="BG936" t="str">
        <f>"0,00"</f>
        <v>0,00</v>
      </c>
      <c r="BH936" t="str">
        <f>"0,00"</f>
        <v>0,00</v>
      </c>
      <c r="BI936" t="str">
        <f t="shared" si="466"/>
        <v>EVENTUAL</v>
      </c>
      <c r="BJ936" t="str">
        <f t="shared" si="456"/>
        <v>1</v>
      </c>
      <c r="BK936" t="str">
        <f t="shared" si="457"/>
        <v>Farmacia</v>
      </c>
      <c r="BL936" t="str">
        <f>""</f>
        <v/>
      </c>
      <c r="BM936" t="str">
        <f>"NÃO É VARILUX ESPECIALISTA"</f>
        <v>NÃO É VARILUX ESPECIALISTA</v>
      </c>
      <c r="BN936" t="str">
        <f>"NA"</f>
        <v>NA</v>
      </c>
      <c r="BO936" t="str">
        <f>"OUTROS"</f>
        <v>OUTROS</v>
      </c>
      <c r="BP936" t="str">
        <f>""</f>
        <v/>
      </c>
      <c r="BQ936" t="str">
        <f>""</f>
        <v/>
      </c>
      <c r="BR936" t="str">
        <f>""</f>
        <v/>
      </c>
      <c r="BS936" t="str">
        <f>"01/09/2021"</f>
        <v>01/09/2021</v>
      </c>
      <c r="BT936" t="str">
        <f>""</f>
        <v/>
      </c>
      <c r="BU936" t="str">
        <f>""</f>
        <v/>
      </c>
      <c r="BV936" t="str">
        <f>"9"</f>
        <v>9</v>
      </c>
      <c r="BW936" t="str">
        <f>"473"</f>
        <v>473</v>
      </c>
    </row>
    <row r="937" spans="1:75" x14ac:dyDescent="0.35">
      <c r="A937">
        <v>134238</v>
      </c>
      <c r="B937" t="str">
        <f t="shared" si="451"/>
        <v>A</v>
      </c>
      <c r="C937" t="str">
        <f t="shared" si="452"/>
        <v>80</v>
      </c>
      <c r="D937" t="str">
        <f t="shared" si="446"/>
        <v>11121002</v>
      </c>
      <c r="E937" t="str">
        <f t="shared" si="447"/>
        <v>121002</v>
      </c>
      <c r="F937" t="str">
        <f t="shared" si="448"/>
        <v>CINTHIA NORONHA</v>
      </c>
      <c r="G937" t="str">
        <f>"14186954000145"</f>
        <v>14186954000145</v>
      </c>
      <c r="H937" t="str">
        <f>""</f>
        <v/>
      </c>
      <c r="I937" t="str">
        <f t="shared" si="453"/>
        <v>CONTA OPTICA</v>
      </c>
      <c r="J937" t="str">
        <f>"ORB COMERCIO VAREJISTA DE ARTIGOS OTICOS LTDA  EPP"</f>
        <v>ORB COMERCIO VAREJISTA DE ARTIGOS OTICOS LTDA  EPP</v>
      </c>
      <c r="K937" t="str">
        <f>"O.R.B. OTICA RIO BRANCO (1848)"</f>
        <v>O.R.B. OTICA RIO BRANCO (1848)</v>
      </c>
      <c r="L937" t="str">
        <f>""</f>
        <v/>
      </c>
      <c r="M937" t="str">
        <f>""</f>
        <v/>
      </c>
      <c r="N937" t="str">
        <f>"financeiro@oticariobranco.com.br"</f>
        <v>financeiro@oticariobranco.com.br</v>
      </c>
      <c r="O937" t="str">
        <f>""</f>
        <v/>
      </c>
      <c r="P937" t="str">
        <f>"AVENIDA RIO BRANCO"</f>
        <v>AVENIDA RIO BRANCO</v>
      </c>
      <c r="Q937" t="str">
        <f>"817"</f>
        <v>817</v>
      </c>
      <c r="R937" t="str">
        <f>"SL 801 BOX 23"</f>
        <v>SL 801 BOX 23</v>
      </c>
      <c r="S937" t="str">
        <f>"1255"</f>
        <v>1255</v>
      </c>
      <c r="T937" t="str">
        <f>"88015203"</f>
        <v>88015203</v>
      </c>
      <c r="U937" t="str">
        <f>"CENTRO"</f>
        <v>CENTRO</v>
      </c>
      <c r="V937" t="str">
        <f>"FLORIANOPOLIS"</f>
        <v>FLORIANOPOLIS</v>
      </c>
      <c r="W937" t="str">
        <f t="shared" si="463"/>
        <v>SC</v>
      </c>
      <c r="X937" t="str">
        <f t="shared" si="467"/>
        <v>48</v>
      </c>
      <c r="Y937" t="str">
        <f>"30283724"</f>
        <v>30283724</v>
      </c>
      <c r="Z937" t="str">
        <f>""</f>
        <v/>
      </c>
      <c r="AA937" t="str">
        <f>""</f>
        <v/>
      </c>
      <c r="AB937" t="str">
        <f>""</f>
        <v/>
      </c>
      <c r="AC937" t="str">
        <f>""</f>
        <v/>
      </c>
      <c r="AD937" t="str">
        <f>""</f>
        <v/>
      </c>
      <c r="AE937" t="str">
        <f>""</f>
        <v/>
      </c>
      <c r="AF937" t="str">
        <f>""</f>
        <v/>
      </c>
      <c r="AG937" t="str">
        <f>""</f>
        <v/>
      </c>
      <c r="AH937" t="str">
        <f>""</f>
        <v/>
      </c>
      <c r="AI937" t="str">
        <f>""</f>
        <v/>
      </c>
      <c r="AJ937" t="str">
        <f t="shared" si="469"/>
        <v>0</v>
      </c>
      <c r="AK937" t="str">
        <f t="shared" si="469"/>
        <v>0</v>
      </c>
      <c r="AL937" t="str">
        <f t="shared" si="469"/>
        <v>0</v>
      </c>
      <c r="AM937" t="str">
        <f>""</f>
        <v/>
      </c>
      <c r="AN937" t="str">
        <f>""</f>
        <v/>
      </c>
      <c r="AO937" t="str">
        <f>""</f>
        <v/>
      </c>
      <c r="AP937" t="str">
        <f>""</f>
        <v/>
      </c>
      <c r="AQ937" t="str">
        <f>""</f>
        <v/>
      </c>
      <c r="AR937" t="str">
        <f>""</f>
        <v/>
      </c>
      <c r="AS937" t="str">
        <f>""</f>
        <v/>
      </c>
      <c r="AT937" t="str">
        <f>""</f>
        <v/>
      </c>
      <c r="AU937" t="str">
        <f>""</f>
        <v/>
      </c>
      <c r="AV937" t="str">
        <f>""</f>
        <v/>
      </c>
      <c r="AW937" t="str">
        <f>""</f>
        <v/>
      </c>
      <c r="AX937" t="str">
        <f>""</f>
        <v/>
      </c>
      <c r="AY937" t="str">
        <f>""</f>
        <v/>
      </c>
      <c r="AZ937" t="str">
        <f>""</f>
        <v/>
      </c>
      <c r="BA937" t="str">
        <f>""</f>
        <v/>
      </c>
      <c r="BB937" t="str">
        <f>""</f>
        <v/>
      </c>
      <c r="BC937" t="str">
        <f>""</f>
        <v/>
      </c>
      <c r="BD937" t="str">
        <f>""</f>
        <v/>
      </c>
      <c r="BE937" t="str">
        <f>""</f>
        <v/>
      </c>
      <c r="BF937" t="str">
        <f t="shared" si="455"/>
        <v>A</v>
      </c>
      <c r="BG937" t="str">
        <f>"0,00"</f>
        <v>0,00</v>
      </c>
      <c r="BH937" t="str">
        <f>"0,00"</f>
        <v>0,00</v>
      </c>
      <c r="BI937" t="str">
        <f t="shared" si="466"/>
        <v>EVENTUAL</v>
      </c>
      <c r="BJ937" t="str">
        <f t="shared" si="456"/>
        <v>1</v>
      </c>
      <c r="BK937" t="str">
        <f t="shared" si="457"/>
        <v>Farmacia</v>
      </c>
      <c r="BL937" t="str">
        <f>""</f>
        <v/>
      </c>
      <c r="BM937" t="str">
        <f>"NÃO É VARILUX ESPECIALISTA"</f>
        <v>NÃO É VARILUX ESPECIALISTA</v>
      </c>
      <c r="BN937" t="str">
        <f>"NA"</f>
        <v>NA</v>
      </c>
      <c r="BO937" t="str">
        <f>"FOCO VARILUX DIGITAL"</f>
        <v>FOCO VARILUX DIGITAL</v>
      </c>
      <c r="BP937" t="str">
        <f>""</f>
        <v/>
      </c>
      <c r="BQ937" t="str">
        <f>""</f>
        <v/>
      </c>
      <c r="BR937" t="str">
        <f>""</f>
        <v/>
      </c>
      <c r="BS937" t="str">
        <f>""</f>
        <v/>
      </c>
      <c r="BT937" t="str">
        <f>""</f>
        <v/>
      </c>
      <c r="BU937" t="str">
        <f>""</f>
        <v/>
      </c>
      <c r="BV937" t="str">
        <f>"3"</f>
        <v>3</v>
      </c>
      <c r="BW937" t="str">
        <f>"900"</f>
        <v>900</v>
      </c>
    </row>
    <row r="938" spans="1:75" x14ac:dyDescent="0.35">
      <c r="A938">
        <v>144363</v>
      </c>
      <c r="B938" t="str">
        <f t="shared" si="451"/>
        <v>A</v>
      </c>
      <c r="C938" t="str">
        <f t="shared" si="452"/>
        <v>80</v>
      </c>
      <c r="D938" t="str">
        <f t="shared" si="446"/>
        <v>11121002</v>
      </c>
      <c r="E938" t="str">
        <f t="shared" si="447"/>
        <v>121002</v>
      </c>
      <c r="F938" t="str">
        <f t="shared" si="448"/>
        <v>CINTHIA NORONHA</v>
      </c>
      <c r="G938" t="str">
        <f>"77907988000100"</f>
        <v>77907988000100</v>
      </c>
      <c r="H938" t="str">
        <f>""</f>
        <v/>
      </c>
      <c r="I938" t="str">
        <f t="shared" si="453"/>
        <v>CONTA OPTICA</v>
      </c>
      <c r="J938" t="str">
        <f>"ORIENTE RELOJOARIA E OTICA LTDA ME"</f>
        <v>ORIENTE RELOJOARIA E OTICA LTDA ME</v>
      </c>
      <c r="K938" t="str">
        <f>"RELOJOARIA ORIENTE (263)"</f>
        <v>RELOJOARIA ORIENTE (263)</v>
      </c>
      <c r="L938" t="str">
        <f>""</f>
        <v/>
      </c>
      <c r="M938" t="str">
        <f>""</f>
        <v/>
      </c>
      <c r="N938" t="str">
        <f>"orientrelojoariaeotica@hotmail.com"</f>
        <v>orientrelojoariaeotica@hotmail.com</v>
      </c>
      <c r="O938" t="str">
        <f>""</f>
        <v/>
      </c>
      <c r="P938" t="str">
        <f>"AVENIDA MARCOLINO MARTINS CABRAL"</f>
        <v>AVENIDA MARCOLINO MARTINS CABRAL</v>
      </c>
      <c r="Q938" t="str">
        <f>"555"</f>
        <v>555</v>
      </c>
      <c r="R938" t="str">
        <f>""</f>
        <v/>
      </c>
      <c r="S938" t="str">
        <f>"1268"</f>
        <v>1268</v>
      </c>
      <c r="T938" t="str">
        <f>"88701001"</f>
        <v>88701001</v>
      </c>
      <c r="U938" t="str">
        <f>"CENTRO"</f>
        <v>CENTRO</v>
      </c>
      <c r="V938" t="str">
        <f>"TUBARÃO"</f>
        <v>TUBARÃO</v>
      </c>
      <c r="W938" t="str">
        <f t="shared" si="463"/>
        <v>SC</v>
      </c>
      <c r="X938" t="str">
        <f t="shared" si="467"/>
        <v>48</v>
      </c>
      <c r="Y938" t="str">
        <f>"36223825"</f>
        <v>36223825</v>
      </c>
      <c r="Z938" t="str">
        <f>""</f>
        <v/>
      </c>
      <c r="AA938" t="str">
        <f>""</f>
        <v/>
      </c>
      <c r="AB938" t="str">
        <f>""</f>
        <v/>
      </c>
      <c r="AC938" t="str">
        <f>""</f>
        <v/>
      </c>
      <c r="AD938" t="str">
        <f>""</f>
        <v/>
      </c>
      <c r="AE938" t="str">
        <f>""</f>
        <v/>
      </c>
      <c r="AF938" t="str">
        <f>""</f>
        <v/>
      </c>
      <c r="AG938" t="str">
        <f>""</f>
        <v/>
      </c>
      <c r="AH938" t="str">
        <f>""</f>
        <v/>
      </c>
      <c r="AI938" t="str">
        <f>""</f>
        <v/>
      </c>
      <c r="AJ938" t="str">
        <f t="shared" si="469"/>
        <v>0</v>
      </c>
      <c r="AK938" t="str">
        <f t="shared" si="469"/>
        <v>0</v>
      </c>
      <c r="AL938" t="str">
        <f t="shared" si="469"/>
        <v>0</v>
      </c>
      <c r="AM938" t="str">
        <f>""</f>
        <v/>
      </c>
      <c r="AN938" t="str">
        <f>""</f>
        <v/>
      </c>
      <c r="AO938" t="str">
        <f>""</f>
        <v/>
      </c>
      <c r="AP938" t="str">
        <f>""</f>
        <v/>
      </c>
      <c r="AQ938" t="str">
        <f>""</f>
        <v/>
      </c>
      <c r="AR938" t="str">
        <f>""</f>
        <v/>
      </c>
      <c r="AS938" t="str">
        <f>""</f>
        <v/>
      </c>
      <c r="AT938" t="str">
        <f>""</f>
        <v/>
      </c>
      <c r="AU938" t="str">
        <f>""</f>
        <v/>
      </c>
      <c r="AV938" t="str">
        <f>""</f>
        <v/>
      </c>
      <c r="AW938" t="str">
        <f>""</f>
        <v/>
      </c>
      <c r="AX938" t="str">
        <f>""</f>
        <v/>
      </c>
      <c r="AY938" t="str">
        <f>""</f>
        <v/>
      </c>
      <c r="AZ938" t="str">
        <f>""</f>
        <v/>
      </c>
      <c r="BA938" t="str">
        <f>""</f>
        <v/>
      </c>
      <c r="BB938" t="str">
        <f>""</f>
        <v/>
      </c>
      <c r="BC938" t="str">
        <f>""</f>
        <v/>
      </c>
      <c r="BD938" t="str">
        <f>""</f>
        <v/>
      </c>
      <c r="BE938" t="str">
        <f>""</f>
        <v/>
      </c>
      <c r="BF938" t="str">
        <f t="shared" si="455"/>
        <v>A</v>
      </c>
      <c r="BG938" t="str">
        <f>"0,00"</f>
        <v>0,00</v>
      </c>
      <c r="BH938" t="str">
        <f>"0,00"</f>
        <v>0,00</v>
      </c>
      <c r="BI938" t="str">
        <f t="shared" si="466"/>
        <v>EVENTUAL</v>
      </c>
      <c r="BJ938" t="str">
        <f t="shared" si="456"/>
        <v>1</v>
      </c>
      <c r="BK938" t="str">
        <f t="shared" si="457"/>
        <v>Farmacia</v>
      </c>
      <c r="BL938" t="str">
        <f>""</f>
        <v/>
      </c>
      <c r="BM938" t="str">
        <f>"VARILUX ESPECIALISTA SELECT"</f>
        <v>VARILUX ESPECIALISTA SELECT</v>
      </c>
      <c r="BN938" t="str">
        <f>"NA"</f>
        <v>NA</v>
      </c>
      <c r="BO938" t="str">
        <f>"FOCO VARILUX DIGITAL"</f>
        <v>FOCO VARILUX DIGITAL</v>
      </c>
      <c r="BP938" t="str">
        <f>""</f>
        <v/>
      </c>
      <c r="BQ938" t="str">
        <f>""</f>
        <v/>
      </c>
      <c r="BR938" t="str">
        <f>""</f>
        <v/>
      </c>
      <c r="BS938" t="str">
        <f>""</f>
        <v/>
      </c>
      <c r="BT938" t="str">
        <f>""</f>
        <v/>
      </c>
      <c r="BU938" t="str">
        <f>""</f>
        <v/>
      </c>
      <c r="BV938" t="str">
        <f>"5"</f>
        <v>5</v>
      </c>
      <c r="BW938" t="str">
        <f>"129"</f>
        <v>129</v>
      </c>
    </row>
    <row r="939" spans="1:75" x14ac:dyDescent="0.35">
      <c r="A939">
        <v>158704</v>
      </c>
      <c r="B939" t="str">
        <f t="shared" si="451"/>
        <v>A</v>
      </c>
      <c r="C939" t="str">
        <f t="shared" si="452"/>
        <v>80</v>
      </c>
      <c r="D939" t="str">
        <f t="shared" si="446"/>
        <v>11121002</v>
      </c>
      <c r="E939" t="str">
        <f t="shared" si="447"/>
        <v>121002</v>
      </c>
      <c r="F939" t="str">
        <f t="shared" si="448"/>
        <v>CINTHIA NORONHA</v>
      </c>
      <c r="G939" t="str">
        <f>"50909228000177"</f>
        <v>50909228000177</v>
      </c>
      <c r="H939" t="str">
        <f>""</f>
        <v/>
      </c>
      <c r="I939" t="str">
        <f t="shared" si="453"/>
        <v>CONTA OPTICA</v>
      </c>
      <c r="J939" t="str">
        <f>"OSHER OPTICA COMERCIO DE PRODUTOS LTDA"</f>
        <v>OSHER OPTICA COMERCIO DE PRODUTOS LTDA</v>
      </c>
      <c r="K939" t="str">
        <f>"OTICA OSHER (4736)"</f>
        <v>OTICA OSHER (4736)</v>
      </c>
      <c r="L939" t="str">
        <f>""</f>
        <v/>
      </c>
      <c r="M939" t="str">
        <f>""</f>
        <v/>
      </c>
      <c r="N939" t="str">
        <f>"FINANCEIRO@OTICAOSHER.COM.BR"</f>
        <v>FINANCEIRO@OTICAOSHER.COM.BR</v>
      </c>
      <c r="O939" t="str">
        <f>""</f>
        <v/>
      </c>
      <c r="P939" t="str">
        <f>"JOSE CARLOS DAUX"</f>
        <v>JOSE CARLOS DAUX</v>
      </c>
      <c r="Q939" t="str">
        <f>"5500"</f>
        <v>5500</v>
      </c>
      <c r="R939" t="str">
        <f>"B CAMPECHE C336"</f>
        <v>B CAMPECHE C336</v>
      </c>
      <c r="S939" t="str">
        <f>"1257"</f>
        <v>1257</v>
      </c>
      <c r="T939" t="str">
        <f>"88032005"</f>
        <v>88032005</v>
      </c>
      <c r="U939" t="str">
        <f>"SACO GRANDE"</f>
        <v>SACO GRANDE</v>
      </c>
      <c r="V939" t="str">
        <f>"FLORIANOPOLIS"</f>
        <v>FLORIANOPOLIS</v>
      </c>
      <c r="W939" t="str">
        <f t="shared" si="463"/>
        <v>SC</v>
      </c>
      <c r="X939" t="str">
        <f t="shared" si="467"/>
        <v>48</v>
      </c>
      <c r="Y939" t="str">
        <f>"996003230"</f>
        <v>996003230</v>
      </c>
      <c r="Z939" t="str">
        <f>""</f>
        <v/>
      </c>
      <c r="AA939" t="str">
        <f>""</f>
        <v/>
      </c>
      <c r="AB939" t="str">
        <f>""</f>
        <v/>
      </c>
      <c r="AC939" t="str">
        <f>""</f>
        <v/>
      </c>
      <c r="AD939" t="str">
        <f>""</f>
        <v/>
      </c>
      <c r="AE939" t="str">
        <f>""</f>
        <v/>
      </c>
      <c r="AF939" t="str">
        <f>""</f>
        <v/>
      </c>
      <c r="AG939" t="str">
        <f>""</f>
        <v/>
      </c>
      <c r="AH939" t="str">
        <f>""</f>
        <v/>
      </c>
      <c r="AI939" t="str">
        <f>""</f>
        <v/>
      </c>
      <c r="AJ939" t="str">
        <f>""</f>
        <v/>
      </c>
      <c r="AK939" t="str">
        <f>""</f>
        <v/>
      </c>
      <c r="AL939" t="str">
        <f>""</f>
        <v/>
      </c>
      <c r="AM939" t="str">
        <f>""</f>
        <v/>
      </c>
      <c r="AN939" t="str">
        <f>""</f>
        <v/>
      </c>
      <c r="AO939" t="str">
        <f>""</f>
        <v/>
      </c>
      <c r="AP939" t="str">
        <f>""</f>
        <v/>
      </c>
      <c r="AQ939" t="str">
        <f>""</f>
        <v/>
      </c>
      <c r="AR939" t="str">
        <f>""</f>
        <v/>
      </c>
      <c r="AS939" t="str">
        <f>""</f>
        <v/>
      </c>
      <c r="AT939" t="str">
        <f>""</f>
        <v/>
      </c>
      <c r="AU939" t="str">
        <f>""</f>
        <v/>
      </c>
      <c r="AV939" t="str">
        <f>""</f>
        <v/>
      </c>
      <c r="AW939" t="str">
        <f>""</f>
        <v/>
      </c>
      <c r="AX939" t="str">
        <f>""</f>
        <v/>
      </c>
      <c r="AY939" t="str">
        <f>""</f>
        <v/>
      </c>
      <c r="AZ939" t="str">
        <f>""</f>
        <v/>
      </c>
      <c r="BA939" t="str">
        <f>""</f>
        <v/>
      </c>
      <c r="BB939" t="str">
        <f>"17/08/2023 16:48:06"</f>
        <v>17/08/2023 16:48:06</v>
      </c>
      <c r="BC939" t="str">
        <f>""</f>
        <v/>
      </c>
      <c r="BD939" t="str">
        <f>""</f>
        <v/>
      </c>
      <c r="BE939" t="str">
        <f>""</f>
        <v/>
      </c>
      <c r="BF939" t="str">
        <f t="shared" si="455"/>
        <v>A</v>
      </c>
      <c r="BG939" t="str">
        <f>""</f>
        <v/>
      </c>
      <c r="BH939" t="str">
        <f>""</f>
        <v/>
      </c>
      <c r="BI939" t="str">
        <f t="shared" si="466"/>
        <v>EVENTUAL</v>
      </c>
      <c r="BJ939" t="str">
        <f t="shared" si="456"/>
        <v>1</v>
      </c>
      <c r="BK939" t="str">
        <f t="shared" si="457"/>
        <v>Farmacia</v>
      </c>
      <c r="BL939" t="str">
        <f>""</f>
        <v/>
      </c>
      <c r="BM939" t="str">
        <f>""</f>
        <v/>
      </c>
      <c r="BN939" t="str">
        <f>""</f>
        <v/>
      </c>
      <c r="BO939" t="str">
        <f>""</f>
        <v/>
      </c>
      <c r="BP939" t="str">
        <f>""</f>
        <v/>
      </c>
      <c r="BQ939" t="str">
        <f>""</f>
        <v/>
      </c>
      <c r="BR939" t="str">
        <f>"17/08/2023"</f>
        <v>17/08/2023</v>
      </c>
      <c r="BS939" t="str">
        <f>""</f>
        <v/>
      </c>
      <c r="BT939" t="str">
        <f>""</f>
        <v/>
      </c>
      <c r="BU939" t="str">
        <f>""</f>
        <v/>
      </c>
      <c r="BV939" t="str">
        <f>""</f>
        <v/>
      </c>
      <c r="BW939" t="str">
        <f>"Não visitado"</f>
        <v>Não visitado</v>
      </c>
    </row>
    <row r="940" spans="1:75" x14ac:dyDescent="0.35">
      <c r="A940">
        <v>157615</v>
      </c>
      <c r="B940" t="str">
        <f t="shared" si="451"/>
        <v>A</v>
      </c>
      <c r="C940" t="str">
        <f t="shared" si="452"/>
        <v>80</v>
      </c>
      <c r="D940" t="str">
        <f t="shared" si="446"/>
        <v>11121002</v>
      </c>
      <c r="E940" t="str">
        <f t="shared" si="447"/>
        <v>121002</v>
      </c>
      <c r="F940" t="str">
        <f t="shared" si="448"/>
        <v>CINTHIA NORONHA</v>
      </c>
      <c r="G940" t="str">
        <f>"28485963000222"</f>
        <v>28485963000222</v>
      </c>
      <c r="H940" t="str">
        <f>"0"</f>
        <v>0</v>
      </c>
      <c r="I940" t="str">
        <f t="shared" si="453"/>
        <v>CONTA OPTICA</v>
      </c>
      <c r="J940" t="str">
        <f>"OSMARFORTE OTICA EIRELI - EPP"</f>
        <v>OSMARFORTE OTICA EIRELI - EPP</v>
      </c>
      <c r="K940" t="str">
        <f>"OTICA DINIZ  (3855)"</f>
        <v>OTICA DINIZ  (3855)</v>
      </c>
      <c r="L940" t="str">
        <f>""</f>
        <v/>
      </c>
      <c r="M940" t="str">
        <f>""</f>
        <v/>
      </c>
      <c r="N940" t="str">
        <f>"AUXILIAR.CAIXA@OTICADINIZFLORIPA.COM.BR"</f>
        <v>AUXILIAR.CAIXA@OTICADINIZFLORIPA.COM.BR</v>
      </c>
      <c r="O940" t="str">
        <f>""</f>
        <v/>
      </c>
      <c r="P940" t="str">
        <f>"RUA FELIPE SCHMIDT"</f>
        <v>RUA FELIPE SCHMIDT</v>
      </c>
      <c r="Q940" t="str">
        <f>"447"</f>
        <v>447</v>
      </c>
      <c r="R940" t="str">
        <f>"LOJA 2"</f>
        <v>LOJA 2</v>
      </c>
      <c r="S940" t="str">
        <f>"1254"</f>
        <v>1254</v>
      </c>
      <c r="T940" t="str">
        <f>"88010001"</f>
        <v>88010001</v>
      </c>
      <c r="U940" t="str">
        <f>"CENTRO"</f>
        <v>CENTRO</v>
      </c>
      <c r="V940" t="str">
        <f>"FLORIANOPOLIS"</f>
        <v>FLORIANOPOLIS</v>
      </c>
      <c r="W940" t="str">
        <f t="shared" si="463"/>
        <v>SC</v>
      </c>
      <c r="X940" t="str">
        <f t="shared" si="467"/>
        <v>48</v>
      </c>
      <c r="Y940" t="str">
        <f>"30625109"</f>
        <v>30625109</v>
      </c>
      <c r="Z940" t="str">
        <f>""</f>
        <v/>
      </c>
      <c r="AA940" t="str">
        <f>""</f>
        <v/>
      </c>
      <c r="AB940" t="str">
        <f>""</f>
        <v/>
      </c>
      <c r="AC940" t="str">
        <f>""</f>
        <v/>
      </c>
      <c r="AD940" t="str">
        <f>""</f>
        <v/>
      </c>
      <c r="AE940" t="str">
        <f>""</f>
        <v/>
      </c>
      <c r="AF940" t="str">
        <f>""</f>
        <v/>
      </c>
      <c r="AG940" t="str">
        <f>""</f>
        <v/>
      </c>
      <c r="AH940" t="str">
        <f>""</f>
        <v/>
      </c>
      <c r="AI940" t="str">
        <f>""</f>
        <v/>
      </c>
      <c r="AJ940" t="str">
        <f>""</f>
        <v/>
      </c>
      <c r="AK940" t="str">
        <f>""</f>
        <v/>
      </c>
      <c r="AL940" t="str">
        <f>""</f>
        <v/>
      </c>
      <c r="AM940" t="str">
        <f>""</f>
        <v/>
      </c>
      <c r="AN940" t="str">
        <f>""</f>
        <v/>
      </c>
      <c r="AO940" t="str">
        <f>""</f>
        <v/>
      </c>
      <c r="AP940" t="str">
        <f>""</f>
        <v/>
      </c>
      <c r="AQ940" t="str">
        <f>""</f>
        <v/>
      </c>
      <c r="AR940" t="str">
        <f>""</f>
        <v/>
      </c>
      <c r="AS940" t="str">
        <f>""</f>
        <v/>
      </c>
      <c r="AT940" t="str">
        <f>""</f>
        <v/>
      </c>
      <c r="AU940" t="str">
        <f>""</f>
        <v/>
      </c>
      <c r="AV940" t="str">
        <f>""</f>
        <v/>
      </c>
      <c r="AW940" t="str">
        <f>""</f>
        <v/>
      </c>
      <c r="AX940" t="str">
        <f>""</f>
        <v/>
      </c>
      <c r="AY940" t="str">
        <f>""</f>
        <v/>
      </c>
      <c r="AZ940" t="str">
        <f>""</f>
        <v/>
      </c>
      <c r="BA940" t="str">
        <f>""</f>
        <v/>
      </c>
      <c r="BB940" t="str">
        <f>"11/07/2023 02:19:56"</f>
        <v>11/07/2023 02:19:56</v>
      </c>
      <c r="BC940" t="str">
        <f>""</f>
        <v/>
      </c>
      <c r="BD940" t="str">
        <f>""</f>
        <v/>
      </c>
      <c r="BE940" t="str">
        <f>""</f>
        <v/>
      </c>
      <c r="BF940" t="str">
        <f t="shared" si="455"/>
        <v>A</v>
      </c>
      <c r="BG940" t="str">
        <f>""</f>
        <v/>
      </c>
      <c r="BH940" t="str">
        <f>""</f>
        <v/>
      </c>
      <c r="BI940" t="str">
        <f t="shared" si="466"/>
        <v>EVENTUAL</v>
      </c>
      <c r="BJ940" t="str">
        <f t="shared" si="456"/>
        <v>1</v>
      </c>
      <c r="BK940" t="str">
        <f t="shared" si="457"/>
        <v>Farmacia</v>
      </c>
      <c r="BL940" t="str">
        <f>""</f>
        <v/>
      </c>
      <c r="BM940" t="str">
        <f>""</f>
        <v/>
      </c>
      <c r="BN940" t="str">
        <f>""</f>
        <v/>
      </c>
      <c r="BO940" t="str">
        <f>""</f>
        <v/>
      </c>
      <c r="BP940" t="str">
        <f>""</f>
        <v/>
      </c>
      <c r="BQ940" t="str">
        <f>""</f>
        <v/>
      </c>
      <c r="BR940" t="str">
        <f>"11/07/2023"</f>
        <v>11/07/2023</v>
      </c>
      <c r="BS940" t="str">
        <f>""</f>
        <v/>
      </c>
      <c r="BT940" t="str">
        <f>""</f>
        <v/>
      </c>
      <c r="BU940" t="str">
        <f>""</f>
        <v/>
      </c>
      <c r="BV940" t="str">
        <f>""</f>
        <v/>
      </c>
      <c r="BW940" t="str">
        <f>"Não visitado"</f>
        <v>Não visitado</v>
      </c>
    </row>
    <row r="941" spans="1:75" x14ac:dyDescent="0.35">
      <c r="A941">
        <v>134496</v>
      </c>
      <c r="B941" t="str">
        <f t="shared" si="451"/>
        <v>A</v>
      </c>
      <c r="C941" t="str">
        <f t="shared" si="452"/>
        <v>80</v>
      </c>
      <c r="D941" t="str">
        <f t="shared" si="446"/>
        <v>11121002</v>
      </c>
      <c r="E941" t="str">
        <f t="shared" si="447"/>
        <v>121002</v>
      </c>
      <c r="F941" t="str">
        <f t="shared" si="448"/>
        <v>CINTHIA NORONHA</v>
      </c>
      <c r="G941" t="str">
        <f>"28485963000141"</f>
        <v>28485963000141</v>
      </c>
      <c r="H941" t="str">
        <f>""</f>
        <v/>
      </c>
      <c r="I941" t="str">
        <f t="shared" si="453"/>
        <v>CONTA OPTICA</v>
      </c>
      <c r="J941" t="str">
        <f>"OSMARFORTE OTICA EIRELI - EPP"</f>
        <v>OSMARFORTE OTICA EIRELI - EPP</v>
      </c>
      <c r="K941" t="str">
        <f>"OTICA DINIZ (3856)"</f>
        <v>OTICA DINIZ (3856)</v>
      </c>
      <c r="L941" t="str">
        <f>""</f>
        <v/>
      </c>
      <c r="M941" t="str">
        <f>""</f>
        <v/>
      </c>
      <c r="N941" t="str">
        <f>"gerente.financeiro@oticadinizfloripa.com.br"</f>
        <v>gerente.financeiro@oticadinizfloripa.com.br</v>
      </c>
      <c r="O941" t="str">
        <f>""</f>
        <v/>
      </c>
      <c r="P941" t="str">
        <f>"RUA JOSE MARIA DA LUZ"</f>
        <v>RUA JOSE MARIA DA LUZ</v>
      </c>
      <c r="Q941" t="str">
        <f>"2827"</f>
        <v>2827</v>
      </c>
      <c r="R941" t="str">
        <f>"LOJA 01"</f>
        <v>LOJA 01</v>
      </c>
      <c r="S941" t="str">
        <f>"1259"</f>
        <v>1259</v>
      </c>
      <c r="T941" t="str">
        <f>"88131000"</f>
        <v>88131000</v>
      </c>
      <c r="U941" t="str">
        <f>"CENTRO"</f>
        <v>CENTRO</v>
      </c>
      <c r="V941" t="str">
        <f>"PALHOÇA"</f>
        <v>PALHOÇA</v>
      </c>
      <c r="W941" t="str">
        <f t="shared" si="463"/>
        <v>SC</v>
      </c>
      <c r="X941" t="str">
        <f t="shared" si="467"/>
        <v>48</v>
      </c>
      <c r="Y941" t="str">
        <f>"30625107"</f>
        <v>30625107</v>
      </c>
      <c r="Z941" t="str">
        <f>""</f>
        <v/>
      </c>
      <c r="AA941" t="str">
        <f>""</f>
        <v/>
      </c>
      <c r="AB941" t="str">
        <f>""</f>
        <v/>
      </c>
      <c r="AC941" t="str">
        <f>""</f>
        <v/>
      </c>
      <c r="AD941" t="str">
        <f>""</f>
        <v/>
      </c>
      <c r="AE941" t="str">
        <f>""</f>
        <v/>
      </c>
      <c r="AF941" t="str">
        <f>""</f>
        <v/>
      </c>
      <c r="AG941" t="str">
        <f>"S"</f>
        <v>S</v>
      </c>
      <c r="AH941" t="str">
        <f>""</f>
        <v/>
      </c>
      <c r="AI941" t="str">
        <f>""</f>
        <v/>
      </c>
      <c r="AJ941" t="str">
        <f>""</f>
        <v/>
      </c>
      <c r="AK941" t="str">
        <f>""</f>
        <v/>
      </c>
      <c r="AL941" t="str">
        <f>""</f>
        <v/>
      </c>
      <c r="AM941" t="str">
        <f>""</f>
        <v/>
      </c>
      <c r="AN941" t="str">
        <f>""</f>
        <v/>
      </c>
      <c r="AO941" t="str">
        <f>""</f>
        <v/>
      </c>
      <c r="AP941" t="str">
        <f>""</f>
        <v/>
      </c>
      <c r="AQ941" t="str">
        <f>"N"</f>
        <v>N</v>
      </c>
      <c r="AR941" t="str">
        <f>"N"</f>
        <v>N</v>
      </c>
      <c r="AS941" t="str">
        <f>"N"</f>
        <v>N</v>
      </c>
      <c r="AT941" t="str">
        <f>"N"</f>
        <v>N</v>
      </c>
      <c r="AU941" t="str">
        <f>"N"</f>
        <v>N</v>
      </c>
      <c r="AV941" t="str">
        <f>""</f>
        <v/>
      </c>
      <c r="AW941" t="str">
        <f>""</f>
        <v/>
      </c>
      <c r="AX941" t="str">
        <f>""</f>
        <v/>
      </c>
      <c r="AY941" t="str">
        <f>""</f>
        <v/>
      </c>
      <c r="AZ941" t="str">
        <f>""</f>
        <v/>
      </c>
      <c r="BA941" t="str">
        <f>""</f>
        <v/>
      </c>
      <c r="BB941" t="str">
        <f>""</f>
        <v/>
      </c>
      <c r="BC941" t="str">
        <f>"08/11/2021 10:53:05"</f>
        <v>08/11/2021 10:53:05</v>
      </c>
      <c r="BD941" t="str">
        <f>""</f>
        <v/>
      </c>
      <c r="BE941" t="str">
        <f>""</f>
        <v/>
      </c>
      <c r="BF941" t="str">
        <f t="shared" si="455"/>
        <v>A</v>
      </c>
      <c r="BG941" t="str">
        <f>""</f>
        <v/>
      </c>
      <c r="BH941" t="str">
        <f>"0,00"</f>
        <v>0,00</v>
      </c>
      <c r="BI941" t="str">
        <f t="shared" si="466"/>
        <v>EVENTUAL</v>
      </c>
      <c r="BJ941" t="str">
        <f t="shared" si="456"/>
        <v>1</v>
      </c>
      <c r="BK941" t="str">
        <f t="shared" si="457"/>
        <v>Farmacia</v>
      </c>
      <c r="BL941" t="str">
        <f>""</f>
        <v/>
      </c>
      <c r="BM941" t="str">
        <f>"NÃO É VARILUX ESPECIALISTA"</f>
        <v>NÃO É VARILUX ESPECIALISTA</v>
      </c>
      <c r="BN941" t="str">
        <f>"NA"</f>
        <v>NA</v>
      </c>
      <c r="BO941" t="str">
        <f>"FOCO KODAK 2"</f>
        <v>FOCO KODAK 2</v>
      </c>
      <c r="BP941" t="str">
        <f>""</f>
        <v/>
      </c>
      <c r="BQ941" t="str">
        <f>""</f>
        <v/>
      </c>
      <c r="BR941" t="str">
        <f>""</f>
        <v/>
      </c>
      <c r="BS941" t="str">
        <f>"08/11/2021"</f>
        <v>08/11/2021</v>
      </c>
      <c r="BT941" t="str">
        <f>""</f>
        <v/>
      </c>
      <c r="BU941" t="str">
        <f>""</f>
        <v/>
      </c>
      <c r="BV941" t="str">
        <f>"4"</f>
        <v>4</v>
      </c>
      <c r="BW941" t="str">
        <f>"74"</f>
        <v>74</v>
      </c>
    </row>
    <row r="942" spans="1:75" x14ac:dyDescent="0.35">
      <c r="A942">
        <v>127480</v>
      </c>
      <c r="B942" t="str">
        <f t="shared" si="451"/>
        <v>A</v>
      </c>
      <c r="C942" t="str">
        <f t="shared" si="452"/>
        <v>80</v>
      </c>
      <c r="D942" t="str">
        <f t="shared" si="446"/>
        <v>11121002</v>
      </c>
      <c r="E942" t="str">
        <f t="shared" si="447"/>
        <v>121002</v>
      </c>
      <c r="F942" t="str">
        <f t="shared" si="448"/>
        <v>CINTHIA NORONHA</v>
      </c>
      <c r="G942" t="str">
        <f>"01292214000141"</f>
        <v>01292214000141</v>
      </c>
      <c r="H942" t="str">
        <f>"0"</f>
        <v>0</v>
      </c>
      <c r="I942" t="str">
        <f t="shared" si="453"/>
        <v>CONTA OPTICA</v>
      </c>
      <c r="J942" t="str">
        <f>"OSNI ROGERIO DOS SANTOS"</f>
        <v>OSNI ROGERIO DOS SANTOS</v>
      </c>
      <c r="K942" t="str">
        <f>"RELOJOARIA THAYSE (3356)"</f>
        <v>RELOJOARIA THAYSE (3356)</v>
      </c>
      <c r="L942" t="str">
        <f>""</f>
        <v/>
      </c>
      <c r="M942" t="str">
        <f>""</f>
        <v/>
      </c>
      <c r="N942" t="str">
        <f>"thayserelojoaria@yahoo.com.br"</f>
        <v>thayserelojoaria@yahoo.com.br</v>
      </c>
      <c r="O942" t="str">
        <f>""</f>
        <v/>
      </c>
      <c r="P942" t="str">
        <f>"RUA JOSE MARIA DA LUZ"</f>
        <v>RUA JOSE MARIA DA LUZ</v>
      </c>
      <c r="Q942" t="str">
        <f>"2747"</f>
        <v>2747</v>
      </c>
      <c r="R942" t="str">
        <f>"SALA 02"</f>
        <v>SALA 02</v>
      </c>
      <c r="S942" t="str">
        <f>"1259"</f>
        <v>1259</v>
      </c>
      <c r="T942" t="str">
        <f>"88131000"</f>
        <v>88131000</v>
      </c>
      <c r="U942" t="str">
        <f>"CENTRO"</f>
        <v>CENTRO</v>
      </c>
      <c r="V942" t="str">
        <f>"PALHOÇA"</f>
        <v>PALHOÇA</v>
      </c>
      <c r="W942" t="str">
        <f t="shared" si="463"/>
        <v>SC</v>
      </c>
      <c r="X942" t="str">
        <f t="shared" si="467"/>
        <v>48</v>
      </c>
      <c r="Y942" t="str">
        <f>"32422160"</f>
        <v>32422160</v>
      </c>
      <c r="Z942" t="str">
        <f>""</f>
        <v/>
      </c>
      <c r="AA942" t="str">
        <f>""</f>
        <v/>
      </c>
      <c r="AB942" t="str">
        <f>""</f>
        <v/>
      </c>
      <c r="AC942" t="str">
        <f>""</f>
        <v/>
      </c>
      <c r="AD942" t="str">
        <f>""</f>
        <v/>
      </c>
      <c r="AE942" t="str">
        <f>""</f>
        <v/>
      </c>
      <c r="AF942" t="str">
        <f>""</f>
        <v/>
      </c>
      <c r="AG942" t="str">
        <f>""</f>
        <v/>
      </c>
      <c r="AH942" t="str">
        <f>""</f>
        <v/>
      </c>
      <c r="AI942" t="str">
        <f>""</f>
        <v/>
      </c>
      <c r="AJ942" t="str">
        <f t="shared" ref="AJ942:AL943" si="470">"0"</f>
        <v>0</v>
      </c>
      <c r="AK942" t="str">
        <f t="shared" si="470"/>
        <v>0</v>
      </c>
      <c r="AL942" t="str">
        <f t="shared" si="470"/>
        <v>0</v>
      </c>
      <c r="AM942" t="str">
        <f>""</f>
        <v/>
      </c>
      <c r="AN942" t="str">
        <f>""</f>
        <v/>
      </c>
      <c r="AO942" t="str">
        <f>""</f>
        <v/>
      </c>
      <c r="AP942" t="str">
        <f>""</f>
        <v/>
      </c>
      <c r="AQ942" t="str">
        <f>""</f>
        <v/>
      </c>
      <c r="AR942" t="str">
        <f>""</f>
        <v/>
      </c>
      <c r="AS942" t="str">
        <f>""</f>
        <v/>
      </c>
      <c r="AT942" t="str">
        <f>""</f>
        <v/>
      </c>
      <c r="AU942" t="str">
        <f>""</f>
        <v/>
      </c>
      <c r="AV942" t="str">
        <f>""</f>
        <v/>
      </c>
      <c r="AW942" t="str">
        <f>""</f>
        <v/>
      </c>
      <c r="AX942" t="str">
        <f>""</f>
        <v/>
      </c>
      <c r="AY942" t="str">
        <f>""</f>
        <v/>
      </c>
      <c r="AZ942" t="str">
        <f>""</f>
        <v/>
      </c>
      <c r="BA942" t="str">
        <f>""</f>
        <v/>
      </c>
      <c r="BB942" t="str">
        <f>"07/10/2020 09:08:38"</f>
        <v>07/10/2020 09:08:38</v>
      </c>
      <c r="BC942" t="str">
        <f>""</f>
        <v/>
      </c>
      <c r="BD942" t="str">
        <f>""</f>
        <v/>
      </c>
      <c r="BE942" t="str">
        <f>""</f>
        <v/>
      </c>
      <c r="BF942" t="str">
        <f t="shared" si="455"/>
        <v>A</v>
      </c>
      <c r="BG942" t="str">
        <f>"0,00"</f>
        <v>0,00</v>
      </c>
      <c r="BH942" t="str">
        <f>"0,00"</f>
        <v>0,00</v>
      </c>
      <c r="BI942" t="str">
        <f t="shared" si="466"/>
        <v>EVENTUAL</v>
      </c>
      <c r="BJ942" t="str">
        <f t="shared" si="456"/>
        <v>1</v>
      </c>
      <c r="BK942" t="str">
        <f t="shared" si="457"/>
        <v>Farmacia</v>
      </c>
      <c r="BL942" t="str">
        <f>""</f>
        <v/>
      </c>
      <c r="BM942" t="str">
        <f>"NÃO É VARILUX ESPECIALISTA"</f>
        <v>NÃO É VARILUX ESPECIALISTA</v>
      </c>
      <c r="BN942" t="str">
        <f>"NA"</f>
        <v>NA</v>
      </c>
      <c r="BO942" t="str">
        <f>"OUTROS"</f>
        <v>OUTROS</v>
      </c>
      <c r="BP942" t="str">
        <f>""</f>
        <v/>
      </c>
      <c r="BQ942" t="str">
        <f>""</f>
        <v/>
      </c>
      <c r="BR942" t="str">
        <f>"07/10/2020"</f>
        <v>07/10/2020</v>
      </c>
      <c r="BS942" t="str">
        <f>""</f>
        <v/>
      </c>
      <c r="BT942" t="str">
        <f>""</f>
        <v/>
      </c>
      <c r="BU942" t="str">
        <f>""</f>
        <v/>
      </c>
      <c r="BV942" t="str">
        <f>"9"</f>
        <v>9</v>
      </c>
      <c r="BW942" t="str">
        <f>"Não visitado"</f>
        <v>Não visitado</v>
      </c>
    </row>
    <row r="943" spans="1:75" x14ac:dyDescent="0.35">
      <c r="A943">
        <v>134257</v>
      </c>
      <c r="B943" t="str">
        <f t="shared" si="451"/>
        <v>A</v>
      </c>
      <c r="C943" t="str">
        <f t="shared" si="452"/>
        <v>80</v>
      </c>
      <c r="D943" t="str">
        <f t="shared" si="446"/>
        <v>11121002</v>
      </c>
      <c r="E943" t="str">
        <f t="shared" si="447"/>
        <v>121002</v>
      </c>
      <c r="F943" t="str">
        <f t="shared" si="448"/>
        <v>CINTHIA NORONHA</v>
      </c>
      <c r="G943" t="str">
        <f>"21394890000133"</f>
        <v>21394890000133</v>
      </c>
      <c r="H943" t="str">
        <f>""</f>
        <v/>
      </c>
      <c r="I943" t="str">
        <f t="shared" si="453"/>
        <v>CONTA OPTICA</v>
      </c>
      <c r="J943" t="str">
        <f>"OTICA A G D LTDA ME"</f>
        <v>OTICA A G D LTDA ME</v>
      </c>
      <c r="K943" t="str">
        <f>"OTICA IPIRANGA (2181)"</f>
        <v>OTICA IPIRANGA (2181)</v>
      </c>
      <c r="L943" t="str">
        <f>""</f>
        <v/>
      </c>
      <c r="M943" t="str">
        <f>""</f>
        <v/>
      </c>
      <c r="N943" t="str">
        <f>"oticaipirangaa@gmail.com"</f>
        <v>oticaipirangaa@gmail.com</v>
      </c>
      <c r="O943" t="str">
        <f>""</f>
        <v/>
      </c>
      <c r="P943" t="str">
        <f>"RUA OTTO JULIO MALINA"</f>
        <v>RUA OTTO JULIO MALINA</v>
      </c>
      <c r="Q943" t="str">
        <f>"685"</f>
        <v>685</v>
      </c>
      <c r="R943" t="str">
        <f>"SALA 03"</f>
        <v>SALA 03</v>
      </c>
      <c r="S943" t="str">
        <f>"1259"</f>
        <v>1259</v>
      </c>
      <c r="T943" t="str">
        <f>"88111500"</f>
        <v>88111500</v>
      </c>
      <c r="U943" t="str">
        <f>"IPIRANGA"</f>
        <v>IPIRANGA</v>
      </c>
      <c r="V943" t="str">
        <f>"SÃO JOSÉ"</f>
        <v>SÃO JOSÉ</v>
      </c>
      <c r="W943" t="str">
        <f t="shared" si="463"/>
        <v>SC</v>
      </c>
      <c r="X943" t="str">
        <f t="shared" si="467"/>
        <v>48</v>
      </c>
      <c r="Y943" t="str">
        <f>"30353312"</f>
        <v>30353312</v>
      </c>
      <c r="Z943" t="str">
        <f>""</f>
        <v/>
      </c>
      <c r="AA943" t="str">
        <f>""</f>
        <v/>
      </c>
      <c r="AB943" t="str">
        <f>""</f>
        <v/>
      </c>
      <c r="AC943" t="str">
        <f>""</f>
        <v/>
      </c>
      <c r="AD943" t="str">
        <f>""</f>
        <v/>
      </c>
      <c r="AE943" t="str">
        <f>""</f>
        <v/>
      </c>
      <c r="AF943" t="str">
        <f>""</f>
        <v/>
      </c>
      <c r="AG943" t="str">
        <f>"S"</f>
        <v>S</v>
      </c>
      <c r="AH943" t="str">
        <f>""</f>
        <v/>
      </c>
      <c r="AI943" t="str">
        <f>""</f>
        <v/>
      </c>
      <c r="AJ943" t="str">
        <f t="shared" si="470"/>
        <v>0</v>
      </c>
      <c r="AK943" t="str">
        <f t="shared" si="470"/>
        <v>0</v>
      </c>
      <c r="AL943" t="str">
        <f t="shared" si="470"/>
        <v>0</v>
      </c>
      <c r="AM943" t="str">
        <f>""</f>
        <v/>
      </c>
      <c r="AN943" t="str">
        <f>""</f>
        <v/>
      </c>
      <c r="AO943" t="str">
        <f>""</f>
        <v/>
      </c>
      <c r="AP943" t="str">
        <f>""</f>
        <v/>
      </c>
      <c r="AQ943" t="str">
        <f>"N"</f>
        <v>N</v>
      </c>
      <c r="AR943" t="str">
        <f>"N"</f>
        <v>N</v>
      </c>
      <c r="AS943" t="str">
        <f>"N"</f>
        <v>N</v>
      </c>
      <c r="AT943" t="str">
        <f>"N"</f>
        <v>N</v>
      </c>
      <c r="AU943" t="str">
        <f>"N"</f>
        <v>N</v>
      </c>
      <c r="AV943" t="str">
        <f>""</f>
        <v/>
      </c>
      <c r="AW943" t="str">
        <f>""</f>
        <v/>
      </c>
      <c r="AX943" t="str">
        <f>""</f>
        <v/>
      </c>
      <c r="AY943" t="str">
        <f>""</f>
        <v/>
      </c>
      <c r="AZ943" t="str">
        <f>""</f>
        <v/>
      </c>
      <c r="BA943" t="str">
        <f>""</f>
        <v/>
      </c>
      <c r="BB943" t="str">
        <f>""</f>
        <v/>
      </c>
      <c r="BC943" t="str">
        <f>"13/04/2022 10:28:51"</f>
        <v>13/04/2022 10:28:51</v>
      </c>
      <c r="BD943" t="str">
        <f>""</f>
        <v/>
      </c>
      <c r="BE943" t="str">
        <f>""</f>
        <v/>
      </c>
      <c r="BF943" t="str">
        <f t="shared" si="455"/>
        <v>A</v>
      </c>
      <c r="BG943" t="str">
        <f>"0,00"</f>
        <v>0,00</v>
      </c>
      <c r="BH943" t="str">
        <f>"0,00"</f>
        <v>0,00</v>
      </c>
      <c r="BI943" t="str">
        <f t="shared" si="466"/>
        <v>EVENTUAL</v>
      </c>
      <c r="BJ943" t="str">
        <f t="shared" si="456"/>
        <v>1</v>
      </c>
      <c r="BK943" t="str">
        <f t="shared" si="457"/>
        <v>Farmacia</v>
      </c>
      <c r="BL943" t="str">
        <f>""</f>
        <v/>
      </c>
      <c r="BM943" t="str">
        <f>"NÃO É VARILUX ESPECIALISTA"</f>
        <v>NÃO É VARILUX ESPECIALISTA</v>
      </c>
      <c r="BN943" t="str">
        <f>"NA"</f>
        <v>NA</v>
      </c>
      <c r="BO943" t="str">
        <f>"OUTROS"</f>
        <v>OUTROS</v>
      </c>
      <c r="BP943" t="str">
        <f>""</f>
        <v/>
      </c>
      <c r="BQ943" t="str">
        <f>""</f>
        <v/>
      </c>
      <c r="BR943" t="str">
        <f>""</f>
        <v/>
      </c>
      <c r="BS943" t="str">
        <f>"13/04/2022"</f>
        <v>13/04/2022</v>
      </c>
      <c r="BT943" t="str">
        <f>""</f>
        <v/>
      </c>
      <c r="BU943" t="str">
        <f>""</f>
        <v/>
      </c>
      <c r="BV943" t="str">
        <f>"9"</f>
        <v>9</v>
      </c>
      <c r="BW943" t="str">
        <f>"2"</f>
        <v>2</v>
      </c>
    </row>
    <row r="944" spans="1:75" x14ac:dyDescent="0.35">
      <c r="A944">
        <v>157592</v>
      </c>
      <c r="B944" t="str">
        <f t="shared" si="451"/>
        <v>A</v>
      </c>
      <c r="C944" t="str">
        <f t="shared" si="452"/>
        <v>80</v>
      </c>
      <c r="D944" t="str">
        <f t="shared" si="446"/>
        <v>11121002</v>
      </c>
      <c r="E944" t="str">
        <f t="shared" si="447"/>
        <v>121002</v>
      </c>
      <c r="F944" t="str">
        <f t="shared" si="448"/>
        <v>CINTHIA NORONHA</v>
      </c>
      <c r="G944" t="str">
        <f>"04875676000180"</f>
        <v>04875676000180</v>
      </c>
      <c r="H944" t="str">
        <f>"0"</f>
        <v>0</v>
      </c>
      <c r="I944" t="str">
        <f t="shared" si="453"/>
        <v>CONTA OPTICA</v>
      </c>
      <c r="J944" t="str">
        <f>"OTICA ABEL LTDA"</f>
        <v>OTICA ABEL LTDA</v>
      </c>
      <c r="K944" t="str">
        <f>"OTICA ABEL (140)"</f>
        <v>OTICA ABEL (140)</v>
      </c>
      <c r="L944" t="str">
        <f>""</f>
        <v/>
      </c>
      <c r="M944" t="str">
        <f>""</f>
        <v/>
      </c>
      <c r="N944" t="str">
        <f>"OTICAABEL@GMAIL.COM"</f>
        <v>OTICAABEL@GMAIL.COM</v>
      </c>
      <c r="O944" t="str">
        <f>""</f>
        <v/>
      </c>
      <c r="P944" t="str">
        <f>"JOSE BONIFÁCIO"</f>
        <v>JOSE BONIFÁCIO</v>
      </c>
      <c r="Q944" t="str">
        <f>"419"</f>
        <v>419</v>
      </c>
      <c r="R944" t="str">
        <f>"SALA 3"</f>
        <v>SALA 3</v>
      </c>
      <c r="S944" t="str">
        <f>"1336"</f>
        <v>1336</v>
      </c>
      <c r="T944" t="str">
        <f>"95560000"</f>
        <v>95560000</v>
      </c>
      <c r="U944" t="str">
        <f>"CENTRO"</f>
        <v>CENTRO</v>
      </c>
      <c r="V944" t="str">
        <f>"TORRES"</f>
        <v>TORRES</v>
      </c>
      <c r="W944" t="str">
        <f>"RS"</f>
        <v>RS</v>
      </c>
      <c r="X944" t="str">
        <f>"51"</f>
        <v>51</v>
      </c>
      <c r="Y944" t="str">
        <f>"36263296"</f>
        <v>36263296</v>
      </c>
      <c r="Z944" t="str">
        <f>""</f>
        <v/>
      </c>
      <c r="AA944" t="str">
        <f>""</f>
        <v/>
      </c>
      <c r="AB944" t="str">
        <f>""</f>
        <v/>
      </c>
      <c r="AC944" t="str">
        <f>""</f>
        <v/>
      </c>
      <c r="AD944" t="str">
        <f>""</f>
        <v/>
      </c>
      <c r="AE944" t="str">
        <f>""</f>
        <v/>
      </c>
      <c r="AF944" t="str">
        <f>""</f>
        <v/>
      </c>
      <c r="AG944" t="str">
        <f>""</f>
        <v/>
      </c>
      <c r="AH944" t="str">
        <f>""</f>
        <v/>
      </c>
      <c r="AI944" t="str">
        <f>""</f>
        <v/>
      </c>
      <c r="AJ944" t="str">
        <f>""</f>
        <v/>
      </c>
      <c r="AK944" t="str">
        <f>""</f>
        <v/>
      </c>
      <c r="AL944" t="str">
        <f>""</f>
        <v/>
      </c>
      <c r="AM944" t="str">
        <f>""</f>
        <v/>
      </c>
      <c r="AN944" t="str">
        <f>""</f>
        <v/>
      </c>
      <c r="AO944" t="str">
        <f>""</f>
        <v/>
      </c>
      <c r="AP944" t="str">
        <f>""</f>
        <v/>
      </c>
      <c r="AQ944" t="str">
        <f>""</f>
        <v/>
      </c>
      <c r="AR944" t="str">
        <f>""</f>
        <v/>
      </c>
      <c r="AS944" t="str">
        <f>""</f>
        <v/>
      </c>
      <c r="AT944" t="str">
        <f>""</f>
        <v/>
      </c>
      <c r="AU944" t="str">
        <f>""</f>
        <v/>
      </c>
      <c r="AV944" t="str">
        <f>""</f>
        <v/>
      </c>
      <c r="AW944" t="str">
        <f>""</f>
        <v/>
      </c>
      <c r="AX944" t="str">
        <f>""</f>
        <v/>
      </c>
      <c r="AY944" t="str">
        <f>""</f>
        <v/>
      </c>
      <c r="AZ944" t="str">
        <f>""</f>
        <v/>
      </c>
      <c r="BA944" t="str">
        <f>""</f>
        <v/>
      </c>
      <c r="BB944" t="str">
        <f>"11/07/2023 02:19:56"</f>
        <v>11/07/2023 02:19:56</v>
      </c>
      <c r="BC944" t="str">
        <f>""</f>
        <v/>
      </c>
      <c r="BD944" t="str">
        <f>""</f>
        <v/>
      </c>
      <c r="BE944" t="str">
        <f>""</f>
        <v/>
      </c>
      <c r="BF944" t="str">
        <f t="shared" si="455"/>
        <v>A</v>
      </c>
      <c r="BG944" t="str">
        <f>""</f>
        <v/>
      </c>
      <c r="BH944" t="str">
        <f>""</f>
        <v/>
      </c>
      <c r="BI944" t="str">
        <f t="shared" si="466"/>
        <v>EVENTUAL</v>
      </c>
      <c r="BJ944" t="str">
        <f t="shared" si="456"/>
        <v>1</v>
      </c>
      <c r="BK944" t="str">
        <f t="shared" si="457"/>
        <v>Farmacia</v>
      </c>
      <c r="BL944" t="str">
        <f>""</f>
        <v/>
      </c>
      <c r="BM944" t="str">
        <f>""</f>
        <v/>
      </c>
      <c r="BN944" t="str">
        <f>""</f>
        <v/>
      </c>
      <c r="BO944" t="str">
        <f>""</f>
        <v/>
      </c>
      <c r="BP944" t="str">
        <f>""</f>
        <v/>
      </c>
      <c r="BQ944" t="str">
        <f>""</f>
        <v/>
      </c>
      <c r="BR944" t="str">
        <f>"11/07/2023"</f>
        <v>11/07/2023</v>
      </c>
      <c r="BS944" t="str">
        <f>""</f>
        <v/>
      </c>
      <c r="BT944" t="str">
        <f>""</f>
        <v/>
      </c>
      <c r="BU944" t="str">
        <f>""</f>
        <v/>
      </c>
      <c r="BV944" t="str">
        <f>""</f>
        <v/>
      </c>
      <c r="BW944" t="str">
        <f>"Não visitado"</f>
        <v>Não visitado</v>
      </c>
    </row>
    <row r="945" spans="1:75" x14ac:dyDescent="0.35">
      <c r="A945">
        <v>152746</v>
      </c>
      <c r="B945" t="str">
        <f t="shared" si="451"/>
        <v>A</v>
      </c>
      <c r="C945" t="str">
        <f t="shared" si="452"/>
        <v>80</v>
      </c>
      <c r="D945" t="str">
        <f t="shared" si="446"/>
        <v>11121002</v>
      </c>
      <c r="E945" t="str">
        <f t="shared" si="447"/>
        <v>121002</v>
      </c>
      <c r="F945" t="str">
        <f t="shared" si="448"/>
        <v>CINTHIA NORONHA</v>
      </c>
      <c r="G945" t="str">
        <f>"46348913000102"</f>
        <v>46348913000102</v>
      </c>
      <c r="H945" t="str">
        <f>"0"</f>
        <v>0</v>
      </c>
      <c r="I945" t="str">
        <f t="shared" si="453"/>
        <v>CONTA OPTICA</v>
      </c>
      <c r="J945" t="str">
        <f>"OTICA AHOW LTDA"</f>
        <v>OTICA AHOW LTDA</v>
      </c>
      <c r="K945" t="str">
        <f>"OTICA AHOW"</f>
        <v>OTICA AHOW</v>
      </c>
      <c r="L945" t="str">
        <f>""</f>
        <v/>
      </c>
      <c r="M945" t="str">
        <f>""</f>
        <v/>
      </c>
      <c r="N945" t="str">
        <f>"chicohortaneto@gmail.com"</f>
        <v>chicohortaneto@gmail.com</v>
      </c>
      <c r="O945" t="str">
        <f>""</f>
        <v/>
      </c>
      <c r="P945" t="str">
        <f>"RUA RUA FELIPE SCHMIDT 249"</f>
        <v>RUA RUA FELIPE SCHMIDT 249</v>
      </c>
      <c r="Q945" t="str">
        <f>"249"</f>
        <v>249</v>
      </c>
      <c r="R945" t="str">
        <f>"LOJA 115"</f>
        <v>LOJA 115</v>
      </c>
      <c r="S945" t="str">
        <f>"1254"</f>
        <v>1254</v>
      </c>
      <c r="T945" t="str">
        <f>"88010902"</f>
        <v>88010902</v>
      </c>
      <c r="U945" t="str">
        <f>"CENTRO"</f>
        <v>CENTRO</v>
      </c>
      <c r="V945" t="str">
        <f>"FLORIANOPOLIS"</f>
        <v>FLORIANOPOLIS</v>
      </c>
      <c r="W945" t="str">
        <f t="shared" ref="W945:W965" si="471">"SC"</f>
        <v>SC</v>
      </c>
      <c r="X945" t="str">
        <f>""</f>
        <v/>
      </c>
      <c r="Y945" t="str">
        <f>""</f>
        <v/>
      </c>
      <c r="Z945" t="str">
        <f>""</f>
        <v/>
      </c>
      <c r="AA945" t="str">
        <f>""</f>
        <v/>
      </c>
      <c r="AB945" t="str">
        <f>""</f>
        <v/>
      </c>
      <c r="AC945" t="str">
        <f>""</f>
        <v/>
      </c>
      <c r="AD945" t="str">
        <f>""</f>
        <v/>
      </c>
      <c r="AE945" t="str">
        <f>""</f>
        <v/>
      </c>
      <c r="AF945" t="str">
        <f>""</f>
        <v/>
      </c>
      <c r="AG945" t="str">
        <f>""</f>
        <v/>
      </c>
      <c r="AH945" t="str">
        <f>""</f>
        <v/>
      </c>
      <c r="AI945" t="str">
        <f>""</f>
        <v/>
      </c>
      <c r="AJ945" t="str">
        <f>""</f>
        <v/>
      </c>
      <c r="AK945" t="str">
        <f>""</f>
        <v/>
      </c>
      <c r="AL945" t="str">
        <f>""</f>
        <v/>
      </c>
      <c r="AM945" t="str">
        <f>""</f>
        <v/>
      </c>
      <c r="AN945" t="str">
        <f>""</f>
        <v/>
      </c>
      <c r="AO945" t="str">
        <f>""</f>
        <v/>
      </c>
      <c r="AP945" t="str">
        <f>""</f>
        <v/>
      </c>
      <c r="AQ945" t="str">
        <f>""</f>
        <v/>
      </c>
      <c r="AR945" t="str">
        <f>""</f>
        <v/>
      </c>
      <c r="AS945" t="str">
        <f>""</f>
        <v/>
      </c>
      <c r="AT945" t="str">
        <f>""</f>
        <v/>
      </c>
      <c r="AU945" t="str">
        <f>""</f>
        <v/>
      </c>
      <c r="AV945" t="str">
        <f>""</f>
        <v/>
      </c>
      <c r="AW945" t="str">
        <f>""</f>
        <v/>
      </c>
      <c r="AX945" t="str">
        <f>""</f>
        <v/>
      </c>
      <c r="AY945" t="str">
        <f>""</f>
        <v/>
      </c>
      <c r="AZ945" t="str">
        <f>""</f>
        <v/>
      </c>
      <c r="BA945" t="str">
        <f>""</f>
        <v/>
      </c>
      <c r="BB945" t="str">
        <f>"03/04/2023 13:34:29"</f>
        <v>03/04/2023 13:34:29</v>
      </c>
      <c r="BC945" t="str">
        <f>""</f>
        <v/>
      </c>
      <c r="BD945" t="str">
        <f>""</f>
        <v/>
      </c>
      <c r="BE945" t="str">
        <f>""</f>
        <v/>
      </c>
      <c r="BF945" t="str">
        <f t="shared" si="455"/>
        <v>A</v>
      </c>
      <c r="BG945" t="str">
        <f>""</f>
        <v/>
      </c>
      <c r="BH945" t="str">
        <f>""</f>
        <v/>
      </c>
      <c r="BI945" t="str">
        <f t="shared" si="466"/>
        <v>EVENTUAL</v>
      </c>
      <c r="BJ945" t="str">
        <f t="shared" si="456"/>
        <v>1</v>
      </c>
      <c r="BK945" t="str">
        <f t="shared" si="457"/>
        <v>Farmacia</v>
      </c>
      <c r="BL945" t="str">
        <f>""</f>
        <v/>
      </c>
      <c r="BM945" t="str">
        <f>""</f>
        <v/>
      </c>
      <c r="BN945" t="str">
        <f>""</f>
        <v/>
      </c>
      <c r="BO945" t="str">
        <f>""</f>
        <v/>
      </c>
      <c r="BP945" t="str">
        <f>""</f>
        <v/>
      </c>
      <c r="BQ945" t="str">
        <f>""</f>
        <v/>
      </c>
      <c r="BR945" t="str">
        <f>"03/04/2023"</f>
        <v>03/04/2023</v>
      </c>
      <c r="BS945" t="str">
        <f>""</f>
        <v/>
      </c>
      <c r="BT945" t="str">
        <f>""</f>
        <v/>
      </c>
      <c r="BU945" t="str">
        <f>""</f>
        <v/>
      </c>
      <c r="BV945" t="str">
        <f>""</f>
        <v/>
      </c>
      <c r="BW945" t="str">
        <f>"Não visitado"</f>
        <v>Não visitado</v>
      </c>
    </row>
    <row r="946" spans="1:75" x14ac:dyDescent="0.35">
      <c r="A946">
        <v>144677</v>
      </c>
      <c r="B946" t="str">
        <f t="shared" si="451"/>
        <v>A</v>
      </c>
      <c r="C946" t="str">
        <f t="shared" si="452"/>
        <v>80</v>
      </c>
      <c r="D946" t="str">
        <f t="shared" si="446"/>
        <v>11121002</v>
      </c>
      <c r="E946" t="str">
        <f t="shared" si="447"/>
        <v>121002</v>
      </c>
      <c r="F946" t="str">
        <f t="shared" si="448"/>
        <v>CINTHIA NORONHA</v>
      </c>
      <c r="G946" t="str">
        <f>"10746770000131"</f>
        <v>10746770000131</v>
      </c>
      <c r="H946" t="str">
        <f>""</f>
        <v/>
      </c>
      <c r="I946" t="str">
        <f t="shared" si="453"/>
        <v>CONTA OPTICA</v>
      </c>
      <c r="J946" t="str">
        <f>"OTICA ALBERTON LTDA ME"</f>
        <v>OTICA ALBERTON LTDA ME</v>
      </c>
      <c r="K946" t="str">
        <f>"OTICA ALBERTON LTDA ME (1323)"</f>
        <v>OTICA ALBERTON LTDA ME (1323)</v>
      </c>
      <c r="L946" t="str">
        <f>""</f>
        <v/>
      </c>
      <c r="M946" t="str">
        <f>""</f>
        <v/>
      </c>
      <c r="N946" t="str">
        <f>"paulogessermichels@hotmail.com"</f>
        <v>paulogessermichels@hotmail.com</v>
      </c>
      <c r="O946" t="str">
        <f>""</f>
        <v/>
      </c>
      <c r="P946" t="str">
        <f>"RUA JOAO CECHINEL"</f>
        <v>RUA JOAO CECHINEL</v>
      </c>
      <c r="Q946" t="str">
        <f>"71"</f>
        <v>71</v>
      </c>
      <c r="R946" t="str">
        <f>"SALA 01"</f>
        <v>SALA 01</v>
      </c>
      <c r="S946" t="str">
        <f>"1269"</f>
        <v>1269</v>
      </c>
      <c r="T946" t="str">
        <f>"88811500"</f>
        <v>88811500</v>
      </c>
      <c r="U946" t="str">
        <f>"CENTRO"</f>
        <v>CENTRO</v>
      </c>
      <c r="V946" t="str">
        <f>"CRICIÚMA"</f>
        <v>CRICIÚMA</v>
      </c>
      <c r="W946" t="str">
        <f t="shared" si="471"/>
        <v>SC</v>
      </c>
      <c r="X946" t="str">
        <f>"48"</f>
        <v>48</v>
      </c>
      <c r="Y946" t="str">
        <f>"34433435"</f>
        <v>34433435</v>
      </c>
      <c r="Z946" t="str">
        <f>""</f>
        <v/>
      </c>
      <c r="AA946" t="str">
        <f>""</f>
        <v/>
      </c>
      <c r="AB946" t="str">
        <f>""</f>
        <v/>
      </c>
      <c r="AC946" t="str">
        <f>""</f>
        <v/>
      </c>
      <c r="AD946" t="str">
        <f>""</f>
        <v/>
      </c>
      <c r="AE946" t="str">
        <f>""</f>
        <v/>
      </c>
      <c r="AF946" t="str">
        <f>""</f>
        <v/>
      </c>
      <c r="AG946" t="str">
        <f>""</f>
        <v/>
      </c>
      <c r="AH946" t="str">
        <f>""</f>
        <v/>
      </c>
      <c r="AI946" t="str">
        <f>""</f>
        <v/>
      </c>
      <c r="AJ946" t="str">
        <f>"0"</f>
        <v>0</v>
      </c>
      <c r="AK946" t="str">
        <f>"0"</f>
        <v>0</v>
      </c>
      <c r="AL946" t="str">
        <f>"0"</f>
        <v>0</v>
      </c>
      <c r="AM946" t="str">
        <f>""</f>
        <v/>
      </c>
      <c r="AN946" t="str">
        <f>""</f>
        <v/>
      </c>
      <c r="AO946" t="str">
        <f>""</f>
        <v/>
      </c>
      <c r="AP946" t="str">
        <f>""</f>
        <v/>
      </c>
      <c r="AQ946" t="str">
        <f>""</f>
        <v/>
      </c>
      <c r="AR946" t="str">
        <f>""</f>
        <v/>
      </c>
      <c r="AS946" t="str">
        <f>""</f>
        <v/>
      </c>
      <c r="AT946" t="str">
        <f>""</f>
        <v/>
      </c>
      <c r="AU946" t="str">
        <f>""</f>
        <v/>
      </c>
      <c r="AV946" t="str">
        <f>""</f>
        <v/>
      </c>
      <c r="AW946" t="str">
        <f>""</f>
        <v/>
      </c>
      <c r="AX946" t="str">
        <f>""</f>
        <v/>
      </c>
      <c r="AY946" t="str">
        <f>""</f>
        <v/>
      </c>
      <c r="AZ946" t="str">
        <f>""</f>
        <v/>
      </c>
      <c r="BA946" t="str">
        <f>""</f>
        <v/>
      </c>
      <c r="BB946" t="str">
        <f>""</f>
        <v/>
      </c>
      <c r="BC946" t="str">
        <f>""</f>
        <v/>
      </c>
      <c r="BD946" t="str">
        <f>""</f>
        <v/>
      </c>
      <c r="BE946" t="str">
        <f>""</f>
        <v/>
      </c>
      <c r="BF946" t="str">
        <f t="shared" si="455"/>
        <v>A</v>
      </c>
      <c r="BG946" t="str">
        <f>"0,00"</f>
        <v>0,00</v>
      </c>
      <c r="BH946" t="str">
        <f>"0,00"</f>
        <v>0,00</v>
      </c>
      <c r="BI946" t="str">
        <f t="shared" si="466"/>
        <v>EVENTUAL</v>
      </c>
      <c r="BJ946" t="str">
        <f t="shared" si="456"/>
        <v>1</v>
      </c>
      <c r="BK946" t="str">
        <f t="shared" si="457"/>
        <v>Farmacia</v>
      </c>
      <c r="BL946" t="str">
        <f>""</f>
        <v/>
      </c>
      <c r="BM946" t="str">
        <f>"NÃO É VARILUX ESPECIALISTA"</f>
        <v>NÃO É VARILUX ESPECIALISTA</v>
      </c>
      <c r="BN946" t="str">
        <f>"NA"</f>
        <v>NA</v>
      </c>
      <c r="BO946" t="str">
        <f>"FOCO VARILUX"</f>
        <v>FOCO VARILUX</v>
      </c>
      <c r="BP946" t="str">
        <f>""</f>
        <v/>
      </c>
      <c r="BQ946" t="str">
        <f>""</f>
        <v/>
      </c>
      <c r="BR946" t="str">
        <f>""</f>
        <v/>
      </c>
      <c r="BS946" t="str">
        <f>""</f>
        <v/>
      </c>
      <c r="BT946" t="str">
        <f>""</f>
        <v/>
      </c>
      <c r="BU946" t="str">
        <f>""</f>
        <v/>
      </c>
      <c r="BV946" t="str">
        <f>"9"</f>
        <v>9</v>
      </c>
      <c r="BW946" t="str">
        <f>"358"</f>
        <v>358</v>
      </c>
    </row>
    <row r="947" spans="1:75" x14ac:dyDescent="0.35">
      <c r="A947">
        <v>152751</v>
      </c>
      <c r="B947" t="str">
        <f t="shared" si="451"/>
        <v>A</v>
      </c>
      <c r="C947" t="str">
        <f t="shared" si="452"/>
        <v>80</v>
      </c>
      <c r="D947" t="str">
        <f t="shared" si="446"/>
        <v>11121002</v>
      </c>
      <c r="E947" t="str">
        <f t="shared" si="447"/>
        <v>121002</v>
      </c>
      <c r="F947" t="str">
        <f t="shared" si="448"/>
        <v>CINTHIA NORONHA</v>
      </c>
      <c r="G947" t="str">
        <f>"44065813000135"</f>
        <v>44065813000135</v>
      </c>
      <c r="H947" t="str">
        <f>"0"</f>
        <v>0</v>
      </c>
      <c r="I947" t="str">
        <f t="shared" si="453"/>
        <v>CONTA OPTICA</v>
      </c>
      <c r="J947" t="str">
        <f>"OTICA ALICE LTDA"</f>
        <v>OTICA ALICE LTDA</v>
      </c>
      <c r="K947" t="str">
        <f>"OTICA ALICE"</f>
        <v>OTICA ALICE</v>
      </c>
      <c r="L947" t="str">
        <f>""</f>
        <v/>
      </c>
      <c r="M947" t="str">
        <f>""</f>
        <v/>
      </c>
      <c r="N947" t="str">
        <f>"marcio.omello@gmail.com"</f>
        <v>marcio.omello@gmail.com</v>
      </c>
      <c r="O947" t="str">
        <f>""</f>
        <v/>
      </c>
      <c r="P947" t="str">
        <f>"RUA EDELBERTO DE OLIVEIRA"</f>
        <v>RUA EDELBERTO DE OLIVEIRA</v>
      </c>
      <c r="Q947" t="str">
        <f>"181"</f>
        <v>181</v>
      </c>
      <c r="R947" t="str">
        <f>"SALA 1"</f>
        <v>SALA 1</v>
      </c>
      <c r="S947" t="str">
        <f>""</f>
        <v/>
      </c>
      <c r="T947" t="str">
        <f>"88095710"</f>
        <v>88095710</v>
      </c>
      <c r="U947" t="str">
        <f>"MONTE CRISTO"</f>
        <v>MONTE CRISTO</v>
      </c>
      <c r="V947" t="str">
        <f>"FLORIANÓPOLIS"</f>
        <v>FLORIANÓPOLIS</v>
      </c>
      <c r="W947" t="str">
        <f t="shared" si="471"/>
        <v>SC</v>
      </c>
      <c r="X947" t="str">
        <f>""</f>
        <v/>
      </c>
      <c r="Y947" t="str">
        <f>""</f>
        <v/>
      </c>
      <c r="Z947" t="str">
        <f>""</f>
        <v/>
      </c>
      <c r="AA947" t="str">
        <f>""</f>
        <v/>
      </c>
      <c r="AB947" t="str">
        <f>""</f>
        <v/>
      </c>
      <c r="AC947" t="str">
        <f>""</f>
        <v/>
      </c>
      <c r="AD947" t="str">
        <f>""</f>
        <v/>
      </c>
      <c r="AE947" t="str">
        <f>""</f>
        <v/>
      </c>
      <c r="AF947" t="str">
        <f>""</f>
        <v/>
      </c>
      <c r="AG947" t="str">
        <f>"S"</f>
        <v>S</v>
      </c>
      <c r="AH947" t="str">
        <f>""</f>
        <v/>
      </c>
      <c r="AI947" t="str">
        <f>""</f>
        <v/>
      </c>
      <c r="AJ947" t="str">
        <f>""</f>
        <v/>
      </c>
      <c r="AK947" t="str">
        <f>""</f>
        <v/>
      </c>
      <c r="AL947" t="str">
        <f>""</f>
        <v/>
      </c>
      <c r="AM947" t="str">
        <f>""</f>
        <v/>
      </c>
      <c r="AN947" t="str">
        <f>""</f>
        <v/>
      </c>
      <c r="AO947" t="str">
        <f>""</f>
        <v/>
      </c>
      <c r="AP947" t="str">
        <f>""</f>
        <v/>
      </c>
      <c r="AQ947" t="str">
        <f>"N"</f>
        <v>N</v>
      </c>
      <c r="AR947" t="str">
        <f>"N"</f>
        <v>N</v>
      </c>
      <c r="AS947" t="str">
        <f>"N"</f>
        <v>N</v>
      </c>
      <c r="AT947" t="str">
        <f>"N"</f>
        <v>N</v>
      </c>
      <c r="AU947" t="str">
        <f>"N"</f>
        <v>N</v>
      </c>
      <c r="AV947" t="str">
        <f>""</f>
        <v/>
      </c>
      <c r="AW947" t="str">
        <f>""</f>
        <v/>
      </c>
      <c r="AX947" t="str">
        <f>""</f>
        <v/>
      </c>
      <c r="AY947" t="str">
        <f>""</f>
        <v/>
      </c>
      <c r="AZ947" t="str">
        <f>""</f>
        <v/>
      </c>
      <c r="BA947" t="str">
        <f>""</f>
        <v/>
      </c>
      <c r="BB947" t="str">
        <f>"03/04/2023 13:34:29"</f>
        <v>03/04/2023 13:34:29</v>
      </c>
      <c r="BC947" t="str">
        <f>"08/05/2023 15:51:47"</f>
        <v>08/05/2023 15:51:47</v>
      </c>
      <c r="BD947" t="str">
        <f>""</f>
        <v/>
      </c>
      <c r="BE947" t="str">
        <f>""</f>
        <v/>
      </c>
      <c r="BF947" t="str">
        <f t="shared" si="455"/>
        <v>A</v>
      </c>
      <c r="BG947" t="str">
        <f>""</f>
        <v/>
      </c>
      <c r="BH947" t="str">
        <f>"0,00"</f>
        <v>0,00</v>
      </c>
      <c r="BI947" t="str">
        <f t="shared" si="466"/>
        <v>EVENTUAL</v>
      </c>
      <c r="BJ947" t="str">
        <f t="shared" si="456"/>
        <v>1</v>
      </c>
      <c r="BK947" t="str">
        <f t="shared" si="457"/>
        <v>Farmacia</v>
      </c>
      <c r="BL947" t="str">
        <f>""</f>
        <v/>
      </c>
      <c r="BM947" t="str">
        <f>""</f>
        <v/>
      </c>
      <c r="BN947" t="str">
        <f>""</f>
        <v/>
      </c>
      <c r="BO947" t="str">
        <f>""</f>
        <v/>
      </c>
      <c r="BP947" t="str">
        <f>""</f>
        <v/>
      </c>
      <c r="BQ947" t="str">
        <f>""</f>
        <v/>
      </c>
      <c r="BR947" t="str">
        <f>"03/04/2023"</f>
        <v>03/04/2023</v>
      </c>
      <c r="BS947" t="str">
        <f>"08/05/2023"</f>
        <v>08/05/2023</v>
      </c>
      <c r="BT947" t="str">
        <f>""</f>
        <v/>
      </c>
      <c r="BU947" t="str">
        <f>""</f>
        <v/>
      </c>
      <c r="BV947" t="str">
        <f>""</f>
        <v/>
      </c>
      <c r="BW947" t="str">
        <f>"14"</f>
        <v>14</v>
      </c>
    </row>
    <row r="948" spans="1:75" x14ac:dyDescent="0.35">
      <c r="A948">
        <v>118682</v>
      </c>
      <c r="B948" t="str">
        <f t="shared" si="451"/>
        <v>A</v>
      </c>
      <c r="C948" t="str">
        <f t="shared" si="452"/>
        <v>80</v>
      </c>
      <c r="D948" t="str">
        <f t="shared" ref="D948:D1011" si="472">"11121002"</f>
        <v>11121002</v>
      </c>
      <c r="E948" t="str">
        <f t="shared" ref="E948:E1011" si="473">"121002"</f>
        <v>121002</v>
      </c>
      <c r="F948" t="str">
        <f t="shared" ref="F948:F1011" si="474">"CINTHIA NORONHA"</f>
        <v>CINTHIA NORONHA</v>
      </c>
      <c r="G948" t="str">
        <f>"03962970000166"</f>
        <v>03962970000166</v>
      </c>
      <c r="H948" t="str">
        <f>""</f>
        <v/>
      </c>
      <c r="I948" t="str">
        <f t="shared" si="453"/>
        <v>CONTA OPTICA</v>
      </c>
      <c r="J948" t="str">
        <f>"OTICA ANNE LTDA ME"</f>
        <v>OTICA ANNE LTDA ME</v>
      </c>
      <c r="K948" t="str">
        <f>"OTICA ANNE (1217)"</f>
        <v>OTICA ANNE (1217)</v>
      </c>
      <c r="L948" t="str">
        <f>""</f>
        <v/>
      </c>
      <c r="M948" t="str">
        <f>""</f>
        <v/>
      </c>
      <c r="N948" t="str">
        <f>"oticavejacriciuma@hotmail.com"</f>
        <v>oticavejacriciuma@hotmail.com</v>
      </c>
      <c r="O948" t="str">
        <f>""</f>
        <v/>
      </c>
      <c r="P948" t="str">
        <f>"RUA CONSELHEIRO JOAO ZANETE"</f>
        <v>RUA CONSELHEIRO JOAO ZANETE</v>
      </c>
      <c r="Q948" t="str">
        <f>"65"</f>
        <v>65</v>
      </c>
      <c r="R948" t="str">
        <f>""</f>
        <v/>
      </c>
      <c r="S948" t="str">
        <f>"1269"</f>
        <v>1269</v>
      </c>
      <c r="T948" t="str">
        <f>"88801060"</f>
        <v>88801060</v>
      </c>
      <c r="U948" t="str">
        <f>"CENTRO"</f>
        <v>CENTRO</v>
      </c>
      <c r="V948" t="str">
        <f>"CRICIÚMA"</f>
        <v>CRICIÚMA</v>
      </c>
      <c r="W948" t="str">
        <f t="shared" si="471"/>
        <v>SC</v>
      </c>
      <c r="X948" t="str">
        <f t="shared" ref="X948:X958" si="475">"48"</f>
        <v>48</v>
      </c>
      <c r="Y948" t="str">
        <f>"30451090"</f>
        <v>30451090</v>
      </c>
      <c r="Z948" t="str">
        <f>""</f>
        <v/>
      </c>
      <c r="AA948" t="str">
        <f>""</f>
        <v/>
      </c>
      <c r="AB948" t="str">
        <f>""</f>
        <v/>
      </c>
      <c r="AC948" t="str">
        <f>""</f>
        <v/>
      </c>
      <c r="AD948" t="str">
        <f>""</f>
        <v/>
      </c>
      <c r="AE948" t="str">
        <f>""</f>
        <v/>
      </c>
      <c r="AF948" t="str">
        <f>""</f>
        <v/>
      </c>
      <c r="AG948" t="str">
        <f>""</f>
        <v/>
      </c>
      <c r="AH948" t="str">
        <f>""</f>
        <v/>
      </c>
      <c r="AI948" t="str">
        <f>""</f>
        <v/>
      </c>
      <c r="AJ948" t="str">
        <f t="shared" ref="AJ948:AL950" si="476">"0"</f>
        <v>0</v>
      </c>
      <c r="AK948" t="str">
        <f t="shared" si="476"/>
        <v>0</v>
      </c>
      <c r="AL948" t="str">
        <f t="shared" si="476"/>
        <v>0</v>
      </c>
      <c r="AM948" t="str">
        <f>""</f>
        <v/>
      </c>
      <c r="AN948" t="str">
        <f>""</f>
        <v/>
      </c>
      <c r="AO948" t="str">
        <f>""</f>
        <v/>
      </c>
      <c r="AP948" t="str">
        <f>""</f>
        <v/>
      </c>
      <c r="AQ948" t="str">
        <f>""</f>
        <v/>
      </c>
      <c r="AR948" t="str">
        <f>""</f>
        <v/>
      </c>
      <c r="AS948" t="str">
        <f>""</f>
        <v/>
      </c>
      <c r="AT948" t="str">
        <f>""</f>
        <v/>
      </c>
      <c r="AU948" t="str">
        <f>""</f>
        <v/>
      </c>
      <c r="AV948" t="str">
        <f>""</f>
        <v/>
      </c>
      <c r="AW948" t="str">
        <f>""</f>
        <v/>
      </c>
      <c r="AX948" t="str">
        <f>""</f>
        <v/>
      </c>
      <c r="AY948" t="str">
        <f>""</f>
        <v/>
      </c>
      <c r="AZ948" t="str">
        <f>""</f>
        <v/>
      </c>
      <c r="BA948" t="str">
        <f>""</f>
        <v/>
      </c>
      <c r="BB948" t="str">
        <f>""</f>
        <v/>
      </c>
      <c r="BC948" t="str">
        <f>""</f>
        <v/>
      </c>
      <c r="BD948" t="str">
        <f>""</f>
        <v/>
      </c>
      <c r="BE948" t="str">
        <f>""</f>
        <v/>
      </c>
      <c r="BF948" t="str">
        <f t="shared" si="455"/>
        <v>A</v>
      </c>
      <c r="BG948" t="str">
        <f>"0,00"</f>
        <v>0,00</v>
      </c>
      <c r="BH948" t="str">
        <f>"0,00"</f>
        <v>0,00</v>
      </c>
      <c r="BI948" t="str">
        <f t="shared" si="466"/>
        <v>EVENTUAL</v>
      </c>
      <c r="BJ948" t="str">
        <f t="shared" si="456"/>
        <v>1</v>
      </c>
      <c r="BK948" t="str">
        <f t="shared" si="457"/>
        <v>Farmacia</v>
      </c>
      <c r="BL948" t="str">
        <f>""</f>
        <v/>
      </c>
      <c r="BM948" t="str">
        <f>"NÃO É VARILUX ESPECIALISTA"</f>
        <v>NÃO É VARILUX ESPECIALISTA</v>
      </c>
      <c r="BN948" t="str">
        <f>"NA"</f>
        <v>NA</v>
      </c>
      <c r="BO948" t="str">
        <f>"FOCO KODAK 2"</f>
        <v>FOCO KODAK 2</v>
      </c>
      <c r="BP948" t="str">
        <f>""</f>
        <v/>
      </c>
      <c r="BQ948" t="str">
        <f>""</f>
        <v/>
      </c>
      <c r="BR948" t="str">
        <f>""</f>
        <v/>
      </c>
      <c r="BS948" t="str">
        <f>""</f>
        <v/>
      </c>
      <c r="BT948" t="str">
        <f>""</f>
        <v/>
      </c>
      <c r="BU948" t="str">
        <f>""</f>
        <v/>
      </c>
      <c r="BV948" t="str">
        <f>"9"</f>
        <v>9</v>
      </c>
      <c r="BW948" t="str">
        <f>"10"</f>
        <v>10</v>
      </c>
    </row>
    <row r="949" spans="1:75" x14ac:dyDescent="0.35">
      <c r="A949">
        <v>407</v>
      </c>
      <c r="B949" t="str">
        <f t="shared" si="451"/>
        <v>A</v>
      </c>
      <c r="C949" t="str">
        <f t="shared" si="452"/>
        <v>80</v>
      </c>
      <c r="D949" t="str">
        <f t="shared" si="472"/>
        <v>11121002</v>
      </c>
      <c r="E949" t="str">
        <f t="shared" si="473"/>
        <v>121002</v>
      </c>
      <c r="F949" t="str">
        <f t="shared" si="474"/>
        <v>CINTHIA NORONHA</v>
      </c>
      <c r="G949" t="str">
        <f>"05936730000112"</f>
        <v>05936730000112</v>
      </c>
      <c r="H949" t="str">
        <f>""</f>
        <v/>
      </c>
      <c r="I949" t="str">
        <f t="shared" si="453"/>
        <v>CONTA OPTICA</v>
      </c>
      <c r="J949" t="str">
        <f>"OTICA BAIA SUL MEDICAL CENTER LTDA ME"</f>
        <v>OTICA BAIA SUL MEDICAL CENTER LTDA ME</v>
      </c>
      <c r="K949" t="str">
        <f>"OTICA BAIA SUL (471)"</f>
        <v>OTICA BAIA SUL (471)</v>
      </c>
      <c r="L949" t="str">
        <f>""</f>
        <v/>
      </c>
      <c r="M949" t="str">
        <f>""</f>
        <v/>
      </c>
      <c r="N949" t="str">
        <f>"visotica.floripa@hotmail.com"</f>
        <v>visotica.floripa@hotmail.com</v>
      </c>
      <c r="O949" t="str">
        <f>""</f>
        <v/>
      </c>
      <c r="P949" t="str">
        <f>"RUA MENINO DEUS"</f>
        <v>RUA MENINO DEUS</v>
      </c>
      <c r="Q949" t="str">
        <f>"63"</f>
        <v>63</v>
      </c>
      <c r="R949" t="str">
        <f>"BL. A LOJA 02 A"</f>
        <v>BL. A LOJA 02 A</v>
      </c>
      <c r="S949" t="str">
        <f>"1256"</f>
        <v>1256</v>
      </c>
      <c r="T949" t="str">
        <f>"88020210"</f>
        <v>88020210</v>
      </c>
      <c r="U949" t="str">
        <f>"CENTRO"</f>
        <v>CENTRO</v>
      </c>
      <c r="V949" t="str">
        <f>"FLORIANOPOLIS"</f>
        <v>FLORIANOPOLIS</v>
      </c>
      <c r="W949" t="str">
        <f t="shared" si="471"/>
        <v>SC</v>
      </c>
      <c r="X949" t="str">
        <f t="shared" si="475"/>
        <v>48</v>
      </c>
      <c r="Y949" t="str">
        <f>"30288228"</f>
        <v>30288228</v>
      </c>
      <c r="Z949" t="str">
        <f>""</f>
        <v/>
      </c>
      <c r="AA949" t="str">
        <f>""</f>
        <v/>
      </c>
      <c r="AB949" t="str">
        <f>""</f>
        <v/>
      </c>
      <c r="AC949" t="str">
        <f>""</f>
        <v/>
      </c>
      <c r="AD949" t="str">
        <f>""</f>
        <v/>
      </c>
      <c r="AE949" t="str">
        <f>""</f>
        <v/>
      </c>
      <c r="AF949" t="str">
        <f>""</f>
        <v/>
      </c>
      <c r="AG949" t="str">
        <f>""</f>
        <v/>
      </c>
      <c r="AH949" t="str">
        <f>""</f>
        <v/>
      </c>
      <c r="AI949" t="str">
        <f>""</f>
        <v/>
      </c>
      <c r="AJ949" t="str">
        <f t="shared" si="476"/>
        <v>0</v>
      </c>
      <c r="AK949" t="str">
        <f t="shared" si="476"/>
        <v>0</v>
      </c>
      <c r="AL949" t="str">
        <f t="shared" si="476"/>
        <v>0</v>
      </c>
      <c r="AM949" t="str">
        <f>""</f>
        <v/>
      </c>
      <c r="AN949" t="str">
        <f>""</f>
        <v/>
      </c>
      <c r="AO949" t="str">
        <f>""</f>
        <v/>
      </c>
      <c r="AP949" t="str">
        <f>""</f>
        <v/>
      </c>
      <c r="AQ949" t="str">
        <f>""</f>
        <v/>
      </c>
      <c r="AR949" t="str">
        <f>""</f>
        <v/>
      </c>
      <c r="AS949" t="str">
        <f>""</f>
        <v/>
      </c>
      <c r="AT949" t="str">
        <f>""</f>
        <v/>
      </c>
      <c r="AU949" t="str">
        <f>""</f>
        <v/>
      </c>
      <c r="AV949" t="str">
        <f>""</f>
        <v/>
      </c>
      <c r="AW949" t="str">
        <f>""</f>
        <v/>
      </c>
      <c r="AX949" t="str">
        <f>""</f>
        <v/>
      </c>
      <c r="AY949" t="str">
        <f>""</f>
        <v/>
      </c>
      <c r="AZ949" t="str">
        <f>""</f>
        <v/>
      </c>
      <c r="BA949" t="str">
        <f>""</f>
        <v/>
      </c>
      <c r="BB949" t="str">
        <f>"27/07/2018 09:25:41"</f>
        <v>27/07/2018 09:25:41</v>
      </c>
      <c r="BC949" t="str">
        <f>""</f>
        <v/>
      </c>
      <c r="BD949" t="str">
        <f>""</f>
        <v/>
      </c>
      <c r="BE949" t="str">
        <f>"407"</f>
        <v>407</v>
      </c>
      <c r="BF949" t="str">
        <f t="shared" si="455"/>
        <v>A</v>
      </c>
      <c r="BG949" t="str">
        <f>"0,00"</f>
        <v>0,00</v>
      </c>
      <c r="BH949" t="str">
        <f>"0,00"</f>
        <v>0,00</v>
      </c>
      <c r="BI949" t="str">
        <f t="shared" si="466"/>
        <v>EVENTUAL</v>
      </c>
      <c r="BJ949" t="str">
        <f t="shared" si="456"/>
        <v>1</v>
      </c>
      <c r="BK949" t="str">
        <f t="shared" si="457"/>
        <v>Farmacia</v>
      </c>
      <c r="BL949" t="str">
        <f>""</f>
        <v/>
      </c>
      <c r="BM949" t="str">
        <f>"NÃO É VARILUX ESPECIALISTA"</f>
        <v>NÃO É VARILUX ESPECIALISTA</v>
      </c>
      <c r="BN949" t="str">
        <f>"NA"</f>
        <v>NA</v>
      </c>
      <c r="BO949" t="str">
        <f>"FOCO VARILUX DIGITAL"</f>
        <v>FOCO VARILUX DIGITAL</v>
      </c>
      <c r="BP949" t="str">
        <f>""</f>
        <v/>
      </c>
      <c r="BQ949" t="str">
        <f>""</f>
        <v/>
      </c>
      <c r="BR949" t="str">
        <f>"27/07/2018"</f>
        <v>27/07/2018</v>
      </c>
      <c r="BS949" t="str">
        <f>""</f>
        <v/>
      </c>
      <c r="BT949" t="str">
        <f>""</f>
        <v/>
      </c>
      <c r="BU949" t="str">
        <f>""</f>
        <v/>
      </c>
      <c r="BV949" t="str">
        <f>"1"</f>
        <v>1</v>
      </c>
      <c r="BW949" t="str">
        <f>"Não visitado"</f>
        <v>Não visitado</v>
      </c>
    </row>
    <row r="950" spans="1:75" x14ac:dyDescent="0.35">
      <c r="A950">
        <v>286</v>
      </c>
      <c r="B950" t="str">
        <f t="shared" si="451"/>
        <v>A</v>
      </c>
      <c r="C950" t="str">
        <f t="shared" si="452"/>
        <v>80</v>
      </c>
      <c r="D950" t="str">
        <f t="shared" si="472"/>
        <v>11121002</v>
      </c>
      <c r="E950" t="str">
        <f t="shared" si="473"/>
        <v>121002</v>
      </c>
      <c r="F950" t="str">
        <f t="shared" si="474"/>
        <v>CINTHIA NORONHA</v>
      </c>
      <c r="G950" t="str">
        <f>"00073920000130"</f>
        <v>00073920000130</v>
      </c>
      <c r="H950" t="str">
        <f>""</f>
        <v/>
      </c>
      <c r="I950" t="str">
        <f t="shared" si="453"/>
        <v>CONTA OPTICA</v>
      </c>
      <c r="J950" t="str">
        <f>"OTICA BEIRA MAR COMERCIAL LTDA  ME"</f>
        <v>OTICA BEIRA MAR COMERCIAL LTDA  ME</v>
      </c>
      <c r="K950" t="str">
        <f>"OTICA BEIRA MAR (1936)"</f>
        <v>OTICA BEIRA MAR (1936)</v>
      </c>
      <c r="L950" t="str">
        <f>""</f>
        <v/>
      </c>
      <c r="M950" t="str">
        <f>""</f>
        <v/>
      </c>
      <c r="N950" t="str">
        <f>"paulohlago@hotmail.com"</f>
        <v>paulohlago@hotmail.com</v>
      </c>
      <c r="O950" t="str">
        <f>""</f>
        <v/>
      </c>
      <c r="P950" t="str">
        <f>"RUA IRINEU BORNHUSEM"</f>
        <v>RUA IRINEU BORNHUSEM</v>
      </c>
      <c r="Q950" t="str">
        <f>"5288"</f>
        <v>5288</v>
      </c>
      <c r="R950" t="str">
        <f>"LOJA 21"</f>
        <v>LOJA 21</v>
      </c>
      <c r="S950" t="str">
        <f>"1257"</f>
        <v>1257</v>
      </c>
      <c r="T950" t="str">
        <f>"88025000"</f>
        <v>88025000</v>
      </c>
      <c r="U950" t="str">
        <f>"AGRONOMICA"</f>
        <v>AGRONOMICA</v>
      </c>
      <c r="V950" t="str">
        <f>"FLORIANOPOLIS"</f>
        <v>FLORIANOPOLIS</v>
      </c>
      <c r="W950" t="str">
        <f t="shared" si="471"/>
        <v>SC</v>
      </c>
      <c r="X950" t="str">
        <f t="shared" si="475"/>
        <v>48</v>
      </c>
      <c r="Y950" t="str">
        <f>"33330250"</f>
        <v>33330250</v>
      </c>
      <c r="Z950" t="str">
        <f>""</f>
        <v/>
      </c>
      <c r="AA950" t="str">
        <f>""</f>
        <v/>
      </c>
      <c r="AB950" t="str">
        <f>""</f>
        <v/>
      </c>
      <c r="AC950" t="str">
        <f>""</f>
        <v/>
      </c>
      <c r="AD950" t="str">
        <f>""</f>
        <v/>
      </c>
      <c r="AE950" t="str">
        <f>""</f>
        <v/>
      </c>
      <c r="AF950" t="str">
        <f>""</f>
        <v/>
      </c>
      <c r="AG950" t="str">
        <f>""</f>
        <v/>
      </c>
      <c r="AH950" t="str">
        <f>""</f>
        <v/>
      </c>
      <c r="AI950" t="str">
        <f>""</f>
        <v/>
      </c>
      <c r="AJ950" t="str">
        <f t="shared" si="476"/>
        <v>0</v>
      </c>
      <c r="AK950" t="str">
        <f t="shared" si="476"/>
        <v>0</v>
      </c>
      <c r="AL950" t="str">
        <f t="shared" si="476"/>
        <v>0</v>
      </c>
      <c r="AM950" t="str">
        <f>""</f>
        <v/>
      </c>
      <c r="AN950" t="str">
        <f>""</f>
        <v/>
      </c>
      <c r="AO950" t="str">
        <f>""</f>
        <v/>
      </c>
      <c r="AP950" t="str">
        <f>""</f>
        <v/>
      </c>
      <c r="AQ950" t="str">
        <f>""</f>
        <v/>
      </c>
      <c r="AR950" t="str">
        <f>""</f>
        <v/>
      </c>
      <c r="AS950" t="str">
        <f>""</f>
        <v/>
      </c>
      <c r="AT950" t="str">
        <f>""</f>
        <v/>
      </c>
      <c r="AU950" t="str">
        <f>""</f>
        <v/>
      </c>
      <c r="AV950" t="str">
        <f>""</f>
        <v/>
      </c>
      <c r="AW950" t="str">
        <f>""</f>
        <v/>
      </c>
      <c r="AX950" t="str">
        <f>""</f>
        <v/>
      </c>
      <c r="AY950" t="str">
        <f>""</f>
        <v/>
      </c>
      <c r="AZ950" t="str">
        <f>""</f>
        <v/>
      </c>
      <c r="BA950" t="str">
        <f>""</f>
        <v/>
      </c>
      <c r="BB950" t="str">
        <f>"27/07/2018 09:25:37"</f>
        <v>27/07/2018 09:25:37</v>
      </c>
      <c r="BC950" t="str">
        <f>""</f>
        <v/>
      </c>
      <c r="BD950" t="str">
        <f>""</f>
        <v/>
      </c>
      <c r="BE950" t="str">
        <f>"286"</f>
        <v>286</v>
      </c>
      <c r="BF950" t="str">
        <f t="shared" si="455"/>
        <v>A</v>
      </c>
      <c r="BG950" t="str">
        <f>"0,00"</f>
        <v>0,00</v>
      </c>
      <c r="BH950" t="str">
        <f>"0,00"</f>
        <v>0,00</v>
      </c>
      <c r="BI950" t="str">
        <f t="shared" si="466"/>
        <v>EVENTUAL</v>
      </c>
      <c r="BJ950" t="str">
        <f t="shared" si="456"/>
        <v>1</v>
      </c>
      <c r="BK950" t="str">
        <f t="shared" si="457"/>
        <v>Farmacia</v>
      </c>
      <c r="BL950" t="str">
        <f>""</f>
        <v/>
      </c>
      <c r="BM950" t="str">
        <f>"NÃO É VARILUX ESPECIALISTA"</f>
        <v>NÃO É VARILUX ESPECIALISTA</v>
      </c>
      <c r="BN950" t="str">
        <f>"NA"</f>
        <v>NA</v>
      </c>
      <c r="BO950" t="str">
        <f>"FOCO KODAK 1"</f>
        <v>FOCO KODAK 1</v>
      </c>
      <c r="BP950" t="str">
        <f>""</f>
        <v/>
      </c>
      <c r="BQ950" t="str">
        <f>""</f>
        <v/>
      </c>
      <c r="BR950" t="str">
        <f>"27/07/2018"</f>
        <v>27/07/2018</v>
      </c>
      <c r="BS950" t="str">
        <f>""</f>
        <v/>
      </c>
      <c r="BT950" t="str">
        <f>""</f>
        <v/>
      </c>
      <c r="BU950" t="str">
        <f>""</f>
        <v/>
      </c>
      <c r="BV950" t="str">
        <f>"9"</f>
        <v>9</v>
      </c>
      <c r="BW950" t="str">
        <f>"16"</f>
        <v>16</v>
      </c>
    </row>
    <row r="951" spans="1:75" x14ac:dyDescent="0.35">
      <c r="A951">
        <v>156952</v>
      </c>
      <c r="B951" t="str">
        <f t="shared" si="451"/>
        <v>A</v>
      </c>
      <c r="C951" t="str">
        <f t="shared" si="452"/>
        <v>80</v>
      </c>
      <c r="D951" t="str">
        <f t="shared" si="472"/>
        <v>11121002</v>
      </c>
      <c r="E951" t="str">
        <f t="shared" si="473"/>
        <v>121002</v>
      </c>
      <c r="F951" t="str">
        <f t="shared" si="474"/>
        <v>CINTHIA NORONHA</v>
      </c>
      <c r="G951" t="str">
        <f>"45910894000195"</f>
        <v>45910894000195</v>
      </c>
      <c r="H951" t="str">
        <f>"0"</f>
        <v>0</v>
      </c>
      <c r="I951" t="str">
        <f t="shared" si="453"/>
        <v>CONTA OPTICA</v>
      </c>
      <c r="J951" t="str">
        <f>"OTICA BELLA VISIUM LTDA"</f>
        <v>OTICA BELLA VISIUM LTDA</v>
      </c>
      <c r="K951" t="str">
        <f>"OTICA BELLA VISIUM (4581)"</f>
        <v>OTICA BELLA VISIUM (4581)</v>
      </c>
      <c r="L951" t="str">
        <f>""</f>
        <v/>
      </c>
      <c r="M951" t="str">
        <f>""</f>
        <v/>
      </c>
      <c r="N951" t="str">
        <f>"OTCBELLAVISIUM22@GMAIL.COM"</f>
        <v>OTCBELLAVISIUM22@GMAIL.COM</v>
      </c>
      <c r="O951" t="str">
        <f>""</f>
        <v/>
      </c>
      <c r="P951" t="str">
        <f>"BRASILIA"</f>
        <v>BRASILIA</v>
      </c>
      <c r="Q951" t="str">
        <f>"384"</f>
        <v>384</v>
      </c>
      <c r="R951" t="str">
        <f>""</f>
        <v/>
      </c>
      <c r="S951" t="str">
        <f>""</f>
        <v/>
      </c>
      <c r="T951" t="str">
        <f>"88110450"</f>
        <v>88110450</v>
      </c>
      <c r="U951" t="str">
        <f>"BELA VISTA"</f>
        <v>BELA VISTA</v>
      </c>
      <c r="V951" t="str">
        <f>"SAO JOSE"</f>
        <v>SAO JOSE</v>
      </c>
      <c r="W951" t="str">
        <f t="shared" si="471"/>
        <v>SC</v>
      </c>
      <c r="X951" t="str">
        <f t="shared" si="475"/>
        <v>48</v>
      </c>
      <c r="Y951" t="str">
        <f>"30396225"</f>
        <v>30396225</v>
      </c>
      <c r="Z951" t="str">
        <f>""</f>
        <v/>
      </c>
      <c r="AA951" t="str">
        <f>""</f>
        <v/>
      </c>
      <c r="AB951" t="str">
        <f>""</f>
        <v/>
      </c>
      <c r="AC951" t="str">
        <f>""</f>
        <v/>
      </c>
      <c r="AD951" t="str">
        <f>""</f>
        <v/>
      </c>
      <c r="AE951" t="str">
        <f>""</f>
        <v/>
      </c>
      <c r="AF951" t="str">
        <f>""</f>
        <v/>
      </c>
      <c r="AG951" t="str">
        <f>""</f>
        <v/>
      </c>
      <c r="AH951" t="str">
        <f>""</f>
        <v/>
      </c>
      <c r="AI951" t="str">
        <f>""</f>
        <v/>
      </c>
      <c r="AJ951" t="str">
        <f>""</f>
        <v/>
      </c>
      <c r="AK951" t="str">
        <f>""</f>
        <v/>
      </c>
      <c r="AL951" t="str">
        <f>""</f>
        <v/>
      </c>
      <c r="AM951" t="str">
        <f>""</f>
        <v/>
      </c>
      <c r="AN951" t="str">
        <f>""</f>
        <v/>
      </c>
      <c r="AO951" t="str">
        <f>""</f>
        <v/>
      </c>
      <c r="AP951" t="str">
        <f>""</f>
        <v/>
      </c>
      <c r="AQ951" t="str">
        <f>""</f>
        <v/>
      </c>
      <c r="AR951" t="str">
        <f>""</f>
        <v/>
      </c>
      <c r="AS951" t="str">
        <f>""</f>
        <v/>
      </c>
      <c r="AT951" t="str">
        <f>""</f>
        <v/>
      </c>
      <c r="AU951" t="str">
        <f>""</f>
        <v/>
      </c>
      <c r="AV951" t="str">
        <f>""</f>
        <v/>
      </c>
      <c r="AW951" t="str">
        <f>""</f>
        <v/>
      </c>
      <c r="AX951" t="str">
        <f>""</f>
        <v/>
      </c>
      <c r="AY951" t="str">
        <f>""</f>
        <v/>
      </c>
      <c r="AZ951" t="str">
        <f>""</f>
        <v/>
      </c>
      <c r="BA951" t="str">
        <f>""</f>
        <v/>
      </c>
      <c r="BB951" t="str">
        <f>"06/07/2023 12:07:48"</f>
        <v>06/07/2023 12:07:48</v>
      </c>
      <c r="BC951" t="str">
        <f>""</f>
        <v/>
      </c>
      <c r="BD951" t="str">
        <f>""</f>
        <v/>
      </c>
      <c r="BE951" t="str">
        <f>""</f>
        <v/>
      </c>
      <c r="BF951" t="str">
        <f t="shared" si="455"/>
        <v>A</v>
      </c>
      <c r="BG951" t="str">
        <f>""</f>
        <v/>
      </c>
      <c r="BH951" t="str">
        <f>""</f>
        <v/>
      </c>
      <c r="BI951" t="str">
        <f t="shared" si="466"/>
        <v>EVENTUAL</v>
      </c>
      <c r="BJ951" t="str">
        <f t="shared" si="456"/>
        <v>1</v>
      </c>
      <c r="BK951" t="str">
        <f t="shared" si="457"/>
        <v>Farmacia</v>
      </c>
      <c r="BL951" t="str">
        <f>""</f>
        <v/>
      </c>
      <c r="BM951" t="str">
        <f>""</f>
        <v/>
      </c>
      <c r="BN951" t="str">
        <f>""</f>
        <v/>
      </c>
      <c r="BO951" t="str">
        <f>""</f>
        <v/>
      </c>
      <c r="BP951" t="str">
        <f>""</f>
        <v/>
      </c>
      <c r="BQ951" t="str">
        <f>""</f>
        <v/>
      </c>
      <c r="BR951" t="str">
        <f>"06/07/2023"</f>
        <v>06/07/2023</v>
      </c>
      <c r="BS951" t="str">
        <f>""</f>
        <v/>
      </c>
      <c r="BT951" t="str">
        <f>""</f>
        <v/>
      </c>
      <c r="BU951" t="str">
        <f>""</f>
        <v/>
      </c>
      <c r="BV951" t="str">
        <f>""</f>
        <v/>
      </c>
      <c r="BW951" t="str">
        <f>"Não visitado"</f>
        <v>Não visitado</v>
      </c>
    </row>
    <row r="952" spans="1:75" x14ac:dyDescent="0.35">
      <c r="A952">
        <v>156871</v>
      </c>
      <c r="B952" t="str">
        <f t="shared" si="451"/>
        <v>A</v>
      </c>
      <c r="C952" t="str">
        <f t="shared" si="452"/>
        <v>80</v>
      </c>
      <c r="D952" t="str">
        <f t="shared" si="472"/>
        <v>11121002</v>
      </c>
      <c r="E952" t="str">
        <f t="shared" si="473"/>
        <v>121002</v>
      </c>
      <c r="F952" t="str">
        <f t="shared" si="474"/>
        <v>CINTHIA NORONHA</v>
      </c>
      <c r="G952" t="str">
        <f>"48033555000166"</f>
        <v>48033555000166</v>
      </c>
      <c r="H952" t="str">
        <f>"0"</f>
        <v>0</v>
      </c>
      <c r="I952" t="str">
        <f t="shared" si="453"/>
        <v>CONTA OPTICA</v>
      </c>
      <c r="J952" t="str">
        <f>"OTICA BIGUA LTDA"</f>
        <v>OTICA BIGUA LTDA</v>
      </c>
      <c r="K952" t="str">
        <f>"OTICAS CAROL (4574)"</f>
        <v>OTICAS CAROL (4574)</v>
      </c>
      <c r="L952" t="str">
        <f>""</f>
        <v/>
      </c>
      <c r="M952" t="str">
        <f>""</f>
        <v/>
      </c>
      <c r="N952" t="str">
        <f>"ADM.SC@OTICASCAROL.COM.BR"</f>
        <v>ADM.SC@OTICASCAROL.COM.BR</v>
      </c>
      <c r="O952" t="str">
        <f>""</f>
        <v/>
      </c>
      <c r="P952" t="str">
        <f>"RUA GETULIO VARGAS"</f>
        <v>RUA GETULIO VARGAS</v>
      </c>
      <c r="Q952" t="str">
        <f>"110"</f>
        <v>110</v>
      </c>
      <c r="R952" t="str">
        <f>""</f>
        <v/>
      </c>
      <c r="S952" t="str">
        <f>"1259"</f>
        <v>1259</v>
      </c>
      <c r="T952" t="str">
        <f>"88160128"</f>
        <v>88160128</v>
      </c>
      <c r="U952" t="str">
        <f>"CENTRO"</f>
        <v>CENTRO</v>
      </c>
      <c r="V952" t="str">
        <f>"BIGUACU"</f>
        <v>BIGUACU</v>
      </c>
      <c r="W952" t="str">
        <f t="shared" si="471"/>
        <v>SC</v>
      </c>
      <c r="X952" t="str">
        <f t="shared" si="475"/>
        <v>48</v>
      </c>
      <c r="Y952" t="str">
        <f>"32259791"</f>
        <v>32259791</v>
      </c>
      <c r="Z952" t="str">
        <f>""</f>
        <v/>
      </c>
      <c r="AA952" t="str">
        <f>""</f>
        <v/>
      </c>
      <c r="AB952" t="str">
        <f>""</f>
        <v/>
      </c>
      <c r="AC952" t="str">
        <f>""</f>
        <v/>
      </c>
      <c r="AD952" t="str">
        <f>""</f>
        <v/>
      </c>
      <c r="AE952" t="str">
        <f>""</f>
        <v/>
      </c>
      <c r="AF952" t="str">
        <f>""</f>
        <v/>
      </c>
      <c r="AG952" t="str">
        <f>""</f>
        <v/>
      </c>
      <c r="AH952" t="str">
        <f>""</f>
        <v/>
      </c>
      <c r="AI952" t="str">
        <f>""</f>
        <v/>
      </c>
      <c r="AJ952" t="str">
        <f>""</f>
        <v/>
      </c>
      <c r="AK952" t="str">
        <f>""</f>
        <v/>
      </c>
      <c r="AL952" t="str">
        <f>""</f>
        <v/>
      </c>
      <c r="AM952" t="str">
        <f>""</f>
        <v/>
      </c>
      <c r="AN952" t="str">
        <f>""</f>
        <v/>
      </c>
      <c r="AO952" t="str">
        <f>""</f>
        <v/>
      </c>
      <c r="AP952" t="str">
        <f>""</f>
        <v/>
      </c>
      <c r="AQ952" t="str">
        <f>""</f>
        <v/>
      </c>
      <c r="AR952" t="str">
        <f>""</f>
        <v/>
      </c>
      <c r="AS952" t="str">
        <f>""</f>
        <v/>
      </c>
      <c r="AT952" t="str">
        <f>""</f>
        <v/>
      </c>
      <c r="AU952" t="str">
        <f>""</f>
        <v/>
      </c>
      <c r="AV952" t="str">
        <f>""</f>
        <v/>
      </c>
      <c r="AW952" t="str">
        <f>""</f>
        <v/>
      </c>
      <c r="AX952" t="str">
        <f>""</f>
        <v/>
      </c>
      <c r="AY952" t="str">
        <f>""</f>
        <v/>
      </c>
      <c r="AZ952" t="str">
        <f>""</f>
        <v/>
      </c>
      <c r="BA952" t="str">
        <f>""</f>
        <v/>
      </c>
      <c r="BB952" t="str">
        <f>"06/07/2023 12:07:48"</f>
        <v>06/07/2023 12:07:48</v>
      </c>
      <c r="BC952" t="str">
        <f>""</f>
        <v/>
      </c>
      <c r="BD952" t="str">
        <f>""</f>
        <v/>
      </c>
      <c r="BE952" t="str">
        <f>""</f>
        <v/>
      </c>
      <c r="BF952" t="str">
        <f t="shared" si="455"/>
        <v>A</v>
      </c>
      <c r="BG952" t="str">
        <f>""</f>
        <v/>
      </c>
      <c r="BH952" t="str">
        <f>""</f>
        <v/>
      </c>
      <c r="BI952" t="str">
        <f t="shared" si="466"/>
        <v>EVENTUAL</v>
      </c>
      <c r="BJ952" t="str">
        <f t="shared" si="456"/>
        <v>1</v>
      </c>
      <c r="BK952" t="str">
        <f t="shared" si="457"/>
        <v>Farmacia</v>
      </c>
      <c r="BL952" t="str">
        <f>""</f>
        <v/>
      </c>
      <c r="BM952" t="str">
        <f>""</f>
        <v/>
      </c>
      <c r="BN952" t="str">
        <f>""</f>
        <v/>
      </c>
      <c r="BO952" t="str">
        <f>""</f>
        <v/>
      </c>
      <c r="BP952" t="str">
        <f>""</f>
        <v/>
      </c>
      <c r="BQ952" t="str">
        <f>""</f>
        <v/>
      </c>
      <c r="BR952" t="str">
        <f>"06/07/2023"</f>
        <v>06/07/2023</v>
      </c>
      <c r="BS952" t="str">
        <f>""</f>
        <v/>
      </c>
      <c r="BT952" t="str">
        <f>""</f>
        <v/>
      </c>
      <c r="BU952" t="str">
        <f>""</f>
        <v/>
      </c>
      <c r="BV952" t="str">
        <f>""</f>
        <v/>
      </c>
      <c r="BW952" t="str">
        <f>"Não visitado"</f>
        <v>Não visitado</v>
      </c>
    </row>
    <row r="953" spans="1:75" x14ac:dyDescent="0.35">
      <c r="A953">
        <v>157722</v>
      </c>
      <c r="B953" t="str">
        <f t="shared" si="451"/>
        <v>A</v>
      </c>
      <c r="C953" t="str">
        <f t="shared" si="452"/>
        <v>80</v>
      </c>
      <c r="D953" t="str">
        <f t="shared" si="472"/>
        <v>11121002</v>
      </c>
      <c r="E953" t="str">
        <f t="shared" si="473"/>
        <v>121002</v>
      </c>
      <c r="F953" t="str">
        <f t="shared" si="474"/>
        <v>CINTHIA NORONHA</v>
      </c>
      <c r="G953" t="str">
        <f>"11337017000155"</f>
        <v>11337017000155</v>
      </c>
      <c r="H953" t="str">
        <f>"0"</f>
        <v>0</v>
      </c>
      <c r="I953" t="str">
        <f t="shared" si="453"/>
        <v>CONTA OPTICA</v>
      </c>
      <c r="J953" t="str">
        <f>"OTICA C ZANI LTDA ME"</f>
        <v>OTICA C ZANI LTDA ME</v>
      </c>
      <c r="K953" t="str">
        <f>"OTICA ZANI (1726)"</f>
        <v>OTICA ZANI (1726)</v>
      </c>
      <c r="L953" t="str">
        <f>""</f>
        <v/>
      </c>
      <c r="M953" t="str">
        <f>""</f>
        <v/>
      </c>
      <c r="N953" t="str">
        <f>"OTICACZANI@HOTMAIL.COM"</f>
        <v>OTICACZANI@HOTMAIL.COM</v>
      </c>
      <c r="O953" t="str">
        <f>""</f>
        <v/>
      </c>
      <c r="P953" t="str">
        <f>"DAS NAÇOES"</f>
        <v>DAS NAÇOES</v>
      </c>
      <c r="Q953" t="str">
        <f>"211"</f>
        <v>211</v>
      </c>
      <c r="R953" t="str">
        <f>"SALA 10"</f>
        <v>SALA 10</v>
      </c>
      <c r="S953" t="str">
        <f>"1257"</f>
        <v>1257</v>
      </c>
      <c r="T953" t="str">
        <f>"88054010"</f>
        <v>88054010</v>
      </c>
      <c r="U953" t="str">
        <f>"CANASVIEIRAS"</f>
        <v>CANASVIEIRAS</v>
      </c>
      <c r="V953" t="str">
        <f>"FLORIANOPOLIS"</f>
        <v>FLORIANOPOLIS</v>
      </c>
      <c r="W953" t="str">
        <f t="shared" si="471"/>
        <v>SC</v>
      </c>
      <c r="X953" t="str">
        <f t="shared" si="475"/>
        <v>48</v>
      </c>
      <c r="Y953" t="str">
        <f>"33690454"</f>
        <v>33690454</v>
      </c>
      <c r="Z953" t="str">
        <f>""</f>
        <v/>
      </c>
      <c r="AA953" t="str">
        <f>""</f>
        <v/>
      </c>
      <c r="AB953" t="str">
        <f>""</f>
        <v/>
      </c>
      <c r="AC953" t="str">
        <f>""</f>
        <v/>
      </c>
      <c r="AD953" t="str">
        <f>""</f>
        <v/>
      </c>
      <c r="AE953" t="str">
        <f>""</f>
        <v/>
      </c>
      <c r="AF953" t="str">
        <f>""</f>
        <v/>
      </c>
      <c r="AG953" t="str">
        <f>""</f>
        <v/>
      </c>
      <c r="AH953" t="str">
        <f>""</f>
        <v/>
      </c>
      <c r="AI953" t="str">
        <f>""</f>
        <v/>
      </c>
      <c r="AJ953" t="str">
        <f>""</f>
        <v/>
      </c>
      <c r="AK953" t="str">
        <f>""</f>
        <v/>
      </c>
      <c r="AL953" t="str">
        <f>""</f>
        <v/>
      </c>
      <c r="AM953" t="str">
        <f>""</f>
        <v/>
      </c>
      <c r="AN953" t="str">
        <f>""</f>
        <v/>
      </c>
      <c r="AO953" t="str">
        <f>""</f>
        <v/>
      </c>
      <c r="AP953" t="str">
        <f>""</f>
        <v/>
      </c>
      <c r="AQ953" t="str">
        <f>""</f>
        <v/>
      </c>
      <c r="AR953" t="str">
        <f>""</f>
        <v/>
      </c>
      <c r="AS953" t="str">
        <f>""</f>
        <v/>
      </c>
      <c r="AT953" t="str">
        <f>""</f>
        <v/>
      </c>
      <c r="AU953" t="str">
        <f>""</f>
        <v/>
      </c>
      <c r="AV953" t="str">
        <f>""</f>
        <v/>
      </c>
      <c r="AW953" t="str">
        <f>""</f>
        <v/>
      </c>
      <c r="AX953" t="str">
        <f>""</f>
        <v/>
      </c>
      <c r="AY953" t="str">
        <f>""</f>
        <v/>
      </c>
      <c r="AZ953" t="str">
        <f>""</f>
        <v/>
      </c>
      <c r="BA953" t="str">
        <f>""</f>
        <v/>
      </c>
      <c r="BB953" t="str">
        <f>"11/07/2023 02:19:56"</f>
        <v>11/07/2023 02:19:56</v>
      </c>
      <c r="BC953" t="str">
        <f>""</f>
        <v/>
      </c>
      <c r="BD953" t="str">
        <f>""</f>
        <v/>
      </c>
      <c r="BE953" t="str">
        <f>""</f>
        <v/>
      </c>
      <c r="BF953" t="str">
        <f t="shared" si="455"/>
        <v>A</v>
      </c>
      <c r="BG953" t="str">
        <f>""</f>
        <v/>
      </c>
      <c r="BH953" t="str">
        <f>""</f>
        <v/>
      </c>
      <c r="BI953" t="str">
        <f t="shared" si="466"/>
        <v>EVENTUAL</v>
      </c>
      <c r="BJ953" t="str">
        <f t="shared" si="456"/>
        <v>1</v>
      </c>
      <c r="BK953" t="str">
        <f t="shared" si="457"/>
        <v>Farmacia</v>
      </c>
      <c r="BL953" t="str">
        <f>""</f>
        <v/>
      </c>
      <c r="BM953" t="str">
        <f>""</f>
        <v/>
      </c>
      <c r="BN953" t="str">
        <f>""</f>
        <v/>
      </c>
      <c r="BO953" t="str">
        <f>""</f>
        <v/>
      </c>
      <c r="BP953" t="str">
        <f>""</f>
        <v/>
      </c>
      <c r="BQ953" t="str">
        <f>""</f>
        <v/>
      </c>
      <c r="BR953" t="str">
        <f>"11/07/2023"</f>
        <v>11/07/2023</v>
      </c>
      <c r="BS953" t="str">
        <f>""</f>
        <v/>
      </c>
      <c r="BT953" t="str">
        <f>""</f>
        <v/>
      </c>
      <c r="BU953" t="str">
        <f>""</f>
        <v/>
      </c>
      <c r="BV953" t="str">
        <f>""</f>
        <v/>
      </c>
      <c r="BW953" t="str">
        <f>"4"</f>
        <v>4</v>
      </c>
    </row>
    <row r="954" spans="1:75" x14ac:dyDescent="0.35">
      <c r="A954">
        <v>156957</v>
      </c>
      <c r="B954" t="str">
        <f t="shared" si="451"/>
        <v>A</v>
      </c>
      <c r="C954" t="str">
        <f t="shared" si="452"/>
        <v>80</v>
      </c>
      <c r="D954" t="str">
        <f t="shared" si="472"/>
        <v>11121002</v>
      </c>
      <c r="E954" t="str">
        <f t="shared" si="473"/>
        <v>121002</v>
      </c>
      <c r="F954" t="str">
        <f t="shared" si="474"/>
        <v>CINTHIA NORONHA</v>
      </c>
      <c r="G954" t="str">
        <f>"24897350000160"</f>
        <v>24897350000160</v>
      </c>
      <c r="H954" t="str">
        <f>"0"</f>
        <v>0</v>
      </c>
      <c r="I954" t="str">
        <f t="shared" si="453"/>
        <v>CONTA OPTICA</v>
      </c>
      <c r="J954" t="str">
        <f>"OTICA CAPELLO EIRELI - ME"</f>
        <v>OTICA CAPELLO EIRELI - ME</v>
      </c>
      <c r="K954" t="str">
        <f>"OTICAS FERRI (3315)"</f>
        <v>OTICAS FERRI (3315)</v>
      </c>
      <c r="L954" t="str">
        <f>""</f>
        <v/>
      </c>
      <c r="M954" t="str">
        <f>""</f>
        <v/>
      </c>
      <c r="N954" t="str">
        <f>"PESSOAL@SECURITYCONTABILIDADE.COM.BR"</f>
        <v>PESSOAL@SECURITYCONTABILIDADE.COM.BR</v>
      </c>
      <c r="O954" t="str">
        <f>""</f>
        <v/>
      </c>
      <c r="P954" t="str">
        <f>"RUA LEOBERTO LEAL"</f>
        <v>RUA LEOBERTO LEAL</v>
      </c>
      <c r="Q954" t="str">
        <f>"87"</f>
        <v>87</v>
      </c>
      <c r="R954" t="str">
        <f>"SALA 01"</f>
        <v>SALA 01</v>
      </c>
      <c r="S954" t="str">
        <f>"1259"</f>
        <v>1259</v>
      </c>
      <c r="T954" t="str">
        <f>"88117001"</f>
        <v>88117001</v>
      </c>
      <c r="U954" t="str">
        <f>"BARREIROS"</f>
        <v>BARREIROS</v>
      </c>
      <c r="V954" t="str">
        <f>"SAO JOSE"</f>
        <v>SAO JOSE</v>
      </c>
      <c r="W954" t="str">
        <f t="shared" si="471"/>
        <v>SC</v>
      </c>
      <c r="X954" t="str">
        <f t="shared" si="475"/>
        <v>48</v>
      </c>
      <c r="Y954" t="str">
        <f>"32576101"</f>
        <v>32576101</v>
      </c>
      <c r="Z954" t="str">
        <f>""</f>
        <v/>
      </c>
      <c r="AA954" t="str">
        <f>""</f>
        <v/>
      </c>
      <c r="AB954" t="str">
        <f>""</f>
        <v/>
      </c>
      <c r="AC954" t="str">
        <f>""</f>
        <v/>
      </c>
      <c r="AD954" t="str">
        <f>""</f>
        <v/>
      </c>
      <c r="AE954" t="str">
        <f>""</f>
        <v/>
      </c>
      <c r="AF954" t="str">
        <f>""</f>
        <v/>
      </c>
      <c r="AG954" t="str">
        <f>""</f>
        <v/>
      </c>
      <c r="AH954" t="str">
        <f>""</f>
        <v/>
      </c>
      <c r="AI954" t="str">
        <f>""</f>
        <v/>
      </c>
      <c r="AJ954" t="str">
        <f>""</f>
        <v/>
      </c>
      <c r="AK954" t="str">
        <f>""</f>
        <v/>
      </c>
      <c r="AL954" t="str">
        <f>""</f>
        <v/>
      </c>
      <c r="AM954" t="str">
        <f>""</f>
        <v/>
      </c>
      <c r="AN954" t="str">
        <f>""</f>
        <v/>
      </c>
      <c r="AO954" t="str">
        <f>""</f>
        <v/>
      </c>
      <c r="AP954" t="str">
        <f>""</f>
        <v/>
      </c>
      <c r="AQ954" t="str">
        <f>""</f>
        <v/>
      </c>
      <c r="AR954" t="str">
        <f>""</f>
        <v/>
      </c>
      <c r="AS954" t="str">
        <f>""</f>
        <v/>
      </c>
      <c r="AT954" t="str">
        <f>""</f>
        <v/>
      </c>
      <c r="AU954" t="str">
        <f>""</f>
        <v/>
      </c>
      <c r="AV954" t="str">
        <f>""</f>
        <v/>
      </c>
      <c r="AW954" t="str">
        <f>""</f>
        <v/>
      </c>
      <c r="AX954" t="str">
        <f>""</f>
        <v/>
      </c>
      <c r="AY954" t="str">
        <f>""</f>
        <v/>
      </c>
      <c r="AZ954" t="str">
        <f>""</f>
        <v/>
      </c>
      <c r="BA954" t="str">
        <f>""</f>
        <v/>
      </c>
      <c r="BB954" t="str">
        <f>"06/07/2023 12:07:48"</f>
        <v>06/07/2023 12:07:48</v>
      </c>
      <c r="BC954" t="str">
        <f>""</f>
        <v/>
      </c>
      <c r="BD954" t="str">
        <f>""</f>
        <v/>
      </c>
      <c r="BE954" t="str">
        <f>""</f>
        <v/>
      </c>
      <c r="BF954" t="str">
        <f t="shared" si="455"/>
        <v>A</v>
      </c>
      <c r="BG954" t="str">
        <f>""</f>
        <v/>
      </c>
      <c r="BH954" t="str">
        <f>""</f>
        <v/>
      </c>
      <c r="BI954" t="str">
        <f t="shared" si="466"/>
        <v>EVENTUAL</v>
      </c>
      <c r="BJ954" t="str">
        <f t="shared" si="456"/>
        <v>1</v>
      </c>
      <c r="BK954" t="str">
        <f t="shared" si="457"/>
        <v>Farmacia</v>
      </c>
      <c r="BL954" t="str">
        <f>""</f>
        <v/>
      </c>
      <c r="BM954" t="str">
        <f>""</f>
        <v/>
      </c>
      <c r="BN954" t="str">
        <f>""</f>
        <v/>
      </c>
      <c r="BO954" t="str">
        <f>""</f>
        <v/>
      </c>
      <c r="BP954" t="str">
        <f>""</f>
        <v/>
      </c>
      <c r="BQ954" t="str">
        <f>""</f>
        <v/>
      </c>
      <c r="BR954" t="str">
        <f>"06/07/2023"</f>
        <v>06/07/2023</v>
      </c>
      <c r="BS954" t="str">
        <f>""</f>
        <v/>
      </c>
      <c r="BT954" t="str">
        <f>""</f>
        <v/>
      </c>
      <c r="BU954" t="str">
        <f>""</f>
        <v/>
      </c>
      <c r="BV954" t="str">
        <f>""</f>
        <v/>
      </c>
      <c r="BW954" t="str">
        <f>"Não visitado"</f>
        <v>Não visitado</v>
      </c>
    </row>
    <row r="955" spans="1:75" x14ac:dyDescent="0.35">
      <c r="A955">
        <v>135058</v>
      </c>
      <c r="B955" t="str">
        <f t="shared" si="451"/>
        <v>A</v>
      </c>
      <c r="C955" t="str">
        <f t="shared" si="452"/>
        <v>80</v>
      </c>
      <c r="D955" t="str">
        <f t="shared" si="472"/>
        <v>11121002</v>
      </c>
      <c r="E955" t="str">
        <f t="shared" si="473"/>
        <v>121002</v>
      </c>
      <c r="F955" t="str">
        <f t="shared" si="474"/>
        <v>CINTHIA NORONHA</v>
      </c>
      <c r="G955" t="str">
        <f>"30869961000289"</f>
        <v>30869961000289</v>
      </c>
      <c r="H955" t="str">
        <f>"0"</f>
        <v>0</v>
      </c>
      <c r="I955" t="str">
        <f t="shared" si="453"/>
        <v>CONTA OPTICA</v>
      </c>
      <c r="J955" t="str">
        <f>"OTICA CONSELHEIRO MAFRA LTDA"</f>
        <v>OTICA CONSELHEIRO MAFRA LTDA</v>
      </c>
      <c r="K955" t="str">
        <f>"INSTITUTO DOS OCULOS (4293)"</f>
        <v>INSTITUTO DOS OCULOS (4293)</v>
      </c>
      <c r="L955" t="str">
        <f>""</f>
        <v/>
      </c>
      <c r="M955" t="str">
        <f>""</f>
        <v/>
      </c>
      <c r="N955" t="str">
        <f>"FLORIPA2@INSTITUTODOSOCULOS.COM"</f>
        <v>FLORIPA2@INSTITUTODOSOCULOS.COM</v>
      </c>
      <c r="O955" t="str">
        <f>""</f>
        <v/>
      </c>
      <c r="P955" t="str">
        <f>"RUA SETE DE SETEMBRO"</f>
        <v>RUA SETE DE SETEMBRO</v>
      </c>
      <c r="Q955" t="str">
        <f>"130"</f>
        <v>130</v>
      </c>
      <c r="R955" t="str">
        <f>""</f>
        <v/>
      </c>
      <c r="S955" t="str">
        <f>"1254"</f>
        <v>1254</v>
      </c>
      <c r="T955" t="str">
        <f>"88010060"</f>
        <v>88010060</v>
      </c>
      <c r="U955" t="str">
        <f>"CENTRO"</f>
        <v>CENTRO</v>
      </c>
      <c r="V955" t="str">
        <f>"FLORIANÓPOLIS"</f>
        <v>FLORIANÓPOLIS</v>
      </c>
      <c r="W955" t="str">
        <f t="shared" si="471"/>
        <v>SC</v>
      </c>
      <c r="X955" t="str">
        <f t="shared" si="475"/>
        <v>48</v>
      </c>
      <c r="Y955" t="str">
        <f>"33715060"</f>
        <v>33715060</v>
      </c>
      <c r="Z955" t="str">
        <f>""</f>
        <v/>
      </c>
      <c r="AA955" t="str">
        <f>""</f>
        <v/>
      </c>
      <c r="AB955" t="str">
        <f>""</f>
        <v/>
      </c>
      <c r="AC955" t="str">
        <f>""</f>
        <v/>
      </c>
      <c r="AD955" t="str">
        <f>""</f>
        <v/>
      </c>
      <c r="AE955" t="str">
        <f>""</f>
        <v/>
      </c>
      <c r="AF955" t="str">
        <f>""</f>
        <v/>
      </c>
      <c r="AG955" t="str">
        <f>"S"</f>
        <v>S</v>
      </c>
      <c r="AH955" t="str">
        <f>""</f>
        <v/>
      </c>
      <c r="AI955" t="str">
        <f>""</f>
        <v/>
      </c>
      <c r="AJ955" t="str">
        <f>""</f>
        <v/>
      </c>
      <c r="AK955" t="str">
        <f>""</f>
        <v/>
      </c>
      <c r="AL955" t="str">
        <f>""</f>
        <v/>
      </c>
      <c r="AM955" t="str">
        <f>""</f>
        <v/>
      </c>
      <c r="AN955" t="str">
        <f>""</f>
        <v/>
      </c>
      <c r="AO955" t="str">
        <f>""</f>
        <v/>
      </c>
      <c r="AP955" t="str">
        <f>""</f>
        <v/>
      </c>
      <c r="AQ955" t="str">
        <f>"N"</f>
        <v>N</v>
      </c>
      <c r="AR955" t="str">
        <f>"N"</f>
        <v>N</v>
      </c>
      <c r="AS955" t="str">
        <f>"N"</f>
        <v>N</v>
      </c>
      <c r="AT955" t="str">
        <f>"N"</f>
        <v>N</v>
      </c>
      <c r="AU955" t="str">
        <f>"N"</f>
        <v>N</v>
      </c>
      <c r="AV955" t="str">
        <f>""</f>
        <v/>
      </c>
      <c r="AW955" t="str">
        <f>""</f>
        <v/>
      </c>
      <c r="AX955" t="str">
        <f>""</f>
        <v/>
      </c>
      <c r="AY955" t="str">
        <f>""</f>
        <v/>
      </c>
      <c r="AZ955" t="str">
        <f>""</f>
        <v/>
      </c>
      <c r="BA955" t="str">
        <f>""</f>
        <v/>
      </c>
      <c r="BB955" t="str">
        <f>"12/04/2021 16:47:23"</f>
        <v>12/04/2021 16:47:23</v>
      </c>
      <c r="BC955" t="str">
        <f>"10/09/2021 17:20:50"</f>
        <v>10/09/2021 17:20:50</v>
      </c>
      <c r="BD955" t="str">
        <f>""</f>
        <v/>
      </c>
      <c r="BE955" t="str">
        <f>""</f>
        <v/>
      </c>
      <c r="BF955" t="str">
        <f t="shared" si="455"/>
        <v>A</v>
      </c>
      <c r="BG955" t="str">
        <f>""</f>
        <v/>
      </c>
      <c r="BH955" t="str">
        <f>"0,00"</f>
        <v>0,00</v>
      </c>
      <c r="BI955" t="str">
        <f t="shared" si="466"/>
        <v>EVENTUAL</v>
      </c>
      <c r="BJ955" t="str">
        <f t="shared" si="456"/>
        <v>1</v>
      </c>
      <c r="BK955" t="str">
        <f t="shared" si="457"/>
        <v>Farmacia</v>
      </c>
      <c r="BL955" t="str">
        <f>""</f>
        <v/>
      </c>
      <c r="BM955" t="str">
        <f>"NÃO É VARILUX ESPECIALISTA"</f>
        <v>NÃO É VARILUX ESPECIALISTA</v>
      </c>
      <c r="BN955" t="str">
        <f>"NA"</f>
        <v>NA</v>
      </c>
      <c r="BO955" t="str">
        <f>"OUTROS"</f>
        <v>OUTROS</v>
      </c>
      <c r="BP955" t="str">
        <f>""</f>
        <v/>
      </c>
      <c r="BQ955" t="str">
        <f>""</f>
        <v/>
      </c>
      <c r="BR955" t="str">
        <f>"12/04/2021"</f>
        <v>12/04/2021</v>
      </c>
      <c r="BS955" t="str">
        <f>"10/09/2021"</f>
        <v>10/09/2021</v>
      </c>
      <c r="BT955" t="str">
        <f>""</f>
        <v/>
      </c>
      <c r="BU955" t="str">
        <f>""</f>
        <v/>
      </c>
      <c r="BV955" t="str">
        <f>""</f>
        <v/>
      </c>
      <c r="BW955" t="str">
        <f>"569"</f>
        <v>569</v>
      </c>
    </row>
    <row r="956" spans="1:75" x14ac:dyDescent="0.35">
      <c r="A956">
        <v>144388</v>
      </c>
      <c r="B956" t="str">
        <f t="shared" si="451"/>
        <v>A</v>
      </c>
      <c r="C956" t="str">
        <f t="shared" si="452"/>
        <v>80</v>
      </c>
      <c r="D956" t="str">
        <f t="shared" si="472"/>
        <v>11121002</v>
      </c>
      <c r="E956" t="str">
        <f t="shared" si="473"/>
        <v>121002</v>
      </c>
      <c r="F956" t="str">
        <f t="shared" si="474"/>
        <v>CINTHIA NORONHA</v>
      </c>
      <c r="G956" t="str">
        <f>"83199786000145"</f>
        <v>83199786000145</v>
      </c>
      <c r="H956" t="str">
        <f>""</f>
        <v/>
      </c>
      <c r="I956" t="str">
        <f t="shared" si="453"/>
        <v>CONTA OPTICA</v>
      </c>
      <c r="J956" t="str">
        <f>"OTICA CRICIUMA LTDA"</f>
        <v>OTICA CRICIUMA LTDA</v>
      </c>
      <c r="K956" t="str">
        <f>"OTICA CRICIUMA LTDA (285)"</f>
        <v>OTICA CRICIUMA LTDA (285)</v>
      </c>
      <c r="L956" t="str">
        <f>""</f>
        <v/>
      </c>
      <c r="M956" t="str">
        <f>""</f>
        <v/>
      </c>
      <c r="N956" t="str">
        <f>"oticacriciuma@hotmail.com"</f>
        <v>oticacriciuma@hotmail.com</v>
      </c>
      <c r="O956" t="str">
        <f>""</f>
        <v/>
      </c>
      <c r="P956" t="str">
        <f>"TRAVESSA ENGENHEIRO BOA NOVA"</f>
        <v>TRAVESSA ENGENHEIRO BOA NOVA</v>
      </c>
      <c r="Q956" t="str">
        <f>"26"</f>
        <v>26</v>
      </c>
      <c r="R956" t="str">
        <f>""</f>
        <v/>
      </c>
      <c r="S956" t="str">
        <f>"1269"</f>
        <v>1269</v>
      </c>
      <c r="T956" t="str">
        <f>"88801260"</f>
        <v>88801260</v>
      </c>
      <c r="U956" t="str">
        <f>"CENTRO"</f>
        <v>CENTRO</v>
      </c>
      <c r="V956" t="str">
        <f>"CRICIÚMA"</f>
        <v>CRICIÚMA</v>
      </c>
      <c r="W956" t="str">
        <f t="shared" si="471"/>
        <v>SC</v>
      </c>
      <c r="X956" t="str">
        <f t="shared" si="475"/>
        <v>48</v>
      </c>
      <c r="Y956" t="str">
        <f>"34336840"</f>
        <v>34336840</v>
      </c>
      <c r="Z956" t="str">
        <f>""</f>
        <v/>
      </c>
      <c r="AA956" t="str">
        <f>""</f>
        <v/>
      </c>
      <c r="AB956" t="str">
        <f>""</f>
        <v/>
      </c>
      <c r="AC956" t="str">
        <f>""</f>
        <v/>
      </c>
      <c r="AD956" t="str">
        <f>""</f>
        <v/>
      </c>
      <c r="AE956" t="str">
        <f>""</f>
        <v/>
      </c>
      <c r="AF956" t="str">
        <f>""</f>
        <v/>
      </c>
      <c r="AG956" t="str">
        <f>""</f>
        <v/>
      </c>
      <c r="AH956" t="str">
        <f>""</f>
        <v/>
      </c>
      <c r="AI956" t="str">
        <f>""</f>
        <v/>
      </c>
      <c r="AJ956" t="str">
        <f>"0"</f>
        <v>0</v>
      </c>
      <c r="AK956" t="str">
        <f>"0"</f>
        <v>0</v>
      </c>
      <c r="AL956" t="str">
        <f>"0"</f>
        <v>0</v>
      </c>
      <c r="AM956" t="str">
        <f>""</f>
        <v/>
      </c>
      <c r="AN956" t="str">
        <f>""</f>
        <v/>
      </c>
      <c r="AO956" t="str">
        <f>""</f>
        <v/>
      </c>
      <c r="AP956" t="str">
        <f>""</f>
        <v/>
      </c>
      <c r="AQ956" t="str">
        <f>""</f>
        <v/>
      </c>
      <c r="AR956" t="str">
        <f>""</f>
        <v/>
      </c>
      <c r="AS956" t="str">
        <f>""</f>
        <v/>
      </c>
      <c r="AT956" t="str">
        <f>""</f>
        <v/>
      </c>
      <c r="AU956" t="str">
        <f>""</f>
        <v/>
      </c>
      <c r="AV956" t="str">
        <f>""</f>
        <v/>
      </c>
      <c r="AW956" t="str">
        <f>""</f>
        <v/>
      </c>
      <c r="AX956" t="str">
        <f>""</f>
        <v/>
      </c>
      <c r="AY956" t="str">
        <f>""</f>
        <v/>
      </c>
      <c r="AZ956" t="str">
        <f>""</f>
        <v/>
      </c>
      <c r="BA956" t="str">
        <f>""</f>
        <v/>
      </c>
      <c r="BB956" t="str">
        <f>""</f>
        <v/>
      </c>
      <c r="BC956" t="str">
        <f>""</f>
        <v/>
      </c>
      <c r="BD956" t="str">
        <f>""</f>
        <v/>
      </c>
      <c r="BE956" t="str">
        <f>""</f>
        <v/>
      </c>
      <c r="BF956" t="str">
        <f t="shared" si="455"/>
        <v>A</v>
      </c>
      <c r="BG956" t="str">
        <f>"0,00"</f>
        <v>0,00</v>
      </c>
      <c r="BH956" t="str">
        <f>"0,00"</f>
        <v>0,00</v>
      </c>
      <c r="BI956" t="str">
        <f t="shared" si="466"/>
        <v>EVENTUAL</v>
      </c>
      <c r="BJ956" t="str">
        <f t="shared" si="456"/>
        <v>1</v>
      </c>
      <c r="BK956" t="str">
        <f t="shared" si="457"/>
        <v>Farmacia</v>
      </c>
      <c r="BL956" t="str">
        <f>""</f>
        <v/>
      </c>
      <c r="BM956" t="str">
        <f>"NÃO É VARILUX ESPECIALISTA"</f>
        <v>NÃO É VARILUX ESPECIALISTA</v>
      </c>
      <c r="BN956" t="str">
        <f>"NA"</f>
        <v>NA</v>
      </c>
      <c r="BO956" t="str">
        <f>"FOCO KODAK 2"</f>
        <v>FOCO KODAK 2</v>
      </c>
      <c r="BP956" t="str">
        <f>""</f>
        <v/>
      </c>
      <c r="BQ956" t="str">
        <f>""</f>
        <v/>
      </c>
      <c r="BR956" t="str">
        <f>""</f>
        <v/>
      </c>
      <c r="BS956" t="str">
        <f>""</f>
        <v/>
      </c>
      <c r="BT956" t="str">
        <f>""</f>
        <v/>
      </c>
      <c r="BU956" t="str">
        <f>""</f>
        <v/>
      </c>
      <c r="BV956" t="str">
        <f>"6"</f>
        <v>6</v>
      </c>
      <c r="BW956" t="str">
        <f>"35"</f>
        <v>35</v>
      </c>
    </row>
    <row r="957" spans="1:75" x14ac:dyDescent="0.35">
      <c r="A957">
        <v>157641</v>
      </c>
      <c r="B957" t="str">
        <f t="shared" si="451"/>
        <v>A</v>
      </c>
      <c r="C957" t="str">
        <f t="shared" si="452"/>
        <v>80</v>
      </c>
      <c r="D957" t="str">
        <f t="shared" si="472"/>
        <v>11121002</v>
      </c>
      <c r="E957" t="str">
        <f t="shared" si="473"/>
        <v>121002</v>
      </c>
      <c r="F957" t="str">
        <f t="shared" si="474"/>
        <v>CINTHIA NORONHA</v>
      </c>
      <c r="G957" t="str">
        <f>"40160382000135"</f>
        <v>40160382000135</v>
      </c>
      <c r="H957" t="str">
        <f>"0"</f>
        <v>0</v>
      </c>
      <c r="I957" t="str">
        <f t="shared" si="453"/>
        <v>CONTA OPTICA</v>
      </c>
      <c r="J957" t="str">
        <f>"OTICA CRICIUMA LTDA"</f>
        <v>OTICA CRICIUMA LTDA</v>
      </c>
      <c r="K957" t="str">
        <f>"OTICA CRICIUMA (4402)"</f>
        <v>OTICA CRICIUMA (4402)</v>
      </c>
      <c r="L957" t="str">
        <f>""</f>
        <v/>
      </c>
      <c r="M957" t="str">
        <f>""</f>
        <v/>
      </c>
      <c r="N957" t="str">
        <f>"EMILYPNTRABALHO@GMAIL.COM"</f>
        <v>EMILYPNTRABALHO@GMAIL.COM</v>
      </c>
      <c r="O957" t="str">
        <f>""</f>
        <v/>
      </c>
      <c r="P957" t="str">
        <f>"RUA JORGE ELIAS DE LUCCA"</f>
        <v>RUA JORGE ELIAS DE LUCCA</v>
      </c>
      <c r="Q957" t="str">
        <f>"677"</f>
        <v>677</v>
      </c>
      <c r="R957" t="str">
        <f>"SALA 135"</f>
        <v>SALA 135</v>
      </c>
      <c r="S957" t="str">
        <f>""</f>
        <v/>
      </c>
      <c r="T957" t="str">
        <f>"88813901"</f>
        <v>88813901</v>
      </c>
      <c r="U957" t="str">
        <f>"NOSSA SENHORA DA SALETE"</f>
        <v>NOSSA SENHORA DA SALETE</v>
      </c>
      <c r="V957" t="str">
        <f>"CRICIUMA"</f>
        <v>CRICIUMA</v>
      </c>
      <c r="W957" t="str">
        <f t="shared" si="471"/>
        <v>SC</v>
      </c>
      <c r="X957" t="str">
        <f t="shared" si="475"/>
        <v>48</v>
      </c>
      <c r="Y957" t="str">
        <f>"999220809"</f>
        <v>999220809</v>
      </c>
      <c r="Z957" t="str">
        <f>""</f>
        <v/>
      </c>
      <c r="AA957" t="str">
        <f>""</f>
        <v/>
      </c>
      <c r="AB957" t="str">
        <f>""</f>
        <v/>
      </c>
      <c r="AC957" t="str">
        <f>""</f>
        <v/>
      </c>
      <c r="AD957" t="str">
        <f>""</f>
        <v/>
      </c>
      <c r="AE957" t="str">
        <f>""</f>
        <v/>
      </c>
      <c r="AF957" t="str">
        <f>""</f>
        <v/>
      </c>
      <c r="AG957" t="str">
        <f>""</f>
        <v/>
      </c>
      <c r="AH957" t="str">
        <f>""</f>
        <v/>
      </c>
      <c r="AI957" t="str">
        <f>""</f>
        <v/>
      </c>
      <c r="AJ957" t="str">
        <f>""</f>
        <v/>
      </c>
      <c r="AK957" t="str">
        <f>""</f>
        <v/>
      </c>
      <c r="AL957" t="str">
        <f>""</f>
        <v/>
      </c>
      <c r="AM957" t="str">
        <f>""</f>
        <v/>
      </c>
      <c r="AN957" t="str">
        <f>""</f>
        <v/>
      </c>
      <c r="AO957" t="str">
        <f>""</f>
        <v/>
      </c>
      <c r="AP957" t="str">
        <f>""</f>
        <v/>
      </c>
      <c r="AQ957" t="str">
        <f>""</f>
        <v/>
      </c>
      <c r="AR957" t="str">
        <f>""</f>
        <v/>
      </c>
      <c r="AS957" t="str">
        <f>""</f>
        <v/>
      </c>
      <c r="AT957" t="str">
        <f>""</f>
        <v/>
      </c>
      <c r="AU957" t="str">
        <f>""</f>
        <v/>
      </c>
      <c r="AV957" t="str">
        <f>""</f>
        <v/>
      </c>
      <c r="AW957" t="str">
        <f>""</f>
        <v/>
      </c>
      <c r="AX957" t="str">
        <f>""</f>
        <v/>
      </c>
      <c r="AY957" t="str">
        <f>""</f>
        <v/>
      </c>
      <c r="AZ957" t="str">
        <f>""</f>
        <v/>
      </c>
      <c r="BA957" t="str">
        <f>""</f>
        <v/>
      </c>
      <c r="BB957" t="str">
        <f>"11/07/2023 02:19:56"</f>
        <v>11/07/2023 02:19:56</v>
      </c>
      <c r="BC957" t="str">
        <f>""</f>
        <v/>
      </c>
      <c r="BD957" t="str">
        <f>""</f>
        <v/>
      </c>
      <c r="BE957" t="str">
        <f>""</f>
        <v/>
      </c>
      <c r="BF957" t="str">
        <f t="shared" si="455"/>
        <v>A</v>
      </c>
      <c r="BG957" t="str">
        <f>""</f>
        <v/>
      </c>
      <c r="BH957" t="str">
        <f>""</f>
        <v/>
      </c>
      <c r="BI957" t="str">
        <f t="shared" si="466"/>
        <v>EVENTUAL</v>
      </c>
      <c r="BJ957" t="str">
        <f t="shared" si="456"/>
        <v>1</v>
      </c>
      <c r="BK957" t="str">
        <f t="shared" si="457"/>
        <v>Farmacia</v>
      </c>
      <c r="BL957" t="str">
        <f>""</f>
        <v/>
      </c>
      <c r="BM957" t="str">
        <f>""</f>
        <v/>
      </c>
      <c r="BN957" t="str">
        <f>""</f>
        <v/>
      </c>
      <c r="BO957" t="str">
        <f>""</f>
        <v/>
      </c>
      <c r="BP957" t="str">
        <f>""</f>
        <v/>
      </c>
      <c r="BQ957" t="str">
        <f>""</f>
        <v/>
      </c>
      <c r="BR957" t="str">
        <f>"11/07/2023"</f>
        <v>11/07/2023</v>
      </c>
      <c r="BS957" t="str">
        <f>""</f>
        <v/>
      </c>
      <c r="BT957" t="str">
        <f>""</f>
        <v/>
      </c>
      <c r="BU957" t="str">
        <f>""</f>
        <v/>
      </c>
      <c r="BV957" t="str">
        <f>""</f>
        <v/>
      </c>
      <c r="BW957" t="str">
        <f>"Não visitado"</f>
        <v>Não visitado</v>
      </c>
    </row>
    <row r="958" spans="1:75" x14ac:dyDescent="0.35">
      <c r="A958">
        <v>134276</v>
      </c>
      <c r="B958" t="str">
        <f t="shared" si="451"/>
        <v>A</v>
      </c>
      <c r="C958" t="str">
        <f t="shared" si="452"/>
        <v>80</v>
      </c>
      <c r="D958" t="str">
        <f t="shared" si="472"/>
        <v>11121002</v>
      </c>
      <c r="E958" t="str">
        <f t="shared" si="473"/>
        <v>121002</v>
      </c>
      <c r="F958" t="str">
        <f t="shared" si="474"/>
        <v>CINTHIA NORONHA</v>
      </c>
      <c r="G958" t="str">
        <f>"76382050000142"</f>
        <v>76382050000142</v>
      </c>
      <c r="H958" t="str">
        <f>""</f>
        <v/>
      </c>
      <c r="I958" t="str">
        <f t="shared" si="453"/>
        <v>CONTA OPTICA</v>
      </c>
      <c r="J958" t="str">
        <f>"OTICA CRISTAL LENTE LTDA"</f>
        <v>OTICA CRISTAL LENTE LTDA</v>
      </c>
      <c r="K958" t="str">
        <f>"OTICA CRISTAL (286)"</f>
        <v>OTICA CRISTAL (286)</v>
      </c>
      <c r="L958" t="str">
        <f>""</f>
        <v/>
      </c>
      <c r="M958" t="str">
        <f>""</f>
        <v/>
      </c>
      <c r="N958" t="str">
        <f>"oticacristal_ltda@hotmail.com"</f>
        <v>oticacristal_ltda@hotmail.com</v>
      </c>
      <c r="O958" t="str">
        <f>""</f>
        <v/>
      </c>
      <c r="P958" t="str">
        <f>"RUA VIDAL RAMOS"</f>
        <v>RUA VIDAL RAMOS</v>
      </c>
      <c r="Q958" t="str">
        <f>"210"</f>
        <v>210</v>
      </c>
      <c r="R958" t="str">
        <f>""</f>
        <v/>
      </c>
      <c r="S958" t="str">
        <f>"1254"</f>
        <v>1254</v>
      </c>
      <c r="T958" t="str">
        <f>"88010320"</f>
        <v>88010320</v>
      </c>
      <c r="U958" t="str">
        <f>"CENTRO"</f>
        <v>CENTRO</v>
      </c>
      <c r="V958" t="str">
        <f>"FLORIANÓPOLIS"</f>
        <v>FLORIANÓPOLIS</v>
      </c>
      <c r="W958" t="str">
        <f t="shared" si="471"/>
        <v>SC</v>
      </c>
      <c r="X958" t="str">
        <f t="shared" si="475"/>
        <v>48</v>
      </c>
      <c r="Y958" t="str">
        <f>"32234048"</f>
        <v>32234048</v>
      </c>
      <c r="Z958" t="str">
        <f>""</f>
        <v/>
      </c>
      <c r="AA958" t="str">
        <f>""</f>
        <v/>
      </c>
      <c r="AB958" t="str">
        <f>""</f>
        <v/>
      </c>
      <c r="AC958" t="str">
        <f>""</f>
        <v/>
      </c>
      <c r="AD958" t="str">
        <f>""</f>
        <v/>
      </c>
      <c r="AE958" t="str">
        <f>""</f>
        <v/>
      </c>
      <c r="AF958" t="str">
        <f>""</f>
        <v/>
      </c>
      <c r="AG958" t="str">
        <f>"S"</f>
        <v>S</v>
      </c>
      <c r="AH958" t="str">
        <f>""</f>
        <v/>
      </c>
      <c r="AI958" t="str">
        <f>""</f>
        <v/>
      </c>
      <c r="AJ958" t="str">
        <f t="shared" ref="AJ958:AL960" si="477">"0"</f>
        <v>0</v>
      </c>
      <c r="AK958" t="str">
        <f t="shared" si="477"/>
        <v>0</v>
      </c>
      <c r="AL958" t="str">
        <f t="shared" si="477"/>
        <v>0</v>
      </c>
      <c r="AM958" t="str">
        <f>""</f>
        <v/>
      </c>
      <c r="AN958" t="str">
        <f>""</f>
        <v/>
      </c>
      <c r="AO958" t="str">
        <f>""</f>
        <v/>
      </c>
      <c r="AP958" t="str">
        <f>""</f>
        <v/>
      </c>
      <c r="AQ958" t="str">
        <f t="shared" ref="AQ958:AU959" si="478">"N"</f>
        <v>N</v>
      </c>
      <c r="AR958" t="str">
        <f t="shared" si="478"/>
        <v>N</v>
      </c>
      <c r="AS958" t="str">
        <f t="shared" si="478"/>
        <v>N</v>
      </c>
      <c r="AT958" t="str">
        <f t="shared" si="478"/>
        <v>N</v>
      </c>
      <c r="AU958" t="str">
        <f t="shared" si="478"/>
        <v>N</v>
      </c>
      <c r="AV958" t="str">
        <f>""</f>
        <v/>
      </c>
      <c r="AW958" t="str">
        <f>""</f>
        <v/>
      </c>
      <c r="AX958" t="str">
        <f>""</f>
        <v/>
      </c>
      <c r="AY958" t="str">
        <f>""</f>
        <v/>
      </c>
      <c r="AZ958" t="str">
        <f>""</f>
        <v/>
      </c>
      <c r="BA958" t="str">
        <f>""</f>
        <v/>
      </c>
      <c r="BB958" t="str">
        <f>""</f>
        <v/>
      </c>
      <c r="BC958" t="str">
        <f>"06/12/2021 15:13:15"</f>
        <v>06/12/2021 15:13:15</v>
      </c>
      <c r="BD958" t="str">
        <f>""</f>
        <v/>
      </c>
      <c r="BE958" t="str">
        <f>""</f>
        <v/>
      </c>
      <c r="BF958" t="str">
        <f t="shared" si="455"/>
        <v>A</v>
      </c>
      <c r="BG958" t="str">
        <f t="shared" ref="BG958:BH960" si="479">"0,00"</f>
        <v>0,00</v>
      </c>
      <c r="BH958" t="str">
        <f t="shared" si="479"/>
        <v>0,00</v>
      </c>
      <c r="BI958" t="str">
        <f t="shared" si="466"/>
        <v>EVENTUAL</v>
      </c>
      <c r="BJ958" t="str">
        <f t="shared" si="456"/>
        <v>1</v>
      </c>
      <c r="BK958" t="str">
        <f t="shared" si="457"/>
        <v>Farmacia</v>
      </c>
      <c r="BL958" t="str">
        <f>""</f>
        <v/>
      </c>
      <c r="BM958" t="str">
        <f>"NÃO É VARILUX ESPECIALISTA"</f>
        <v>NÃO É VARILUX ESPECIALISTA</v>
      </c>
      <c r="BN958" t="str">
        <f>"NA"</f>
        <v>NA</v>
      </c>
      <c r="BO958" t="str">
        <f>"FOCO VARILUX"</f>
        <v>FOCO VARILUX</v>
      </c>
      <c r="BP958" t="str">
        <f>""</f>
        <v/>
      </c>
      <c r="BQ958" t="str">
        <f>""</f>
        <v/>
      </c>
      <c r="BR958" t="str">
        <f>""</f>
        <v/>
      </c>
      <c r="BS958" t="str">
        <f>"06/12/2021"</f>
        <v>06/12/2021</v>
      </c>
      <c r="BT958" t="str">
        <f>""</f>
        <v/>
      </c>
      <c r="BU958" t="str">
        <f>""</f>
        <v/>
      </c>
      <c r="BV958" t="str">
        <f>"9"</f>
        <v>9</v>
      </c>
      <c r="BW958" t="str">
        <f>"515"</f>
        <v>515</v>
      </c>
    </row>
    <row r="959" spans="1:75" x14ac:dyDescent="0.35">
      <c r="A959">
        <v>134268</v>
      </c>
      <c r="B959" t="str">
        <f t="shared" si="451"/>
        <v>A</v>
      </c>
      <c r="C959" t="str">
        <f t="shared" si="452"/>
        <v>80</v>
      </c>
      <c r="D959" t="str">
        <f t="shared" si="472"/>
        <v>11121002</v>
      </c>
      <c r="E959" t="str">
        <f t="shared" si="473"/>
        <v>121002</v>
      </c>
      <c r="F959" t="str">
        <f t="shared" si="474"/>
        <v>CINTHIA NORONHA</v>
      </c>
      <c r="G959" t="str">
        <f>"28915358000163"</f>
        <v>28915358000163</v>
      </c>
      <c r="H959" t="str">
        <f>""</f>
        <v/>
      </c>
      <c r="I959" t="str">
        <f t="shared" si="453"/>
        <v>CONTA OPTICA</v>
      </c>
      <c r="J959" t="str">
        <f>"OTICA E RELOJOARIA BEATRIZ LTDA"</f>
        <v>OTICA E RELOJOARIA BEATRIZ LTDA</v>
      </c>
      <c r="K959" t="str">
        <f>"OTICA E RELOJOARIA BEATRIZ (3851)"</f>
        <v>OTICA E RELOJOARIA BEATRIZ (3851)</v>
      </c>
      <c r="L959" t="str">
        <f>""</f>
        <v/>
      </c>
      <c r="M959" t="str">
        <f>""</f>
        <v/>
      </c>
      <c r="N959" t="str">
        <f>"oticabeatriz_imbuia@hotmail.com"</f>
        <v>oticabeatriz_imbuia@hotmail.com</v>
      </c>
      <c r="O959" t="str">
        <f>""</f>
        <v/>
      </c>
      <c r="P959" t="str">
        <f>"RUA CELSO RAMOS"</f>
        <v>RUA CELSO RAMOS</v>
      </c>
      <c r="Q959" t="str">
        <f>"125"</f>
        <v>125</v>
      </c>
      <c r="R959" t="str">
        <f>""</f>
        <v/>
      </c>
      <c r="S959" t="str">
        <f>"1264"</f>
        <v>1264</v>
      </c>
      <c r="T959" t="str">
        <f>"88440000"</f>
        <v>88440000</v>
      </c>
      <c r="U959" t="str">
        <f>"CENTRO"</f>
        <v>CENTRO</v>
      </c>
      <c r="V959" t="str">
        <f>"IMBUIA"</f>
        <v>IMBUIA</v>
      </c>
      <c r="W959" t="str">
        <f t="shared" si="471"/>
        <v>SC</v>
      </c>
      <c r="X959" t="str">
        <f>"47"</f>
        <v>47</v>
      </c>
      <c r="Y959" t="str">
        <f>"35571962"</f>
        <v>35571962</v>
      </c>
      <c r="Z959" t="str">
        <f>""</f>
        <v/>
      </c>
      <c r="AA959" t="str">
        <f>""</f>
        <v/>
      </c>
      <c r="AB959" t="str">
        <f>""</f>
        <v/>
      </c>
      <c r="AC959" t="str">
        <f>""</f>
        <v/>
      </c>
      <c r="AD959" t="str">
        <f>""</f>
        <v/>
      </c>
      <c r="AE959" t="str">
        <f>""</f>
        <v/>
      </c>
      <c r="AF959" t="str">
        <f>""</f>
        <v/>
      </c>
      <c r="AG959" t="str">
        <f>"S"</f>
        <v>S</v>
      </c>
      <c r="AH959" t="str">
        <f>""</f>
        <v/>
      </c>
      <c r="AI959" t="str">
        <f>""</f>
        <v/>
      </c>
      <c r="AJ959" t="str">
        <f t="shared" si="477"/>
        <v>0</v>
      </c>
      <c r="AK959" t="str">
        <f t="shared" si="477"/>
        <v>0</v>
      </c>
      <c r="AL959" t="str">
        <f t="shared" si="477"/>
        <v>0</v>
      </c>
      <c r="AM959" t="str">
        <f>""</f>
        <v/>
      </c>
      <c r="AN959" t="str">
        <f>""</f>
        <v/>
      </c>
      <c r="AO959" t="str">
        <f>""</f>
        <v/>
      </c>
      <c r="AP959" t="str">
        <f>""</f>
        <v/>
      </c>
      <c r="AQ959" t="str">
        <f t="shared" si="478"/>
        <v>N</v>
      </c>
      <c r="AR959" t="str">
        <f t="shared" si="478"/>
        <v>N</v>
      </c>
      <c r="AS959" t="str">
        <f t="shared" si="478"/>
        <v>N</v>
      </c>
      <c r="AT959" t="str">
        <f t="shared" si="478"/>
        <v>N</v>
      </c>
      <c r="AU959" t="str">
        <f t="shared" si="478"/>
        <v>N</v>
      </c>
      <c r="AV959" t="str">
        <f>""</f>
        <v/>
      </c>
      <c r="AW959" t="str">
        <f>""</f>
        <v/>
      </c>
      <c r="AX959" t="str">
        <f>""</f>
        <v/>
      </c>
      <c r="AY959" t="str">
        <f>""</f>
        <v/>
      </c>
      <c r="AZ959" t="str">
        <f>""</f>
        <v/>
      </c>
      <c r="BA959" t="str">
        <f>""</f>
        <v/>
      </c>
      <c r="BB959" t="str">
        <f>""</f>
        <v/>
      </c>
      <c r="BC959" t="str">
        <f>"23/01/2023 14:51:14"</f>
        <v>23/01/2023 14:51:14</v>
      </c>
      <c r="BD959" t="str">
        <f>""</f>
        <v/>
      </c>
      <c r="BE959" t="str">
        <f>""</f>
        <v/>
      </c>
      <c r="BF959" t="str">
        <f t="shared" si="455"/>
        <v>A</v>
      </c>
      <c r="BG959" t="str">
        <f t="shared" si="479"/>
        <v>0,00</v>
      </c>
      <c r="BH959" t="str">
        <f t="shared" si="479"/>
        <v>0,00</v>
      </c>
      <c r="BI959" t="str">
        <f t="shared" si="466"/>
        <v>EVENTUAL</v>
      </c>
      <c r="BJ959" t="str">
        <f t="shared" si="456"/>
        <v>1</v>
      </c>
      <c r="BK959" t="str">
        <f t="shared" si="457"/>
        <v>Farmacia</v>
      </c>
      <c r="BL959" t="str">
        <f>""</f>
        <v/>
      </c>
      <c r="BM959" t="str">
        <f>"NÃO É VARILUX ESPECIALISTA"</f>
        <v>NÃO É VARILUX ESPECIALISTA</v>
      </c>
      <c r="BN959" t="str">
        <f>"NA"</f>
        <v>NA</v>
      </c>
      <c r="BO959" t="str">
        <f>"OUTROS"</f>
        <v>OUTROS</v>
      </c>
      <c r="BP959" t="str">
        <f>""</f>
        <v/>
      </c>
      <c r="BQ959" t="str">
        <f>""</f>
        <v/>
      </c>
      <c r="BR959" t="str">
        <f>""</f>
        <v/>
      </c>
      <c r="BS959" t="str">
        <f>"23/01/2023"</f>
        <v>23/01/2023</v>
      </c>
      <c r="BT959" t="str">
        <f>""</f>
        <v/>
      </c>
      <c r="BU959" t="str">
        <f>""</f>
        <v/>
      </c>
      <c r="BV959" t="str">
        <f>"9"</f>
        <v>9</v>
      </c>
      <c r="BW959" t="str">
        <f>"17"</f>
        <v>17</v>
      </c>
    </row>
    <row r="960" spans="1:75" x14ac:dyDescent="0.35">
      <c r="A960">
        <v>144390</v>
      </c>
      <c r="B960" t="str">
        <f t="shared" si="451"/>
        <v>A</v>
      </c>
      <c r="C960" t="str">
        <f t="shared" si="452"/>
        <v>80</v>
      </c>
      <c r="D960" t="str">
        <f t="shared" si="472"/>
        <v>11121002</v>
      </c>
      <c r="E960" t="str">
        <f t="shared" si="473"/>
        <v>121002</v>
      </c>
      <c r="F960" t="str">
        <f t="shared" si="474"/>
        <v>CINTHIA NORONHA</v>
      </c>
      <c r="G960" t="str">
        <f>"83668046000100"</f>
        <v>83668046000100</v>
      </c>
      <c r="H960" t="str">
        <f>""</f>
        <v/>
      </c>
      <c r="I960" t="str">
        <f t="shared" si="453"/>
        <v>CONTA OPTICA</v>
      </c>
      <c r="J960" t="str">
        <f>"OTICA E RELOJOARIA DALEFFE LTDA  ME"</f>
        <v>OTICA E RELOJOARIA DALEFFE LTDA  ME</v>
      </c>
      <c r="K960" t="str">
        <f>"OTICA E RELOJOARIA DALEFFE LTDA ME (575)"</f>
        <v>OTICA E RELOJOARIA DALEFFE LTDA ME (575)</v>
      </c>
      <c r="L960" t="str">
        <f>""</f>
        <v/>
      </c>
      <c r="M960" t="str">
        <f>""</f>
        <v/>
      </c>
      <c r="N960" t="str">
        <f>"dionelio@daleffe.com.br"</f>
        <v>dionelio@daleffe.com.br</v>
      </c>
      <c r="O960" t="str">
        <f>""</f>
        <v/>
      </c>
      <c r="P960" t="str">
        <f>"RUA DOS IMIGRANTES"</f>
        <v>RUA DOS IMIGRANTES</v>
      </c>
      <c r="Q960" t="str">
        <f>"2149"</f>
        <v>2149</v>
      </c>
      <c r="R960" t="str">
        <f>""</f>
        <v/>
      </c>
      <c r="S960" t="str">
        <f>"1269"</f>
        <v>1269</v>
      </c>
      <c r="T960" t="str">
        <f>"88818400"</f>
        <v>88818400</v>
      </c>
      <c r="U960" t="str">
        <f>"RIO MAINA"</f>
        <v>RIO MAINA</v>
      </c>
      <c r="V960" t="str">
        <f>"CRICIUMA"</f>
        <v>CRICIUMA</v>
      </c>
      <c r="W960" t="str">
        <f t="shared" si="471"/>
        <v>SC</v>
      </c>
      <c r="X960" t="str">
        <f t="shared" ref="X960:X965" si="480">"48"</f>
        <v>48</v>
      </c>
      <c r="Y960" t="str">
        <f>"34387022"</f>
        <v>34387022</v>
      </c>
      <c r="Z960" t="str">
        <f>""</f>
        <v/>
      </c>
      <c r="AA960" t="str">
        <f>""</f>
        <v/>
      </c>
      <c r="AB960" t="str">
        <f>""</f>
        <v/>
      </c>
      <c r="AC960" t="str">
        <f>""</f>
        <v/>
      </c>
      <c r="AD960" t="str">
        <f>""</f>
        <v/>
      </c>
      <c r="AE960" t="str">
        <f>""</f>
        <v/>
      </c>
      <c r="AF960" t="str">
        <f>""</f>
        <v/>
      </c>
      <c r="AG960" t="str">
        <f>""</f>
        <v/>
      </c>
      <c r="AH960" t="str">
        <f>""</f>
        <v/>
      </c>
      <c r="AI960" t="str">
        <f>""</f>
        <v/>
      </c>
      <c r="AJ960" t="str">
        <f t="shared" si="477"/>
        <v>0</v>
      </c>
      <c r="AK960" t="str">
        <f t="shared" si="477"/>
        <v>0</v>
      </c>
      <c r="AL960" t="str">
        <f t="shared" si="477"/>
        <v>0</v>
      </c>
      <c r="AM960" t="str">
        <f>""</f>
        <v/>
      </c>
      <c r="AN960" t="str">
        <f>""</f>
        <v/>
      </c>
      <c r="AO960" t="str">
        <f>""</f>
        <v/>
      </c>
      <c r="AP960" t="str">
        <f>""</f>
        <v/>
      </c>
      <c r="AQ960" t="str">
        <f>""</f>
        <v/>
      </c>
      <c r="AR960" t="str">
        <f>""</f>
        <v/>
      </c>
      <c r="AS960" t="str">
        <f>""</f>
        <v/>
      </c>
      <c r="AT960" t="str">
        <f>""</f>
        <v/>
      </c>
      <c r="AU960" t="str">
        <f>""</f>
        <v/>
      </c>
      <c r="AV960" t="str">
        <f>""</f>
        <v/>
      </c>
      <c r="AW960" t="str">
        <f>""</f>
        <v/>
      </c>
      <c r="AX960" t="str">
        <f>""</f>
        <v/>
      </c>
      <c r="AY960" t="str">
        <f>""</f>
        <v/>
      </c>
      <c r="AZ960" t="str">
        <f>""</f>
        <v/>
      </c>
      <c r="BA960" t="str">
        <f>""</f>
        <v/>
      </c>
      <c r="BB960" t="str">
        <f>""</f>
        <v/>
      </c>
      <c r="BC960" t="str">
        <f>""</f>
        <v/>
      </c>
      <c r="BD960" t="str">
        <f>""</f>
        <v/>
      </c>
      <c r="BE960" t="str">
        <f>""</f>
        <v/>
      </c>
      <c r="BF960" t="str">
        <f t="shared" si="455"/>
        <v>A</v>
      </c>
      <c r="BG960" t="str">
        <f t="shared" si="479"/>
        <v>0,00</v>
      </c>
      <c r="BH960" t="str">
        <f t="shared" si="479"/>
        <v>0,00</v>
      </c>
      <c r="BI960" t="str">
        <f t="shared" si="466"/>
        <v>EVENTUAL</v>
      </c>
      <c r="BJ960" t="str">
        <f t="shared" si="456"/>
        <v>1</v>
      </c>
      <c r="BK960" t="str">
        <f t="shared" si="457"/>
        <v>Farmacia</v>
      </c>
      <c r="BL960" t="str">
        <f>""</f>
        <v/>
      </c>
      <c r="BM960" t="str">
        <f>"NÃO É VARILUX ESPECIALISTA"</f>
        <v>NÃO É VARILUX ESPECIALISTA</v>
      </c>
      <c r="BN960" t="str">
        <f>"NA"</f>
        <v>NA</v>
      </c>
      <c r="BO960" t="str">
        <f>"FOCO KODAK 2"</f>
        <v>FOCO KODAK 2</v>
      </c>
      <c r="BP960" t="str">
        <f>""</f>
        <v/>
      </c>
      <c r="BQ960" t="str">
        <f>""</f>
        <v/>
      </c>
      <c r="BR960" t="str">
        <f>""</f>
        <v/>
      </c>
      <c r="BS960" t="str">
        <f>""</f>
        <v/>
      </c>
      <c r="BT960" t="str">
        <f>""</f>
        <v/>
      </c>
      <c r="BU960" t="str">
        <f>""</f>
        <v/>
      </c>
      <c r="BV960" t="str">
        <f>"9"</f>
        <v>9</v>
      </c>
      <c r="BW960" t="str">
        <f>"64"</f>
        <v>64</v>
      </c>
    </row>
    <row r="961" spans="1:75" x14ac:dyDescent="0.35">
      <c r="A961">
        <v>156900</v>
      </c>
      <c r="B961" t="str">
        <f t="shared" si="451"/>
        <v>A</v>
      </c>
      <c r="C961" t="str">
        <f t="shared" si="452"/>
        <v>80</v>
      </c>
      <c r="D961" t="str">
        <f t="shared" si="472"/>
        <v>11121002</v>
      </c>
      <c r="E961" t="str">
        <f t="shared" si="473"/>
        <v>121002</v>
      </c>
      <c r="F961" t="str">
        <f t="shared" si="474"/>
        <v>CINTHIA NORONHA</v>
      </c>
      <c r="G961" t="str">
        <f>"50191183000148"</f>
        <v>50191183000148</v>
      </c>
      <c r="H961" t="str">
        <f>"0"</f>
        <v>0</v>
      </c>
      <c r="I961" t="str">
        <f t="shared" si="453"/>
        <v>CONTA OPTICA</v>
      </c>
      <c r="J961" t="str">
        <f>"OTICA E RELOJOARIA ESTEIO LTDA"</f>
        <v>OTICA E RELOJOARIA ESTEIO LTDA</v>
      </c>
      <c r="K961" t="str">
        <f>"OTICA ESTEIO (4695)"</f>
        <v>OTICA ESTEIO (4695)</v>
      </c>
      <c r="L961" t="str">
        <f>""</f>
        <v/>
      </c>
      <c r="M961" t="str">
        <f>""</f>
        <v/>
      </c>
      <c r="N961" t="str">
        <f>"OTICAESTEIOLAGUNA@HOTMAIL.COM"</f>
        <v>OTICAESTEIOLAGUNA@HOTMAIL.COM</v>
      </c>
      <c r="O961" t="str">
        <f>""</f>
        <v/>
      </c>
      <c r="P961" t="str">
        <f>"RUA RAULINO HORN"</f>
        <v>RUA RAULINO HORN</v>
      </c>
      <c r="Q961" t="str">
        <f>"41"</f>
        <v>41</v>
      </c>
      <c r="R961" t="str">
        <f>""</f>
        <v/>
      </c>
      <c r="S961" t="str">
        <f>"1268"</f>
        <v>1268</v>
      </c>
      <c r="T961" t="str">
        <f>"88790000"</f>
        <v>88790000</v>
      </c>
      <c r="U961" t="str">
        <f>"CENTRO"</f>
        <v>CENTRO</v>
      </c>
      <c r="V961" t="str">
        <f>"LAGUNA"</f>
        <v>LAGUNA</v>
      </c>
      <c r="W961" t="str">
        <f t="shared" si="471"/>
        <v>SC</v>
      </c>
      <c r="X961" t="str">
        <f t="shared" si="480"/>
        <v>48</v>
      </c>
      <c r="Y961" t="str">
        <f>"36440804"</f>
        <v>36440804</v>
      </c>
      <c r="Z961" t="str">
        <f>""</f>
        <v/>
      </c>
      <c r="AA961" t="str">
        <f>""</f>
        <v/>
      </c>
      <c r="AB961" t="str">
        <f>""</f>
        <v/>
      </c>
      <c r="AC961" t="str">
        <f>""</f>
        <v/>
      </c>
      <c r="AD961" t="str">
        <f>""</f>
        <v/>
      </c>
      <c r="AE961" t="str">
        <f>""</f>
        <v/>
      </c>
      <c r="AF961" t="str">
        <f>""</f>
        <v/>
      </c>
      <c r="AG961" t="str">
        <f>""</f>
        <v/>
      </c>
      <c r="AH961" t="str">
        <f>""</f>
        <v/>
      </c>
      <c r="AI961" t="str">
        <f>""</f>
        <v/>
      </c>
      <c r="AJ961" t="str">
        <f>""</f>
        <v/>
      </c>
      <c r="AK961" t="str">
        <f>""</f>
        <v/>
      </c>
      <c r="AL961" t="str">
        <f>""</f>
        <v/>
      </c>
      <c r="AM961" t="str">
        <f>""</f>
        <v/>
      </c>
      <c r="AN961" t="str">
        <f>""</f>
        <v/>
      </c>
      <c r="AO961" t="str">
        <f>""</f>
        <v/>
      </c>
      <c r="AP961" t="str">
        <f>""</f>
        <v/>
      </c>
      <c r="AQ961" t="str">
        <f>""</f>
        <v/>
      </c>
      <c r="AR961" t="str">
        <f>""</f>
        <v/>
      </c>
      <c r="AS961" t="str">
        <f>""</f>
        <v/>
      </c>
      <c r="AT961" t="str">
        <f>""</f>
        <v/>
      </c>
      <c r="AU961" t="str">
        <f>""</f>
        <v/>
      </c>
      <c r="AV961" t="str">
        <f>""</f>
        <v/>
      </c>
      <c r="AW961" t="str">
        <f>""</f>
        <v/>
      </c>
      <c r="AX961" t="str">
        <f>""</f>
        <v/>
      </c>
      <c r="AY961" t="str">
        <f>""</f>
        <v/>
      </c>
      <c r="AZ961" t="str">
        <f>""</f>
        <v/>
      </c>
      <c r="BA961" t="str">
        <f>""</f>
        <v/>
      </c>
      <c r="BB961" t="str">
        <f>"06/07/2023 12:07:48"</f>
        <v>06/07/2023 12:07:48</v>
      </c>
      <c r="BC961" t="str">
        <f>""</f>
        <v/>
      </c>
      <c r="BD961" t="str">
        <f>""</f>
        <v/>
      </c>
      <c r="BE961" t="str">
        <f>""</f>
        <v/>
      </c>
      <c r="BF961" t="str">
        <f t="shared" si="455"/>
        <v>A</v>
      </c>
      <c r="BG961" t="str">
        <f>""</f>
        <v/>
      </c>
      <c r="BH961" t="str">
        <f>""</f>
        <v/>
      </c>
      <c r="BI961" t="str">
        <f t="shared" si="466"/>
        <v>EVENTUAL</v>
      </c>
      <c r="BJ961" t="str">
        <f t="shared" si="456"/>
        <v>1</v>
      </c>
      <c r="BK961" t="str">
        <f t="shared" si="457"/>
        <v>Farmacia</v>
      </c>
      <c r="BL961" t="str">
        <f>""</f>
        <v/>
      </c>
      <c r="BM961" t="str">
        <f>""</f>
        <v/>
      </c>
      <c r="BN961" t="str">
        <f>""</f>
        <v/>
      </c>
      <c r="BO961" t="str">
        <f>""</f>
        <v/>
      </c>
      <c r="BP961" t="str">
        <f>""</f>
        <v/>
      </c>
      <c r="BQ961" t="str">
        <f>""</f>
        <v/>
      </c>
      <c r="BR961" t="str">
        <f>"06/07/2023"</f>
        <v>06/07/2023</v>
      </c>
      <c r="BS961" t="str">
        <f>""</f>
        <v/>
      </c>
      <c r="BT961" t="str">
        <f>""</f>
        <v/>
      </c>
      <c r="BU961" t="str">
        <f>""</f>
        <v/>
      </c>
      <c r="BV961" t="str">
        <f>""</f>
        <v/>
      </c>
      <c r="BW961" t="str">
        <f>"135"</f>
        <v>135</v>
      </c>
    </row>
    <row r="962" spans="1:75" x14ac:dyDescent="0.35">
      <c r="A962">
        <v>144357</v>
      </c>
      <c r="B962" t="str">
        <f t="shared" ref="B962:B1025" si="481">"A"</f>
        <v>A</v>
      </c>
      <c r="C962" t="str">
        <f t="shared" ref="C962:C1025" si="482">"80"</f>
        <v>80</v>
      </c>
      <c r="D962" t="str">
        <f t="shared" si="472"/>
        <v>11121002</v>
      </c>
      <c r="E962" t="str">
        <f t="shared" si="473"/>
        <v>121002</v>
      </c>
      <c r="F962" t="str">
        <f t="shared" si="474"/>
        <v>CINTHIA NORONHA</v>
      </c>
      <c r="G962" t="str">
        <f>"27747464000112"</f>
        <v>27747464000112</v>
      </c>
      <c r="H962" t="str">
        <f>""</f>
        <v/>
      </c>
      <c r="I962" t="str">
        <f t="shared" ref="I962:I1025" si="483">"CONTA OPTICA"</f>
        <v>CONTA OPTICA</v>
      </c>
      <c r="J962" t="str">
        <f>"OTICA E RELOJOARIA PACHECO LTDA"</f>
        <v>OTICA E RELOJOARIA PACHECO LTDA</v>
      </c>
      <c r="K962" t="str">
        <f>"OTICA PACHECO (3804)"</f>
        <v>OTICA PACHECO (3804)</v>
      </c>
      <c r="L962" t="str">
        <f>""</f>
        <v/>
      </c>
      <c r="M962" t="str">
        <f>""</f>
        <v/>
      </c>
      <c r="N962" t="str">
        <f>"oticapacheco@hotmail.com"</f>
        <v>oticapacheco@hotmail.com</v>
      </c>
      <c r="O962" t="str">
        <f>""</f>
        <v/>
      </c>
      <c r="P962" t="str">
        <f>"RUA ARISTILIANO RAMOS"</f>
        <v>RUA ARISTILIANO RAMOS</v>
      </c>
      <c r="Q962" t="str">
        <f>"134"</f>
        <v>134</v>
      </c>
      <c r="R962" t="str">
        <f>"SALA 03"</f>
        <v>SALA 03</v>
      </c>
      <c r="S962" t="str">
        <f>"1269"</f>
        <v>1269</v>
      </c>
      <c r="T962" t="str">
        <f>"88870000"</f>
        <v>88870000</v>
      </c>
      <c r="U962" t="str">
        <f>"CENTRO"</f>
        <v>CENTRO</v>
      </c>
      <c r="V962" t="str">
        <f>"ORLEANS"</f>
        <v>ORLEANS</v>
      </c>
      <c r="W962" t="str">
        <f t="shared" si="471"/>
        <v>SC</v>
      </c>
      <c r="X962" t="str">
        <f t="shared" si="480"/>
        <v>48</v>
      </c>
      <c r="Y962" t="str">
        <f>"34663121"</f>
        <v>34663121</v>
      </c>
      <c r="Z962" t="str">
        <f>""</f>
        <v/>
      </c>
      <c r="AA962" t="str">
        <f>""</f>
        <v/>
      </c>
      <c r="AB962" t="str">
        <f>""</f>
        <v/>
      </c>
      <c r="AC962" t="str">
        <f>""</f>
        <v/>
      </c>
      <c r="AD962" t="str">
        <f>""</f>
        <v/>
      </c>
      <c r="AE962" t="str">
        <f>""</f>
        <v/>
      </c>
      <c r="AF962" t="str">
        <f>""</f>
        <v/>
      </c>
      <c r="AG962" t="str">
        <f>""</f>
        <v/>
      </c>
      <c r="AH962" t="str">
        <f>""</f>
        <v/>
      </c>
      <c r="AI962" t="str">
        <f>""</f>
        <v/>
      </c>
      <c r="AJ962" t="str">
        <f t="shared" ref="AJ962:AL966" si="484">"0"</f>
        <v>0</v>
      </c>
      <c r="AK962" t="str">
        <f t="shared" si="484"/>
        <v>0</v>
      </c>
      <c r="AL962" t="str">
        <f t="shared" si="484"/>
        <v>0</v>
      </c>
      <c r="AM962" t="str">
        <f>""</f>
        <v/>
      </c>
      <c r="AN962" t="str">
        <f>""</f>
        <v/>
      </c>
      <c r="AO962" t="str">
        <f>""</f>
        <v/>
      </c>
      <c r="AP962" t="str">
        <f>""</f>
        <v/>
      </c>
      <c r="AQ962" t="str">
        <f>""</f>
        <v/>
      </c>
      <c r="AR962" t="str">
        <f>""</f>
        <v/>
      </c>
      <c r="AS962" t="str">
        <f>""</f>
        <v/>
      </c>
      <c r="AT962" t="str">
        <f>""</f>
        <v/>
      </c>
      <c r="AU962" t="str">
        <f>""</f>
        <v/>
      </c>
      <c r="AV962" t="str">
        <f>""</f>
        <v/>
      </c>
      <c r="AW962" t="str">
        <f>""</f>
        <v/>
      </c>
      <c r="AX962" t="str">
        <f>""</f>
        <v/>
      </c>
      <c r="AY962" t="str">
        <f>""</f>
        <v/>
      </c>
      <c r="AZ962" t="str">
        <f>""</f>
        <v/>
      </c>
      <c r="BA962" t="str">
        <f>""</f>
        <v/>
      </c>
      <c r="BB962" t="str">
        <f>""</f>
        <v/>
      </c>
      <c r="BC962" t="str">
        <f>""</f>
        <v/>
      </c>
      <c r="BD962" t="str">
        <f>""</f>
        <v/>
      </c>
      <c r="BE962" t="str">
        <f>""</f>
        <v/>
      </c>
      <c r="BF962" t="str">
        <f t="shared" ref="BF962:BF1025" si="485">"A"</f>
        <v>A</v>
      </c>
      <c r="BG962" t="str">
        <f t="shared" ref="BG962:BH966" si="486">"0,00"</f>
        <v>0,00</v>
      </c>
      <c r="BH962" t="str">
        <f t="shared" si="486"/>
        <v>0,00</v>
      </c>
      <c r="BI962" t="str">
        <f t="shared" si="466"/>
        <v>EVENTUAL</v>
      </c>
      <c r="BJ962" t="str">
        <f t="shared" ref="BJ962:BJ1025" si="487">"1"</f>
        <v>1</v>
      </c>
      <c r="BK962" t="str">
        <f t="shared" ref="BK962:BK1025" si="488">"Farmacia"</f>
        <v>Farmacia</v>
      </c>
      <c r="BL962" t="str">
        <f>""</f>
        <v/>
      </c>
      <c r="BM962" t="str">
        <f>"NÃO É VARILUX ESPECIALISTA"</f>
        <v>NÃO É VARILUX ESPECIALISTA</v>
      </c>
      <c r="BN962" t="str">
        <f>"NA"</f>
        <v>NA</v>
      </c>
      <c r="BO962" t="str">
        <f>"FOCO VARILUX"</f>
        <v>FOCO VARILUX</v>
      </c>
      <c r="BP962" t="str">
        <f>""</f>
        <v/>
      </c>
      <c r="BQ962" t="str">
        <f>""</f>
        <v/>
      </c>
      <c r="BR962" t="str">
        <f>""</f>
        <v/>
      </c>
      <c r="BS962" t="str">
        <f>""</f>
        <v/>
      </c>
      <c r="BT962" t="str">
        <f>""</f>
        <v/>
      </c>
      <c r="BU962" t="str">
        <f>""</f>
        <v/>
      </c>
      <c r="BV962" t="str">
        <f>"9"</f>
        <v>9</v>
      </c>
      <c r="BW962" t="str">
        <f>"144"</f>
        <v>144</v>
      </c>
    </row>
    <row r="963" spans="1:75" x14ac:dyDescent="0.35">
      <c r="A963">
        <v>144399</v>
      </c>
      <c r="B963" t="str">
        <f t="shared" si="481"/>
        <v>A</v>
      </c>
      <c r="C963" t="str">
        <f t="shared" si="482"/>
        <v>80</v>
      </c>
      <c r="D963" t="str">
        <f t="shared" si="472"/>
        <v>11121002</v>
      </c>
      <c r="E963" t="str">
        <f t="shared" si="473"/>
        <v>121002</v>
      </c>
      <c r="F963" t="str">
        <f t="shared" si="474"/>
        <v>CINTHIA NORONHA</v>
      </c>
      <c r="G963" t="str">
        <f>"86530391000171"</f>
        <v>86530391000171</v>
      </c>
      <c r="H963" t="str">
        <f>""</f>
        <v/>
      </c>
      <c r="I963" t="str">
        <f t="shared" si="483"/>
        <v>CONTA OPTICA</v>
      </c>
      <c r="J963" t="str">
        <f>"OTICA E RELOJOARIA ROBERTA LTDA  EPP"</f>
        <v>OTICA E RELOJOARIA ROBERTA LTDA  EPP</v>
      </c>
      <c r="K963" t="str">
        <f>"RELOJOARIA NANCY (1486)"</f>
        <v>RELOJOARIA NANCY (1486)</v>
      </c>
      <c r="L963" t="str">
        <f>""</f>
        <v/>
      </c>
      <c r="M963" t="str">
        <f>""</f>
        <v/>
      </c>
      <c r="N963" t="str">
        <f>"relojoarianancy@yahoo.com.br"</f>
        <v>relojoarianancy@yahoo.com.br</v>
      </c>
      <c r="O963" t="str">
        <f>""</f>
        <v/>
      </c>
      <c r="P963" t="str">
        <f>"PRACA ANITA GARIBALDI"</f>
        <v>PRACA ANITA GARIBALDI</v>
      </c>
      <c r="Q963" t="str">
        <f>"109"</f>
        <v>109</v>
      </c>
      <c r="R963" t="str">
        <f>""</f>
        <v/>
      </c>
      <c r="S963" t="str">
        <f>"1269"</f>
        <v>1269</v>
      </c>
      <c r="T963" t="str">
        <f>"88840000"</f>
        <v>88840000</v>
      </c>
      <c r="U963" t="str">
        <f>"CENTRO"</f>
        <v>CENTRO</v>
      </c>
      <c r="V963" t="str">
        <f>"URUSSANGA"</f>
        <v>URUSSANGA</v>
      </c>
      <c r="W963" t="str">
        <f t="shared" si="471"/>
        <v>SC</v>
      </c>
      <c r="X963" t="str">
        <f t="shared" si="480"/>
        <v>48</v>
      </c>
      <c r="Y963" t="str">
        <f>"34651222"</f>
        <v>34651222</v>
      </c>
      <c r="Z963" t="str">
        <f>""</f>
        <v/>
      </c>
      <c r="AA963" t="str">
        <f>""</f>
        <v/>
      </c>
      <c r="AB963" t="str">
        <f>""</f>
        <v/>
      </c>
      <c r="AC963" t="str">
        <f>""</f>
        <v/>
      </c>
      <c r="AD963" t="str">
        <f>""</f>
        <v/>
      </c>
      <c r="AE963" t="str">
        <f>""</f>
        <v/>
      </c>
      <c r="AF963" t="str">
        <f>""</f>
        <v/>
      </c>
      <c r="AG963" t="str">
        <f>""</f>
        <v/>
      </c>
      <c r="AH963" t="str">
        <f>""</f>
        <v/>
      </c>
      <c r="AI963" t="str">
        <f>""</f>
        <v/>
      </c>
      <c r="AJ963" t="str">
        <f t="shared" si="484"/>
        <v>0</v>
      </c>
      <c r="AK963" t="str">
        <f t="shared" si="484"/>
        <v>0</v>
      </c>
      <c r="AL963" t="str">
        <f t="shared" si="484"/>
        <v>0</v>
      </c>
      <c r="AM963" t="str">
        <f>""</f>
        <v/>
      </c>
      <c r="AN963" t="str">
        <f>""</f>
        <v/>
      </c>
      <c r="AO963" t="str">
        <f>""</f>
        <v/>
      </c>
      <c r="AP963" t="str">
        <f>""</f>
        <v/>
      </c>
      <c r="AQ963" t="str">
        <f>""</f>
        <v/>
      </c>
      <c r="AR963" t="str">
        <f>""</f>
        <v/>
      </c>
      <c r="AS963" t="str">
        <f>""</f>
        <v/>
      </c>
      <c r="AT963" t="str">
        <f>""</f>
        <v/>
      </c>
      <c r="AU963" t="str">
        <f>""</f>
        <v/>
      </c>
      <c r="AV963" t="str">
        <f>""</f>
        <v/>
      </c>
      <c r="AW963" t="str">
        <f>""</f>
        <v/>
      </c>
      <c r="AX963" t="str">
        <f>""</f>
        <v/>
      </c>
      <c r="AY963" t="str">
        <f>""</f>
        <v/>
      </c>
      <c r="AZ963" t="str">
        <f>""</f>
        <v/>
      </c>
      <c r="BA963" t="str">
        <f>""</f>
        <v/>
      </c>
      <c r="BB963" t="str">
        <f>""</f>
        <v/>
      </c>
      <c r="BC963" t="str">
        <f>""</f>
        <v/>
      </c>
      <c r="BD963" t="str">
        <f>""</f>
        <v/>
      </c>
      <c r="BE963" t="str">
        <f>""</f>
        <v/>
      </c>
      <c r="BF963" t="str">
        <f t="shared" si="485"/>
        <v>A</v>
      </c>
      <c r="BG963" t="str">
        <f t="shared" si="486"/>
        <v>0,00</v>
      </c>
      <c r="BH963" t="str">
        <f t="shared" si="486"/>
        <v>0,00</v>
      </c>
      <c r="BI963" t="str">
        <f t="shared" si="466"/>
        <v>EVENTUAL</v>
      </c>
      <c r="BJ963" t="str">
        <f t="shared" si="487"/>
        <v>1</v>
      </c>
      <c r="BK963" t="str">
        <f t="shared" si="488"/>
        <v>Farmacia</v>
      </c>
      <c r="BL963" t="str">
        <f>""</f>
        <v/>
      </c>
      <c r="BM963" t="str">
        <f>"VARILUX ESPECIALISTA SELECT"</f>
        <v>VARILUX ESPECIALISTA SELECT</v>
      </c>
      <c r="BN963" t="str">
        <f>"NA"</f>
        <v>NA</v>
      </c>
      <c r="BO963" t="str">
        <f>"FOCO VARILUX DIGITAL"</f>
        <v>FOCO VARILUX DIGITAL</v>
      </c>
      <c r="BP963" t="str">
        <f>""</f>
        <v/>
      </c>
      <c r="BQ963" t="str">
        <f>""</f>
        <v/>
      </c>
      <c r="BR963" t="str">
        <f>""</f>
        <v/>
      </c>
      <c r="BS963" t="str">
        <f>""</f>
        <v/>
      </c>
      <c r="BT963" t="str">
        <f>""</f>
        <v/>
      </c>
      <c r="BU963" t="str">
        <f>""</f>
        <v/>
      </c>
      <c r="BV963" t="str">
        <f>"5"</f>
        <v>5</v>
      </c>
      <c r="BW963" t="str">
        <f>"Não visitado"</f>
        <v>Não visitado</v>
      </c>
    </row>
    <row r="964" spans="1:75" x14ac:dyDescent="0.35">
      <c r="A964">
        <v>144508</v>
      </c>
      <c r="B964" t="str">
        <f t="shared" si="481"/>
        <v>A</v>
      </c>
      <c r="C964" t="str">
        <f t="shared" si="482"/>
        <v>80</v>
      </c>
      <c r="D964" t="str">
        <f t="shared" si="472"/>
        <v>11121002</v>
      </c>
      <c r="E964" t="str">
        <f t="shared" si="473"/>
        <v>121002</v>
      </c>
      <c r="F964" t="str">
        <f t="shared" si="474"/>
        <v>CINTHIA NORONHA</v>
      </c>
      <c r="G964" t="str">
        <f>"73763864000309"</f>
        <v>73763864000309</v>
      </c>
      <c r="H964" t="str">
        <f>""</f>
        <v/>
      </c>
      <c r="I964" t="str">
        <f t="shared" si="483"/>
        <v>CONTA OPTICA</v>
      </c>
      <c r="J964" t="str">
        <f>"OTICA E RELOJOARIA STURMER LTDA"</f>
        <v>OTICA E RELOJOARIA STURMER LTDA</v>
      </c>
      <c r="K964" t="str">
        <f>"OPTICA LUNA (3985)"</f>
        <v>OPTICA LUNA (3985)</v>
      </c>
      <c r="L964" t="str">
        <f>""</f>
        <v/>
      </c>
      <c r="M964" t="str">
        <f>""</f>
        <v/>
      </c>
      <c r="N964" t="str">
        <f>"aline907@hotmail.com"</f>
        <v>aline907@hotmail.com</v>
      </c>
      <c r="O964" t="str">
        <f>""</f>
        <v/>
      </c>
      <c r="P964" t="str">
        <f>"ROD SC 434"</f>
        <v>ROD SC 434</v>
      </c>
      <c r="Q964" t="str">
        <f>"10841"</f>
        <v>10841</v>
      </c>
      <c r="R964" t="str">
        <f>"SALA 01"</f>
        <v>SALA 01</v>
      </c>
      <c r="S964" t="str">
        <f>"1265"</f>
        <v>1265</v>
      </c>
      <c r="T964" t="str">
        <f>"88495000"</f>
        <v>88495000</v>
      </c>
      <c r="U964" t="str">
        <f>"CAMPO DUNA"</f>
        <v>CAMPO DUNA</v>
      </c>
      <c r="V964" t="str">
        <f>"GAROPABA"</f>
        <v>GAROPABA</v>
      </c>
      <c r="W964" t="str">
        <f t="shared" si="471"/>
        <v>SC</v>
      </c>
      <c r="X964" t="str">
        <f t="shared" si="480"/>
        <v>48</v>
      </c>
      <c r="Y964" t="str">
        <f>"988368877"</f>
        <v>988368877</v>
      </c>
      <c r="Z964" t="str">
        <f>""</f>
        <v/>
      </c>
      <c r="AA964" t="str">
        <f>""</f>
        <v/>
      </c>
      <c r="AB964" t="str">
        <f>""</f>
        <v/>
      </c>
      <c r="AC964" t="str">
        <f>""</f>
        <v/>
      </c>
      <c r="AD964" t="str">
        <f>""</f>
        <v/>
      </c>
      <c r="AE964" t="str">
        <f>""</f>
        <v/>
      </c>
      <c r="AF964" t="str">
        <f>""</f>
        <v/>
      </c>
      <c r="AG964" t="str">
        <f>""</f>
        <v/>
      </c>
      <c r="AH964" t="str">
        <f>""</f>
        <v/>
      </c>
      <c r="AI964" t="str">
        <f>""</f>
        <v/>
      </c>
      <c r="AJ964" t="str">
        <f t="shared" si="484"/>
        <v>0</v>
      </c>
      <c r="AK964" t="str">
        <f t="shared" si="484"/>
        <v>0</v>
      </c>
      <c r="AL964" t="str">
        <f t="shared" si="484"/>
        <v>0</v>
      </c>
      <c r="AM964" t="str">
        <f>""</f>
        <v/>
      </c>
      <c r="AN964" t="str">
        <f>""</f>
        <v/>
      </c>
      <c r="AO964" t="str">
        <f>""</f>
        <v/>
      </c>
      <c r="AP964" t="str">
        <f>""</f>
        <v/>
      </c>
      <c r="AQ964" t="str">
        <f>""</f>
        <v/>
      </c>
      <c r="AR964" t="str">
        <f>""</f>
        <v/>
      </c>
      <c r="AS964" t="str">
        <f>""</f>
        <v/>
      </c>
      <c r="AT964" t="str">
        <f>""</f>
        <v/>
      </c>
      <c r="AU964" t="str">
        <f>""</f>
        <v/>
      </c>
      <c r="AV964" t="str">
        <f>""</f>
        <v/>
      </c>
      <c r="AW964" t="str">
        <f>""</f>
        <v/>
      </c>
      <c r="AX964" t="str">
        <f>""</f>
        <v/>
      </c>
      <c r="AY964" t="str">
        <f>""</f>
        <v/>
      </c>
      <c r="AZ964" t="str">
        <f>""</f>
        <v/>
      </c>
      <c r="BA964" t="str">
        <f>""</f>
        <v/>
      </c>
      <c r="BB964" t="str">
        <f>""</f>
        <v/>
      </c>
      <c r="BC964" t="str">
        <f>""</f>
        <v/>
      </c>
      <c r="BD964" t="str">
        <f>""</f>
        <v/>
      </c>
      <c r="BE964" t="str">
        <f>""</f>
        <v/>
      </c>
      <c r="BF964" t="str">
        <f t="shared" si="485"/>
        <v>A</v>
      </c>
      <c r="BG964" t="str">
        <f t="shared" si="486"/>
        <v>0,00</v>
      </c>
      <c r="BH964" t="str">
        <f t="shared" si="486"/>
        <v>0,00</v>
      </c>
      <c r="BI964" t="str">
        <f t="shared" si="466"/>
        <v>EVENTUAL</v>
      </c>
      <c r="BJ964" t="str">
        <f t="shared" si="487"/>
        <v>1</v>
      </c>
      <c r="BK964" t="str">
        <f t="shared" si="488"/>
        <v>Farmacia</v>
      </c>
      <c r="BL964" t="str">
        <f>""</f>
        <v/>
      </c>
      <c r="BM964" t="str">
        <f>"NÃO É VARILUX ESPECIALISTA"</f>
        <v>NÃO É VARILUX ESPECIALISTA</v>
      </c>
      <c r="BN964" t="str">
        <f>"NA"</f>
        <v>NA</v>
      </c>
      <c r="BO964" t="str">
        <f>"FOCO VARILUX"</f>
        <v>FOCO VARILUX</v>
      </c>
      <c r="BP964" t="str">
        <f>""</f>
        <v/>
      </c>
      <c r="BQ964" t="str">
        <f>""</f>
        <v/>
      </c>
      <c r="BR964" t="str">
        <f>""</f>
        <v/>
      </c>
      <c r="BS964" t="str">
        <f>""</f>
        <v/>
      </c>
      <c r="BT964" t="str">
        <f>""</f>
        <v/>
      </c>
      <c r="BU964" t="str">
        <f>""</f>
        <v/>
      </c>
      <c r="BV964" t="str">
        <f>"9"</f>
        <v>9</v>
      </c>
      <c r="BW964" t="str">
        <f>"15"</f>
        <v>15</v>
      </c>
    </row>
    <row r="965" spans="1:75" x14ac:dyDescent="0.35">
      <c r="A965">
        <v>144361</v>
      </c>
      <c r="B965" t="str">
        <f t="shared" si="481"/>
        <v>A</v>
      </c>
      <c r="C965" t="str">
        <f t="shared" si="482"/>
        <v>80</v>
      </c>
      <c r="D965" t="str">
        <f t="shared" si="472"/>
        <v>11121002</v>
      </c>
      <c r="E965" t="str">
        <f t="shared" si="473"/>
        <v>121002</v>
      </c>
      <c r="F965" t="str">
        <f t="shared" si="474"/>
        <v>CINTHIA NORONHA</v>
      </c>
      <c r="G965" t="str">
        <f>"73763864000139"</f>
        <v>73763864000139</v>
      </c>
      <c r="H965" t="str">
        <f>""</f>
        <v/>
      </c>
      <c r="I965" t="str">
        <f t="shared" si="483"/>
        <v>CONTA OPTICA</v>
      </c>
      <c r="J965" t="str">
        <f>"OTICA E RELOJOARIA STURMER LTDA ME"</f>
        <v>OTICA E RELOJOARIA STURMER LTDA ME</v>
      </c>
      <c r="K965" t="str">
        <f>"LUNA OPTICA (654)"</f>
        <v>LUNA OPTICA (654)</v>
      </c>
      <c r="L965" t="str">
        <f>""</f>
        <v/>
      </c>
      <c r="M965" t="str">
        <f>""</f>
        <v/>
      </c>
      <c r="N965" t="str">
        <f>"financeiroluna@hotmail.com"</f>
        <v>financeiroluna@hotmail.com</v>
      </c>
      <c r="O965" t="str">
        <f>""</f>
        <v/>
      </c>
      <c r="P965" t="str">
        <f>"RUA TRINTA DE DEZEMBRO"</f>
        <v>RUA TRINTA DE DEZEMBRO</v>
      </c>
      <c r="Q965" t="str">
        <f>"30"</f>
        <v>30</v>
      </c>
      <c r="R965" t="str">
        <f>""</f>
        <v/>
      </c>
      <c r="S965" t="str">
        <f>"1265"</f>
        <v>1265</v>
      </c>
      <c r="T965" t="str">
        <f>"88495000"</f>
        <v>88495000</v>
      </c>
      <c r="U965" t="str">
        <f>"CENTRO"</f>
        <v>CENTRO</v>
      </c>
      <c r="V965" t="str">
        <f>"GAROPABA"</f>
        <v>GAROPABA</v>
      </c>
      <c r="W965" t="str">
        <f t="shared" si="471"/>
        <v>SC</v>
      </c>
      <c r="X965" t="str">
        <f t="shared" si="480"/>
        <v>48</v>
      </c>
      <c r="Y965" t="str">
        <f>"32543150"</f>
        <v>32543150</v>
      </c>
      <c r="Z965" t="str">
        <f>""</f>
        <v/>
      </c>
      <c r="AA965" t="str">
        <f>""</f>
        <v/>
      </c>
      <c r="AB965" t="str">
        <f>""</f>
        <v/>
      </c>
      <c r="AC965" t="str">
        <f>""</f>
        <v/>
      </c>
      <c r="AD965" t="str">
        <f>""</f>
        <v/>
      </c>
      <c r="AE965" t="str">
        <f>""</f>
        <v/>
      </c>
      <c r="AF965" t="str">
        <f>""</f>
        <v/>
      </c>
      <c r="AG965" t="str">
        <f>"N"</f>
        <v>N</v>
      </c>
      <c r="AH965" t="str">
        <f>"N"</f>
        <v>N</v>
      </c>
      <c r="AI965" t="str">
        <f>""</f>
        <v/>
      </c>
      <c r="AJ965" t="str">
        <f t="shared" si="484"/>
        <v>0</v>
      </c>
      <c r="AK965" t="str">
        <f t="shared" si="484"/>
        <v>0</v>
      </c>
      <c r="AL965" t="str">
        <f t="shared" si="484"/>
        <v>0</v>
      </c>
      <c r="AM965" t="str">
        <f>""</f>
        <v/>
      </c>
      <c r="AN965" t="str">
        <f>""</f>
        <v/>
      </c>
      <c r="AO965" t="str">
        <f>""</f>
        <v/>
      </c>
      <c r="AP965" t="str">
        <f>""</f>
        <v/>
      </c>
      <c r="AQ965" t="str">
        <f>"N"</f>
        <v>N</v>
      </c>
      <c r="AR965" t="str">
        <f>"N"</f>
        <v>N</v>
      </c>
      <c r="AS965" t="str">
        <f>""</f>
        <v/>
      </c>
      <c r="AT965" t="str">
        <f>""</f>
        <v/>
      </c>
      <c r="AU965" t="str">
        <f>"N"</f>
        <v>N</v>
      </c>
      <c r="AV965" t="str">
        <f>""</f>
        <v/>
      </c>
      <c r="AW965" t="str">
        <f>""</f>
        <v/>
      </c>
      <c r="AX965" t="str">
        <f>""</f>
        <v/>
      </c>
      <c r="AY965" t="str">
        <f>""</f>
        <v/>
      </c>
      <c r="AZ965" t="str">
        <f>""</f>
        <v/>
      </c>
      <c r="BA965" t="str">
        <f>""</f>
        <v/>
      </c>
      <c r="BB965" t="str">
        <f>""</f>
        <v/>
      </c>
      <c r="BC965" t="str">
        <f>""</f>
        <v/>
      </c>
      <c r="BD965" t="str">
        <f>""</f>
        <v/>
      </c>
      <c r="BE965" t="str">
        <f>""</f>
        <v/>
      </c>
      <c r="BF965" t="str">
        <f t="shared" si="485"/>
        <v>A</v>
      </c>
      <c r="BG965" t="str">
        <f t="shared" si="486"/>
        <v>0,00</v>
      </c>
      <c r="BH965" t="str">
        <f t="shared" si="486"/>
        <v>0,00</v>
      </c>
      <c r="BI965" t="str">
        <f t="shared" si="466"/>
        <v>EVENTUAL</v>
      </c>
      <c r="BJ965" t="str">
        <f t="shared" si="487"/>
        <v>1</v>
      </c>
      <c r="BK965" t="str">
        <f t="shared" si="488"/>
        <v>Farmacia</v>
      </c>
      <c r="BL965" t="str">
        <f>""</f>
        <v/>
      </c>
      <c r="BM965" t="str">
        <f>"VARILUX ESPECIALISTA PLATINE"</f>
        <v>VARILUX ESPECIALISTA PLATINE</v>
      </c>
      <c r="BN965" t="str">
        <f>"NA"</f>
        <v>NA</v>
      </c>
      <c r="BO965" t="str">
        <f>"FOCO VARILUX DIGITAL"</f>
        <v>FOCO VARILUX DIGITAL</v>
      </c>
      <c r="BP965" t="str">
        <f>"ÓTICA INDEPENDENTE"</f>
        <v>ÓTICA INDEPENDENTE</v>
      </c>
      <c r="BQ965" t="str">
        <f>""</f>
        <v/>
      </c>
      <c r="BR965" t="str">
        <f>""</f>
        <v/>
      </c>
      <c r="BS965" t="str">
        <f>""</f>
        <v/>
      </c>
      <c r="BT965" t="str">
        <f>""</f>
        <v/>
      </c>
      <c r="BU965" t="str">
        <f>""</f>
        <v/>
      </c>
      <c r="BV965" t="str">
        <f>"1"</f>
        <v>1</v>
      </c>
      <c r="BW965" t="str">
        <f>"15"</f>
        <v>15</v>
      </c>
    </row>
    <row r="966" spans="1:75" x14ac:dyDescent="0.35">
      <c r="A966">
        <v>127437</v>
      </c>
      <c r="B966" t="str">
        <f t="shared" si="481"/>
        <v>A</v>
      </c>
      <c r="C966" t="str">
        <f t="shared" si="482"/>
        <v>80</v>
      </c>
      <c r="D966" t="str">
        <f t="shared" si="472"/>
        <v>11121002</v>
      </c>
      <c r="E966" t="str">
        <f t="shared" si="473"/>
        <v>121002</v>
      </c>
      <c r="F966" t="str">
        <f t="shared" si="474"/>
        <v>CINTHIA NORONHA</v>
      </c>
      <c r="G966" t="str">
        <f>"04504926000175"</f>
        <v>04504926000175</v>
      </c>
      <c r="H966" t="str">
        <f>"0"</f>
        <v>0</v>
      </c>
      <c r="I966" t="str">
        <f t="shared" si="483"/>
        <v>CONTA OPTICA</v>
      </c>
      <c r="J966" t="str">
        <f>"OTICA ESPECIALISTA  LTDA"</f>
        <v>OTICA ESPECIALISTA  LTDA</v>
      </c>
      <c r="K966" t="str">
        <f>"OTICA ESPECIALISTA (1271)"</f>
        <v>OTICA ESPECIALISTA (1271)</v>
      </c>
      <c r="L966" t="str">
        <f>""</f>
        <v/>
      </c>
      <c r="M966" t="str">
        <f>""</f>
        <v/>
      </c>
      <c r="N966" t="str">
        <f>"oticaespecialista_tc@yahoo.com.br"</f>
        <v>oticaespecialista_tc@yahoo.com.br</v>
      </c>
      <c r="O966" t="str">
        <f>""</f>
        <v/>
      </c>
      <c r="P966" t="str">
        <f>"RUA JOSE ROLIM DE MATOS"</f>
        <v>RUA JOSE ROLIM DE MATOS</v>
      </c>
      <c r="Q966" t="str">
        <f>"33"</f>
        <v>33</v>
      </c>
      <c r="R966" t="str">
        <f>"SALA1"</f>
        <v>SALA1</v>
      </c>
      <c r="S966" t="str">
        <f>"1336"</f>
        <v>1336</v>
      </c>
      <c r="T966" t="str">
        <f>"95580000"</f>
        <v>95580000</v>
      </c>
      <c r="U966" t="str">
        <f>"CENTRO"</f>
        <v>CENTRO</v>
      </c>
      <c r="V966" t="str">
        <f>"TRÊS CACHOEIRAS"</f>
        <v>TRÊS CACHOEIRAS</v>
      </c>
      <c r="W966" t="str">
        <f>"RS"</f>
        <v>RS</v>
      </c>
      <c r="X966" t="str">
        <f>"51"</f>
        <v>51</v>
      </c>
      <c r="Y966" t="str">
        <f>"36671568"</f>
        <v>36671568</v>
      </c>
      <c r="Z966" t="str">
        <f>""</f>
        <v/>
      </c>
      <c r="AA966" t="str">
        <f>""</f>
        <v/>
      </c>
      <c r="AB966" t="str">
        <f>""</f>
        <v/>
      </c>
      <c r="AC966" t="str">
        <f>""</f>
        <v/>
      </c>
      <c r="AD966" t="str">
        <f>""</f>
        <v/>
      </c>
      <c r="AE966" t="str">
        <f>""</f>
        <v/>
      </c>
      <c r="AF966" t="str">
        <f>""</f>
        <v/>
      </c>
      <c r="AG966" t="str">
        <f>""</f>
        <v/>
      </c>
      <c r="AH966" t="str">
        <f>""</f>
        <v/>
      </c>
      <c r="AI966" t="str">
        <f>""</f>
        <v/>
      </c>
      <c r="AJ966" t="str">
        <f t="shared" si="484"/>
        <v>0</v>
      </c>
      <c r="AK966" t="str">
        <f t="shared" si="484"/>
        <v>0</v>
      </c>
      <c r="AL966" t="str">
        <f t="shared" si="484"/>
        <v>0</v>
      </c>
      <c r="AM966" t="str">
        <f>""</f>
        <v/>
      </c>
      <c r="AN966" t="str">
        <f>""</f>
        <v/>
      </c>
      <c r="AO966" t="str">
        <f>""</f>
        <v/>
      </c>
      <c r="AP966" t="str">
        <f>""</f>
        <v/>
      </c>
      <c r="AQ966" t="str">
        <f>""</f>
        <v/>
      </c>
      <c r="AR966" t="str">
        <f>""</f>
        <v/>
      </c>
      <c r="AS966" t="str">
        <f>""</f>
        <v/>
      </c>
      <c r="AT966" t="str">
        <f>""</f>
        <v/>
      </c>
      <c r="AU966" t="str">
        <f>""</f>
        <v/>
      </c>
      <c r="AV966" t="str">
        <f>""</f>
        <v/>
      </c>
      <c r="AW966" t="str">
        <f>""</f>
        <v/>
      </c>
      <c r="AX966" t="str">
        <f>""</f>
        <v/>
      </c>
      <c r="AY966" t="str">
        <f>""</f>
        <v/>
      </c>
      <c r="AZ966" t="str">
        <f>""</f>
        <v/>
      </c>
      <c r="BA966" t="str">
        <f>""</f>
        <v/>
      </c>
      <c r="BB966" t="str">
        <f>"07/10/2020 09:08:38"</f>
        <v>07/10/2020 09:08:38</v>
      </c>
      <c r="BC966" t="str">
        <f>""</f>
        <v/>
      </c>
      <c r="BD966" t="str">
        <f>""</f>
        <v/>
      </c>
      <c r="BE966" t="str">
        <f>""</f>
        <v/>
      </c>
      <c r="BF966" t="str">
        <f t="shared" si="485"/>
        <v>A</v>
      </c>
      <c r="BG966" t="str">
        <f t="shared" si="486"/>
        <v>0,00</v>
      </c>
      <c r="BH966" t="str">
        <f t="shared" si="486"/>
        <v>0,00</v>
      </c>
      <c r="BI966" t="str">
        <f t="shared" si="466"/>
        <v>EVENTUAL</v>
      </c>
      <c r="BJ966" t="str">
        <f t="shared" si="487"/>
        <v>1</v>
      </c>
      <c r="BK966" t="str">
        <f t="shared" si="488"/>
        <v>Farmacia</v>
      </c>
      <c r="BL966" t="str">
        <f>""</f>
        <v/>
      </c>
      <c r="BM966" t="str">
        <f>"NÃO É VARILUX ESPECIALISTA"</f>
        <v>NÃO É VARILUX ESPECIALISTA</v>
      </c>
      <c r="BN966" t="str">
        <f>"NA"</f>
        <v>NA</v>
      </c>
      <c r="BO966" t="str">
        <f>"FOCO VARILUX DIGITAL"</f>
        <v>FOCO VARILUX DIGITAL</v>
      </c>
      <c r="BP966" t="str">
        <f>""</f>
        <v/>
      </c>
      <c r="BQ966" t="str">
        <f>""</f>
        <v/>
      </c>
      <c r="BR966" t="str">
        <f>"07/10/2020"</f>
        <v>07/10/2020</v>
      </c>
      <c r="BS966" t="str">
        <f>""</f>
        <v/>
      </c>
      <c r="BT966" t="str">
        <f>""</f>
        <v/>
      </c>
      <c r="BU966" t="str">
        <f>""</f>
        <v/>
      </c>
      <c r="BV966" t="str">
        <f>"5"</f>
        <v>5</v>
      </c>
      <c r="BW966" t="str">
        <f>"Não visitado"</f>
        <v>Não visitado</v>
      </c>
    </row>
    <row r="967" spans="1:75" x14ac:dyDescent="0.35">
      <c r="A967">
        <v>157726</v>
      </c>
      <c r="B967" t="str">
        <f t="shared" si="481"/>
        <v>A</v>
      </c>
      <c r="C967" t="str">
        <f t="shared" si="482"/>
        <v>80</v>
      </c>
      <c r="D967" t="str">
        <f t="shared" si="472"/>
        <v>11121002</v>
      </c>
      <c r="E967" t="str">
        <f t="shared" si="473"/>
        <v>121002</v>
      </c>
      <c r="F967" t="str">
        <f t="shared" si="474"/>
        <v>CINTHIA NORONHA</v>
      </c>
      <c r="G967" t="str">
        <f>"07975206000186"</f>
        <v>07975206000186</v>
      </c>
      <c r="H967" t="str">
        <f>"0"</f>
        <v>0</v>
      </c>
      <c r="I967" t="str">
        <f t="shared" si="483"/>
        <v>CONTA OPTICA</v>
      </c>
      <c r="J967" t="str">
        <f>"OTICA ESSENCIAL LTDA ME"</f>
        <v>OTICA ESSENCIAL LTDA ME</v>
      </c>
      <c r="K967" t="str">
        <f>"OTICA ESSENCIAL LTDA ME (1292)"</f>
        <v>OTICA ESSENCIAL LTDA ME (1292)</v>
      </c>
      <c r="L967" t="str">
        <f>""</f>
        <v/>
      </c>
      <c r="M967" t="str">
        <f>""</f>
        <v/>
      </c>
      <c r="N967" t="str">
        <f>"OTICAESSENCIAL.JANICE@GMAIL.COM"</f>
        <v>OTICAESSENCIAL.JANICE@GMAIL.COM</v>
      </c>
      <c r="O967" t="str">
        <f>""</f>
        <v/>
      </c>
      <c r="P967" t="str">
        <f>"FERNANDO MACHADO"</f>
        <v>FERNANDO MACHADO</v>
      </c>
      <c r="Q967" t="str">
        <f>"21"</f>
        <v>21</v>
      </c>
      <c r="R967" t="str">
        <f>""</f>
        <v/>
      </c>
      <c r="S967" t="str">
        <f>"1254"</f>
        <v>1254</v>
      </c>
      <c r="T967" t="str">
        <f>"88010510"</f>
        <v>88010510</v>
      </c>
      <c r="U967" t="str">
        <f>"CENTRO"</f>
        <v>CENTRO</v>
      </c>
      <c r="V967" t="str">
        <f>"FLORIANOPOLIS"</f>
        <v>FLORIANOPOLIS</v>
      </c>
      <c r="W967" t="str">
        <f t="shared" ref="W967:W998" si="489">"SC"</f>
        <v>SC</v>
      </c>
      <c r="X967" t="str">
        <f t="shared" ref="X967:X973" si="490">"48"</f>
        <v>48</v>
      </c>
      <c r="Y967" t="str">
        <f>"32240703"</f>
        <v>32240703</v>
      </c>
      <c r="Z967" t="str">
        <f>""</f>
        <v/>
      </c>
      <c r="AA967" t="str">
        <f>""</f>
        <v/>
      </c>
      <c r="AB967" t="str">
        <f>""</f>
        <v/>
      </c>
      <c r="AC967" t="str">
        <f>""</f>
        <v/>
      </c>
      <c r="AD967" t="str">
        <f>""</f>
        <v/>
      </c>
      <c r="AE967" t="str">
        <f>""</f>
        <v/>
      </c>
      <c r="AF967" t="str">
        <f>""</f>
        <v/>
      </c>
      <c r="AG967" t="str">
        <f>""</f>
        <v/>
      </c>
      <c r="AH967" t="str">
        <f>""</f>
        <v/>
      </c>
      <c r="AI967" t="str">
        <f>""</f>
        <v/>
      </c>
      <c r="AJ967" t="str">
        <f>""</f>
        <v/>
      </c>
      <c r="AK967" t="str">
        <f>""</f>
        <v/>
      </c>
      <c r="AL967" t="str">
        <f>""</f>
        <v/>
      </c>
      <c r="AM967" t="str">
        <f>""</f>
        <v/>
      </c>
      <c r="AN967" t="str">
        <f>""</f>
        <v/>
      </c>
      <c r="AO967" t="str">
        <f>""</f>
        <v/>
      </c>
      <c r="AP967" t="str">
        <f>""</f>
        <v/>
      </c>
      <c r="AQ967" t="str">
        <f>""</f>
        <v/>
      </c>
      <c r="AR967" t="str">
        <f>""</f>
        <v/>
      </c>
      <c r="AS967" t="str">
        <f>""</f>
        <v/>
      </c>
      <c r="AT967" t="str">
        <f>""</f>
        <v/>
      </c>
      <c r="AU967" t="str">
        <f>""</f>
        <v/>
      </c>
      <c r="AV967" t="str">
        <f>""</f>
        <v/>
      </c>
      <c r="AW967" t="str">
        <f>""</f>
        <v/>
      </c>
      <c r="AX967" t="str">
        <f>""</f>
        <v/>
      </c>
      <c r="AY967" t="str">
        <f>""</f>
        <v/>
      </c>
      <c r="AZ967" t="str">
        <f>""</f>
        <v/>
      </c>
      <c r="BA967" t="str">
        <f>""</f>
        <v/>
      </c>
      <c r="BB967" t="str">
        <f>"11/07/2023 02:19:56"</f>
        <v>11/07/2023 02:19:56</v>
      </c>
      <c r="BC967" t="str">
        <f>""</f>
        <v/>
      </c>
      <c r="BD967" t="str">
        <f>""</f>
        <v/>
      </c>
      <c r="BE967" t="str">
        <f>""</f>
        <v/>
      </c>
      <c r="BF967" t="str">
        <f t="shared" si="485"/>
        <v>A</v>
      </c>
      <c r="BG967" t="str">
        <f>""</f>
        <v/>
      </c>
      <c r="BH967" t="str">
        <f>""</f>
        <v/>
      </c>
      <c r="BI967" t="str">
        <f t="shared" si="466"/>
        <v>EVENTUAL</v>
      </c>
      <c r="BJ967" t="str">
        <f t="shared" si="487"/>
        <v>1</v>
      </c>
      <c r="BK967" t="str">
        <f t="shared" si="488"/>
        <v>Farmacia</v>
      </c>
      <c r="BL967" t="str">
        <f>""</f>
        <v/>
      </c>
      <c r="BM967" t="str">
        <f>""</f>
        <v/>
      </c>
      <c r="BN967" t="str">
        <f>""</f>
        <v/>
      </c>
      <c r="BO967" t="str">
        <f>""</f>
        <v/>
      </c>
      <c r="BP967" t="str">
        <f>""</f>
        <v/>
      </c>
      <c r="BQ967" t="str">
        <f>""</f>
        <v/>
      </c>
      <c r="BR967" t="str">
        <f>"11/07/2023"</f>
        <v>11/07/2023</v>
      </c>
      <c r="BS967" t="str">
        <f>""</f>
        <v/>
      </c>
      <c r="BT967" t="str">
        <f>""</f>
        <v/>
      </c>
      <c r="BU967" t="str">
        <f>""</f>
        <v/>
      </c>
      <c r="BV967" t="str">
        <f>""</f>
        <v/>
      </c>
      <c r="BW967" t="str">
        <f>"Não visitado"</f>
        <v>Não visitado</v>
      </c>
    </row>
    <row r="968" spans="1:75" x14ac:dyDescent="0.35">
      <c r="A968">
        <v>291</v>
      </c>
      <c r="B968" t="str">
        <f t="shared" si="481"/>
        <v>A</v>
      </c>
      <c r="C968" t="str">
        <f t="shared" si="482"/>
        <v>80</v>
      </c>
      <c r="D968" t="str">
        <f t="shared" si="472"/>
        <v>11121002</v>
      </c>
      <c r="E968" t="str">
        <f t="shared" si="473"/>
        <v>121002</v>
      </c>
      <c r="F968" t="str">
        <f t="shared" si="474"/>
        <v>CINTHIA NORONHA</v>
      </c>
      <c r="G968" t="str">
        <f>"00275977000111"</f>
        <v>00275977000111</v>
      </c>
      <c r="H968" t="str">
        <f>""</f>
        <v/>
      </c>
      <c r="I968" t="str">
        <f t="shared" si="483"/>
        <v>CONTA OPTICA</v>
      </c>
      <c r="J968" t="str">
        <f>"OTICA ESTREITO COMERCIO DE PROD OPTICOS LTDA ME"</f>
        <v>OTICA ESTREITO COMERCIO DE PROD OPTICOS LTDA ME</v>
      </c>
      <c r="K968" t="str">
        <f>"OTICA ESTREITO (774)"</f>
        <v>OTICA ESTREITO (774)</v>
      </c>
      <c r="L968" t="str">
        <f>""</f>
        <v/>
      </c>
      <c r="M968" t="str">
        <f>""</f>
        <v/>
      </c>
      <c r="N968" t="str">
        <f>"oticaestreito@gmail.com"</f>
        <v>oticaestreito@gmail.com</v>
      </c>
      <c r="O968" t="str">
        <f>""</f>
        <v/>
      </c>
      <c r="P968" t="str">
        <f>"RUA AFONSO PENA"</f>
        <v>RUA AFONSO PENA</v>
      </c>
      <c r="Q968" t="str">
        <f>"342"</f>
        <v>342</v>
      </c>
      <c r="R968" t="str">
        <f>"SALA 01"</f>
        <v>SALA 01</v>
      </c>
      <c r="S968" t="str">
        <f>"1258"</f>
        <v>1258</v>
      </c>
      <c r="T968" t="str">
        <f>"88070650"</f>
        <v>88070650</v>
      </c>
      <c r="U968" t="str">
        <f>"CANTO"</f>
        <v>CANTO</v>
      </c>
      <c r="V968" t="str">
        <f>"FLORIANÓPOLIS"</f>
        <v>FLORIANÓPOLIS</v>
      </c>
      <c r="W968" t="str">
        <f t="shared" si="489"/>
        <v>SC</v>
      </c>
      <c r="X968" t="str">
        <f t="shared" si="490"/>
        <v>48</v>
      </c>
      <c r="Y968" t="str">
        <f>"32488683"</f>
        <v>32488683</v>
      </c>
      <c r="Z968" t="str">
        <f>""</f>
        <v/>
      </c>
      <c r="AA968" t="str">
        <f>""</f>
        <v/>
      </c>
      <c r="AB968" t="str">
        <f>""</f>
        <v/>
      </c>
      <c r="AC968" t="str">
        <f>""</f>
        <v/>
      </c>
      <c r="AD968" t="str">
        <f>""</f>
        <v/>
      </c>
      <c r="AE968" t="str">
        <f>""</f>
        <v/>
      </c>
      <c r="AF968" t="str">
        <f>""</f>
        <v/>
      </c>
      <c r="AG968" t="str">
        <f>""</f>
        <v/>
      </c>
      <c r="AH968" t="str">
        <f>""</f>
        <v/>
      </c>
      <c r="AI968" t="str">
        <f>""</f>
        <v/>
      </c>
      <c r="AJ968" t="str">
        <f t="shared" ref="AJ968:AL969" si="491">"0"</f>
        <v>0</v>
      </c>
      <c r="AK968" t="str">
        <f t="shared" si="491"/>
        <v>0</v>
      </c>
      <c r="AL968" t="str">
        <f t="shared" si="491"/>
        <v>0</v>
      </c>
      <c r="AM968" t="str">
        <f>""</f>
        <v/>
      </c>
      <c r="AN968" t="str">
        <f>""</f>
        <v/>
      </c>
      <c r="AO968" t="str">
        <f>""</f>
        <v/>
      </c>
      <c r="AP968" t="str">
        <f>""</f>
        <v/>
      </c>
      <c r="AQ968" t="str">
        <f>""</f>
        <v/>
      </c>
      <c r="AR968" t="str">
        <f>""</f>
        <v/>
      </c>
      <c r="AS968" t="str">
        <f>""</f>
        <v/>
      </c>
      <c r="AT968" t="str">
        <f>""</f>
        <v/>
      </c>
      <c r="AU968" t="str">
        <f>""</f>
        <v/>
      </c>
      <c r="AV968" t="str">
        <f>""</f>
        <v/>
      </c>
      <c r="AW968" t="str">
        <f>""</f>
        <v/>
      </c>
      <c r="AX968" t="str">
        <f>""</f>
        <v/>
      </c>
      <c r="AY968" t="str">
        <f>""</f>
        <v/>
      </c>
      <c r="AZ968" t="str">
        <f>""</f>
        <v/>
      </c>
      <c r="BA968" t="str">
        <f>""</f>
        <v/>
      </c>
      <c r="BB968" t="str">
        <f>"27/07/2018 09:25:37"</f>
        <v>27/07/2018 09:25:37</v>
      </c>
      <c r="BC968" t="str">
        <f>""</f>
        <v/>
      </c>
      <c r="BD968" t="str">
        <f>""</f>
        <v/>
      </c>
      <c r="BE968" t="str">
        <f>"291"</f>
        <v>291</v>
      </c>
      <c r="BF968" t="str">
        <f t="shared" si="485"/>
        <v>A</v>
      </c>
      <c r="BG968" t="str">
        <f>"0,00"</f>
        <v>0,00</v>
      </c>
      <c r="BH968" t="str">
        <f>"0,00"</f>
        <v>0,00</v>
      </c>
      <c r="BI968" t="str">
        <f t="shared" si="466"/>
        <v>EVENTUAL</v>
      </c>
      <c r="BJ968" t="str">
        <f t="shared" si="487"/>
        <v>1</v>
      </c>
      <c r="BK968" t="str">
        <f t="shared" si="488"/>
        <v>Farmacia</v>
      </c>
      <c r="BL968" t="str">
        <f>""</f>
        <v/>
      </c>
      <c r="BM968" t="str">
        <f>"VARILUX ESPECIALISTA SELECT"</f>
        <v>VARILUX ESPECIALISTA SELECT</v>
      </c>
      <c r="BN968" t="str">
        <f t="shared" ref="BN968:BN974" si="492">"NA"</f>
        <v>NA</v>
      </c>
      <c r="BO968" t="str">
        <f>"FOCO VARILUX DIGITAL"</f>
        <v>FOCO VARILUX DIGITAL</v>
      </c>
      <c r="BP968" t="str">
        <f>""</f>
        <v/>
      </c>
      <c r="BQ968" t="str">
        <f>""</f>
        <v/>
      </c>
      <c r="BR968" t="str">
        <f>"27/07/2018"</f>
        <v>27/07/2018</v>
      </c>
      <c r="BS968" t="str">
        <f>""</f>
        <v/>
      </c>
      <c r="BT968" t="str">
        <f>""</f>
        <v/>
      </c>
      <c r="BU968" t="str">
        <f>""</f>
        <v/>
      </c>
      <c r="BV968" t="str">
        <f>"7"</f>
        <v>7</v>
      </c>
      <c r="BW968" t="str">
        <f>"2"</f>
        <v>2</v>
      </c>
    </row>
    <row r="969" spans="1:75" x14ac:dyDescent="0.35">
      <c r="A969">
        <v>134252</v>
      </c>
      <c r="B969" t="str">
        <f t="shared" si="481"/>
        <v>A</v>
      </c>
      <c r="C969" t="str">
        <f t="shared" si="482"/>
        <v>80</v>
      </c>
      <c r="D969" t="str">
        <f t="shared" si="472"/>
        <v>11121002</v>
      </c>
      <c r="E969" t="str">
        <f t="shared" si="473"/>
        <v>121002</v>
      </c>
      <c r="F969" t="str">
        <f t="shared" si="474"/>
        <v>CINTHIA NORONHA</v>
      </c>
      <c r="G969" t="str">
        <f>"17487762000167"</f>
        <v>17487762000167</v>
      </c>
      <c r="H969" t="str">
        <f>""</f>
        <v/>
      </c>
      <c r="I969" t="str">
        <f t="shared" si="483"/>
        <v>CONTA OPTICA</v>
      </c>
      <c r="J969" t="str">
        <f>"OTICA FELIPE SCHMIDT LTDA ME"</f>
        <v>OTICA FELIPE SCHMIDT LTDA ME</v>
      </c>
      <c r="K969" t="str">
        <f>"OTICA FELIPE SCHMIDT (1974)"</f>
        <v>OTICA FELIPE SCHMIDT (1974)</v>
      </c>
      <c r="L969" t="str">
        <f>""</f>
        <v/>
      </c>
      <c r="M969" t="str">
        <f>""</f>
        <v/>
      </c>
      <c r="N969" t="str">
        <f>"zuleideotica@gmail.com"</f>
        <v>zuleideotica@gmail.com</v>
      </c>
      <c r="O969" t="str">
        <f>""</f>
        <v/>
      </c>
      <c r="P969" t="str">
        <f>"RUA TENENTE SILVEIRA"</f>
        <v>RUA TENENTE SILVEIRA</v>
      </c>
      <c r="Q969" t="str">
        <f>"286"</f>
        <v>286</v>
      </c>
      <c r="R969" t="str">
        <f>"LOJA 02"</f>
        <v>LOJA 02</v>
      </c>
      <c r="S969" t="str">
        <f>"1254"</f>
        <v>1254</v>
      </c>
      <c r="T969" t="str">
        <f>"88010300"</f>
        <v>88010300</v>
      </c>
      <c r="U969" t="str">
        <f>"CENTRO"</f>
        <v>CENTRO</v>
      </c>
      <c r="V969" t="str">
        <f>"FLORIANÓPOLIS"</f>
        <v>FLORIANÓPOLIS</v>
      </c>
      <c r="W969" t="str">
        <f t="shared" si="489"/>
        <v>SC</v>
      </c>
      <c r="X969" t="str">
        <f t="shared" si="490"/>
        <v>48</v>
      </c>
      <c r="Y969" t="str">
        <f>"30301949"</f>
        <v>30301949</v>
      </c>
      <c r="Z969" t="str">
        <f>""</f>
        <v/>
      </c>
      <c r="AA969" t="str">
        <f>""</f>
        <v/>
      </c>
      <c r="AB969" t="str">
        <f>""</f>
        <v/>
      </c>
      <c r="AC969" t="str">
        <f>""</f>
        <v/>
      </c>
      <c r="AD969" t="str">
        <f>""</f>
        <v/>
      </c>
      <c r="AE969" t="str">
        <f>""</f>
        <v/>
      </c>
      <c r="AF969" t="str">
        <f>""</f>
        <v/>
      </c>
      <c r="AG969" t="str">
        <f>"S"</f>
        <v>S</v>
      </c>
      <c r="AH969" t="str">
        <f>""</f>
        <v/>
      </c>
      <c r="AI969" t="str">
        <f>""</f>
        <v/>
      </c>
      <c r="AJ969" t="str">
        <f t="shared" si="491"/>
        <v>0</v>
      </c>
      <c r="AK969" t="str">
        <f t="shared" si="491"/>
        <v>0</v>
      </c>
      <c r="AL969" t="str">
        <f t="shared" si="491"/>
        <v>0</v>
      </c>
      <c r="AM969" t="str">
        <f>""</f>
        <v/>
      </c>
      <c r="AN969" t="str">
        <f>""</f>
        <v/>
      </c>
      <c r="AO969" t="str">
        <f>""</f>
        <v/>
      </c>
      <c r="AP969" t="str">
        <f>""</f>
        <v/>
      </c>
      <c r="AQ969" t="str">
        <f t="shared" ref="AQ969:AU972" si="493">"N"</f>
        <v>N</v>
      </c>
      <c r="AR969" t="str">
        <f t="shared" si="493"/>
        <v>N</v>
      </c>
      <c r="AS969" t="str">
        <f t="shared" si="493"/>
        <v>N</v>
      </c>
      <c r="AT969" t="str">
        <f t="shared" si="493"/>
        <v>N</v>
      </c>
      <c r="AU969" t="str">
        <f t="shared" si="493"/>
        <v>N</v>
      </c>
      <c r="AV969" t="str">
        <f>""</f>
        <v/>
      </c>
      <c r="AW969" t="str">
        <f>""</f>
        <v/>
      </c>
      <c r="AX969" t="str">
        <f>""</f>
        <v/>
      </c>
      <c r="AY969" t="str">
        <f>""</f>
        <v/>
      </c>
      <c r="AZ969" t="str">
        <f>""</f>
        <v/>
      </c>
      <c r="BA969" t="str">
        <f>""</f>
        <v/>
      </c>
      <c r="BB969" t="str">
        <f>""</f>
        <v/>
      </c>
      <c r="BC969" t="str">
        <f>"04/04/2022 10:32:55"</f>
        <v>04/04/2022 10:32:55</v>
      </c>
      <c r="BD969" t="str">
        <f>""</f>
        <v/>
      </c>
      <c r="BE969" t="str">
        <f>""</f>
        <v/>
      </c>
      <c r="BF969" t="str">
        <f t="shared" si="485"/>
        <v>A</v>
      </c>
      <c r="BG969" t="str">
        <f>"0,00"</f>
        <v>0,00</v>
      </c>
      <c r="BH969" t="str">
        <f>"0,00"</f>
        <v>0,00</v>
      </c>
      <c r="BI969" t="str">
        <f t="shared" si="466"/>
        <v>EVENTUAL</v>
      </c>
      <c r="BJ969" t="str">
        <f t="shared" si="487"/>
        <v>1</v>
      </c>
      <c r="BK969" t="str">
        <f t="shared" si="488"/>
        <v>Farmacia</v>
      </c>
      <c r="BL969" t="str">
        <f>""</f>
        <v/>
      </c>
      <c r="BM969" t="str">
        <f>"NÃO É VARILUX ESPECIALISTA"</f>
        <v>NÃO É VARILUX ESPECIALISTA</v>
      </c>
      <c r="BN969" t="str">
        <f t="shared" si="492"/>
        <v>NA</v>
      </c>
      <c r="BO969" t="str">
        <f>"FOCO VARILUX"</f>
        <v>FOCO VARILUX</v>
      </c>
      <c r="BP969" t="str">
        <f>""</f>
        <v/>
      </c>
      <c r="BQ969" t="str">
        <f>""</f>
        <v/>
      </c>
      <c r="BR969" t="str">
        <f>""</f>
        <v/>
      </c>
      <c r="BS969" t="str">
        <f>"04/04/2022"</f>
        <v>04/04/2022</v>
      </c>
      <c r="BT969" t="str">
        <f>""</f>
        <v/>
      </c>
      <c r="BU969" t="str">
        <f>""</f>
        <v/>
      </c>
      <c r="BV969" t="str">
        <f>"9"</f>
        <v>9</v>
      </c>
      <c r="BW969" t="str">
        <f>"14"</f>
        <v>14</v>
      </c>
    </row>
    <row r="970" spans="1:75" x14ac:dyDescent="0.35">
      <c r="A970">
        <v>134706</v>
      </c>
      <c r="B970" t="str">
        <f t="shared" si="481"/>
        <v>A</v>
      </c>
      <c r="C970" t="str">
        <f t="shared" si="482"/>
        <v>80</v>
      </c>
      <c r="D970" t="str">
        <f t="shared" si="472"/>
        <v>11121002</v>
      </c>
      <c r="E970" t="str">
        <f t="shared" si="473"/>
        <v>121002</v>
      </c>
      <c r="F970" t="str">
        <f t="shared" si="474"/>
        <v>CINTHIA NORONHA</v>
      </c>
      <c r="G970" t="str">
        <f>"32768627000183"</f>
        <v>32768627000183</v>
      </c>
      <c r="H970" t="str">
        <f>"0"</f>
        <v>0</v>
      </c>
      <c r="I970" t="str">
        <f t="shared" si="483"/>
        <v>CONTA OPTICA</v>
      </c>
      <c r="J970" t="str">
        <f>"OTICA FLORIPA CENTER LTDA"</f>
        <v>OTICA FLORIPA CENTER LTDA</v>
      </c>
      <c r="K970" t="str">
        <f>"OTICA FLORIPA CENTER (4282)"</f>
        <v>OTICA FLORIPA CENTER (4282)</v>
      </c>
      <c r="L970" t="str">
        <f>""</f>
        <v/>
      </c>
      <c r="M970" t="str">
        <f>""</f>
        <v/>
      </c>
      <c r="N970" t="str">
        <f>"OTICAFLORIPACENTER@GMAIL.COM"</f>
        <v>OTICAFLORIPACENTER@GMAIL.COM</v>
      </c>
      <c r="O970" t="str">
        <f>""</f>
        <v/>
      </c>
      <c r="P970" t="str">
        <f>"RUA FRANCISCO TOLENTINO"</f>
        <v>RUA FRANCISCO TOLENTINO</v>
      </c>
      <c r="Q970" t="str">
        <f>"315"</f>
        <v>315</v>
      </c>
      <c r="R970" t="str">
        <f>"BOX 14"</f>
        <v>BOX 14</v>
      </c>
      <c r="S970" t="str">
        <f>"1254"</f>
        <v>1254</v>
      </c>
      <c r="T970" t="str">
        <f>"88010200"</f>
        <v>88010200</v>
      </c>
      <c r="U970" t="str">
        <f>"CENTRO"</f>
        <v>CENTRO</v>
      </c>
      <c r="V970" t="str">
        <f>"FLORIANÓPOLIS"</f>
        <v>FLORIANÓPOLIS</v>
      </c>
      <c r="W970" t="str">
        <f t="shared" si="489"/>
        <v>SC</v>
      </c>
      <c r="X970" t="str">
        <f t="shared" si="490"/>
        <v>48</v>
      </c>
      <c r="Y970" t="str">
        <f>"30180303"</f>
        <v>30180303</v>
      </c>
      <c r="Z970" t="str">
        <f>""</f>
        <v/>
      </c>
      <c r="AA970" t="str">
        <f>""</f>
        <v/>
      </c>
      <c r="AB970" t="str">
        <f>""</f>
        <v/>
      </c>
      <c r="AC970" t="str">
        <f>""</f>
        <v/>
      </c>
      <c r="AD970" t="str">
        <f>""</f>
        <v/>
      </c>
      <c r="AE970" t="str">
        <f>""</f>
        <v/>
      </c>
      <c r="AF970" t="str">
        <f>""</f>
        <v/>
      </c>
      <c r="AG970" t="str">
        <f>"S"</f>
        <v>S</v>
      </c>
      <c r="AH970" t="str">
        <f>""</f>
        <v/>
      </c>
      <c r="AI970" t="str">
        <f>""</f>
        <v/>
      </c>
      <c r="AJ970" t="str">
        <f>""</f>
        <v/>
      </c>
      <c r="AK970" t="str">
        <f>""</f>
        <v/>
      </c>
      <c r="AL970" t="str">
        <f>""</f>
        <v/>
      </c>
      <c r="AM970" t="str">
        <f>""</f>
        <v/>
      </c>
      <c r="AN970" t="str">
        <f>""</f>
        <v/>
      </c>
      <c r="AO970" t="str">
        <f>""</f>
        <v/>
      </c>
      <c r="AP970" t="str">
        <f>""</f>
        <v/>
      </c>
      <c r="AQ970" t="str">
        <f t="shared" si="493"/>
        <v>N</v>
      </c>
      <c r="AR970" t="str">
        <f t="shared" si="493"/>
        <v>N</v>
      </c>
      <c r="AS970" t="str">
        <f t="shared" si="493"/>
        <v>N</v>
      </c>
      <c r="AT970" t="str">
        <f t="shared" si="493"/>
        <v>N</v>
      </c>
      <c r="AU970" t="str">
        <f t="shared" si="493"/>
        <v>N</v>
      </c>
      <c r="AV970" t="str">
        <f>""</f>
        <v/>
      </c>
      <c r="AW970" t="str">
        <f>""</f>
        <v/>
      </c>
      <c r="AX970" t="str">
        <f>""</f>
        <v/>
      </c>
      <c r="AY970" t="str">
        <f>""</f>
        <v/>
      </c>
      <c r="AZ970" t="str">
        <f>""</f>
        <v/>
      </c>
      <c r="BA970" t="str">
        <f>""</f>
        <v/>
      </c>
      <c r="BB970" t="str">
        <f>"16/03/2021 12:51:14"</f>
        <v>16/03/2021 12:51:14</v>
      </c>
      <c r="BC970" t="str">
        <f>"07/07/2023 15:44:09"</f>
        <v>07/07/2023 15:44:09</v>
      </c>
      <c r="BD970" t="str">
        <f>""</f>
        <v/>
      </c>
      <c r="BE970" t="str">
        <f>""</f>
        <v/>
      </c>
      <c r="BF970" t="str">
        <f t="shared" si="485"/>
        <v>A</v>
      </c>
      <c r="BG970" t="str">
        <f>""</f>
        <v/>
      </c>
      <c r="BH970" t="str">
        <f>"0,00"</f>
        <v>0,00</v>
      </c>
      <c r="BI970" t="str">
        <f t="shared" si="466"/>
        <v>EVENTUAL</v>
      </c>
      <c r="BJ970" t="str">
        <f t="shared" si="487"/>
        <v>1</v>
      </c>
      <c r="BK970" t="str">
        <f t="shared" si="488"/>
        <v>Farmacia</v>
      </c>
      <c r="BL970" t="str">
        <f>""</f>
        <v/>
      </c>
      <c r="BM970" t="str">
        <f>"NÃO É VARILUX ESPECIALISTA"</f>
        <v>NÃO É VARILUX ESPECIALISTA</v>
      </c>
      <c r="BN970" t="str">
        <f t="shared" si="492"/>
        <v>NA</v>
      </c>
      <c r="BO970" t="str">
        <f>"OUTROS"</f>
        <v>OUTROS</v>
      </c>
      <c r="BP970" t="str">
        <f>""</f>
        <v/>
      </c>
      <c r="BQ970" t="str">
        <f>""</f>
        <v/>
      </c>
      <c r="BR970" t="str">
        <f>"16/03/2021"</f>
        <v>16/03/2021</v>
      </c>
      <c r="BS970" t="str">
        <f>"07/07/2023"</f>
        <v>07/07/2023</v>
      </c>
      <c r="BT970" t="str">
        <f>""</f>
        <v/>
      </c>
      <c r="BU970" t="str">
        <f>""</f>
        <v/>
      </c>
      <c r="BV970" t="str">
        <f>""</f>
        <v/>
      </c>
      <c r="BW970" t="str">
        <f>"108"</f>
        <v>108</v>
      </c>
    </row>
    <row r="971" spans="1:75" x14ac:dyDescent="0.35">
      <c r="A971">
        <v>134292</v>
      </c>
      <c r="B971" t="str">
        <f t="shared" si="481"/>
        <v>A</v>
      </c>
      <c r="C971" t="str">
        <f t="shared" si="482"/>
        <v>80</v>
      </c>
      <c r="D971" t="str">
        <f t="shared" si="472"/>
        <v>11121002</v>
      </c>
      <c r="E971" t="str">
        <f t="shared" si="473"/>
        <v>121002</v>
      </c>
      <c r="F971" t="str">
        <f t="shared" si="474"/>
        <v>CINTHIA NORONHA</v>
      </c>
      <c r="G971" t="str">
        <f>"95770426000130"</f>
        <v>95770426000130</v>
      </c>
      <c r="H971" t="str">
        <f>""</f>
        <v/>
      </c>
      <c r="I971" t="str">
        <f t="shared" si="483"/>
        <v>CONTA OPTICA</v>
      </c>
      <c r="J971" t="str">
        <f>"OTICA FOCCO LTDA ME"</f>
        <v>OTICA FOCCO LTDA ME</v>
      </c>
      <c r="K971" t="str">
        <f>"OTICA FOCCO (477)"</f>
        <v>OTICA FOCCO (477)</v>
      </c>
      <c r="L971" t="str">
        <f>""</f>
        <v/>
      </c>
      <c r="M971" t="str">
        <f>""</f>
        <v/>
      </c>
      <c r="N971" t="str">
        <f>"oticafocco@yahoo.com.br"</f>
        <v>oticafocco@yahoo.com.br</v>
      </c>
      <c r="O971" t="str">
        <f>""</f>
        <v/>
      </c>
      <c r="P971" t="str">
        <f>"RUA PREFEITO OSMAR CUNHA"</f>
        <v>RUA PREFEITO OSMAR CUNHA</v>
      </c>
      <c r="Q971" t="str">
        <f>"183"</f>
        <v>183</v>
      </c>
      <c r="R971" t="str">
        <f>"LOJA 12"</f>
        <v>LOJA 12</v>
      </c>
      <c r="S971" t="str">
        <f>"1255"</f>
        <v>1255</v>
      </c>
      <c r="T971" t="str">
        <f>"88015100"</f>
        <v>88015100</v>
      </c>
      <c r="U971" t="str">
        <f>"CENTRO"</f>
        <v>CENTRO</v>
      </c>
      <c r="V971" t="str">
        <f>"FLORIANÓPOLIS"</f>
        <v>FLORIANÓPOLIS</v>
      </c>
      <c r="W971" t="str">
        <f t="shared" si="489"/>
        <v>SC</v>
      </c>
      <c r="X971" t="str">
        <f t="shared" si="490"/>
        <v>48</v>
      </c>
      <c r="Y971" t="str">
        <f>"30287766"</f>
        <v>30287766</v>
      </c>
      <c r="Z971" t="str">
        <f>""</f>
        <v/>
      </c>
      <c r="AA971" t="str">
        <f>""</f>
        <v/>
      </c>
      <c r="AB971" t="str">
        <f>""</f>
        <v/>
      </c>
      <c r="AC971" t="str">
        <f>""</f>
        <v/>
      </c>
      <c r="AD971" t="str">
        <f>""</f>
        <v/>
      </c>
      <c r="AE971" t="str">
        <f>""</f>
        <v/>
      </c>
      <c r="AF971" t="str">
        <f>""</f>
        <v/>
      </c>
      <c r="AG971" t="str">
        <f>"S"</f>
        <v>S</v>
      </c>
      <c r="AH971" t="str">
        <f>""</f>
        <v/>
      </c>
      <c r="AI971" t="str">
        <f>""</f>
        <v/>
      </c>
      <c r="AJ971" t="str">
        <f>"0"</f>
        <v>0</v>
      </c>
      <c r="AK971" t="str">
        <f>"0"</f>
        <v>0</v>
      </c>
      <c r="AL971" t="str">
        <f>"0"</f>
        <v>0</v>
      </c>
      <c r="AM971" t="str">
        <f>""</f>
        <v/>
      </c>
      <c r="AN971" t="str">
        <f>""</f>
        <v/>
      </c>
      <c r="AO971" t="str">
        <f>""</f>
        <v/>
      </c>
      <c r="AP971" t="str">
        <f>""</f>
        <v/>
      </c>
      <c r="AQ971" t="str">
        <f t="shared" si="493"/>
        <v>N</v>
      </c>
      <c r="AR971" t="str">
        <f t="shared" si="493"/>
        <v>N</v>
      </c>
      <c r="AS971" t="str">
        <f t="shared" si="493"/>
        <v>N</v>
      </c>
      <c r="AT971" t="str">
        <f t="shared" si="493"/>
        <v>N</v>
      </c>
      <c r="AU971" t="str">
        <f t="shared" si="493"/>
        <v>N</v>
      </c>
      <c r="AV971" t="str">
        <f>""</f>
        <v/>
      </c>
      <c r="AW971" t="str">
        <f>""</f>
        <v/>
      </c>
      <c r="AX971" t="str">
        <f>""</f>
        <v/>
      </c>
      <c r="AY971" t="str">
        <f>""</f>
        <v/>
      </c>
      <c r="AZ971" t="str">
        <f>""</f>
        <v/>
      </c>
      <c r="BA971" t="str">
        <f>""</f>
        <v/>
      </c>
      <c r="BB971" t="str">
        <f>""</f>
        <v/>
      </c>
      <c r="BC971" t="str">
        <f>"10/02/2022 16:37:12"</f>
        <v>10/02/2022 16:37:12</v>
      </c>
      <c r="BD971" t="str">
        <f>""</f>
        <v/>
      </c>
      <c r="BE971" t="str">
        <f>""</f>
        <v/>
      </c>
      <c r="BF971" t="str">
        <f t="shared" si="485"/>
        <v>A</v>
      </c>
      <c r="BG971" t="str">
        <f>"0,00"</f>
        <v>0,00</v>
      </c>
      <c r="BH971" t="str">
        <f>"0,00"</f>
        <v>0,00</v>
      </c>
      <c r="BI971" t="str">
        <f t="shared" si="466"/>
        <v>EVENTUAL</v>
      </c>
      <c r="BJ971" t="str">
        <f t="shared" si="487"/>
        <v>1</v>
      </c>
      <c r="BK971" t="str">
        <f t="shared" si="488"/>
        <v>Farmacia</v>
      </c>
      <c r="BL971" t="str">
        <f>""</f>
        <v/>
      </c>
      <c r="BM971" t="str">
        <f>"VARILUX ESPECIALISTA PLATINE"</f>
        <v>VARILUX ESPECIALISTA PLATINE</v>
      </c>
      <c r="BN971" t="str">
        <f t="shared" si="492"/>
        <v>NA</v>
      </c>
      <c r="BO971" t="str">
        <f>"FOCO VARILUX DIGITAL"</f>
        <v>FOCO VARILUX DIGITAL</v>
      </c>
      <c r="BP971" t="str">
        <f>""</f>
        <v/>
      </c>
      <c r="BQ971" t="str">
        <f>""</f>
        <v/>
      </c>
      <c r="BR971" t="str">
        <f>""</f>
        <v/>
      </c>
      <c r="BS971" t="str">
        <f>"10/02/2022"</f>
        <v>10/02/2022</v>
      </c>
      <c r="BT971" t="str">
        <f>""</f>
        <v/>
      </c>
      <c r="BU971" t="str">
        <f>""</f>
        <v/>
      </c>
      <c r="BV971" t="str">
        <f>"1"</f>
        <v>1</v>
      </c>
      <c r="BW971" t="str">
        <f>"10"</f>
        <v>10</v>
      </c>
    </row>
    <row r="972" spans="1:75" x14ac:dyDescent="0.35">
      <c r="A972">
        <v>134495</v>
      </c>
      <c r="B972" t="str">
        <f t="shared" si="481"/>
        <v>A</v>
      </c>
      <c r="C972" t="str">
        <f t="shared" si="482"/>
        <v>80</v>
      </c>
      <c r="D972" t="str">
        <f t="shared" si="472"/>
        <v>11121002</v>
      </c>
      <c r="E972" t="str">
        <f t="shared" si="473"/>
        <v>121002</v>
      </c>
      <c r="F972" t="str">
        <f t="shared" si="474"/>
        <v>CINTHIA NORONHA</v>
      </c>
      <c r="G972" t="str">
        <f>"26857396000181"</f>
        <v>26857396000181</v>
      </c>
      <c r="H972" t="str">
        <f>""</f>
        <v/>
      </c>
      <c r="I972" t="str">
        <f t="shared" si="483"/>
        <v>CONTA OPTICA</v>
      </c>
      <c r="J972" t="str">
        <f>"OTICA FRANCINE LTDA - ME"</f>
        <v>OTICA FRANCINE LTDA - ME</v>
      </c>
      <c r="K972" t="str">
        <f>"OTICA FRANCINE (3796)"</f>
        <v>OTICA FRANCINE (3796)</v>
      </c>
      <c r="L972" t="str">
        <f>""</f>
        <v/>
      </c>
      <c r="M972" t="str">
        <f>""</f>
        <v/>
      </c>
      <c r="N972" t="str">
        <f>"oticafrancine@yahoo.com.br"</f>
        <v>oticafrancine@yahoo.com.br</v>
      </c>
      <c r="O972" t="str">
        <f>""</f>
        <v/>
      </c>
      <c r="P972" t="str">
        <f>"RUA BRASIL"</f>
        <v>RUA BRASIL</v>
      </c>
      <c r="Q972" t="str">
        <f>"518"</f>
        <v>518</v>
      </c>
      <c r="R972" t="str">
        <f>"LOJA 01"</f>
        <v>LOJA 01</v>
      </c>
      <c r="S972" t="str">
        <f>"1259"</f>
        <v>1259</v>
      </c>
      <c r="T972" t="str">
        <f>"88110500"</f>
        <v>88110500</v>
      </c>
      <c r="U972" t="str">
        <f>"BELA VISTA"</f>
        <v>BELA VISTA</v>
      </c>
      <c r="V972" t="str">
        <f>"SÃO JOSÉ"</f>
        <v>SÃO JOSÉ</v>
      </c>
      <c r="W972" t="str">
        <f t="shared" si="489"/>
        <v>SC</v>
      </c>
      <c r="X972" t="str">
        <f t="shared" si="490"/>
        <v>48</v>
      </c>
      <c r="Y972" t="str">
        <f>"33468385"</f>
        <v>33468385</v>
      </c>
      <c r="Z972" t="str">
        <f>""</f>
        <v/>
      </c>
      <c r="AA972" t="str">
        <f>""</f>
        <v/>
      </c>
      <c r="AB972" t="str">
        <f>""</f>
        <v/>
      </c>
      <c r="AC972" t="str">
        <f>""</f>
        <v/>
      </c>
      <c r="AD972" t="str">
        <f>""</f>
        <v/>
      </c>
      <c r="AE972" t="str">
        <f>""</f>
        <v/>
      </c>
      <c r="AF972" t="str">
        <f>""</f>
        <v/>
      </c>
      <c r="AG972" t="str">
        <f>"S"</f>
        <v>S</v>
      </c>
      <c r="AH972" t="str">
        <f>""</f>
        <v/>
      </c>
      <c r="AI972" t="str">
        <f>""</f>
        <v/>
      </c>
      <c r="AJ972" t="str">
        <f>""</f>
        <v/>
      </c>
      <c r="AK972" t="str">
        <f>""</f>
        <v/>
      </c>
      <c r="AL972" t="str">
        <f>""</f>
        <v/>
      </c>
      <c r="AM972" t="str">
        <f>""</f>
        <v/>
      </c>
      <c r="AN972" t="str">
        <f>""</f>
        <v/>
      </c>
      <c r="AO972" t="str">
        <f>""</f>
        <v/>
      </c>
      <c r="AP972" t="str">
        <f>""</f>
        <v/>
      </c>
      <c r="AQ972" t="str">
        <f t="shared" si="493"/>
        <v>N</v>
      </c>
      <c r="AR972" t="str">
        <f t="shared" si="493"/>
        <v>N</v>
      </c>
      <c r="AS972" t="str">
        <f t="shared" si="493"/>
        <v>N</v>
      </c>
      <c r="AT972" t="str">
        <f t="shared" si="493"/>
        <v>N</v>
      </c>
      <c r="AU972" t="str">
        <f t="shared" si="493"/>
        <v>N</v>
      </c>
      <c r="AV972" t="str">
        <f>""</f>
        <v/>
      </c>
      <c r="AW972" t="str">
        <f>""</f>
        <v/>
      </c>
      <c r="AX972" t="str">
        <f>""</f>
        <v/>
      </c>
      <c r="AY972" t="str">
        <f>""</f>
        <v/>
      </c>
      <c r="AZ972" t="str">
        <f>""</f>
        <v/>
      </c>
      <c r="BA972" t="str">
        <f>""</f>
        <v/>
      </c>
      <c r="BB972" t="str">
        <f>""</f>
        <v/>
      </c>
      <c r="BC972" t="str">
        <f>"09/06/2021 11:43:26"</f>
        <v>09/06/2021 11:43:26</v>
      </c>
      <c r="BD972" t="str">
        <f>""</f>
        <v/>
      </c>
      <c r="BE972" t="str">
        <f>""</f>
        <v/>
      </c>
      <c r="BF972" t="str">
        <f t="shared" si="485"/>
        <v>A</v>
      </c>
      <c r="BG972" t="str">
        <f>""</f>
        <v/>
      </c>
      <c r="BH972" t="str">
        <f>"0,00"</f>
        <v>0,00</v>
      </c>
      <c r="BI972" t="str">
        <f t="shared" si="466"/>
        <v>EVENTUAL</v>
      </c>
      <c r="BJ972" t="str">
        <f t="shared" si="487"/>
        <v>1</v>
      </c>
      <c r="BK972" t="str">
        <f t="shared" si="488"/>
        <v>Farmacia</v>
      </c>
      <c r="BL972" t="str">
        <f>""</f>
        <v/>
      </c>
      <c r="BM972" t="str">
        <f>"NÃO É VARILUX ESPECIALISTA"</f>
        <v>NÃO É VARILUX ESPECIALISTA</v>
      </c>
      <c r="BN972" t="str">
        <f t="shared" si="492"/>
        <v>NA</v>
      </c>
      <c r="BO972" t="str">
        <f>"OUTROS"</f>
        <v>OUTROS</v>
      </c>
      <c r="BP972" t="str">
        <f>""</f>
        <v/>
      </c>
      <c r="BQ972" t="str">
        <f>""</f>
        <v/>
      </c>
      <c r="BR972" t="str">
        <f>""</f>
        <v/>
      </c>
      <c r="BS972" t="str">
        <f>"09/06/2021"</f>
        <v>09/06/2021</v>
      </c>
      <c r="BT972" t="str">
        <f>""</f>
        <v/>
      </c>
      <c r="BU972" t="str">
        <f>""</f>
        <v/>
      </c>
      <c r="BV972" t="str">
        <f>"9"</f>
        <v>9</v>
      </c>
      <c r="BW972" t="str">
        <f>"898"</f>
        <v>898</v>
      </c>
    </row>
    <row r="973" spans="1:75" x14ac:dyDescent="0.35">
      <c r="A973">
        <v>120513</v>
      </c>
      <c r="B973" t="str">
        <f t="shared" si="481"/>
        <v>A</v>
      </c>
      <c r="C973" t="str">
        <f t="shared" si="482"/>
        <v>80</v>
      </c>
      <c r="D973" t="str">
        <f t="shared" si="472"/>
        <v>11121002</v>
      </c>
      <c r="E973" t="str">
        <f t="shared" si="473"/>
        <v>121002</v>
      </c>
      <c r="F973" t="str">
        <f t="shared" si="474"/>
        <v>CINTHIA NORONHA</v>
      </c>
      <c r="G973" t="str">
        <f>"02050997000110"</f>
        <v>02050997000110</v>
      </c>
      <c r="H973" t="str">
        <f>"0"</f>
        <v>0</v>
      </c>
      <c r="I973" t="str">
        <f t="shared" si="483"/>
        <v>CONTA OPTICA</v>
      </c>
      <c r="J973" t="str">
        <f>"OTICA FRANCINE LTDA ME"</f>
        <v>OTICA FRANCINE LTDA ME</v>
      </c>
      <c r="K973" t="str">
        <f>"OTICA FRANCINE (1047)"</f>
        <v>OTICA FRANCINE (1047)</v>
      </c>
      <c r="L973" t="str">
        <f>""</f>
        <v/>
      </c>
      <c r="M973" t="str">
        <f>""</f>
        <v/>
      </c>
      <c r="N973" t="str">
        <f>"oticafrancine@gmail.com"</f>
        <v>oticafrancine@gmail.com</v>
      </c>
      <c r="O973" t="str">
        <f>""</f>
        <v/>
      </c>
      <c r="P973" t="str">
        <f>"AVENIDA BRASIL"</f>
        <v>AVENIDA BRASIL</v>
      </c>
      <c r="Q973" t="str">
        <f>"518"</f>
        <v>518</v>
      </c>
      <c r="R973" t="str">
        <f>""</f>
        <v/>
      </c>
      <c r="S973" t="str">
        <f>"1259"</f>
        <v>1259</v>
      </c>
      <c r="T973" t="str">
        <f>"88110500"</f>
        <v>88110500</v>
      </c>
      <c r="U973" t="str">
        <f>"BELA VISTA II"</f>
        <v>BELA VISTA II</v>
      </c>
      <c r="V973" t="str">
        <f>"SAO JOSE"</f>
        <v>SAO JOSE</v>
      </c>
      <c r="W973" t="str">
        <f t="shared" si="489"/>
        <v>SC</v>
      </c>
      <c r="X973" t="str">
        <f t="shared" si="490"/>
        <v>48</v>
      </c>
      <c r="Y973" t="str">
        <f>"33468385"</f>
        <v>33468385</v>
      </c>
      <c r="Z973" t="str">
        <f>""</f>
        <v/>
      </c>
      <c r="AA973" t="str">
        <f>""</f>
        <v/>
      </c>
      <c r="AB973" t="str">
        <f>""</f>
        <v/>
      </c>
      <c r="AC973" t="str">
        <f>""</f>
        <v/>
      </c>
      <c r="AD973" t="str">
        <f>""</f>
        <v/>
      </c>
      <c r="AE973" t="str">
        <f>""</f>
        <v/>
      </c>
      <c r="AF973" t="str">
        <f>""</f>
        <v/>
      </c>
      <c r="AG973" t="str">
        <f>""</f>
        <v/>
      </c>
      <c r="AH973" t="str">
        <f>""</f>
        <v/>
      </c>
      <c r="AI973" t="str">
        <f>""</f>
        <v/>
      </c>
      <c r="AJ973" t="str">
        <f>""</f>
        <v/>
      </c>
      <c r="AK973" t="str">
        <f>""</f>
        <v/>
      </c>
      <c r="AL973" t="str">
        <f>""</f>
        <v/>
      </c>
      <c r="AM973" t="str">
        <f>""</f>
        <v/>
      </c>
      <c r="AN973" t="str">
        <f>""</f>
        <v/>
      </c>
      <c r="AO973" t="str">
        <f>""</f>
        <v/>
      </c>
      <c r="AP973" t="str">
        <f>""</f>
        <v/>
      </c>
      <c r="AQ973" t="str">
        <f>""</f>
        <v/>
      </c>
      <c r="AR973" t="str">
        <f>""</f>
        <v/>
      </c>
      <c r="AS973" t="str">
        <f>""</f>
        <v/>
      </c>
      <c r="AT973" t="str">
        <f>""</f>
        <v/>
      </c>
      <c r="AU973" t="str">
        <f>""</f>
        <v/>
      </c>
      <c r="AV973" t="str">
        <f>""</f>
        <v/>
      </c>
      <c r="AW973" t="str">
        <f>""</f>
        <v/>
      </c>
      <c r="AX973" t="str">
        <f>""</f>
        <v/>
      </c>
      <c r="AY973" t="str">
        <f>""</f>
        <v/>
      </c>
      <c r="AZ973" t="str">
        <f>""</f>
        <v/>
      </c>
      <c r="BA973" t="str">
        <f>""</f>
        <v/>
      </c>
      <c r="BB973" t="str">
        <f>"22/09/2020 15:29:33"</f>
        <v>22/09/2020 15:29:33</v>
      </c>
      <c r="BC973" t="str">
        <f>""</f>
        <v/>
      </c>
      <c r="BD973" t="str">
        <f>""</f>
        <v/>
      </c>
      <c r="BE973" t="str">
        <f>""</f>
        <v/>
      </c>
      <c r="BF973" t="str">
        <f t="shared" si="485"/>
        <v>A</v>
      </c>
      <c r="BG973" t="str">
        <f>""</f>
        <v/>
      </c>
      <c r="BH973" t="str">
        <f>""</f>
        <v/>
      </c>
      <c r="BI973" t="str">
        <f t="shared" si="466"/>
        <v>EVENTUAL</v>
      </c>
      <c r="BJ973" t="str">
        <f t="shared" si="487"/>
        <v>1</v>
      </c>
      <c r="BK973" t="str">
        <f t="shared" si="488"/>
        <v>Farmacia</v>
      </c>
      <c r="BL973" t="str">
        <f>""</f>
        <v/>
      </c>
      <c r="BM973" t="str">
        <f>"NÃO É VARILUX ESPECIALISTA"</f>
        <v>NÃO É VARILUX ESPECIALISTA</v>
      </c>
      <c r="BN973" t="str">
        <f t="shared" si="492"/>
        <v>NA</v>
      </c>
      <c r="BO973" t="str">
        <f>"OUTROS"</f>
        <v>OUTROS</v>
      </c>
      <c r="BP973" t="str">
        <f>""</f>
        <v/>
      </c>
      <c r="BQ973" t="str">
        <f>""</f>
        <v/>
      </c>
      <c r="BR973" t="str">
        <f>"22/09/2020"</f>
        <v>22/09/2020</v>
      </c>
      <c r="BS973" t="str">
        <f>""</f>
        <v/>
      </c>
      <c r="BT973" t="str">
        <f>""</f>
        <v/>
      </c>
      <c r="BU973" t="str">
        <f>""</f>
        <v/>
      </c>
      <c r="BV973" t="str">
        <f>"9"</f>
        <v>9</v>
      </c>
      <c r="BW973" t="str">
        <f>"Não visitado"</f>
        <v>Não visitado</v>
      </c>
    </row>
    <row r="974" spans="1:75" x14ac:dyDescent="0.35">
      <c r="A974">
        <v>135252</v>
      </c>
      <c r="B974" t="str">
        <f t="shared" si="481"/>
        <v>A</v>
      </c>
      <c r="C974" t="str">
        <f t="shared" si="482"/>
        <v>80</v>
      </c>
      <c r="D974" t="str">
        <f t="shared" si="472"/>
        <v>11121002</v>
      </c>
      <c r="E974" t="str">
        <f t="shared" si="473"/>
        <v>121002</v>
      </c>
      <c r="F974" t="str">
        <f t="shared" si="474"/>
        <v>CINTHIA NORONHA</v>
      </c>
      <c r="G974" t="str">
        <f>"30395617000114"</f>
        <v>30395617000114</v>
      </c>
      <c r="H974" t="str">
        <f>"0"</f>
        <v>0</v>
      </c>
      <c r="I974" t="str">
        <f t="shared" si="483"/>
        <v>CONTA OPTICA</v>
      </c>
      <c r="J974" t="str">
        <f>"OTICA FUNAGOSHI EIRELI"</f>
        <v>OTICA FUNAGOSHI EIRELI</v>
      </c>
      <c r="K974" t="str">
        <f>"OTICA VIA VISAO (4313)"</f>
        <v>OTICA VIA VISAO (4313)</v>
      </c>
      <c r="L974" t="str">
        <f>""</f>
        <v/>
      </c>
      <c r="M974" t="str">
        <f>""</f>
        <v/>
      </c>
      <c r="N974" t="str">
        <f>"LAGES.VIAVISAO@GMAIL.COM"</f>
        <v>LAGES.VIAVISAO@GMAIL.COM</v>
      </c>
      <c r="O974" t="str">
        <f>""</f>
        <v/>
      </c>
      <c r="P974" t="str">
        <f>"RUA HERCILIO LUZ"</f>
        <v>RUA HERCILIO LUZ</v>
      </c>
      <c r="Q974" t="str">
        <f>"190"</f>
        <v>190</v>
      </c>
      <c r="R974" t="str">
        <f>"SALA 01"</f>
        <v>SALA 01</v>
      </c>
      <c r="S974" t="str">
        <f>""</f>
        <v/>
      </c>
      <c r="T974" t="str">
        <f>"88501010"</f>
        <v>88501010</v>
      </c>
      <c r="U974" t="str">
        <f>"CENTRO"</f>
        <v>CENTRO</v>
      </c>
      <c r="V974" t="str">
        <f>"LAGES"</f>
        <v>LAGES</v>
      </c>
      <c r="W974" t="str">
        <f t="shared" si="489"/>
        <v>SC</v>
      </c>
      <c r="X974" t="str">
        <f>"49"</f>
        <v>49</v>
      </c>
      <c r="Y974" t="str">
        <f>"33809508"</f>
        <v>33809508</v>
      </c>
      <c r="Z974" t="str">
        <f>""</f>
        <v/>
      </c>
      <c r="AA974" t="str">
        <f>""</f>
        <v/>
      </c>
      <c r="AB974" t="str">
        <f>""</f>
        <v/>
      </c>
      <c r="AC974" t="str">
        <f>""</f>
        <v/>
      </c>
      <c r="AD974" t="str">
        <f>""</f>
        <v/>
      </c>
      <c r="AE974" t="str">
        <f>""</f>
        <v/>
      </c>
      <c r="AF974" t="str">
        <f>""</f>
        <v/>
      </c>
      <c r="AG974" t="str">
        <f>"S"</f>
        <v>S</v>
      </c>
      <c r="AH974" t="str">
        <f>""</f>
        <v/>
      </c>
      <c r="AI974" t="str">
        <f>""</f>
        <v/>
      </c>
      <c r="AJ974" t="str">
        <f>""</f>
        <v/>
      </c>
      <c r="AK974" t="str">
        <f>""</f>
        <v/>
      </c>
      <c r="AL974" t="str">
        <f>""</f>
        <v/>
      </c>
      <c r="AM974" t="str">
        <f>""</f>
        <v/>
      </c>
      <c r="AN974" t="str">
        <f>""</f>
        <v/>
      </c>
      <c r="AO974" t="str">
        <f>""</f>
        <v/>
      </c>
      <c r="AP974" t="str">
        <f>""</f>
        <v/>
      </c>
      <c r="AQ974" t="str">
        <f>"N"</f>
        <v>N</v>
      </c>
      <c r="AR974" t="str">
        <f>"N"</f>
        <v>N</v>
      </c>
      <c r="AS974" t="str">
        <f>"N"</f>
        <v>N</v>
      </c>
      <c r="AT974" t="str">
        <f>"N"</f>
        <v>N</v>
      </c>
      <c r="AU974" t="str">
        <f>"N"</f>
        <v>N</v>
      </c>
      <c r="AV974" t="str">
        <f>""</f>
        <v/>
      </c>
      <c r="AW974" t="str">
        <f>""</f>
        <v/>
      </c>
      <c r="AX974" t="str">
        <f>""</f>
        <v/>
      </c>
      <c r="AY974" t="str">
        <f>""</f>
        <v/>
      </c>
      <c r="AZ974" t="str">
        <f>""</f>
        <v/>
      </c>
      <c r="BA974" t="str">
        <f>""</f>
        <v/>
      </c>
      <c r="BB974" t="str">
        <f>"10/05/2021 12:18:20"</f>
        <v>10/05/2021 12:18:20</v>
      </c>
      <c r="BC974" t="str">
        <f>"11/04/2022 11:06:36"</f>
        <v>11/04/2022 11:06:36</v>
      </c>
      <c r="BD974" t="str">
        <f>""</f>
        <v/>
      </c>
      <c r="BE974" t="str">
        <f>""</f>
        <v/>
      </c>
      <c r="BF974" t="str">
        <f t="shared" si="485"/>
        <v>A</v>
      </c>
      <c r="BG974" t="str">
        <f>""</f>
        <v/>
      </c>
      <c r="BH974" t="str">
        <f>"0,00"</f>
        <v>0,00</v>
      </c>
      <c r="BI974" t="str">
        <f t="shared" si="466"/>
        <v>EVENTUAL</v>
      </c>
      <c r="BJ974" t="str">
        <f t="shared" si="487"/>
        <v>1</v>
      </c>
      <c r="BK974" t="str">
        <f t="shared" si="488"/>
        <v>Farmacia</v>
      </c>
      <c r="BL974" t="str">
        <f>""</f>
        <v/>
      </c>
      <c r="BM974" t="str">
        <f>"NÃO É VARILUX ESPECIALISTA"</f>
        <v>NÃO É VARILUX ESPECIALISTA</v>
      </c>
      <c r="BN974" t="str">
        <f t="shared" si="492"/>
        <v>NA</v>
      </c>
      <c r="BO974" t="str">
        <f>"FOCO VARILUX DIGITAL"</f>
        <v>FOCO VARILUX DIGITAL</v>
      </c>
      <c r="BP974" t="str">
        <f>""</f>
        <v/>
      </c>
      <c r="BQ974" t="str">
        <f>""</f>
        <v/>
      </c>
      <c r="BR974" t="str">
        <f>"10/05/2021"</f>
        <v>10/05/2021</v>
      </c>
      <c r="BS974" t="str">
        <f>"11/04/2022"</f>
        <v>11/04/2022</v>
      </c>
      <c r="BT974" t="str">
        <f>""</f>
        <v/>
      </c>
      <c r="BU974" t="str">
        <f>""</f>
        <v/>
      </c>
      <c r="BV974" t="str">
        <f>""</f>
        <v/>
      </c>
      <c r="BW974" t="str">
        <f>"592"</f>
        <v>592</v>
      </c>
    </row>
    <row r="975" spans="1:75" x14ac:dyDescent="0.35">
      <c r="A975">
        <v>159579</v>
      </c>
      <c r="B975" t="str">
        <f t="shared" si="481"/>
        <v>A</v>
      </c>
      <c r="C975" t="str">
        <f t="shared" si="482"/>
        <v>80</v>
      </c>
      <c r="D975" t="str">
        <f t="shared" si="472"/>
        <v>11121002</v>
      </c>
      <c r="E975" t="str">
        <f t="shared" si="473"/>
        <v>121002</v>
      </c>
      <c r="F975" t="str">
        <f t="shared" si="474"/>
        <v>CINTHIA NORONHA</v>
      </c>
      <c r="G975" t="str">
        <f>"49850438000158"</f>
        <v>49850438000158</v>
      </c>
      <c r="H975" t="str">
        <f>""</f>
        <v/>
      </c>
      <c r="I975" t="str">
        <f t="shared" si="483"/>
        <v>CONTA OPTICA</v>
      </c>
      <c r="J975" t="str">
        <f>"OTICA GRATTI LTDA"</f>
        <v>OTICA GRATTI LTDA</v>
      </c>
      <c r="K975" t="str">
        <f>"OTICA GRATTI LTDA (4770)"</f>
        <v>OTICA GRATTI LTDA (4770)</v>
      </c>
      <c r="L975" t="str">
        <f>""</f>
        <v/>
      </c>
      <c r="M975" t="str">
        <f>""</f>
        <v/>
      </c>
      <c r="N975" t="str">
        <f>"OTICAGRATTI@GMAIL.COM"</f>
        <v>OTICAGRATTI@GMAIL.COM</v>
      </c>
      <c r="O975" t="str">
        <f>""</f>
        <v/>
      </c>
      <c r="P975" t="str">
        <f>"ROD SC 443 KM 02"</f>
        <v>ROD SC 443 KM 02</v>
      </c>
      <c r="Q975" t="str">
        <f>"2405"</f>
        <v>2405</v>
      </c>
      <c r="R975" t="str">
        <f>""</f>
        <v/>
      </c>
      <c r="S975" t="str">
        <f>""</f>
        <v/>
      </c>
      <c r="T975" t="str">
        <f>"88771700"</f>
        <v>88771700</v>
      </c>
      <c r="U975" t="str">
        <f>"CENTRO"</f>
        <v>CENTRO</v>
      </c>
      <c r="V975" t="str">
        <f>"SANGAO"</f>
        <v>SANGAO</v>
      </c>
      <c r="W975" t="str">
        <f t="shared" si="489"/>
        <v>SC</v>
      </c>
      <c r="X975" t="str">
        <f>"48"</f>
        <v>48</v>
      </c>
      <c r="Y975" t="str">
        <f>"32921114"</f>
        <v>32921114</v>
      </c>
      <c r="Z975" t="str">
        <f>""</f>
        <v/>
      </c>
      <c r="AA975" t="str">
        <f>""</f>
        <v/>
      </c>
      <c r="AB975" t="str">
        <f>""</f>
        <v/>
      </c>
      <c r="AC975" t="str">
        <f>""</f>
        <v/>
      </c>
      <c r="AD975" t="str">
        <f>""</f>
        <v/>
      </c>
      <c r="AE975" t="str">
        <f>""</f>
        <v/>
      </c>
      <c r="AF975" t="str">
        <f>""</f>
        <v/>
      </c>
      <c r="AG975" t="str">
        <f>""</f>
        <v/>
      </c>
      <c r="AH975" t="str">
        <f>""</f>
        <v/>
      </c>
      <c r="AI975" t="str">
        <f>""</f>
        <v/>
      </c>
      <c r="AJ975" t="str">
        <f>""</f>
        <v/>
      </c>
      <c r="AK975" t="str">
        <f>""</f>
        <v/>
      </c>
      <c r="AL975" t="str">
        <f>""</f>
        <v/>
      </c>
      <c r="AM975" t="str">
        <f>""</f>
        <v/>
      </c>
      <c r="AN975" t="str">
        <f>""</f>
        <v/>
      </c>
      <c r="AO975" t="str">
        <f>""</f>
        <v/>
      </c>
      <c r="AP975" t="str">
        <f>""</f>
        <v/>
      </c>
      <c r="AQ975" t="str">
        <f>""</f>
        <v/>
      </c>
      <c r="AR975" t="str">
        <f>""</f>
        <v/>
      </c>
      <c r="AS975" t="str">
        <f>""</f>
        <v/>
      </c>
      <c r="AT975" t="str">
        <f>""</f>
        <v/>
      </c>
      <c r="AU975" t="str">
        <f>""</f>
        <v/>
      </c>
      <c r="AV975" t="str">
        <f>""</f>
        <v/>
      </c>
      <c r="AW975" t="str">
        <f>""</f>
        <v/>
      </c>
      <c r="AX975" t="str">
        <f>""</f>
        <v/>
      </c>
      <c r="AY975" t="str">
        <f>""</f>
        <v/>
      </c>
      <c r="AZ975" t="str">
        <f>""</f>
        <v/>
      </c>
      <c r="BA975" t="str">
        <f>""</f>
        <v/>
      </c>
      <c r="BB975" t="str">
        <f>"25/09/2023 11:47:13"</f>
        <v>25/09/2023 11:47:13</v>
      </c>
      <c r="BC975" t="str">
        <f>""</f>
        <v/>
      </c>
      <c r="BD975" t="str">
        <f>""</f>
        <v/>
      </c>
      <c r="BE975" t="str">
        <f>""</f>
        <v/>
      </c>
      <c r="BF975" t="str">
        <f t="shared" si="485"/>
        <v>A</v>
      </c>
      <c r="BG975" t="str">
        <f>""</f>
        <v/>
      </c>
      <c r="BH975" t="str">
        <f>""</f>
        <v/>
      </c>
      <c r="BI975" t="str">
        <f t="shared" si="466"/>
        <v>EVENTUAL</v>
      </c>
      <c r="BJ975" t="str">
        <f t="shared" si="487"/>
        <v>1</v>
      </c>
      <c r="BK975" t="str">
        <f t="shared" si="488"/>
        <v>Farmacia</v>
      </c>
      <c r="BL975" t="str">
        <f>""</f>
        <v/>
      </c>
      <c r="BM975" t="str">
        <f>""</f>
        <v/>
      </c>
      <c r="BN975" t="str">
        <f>""</f>
        <v/>
      </c>
      <c r="BO975" t="str">
        <f>""</f>
        <v/>
      </c>
      <c r="BP975" t="str">
        <f>""</f>
        <v/>
      </c>
      <c r="BQ975" t="str">
        <f>""</f>
        <v/>
      </c>
      <c r="BR975" t="str">
        <f>"25/09/2023"</f>
        <v>25/09/2023</v>
      </c>
      <c r="BS975" t="str">
        <f>""</f>
        <v/>
      </c>
      <c r="BT975" t="str">
        <f>""</f>
        <v/>
      </c>
      <c r="BU975" t="str">
        <f>""</f>
        <v/>
      </c>
      <c r="BV975" t="str">
        <f>""</f>
        <v/>
      </c>
      <c r="BW975" t="str">
        <f>"39"</f>
        <v>39</v>
      </c>
    </row>
    <row r="976" spans="1:75" x14ac:dyDescent="0.35">
      <c r="A976">
        <v>156949</v>
      </c>
      <c r="B976" t="str">
        <f t="shared" si="481"/>
        <v>A</v>
      </c>
      <c r="C976" t="str">
        <f t="shared" si="482"/>
        <v>80</v>
      </c>
      <c r="D976" t="str">
        <f t="shared" si="472"/>
        <v>11121002</v>
      </c>
      <c r="E976" t="str">
        <f t="shared" si="473"/>
        <v>121002</v>
      </c>
      <c r="F976" t="str">
        <f t="shared" si="474"/>
        <v>CINTHIA NORONHA</v>
      </c>
      <c r="G976" t="str">
        <f>"47724550000117"</f>
        <v>47724550000117</v>
      </c>
      <c r="H976" t="str">
        <f>"0"</f>
        <v>0</v>
      </c>
      <c r="I976" t="str">
        <f t="shared" si="483"/>
        <v>CONTA OPTICA</v>
      </c>
      <c r="J976" t="str">
        <f>"OTICA HELLEN ALVEZ VIERA LTDA"</f>
        <v>OTICA HELLEN ALVEZ VIERA LTDA</v>
      </c>
      <c r="K976" t="str">
        <f>"OTICA HELLEN (4593)"</f>
        <v>OTICA HELLEN (4593)</v>
      </c>
      <c r="L976" t="str">
        <f>""</f>
        <v/>
      </c>
      <c r="M976" t="str">
        <f>""</f>
        <v/>
      </c>
      <c r="N976" t="str">
        <f>"OTICAHELLENFLORIPA@GMAIL.COM"</f>
        <v>OTICAHELLENFLORIPA@GMAIL.COM</v>
      </c>
      <c r="O976" t="str">
        <f>""</f>
        <v/>
      </c>
      <c r="P976" t="str">
        <f>"JOAO GUALBERTO SOARES"</f>
        <v>JOAO GUALBERTO SOARES</v>
      </c>
      <c r="Q976" t="str">
        <f>"8204"</f>
        <v>8204</v>
      </c>
      <c r="R976" t="str">
        <f>""</f>
        <v/>
      </c>
      <c r="S976" t="str">
        <f>""</f>
        <v/>
      </c>
      <c r="T976" t="str">
        <f>"88060000"</f>
        <v>88060000</v>
      </c>
      <c r="U976" t="str">
        <f>"RIO VERMELHO"</f>
        <v>RIO VERMELHO</v>
      </c>
      <c r="V976" t="str">
        <f>"FLORIANOPOLIS"</f>
        <v>FLORIANOPOLIS</v>
      </c>
      <c r="W976" t="str">
        <f t="shared" si="489"/>
        <v>SC</v>
      </c>
      <c r="X976" t="str">
        <f>"15"</f>
        <v>15</v>
      </c>
      <c r="Y976" t="str">
        <f>"32784331"</f>
        <v>32784331</v>
      </c>
      <c r="Z976" t="str">
        <f>""</f>
        <v/>
      </c>
      <c r="AA976" t="str">
        <f>""</f>
        <v/>
      </c>
      <c r="AB976" t="str">
        <f>""</f>
        <v/>
      </c>
      <c r="AC976" t="str">
        <f>""</f>
        <v/>
      </c>
      <c r="AD976" t="str">
        <f>""</f>
        <v/>
      </c>
      <c r="AE976" t="str">
        <f>""</f>
        <v/>
      </c>
      <c r="AF976" t="str">
        <f>""</f>
        <v/>
      </c>
      <c r="AG976" t="str">
        <f>""</f>
        <v/>
      </c>
      <c r="AH976" t="str">
        <f>""</f>
        <v/>
      </c>
      <c r="AI976" t="str">
        <f>""</f>
        <v/>
      </c>
      <c r="AJ976" t="str">
        <f>""</f>
        <v/>
      </c>
      <c r="AK976" t="str">
        <f>""</f>
        <v/>
      </c>
      <c r="AL976" t="str">
        <f>""</f>
        <v/>
      </c>
      <c r="AM976" t="str">
        <f>""</f>
        <v/>
      </c>
      <c r="AN976" t="str">
        <f>""</f>
        <v/>
      </c>
      <c r="AO976" t="str">
        <f>""</f>
        <v/>
      </c>
      <c r="AP976" t="str">
        <f>""</f>
        <v/>
      </c>
      <c r="AQ976" t="str">
        <f>""</f>
        <v/>
      </c>
      <c r="AR976" t="str">
        <f>""</f>
        <v/>
      </c>
      <c r="AS976" t="str">
        <f>""</f>
        <v/>
      </c>
      <c r="AT976" t="str">
        <f>""</f>
        <v/>
      </c>
      <c r="AU976" t="str">
        <f>""</f>
        <v/>
      </c>
      <c r="AV976" t="str">
        <f>""</f>
        <v/>
      </c>
      <c r="AW976" t="str">
        <f>""</f>
        <v/>
      </c>
      <c r="AX976" t="str">
        <f>""</f>
        <v/>
      </c>
      <c r="AY976" t="str">
        <f>""</f>
        <v/>
      </c>
      <c r="AZ976" t="str">
        <f>""</f>
        <v/>
      </c>
      <c r="BA976" t="str">
        <f>""</f>
        <v/>
      </c>
      <c r="BB976" t="str">
        <f>"06/07/2023 12:07:48"</f>
        <v>06/07/2023 12:07:48</v>
      </c>
      <c r="BC976" t="str">
        <f>""</f>
        <v/>
      </c>
      <c r="BD976" t="str">
        <f>""</f>
        <v/>
      </c>
      <c r="BE976" t="str">
        <f>""</f>
        <v/>
      </c>
      <c r="BF976" t="str">
        <f t="shared" si="485"/>
        <v>A</v>
      </c>
      <c r="BG976" t="str">
        <f>""</f>
        <v/>
      </c>
      <c r="BH976" t="str">
        <f>""</f>
        <v/>
      </c>
      <c r="BI976" t="str">
        <f t="shared" si="466"/>
        <v>EVENTUAL</v>
      </c>
      <c r="BJ976" t="str">
        <f t="shared" si="487"/>
        <v>1</v>
      </c>
      <c r="BK976" t="str">
        <f t="shared" si="488"/>
        <v>Farmacia</v>
      </c>
      <c r="BL976" t="str">
        <f>""</f>
        <v/>
      </c>
      <c r="BM976" t="str">
        <f>""</f>
        <v/>
      </c>
      <c r="BN976" t="str">
        <f>""</f>
        <v/>
      </c>
      <c r="BO976" t="str">
        <f>""</f>
        <v/>
      </c>
      <c r="BP976" t="str">
        <f>""</f>
        <v/>
      </c>
      <c r="BQ976" t="str">
        <f>""</f>
        <v/>
      </c>
      <c r="BR976" t="str">
        <f>"06/07/2023"</f>
        <v>06/07/2023</v>
      </c>
      <c r="BS976" t="str">
        <f>""</f>
        <v/>
      </c>
      <c r="BT976" t="str">
        <f>""</f>
        <v/>
      </c>
      <c r="BU976" t="str">
        <f>""</f>
        <v/>
      </c>
      <c r="BV976" t="str">
        <f>""</f>
        <v/>
      </c>
      <c r="BW976" t="str">
        <f>"88"</f>
        <v>88</v>
      </c>
    </row>
    <row r="977" spans="1:75" x14ac:dyDescent="0.35">
      <c r="A977">
        <v>157688</v>
      </c>
      <c r="B977" t="str">
        <f t="shared" si="481"/>
        <v>A</v>
      </c>
      <c r="C977" t="str">
        <f t="shared" si="482"/>
        <v>80</v>
      </c>
      <c r="D977" t="str">
        <f t="shared" si="472"/>
        <v>11121002</v>
      </c>
      <c r="E977" t="str">
        <f t="shared" si="473"/>
        <v>121002</v>
      </c>
      <c r="F977" t="str">
        <f t="shared" si="474"/>
        <v>CINTHIA NORONHA</v>
      </c>
      <c r="G977" t="str">
        <f>"43096041000136"</f>
        <v>43096041000136</v>
      </c>
      <c r="H977" t="str">
        <f>"0"</f>
        <v>0</v>
      </c>
      <c r="I977" t="str">
        <f t="shared" si="483"/>
        <v>CONTA OPTICA</v>
      </c>
      <c r="J977" t="str">
        <f>"OTICA HORIZONTE LTDA"</f>
        <v>OTICA HORIZONTE LTDA</v>
      </c>
      <c r="K977" t="str">
        <f>"OTICA HORIZONTE (4380)"</f>
        <v>OTICA HORIZONTE (4380)</v>
      </c>
      <c r="L977" t="str">
        <f>""</f>
        <v/>
      </c>
      <c r="M977" t="str">
        <f>""</f>
        <v/>
      </c>
      <c r="N977" t="str">
        <f>"EDINEYSOUZA2015@GMAIL.COM"</f>
        <v>EDINEYSOUZA2015@GMAIL.COM</v>
      </c>
      <c r="O977" t="str">
        <f>""</f>
        <v/>
      </c>
      <c r="P977" t="str">
        <f>"LEDIO JOAO MARTINS"</f>
        <v>LEDIO JOAO MARTINS</v>
      </c>
      <c r="Q977" t="str">
        <f>"980"</f>
        <v>980</v>
      </c>
      <c r="R977" t="str">
        <f>"LOJA 01"</f>
        <v>LOJA 01</v>
      </c>
      <c r="S977" t="str">
        <f>""</f>
        <v/>
      </c>
      <c r="T977" t="str">
        <f>"88101101"</f>
        <v>88101101</v>
      </c>
      <c r="U977" t="str">
        <f>"KOBRASOL"</f>
        <v>KOBRASOL</v>
      </c>
      <c r="V977" t="str">
        <f>"SAO JOSE"</f>
        <v>SAO JOSE</v>
      </c>
      <c r="W977" t="str">
        <f t="shared" si="489"/>
        <v>SC</v>
      </c>
      <c r="X977" t="str">
        <f t="shared" ref="X977:X984" si="494">"48"</f>
        <v>48</v>
      </c>
      <c r="Y977" t="str">
        <f>"991503920"</f>
        <v>991503920</v>
      </c>
      <c r="Z977" t="str">
        <f>""</f>
        <v/>
      </c>
      <c r="AA977" t="str">
        <f>""</f>
        <v/>
      </c>
      <c r="AB977" t="str">
        <f>""</f>
        <v/>
      </c>
      <c r="AC977" t="str">
        <f>""</f>
        <v/>
      </c>
      <c r="AD977" t="str">
        <f>""</f>
        <v/>
      </c>
      <c r="AE977" t="str">
        <f>""</f>
        <v/>
      </c>
      <c r="AF977" t="str">
        <f>""</f>
        <v/>
      </c>
      <c r="AG977" t="str">
        <f>""</f>
        <v/>
      </c>
      <c r="AH977" t="str">
        <f>""</f>
        <v/>
      </c>
      <c r="AI977" t="str">
        <f>""</f>
        <v/>
      </c>
      <c r="AJ977" t="str">
        <f>""</f>
        <v/>
      </c>
      <c r="AK977" t="str">
        <f>""</f>
        <v/>
      </c>
      <c r="AL977" t="str">
        <f>""</f>
        <v/>
      </c>
      <c r="AM977" t="str">
        <f>""</f>
        <v/>
      </c>
      <c r="AN977" t="str">
        <f>""</f>
        <v/>
      </c>
      <c r="AO977" t="str">
        <f>""</f>
        <v/>
      </c>
      <c r="AP977" t="str">
        <f>""</f>
        <v/>
      </c>
      <c r="AQ977" t="str">
        <f>""</f>
        <v/>
      </c>
      <c r="AR977" t="str">
        <f>""</f>
        <v/>
      </c>
      <c r="AS977" t="str">
        <f>""</f>
        <v/>
      </c>
      <c r="AT977" t="str">
        <f>""</f>
        <v/>
      </c>
      <c r="AU977" t="str">
        <f>""</f>
        <v/>
      </c>
      <c r="AV977" t="str">
        <f>""</f>
        <v/>
      </c>
      <c r="AW977" t="str">
        <f>""</f>
        <v/>
      </c>
      <c r="AX977" t="str">
        <f>""</f>
        <v/>
      </c>
      <c r="AY977" t="str">
        <f>""</f>
        <v/>
      </c>
      <c r="AZ977" t="str">
        <f>""</f>
        <v/>
      </c>
      <c r="BA977" t="str">
        <f>""</f>
        <v/>
      </c>
      <c r="BB977" t="str">
        <f>"11/07/2023 02:19:56"</f>
        <v>11/07/2023 02:19:56</v>
      </c>
      <c r="BC977" t="str">
        <f>""</f>
        <v/>
      </c>
      <c r="BD977" t="str">
        <f>""</f>
        <v/>
      </c>
      <c r="BE977" t="str">
        <f>""</f>
        <v/>
      </c>
      <c r="BF977" t="str">
        <f t="shared" si="485"/>
        <v>A</v>
      </c>
      <c r="BG977" t="str">
        <f>""</f>
        <v/>
      </c>
      <c r="BH977" t="str">
        <f>""</f>
        <v/>
      </c>
      <c r="BI977" t="str">
        <f t="shared" si="466"/>
        <v>EVENTUAL</v>
      </c>
      <c r="BJ977" t="str">
        <f t="shared" si="487"/>
        <v>1</v>
      </c>
      <c r="BK977" t="str">
        <f t="shared" si="488"/>
        <v>Farmacia</v>
      </c>
      <c r="BL977" t="str">
        <f>""</f>
        <v/>
      </c>
      <c r="BM977" t="str">
        <f>""</f>
        <v/>
      </c>
      <c r="BN977" t="str">
        <f>""</f>
        <v/>
      </c>
      <c r="BO977" t="str">
        <f>""</f>
        <v/>
      </c>
      <c r="BP977" t="str">
        <f>""</f>
        <v/>
      </c>
      <c r="BQ977" t="str">
        <f>""</f>
        <v/>
      </c>
      <c r="BR977" t="str">
        <f>"11/07/2023"</f>
        <v>11/07/2023</v>
      </c>
      <c r="BS977" t="str">
        <f>""</f>
        <v/>
      </c>
      <c r="BT977" t="str">
        <f>""</f>
        <v/>
      </c>
      <c r="BU977" t="str">
        <f>""</f>
        <v/>
      </c>
      <c r="BV977" t="str">
        <f>""</f>
        <v/>
      </c>
      <c r="BW977" t="str">
        <f>"Não visitado"</f>
        <v>Não visitado</v>
      </c>
    </row>
    <row r="978" spans="1:75" x14ac:dyDescent="0.35">
      <c r="A978">
        <v>157660</v>
      </c>
      <c r="B978" t="str">
        <f t="shared" si="481"/>
        <v>A</v>
      </c>
      <c r="C978" t="str">
        <f t="shared" si="482"/>
        <v>80</v>
      </c>
      <c r="D978" t="str">
        <f t="shared" si="472"/>
        <v>11121002</v>
      </c>
      <c r="E978" t="str">
        <f t="shared" si="473"/>
        <v>121002</v>
      </c>
      <c r="F978" t="str">
        <f t="shared" si="474"/>
        <v>CINTHIA NORONHA</v>
      </c>
      <c r="G978" t="str">
        <f>"26665597000187"</f>
        <v>26665597000187</v>
      </c>
      <c r="H978" t="str">
        <f>"0"</f>
        <v>0</v>
      </c>
      <c r="I978" t="str">
        <f t="shared" si="483"/>
        <v>CONTA OPTICA</v>
      </c>
      <c r="J978" t="str">
        <f>"OTICA IMBITUBA LTDA ME"</f>
        <v>OTICA IMBITUBA LTDA ME</v>
      </c>
      <c r="K978" t="str">
        <f>"OTICA IMBITUBA LTDA ME (3366)"</f>
        <v>OTICA IMBITUBA LTDA ME (3366)</v>
      </c>
      <c r="L978" t="str">
        <f>""</f>
        <v/>
      </c>
      <c r="M978" t="str">
        <f>""</f>
        <v/>
      </c>
      <c r="N978" t="str">
        <f>"OTICAEDUARDO@HOTMAIL.COM"</f>
        <v>OTICAEDUARDO@HOTMAIL.COM</v>
      </c>
      <c r="O978" t="str">
        <f>""</f>
        <v/>
      </c>
      <c r="P978" t="str">
        <f>"SANTA CATARINA"</f>
        <v>SANTA CATARINA</v>
      </c>
      <c r="Q978" t="str">
        <f>"216"</f>
        <v>216</v>
      </c>
      <c r="R978" t="str">
        <f>""</f>
        <v/>
      </c>
      <c r="S978" t="str">
        <f>"1268"</f>
        <v>1268</v>
      </c>
      <c r="T978" t="str">
        <f>"88780000"</f>
        <v>88780000</v>
      </c>
      <c r="U978" t="str">
        <f>"CENTRO"</f>
        <v>CENTRO</v>
      </c>
      <c r="V978" t="str">
        <f>"IMBITUBA"</f>
        <v>IMBITUBA</v>
      </c>
      <c r="W978" t="str">
        <f t="shared" si="489"/>
        <v>SC</v>
      </c>
      <c r="X978" t="str">
        <f t="shared" si="494"/>
        <v>48</v>
      </c>
      <c r="Y978" t="str">
        <f>"32550580"</f>
        <v>32550580</v>
      </c>
      <c r="Z978" t="str">
        <f>""</f>
        <v/>
      </c>
      <c r="AA978" t="str">
        <f>""</f>
        <v/>
      </c>
      <c r="AB978" t="str">
        <f>""</f>
        <v/>
      </c>
      <c r="AC978" t="str">
        <f>""</f>
        <v/>
      </c>
      <c r="AD978" t="str">
        <f>""</f>
        <v/>
      </c>
      <c r="AE978" t="str">
        <f>""</f>
        <v/>
      </c>
      <c r="AF978" t="str">
        <f>""</f>
        <v/>
      </c>
      <c r="AG978" t="str">
        <f>""</f>
        <v/>
      </c>
      <c r="AH978" t="str">
        <f>""</f>
        <v/>
      </c>
      <c r="AI978" t="str">
        <f>""</f>
        <v/>
      </c>
      <c r="AJ978" t="str">
        <f>""</f>
        <v/>
      </c>
      <c r="AK978" t="str">
        <f>""</f>
        <v/>
      </c>
      <c r="AL978" t="str">
        <f>""</f>
        <v/>
      </c>
      <c r="AM978" t="str">
        <f>""</f>
        <v/>
      </c>
      <c r="AN978" t="str">
        <f>""</f>
        <v/>
      </c>
      <c r="AO978" t="str">
        <f>""</f>
        <v/>
      </c>
      <c r="AP978" t="str">
        <f>""</f>
        <v/>
      </c>
      <c r="AQ978" t="str">
        <f>""</f>
        <v/>
      </c>
      <c r="AR978" t="str">
        <f>""</f>
        <v/>
      </c>
      <c r="AS978" t="str">
        <f>""</f>
        <v/>
      </c>
      <c r="AT978" t="str">
        <f>""</f>
        <v/>
      </c>
      <c r="AU978" t="str">
        <f>""</f>
        <v/>
      </c>
      <c r="AV978" t="str">
        <f>""</f>
        <v/>
      </c>
      <c r="AW978" t="str">
        <f>""</f>
        <v/>
      </c>
      <c r="AX978" t="str">
        <f>""</f>
        <v/>
      </c>
      <c r="AY978" t="str">
        <f>""</f>
        <v/>
      </c>
      <c r="AZ978" t="str">
        <f>""</f>
        <v/>
      </c>
      <c r="BA978" t="str">
        <f>""</f>
        <v/>
      </c>
      <c r="BB978" t="str">
        <f>"11/07/2023 02:19:56"</f>
        <v>11/07/2023 02:19:56</v>
      </c>
      <c r="BC978" t="str">
        <f>""</f>
        <v/>
      </c>
      <c r="BD978" t="str">
        <f>""</f>
        <v/>
      </c>
      <c r="BE978" t="str">
        <f>""</f>
        <v/>
      </c>
      <c r="BF978" t="str">
        <f t="shared" si="485"/>
        <v>A</v>
      </c>
      <c r="BG978" t="str">
        <f>""</f>
        <v/>
      </c>
      <c r="BH978" t="str">
        <f>""</f>
        <v/>
      </c>
      <c r="BI978" t="str">
        <f t="shared" si="466"/>
        <v>EVENTUAL</v>
      </c>
      <c r="BJ978" t="str">
        <f t="shared" si="487"/>
        <v>1</v>
      </c>
      <c r="BK978" t="str">
        <f t="shared" si="488"/>
        <v>Farmacia</v>
      </c>
      <c r="BL978" t="str">
        <f>""</f>
        <v/>
      </c>
      <c r="BM978" t="str">
        <f>""</f>
        <v/>
      </c>
      <c r="BN978" t="str">
        <f>""</f>
        <v/>
      </c>
      <c r="BO978" t="str">
        <f>""</f>
        <v/>
      </c>
      <c r="BP978" t="str">
        <f>""</f>
        <v/>
      </c>
      <c r="BQ978" t="str">
        <f>""</f>
        <v/>
      </c>
      <c r="BR978" t="str">
        <f>"11/07/2023"</f>
        <v>11/07/2023</v>
      </c>
      <c r="BS978" t="str">
        <f>""</f>
        <v/>
      </c>
      <c r="BT978" t="str">
        <f>""</f>
        <v/>
      </c>
      <c r="BU978" t="str">
        <f>""</f>
        <v/>
      </c>
      <c r="BV978" t="str">
        <f>""</f>
        <v/>
      </c>
      <c r="BW978" t="str">
        <f>"Não visitado"</f>
        <v>Não visitado</v>
      </c>
    </row>
    <row r="979" spans="1:75" x14ac:dyDescent="0.35">
      <c r="A979">
        <v>157670</v>
      </c>
      <c r="B979" t="str">
        <f t="shared" si="481"/>
        <v>A</v>
      </c>
      <c r="C979" t="str">
        <f t="shared" si="482"/>
        <v>80</v>
      </c>
      <c r="D979" t="str">
        <f t="shared" si="472"/>
        <v>11121002</v>
      </c>
      <c r="E979" t="str">
        <f t="shared" si="473"/>
        <v>121002</v>
      </c>
      <c r="F979" t="str">
        <f t="shared" si="474"/>
        <v>CINTHIA NORONHA</v>
      </c>
      <c r="G979" t="str">
        <f>"10743812000180"</f>
        <v>10743812000180</v>
      </c>
      <c r="H979" t="str">
        <f>"0"</f>
        <v>0</v>
      </c>
      <c r="I979" t="str">
        <f t="shared" si="483"/>
        <v>CONTA OPTICA</v>
      </c>
      <c r="J979" t="str">
        <f>"OTICA JULIA LTDA ME"</f>
        <v>OTICA JULIA LTDA ME</v>
      </c>
      <c r="K979" t="str">
        <f>"OTICA JULIA LTDA ME (1381)"</f>
        <v>OTICA JULIA LTDA ME (1381)</v>
      </c>
      <c r="L979" t="str">
        <f>""</f>
        <v/>
      </c>
      <c r="M979" t="str">
        <f>""</f>
        <v/>
      </c>
      <c r="N979" t="str">
        <f>""</f>
        <v/>
      </c>
      <c r="O979" t="str">
        <f>""</f>
        <v/>
      </c>
      <c r="P979" t="str">
        <f>"RUA R: ALBERTO BURIGO"</f>
        <v>RUA R: ALBERTO BURIGO</v>
      </c>
      <c r="Q979" t="str">
        <f>"114"</f>
        <v>114</v>
      </c>
      <c r="R979" t="str">
        <f>"SALA A"</f>
        <v>SALA A</v>
      </c>
      <c r="S979" t="str">
        <f>"1270"</f>
        <v>1270</v>
      </c>
      <c r="T979" t="str">
        <f>"88920000"</f>
        <v>88920000</v>
      </c>
      <c r="U979" t="str">
        <f>"CENTRO"</f>
        <v>CENTRO</v>
      </c>
      <c r="V979" t="str">
        <f>"MELEIRO"</f>
        <v>MELEIRO</v>
      </c>
      <c r="W979" t="str">
        <f t="shared" si="489"/>
        <v>SC</v>
      </c>
      <c r="X979" t="str">
        <f t="shared" si="494"/>
        <v>48</v>
      </c>
      <c r="Y979" t="str">
        <f>"35371919"</f>
        <v>35371919</v>
      </c>
      <c r="Z979" t="str">
        <f>""</f>
        <v/>
      </c>
      <c r="AA979" t="str">
        <f>""</f>
        <v/>
      </c>
      <c r="AB979" t="str">
        <f>""</f>
        <v/>
      </c>
      <c r="AC979" t="str">
        <f>""</f>
        <v/>
      </c>
      <c r="AD979" t="str">
        <f>""</f>
        <v/>
      </c>
      <c r="AE979" t="str">
        <f>""</f>
        <v/>
      </c>
      <c r="AF979" t="str">
        <f>""</f>
        <v/>
      </c>
      <c r="AG979" t="str">
        <f>""</f>
        <v/>
      </c>
      <c r="AH979" t="str">
        <f>""</f>
        <v/>
      </c>
      <c r="AI979" t="str">
        <f>""</f>
        <v/>
      </c>
      <c r="AJ979" t="str">
        <f>""</f>
        <v/>
      </c>
      <c r="AK979" t="str">
        <f>""</f>
        <v/>
      </c>
      <c r="AL979" t="str">
        <f>""</f>
        <v/>
      </c>
      <c r="AM979" t="str">
        <f>""</f>
        <v/>
      </c>
      <c r="AN979" t="str">
        <f>""</f>
        <v/>
      </c>
      <c r="AO979" t="str">
        <f>""</f>
        <v/>
      </c>
      <c r="AP979" t="str">
        <f>""</f>
        <v/>
      </c>
      <c r="AQ979" t="str">
        <f>""</f>
        <v/>
      </c>
      <c r="AR979" t="str">
        <f>""</f>
        <v/>
      </c>
      <c r="AS979" t="str">
        <f>""</f>
        <v/>
      </c>
      <c r="AT979" t="str">
        <f>""</f>
        <v/>
      </c>
      <c r="AU979" t="str">
        <f>""</f>
        <v/>
      </c>
      <c r="AV979" t="str">
        <f>""</f>
        <v/>
      </c>
      <c r="AW979" t="str">
        <f>""</f>
        <v/>
      </c>
      <c r="AX979" t="str">
        <f>""</f>
        <v/>
      </c>
      <c r="AY979" t="str">
        <f>""</f>
        <v/>
      </c>
      <c r="AZ979" t="str">
        <f>""</f>
        <v/>
      </c>
      <c r="BA979" t="str">
        <f>""</f>
        <v/>
      </c>
      <c r="BB979" t="str">
        <f>"11/07/2023 02:19:56"</f>
        <v>11/07/2023 02:19:56</v>
      </c>
      <c r="BC979" t="str">
        <f>""</f>
        <v/>
      </c>
      <c r="BD979" t="str">
        <f>""</f>
        <v/>
      </c>
      <c r="BE979" t="str">
        <f>""</f>
        <v/>
      </c>
      <c r="BF979" t="str">
        <f t="shared" si="485"/>
        <v>A</v>
      </c>
      <c r="BG979" t="str">
        <f>""</f>
        <v/>
      </c>
      <c r="BH979" t="str">
        <f>""</f>
        <v/>
      </c>
      <c r="BI979" t="str">
        <f t="shared" si="466"/>
        <v>EVENTUAL</v>
      </c>
      <c r="BJ979" t="str">
        <f t="shared" si="487"/>
        <v>1</v>
      </c>
      <c r="BK979" t="str">
        <f t="shared" si="488"/>
        <v>Farmacia</v>
      </c>
      <c r="BL979" t="str">
        <f>""</f>
        <v/>
      </c>
      <c r="BM979" t="str">
        <f>""</f>
        <v/>
      </c>
      <c r="BN979" t="str">
        <f>""</f>
        <v/>
      </c>
      <c r="BO979" t="str">
        <f>""</f>
        <v/>
      </c>
      <c r="BP979" t="str">
        <f>""</f>
        <v/>
      </c>
      <c r="BQ979" t="str">
        <f>""</f>
        <v/>
      </c>
      <c r="BR979" t="str">
        <f>"11/07/2023"</f>
        <v>11/07/2023</v>
      </c>
      <c r="BS979" t="str">
        <f>""</f>
        <v/>
      </c>
      <c r="BT979" t="str">
        <f>""</f>
        <v/>
      </c>
      <c r="BU979" t="str">
        <f>""</f>
        <v/>
      </c>
      <c r="BV979" t="str">
        <f>""</f>
        <v/>
      </c>
      <c r="BW979" t="str">
        <f>"Não visitado"</f>
        <v>Não visitado</v>
      </c>
    </row>
    <row r="980" spans="1:75" x14ac:dyDescent="0.35">
      <c r="A980">
        <v>120512</v>
      </c>
      <c r="B980" t="str">
        <f t="shared" si="481"/>
        <v>A</v>
      </c>
      <c r="C980" t="str">
        <f t="shared" si="482"/>
        <v>80</v>
      </c>
      <c r="D980" t="str">
        <f t="shared" si="472"/>
        <v>11121002</v>
      </c>
      <c r="E980" t="str">
        <f t="shared" si="473"/>
        <v>121002</v>
      </c>
      <c r="F980" t="str">
        <f t="shared" si="474"/>
        <v>CINTHIA NORONHA</v>
      </c>
      <c r="G980" t="str">
        <f>"01197954000107"</f>
        <v>01197954000107</v>
      </c>
      <c r="H980" t="str">
        <f>"0"</f>
        <v>0</v>
      </c>
      <c r="I980" t="str">
        <f t="shared" si="483"/>
        <v>CONTA OPTICA</v>
      </c>
      <c r="J980" t="str">
        <f>"OTICA JURERE EIRELI - ME"</f>
        <v>OTICA JURERE EIRELI - ME</v>
      </c>
      <c r="K980" t="str">
        <f>"JURERE OPTICA (1776)"</f>
        <v>JURERE OPTICA (1776)</v>
      </c>
      <c r="L980" t="str">
        <f>""</f>
        <v/>
      </c>
      <c r="M980" t="str">
        <f>""</f>
        <v/>
      </c>
      <c r="N980" t="str">
        <f>"oticajurere@gmail.com"</f>
        <v>oticajurere@gmail.com</v>
      </c>
      <c r="O980" t="str">
        <f>""</f>
        <v/>
      </c>
      <c r="P980" t="str">
        <f>"RUA DANIEL PETRY"</f>
        <v>RUA DANIEL PETRY</v>
      </c>
      <c r="Q980" t="str">
        <f>"294"</f>
        <v>294</v>
      </c>
      <c r="R980" t="str">
        <f>"SALA 02"</f>
        <v>SALA 02</v>
      </c>
      <c r="S980" t="str">
        <f>"1259"</f>
        <v>1259</v>
      </c>
      <c r="T980" t="str">
        <f>"88180000"</f>
        <v>88180000</v>
      </c>
      <c r="U980" t="str">
        <f>"CENTRO"</f>
        <v>CENTRO</v>
      </c>
      <c r="V980" t="str">
        <f>"ANTONIO CARLOS"</f>
        <v>ANTONIO CARLOS</v>
      </c>
      <c r="W980" t="str">
        <f t="shared" si="489"/>
        <v>SC</v>
      </c>
      <c r="X980" t="str">
        <f t="shared" si="494"/>
        <v>48</v>
      </c>
      <c r="Y980" t="str">
        <f>"33647681"</f>
        <v>33647681</v>
      </c>
      <c r="Z980" t="str">
        <f>""</f>
        <v/>
      </c>
      <c r="AA980" t="str">
        <f>""</f>
        <v/>
      </c>
      <c r="AB980" t="str">
        <f>""</f>
        <v/>
      </c>
      <c r="AC980" t="str">
        <f>""</f>
        <v/>
      </c>
      <c r="AD980" t="str">
        <f>""</f>
        <v/>
      </c>
      <c r="AE980" t="str">
        <f>""</f>
        <v/>
      </c>
      <c r="AF980" t="str">
        <f>""</f>
        <v/>
      </c>
      <c r="AG980" t="str">
        <f>""</f>
        <v/>
      </c>
      <c r="AH980" t="str">
        <f>""</f>
        <v/>
      </c>
      <c r="AI980" t="str">
        <f>""</f>
        <v/>
      </c>
      <c r="AJ980" t="str">
        <f>""</f>
        <v/>
      </c>
      <c r="AK980" t="str">
        <f>""</f>
        <v/>
      </c>
      <c r="AL980" t="str">
        <f>""</f>
        <v/>
      </c>
      <c r="AM980" t="str">
        <f>""</f>
        <v/>
      </c>
      <c r="AN980" t="str">
        <f>""</f>
        <v/>
      </c>
      <c r="AO980" t="str">
        <f>""</f>
        <v/>
      </c>
      <c r="AP980" t="str">
        <f>""</f>
        <v/>
      </c>
      <c r="AQ980" t="str">
        <f>""</f>
        <v/>
      </c>
      <c r="AR980" t="str">
        <f>""</f>
        <v/>
      </c>
      <c r="AS980" t="str">
        <f>""</f>
        <v/>
      </c>
      <c r="AT980" t="str">
        <f>""</f>
        <v/>
      </c>
      <c r="AU980" t="str">
        <f>""</f>
        <v/>
      </c>
      <c r="AV980" t="str">
        <f>""</f>
        <v/>
      </c>
      <c r="AW980" t="str">
        <f>""</f>
        <v/>
      </c>
      <c r="AX980" t="str">
        <f>""</f>
        <v/>
      </c>
      <c r="AY980" t="str">
        <f>""</f>
        <v/>
      </c>
      <c r="AZ980" t="str">
        <f>""</f>
        <v/>
      </c>
      <c r="BA980" t="str">
        <f>""</f>
        <v/>
      </c>
      <c r="BB980" t="str">
        <f>"22/09/2020 15:29:33"</f>
        <v>22/09/2020 15:29:33</v>
      </c>
      <c r="BC980" t="str">
        <f>""</f>
        <v/>
      </c>
      <c r="BD980" t="str">
        <f>""</f>
        <v/>
      </c>
      <c r="BE980" t="str">
        <f>""</f>
        <v/>
      </c>
      <c r="BF980" t="str">
        <f t="shared" si="485"/>
        <v>A</v>
      </c>
      <c r="BG980" t="str">
        <f>""</f>
        <v/>
      </c>
      <c r="BH980" t="str">
        <f>""</f>
        <v/>
      </c>
      <c r="BI980" t="str">
        <f t="shared" si="466"/>
        <v>EVENTUAL</v>
      </c>
      <c r="BJ980" t="str">
        <f t="shared" si="487"/>
        <v>1</v>
      </c>
      <c r="BK980" t="str">
        <f t="shared" si="488"/>
        <v>Farmacia</v>
      </c>
      <c r="BL980" t="str">
        <f>""</f>
        <v/>
      </c>
      <c r="BM980" t="str">
        <f>"NÃO É VARILUX ESPECIALISTA"</f>
        <v>NÃO É VARILUX ESPECIALISTA</v>
      </c>
      <c r="BN980" t="str">
        <f>"NA"</f>
        <v>NA</v>
      </c>
      <c r="BO980" t="str">
        <f>"OUTROS"</f>
        <v>OUTROS</v>
      </c>
      <c r="BP980" t="str">
        <f>""</f>
        <v/>
      </c>
      <c r="BQ980" t="str">
        <f>""</f>
        <v/>
      </c>
      <c r="BR980" t="str">
        <f>"22/09/2020"</f>
        <v>22/09/2020</v>
      </c>
      <c r="BS980" t="str">
        <f>""</f>
        <v/>
      </c>
      <c r="BT980" t="str">
        <f>""</f>
        <v/>
      </c>
      <c r="BU980" t="str">
        <f>""</f>
        <v/>
      </c>
      <c r="BV980" t="str">
        <f>"9"</f>
        <v>9</v>
      </c>
      <c r="BW980" t="str">
        <f>"Não visitado"</f>
        <v>Não visitado</v>
      </c>
    </row>
    <row r="981" spans="1:75" x14ac:dyDescent="0.35">
      <c r="A981">
        <v>144833</v>
      </c>
      <c r="B981" t="str">
        <f t="shared" si="481"/>
        <v>A</v>
      </c>
      <c r="C981" t="str">
        <f t="shared" si="482"/>
        <v>80</v>
      </c>
      <c r="D981" t="str">
        <f t="shared" si="472"/>
        <v>11121002</v>
      </c>
      <c r="E981" t="str">
        <f t="shared" si="473"/>
        <v>121002</v>
      </c>
      <c r="F981" t="str">
        <f t="shared" si="474"/>
        <v>CINTHIA NORONHA</v>
      </c>
      <c r="G981" t="str">
        <f>"41828953000120"</f>
        <v>41828953000120</v>
      </c>
      <c r="H981" t="str">
        <f>""</f>
        <v/>
      </c>
      <c r="I981" t="str">
        <f t="shared" si="483"/>
        <v>CONTA OPTICA</v>
      </c>
      <c r="J981" t="str">
        <f>"OTICA LAURA LTDA"</f>
        <v>OTICA LAURA LTDA</v>
      </c>
      <c r="K981" t="str">
        <f>"MERCADAO DOS OCULOS (4370)"</f>
        <v>MERCADAO DOS OCULOS (4370)</v>
      </c>
      <c r="L981" t="str">
        <f>""</f>
        <v/>
      </c>
      <c r="M981" t="str">
        <f>""</f>
        <v/>
      </c>
      <c r="N981" t="str">
        <f>"SC-ORLEANS@MERCADAODOSOCULOS.COM.BR"</f>
        <v>SC-ORLEANS@MERCADAODOSOCULOS.COM.BR</v>
      </c>
      <c r="O981" t="str">
        <f>""</f>
        <v/>
      </c>
      <c r="P981" t="str">
        <f>"RUA JOSE ANTUNES MATTOS"</f>
        <v>RUA JOSE ANTUNES MATTOS</v>
      </c>
      <c r="Q981" t="str">
        <f>"23"</f>
        <v>23</v>
      </c>
      <c r="R981" t="str">
        <f>""</f>
        <v/>
      </c>
      <c r="S981" t="str">
        <f>"1269"</f>
        <v>1269</v>
      </c>
      <c r="T981" t="str">
        <f>"88870000"</f>
        <v>88870000</v>
      </c>
      <c r="U981" t="str">
        <f>"CENTRO"</f>
        <v>CENTRO</v>
      </c>
      <c r="V981" t="str">
        <f>"ORLEANS"</f>
        <v>ORLEANS</v>
      </c>
      <c r="W981" t="str">
        <f t="shared" si="489"/>
        <v>SC</v>
      </c>
      <c r="X981" t="str">
        <f t="shared" si="494"/>
        <v>48</v>
      </c>
      <c r="Y981" t="str">
        <f>"96426447"</f>
        <v>96426447</v>
      </c>
      <c r="Z981" t="str">
        <f>""</f>
        <v/>
      </c>
      <c r="AA981" t="str">
        <f>""</f>
        <v/>
      </c>
      <c r="AB981" t="str">
        <f>""</f>
        <v/>
      </c>
      <c r="AC981" t="str">
        <f>""</f>
        <v/>
      </c>
      <c r="AD981" t="str">
        <f>""</f>
        <v/>
      </c>
      <c r="AE981" t="str">
        <f>""</f>
        <v/>
      </c>
      <c r="AF981" t="str">
        <f>""</f>
        <v/>
      </c>
      <c r="AG981" t="str">
        <f>""</f>
        <v/>
      </c>
      <c r="AH981" t="str">
        <f>""</f>
        <v/>
      </c>
      <c r="AI981" t="str">
        <f>""</f>
        <v/>
      </c>
      <c r="AJ981" t="str">
        <f>""</f>
        <v/>
      </c>
      <c r="AK981" t="str">
        <f>""</f>
        <v/>
      </c>
      <c r="AL981" t="str">
        <f>""</f>
        <v/>
      </c>
      <c r="AM981" t="str">
        <f>""</f>
        <v/>
      </c>
      <c r="AN981" t="str">
        <f>""</f>
        <v/>
      </c>
      <c r="AO981" t="str">
        <f>""</f>
        <v/>
      </c>
      <c r="AP981" t="str">
        <f>""</f>
        <v/>
      </c>
      <c r="AQ981" t="str">
        <f>""</f>
        <v/>
      </c>
      <c r="AR981" t="str">
        <f>""</f>
        <v/>
      </c>
      <c r="AS981" t="str">
        <f>""</f>
        <v/>
      </c>
      <c r="AT981" t="str">
        <f>""</f>
        <v/>
      </c>
      <c r="AU981" t="str">
        <f>""</f>
        <v/>
      </c>
      <c r="AV981" t="str">
        <f>""</f>
        <v/>
      </c>
      <c r="AW981" t="str">
        <f>""</f>
        <v/>
      </c>
      <c r="AX981" t="str">
        <f>""</f>
        <v/>
      </c>
      <c r="AY981" t="str">
        <f>""</f>
        <v/>
      </c>
      <c r="AZ981" t="str">
        <f>""</f>
        <v/>
      </c>
      <c r="BA981" t="str">
        <f>""</f>
        <v/>
      </c>
      <c r="BB981" t="str">
        <f>""</f>
        <v/>
      </c>
      <c r="BC981" t="str">
        <f>""</f>
        <v/>
      </c>
      <c r="BD981" t="str">
        <f>""</f>
        <v/>
      </c>
      <c r="BE981" t="str">
        <f>""</f>
        <v/>
      </c>
      <c r="BF981" t="str">
        <f t="shared" si="485"/>
        <v>A</v>
      </c>
      <c r="BG981" t="str">
        <f>""</f>
        <v/>
      </c>
      <c r="BH981" t="str">
        <f>""</f>
        <v/>
      </c>
      <c r="BI981" t="str">
        <f t="shared" si="466"/>
        <v>EVENTUAL</v>
      </c>
      <c r="BJ981" t="str">
        <f t="shared" si="487"/>
        <v>1</v>
      </c>
      <c r="BK981" t="str">
        <f t="shared" si="488"/>
        <v>Farmacia</v>
      </c>
      <c r="BL981" t="str">
        <f>""</f>
        <v/>
      </c>
      <c r="BM981" t="str">
        <f>"NÃO É VARILUX ESPECIALISTA"</f>
        <v>NÃO É VARILUX ESPECIALISTA</v>
      </c>
      <c r="BN981" t="str">
        <f>"NA"</f>
        <v>NA</v>
      </c>
      <c r="BO981" t="str">
        <f>"OUTROS"</f>
        <v>OUTROS</v>
      </c>
      <c r="BP981" t="str">
        <f>""</f>
        <v/>
      </c>
      <c r="BQ981" t="str">
        <f>""</f>
        <v/>
      </c>
      <c r="BR981" t="str">
        <f>""</f>
        <v/>
      </c>
      <c r="BS981" t="str">
        <f>""</f>
        <v/>
      </c>
      <c r="BT981" t="str">
        <f>""</f>
        <v/>
      </c>
      <c r="BU981" t="str">
        <f>""</f>
        <v/>
      </c>
      <c r="BV981" t="str">
        <f>""</f>
        <v/>
      </c>
      <c r="BW981" t="str">
        <f>"119"</f>
        <v>119</v>
      </c>
    </row>
    <row r="982" spans="1:75" x14ac:dyDescent="0.35">
      <c r="A982">
        <v>156926</v>
      </c>
      <c r="B982" t="str">
        <f t="shared" si="481"/>
        <v>A</v>
      </c>
      <c r="C982" t="str">
        <f t="shared" si="482"/>
        <v>80</v>
      </c>
      <c r="D982" t="str">
        <f t="shared" si="472"/>
        <v>11121002</v>
      </c>
      <c r="E982" t="str">
        <f t="shared" si="473"/>
        <v>121002</v>
      </c>
      <c r="F982" t="str">
        <f t="shared" si="474"/>
        <v>CINTHIA NORONHA</v>
      </c>
      <c r="G982" t="str">
        <f>"33924083000164"</f>
        <v>33924083000164</v>
      </c>
      <c r="H982" t="str">
        <f>"0"</f>
        <v>0</v>
      </c>
      <c r="I982" t="str">
        <f t="shared" si="483"/>
        <v>CONTA OPTICA</v>
      </c>
      <c r="J982" t="str">
        <f>"OTICA LAYS LTDA"</f>
        <v>OTICA LAYS LTDA</v>
      </c>
      <c r="K982" t="str">
        <f>"OTICA LAYS (4031)"</f>
        <v>OTICA LAYS (4031)</v>
      </c>
      <c r="L982" t="str">
        <f>""</f>
        <v/>
      </c>
      <c r="M982" t="str">
        <f>""</f>
        <v/>
      </c>
      <c r="N982" t="str">
        <f>"DEBORALEONARDO25@GMAIL.COM"</f>
        <v>DEBORALEONARDO25@GMAIL.COM</v>
      </c>
      <c r="O982" t="str">
        <f>""</f>
        <v/>
      </c>
      <c r="P982" t="str">
        <f>"CONEGO ITAMAR LUIZ DA COSTA"</f>
        <v>CONEGO ITAMAR LUIZ DA COSTA</v>
      </c>
      <c r="Q982" t="str">
        <f>"994"</f>
        <v>994</v>
      </c>
      <c r="R982" t="str">
        <f>"LOJA 1"</f>
        <v>LOJA 1</v>
      </c>
      <c r="S982" t="str">
        <f>"1268"</f>
        <v>1268</v>
      </c>
      <c r="T982" t="str">
        <f>"88780000"</f>
        <v>88780000</v>
      </c>
      <c r="U982" t="str">
        <f>"NOVA BRASILIA"</f>
        <v>NOVA BRASILIA</v>
      </c>
      <c r="V982" t="str">
        <f>"IMBITUBA"</f>
        <v>IMBITUBA</v>
      </c>
      <c r="W982" t="str">
        <f t="shared" si="489"/>
        <v>SC</v>
      </c>
      <c r="X982" t="str">
        <f t="shared" si="494"/>
        <v>48</v>
      </c>
      <c r="Y982" t="str">
        <f>"996290364"</f>
        <v>996290364</v>
      </c>
      <c r="Z982" t="str">
        <f>""</f>
        <v/>
      </c>
      <c r="AA982" t="str">
        <f>""</f>
        <v/>
      </c>
      <c r="AB982" t="str">
        <f>""</f>
        <v/>
      </c>
      <c r="AC982" t="str">
        <f>""</f>
        <v/>
      </c>
      <c r="AD982" t="str">
        <f>""</f>
        <v/>
      </c>
      <c r="AE982" t="str">
        <f>""</f>
        <v/>
      </c>
      <c r="AF982" t="str">
        <f>""</f>
        <v/>
      </c>
      <c r="AG982" t="str">
        <f>""</f>
        <v/>
      </c>
      <c r="AH982" t="str">
        <f>""</f>
        <v/>
      </c>
      <c r="AI982" t="str">
        <f>""</f>
        <v/>
      </c>
      <c r="AJ982" t="str">
        <f>""</f>
        <v/>
      </c>
      <c r="AK982" t="str">
        <f>""</f>
        <v/>
      </c>
      <c r="AL982" t="str">
        <f>""</f>
        <v/>
      </c>
      <c r="AM982" t="str">
        <f>""</f>
        <v/>
      </c>
      <c r="AN982" t="str">
        <f>""</f>
        <v/>
      </c>
      <c r="AO982" t="str">
        <f>""</f>
        <v/>
      </c>
      <c r="AP982" t="str">
        <f>""</f>
        <v/>
      </c>
      <c r="AQ982" t="str">
        <f>""</f>
        <v/>
      </c>
      <c r="AR982" t="str">
        <f>""</f>
        <v/>
      </c>
      <c r="AS982" t="str">
        <f>""</f>
        <v/>
      </c>
      <c r="AT982" t="str">
        <f>""</f>
        <v/>
      </c>
      <c r="AU982" t="str">
        <f>""</f>
        <v/>
      </c>
      <c r="AV982" t="str">
        <f>""</f>
        <v/>
      </c>
      <c r="AW982" t="str">
        <f>""</f>
        <v/>
      </c>
      <c r="AX982" t="str">
        <f>""</f>
        <v/>
      </c>
      <c r="AY982" t="str">
        <f>""</f>
        <v/>
      </c>
      <c r="AZ982" t="str">
        <f>""</f>
        <v/>
      </c>
      <c r="BA982" t="str">
        <f>""</f>
        <v/>
      </c>
      <c r="BB982" t="str">
        <f>"06/07/2023 12:07:48"</f>
        <v>06/07/2023 12:07:48</v>
      </c>
      <c r="BC982" t="str">
        <f>""</f>
        <v/>
      </c>
      <c r="BD982" t="str">
        <f>""</f>
        <v/>
      </c>
      <c r="BE982" t="str">
        <f>""</f>
        <v/>
      </c>
      <c r="BF982" t="str">
        <f t="shared" si="485"/>
        <v>A</v>
      </c>
      <c r="BG982" t="str">
        <f>""</f>
        <v/>
      </c>
      <c r="BH982" t="str">
        <f>""</f>
        <v/>
      </c>
      <c r="BI982" t="str">
        <f t="shared" si="466"/>
        <v>EVENTUAL</v>
      </c>
      <c r="BJ982" t="str">
        <f t="shared" si="487"/>
        <v>1</v>
      </c>
      <c r="BK982" t="str">
        <f t="shared" si="488"/>
        <v>Farmacia</v>
      </c>
      <c r="BL982" t="str">
        <f>""</f>
        <v/>
      </c>
      <c r="BM982" t="str">
        <f>""</f>
        <v/>
      </c>
      <c r="BN982" t="str">
        <f>""</f>
        <v/>
      </c>
      <c r="BO982" t="str">
        <f>""</f>
        <v/>
      </c>
      <c r="BP982" t="str">
        <f>""</f>
        <v/>
      </c>
      <c r="BQ982" t="str">
        <f>""</f>
        <v/>
      </c>
      <c r="BR982" t="str">
        <f>"06/07/2023"</f>
        <v>06/07/2023</v>
      </c>
      <c r="BS982" t="str">
        <f>""</f>
        <v/>
      </c>
      <c r="BT982" t="str">
        <f>""</f>
        <v/>
      </c>
      <c r="BU982" t="str">
        <f>""</f>
        <v/>
      </c>
      <c r="BV982" t="str">
        <f>""</f>
        <v/>
      </c>
      <c r="BW982" t="str">
        <f>"Não visitado"</f>
        <v>Não visitado</v>
      </c>
    </row>
    <row r="983" spans="1:75" x14ac:dyDescent="0.35">
      <c r="A983">
        <v>144836</v>
      </c>
      <c r="B983" t="str">
        <f t="shared" si="481"/>
        <v>A</v>
      </c>
      <c r="C983" t="str">
        <f t="shared" si="482"/>
        <v>80</v>
      </c>
      <c r="D983" t="str">
        <f t="shared" si="472"/>
        <v>11121002</v>
      </c>
      <c r="E983" t="str">
        <f t="shared" si="473"/>
        <v>121002</v>
      </c>
      <c r="F983" t="str">
        <f t="shared" si="474"/>
        <v>CINTHIA NORONHA</v>
      </c>
      <c r="G983" t="str">
        <f>"42528287000177"</f>
        <v>42528287000177</v>
      </c>
      <c r="H983" t="str">
        <f>""</f>
        <v/>
      </c>
      <c r="I983" t="str">
        <f t="shared" si="483"/>
        <v>CONTA OPTICA</v>
      </c>
      <c r="J983" t="str">
        <f>"OTICA LEUNORA LTDA"</f>
        <v>OTICA LEUNORA LTDA</v>
      </c>
      <c r="K983" t="str">
        <f>"MERCADAO DOS OCULOS GAROPABA (4389)"</f>
        <v>MERCADAO DOS OCULOS GAROPABA (4389)</v>
      </c>
      <c r="L983" t="str">
        <f>""</f>
        <v/>
      </c>
      <c r="M983" t="str">
        <f>""</f>
        <v/>
      </c>
      <c r="N983" t="str">
        <f>"SC-GAROPABA@MERCADAODOSOCULOS.COM.BR"</f>
        <v>SC-GAROPABA@MERCADAODOSOCULOS.COM.BR</v>
      </c>
      <c r="O983" t="str">
        <f>""</f>
        <v/>
      </c>
      <c r="P983" t="str">
        <f>"RUA PREFEITO JOAO ORESTES DE ARAUJO"</f>
        <v>RUA PREFEITO JOAO ORESTES DE ARAUJO</v>
      </c>
      <c r="Q983" t="str">
        <f>"527"</f>
        <v>527</v>
      </c>
      <c r="R983" t="str">
        <f>""</f>
        <v/>
      </c>
      <c r="S983" t="str">
        <f>"1265"</f>
        <v>1265</v>
      </c>
      <c r="T983" t="str">
        <f>"88495000"</f>
        <v>88495000</v>
      </c>
      <c r="U983" t="str">
        <f t="shared" ref="U983:U989" si="495">"CENTRO"</f>
        <v>CENTRO</v>
      </c>
      <c r="V983" t="str">
        <f>"GAROPABA"</f>
        <v>GAROPABA</v>
      </c>
      <c r="W983" t="str">
        <f t="shared" si="489"/>
        <v>SC</v>
      </c>
      <c r="X983" t="str">
        <f t="shared" si="494"/>
        <v>48</v>
      </c>
      <c r="Y983" t="str">
        <f>"991135522"</f>
        <v>991135522</v>
      </c>
      <c r="Z983" t="str">
        <f>""</f>
        <v/>
      </c>
      <c r="AA983" t="str">
        <f>""</f>
        <v/>
      </c>
      <c r="AB983" t="str">
        <f>""</f>
        <v/>
      </c>
      <c r="AC983" t="str">
        <f>""</f>
        <v/>
      </c>
      <c r="AD983" t="str">
        <f>""</f>
        <v/>
      </c>
      <c r="AE983" t="str">
        <f>""</f>
        <v/>
      </c>
      <c r="AF983" t="str">
        <f>""</f>
        <v/>
      </c>
      <c r="AG983" t="str">
        <f>""</f>
        <v/>
      </c>
      <c r="AH983" t="str">
        <f>""</f>
        <v/>
      </c>
      <c r="AI983" t="str">
        <f>""</f>
        <v/>
      </c>
      <c r="AJ983" t="str">
        <f>""</f>
        <v/>
      </c>
      <c r="AK983" t="str">
        <f>""</f>
        <v/>
      </c>
      <c r="AL983" t="str">
        <f>""</f>
        <v/>
      </c>
      <c r="AM983" t="str">
        <f>""</f>
        <v/>
      </c>
      <c r="AN983" t="str">
        <f>""</f>
        <v/>
      </c>
      <c r="AO983" t="str">
        <f>""</f>
        <v/>
      </c>
      <c r="AP983" t="str">
        <f>""</f>
        <v/>
      </c>
      <c r="AQ983" t="str">
        <f>""</f>
        <v/>
      </c>
      <c r="AR983" t="str">
        <f>""</f>
        <v/>
      </c>
      <c r="AS983" t="str">
        <f>""</f>
        <v/>
      </c>
      <c r="AT983" t="str">
        <f>""</f>
        <v/>
      </c>
      <c r="AU983" t="str">
        <f>""</f>
        <v/>
      </c>
      <c r="AV983" t="str">
        <f>""</f>
        <v/>
      </c>
      <c r="AW983" t="str">
        <f>""</f>
        <v/>
      </c>
      <c r="AX983" t="str">
        <f>""</f>
        <v/>
      </c>
      <c r="AY983" t="str">
        <f>""</f>
        <v/>
      </c>
      <c r="AZ983" t="str">
        <f>""</f>
        <v/>
      </c>
      <c r="BA983" t="str">
        <f>""</f>
        <v/>
      </c>
      <c r="BB983" t="str">
        <f>""</f>
        <v/>
      </c>
      <c r="BC983" t="str">
        <f>""</f>
        <v/>
      </c>
      <c r="BD983" t="str">
        <f>""</f>
        <v/>
      </c>
      <c r="BE983" t="str">
        <f>""</f>
        <v/>
      </c>
      <c r="BF983" t="str">
        <f t="shared" si="485"/>
        <v>A</v>
      </c>
      <c r="BG983" t="str">
        <f>""</f>
        <v/>
      </c>
      <c r="BH983" t="str">
        <f>""</f>
        <v/>
      </c>
      <c r="BI983" t="str">
        <f t="shared" si="466"/>
        <v>EVENTUAL</v>
      </c>
      <c r="BJ983" t="str">
        <f t="shared" si="487"/>
        <v>1</v>
      </c>
      <c r="BK983" t="str">
        <f t="shared" si="488"/>
        <v>Farmacia</v>
      </c>
      <c r="BL983" t="str">
        <f>""</f>
        <v/>
      </c>
      <c r="BM983" t="str">
        <f>""</f>
        <v/>
      </c>
      <c r="BN983" t="str">
        <f>""</f>
        <v/>
      </c>
      <c r="BO983" t="str">
        <f>"OUTROS"</f>
        <v>OUTROS</v>
      </c>
      <c r="BP983" t="str">
        <f>""</f>
        <v/>
      </c>
      <c r="BQ983" t="str">
        <f>""</f>
        <v/>
      </c>
      <c r="BR983" t="str">
        <f>""</f>
        <v/>
      </c>
      <c r="BS983" t="str">
        <f>""</f>
        <v/>
      </c>
      <c r="BT983" t="str">
        <f>""</f>
        <v/>
      </c>
      <c r="BU983" t="str">
        <f>""</f>
        <v/>
      </c>
      <c r="BV983" t="str">
        <f>""</f>
        <v/>
      </c>
      <c r="BW983" t="str">
        <f>"Não visitado"</f>
        <v>Não visitado</v>
      </c>
    </row>
    <row r="984" spans="1:75" x14ac:dyDescent="0.35">
      <c r="A984">
        <v>144381</v>
      </c>
      <c r="B984" t="str">
        <f t="shared" si="481"/>
        <v>A</v>
      </c>
      <c r="C984" t="str">
        <f t="shared" si="482"/>
        <v>80</v>
      </c>
      <c r="D984" t="str">
        <f t="shared" si="472"/>
        <v>11121002</v>
      </c>
      <c r="E984" t="str">
        <f t="shared" si="473"/>
        <v>121002</v>
      </c>
      <c r="F984" t="str">
        <f t="shared" si="474"/>
        <v>CINTHIA NORONHA</v>
      </c>
      <c r="G984" t="str">
        <f>"81327579000101"</f>
        <v>81327579000101</v>
      </c>
      <c r="H984" t="str">
        <f>""</f>
        <v/>
      </c>
      <c r="I984" t="str">
        <f t="shared" si="483"/>
        <v>CONTA OPTICA</v>
      </c>
      <c r="J984" t="str">
        <f>"OTICA LINO LTDA ME"</f>
        <v>OTICA LINO LTDA ME</v>
      </c>
      <c r="K984" t="str">
        <f>"LINO RELOJOARIA E OTICA LTDA (213)"</f>
        <v>LINO RELOJOARIA E OTICA LTDA (213)</v>
      </c>
      <c r="L984" t="str">
        <f>""</f>
        <v/>
      </c>
      <c r="M984" t="str">
        <f>""</f>
        <v/>
      </c>
      <c r="N984" t="str">
        <f>"oticalinosc@hotmail.com"</f>
        <v>oticalinosc@hotmail.com</v>
      </c>
      <c r="O984" t="str">
        <f>""</f>
        <v/>
      </c>
      <c r="P984" t="str">
        <f>"TRAVESSA PADRE PEDRO BALDONCINI"</f>
        <v>TRAVESSA PADRE PEDRO BALDONCINI</v>
      </c>
      <c r="Q984" t="str">
        <f>"38"</f>
        <v>38</v>
      </c>
      <c r="R984" t="str">
        <f>""</f>
        <v/>
      </c>
      <c r="S984" t="str">
        <f>"1269"</f>
        <v>1269</v>
      </c>
      <c r="T984" t="str">
        <f>"88801500"</f>
        <v>88801500</v>
      </c>
      <c r="U984" t="str">
        <f t="shared" si="495"/>
        <v>CENTRO</v>
      </c>
      <c r="V984" t="str">
        <f>"CRICIÚMA"</f>
        <v>CRICIÚMA</v>
      </c>
      <c r="W984" t="str">
        <f t="shared" si="489"/>
        <v>SC</v>
      </c>
      <c r="X984" t="str">
        <f t="shared" si="494"/>
        <v>48</v>
      </c>
      <c r="Y984" t="str">
        <f>"34335697"</f>
        <v>34335697</v>
      </c>
      <c r="Z984" t="str">
        <f>""</f>
        <v/>
      </c>
      <c r="AA984" t="str">
        <f>""</f>
        <v/>
      </c>
      <c r="AB984" t="str">
        <f>""</f>
        <v/>
      </c>
      <c r="AC984" t="str">
        <f>""</f>
        <v/>
      </c>
      <c r="AD984" t="str">
        <f>""</f>
        <v/>
      </c>
      <c r="AE984" t="str">
        <f>""</f>
        <v/>
      </c>
      <c r="AF984" t="str">
        <f>""</f>
        <v/>
      </c>
      <c r="AG984" t="str">
        <f>""</f>
        <v/>
      </c>
      <c r="AH984" t="str">
        <f>""</f>
        <v/>
      </c>
      <c r="AI984" t="str">
        <f>""</f>
        <v/>
      </c>
      <c r="AJ984" t="str">
        <f t="shared" ref="AJ984:AL987" si="496">"0"</f>
        <v>0</v>
      </c>
      <c r="AK984" t="str">
        <f t="shared" si="496"/>
        <v>0</v>
      </c>
      <c r="AL984" t="str">
        <f t="shared" si="496"/>
        <v>0</v>
      </c>
      <c r="AM984" t="str">
        <f>""</f>
        <v/>
      </c>
      <c r="AN984" t="str">
        <f>""</f>
        <v/>
      </c>
      <c r="AO984" t="str">
        <f>""</f>
        <v/>
      </c>
      <c r="AP984" t="str">
        <f>""</f>
        <v/>
      </c>
      <c r="AQ984" t="str">
        <f>""</f>
        <v/>
      </c>
      <c r="AR984" t="str">
        <f>""</f>
        <v/>
      </c>
      <c r="AS984" t="str">
        <f>""</f>
        <v/>
      </c>
      <c r="AT984" t="str">
        <f>""</f>
        <v/>
      </c>
      <c r="AU984" t="str">
        <f>""</f>
        <v/>
      </c>
      <c r="AV984" t="str">
        <f>""</f>
        <v/>
      </c>
      <c r="AW984" t="str">
        <f>""</f>
        <v/>
      </c>
      <c r="AX984" t="str">
        <f>""</f>
        <v/>
      </c>
      <c r="AY984" t="str">
        <f>""</f>
        <v/>
      </c>
      <c r="AZ984" t="str">
        <f>""</f>
        <v/>
      </c>
      <c r="BA984" t="str">
        <f>""</f>
        <v/>
      </c>
      <c r="BB984" t="str">
        <f>""</f>
        <v/>
      </c>
      <c r="BC984" t="str">
        <f>""</f>
        <v/>
      </c>
      <c r="BD984" t="str">
        <f>""</f>
        <v/>
      </c>
      <c r="BE984" t="str">
        <f>""</f>
        <v/>
      </c>
      <c r="BF984" t="str">
        <f t="shared" si="485"/>
        <v>A</v>
      </c>
      <c r="BG984" t="str">
        <f t="shared" ref="BG984:BH987" si="497">"0,00"</f>
        <v>0,00</v>
      </c>
      <c r="BH984" t="str">
        <f t="shared" si="497"/>
        <v>0,00</v>
      </c>
      <c r="BI984" t="str">
        <f t="shared" si="466"/>
        <v>EVENTUAL</v>
      </c>
      <c r="BJ984" t="str">
        <f t="shared" si="487"/>
        <v>1</v>
      </c>
      <c r="BK984" t="str">
        <f t="shared" si="488"/>
        <v>Farmacia</v>
      </c>
      <c r="BL984" t="str">
        <f>""</f>
        <v/>
      </c>
      <c r="BM984" t="str">
        <f>"VARILUX ESPECIALISTA SELECT"</f>
        <v>VARILUX ESPECIALISTA SELECT</v>
      </c>
      <c r="BN984" t="str">
        <f>"NA"</f>
        <v>NA</v>
      </c>
      <c r="BO984" t="str">
        <f>"FOCO VARILUX DIGITAL"</f>
        <v>FOCO VARILUX DIGITAL</v>
      </c>
      <c r="BP984" t="str">
        <f>""</f>
        <v/>
      </c>
      <c r="BQ984" t="str">
        <f>""</f>
        <v/>
      </c>
      <c r="BR984" t="str">
        <f>""</f>
        <v/>
      </c>
      <c r="BS984" t="str">
        <f>""</f>
        <v/>
      </c>
      <c r="BT984" t="str">
        <f>""</f>
        <v/>
      </c>
      <c r="BU984" t="str">
        <f>""</f>
        <v/>
      </c>
      <c r="BV984" t="str">
        <f>"1"</f>
        <v>1</v>
      </c>
      <c r="BW984" t="str">
        <f>"8"</f>
        <v>8</v>
      </c>
    </row>
    <row r="985" spans="1:75" x14ac:dyDescent="0.35">
      <c r="A985">
        <v>134301</v>
      </c>
      <c r="B985" t="str">
        <f t="shared" si="481"/>
        <v>A</v>
      </c>
      <c r="C985" t="str">
        <f t="shared" si="482"/>
        <v>80</v>
      </c>
      <c r="D985" t="str">
        <f t="shared" si="472"/>
        <v>11121002</v>
      </c>
      <c r="E985" t="str">
        <f t="shared" si="473"/>
        <v>121002</v>
      </c>
      <c r="F985" t="str">
        <f t="shared" si="474"/>
        <v>CINTHIA NORONHA</v>
      </c>
      <c r="G985" t="str">
        <f>"21250660000109"</f>
        <v>21250660000109</v>
      </c>
      <c r="H985" t="str">
        <f>""</f>
        <v/>
      </c>
      <c r="I985" t="str">
        <f t="shared" si="483"/>
        <v>CONTA OPTICA</v>
      </c>
      <c r="J985" t="str">
        <f>"OTICA LUX COMERCIO DE ARTIGOS OPTICOS LTDA"</f>
        <v>OTICA LUX COMERCIO DE ARTIGOS OPTICOS LTDA</v>
      </c>
      <c r="K985" t="str">
        <f>"OTICA LUX (3332)"</f>
        <v>OTICA LUX (3332)</v>
      </c>
      <c r="L985" t="str">
        <f>""</f>
        <v/>
      </c>
      <c r="M985" t="str">
        <f>""</f>
        <v/>
      </c>
      <c r="N985" t="str">
        <f>"oticalux@outlook.com"</f>
        <v>oticalux@outlook.com</v>
      </c>
      <c r="O985" t="str">
        <f>""</f>
        <v/>
      </c>
      <c r="P985" t="str">
        <f>"RUA GOVERNADOR JORGE LACERDA"</f>
        <v>RUA GOVERNADOR JORGE LACERDA</v>
      </c>
      <c r="Q985" t="str">
        <f>"200"</f>
        <v>200</v>
      </c>
      <c r="R985" t="str">
        <f>"TERREO"</f>
        <v>TERREO</v>
      </c>
      <c r="S985" t="str">
        <f>"1266"</f>
        <v>1266</v>
      </c>
      <c r="T985" t="str">
        <f>"88501120"</f>
        <v>88501120</v>
      </c>
      <c r="U985" t="str">
        <f t="shared" si="495"/>
        <v>CENTRO</v>
      </c>
      <c r="V985" t="str">
        <f>"LAGES"</f>
        <v>LAGES</v>
      </c>
      <c r="W985" t="str">
        <f t="shared" si="489"/>
        <v>SC</v>
      </c>
      <c r="X985" t="str">
        <f>"49"</f>
        <v>49</v>
      </c>
      <c r="Y985" t="str">
        <f>"32223970"</f>
        <v>32223970</v>
      </c>
      <c r="Z985" t="str">
        <f>""</f>
        <v/>
      </c>
      <c r="AA985" t="str">
        <f>""</f>
        <v/>
      </c>
      <c r="AB985" t="str">
        <f>""</f>
        <v/>
      </c>
      <c r="AC985" t="str">
        <f>""</f>
        <v/>
      </c>
      <c r="AD985" t="str">
        <f>""</f>
        <v/>
      </c>
      <c r="AE985" t="str">
        <f>""</f>
        <v/>
      </c>
      <c r="AF985" t="str">
        <f>""</f>
        <v/>
      </c>
      <c r="AG985" t="str">
        <f>"S"</f>
        <v>S</v>
      </c>
      <c r="AH985" t="str">
        <f>""</f>
        <v/>
      </c>
      <c r="AI985" t="str">
        <f>""</f>
        <v/>
      </c>
      <c r="AJ985" t="str">
        <f t="shared" si="496"/>
        <v>0</v>
      </c>
      <c r="AK985" t="str">
        <f t="shared" si="496"/>
        <v>0</v>
      </c>
      <c r="AL985" t="str">
        <f t="shared" si="496"/>
        <v>0</v>
      </c>
      <c r="AM985" t="str">
        <f>""</f>
        <v/>
      </c>
      <c r="AN985" t="str">
        <f>""</f>
        <v/>
      </c>
      <c r="AO985" t="str">
        <f>""</f>
        <v/>
      </c>
      <c r="AP985" t="str">
        <f>""</f>
        <v/>
      </c>
      <c r="AQ985" t="str">
        <f>"N"</f>
        <v>N</v>
      </c>
      <c r="AR985" t="str">
        <f>"N"</f>
        <v>N</v>
      </c>
      <c r="AS985" t="str">
        <f>"N"</f>
        <v>N</v>
      </c>
      <c r="AT985" t="str">
        <f>"N"</f>
        <v>N</v>
      </c>
      <c r="AU985" t="str">
        <f>"N"</f>
        <v>N</v>
      </c>
      <c r="AV985" t="str">
        <f>""</f>
        <v/>
      </c>
      <c r="AW985" t="str">
        <f>""</f>
        <v/>
      </c>
      <c r="AX985" t="str">
        <f>""</f>
        <v/>
      </c>
      <c r="AY985" t="str">
        <f>""</f>
        <v/>
      </c>
      <c r="AZ985" t="str">
        <f>""</f>
        <v/>
      </c>
      <c r="BA985" t="str">
        <f>""</f>
        <v/>
      </c>
      <c r="BB985" t="str">
        <f>""</f>
        <v/>
      </c>
      <c r="BC985" t="str">
        <f>"03/05/2022 14:48:21"</f>
        <v>03/05/2022 14:48:21</v>
      </c>
      <c r="BD985" t="str">
        <f>""</f>
        <v/>
      </c>
      <c r="BE985" t="str">
        <f>""</f>
        <v/>
      </c>
      <c r="BF985" t="str">
        <f t="shared" si="485"/>
        <v>A</v>
      </c>
      <c r="BG985" t="str">
        <f t="shared" si="497"/>
        <v>0,00</v>
      </c>
      <c r="BH985" t="str">
        <f t="shared" si="497"/>
        <v>0,00</v>
      </c>
      <c r="BI985" t="str">
        <f t="shared" si="466"/>
        <v>EVENTUAL</v>
      </c>
      <c r="BJ985" t="str">
        <f t="shared" si="487"/>
        <v>1</v>
      </c>
      <c r="BK985" t="str">
        <f t="shared" si="488"/>
        <v>Farmacia</v>
      </c>
      <c r="BL985" t="str">
        <f>""</f>
        <v/>
      </c>
      <c r="BM985" t="str">
        <f>"NÃO É VARILUX ESPECIALISTA"</f>
        <v>NÃO É VARILUX ESPECIALISTA</v>
      </c>
      <c r="BN985" t="str">
        <f>"EL360"</f>
        <v>EL360</v>
      </c>
      <c r="BO985" t="str">
        <f>"FOCO VARILUX"</f>
        <v>FOCO VARILUX</v>
      </c>
      <c r="BP985" t="str">
        <f>""</f>
        <v/>
      </c>
      <c r="BQ985" t="str">
        <f>""</f>
        <v/>
      </c>
      <c r="BR985" t="str">
        <f>""</f>
        <v/>
      </c>
      <c r="BS985" t="str">
        <f>"03/05/2022"</f>
        <v>03/05/2022</v>
      </c>
      <c r="BT985" t="str">
        <f>""</f>
        <v/>
      </c>
      <c r="BU985" t="str">
        <f>""</f>
        <v/>
      </c>
      <c r="BV985" t="str">
        <f>"1"</f>
        <v>1</v>
      </c>
      <c r="BW985" t="str">
        <f>"14"</f>
        <v>14</v>
      </c>
    </row>
    <row r="986" spans="1:75" x14ac:dyDescent="0.35">
      <c r="A986">
        <v>144378</v>
      </c>
      <c r="B986" t="str">
        <f t="shared" si="481"/>
        <v>A</v>
      </c>
      <c r="C986" t="str">
        <f t="shared" si="482"/>
        <v>80</v>
      </c>
      <c r="D986" t="str">
        <f t="shared" si="472"/>
        <v>11121002</v>
      </c>
      <c r="E986" t="str">
        <f t="shared" si="473"/>
        <v>121002</v>
      </c>
      <c r="F986" t="str">
        <f t="shared" si="474"/>
        <v>CINTHIA NORONHA</v>
      </c>
      <c r="G986" t="str">
        <f>"80735947000180"</f>
        <v>80735947000180</v>
      </c>
      <c r="H986" t="str">
        <f>""</f>
        <v/>
      </c>
      <c r="I986" t="str">
        <f t="shared" si="483"/>
        <v>CONTA OPTICA</v>
      </c>
      <c r="J986" t="str">
        <f>"OTICA LUZ LTDA"</f>
        <v>OTICA LUZ LTDA</v>
      </c>
      <c r="K986" t="str">
        <f>"OTICA LUZ MATRIZ (986)"</f>
        <v>OTICA LUZ MATRIZ (986)</v>
      </c>
      <c r="L986" t="str">
        <f>""</f>
        <v/>
      </c>
      <c r="M986" t="str">
        <f>""</f>
        <v/>
      </c>
      <c r="N986" t="str">
        <f>"oticaluzescritorio@gmail.com"</f>
        <v>oticaluzescritorio@gmail.com</v>
      </c>
      <c r="O986" t="str">
        <f>""</f>
        <v/>
      </c>
      <c r="P986" t="str">
        <f>"PRACA NEREU RAMOS"</f>
        <v>PRACA NEREU RAMOS</v>
      </c>
      <c r="Q986" t="str">
        <f>"268"</f>
        <v>268</v>
      </c>
      <c r="R986" t="str">
        <f>"SALA 01"</f>
        <v>SALA 01</v>
      </c>
      <c r="S986" t="str">
        <f>"1269"</f>
        <v>1269</v>
      </c>
      <c r="T986" t="str">
        <f>"88801505"</f>
        <v>88801505</v>
      </c>
      <c r="U986" t="str">
        <f t="shared" si="495"/>
        <v>CENTRO</v>
      </c>
      <c r="V986" t="str">
        <f>"CRICIÚMA"</f>
        <v>CRICIÚMA</v>
      </c>
      <c r="W986" t="str">
        <f t="shared" si="489"/>
        <v>SC</v>
      </c>
      <c r="X986" t="str">
        <f t="shared" ref="X986:X995" si="498">"48"</f>
        <v>48</v>
      </c>
      <c r="Y986" t="str">
        <f>"34137017"</f>
        <v>34137017</v>
      </c>
      <c r="Z986" t="str">
        <f>""</f>
        <v/>
      </c>
      <c r="AA986" t="str">
        <f>""</f>
        <v/>
      </c>
      <c r="AB986" t="str">
        <f>""</f>
        <v/>
      </c>
      <c r="AC986" t="str">
        <f>""</f>
        <v/>
      </c>
      <c r="AD986" t="str">
        <f>""</f>
        <v/>
      </c>
      <c r="AE986" t="str">
        <f>""</f>
        <v/>
      </c>
      <c r="AF986" t="str">
        <f>""</f>
        <v/>
      </c>
      <c r="AG986" t="str">
        <f>""</f>
        <v/>
      </c>
      <c r="AH986" t="str">
        <f>""</f>
        <v/>
      </c>
      <c r="AI986" t="str">
        <f>""</f>
        <v/>
      </c>
      <c r="AJ986" t="str">
        <f t="shared" si="496"/>
        <v>0</v>
      </c>
      <c r="AK986" t="str">
        <f t="shared" si="496"/>
        <v>0</v>
      </c>
      <c r="AL986" t="str">
        <f t="shared" si="496"/>
        <v>0</v>
      </c>
      <c r="AM986" t="str">
        <f>""</f>
        <v/>
      </c>
      <c r="AN986" t="str">
        <f>""</f>
        <v/>
      </c>
      <c r="AO986" t="str">
        <f>""</f>
        <v/>
      </c>
      <c r="AP986" t="str">
        <f>""</f>
        <v/>
      </c>
      <c r="AQ986" t="str">
        <f>""</f>
        <v/>
      </c>
      <c r="AR986" t="str">
        <f>""</f>
        <v/>
      </c>
      <c r="AS986" t="str">
        <f>""</f>
        <v/>
      </c>
      <c r="AT986" t="str">
        <f>""</f>
        <v/>
      </c>
      <c r="AU986" t="str">
        <f>""</f>
        <v/>
      </c>
      <c r="AV986" t="str">
        <f>""</f>
        <v/>
      </c>
      <c r="AW986" t="str">
        <f>""</f>
        <v/>
      </c>
      <c r="AX986" t="str">
        <f>""</f>
        <v/>
      </c>
      <c r="AY986" t="str">
        <f>""</f>
        <v/>
      </c>
      <c r="AZ986" t="str">
        <f>""</f>
        <v/>
      </c>
      <c r="BA986" t="str">
        <f>""</f>
        <v/>
      </c>
      <c r="BB986" t="str">
        <f>""</f>
        <v/>
      </c>
      <c r="BC986" t="str">
        <f>""</f>
        <v/>
      </c>
      <c r="BD986" t="str">
        <f>""</f>
        <v/>
      </c>
      <c r="BE986" t="str">
        <f>""</f>
        <v/>
      </c>
      <c r="BF986" t="str">
        <f t="shared" si="485"/>
        <v>A</v>
      </c>
      <c r="BG986" t="str">
        <f t="shared" si="497"/>
        <v>0,00</v>
      </c>
      <c r="BH986" t="str">
        <f t="shared" si="497"/>
        <v>0,00</v>
      </c>
      <c r="BI986" t="str">
        <f t="shared" si="466"/>
        <v>EVENTUAL</v>
      </c>
      <c r="BJ986" t="str">
        <f t="shared" si="487"/>
        <v>1</v>
      </c>
      <c r="BK986" t="str">
        <f t="shared" si="488"/>
        <v>Farmacia</v>
      </c>
      <c r="BL986" t="str">
        <f>""</f>
        <v/>
      </c>
      <c r="BM986" t="str">
        <f>"NÃO É VARILUX ESPECIALISTA"</f>
        <v>NÃO É VARILUX ESPECIALISTA</v>
      </c>
      <c r="BN986" t="str">
        <f>"EL360"</f>
        <v>EL360</v>
      </c>
      <c r="BO986" t="str">
        <f>"FOCO KODAK 2"</f>
        <v>FOCO KODAK 2</v>
      </c>
      <c r="BP986" t="str">
        <f>""</f>
        <v/>
      </c>
      <c r="BQ986" t="str">
        <f>""</f>
        <v/>
      </c>
      <c r="BR986" t="str">
        <f>""</f>
        <v/>
      </c>
      <c r="BS986" t="str">
        <f>""</f>
        <v/>
      </c>
      <c r="BT986" t="str">
        <f>""</f>
        <v/>
      </c>
      <c r="BU986" t="str">
        <f>""</f>
        <v/>
      </c>
      <c r="BV986" t="str">
        <f>"6"</f>
        <v>6</v>
      </c>
      <c r="BW986" t="str">
        <f>"86"</f>
        <v>86</v>
      </c>
    </row>
    <row r="987" spans="1:75" x14ac:dyDescent="0.35">
      <c r="A987">
        <v>35</v>
      </c>
      <c r="B987" t="str">
        <f t="shared" si="481"/>
        <v>A</v>
      </c>
      <c r="C987" t="str">
        <f t="shared" si="482"/>
        <v>80</v>
      </c>
      <c r="D987" t="str">
        <f t="shared" si="472"/>
        <v>11121002</v>
      </c>
      <c r="E987" t="str">
        <f t="shared" si="473"/>
        <v>121002</v>
      </c>
      <c r="F987" t="str">
        <f t="shared" si="474"/>
        <v>CINTHIA NORONHA</v>
      </c>
      <c r="G987" t="str">
        <f>"03787433000127"</f>
        <v>03787433000127</v>
      </c>
      <c r="H987" t="str">
        <f>""</f>
        <v/>
      </c>
      <c r="I987" t="str">
        <f t="shared" si="483"/>
        <v>CONTA OPTICA</v>
      </c>
      <c r="J987" t="str">
        <f>"OTICA MAIS LTDA EPP"</f>
        <v>OTICA MAIS LTDA EPP</v>
      </c>
      <c r="K987" t="str">
        <f>"OTICA MAIS (1207)"</f>
        <v>OTICA MAIS (1207)</v>
      </c>
      <c r="L987" t="str">
        <f>""</f>
        <v/>
      </c>
      <c r="M987" t="str">
        <f>""</f>
        <v/>
      </c>
      <c r="N987" t="str">
        <f>"oticamaisorleans@gmail.com"</f>
        <v>oticamaisorleans@gmail.com</v>
      </c>
      <c r="O987" t="str">
        <f>""</f>
        <v/>
      </c>
      <c r="P987" t="str">
        <f>"PRACA CELSO RAMOS"</f>
        <v>PRACA CELSO RAMOS</v>
      </c>
      <c r="Q987" t="str">
        <f>"123"</f>
        <v>123</v>
      </c>
      <c r="R987" t="str">
        <f>"SALA 01"</f>
        <v>SALA 01</v>
      </c>
      <c r="S987" t="str">
        <f>"1269"</f>
        <v>1269</v>
      </c>
      <c r="T987" t="str">
        <f>"88870000"</f>
        <v>88870000</v>
      </c>
      <c r="U987" t="str">
        <f t="shared" si="495"/>
        <v>CENTRO</v>
      </c>
      <c r="V987" t="str">
        <f>"ORLEANS"</f>
        <v>ORLEANS</v>
      </c>
      <c r="W987" t="str">
        <f t="shared" si="489"/>
        <v>SC</v>
      </c>
      <c r="X987" t="str">
        <f t="shared" si="498"/>
        <v>48</v>
      </c>
      <c r="Y987" t="str">
        <f>"34660771"</f>
        <v>34660771</v>
      </c>
      <c r="Z987" t="str">
        <f>""</f>
        <v/>
      </c>
      <c r="AA987" t="str">
        <f>""</f>
        <v/>
      </c>
      <c r="AB987" t="str">
        <f>""</f>
        <v/>
      </c>
      <c r="AC987" t="str">
        <f>""</f>
        <v/>
      </c>
      <c r="AD987" t="str">
        <f>""</f>
        <v/>
      </c>
      <c r="AE987" t="str">
        <f>""</f>
        <v/>
      </c>
      <c r="AF987" t="str">
        <f>""</f>
        <v/>
      </c>
      <c r="AG987" t="str">
        <f>""</f>
        <v/>
      </c>
      <c r="AH987" t="str">
        <f>""</f>
        <v/>
      </c>
      <c r="AI987" t="str">
        <f>""</f>
        <v/>
      </c>
      <c r="AJ987" t="str">
        <f t="shared" si="496"/>
        <v>0</v>
      </c>
      <c r="AK987" t="str">
        <f t="shared" si="496"/>
        <v>0</v>
      </c>
      <c r="AL987" t="str">
        <f t="shared" si="496"/>
        <v>0</v>
      </c>
      <c r="AM987" t="str">
        <f>""</f>
        <v/>
      </c>
      <c r="AN987" t="str">
        <f>""</f>
        <v/>
      </c>
      <c r="AO987" t="str">
        <f>""</f>
        <v/>
      </c>
      <c r="AP987" t="str">
        <f>""</f>
        <v/>
      </c>
      <c r="AQ987" t="str">
        <f>""</f>
        <v/>
      </c>
      <c r="AR987" t="str">
        <f>""</f>
        <v/>
      </c>
      <c r="AS987" t="str">
        <f>""</f>
        <v/>
      </c>
      <c r="AT987" t="str">
        <f>""</f>
        <v/>
      </c>
      <c r="AU987" t="str">
        <f>""</f>
        <v/>
      </c>
      <c r="AV987" t="str">
        <f>""</f>
        <v/>
      </c>
      <c r="AW987" t="str">
        <f>""</f>
        <v/>
      </c>
      <c r="AX987" t="str">
        <f>""</f>
        <v/>
      </c>
      <c r="AY987" t="str">
        <f>""</f>
        <v/>
      </c>
      <c r="AZ987" t="str">
        <f>""</f>
        <v/>
      </c>
      <c r="BA987" t="str">
        <f>""</f>
        <v/>
      </c>
      <c r="BB987" t="str">
        <f>"27/07/2018 09:25:31"</f>
        <v>27/07/2018 09:25:31</v>
      </c>
      <c r="BC987" t="str">
        <f>""</f>
        <v/>
      </c>
      <c r="BD987" t="str">
        <f>""</f>
        <v/>
      </c>
      <c r="BE987" t="str">
        <f>"35"</f>
        <v>35</v>
      </c>
      <c r="BF987" t="str">
        <f t="shared" si="485"/>
        <v>A</v>
      </c>
      <c r="BG987" t="str">
        <f t="shared" si="497"/>
        <v>0,00</v>
      </c>
      <c r="BH987" t="str">
        <f t="shared" si="497"/>
        <v>0,00</v>
      </c>
      <c r="BI987" t="str">
        <f t="shared" si="466"/>
        <v>EVENTUAL</v>
      </c>
      <c r="BJ987" t="str">
        <f t="shared" si="487"/>
        <v>1</v>
      </c>
      <c r="BK987" t="str">
        <f t="shared" si="488"/>
        <v>Farmacia</v>
      </c>
      <c r="BL987" t="str">
        <f>""</f>
        <v/>
      </c>
      <c r="BM987" t="str">
        <f>"NÃO É VARILUX ESPECIALISTA"</f>
        <v>NÃO É VARILUX ESPECIALISTA</v>
      </c>
      <c r="BN987" t="str">
        <f>"NA"</f>
        <v>NA</v>
      </c>
      <c r="BO987" t="str">
        <f>"OUTROS"</f>
        <v>OUTROS</v>
      </c>
      <c r="BP987" t="str">
        <f>""</f>
        <v/>
      </c>
      <c r="BQ987" t="str">
        <f>""</f>
        <v/>
      </c>
      <c r="BR987" t="str">
        <f>"27/07/2018"</f>
        <v>27/07/2018</v>
      </c>
      <c r="BS987" t="str">
        <f>""</f>
        <v/>
      </c>
      <c r="BT987" t="str">
        <f>""</f>
        <v/>
      </c>
      <c r="BU987" t="str">
        <f>""</f>
        <v/>
      </c>
      <c r="BV987" t="str">
        <f>"9"</f>
        <v>9</v>
      </c>
      <c r="BW987" t="str">
        <f>"98"</f>
        <v>98</v>
      </c>
    </row>
    <row r="988" spans="1:75" x14ac:dyDescent="0.35">
      <c r="A988">
        <v>156925</v>
      </c>
      <c r="B988" t="str">
        <f t="shared" si="481"/>
        <v>A</v>
      </c>
      <c r="C988" t="str">
        <f t="shared" si="482"/>
        <v>80</v>
      </c>
      <c r="D988" t="str">
        <f t="shared" si="472"/>
        <v>11121002</v>
      </c>
      <c r="E988" t="str">
        <f t="shared" si="473"/>
        <v>121002</v>
      </c>
      <c r="F988" t="str">
        <f t="shared" si="474"/>
        <v>CINTHIA NORONHA</v>
      </c>
      <c r="G988" t="str">
        <f>"37124778000112"</f>
        <v>37124778000112</v>
      </c>
      <c r="H988" t="str">
        <f>"0"</f>
        <v>0</v>
      </c>
      <c r="I988" t="str">
        <f t="shared" si="483"/>
        <v>CONTA OPTICA</v>
      </c>
      <c r="J988" t="str">
        <f>"OTICA MAXI ECONOMICA LTDA"</f>
        <v>OTICA MAXI ECONOMICA LTDA</v>
      </c>
      <c r="K988" t="str">
        <f>"OTICA MAXI ECONOMICA (4172)"</f>
        <v>OTICA MAXI ECONOMICA (4172)</v>
      </c>
      <c r="L988" t="str">
        <f>""</f>
        <v/>
      </c>
      <c r="M988" t="str">
        <f>""</f>
        <v/>
      </c>
      <c r="N988" t="str">
        <f>"OTICAMAXITUBARAO@GMAIL.COM"</f>
        <v>OTICAMAXITUBARAO@GMAIL.COM</v>
      </c>
      <c r="O988" t="str">
        <f>""</f>
        <v/>
      </c>
      <c r="P988" t="str">
        <f>"RODOVALHO"</f>
        <v>RODOVALHO</v>
      </c>
      <c r="Q988" t="str">
        <f>"12"</f>
        <v>12</v>
      </c>
      <c r="R988" t="str">
        <f>"SL 1 ED PERESSO"</f>
        <v>SL 1 ED PERESSO</v>
      </c>
      <c r="S988" t="str">
        <f>""</f>
        <v/>
      </c>
      <c r="T988" t="str">
        <f>"88701170"</f>
        <v>88701170</v>
      </c>
      <c r="U988" t="str">
        <f t="shared" si="495"/>
        <v>CENTRO</v>
      </c>
      <c r="V988" t="str">
        <f>"TUBARAO"</f>
        <v>TUBARAO</v>
      </c>
      <c r="W988" t="str">
        <f t="shared" si="489"/>
        <v>SC</v>
      </c>
      <c r="X988" t="str">
        <f t="shared" si="498"/>
        <v>48</v>
      </c>
      <c r="Y988" t="str">
        <f>"30523288"</f>
        <v>30523288</v>
      </c>
      <c r="Z988" t="str">
        <f>""</f>
        <v/>
      </c>
      <c r="AA988" t="str">
        <f>""</f>
        <v/>
      </c>
      <c r="AB988" t="str">
        <f>""</f>
        <v/>
      </c>
      <c r="AC988" t="str">
        <f>""</f>
        <v/>
      </c>
      <c r="AD988" t="str">
        <f>""</f>
        <v/>
      </c>
      <c r="AE988" t="str">
        <f>""</f>
        <v/>
      </c>
      <c r="AF988" t="str">
        <f>""</f>
        <v/>
      </c>
      <c r="AG988" t="str">
        <f>""</f>
        <v/>
      </c>
      <c r="AH988" t="str">
        <f>""</f>
        <v/>
      </c>
      <c r="AI988" t="str">
        <f>""</f>
        <v/>
      </c>
      <c r="AJ988" t="str">
        <f>""</f>
        <v/>
      </c>
      <c r="AK988" t="str">
        <f>""</f>
        <v/>
      </c>
      <c r="AL988" t="str">
        <f>""</f>
        <v/>
      </c>
      <c r="AM988" t="str">
        <f>""</f>
        <v/>
      </c>
      <c r="AN988" t="str">
        <f>""</f>
        <v/>
      </c>
      <c r="AO988" t="str">
        <f>""</f>
        <v/>
      </c>
      <c r="AP988" t="str">
        <f>""</f>
        <v/>
      </c>
      <c r="AQ988" t="str">
        <f>""</f>
        <v/>
      </c>
      <c r="AR988" t="str">
        <f>""</f>
        <v/>
      </c>
      <c r="AS988" t="str">
        <f>""</f>
        <v/>
      </c>
      <c r="AT988" t="str">
        <f>""</f>
        <v/>
      </c>
      <c r="AU988" t="str">
        <f>""</f>
        <v/>
      </c>
      <c r="AV988" t="str">
        <f>""</f>
        <v/>
      </c>
      <c r="AW988" t="str">
        <f>""</f>
        <v/>
      </c>
      <c r="AX988" t="str">
        <f>""</f>
        <v/>
      </c>
      <c r="AY988" t="str">
        <f>""</f>
        <v/>
      </c>
      <c r="AZ988" t="str">
        <f>""</f>
        <v/>
      </c>
      <c r="BA988" t="str">
        <f>""</f>
        <v/>
      </c>
      <c r="BB988" t="str">
        <f>"06/07/2023 12:07:48"</f>
        <v>06/07/2023 12:07:48</v>
      </c>
      <c r="BC988" t="str">
        <f>""</f>
        <v/>
      </c>
      <c r="BD988" t="str">
        <f>""</f>
        <v/>
      </c>
      <c r="BE988" t="str">
        <f>""</f>
        <v/>
      </c>
      <c r="BF988" t="str">
        <f t="shared" si="485"/>
        <v>A</v>
      </c>
      <c r="BG988" t="str">
        <f>""</f>
        <v/>
      </c>
      <c r="BH988" t="str">
        <f>""</f>
        <v/>
      </c>
      <c r="BI988" t="str">
        <f t="shared" si="466"/>
        <v>EVENTUAL</v>
      </c>
      <c r="BJ988" t="str">
        <f t="shared" si="487"/>
        <v>1</v>
      </c>
      <c r="BK988" t="str">
        <f t="shared" si="488"/>
        <v>Farmacia</v>
      </c>
      <c r="BL988" t="str">
        <f>""</f>
        <v/>
      </c>
      <c r="BM988" t="str">
        <f>""</f>
        <v/>
      </c>
      <c r="BN988" t="str">
        <f>""</f>
        <v/>
      </c>
      <c r="BO988" t="str">
        <f>""</f>
        <v/>
      </c>
      <c r="BP988" t="str">
        <f>""</f>
        <v/>
      </c>
      <c r="BQ988" t="str">
        <f>""</f>
        <v/>
      </c>
      <c r="BR988" t="str">
        <f>"06/07/2023"</f>
        <v>06/07/2023</v>
      </c>
      <c r="BS988" t="str">
        <f>""</f>
        <v/>
      </c>
      <c r="BT988" t="str">
        <f>""</f>
        <v/>
      </c>
      <c r="BU988" t="str">
        <f>""</f>
        <v/>
      </c>
      <c r="BV988" t="str">
        <f>""</f>
        <v/>
      </c>
      <c r="BW988" t="str">
        <f>"Não visitado"</f>
        <v>Não visitado</v>
      </c>
    </row>
    <row r="989" spans="1:75" x14ac:dyDescent="0.35">
      <c r="A989">
        <v>144352</v>
      </c>
      <c r="B989" t="str">
        <f t="shared" si="481"/>
        <v>A</v>
      </c>
      <c r="C989" t="str">
        <f t="shared" si="482"/>
        <v>80</v>
      </c>
      <c r="D989" t="str">
        <f t="shared" si="472"/>
        <v>11121002</v>
      </c>
      <c r="E989" t="str">
        <f t="shared" si="473"/>
        <v>121002</v>
      </c>
      <c r="F989" t="str">
        <f t="shared" si="474"/>
        <v>CINTHIA NORONHA</v>
      </c>
      <c r="G989" t="str">
        <f>"25402715000100"</f>
        <v>25402715000100</v>
      </c>
      <c r="H989" t="str">
        <f>""</f>
        <v/>
      </c>
      <c r="I989" t="str">
        <f t="shared" si="483"/>
        <v>CONTA OPTICA</v>
      </c>
      <c r="J989" t="str">
        <f>"OTICA MEURER EIRELI - ME"</f>
        <v>OTICA MEURER EIRELI - ME</v>
      </c>
      <c r="K989" t="str">
        <f>"OTICA MEURER (3339)"</f>
        <v>OTICA MEURER (3339)</v>
      </c>
      <c r="L989" t="str">
        <f>""</f>
        <v/>
      </c>
      <c r="M989" t="str">
        <f>""</f>
        <v/>
      </c>
      <c r="N989" t="str">
        <f>"oticameurersl@hotmail.com"</f>
        <v>oticameurersl@hotmail.com</v>
      </c>
      <c r="O989" t="str">
        <f>""</f>
        <v/>
      </c>
      <c r="P989" t="str">
        <f>"RUA JOAO WESSLER"</f>
        <v>RUA JOAO WESSLER</v>
      </c>
      <c r="Q989" t="str">
        <f>"207"</f>
        <v>207</v>
      </c>
      <c r="R989" t="str">
        <f>""</f>
        <v/>
      </c>
      <c r="S989" t="str">
        <f>"1268"</f>
        <v>1268</v>
      </c>
      <c r="T989" t="str">
        <f>"88730000"</f>
        <v>88730000</v>
      </c>
      <c r="U989" t="str">
        <f t="shared" si="495"/>
        <v>CENTRO</v>
      </c>
      <c r="V989" t="str">
        <f>"SÃO LUDGERO"</f>
        <v>SÃO LUDGERO</v>
      </c>
      <c r="W989" t="str">
        <f t="shared" si="489"/>
        <v>SC</v>
      </c>
      <c r="X989" t="str">
        <f t="shared" si="498"/>
        <v>48</v>
      </c>
      <c r="Y989" t="str">
        <f>"36570847"</f>
        <v>36570847</v>
      </c>
      <c r="Z989" t="str">
        <f>""</f>
        <v/>
      </c>
      <c r="AA989" t="str">
        <f>""</f>
        <v/>
      </c>
      <c r="AB989" t="str">
        <f>""</f>
        <v/>
      </c>
      <c r="AC989" t="str">
        <f>""</f>
        <v/>
      </c>
      <c r="AD989" t="str">
        <f>""</f>
        <v/>
      </c>
      <c r="AE989" t="str">
        <f>""</f>
        <v/>
      </c>
      <c r="AF989" t="str">
        <f>""</f>
        <v/>
      </c>
      <c r="AG989" t="str">
        <f>""</f>
        <v/>
      </c>
      <c r="AH989" t="str">
        <f>""</f>
        <v/>
      </c>
      <c r="AI989" t="str">
        <f>""</f>
        <v/>
      </c>
      <c r="AJ989" t="str">
        <f t="shared" ref="AJ989:AL990" si="499">"0"</f>
        <v>0</v>
      </c>
      <c r="AK989" t="str">
        <f t="shared" si="499"/>
        <v>0</v>
      </c>
      <c r="AL989" t="str">
        <f t="shared" si="499"/>
        <v>0</v>
      </c>
      <c r="AM989" t="str">
        <f>""</f>
        <v/>
      </c>
      <c r="AN989" t="str">
        <f>""</f>
        <v/>
      </c>
      <c r="AO989" t="str">
        <f>""</f>
        <v/>
      </c>
      <c r="AP989" t="str">
        <f>""</f>
        <v/>
      </c>
      <c r="AQ989" t="str">
        <f>""</f>
        <v/>
      </c>
      <c r="AR989" t="str">
        <f>""</f>
        <v/>
      </c>
      <c r="AS989" t="str">
        <f>""</f>
        <v/>
      </c>
      <c r="AT989" t="str">
        <f>""</f>
        <v/>
      </c>
      <c r="AU989" t="str">
        <f>""</f>
        <v/>
      </c>
      <c r="AV989" t="str">
        <f>""</f>
        <v/>
      </c>
      <c r="AW989" t="str">
        <f>""</f>
        <v/>
      </c>
      <c r="AX989" t="str">
        <f>""</f>
        <v/>
      </c>
      <c r="AY989" t="str">
        <f>""</f>
        <v/>
      </c>
      <c r="AZ989" t="str">
        <f>""</f>
        <v/>
      </c>
      <c r="BA989" t="str">
        <f>""</f>
        <v/>
      </c>
      <c r="BB989" t="str">
        <f>""</f>
        <v/>
      </c>
      <c r="BC989" t="str">
        <f>""</f>
        <v/>
      </c>
      <c r="BD989" t="str">
        <f>""</f>
        <v/>
      </c>
      <c r="BE989" t="str">
        <f>""</f>
        <v/>
      </c>
      <c r="BF989" t="str">
        <f t="shared" si="485"/>
        <v>A</v>
      </c>
      <c r="BG989" t="str">
        <f>"0,00"</f>
        <v>0,00</v>
      </c>
      <c r="BH989" t="str">
        <f>"0,00"</f>
        <v>0,00</v>
      </c>
      <c r="BI989" t="str">
        <f t="shared" si="466"/>
        <v>EVENTUAL</v>
      </c>
      <c r="BJ989" t="str">
        <f t="shared" si="487"/>
        <v>1</v>
      </c>
      <c r="BK989" t="str">
        <f t="shared" si="488"/>
        <v>Farmacia</v>
      </c>
      <c r="BL989" t="str">
        <f>""</f>
        <v/>
      </c>
      <c r="BM989" t="str">
        <f>"NÃO É VARILUX ESPECIALISTA"</f>
        <v>NÃO É VARILUX ESPECIALISTA</v>
      </c>
      <c r="BN989" t="str">
        <f>"NA"</f>
        <v>NA</v>
      </c>
      <c r="BO989" t="str">
        <f>"FOCO VARILUX"</f>
        <v>FOCO VARILUX</v>
      </c>
      <c r="BP989" t="str">
        <f>""</f>
        <v/>
      </c>
      <c r="BQ989" t="str">
        <f>""</f>
        <v/>
      </c>
      <c r="BR989" t="str">
        <f>""</f>
        <v/>
      </c>
      <c r="BS989" t="str">
        <f>""</f>
        <v/>
      </c>
      <c r="BT989" t="str">
        <f>""</f>
        <v/>
      </c>
      <c r="BU989" t="str">
        <f>""</f>
        <v/>
      </c>
      <c r="BV989" t="str">
        <f>"9"</f>
        <v>9</v>
      </c>
      <c r="BW989" t="str">
        <f>"128"</f>
        <v>128</v>
      </c>
    </row>
    <row r="990" spans="1:75" x14ac:dyDescent="0.35">
      <c r="A990">
        <v>134278</v>
      </c>
      <c r="B990" t="str">
        <f t="shared" si="481"/>
        <v>A</v>
      </c>
      <c r="C990" t="str">
        <f t="shared" si="482"/>
        <v>80</v>
      </c>
      <c r="D990" t="str">
        <f t="shared" si="472"/>
        <v>11121002</v>
      </c>
      <c r="E990" t="str">
        <f t="shared" si="473"/>
        <v>121002</v>
      </c>
      <c r="F990" t="str">
        <f t="shared" si="474"/>
        <v>CINTHIA NORONHA</v>
      </c>
      <c r="G990" t="str">
        <f>"78811874000116"</f>
        <v>78811874000116</v>
      </c>
      <c r="H990" t="str">
        <f>""</f>
        <v/>
      </c>
      <c r="I990" t="str">
        <f t="shared" si="483"/>
        <v>CONTA OPTICA</v>
      </c>
      <c r="J990" t="str">
        <f>"OTICA MIAMI LTDA"</f>
        <v>OTICA MIAMI LTDA</v>
      </c>
      <c r="K990" t="str">
        <f>"OTICA MIAMI (325)"</f>
        <v>OTICA MIAMI (325)</v>
      </c>
      <c r="L990" t="str">
        <f>""</f>
        <v/>
      </c>
      <c r="M990" t="str">
        <f>""</f>
        <v/>
      </c>
      <c r="N990" t="str">
        <f>"zedoestreito@gmail.com"</f>
        <v>zedoestreito@gmail.com</v>
      </c>
      <c r="O990" t="str">
        <f>""</f>
        <v/>
      </c>
      <c r="P990" t="str">
        <f>"RUA SANTOS SARAIVA"</f>
        <v>RUA SANTOS SARAIVA</v>
      </c>
      <c r="Q990" t="str">
        <f>"162"</f>
        <v>162</v>
      </c>
      <c r="R990" t="str">
        <f>""</f>
        <v/>
      </c>
      <c r="S990" t="str">
        <f>"1258"</f>
        <v>1258</v>
      </c>
      <c r="T990" t="str">
        <f>"88070100"</f>
        <v>88070100</v>
      </c>
      <c r="U990" t="str">
        <f>"ESTREITO"</f>
        <v>ESTREITO</v>
      </c>
      <c r="V990" t="str">
        <f>"FLORIANÓPOLIS"</f>
        <v>FLORIANÓPOLIS</v>
      </c>
      <c r="W990" t="str">
        <f t="shared" si="489"/>
        <v>SC</v>
      </c>
      <c r="X990" t="str">
        <f t="shared" si="498"/>
        <v>48</v>
      </c>
      <c r="Y990" t="str">
        <f>"32444216"</f>
        <v>32444216</v>
      </c>
      <c r="Z990" t="str">
        <f>""</f>
        <v/>
      </c>
      <c r="AA990" t="str">
        <f>""</f>
        <v/>
      </c>
      <c r="AB990" t="str">
        <f>""</f>
        <v/>
      </c>
      <c r="AC990" t="str">
        <f>""</f>
        <v/>
      </c>
      <c r="AD990" t="str">
        <f>""</f>
        <v/>
      </c>
      <c r="AE990" t="str">
        <f>""</f>
        <v/>
      </c>
      <c r="AF990" t="str">
        <f>""</f>
        <v/>
      </c>
      <c r="AG990" t="str">
        <f>"S"</f>
        <v>S</v>
      </c>
      <c r="AH990" t="str">
        <f>""</f>
        <v/>
      </c>
      <c r="AI990" t="str">
        <f>""</f>
        <v/>
      </c>
      <c r="AJ990" t="str">
        <f t="shared" si="499"/>
        <v>0</v>
      </c>
      <c r="AK990" t="str">
        <f t="shared" si="499"/>
        <v>0</v>
      </c>
      <c r="AL990" t="str">
        <f t="shared" si="499"/>
        <v>0</v>
      </c>
      <c r="AM990" t="str">
        <f>""</f>
        <v/>
      </c>
      <c r="AN990" t="str">
        <f>""</f>
        <v/>
      </c>
      <c r="AO990" t="str">
        <f>""</f>
        <v/>
      </c>
      <c r="AP990" t="str">
        <f>""</f>
        <v/>
      </c>
      <c r="AQ990" t="str">
        <f>"N"</f>
        <v>N</v>
      </c>
      <c r="AR990" t="str">
        <f>"N"</f>
        <v>N</v>
      </c>
      <c r="AS990" t="str">
        <f>"N"</f>
        <v>N</v>
      </c>
      <c r="AT990" t="str">
        <f>"N"</f>
        <v>N</v>
      </c>
      <c r="AU990" t="str">
        <f>"N"</f>
        <v>N</v>
      </c>
      <c r="AV990" t="str">
        <f>""</f>
        <v/>
      </c>
      <c r="AW990" t="str">
        <f>""</f>
        <v/>
      </c>
      <c r="AX990" t="str">
        <f>""</f>
        <v/>
      </c>
      <c r="AY990" t="str">
        <f>""</f>
        <v/>
      </c>
      <c r="AZ990" t="str">
        <f>""</f>
        <v/>
      </c>
      <c r="BA990" t="str">
        <f>""</f>
        <v/>
      </c>
      <c r="BB990" t="str">
        <f>""</f>
        <v/>
      </c>
      <c r="BC990" t="str">
        <f>"07/07/2023 15:26:00"</f>
        <v>07/07/2023 15:26:00</v>
      </c>
      <c r="BD990" t="str">
        <f>""</f>
        <v/>
      </c>
      <c r="BE990" t="str">
        <f>""</f>
        <v/>
      </c>
      <c r="BF990" t="str">
        <f t="shared" si="485"/>
        <v>A</v>
      </c>
      <c r="BG990" t="str">
        <f>"0,00"</f>
        <v>0,00</v>
      </c>
      <c r="BH990" t="str">
        <f>"0,00"</f>
        <v>0,00</v>
      </c>
      <c r="BI990" t="str">
        <f t="shared" si="466"/>
        <v>EVENTUAL</v>
      </c>
      <c r="BJ990" t="str">
        <f t="shared" si="487"/>
        <v>1</v>
      </c>
      <c r="BK990" t="str">
        <f t="shared" si="488"/>
        <v>Farmacia</v>
      </c>
      <c r="BL990" t="str">
        <f>""</f>
        <v/>
      </c>
      <c r="BM990" t="str">
        <f>"NÃO É VARILUX ESPECIALISTA"</f>
        <v>NÃO É VARILUX ESPECIALISTA</v>
      </c>
      <c r="BN990" t="str">
        <f>"EL360"</f>
        <v>EL360</v>
      </c>
      <c r="BO990" t="str">
        <f>"FOCO VARILUX DIGITAL"</f>
        <v>FOCO VARILUX DIGITAL</v>
      </c>
      <c r="BP990" t="str">
        <f>""</f>
        <v/>
      </c>
      <c r="BQ990" t="str">
        <f>""</f>
        <v/>
      </c>
      <c r="BR990" t="str">
        <f>""</f>
        <v/>
      </c>
      <c r="BS990" t="str">
        <f>"07/07/2023"</f>
        <v>07/07/2023</v>
      </c>
      <c r="BT990" t="str">
        <f>""</f>
        <v/>
      </c>
      <c r="BU990" t="str">
        <f>""</f>
        <v/>
      </c>
      <c r="BV990" t="str">
        <f>"7"</f>
        <v>7</v>
      </c>
      <c r="BW990" t="str">
        <f>"30"</f>
        <v>30</v>
      </c>
    </row>
    <row r="991" spans="1:75" x14ac:dyDescent="0.35">
      <c r="A991">
        <v>157678</v>
      </c>
      <c r="B991" t="str">
        <f t="shared" si="481"/>
        <v>A</v>
      </c>
      <c r="C991" t="str">
        <f t="shared" si="482"/>
        <v>80</v>
      </c>
      <c r="D991" t="str">
        <f t="shared" si="472"/>
        <v>11121002</v>
      </c>
      <c r="E991" t="str">
        <f t="shared" si="473"/>
        <v>121002</v>
      </c>
      <c r="F991" t="str">
        <f t="shared" si="474"/>
        <v>CINTHIA NORONHA</v>
      </c>
      <c r="G991" t="str">
        <f>"75486829000145"</f>
        <v>75486829000145</v>
      </c>
      <c r="H991" t="str">
        <f>"0"</f>
        <v>0</v>
      </c>
      <c r="I991" t="str">
        <f t="shared" si="483"/>
        <v>CONTA OPTICA</v>
      </c>
      <c r="J991" t="str">
        <f>"OTICA MICHELS LTDA"</f>
        <v>OTICA MICHELS LTDA</v>
      </c>
      <c r="K991" t="str">
        <f>"MICHELS MATRIZ - CRICIUMA (326)"</f>
        <v>MICHELS MATRIZ - CRICIUMA (326)</v>
      </c>
      <c r="L991" t="str">
        <f>""</f>
        <v/>
      </c>
      <c r="M991" t="str">
        <f>""</f>
        <v/>
      </c>
      <c r="N991" t="str">
        <f>""</f>
        <v/>
      </c>
      <c r="O991" t="str">
        <f>""</f>
        <v/>
      </c>
      <c r="P991" t="str">
        <f>"RUA CORONEL PEDRO BENEDET"</f>
        <v>RUA CORONEL PEDRO BENEDET</v>
      </c>
      <c r="Q991" t="str">
        <f>"490"</f>
        <v>490</v>
      </c>
      <c r="R991" t="str">
        <f>""</f>
        <v/>
      </c>
      <c r="S991" t="str">
        <f>""</f>
        <v/>
      </c>
      <c r="T991" t="str">
        <f>"88811508"</f>
        <v>88811508</v>
      </c>
      <c r="U991" t="str">
        <f t="shared" ref="U991:U999" si="500">"CENTRO"</f>
        <v>CENTRO</v>
      </c>
      <c r="V991" t="str">
        <f>"CRICIUMA"</f>
        <v>CRICIUMA</v>
      </c>
      <c r="W991" t="str">
        <f t="shared" si="489"/>
        <v>SC</v>
      </c>
      <c r="X991" t="str">
        <f t="shared" si="498"/>
        <v>48</v>
      </c>
      <c r="Y991" t="str">
        <f>"34330140"</f>
        <v>34330140</v>
      </c>
      <c r="Z991" t="str">
        <f>""</f>
        <v/>
      </c>
      <c r="AA991" t="str">
        <f>""</f>
        <v/>
      </c>
      <c r="AB991" t="str">
        <f>""</f>
        <v/>
      </c>
      <c r="AC991" t="str">
        <f>""</f>
        <v/>
      </c>
      <c r="AD991" t="str">
        <f>""</f>
        <v/>
      </c>
      <c r="AE991" t="str">
        <f>""</f>
        <v/>
      </c>
      <c r="AF991" t="str">
        <f>""</f>
        <v/>
      </c>
      <c r="AG991" t="str">
        <f>""</f>
        <v/>
      </c>
      <c r="AH991" t="str">
        <f>""</f>
        <v/>
      </c>
      <c r="AI991" t="str">
        <f>""</f>
        <v/>
      </c>
      <c r="AJ991" t="str">
        <f>""</f>
        <v/>
      </c>
      <c r="AK991" t="str">
        <f>""</f>
        <v/>
      </c>
      <c r="AL991" t="str">
        <f>""</f>
        <v/>
      </c>
      <c r="AM991" t="str">
        <f>""</f>
        <v/>
      </c>
      <c r="AN991" t="str">
        <f>""</f>
        <v/>
      </c>
      <c r="AO991" t="str">
        <f>""</f>
        <v/>
      </c>
      <c r="AP991" t="str">
        <f>""</f>
        <v/>
      </c>
      <c r="AQ991" t="str">
        <f>""</f>
        <v/>
      </c>
      <c r="AR991" t="str">
        <f>""</f>
        <v/>
      </c>
      <c r="AS991" t="str">
        <f>""</f>
        <v/>
      </c>
      <c r="AT991" t="str">
        <f>""</f>
        <v/>
      </c>
      <c r="AU991" t="str">
        <f>""</f>
        <v/>
      </c>
      <c r="AV991" t="str">
        <f>""</f>
        <v/>
      </c>
      <c r="AW991" t="str">
        <f>""</f>
        <v/>
      </c>
      <c r="AX991" t="str">
        <f>""</f>
        <v/>
      </c>
      <c r="AY991" t="str">
        <f>""</f>
        <v/>
      </c>
      <c r="AZ991" t="str">
        <f>""</f>
        <v/>
      </c>
      <c r="BA991" t="str">
        <f>""</f>
        <v/>
      </c>
      <c r="BB991" t="str">
        <f>"11/07/2023 02:19:56"</f>
        <v>11/07/2023 02:19:56</v>
      </c>
      <c r="BC991" t="str">
        <f>""</f>
        <v/>
      </c>
      <c r="BD991" t="str">
        <f>""</f>
        <v/>
      </c>
      <c r="BE991" t="str">
        <f>""</f>
        <v/>
      </c>
      <c r="BF991" t="str">
        <f t="shared" si="485"/>
        <v>A</v>
      </c>
      <c r="BG991" t="str">
        <f>""</f>
        <v/>
      </c>
      <c r="BH991" t="str">
        <f>""</f>
        <v/>
      </c>
      <c r="BI991" t="str">
        <f t="shared" si="466"/>
        <v>EVENTUAL</v>
      </c>
      <c r="BJ991" t="str">
        <f t="shared" si="487"/>
        <v>1</v>
      </c>
      <c r="BK991" t="str">
        <f t="shared" si="488"/>
        <v>Farmacia</v>
      </c>
      <c r="BL991" t="str">
        <f>""</f>
        <v/>
      </c>
      <c r="BM991" t="str">
        <f>""</f>
        <v/>
      </c>
      <c r="BN991" t="str">
        <f>""</f>
        <v/>
      </c>
      <c r="BO991" t="str">
        <f>""</f>
        <v/>
      </c>
      <c r="BP991" t="str">
        <f>""</f>
        <v/>
      </c>
      <c r="BQ991" t="str">
        <f>""</f>
        <v/>
      </c>
      <c r="BR991" t="str">
        <f>"11/07/2023"</f>
        <v>11/07/2023</v>
      </c>
      <c r="BS991" t="str">
        <f>""</f>
        <v/>
      </c>
      <c r="BT991" t="str">
        <f>""</f>
        <v/>
      </c>
      <c r="BU991" t="str">
        <f>""</f>
        <v/>
      </c>
      <c r="BV991" t="str">
        <f>""</f>
        <v/>
      </c>
      <c r="BW991" t="str">
        <f>"Não visitado"</f>
        <v>Não visitado</v>
      </c>
    </row>
    <row r="992" spans="1:75" x14ac:dyDescent="0.35">
      <c r="A992">
        <v>88</v>
      </c>
      <c r="B992" t="str">
        <f t="shared" si="481"/>
        <v>A</v>
      </c>
      <c r="C992" t="str">
        <f t="shared" si="482"/>
        <v>80</v>
      </c>
      <c r="D992" t="str">
        <f t="shared" si="472"/>
        <v>11121002</v>
      </c>
      <c r="E992" t="str">
        <f t="shared" si="473"/>
        <v>121002</v>
      </c>
      <c r="F992" t="str">
        <f t="shared" si="474"/>
        <v>CINTHIA NORONHA</v>
      </c>
      <c r="G992" t="str">
        <f>"07653861000118"</f>
        <v>07653861000118</v>
      </c>
      <c r="H992" t="str">
        <f>""</f>
        <v/>
      </c>
      <c r="I992" t="str">
        <f t="shared" si="483"/>
        <v>CONTA OPTICA</v>
      </c>
      <c r="J992" t="str">
        <f>"OTICA MIGUEL LTDA ME"</f>
        <v>OTICA MIGUEL LTDA ME</v>
      </c>
      <c r="K992" t="str">
        <f>"OTICA MIGUEL LTDA ME (822)"</f>
        <v>OTICA MIGUEL LTDA ME (822)</v>
      </c>
      <c r="L992" t="str">
        <f>""</f>
        <v/>
      </c>
      <c r="M992" t="str">
        <f>""</f>
        <v/>
      </c>
      <c r="N992" t="str">
        <f>"oticamiguel@outlook.com"</f>
        <v>oticamiguel@outlook.com</v>
      </c>
      <c r="O992" t="str">
        <f>""</f>
        <v/>
      </c>
      <c r="P992" t="str">
        <f>"AVENIDA CORONEL JOAO FERNDES"</f>
        <v>AVENIDA CORONEL JOAO FERNDES</v>
      </c>
      <c r="Q992" t="str">
        <f>"200"</f>
        <v>200</v>
      </c>
      <c r="R992" t="str">
        <f>"SL 01 E 02"</f>
        <v>SL 01 E 02</v>
      </c>
      <c r="S992" t="str">
        <f>"1270"</f>
        <v>1270</v>
      </c>
      <c r="T992" t="str">
        <f>"88900005"</f>
        <v>88900005</v>
      </c>
      <c r="U992" t="str">
        <f t="shared" si="500"/>
        <v>CENTRO</v>
      </c>
      <c r="V992" t="str">
        <f>"ARARANGUÁ"</f>
        <v>ARARANGUÁ</v>
      </c>
      <c r="W992" t="str">
        <f t="shared" si="489"/>
        <v>SC</v>
      </c>
      <c r="X992" t="str">
        <f t="shared" si="498"/>
        <v>48</v>
      </c>
      <c r="Y992" t="str">
        <f>"35240204"</f>
        <v>35240204</v>
      </c>
      <c r="Z992" t="str">
        <f>""</f>
        <v/>
      </c>
      <c r="AA992" t="str">
        <f>""</f>
        <v/>
      </c>
      <c r="AB992" t="str">
        <f>""</f>
        <v/>
      </c>
      <c r="AC992" t="str">
        <f>""</f>
        <v/>
      </c>
      <c r="AD992" t="str">
        <f>""</f>
        <v/>
      </c>
      <c r="AE992" t="str">
        <f>""</f>
        <v/>
      </c>
      <c r="AF992" t="str">
        <f>""</f>
        <v/>
      </c>
      <c r="AG992" t="str">
        <f>""</f>
        <v/>
      </c>
      <c r="AH992" t="str">
        <f>""</f>
        <v/>
      </c>
      <c r="AI992" t="str">
        <f>""</f>
        <v/>
      </c>
      <c r="AJ992" t="str">
        <f t="shared" ref="AJ992:AL995" si="501">"0"</f>
        <v>0</v>
      </c>
      <c r="AK992" t="str">
        <f t="shared" si="501"/>
        <v>0</v>
      </c>
      <c r="AL992" t="str">
        <f t="shared" si="501"/>
        <v>0</v>
      </c>
      <c r="AM992" t="str">
        <f>""</f>
        <v/>
      </c>
      <c r="AN992" t="str">
        <f>""</f>
        <v/>
      </c>
      <c r="AO992" t="str">
        <f>""</f>
        <v/>
      </c>
      <c r="AP992" t="str">
        <f>""</f>
        <v/>
      </c>
      <c r="AQ992" t="str">
        <f>""</f>
        <v/>
      </c>
      <c r="AR992" t="str">
        <f>""</f>
        <v/>
      </c>
      <c r="AS992" t="str">
        <f>""</f>
        <v/>
      </c>
      <c r="AT992" t="str">
        <f>""</f>
        <v/>
      </c>
      <c r="AU992" t="str">
        <f>""</f>
        <v/>
      </c>
      <c r="AV992" t="str">
        <f>""</f>
        <v/>
      </c>
      <c r="AW992" t="str">
        <f>""</f>
        <v/>
      </c>
      <c r="AX992" t="str">
        <f>""</f>
        <v/>
      </c>
      <c r="AY992" t="str">
        <f>""</f>
        <v/>
      </c>
      <c r="AZ992" t="str">
        <f>""</f>
        <v/>
      </c>
      <c r="BA992" t="str">
        <f>""</f>
        <v/>
      </c>
      <c r="BB992" t="str">
        <f>"27/07/2018 09:25:33"</f>
        <v>27/07/2018 09:25:33</v>
      </c>
      <c r="BC992" t="str">
        <f>""</f>
        <v/>
      </c>
      <c r="BD992" t="str">
        <f>""</f>
        <v/>
      </c>
      <c r="BE992" t="str">
        <f>"88"</f>
        <v>88</v>
      </c>
      <c r="BF992" t="str">
        <f t="shared" si="485"/>
        <v>A</v>
      </c>
      <c r="BG992" t="str">
        <f t="shared" ref="BG992:BH995" si="502">"0,00"</f>
        <v>0,00</v>
      </c>
      <c r="BH992" t="str">
        <f t="shared" si="502"/>
        <v>0,00</v>
      </c>
      <c r="BI992" t="str">
        <f t="shared" ref="BI992:BI1055" si="503">"EVENTUAL"</f>
        <v>EVENTUAL</v>
      </c>
      <c r="BJ992" t="str">
        <f t="shared" si="487"/>
        <v>1</v>
      </c>
      <c r="BK992" t="str">
        <f t="shared" si="488"/>
        <v>Farmacia</v>
      </c>
      <c r="BL992" t="str">
        <f>""</f>
        <v/>
      </c>
      <c r="BM992" t="str">
        <f>"NÃO É VARILUX ESPECIALISTA"</f>
        <v>NÃO É VARILUX ESPECIALISTA</v>
      </c>
      <c r="BN992" t="str">
        <f>"NA"</f>
        <v>NA</v>
      </c>
      <c r="BO992" t="str">
        <f>"FOCO KODAK 2"</f>
        <v>FOCO KODAK 2</v>
      </c>
      <c r="BP992" t="str">
        <f>""</f>
        <v/>
      </c>
      <c r="BQ992" t="str">
        <f>""</f>
        <v/>
      </c>
      <c r="BR992" t="str">
        <f>"27/07/2018"</f>
        <v>27/07/2018</v>
      </c>
      <c r="BS992" t="str">
        <f>""</f>
        <v/>
      </c>
      <c r="BT992" t="str">
        <f>""</f>
        <v/>
      </c>
      <c r="BU992" t="str">
        <f>""</f>
        <v/>
      </c>
      <c r="BV992" t="str">
        <f>"9"</f>
        <v>9</v>
      </c>
      <c r="BW992" t="str">
        <f>"122"</f>
        <v>122</v>
      </c>
    </row>
    <row r="993" spans="1:75" x14ac:dyDescent="0.35">
      <c r="A993">
        <v>127440</v>
      </c>
      <c r="B993" t="str">
        <f t="shared" si="481"/>
        <v>A</v>
      </c>
      <c r="C993" t="str">
        <f t="shared" si="482"/>
        <v>80</v>
      </c>
      <c r="D993" t="str">
        <f t="shared" si="472"/>
        <v>11121002</v>
      </c>
      <c r="E993" t="str">
        <f t="shared" si="473"/>
        <v>121002</v>
      </c>
      <c r="F993" t="str">
        <f t="shared" si="474"/>
        <v>CINTHIA NORONHA</v>
      </c>
      <c r="G993" t="str">
        <f>"05693104000142"</f>
        <v>05693104000142</v>
      </c>
      <c r="H993" t="str">
        <f>"0"</f>
        <v>0</v>
      </c>
      <c r="I993" t="str">
        <f t="shared" si="483"/>
        <v>CONTA OPTICA</v>
      </c>
      <c r="J993" t="str">
        <f>"OTICA MILLENIUM LTDA"</f>
        <v>OTICA MILLENIUM LTDA</v>
      </c>
      <c r="K993" t="str">
        <f>"OTICA MILLENIUM LTDA (1740)"</f>
        <v>OTICA MILLENIUM LTDA (1740)</v>
      </c>
      <c r="L993" t="str">
        <f>""</f>
        <v/>
      </c>
      <c r="M993" t="str">
        <f>""</f>
        <v/>
      </c>
      <c r="N993" t="str">
        <f>"otica.milenio@hotmail.com"</f>
        <v>otica.milenio@hotmail.com</v>
      </c>
      <c r="O993" t="str">
        <f>""</f>
        <v/>
      </c>
      <c r="P993" t="str">
        <f>"RUA MARECHAL FLORIANO PEIXOTO"</f>
        <v>RUA MARECHAL FLORIANO PEIXOTO</v>
      </c>
      <c r="Q993" t="str">
        <f>"121"</f>
        <v>121</v>
      </c>
      <c r="R993" t="str">
        <f>""</f>
        <v/>
      </c>
      <c r="S993" t="str">
        <f>"1269"</f>
        <v>1269</v>
      </c>
      <c r="T993" t="str">
        <f>"88801040"</f>
        <v>88801040</v>
      </c>
      <c r="U993" t="str">
        <f t="shared" si="500"/>
        <v>CENTRO</v>
      </c>
      <c r="V993" t="str">
        <f>"CRICIÚMA"</f>
        <v>CRICIÚMA</v>
      </c>
      <c r="W993" t="str">
        <f t="shared" si="489"/>
        <v>SC</v>
      </c>
      <c r="X993" t="str">
        <f t="shared" si="498"/>
        <v>48</v>
      </c>
      <c r="Y993" t="str">
        <f>"34330591"</f>
        <v>34330591</v>
      </c>
      <c r="Z993" t="str">
        <f>""</f>
        <v/>
      </c>
      <c r="AA993" t="str">
        <f>""</f>
        <v/>
      </c>
      <c r="AB993" t="str">
        <f>""</f>
        <v/>
      </c>
      <c r="AC993" t="str">
        <f>""</f>
        <v/>
      </c>
      <c r="AD993" t="str">
        <f>""</f>
        <v/>
      </c>
      <c r="AE993" t="str">
        <f>""</f>
        <v/>
      </c>
      <c r="AF993" t="str">
        <f>""</f>
        <v/>
      </c>
      <c r="AG993" t="str">
        <f>""</f>
        <v/>
      </c>
      <c r="AH993" t="str">
        <f>""</f>
        <v/>
      </c>
      <c r="AI993" t="str">
        <f>""</f>
        <v/>
      </c>
      <c r="AJ993" t="str">
        <f t="shared" si="501"/>
        <v>0</v>
      </c>
      <c r="AK993" t="str">
        <f t="shared" si="501"/>
        <v>0</v>
      </c>
      <c r="AL993" t="str">
        <f t="shared" si="501"/>
        <v>0</v>
      </c>
      <c r="AM993" t="str">
        <f>""</f>
        <v/>
      </c>
      <c r="AN993" t="str">
        <f>""</f>
        <v/>
      </c>
      <c r="AO993" t="str">
        <f>""</f>
        <v/>
      </c>
      <c r="AP993" t="str">
        <f>""</f>
        <v/>
      </c>
      <c r="AQ993" t="str">
        <f>""</f>
        <v/>
      </c>
      <c r="AR993" t="str">
        <f>""</f>
        <v/>
      </c>
      <c r="AS993" t="str">
        <f>""</f>
        <v/>
      </c>
      <c r="AT993" t="str">
        <f>""</f>
        <v/>
      </c>
      <c r="AU993" t="str">
        <f>""</f>
        <v/>
      </c>
      <c r="AV993" t="str">
        <f>""</f>
        <v/>
      </c>
      <c r="AW993" t="str">
        <f>""</f>
        <v/>
      </c>
      <c r="AX993" t="str">
        <f>""</f>
        <v/>
      </c>
      <c r="AY993" t="str">
        <f>""</f>
        <v/>
      </c>
      <c r="AZ993" t="str">
        <f>""</f>
        <v/>
      </c>
      <c r="BA993" t="str">
        <f>""</f>
        <v/>
      </c>
      <c r="BB993" t="str">
        <f>"07/10/2020 09:08:38"</f>
        <v>07/10/2020 09:08:38</v>
      </c>
      <c r="BC993" t="str">
        <f>""</f>
        <v/>
      </c>
      <c r="BD993" t="str">
        <f>""</f>
        <v/>
      </c>
      <c r="BE993" t="str">
        <f>""</f>
        <v/>
      </c>
      <c r="BF993" t="str">
        <f t="shared" si="485"/>
        <v>A</v>
      </c>
      <c r="BG993" t="str">
        <f t="shared" si="502"/>
        <v>0,00</v>
      </c>
      <c r="BH993" t="str">
        <f t="shared" si="502"/>
        <v>0,00</v>
      </c>
      <c r="BI993" t="str">
        <f t="shared" si="503"/>
        <v>EVENTUAL</v>
      </c>
      <c r="BJ993" t="str">
        <f t="shared" si="487"/>
        <v>1</v>
      </c>
      <c r="BK993" t="str">
        <f t="shared" si="488"/>
        <v>Farmacia</v>
      </c>
      <c r="BL993" t="str">
        <f>""</f>
        <v/>
      </c>
      <c r="BM993" t="str">
        <f>"NÃO É VARILUX ESPECIALISTA"</f>
        <v>NÃO É VARILUX ESPECIALISTA</v>
      </c>
      <c r="BN993" t="str">
        <f>"NA"</f>
        <v>NA</v>
      </c>
      <c r="BO993" t="str">
        <f>"OUTROS"</f>
        <v>OUTROS</v>
      </c>
      <c r="BP993" t="str">
        <f>""</f>
        <v/>
      </c>
      <c r="BQ993" t="str">
        <f>""</f>
        <v/>
      </c>
      <c r="BR993" t="str">
        <f>"07/10/2020"</f>
        <v>07/10/2020</v>
      </c>
      <c r="BS993" t="str">
        <f>""</f>
        <v/>
      </c>
      <c r="BT993" t="str">
        <f>""</f>
        <v/>
      </c>
      <c r="BU993" t="str">
        <f>""</f>
        <v/>
      </c>
      <c r="BV993" t="str">
        <f>"9"</f>
        <v>9</v>
      </c>
      <c r="BW993" t="str">
        <f>"31"</f>
        <v>31</v>
      </c>
    </row>
    <row r="994" spans="1:75" x14ac:dyDescent="0.35">
      <c r="A994">
        <v>134287</v>
      </c>
      <c r="B994" t="str">
        <f t="shared" si="481"/>
        <v>A</v>
      </c>
      <c r="C994" t="str">
        <f t="shared" si="482"/>
        <v>80</v>
      </c>
      <c r="D994" t="str">
        <f t="shared" si="472"/>
        <v>11121002</v>
      </c>
      <c r="E994" t="str">
        <f t="shared" si="473"/>
        <v>121002</v>
      </c>
      <c r="F994" t="str">
        <f t="shared" si="474"/>
        <v>CINTHIA NORONHA</v>
      </c>
      <c r="G994" t="str">
        <f>"83901512000156"</f>
        <v>83901512000156</v>
      </c>
      <c r="H994" t="str">
        <f>""</f>
        <v/>
      </c>
      <c r="I994" t="str">
        <f t="shared" si="483"/>
        <v>CONTA OPTICA</v>
      </c>
      <c r="J994" t="str">
        <f>"OTICA MONTREAL LTDA"</f>
        <v>OTICA MONTREAL LTDA</v>
      </c>
      <c r="K994" t="str">
        <f>"MONTREAL(F.S.51) (332)"</f>
        <v>MONTREAL(F.S.51) (332)</v>
      </c>
      <c r="L994" t="str">
        <f>""</f>
        <v/>
      </c>
      <c r="M994" t="str">
        <f>""</f>
        <v/>
      </c>
      <c r="N994" t="str">
        <f>"financeiro1@oticamontreal.com.br"</f>
        <v>financeiro1@oticamontreal.com.br</v>
      </c>
      <c r="O994" t="str">
        <f>""</f>
        <v/>
      </c>
      <c r="P994" t="str">
        <f>"RUA ALVES DE BRITO"</f>
        <v>RUA ALVES DE BRITO</v>
      </c>
      <c r="Q994" t="str">
        <f>"141"</f>
        <v>141</v>
      </c>
      <c r="R994" t="str">
        <f>"LOJA 1"</f>
        <v>LOJA 1</v>
      </c>
      <c r="S994" t="str">
        <f>"1254"</f>
        <v>1254</v>
      </c>
      <c r="T994" t="str">
        <f>"88010001"</f>
        <v>88010001</v>
      </c>
      <c r="U994" t="str">
        <f t="shared" si="500"/>
        <v>CENTRO</v>
      </c>
      <c r="V994" t="str">
        <f>"FLORIANÓPOLIS"</f>
        <v>FLORIANÓPOLIS</v>
      </c>
      <c r="W994" t="str">
        <f t="shared" si="489"/>
        <v>SC</v>
      </c>
      <c r="X994" t="str">
        <f t="shared" si="498"/>
        <v>48</v>
      </c>
      <c r="Y994" t="str">
        <f>"30248320"</f>
        <v>30248320</v>
      </c>
      <c r="Z994" t="str">
        <f>""</f>
        <v/>
      </c>
      <c r="AA994" t="str">
        <f>""</f>
        <v/>
      </c>
      <c r="AB994" t="str">
        <f>""</f>
        <v/>
      </c>
      <c r="AC994" t="str">
        <f>""</f>
        <v/>
      </c>
      <c r="AD994" t="str">
        <f>""</f>
        <v/>
      </c>
      <c r="AE994" t="str">
        <f>""</f>
        <v/>
      </c>
      <c r="AF994" t="str">
        <f>""</f>
        <v/>
      </c>
      <c r="AG994" t="str">
        <f>"S"</f>
        <v>S</v>
      </c>
      <c r="AH994" t="str">
        <f>""</f>
        <v/>
      </c>
      <c r="AI994" t="str">
        <f>""</f>
        <v/>
      </c>
      <c r="AJ994" t="str">
        <f t="shared" si="501"/>
        <v>0</v>
      </c>
      <c r="AK994" t="str">
        <f t="shared" si="501"/>
        <v>0</v>
      </c>
      <c r="AL994" t="str">
        <f t="shared" si="501"/>
        <v>0</v>
      </c>
      <c r="AM994" t="str">
        <f>""</f>
        <v/>
      </c>
      <c r="AN994" t="str">
        <f>""</f>
        <v/>
      </c>
      <c r="AO994" t="str">
        <f>""</f>
        <v/>
      </c>
      <c r="AP994" t="str">
        <f>""</f>
        <v/>
      </c>
      <c r="AQ994" t="str">
        <f>"N"</f>
        <v>N</v>
      </c>
      <c r="AR994" t="str">
        <f>"N"</f>
        <v>N</v>
      </c>
      <c r="AS994" t="str">
        <f>"N"</f>
        <v>N</v>
      </c>
      <c r="AT994" t="str">
        <f>"N"</f>
        <v>N</v>
      </c>
      <c r="AU994" t="str">
        <f>"N"</f>
        <v>N</v>
      </c>
      <c r="AV994" t="str">
        <f>""</f>
        <v/>
      </c>
      <c r="AW994" t="str">
        <f>""</f>
        <v/>
      </c>
      <c r="AX994" t="str">
        <f>""</f>
        <v/>
      </c>
      <c r="AY994" t="str">
        <f>""</f>
        <v/>
      </c>
      <c r="AZ994" t="str">
        <f>""</f>
        <v/>
      </c>
      <c r="BA994" t="str">
        <f>""</f>
        <v/>
      </c>
      <c r="BB994" t="str">
        <f>""</f>
        <v/>
      </c>
      <c r="BC994" t="str">
        <f>"08/04/2022 15:52:59"</f>
        <v>08/04/2022 15:52:59</v>
      </c>
      <c r="BD994" t="str">
        <f>""</f>
        <v/>
      </c>
      <c r="BE994" t="str">
        <f>""</f>
        <v/>
      </c>
      <c r="BF994" t="str">
        <f t="shared" si="485"/>
        <v>A</v>
      </c>
      <c r="BG994" t="str">
        <f t="shared" si="502"/>
        <v>0,00</v>
      </c>
      <c r="BH994" t="str">
        <f t="shared" si="502"/>
        <v>0,00</v>
      </c>
      <c r="BI994" t="str">
        <f t="shared" si="503"/>
        <v>EVENTUAL</v>
      </c>
      <c r="BJ994" t="str">
        <f t="shared" si="487"/>
        <v>1</v>
      </c>
      <c r="BK994" t="str">
        <f t="shared" si="488"/>
        <v>Farmacia</v>
      </c>
      <c r="BL994" t="str">
        <f>""</f>
        <v/>
      </c>
      <c r="BM994" t="str">
        <f>"VARILUX ESPECIALISTA PLATINE"</f>
        <v>VARILUX ESPECIALISTA PLATINE</v>
      </c>
      <c r="BN994" t="str">
        <f>"NA"</f>
        <v>NA</v>
      </c>
      <c r="BO994" t="str">
        <f>"FOCO VARILUX DIGITAL"</f>
        <v>FOCO VARILUX DIGITAL</v>
      </c>
      <c r="BP994" t="str">
        <f>""</f>
        <v/>
      </c>
      <c r="BQ994" t="str">
        <f>""</f>
        <v/>
      </c>
      <c r="BR994" t="str">
        <f>""</f>
        <v/>
      </c>
      <c r="BS994" t="str">
        <f>"08/04/2022"</f>
        <v>08/04/2022</v>
      </c>
      <c r="BT994" t="str">
        <f>""</f>
        <v/>
      </c>
      <c r="BU994" t="str">
        <f>""</f>
        <v/>
      </c>
      <c r="BV994" t="str">
        <f>"1"</f>
        <v>1</v>
      </c>
      <c r="BW994" t="str">
        <f>"3"</f>
        <v>3</v>
      </c>
    </row>
    <row r="995" spans="1:75" x14ac:dyDescent="0.35">
      <c r="A995">
        <v>144336</v>
      </c>
      <c r="B995" t="str">
        <f t="shared" si="481"/>
        <v>A</v>
      </c>
      <c r="C995" t="str">
        <f t="shared" si="482"/>
        <v>80</v>
      </c>
      <c r="D995" t="str">
        <f t="shared" si="472"/>
        <v>11121002</v>
      </c>
      <c r="E995" t="str">
        <f t="shared" si="473"/>
        <v>121002</v>
      </c>
      <c r="F995" t="str">
        <f t="shared" si="474"/>
        <v>CINTHIA NORONHA</v>
      </c>
      <c r="G995" t="str">
        <f>"14892606000193"</f>
        <v>14892606000193</v>
      </c>
      <c r="H995" t="str">
        <f>""</f>
        <v/>
      </c>
      <c r="I995" t="str">
        <f t="shared" si="483"/>
        <v>CONTA OPTICA</v>
      </c>
      <c r="J995" t="str">
        <f>"OTICA NANY LTDA ME"</f>
        <v>OTICA NANY LTDA ME</v>
      </c>
      <c r="K995" t="str">
        <f>"OTICA NANY (1876)"</f>
        <v>OTICA NANY (1876)</v>
      </c>
      <c r="L995" t="str">
        <f>""</f>
        <v/>
      </c>
      <c r="M995" t="str">
        <f>""</f>
        <v/>
      </c>
      <c r="N995" t="str">
        <f>"nfe@xmlspc.com.br"</f>
        <v>nfe@xmlspc.com.br</v>
      </c>
      <c r="O995" t="str">
        <f>""</f>
        <v/>
      </c>
      <c r="P995" t="str">
        <f>"RUA ERNANI COTRIN"</f>
        <v>RUA ERNANI COTRIN</v>
      </c>
      <c r="Q995" t="str">
        <f>"209"</f>
        <v>209</v>
      </c>
      <c r="R995" t="str">
        <f>"SALA 02"</f>
        <v>SALA 02</v>
      </c>
      <c r="S995" t="str">
        <f>"1268"</f>
        <v>1268</v>
      </c>
      <c r="T995" t="str">
        <f>"88780000"</f>
        <v>88780000</v>
      </c>
      <c r="U995" t="str">
        <f t="shared" si="500"/>
        <v>CENTRO</v>
      </c>
      <c r="V995" t="str">
        <f>"IMBITUBA"</f>
        <v>IMBITUBA</v>
      </c>
      <c r="W995" t="str">
        <f t="shared" si="489"/>
        <v>SC</v>
      </c>
      <c r="X995" t="str">
        <f t="shared" si="498"/>
        <v>48</v>
      </c>
      <c r="Y995" t="str">
        <f>"32551803"</f>
        <v>32551803</v>
      </c>
      <c r="Z995" t="str">
        <f>""</f>
        <v/>
      </c>
      <c r="AA995" t="str">
        <f>""</f>
        <v/>
      </c>
      <c r="AB995" t="str">
        <f>""</f>
        <v/>
      </c>
      <c r="AC995" t="str">
        <f>""</f>
        <v/>
      </c>
      <c r="AD995" t="str">
        <f>""</f>
        <v/>
      </c>
      <c r="AE995" t="str">
        <f>""</f>
        <v/>
      </c>
      <c r="AF995" t="str">
        <f>""</f>
        <v/>
      </c>
      <c r="AG995" t="str">
        <f>""</f>
        <v/>
      </c>
      <c r="AH995" t="str">
        <f>""</f>
        <v/>
      </c>
      <c r="AI995" t="str">
        <f>""</f>
        <v/>
      </c>
      <c r="AJ995" t="str">
        <f t="shared" si="501"/>
        <v>0</v>
      </c>
      <c r="AK995" t="str">
        <f t="shared" si="501"/>
        <v>0</v>
      </c>
      <c r="AL995" t="str">
        <f t="shared" si="501"/>
        <v>0</v>
      </c>
      <c r="AM995" t="str">
        <f>""</f>
        <v/>
      </c>
      <c r="AN995" t="str">
        <f>""</f>
        <v/>
      </c>
      <c r="AO995" t="str">
        <f>""</f>
        <v/>
      </c>
      <c r="AP995" t="str">
        <f>""</f>
        <v/>
      </c>
      <c r="AQ995" t="str">
        <f>""</f>
        <v/>
      </c>
      <c r="AR995" t="str">
        <f>""</f>
        <v/>
      </c>
      <c r="AS995" t="str">
        <f>""</f>
        <v/>
      </c>
      <c r="AT995" t="str">
        <f>""</f>
        <v/>
      </c>
      <c r="AU995" t="str">
        <f>""</f>
        <v/>
      </c>
      <c r="AV995" t="str">
        <f>""</f>
        <v/>
      </c>
      <c r="AW995" t="str">
        <f>""</f>
        <v/>
      </c>
      <c r="AX995" t="str">
        <f>""</f>
        <v/>
      </c>
      <c r="AY995" t="str">
        <f>""</f>
        <v/>
      </c>
      <c r="AZ995" t="str">
        <f>""</f>
        <v/>
      </c>
      <c r="BA995" t="str">
        <f>""</f>
        <v/>
      </c>
      <c r="BB995" t="str">
        <f>""</f>
        <v/>
      </c>
      <c r="BC995" t="str">
        <f>""</f>
        <v/>
      </c>
      <c r="BD995" t="str">
        <f>""</f>
        <v/>
      </c>
      <c r="BE995" t="str">
        <f>""</f>
        <v/>
      </c>
      <c r="BF995" t="str">
        <f t="shared" si="485"/>
        <v>A</v>
      </c>
      <c r="BG995" t="str">
        <f t="shared" si="502"/>
        <v>0,00</v>
      </c>
      <c r="BH995" t="str">
        <f t="shared" si="502"/>
        <v>0,00</v>
      </c>
      <c r="BI995" t="str">
        <f t="shared" si="503"/>
        <v>EVENTUAL</v>
      </c>
      <c r="BJ995" t="str">
        <f t="shared" si="487"/>
        <v>1</v>
      </c>
      <c r="BK995" t="str">
        <f t="shared" si="488"/>
        <v>Farmacia</v>
      </c>
      <c r="BL995" t="str">
        <f>""</f>
        <v/>
      </c>
      <c r="BM995" t="str">
        <f>"VARILUX ESPECIALISTA PREMIER"</f>
        <v>VARILUX ESPECIALISTA PREMIER</v>
      </c>
      <c r="BN995" t="str">
        <f>"NA"</f>
        <v>NA</v>
      </c>
      <c r="BO995" t="str">
        <f>"FOCO VARILUX DIGITAL"</f>
        <v>FOCO VARILUX DIGITAL</v>
      </c>
      <c r="BP995" t="str">
        <f>""</f>
        <v/>
      </c>
      <c r="BQ995" t="str">
        <f>""</f>
        <v/>
      </c>
      <c r="BR995" t="str">
        <f>""</f>
        <v/>
      </c>
      <c r="BS995" t="str">
        <f>""</f>
        <v/>
      </c>
      <c r="BT995" t="str">
        <f>""</f>
        <v/>
      </c>
      <c r="BU995" t="str">
        <f>""</f>
        <v/>
      </c>
      <c r="BV995" t="str">
        <f>"1"</f>
        <v>1</v>
      </c>
      <c r="BW995" t="str">
        <f>"72"</f>
        <v>72</v>
      </c>
    </row>
    <row r="996" spans="1:75" x14ac:dyDescent="0.35">
      <c r="A996">
        <v>134509</v>
      </c>
      <c r="B996" t="str">
        <f t="shared" si="481"/>
        <v>A</v>
      </c>
      <c r="C996" t="str">
        <f t="shared" si="482"/>
        <v>80</v>
      </c>
      <c r="D996" t="str">
        <f t="shared" si="472"/>
        <v>11121002</v>
      </c>
      <c r="E996" t="str">
        <f t="shared" si="473"/>
        <v>121002</v>
      </c>
      <c r="F996" t="str">
        <f t="shared" si="474"/>
        <v>CINTHIA NORONHA</v>
      </c>
      <c r="G996" t="str">
        <f>"20037372000108"</f>
        <v>20037372000108</v>
      </c>
      <c r="H996" t="str">
        <f>""</f>
        <v/>
      </c>
      <c r="I996" t="str">
        <f t="shared" si="483"/>
        <v>CONTA OPTICA</v>
      </c>
      <c r="J996" t="str">
        <f>"OTICA NEW GLAS EIRELI ME"</f>
        <v>OTICA NEW GLAS EIRELI ME</v>
      </c>
      <c r="K996" t="str">
        <f>"OTICA DINIZ (2110)"</f>
        <v>OTICA DINIZ (2110)</v>
      </c>
      <c r="L996" t="str">
        <f>""</f>
        <v/>
      </c>
      <c r="M996" t="str">
        <f>""</f>
        <v/>
      </c>
      <c r="N996" t="str">
        <f>"daniele.costa@oticasdinizsul.com.br"</f>
        <v>daniele.costa@oticasdinizsul.com.br</v>
      </c>
      <c r="O996" t="str">
        <f>""</f>
        <v/>
      </c>
      <c r="P996" t="str">
        <f>"RUA MARECHAL DEODORO"</f>
        <v>RUA MARECHAL DEODORO</v>
      </c>
      <c r="Q996" t="str">
        <f>"191"</f>
        <v>191</v>
      </c>
      <c r="R996" t="str">
        <f>"SALA 04"</f>
        <v>SALA 04</v>
      </c>
      <c r="S996" t="str">
        <f>"1266"</f>
        <v>1266</v>
      </c>
      <c r="T996" t="str">
        <f>"88501000"</f>
        <v>88501000</v>
      </c>
      <c r="U996" t="str">
        <f t="shared" si="500"/>
        <v>CENTRO</v>
      </c>
      <c r="V996" t="str">
        <f>"LAGES"</f>
        <v>LAGES</v>
      </c>
      <c r="W996" t="str">
        <f t="shared" si="489"/>
        <v>SC</v>
      </c>
      <c r="X996" t="str">
        <f>"49"</f>
        <v>49</v>
      </c>
      <c r="Y996" t="str">
        <f>"30455818"</f>
        <v>30455818</v>
      </c>
      <c r="Z996" t="str">
        <f>""</f>
        <v/>
      </c>
      <c r="AA996" t="str">
        <f>""</f>
        <v/>
      </c>
      <c r="AB996" t="str">
        <f>""</f>
        <v/>
      </c>
      <c r="AC996" t="str">
        <f>""</f>
        <v/>
      </c>
      <c r="AD996" t="str">
        <f>""</f>
        <v/>
      </c>
      <c r="AE996" t="str">
        <f>""</f>
        <v/>
      </c>
      <c r="AF996" t="str">
        <f>""</f>
        <v/>
      </c>
      <c r="AG996" t="str">
        <f>""</f>
        <v/>
      </c>
      <c r="AH996" t="str">
        <f>""</f>
        <v/>
      </c>
      <c r="AI996" t="str">
        <f>""</f>
        <v/>
      </c>
      <c r="AJ996" t="str">
        <f>""</f>
        <v/>
      </c>
      <c r="AK996" t="str">
        <f>""</f>
        <v/>
      </c>
      <c r="AL996" t="str">
        <f>""</f>
        <v/>
      </c>
      <c r="AM996" t="str">
        <f>""</f>
        <v/>
      </c>
      <c r="AN996" t="str">
        <f>""</f>
        <v/>
      </c>
      <c r="AO996" t="str">
        <f>""</f>
        <v/>
      </c>
      <c r="AP996" t="str">
        <f>""</f>
        <v/>
      </c>
      <c r="AQ996" t="str">
        <f>""</f>
        <v/>
      </c>
      <c r="AR996" t="str">
        <f>""</f>
        <v/>
      </c>
      <c r="AS996" t="str">
        <f>""</f>
        <v/>
      </c>
      <c r="AT996" t="str">
        <f>""</f>
        <v/>
      </c>
      <c r="AU996" t="str">
        <f>""</f>
        <v/>
      </c>
      <c r="AV996" t="str">
        <f>""</f>
        <v/>
      </c>
      <c r="AW996" t="str">
        <f>""</f>
        <v/>
      </c>
      <c r="AX996" t="str">
        <f>""</f>
        <v/>
      </c>
      <c r="AY996" t="str">
        <f>""</f>
        <v/>
      </c>
      <c r="AZ996" t="str">
        <f>""</f>
        <v/>
      </c>
      <c r="BA996" t="str">
        <f>""</f>
        <v/>
      </c>
      <c r="BB996" t="str">
        <f>""</f>
        <v/>
      </c>
      <c r="BC996" t="str">
        <f>""</f>
        <v/>
      </c>
      <c r="BD996" t="str">
        <f>""</f>
        <v/>
      </c>
      <c r="BE996" t="str">
        <f>""</f>
        <v/>
      </c>
      <c r="BF996" t="str">
        <f t="shared" si="485"/>
        <v>A</v>
      </c>
      <c r="BG996" t="str">
        <f>""</f>
        <v/>
      </c>
      <c r="BH996" t="str">
        <f>""</f>
        <v/>
      </c>
      <c r="BI996" t="str">
        <f t="shared" si="503"/>
        <v>EVENTUAL</v>
      </c>
      <c r="BJ996" t="str">
        <f t="shared" si="487"/>
        <v>1</v>
      </c>
      <c r="BK996" t="str">
        <f t="shared" si="488"/>
        <v>Farmacia</v>
      </c>
      <c r="BL996" t="str">
        <f>""</f>
        <v/>
      </c>
      <c r="BM996" t="str">
        <f>"NÃO É VARILUX ESPECIALISTA"</f>
        <v>NÃO É VARILUX ESPECIALISTA</v>
      </c>
      <c r="BN996" t="str">
        <f>"NA"</f>
        <v>NA</v>
      </c>
      <c r="BO996" t="str">
        <f>"FOCO VARILUX"</f>
        <v>FOCO VARILUX</v>
      </c>
      <c r="BP996" t="str">
        <f>""</f>
        <v/>
      </c>
      <c r="BQ996" t="str">
        <f>""</f>
        <v/>
      </c>
      <c r="BR996" t="str">
        <f>""</f>
        <v/>
      </c>
      <c r="BS996" t="str">
        <f>""</f>
        <v/>
      </c>
      <c r="BT996" t="str">
        <f>""</f>
        <v/>
      </c>
      <c r="BU996" t="str">
        <f>""</f>
        <v/>
      </c>
      <c r="BV996" t="str">
        <f>"4"</f>
        <v>4</v>
      </c>
      <c r="BW996" t="str">
        <f>"Não visitado"</f>
        <v>Não visitado</v>
      </c>
    </row>
    <row r="997" spans="1:75" x14ac:dyDescent="0.35">
      <c r="A997">
        <v>157658</v>
      </c>
      <c r="B997" t="str">
        <f t="shared" si="481"/>
        <v>A</v>
      </c>
      <c r="C997" t="str">
        <f t="shared" si="482"/>
        <v>80</v>
      </c>
      <c r="D997" t="str">
        <f t="shared" si="472"/>
        <v>11121002</v>
      </c>
      <c r="E997" t="str">
        <f t="shared" si="473"/>
        <v>121002</v>
      </c>
      <c r="F997" t="str">
        <f t="shared" si="474"/>
        <v>CINTHIA NORONHA</v>
      </c>
      <c r="G997" t="str">
        <f>"20037372000361"</f>
        <v>20037372000361</v>
      </c>
      <c r="H997" t="str">
        <f>"0"</f>
        <v>0</v>
      </c>
      <c r="I997" t="str">
        <f t="shared" si="483"/>
        <v>CONTA OPTICA</v>
      </c>
      <c r="J997" t="str">
        <f>"OTICA NEW GLASS EIRELI - EPP"</f>
        <v>OTICA NEW GLASS EIRELI - EPP</v>
      </c>
      <c r="K997" t="str">
        <f>"OTICA DINIZ LAGUNA  (3788)"</f>
        <v>OTICA DINIZ LAGUNA  (3788)</v>
      </c>
      <c r="L997" t="str">
        <f>""</f>
        <v/>
      </c>
      <c r="M997" t="str">
        <f>""</f>
        <v/>
      </c>
      <c r="N997" t="str">
        <f>"ATENDIMENTO@OTICASDINIZSUL.COM.BR"</f>
        <v>ATENDIMENTO@OTICASDINIZSUL.COM.BR</v>
      </c>
      <c r="O997" t="str">
        <f>""</f>
        <v/>
      </c>
      <c r="P997" t="str">
        <f>"RUA SENADOR GUSTAVO RICHARD"</f>
        <v>RUA SENADOR GUSTAVO RICHARD</v>
      </c>
      <c r="Q997" t="str">
        <f>"358"</f>
        <v>358</v>
      </c>
      <c r="R997" t="str">
        <f>""</f>
        <v/>
      </c>
      <c r="S997" t="str">
        <f>"1268"</f>
        <v>1268</v>
      </c>
      <c r="T997" t="str">
        <f>"88790000"</f>
        <v>88790000</v>
      </c>
      <c r="U997" t="str">
        <f t="shared" si="500"/>
        <v>CENTRO</v>
      </c>
      <c r="V997" t="str">
        <f>"LAGUNA"</f>
        <v>LAGUNA</v>
      </c>
      <c r="W997" t="str">
        <f t="shared" si="489"/>
        <v>SC</v>
      </c>
      <c r="X997" t="str">
        <f>"48"</f>
        <v>48</v>
      </c>
      <c r="Y997" t="str">
        <f>"34370449"</f>
        <v>34370449</v>
      </c>
      <c r="Z997" t="str">
        <f>""</f>
        <v/>
      </c>
      <c r="AA997" t="str">
        <f>""</f>
        <v/>
      </c>
      <c r="AB997" t="str">
        <f>""</f>
        <v/>
      </c>
      <c r="AC997" t="str">
        <f>""</f>
        <v/>
      </c>
      <c r="AD997" t="str">
        <f>""</f>
        <v/>
      </c>
      <c r="AE997" t="str">
        <f>""</f>
        <v/>
      </c>
      <c r="AF997" t="str">
        <f>""</f>
        <v/>
      </c>
      <c r="AG997" t="str">
        <f>""</f>
        <v/>
      </c>
      <c r="AH997" t="str">
        <f>""</f>
        <v/>
      </c>
      <c r="AI997" t="str">
        <f>""</f>
        <v/>
      </c>
      <c r="AJ997" t="str">
        <f>""</f>
        <v/>
      </c>
      <c r="AK997" t="str">
        <f>""</f>
        <v/>
      </c>
      <c r="AL997" t="str">
        <f>""</f>
        <v/>
      </c>
      <c r="AM997" t="str">
        <f>""</f>
        <v/>
      </c>
      <c r="AN997" t="str">
        <f>""</f>
        <v/>
      </c>
      <c r="AO997" t="str">
        <f>""</f>
        <v/>
      </c>
      <c r="AP997" t="str">
        <f>""</f>
        <v/>
      </c>
      <c r="AQ997" t="str">
        <f>""</f>
        <v/>
      </c>
      <c r="AR997" t="str">
        <f>""</f>
        <v/>
      </c>
      <c r="AS997" t="str">
        <f>""</f>
        <v/>
      </c>
      <c r="AT997" t="str">
        <f>""</f>
        <v/>
      </c>
      <c r="AU997" t="str">
        <f>""</f>
        <v/>
      </c>
      <c r="AV997" t="str">
        <f>""</f>
        <v/>
      </c>
      <c r="AW997" t="str">
        <f>""</f>
        <v/>
      </c>
      <c r="AX997" t="str">
        <f>""</f>
        <v/>
      </c>
      <c r="AY997" t="str">
        <f>""</f>
        <v/>
      </c>
      <c r="AZ997" t="str">
        <f>""</f>
        <v/>
      </c>
      <c r="BA997" t="str">
        <f>""</f>
        <v/>
      </c>
      <c r="BB997" t="str">
        <f>"11/07/2023 02:19:56"</f>
        <v>11/07/2023 02:19:56</v>
      </c>
      <c r="BC997" t="str">
        <f>""</f>
        <v/>
      </c>
      <c r="BD997" t="str">
        <f>""</f>
        <v/>
      </c>
      <c r="BE997" t="str">
        <f>""</f>
        <v/>
      </c>
      <c r="BF997" t="str">
        <f t="shared" si="485"/>
        <v>A</v>
      </c>
      <c r="BG997" t="str">
        <f>""</f>
        <v/>
      </c>
      <c r="BH997" t="str">
        <f>""</f>
        <v/>
      </c>
      <c r="BI997" t="str">
        <f t="shared" si="503"/>
        <v>EVENTUAL</v>
      </c>
      <c r="BJ997" t="str">
        <f t="shared" si="487"/>
        <v>1</v>
      </c>
      <c r="BK997" t="str">
        <f t="shared" si="488"/>
        <v>Farmacia</v>
      </c>
      <c r="BL997" t="str">
        <f>""</f>
        <v/>
      </c>
      <c r="BM997" t="str">
        <f>""</f>
        <v/>
      </c>
      <c r="BN997" t="str">
        <f>""</f>
        <v/>
      </c>
      <c r="BO997" t="str">
        <f>""</f>
        <v/>
      </c>
      <c r="BP997" t="str">
        <f>""</f>
        <v/>
      </c>
      <c r="BQ997" t="str">
        <f>""</f>
        <v/>
      </c>
      <c r="BR997" t="str">
        <f>"11/07/2023"</f>
        <v>11/07/2023</v>
      </c>
      <c r="BS997" t="str">
        <f>""</f>
        <v/>
      </c>
      <c r="BT997" t="str">
        <f>""</f>
        <v/>
      </c>
      <c r="BU997" t="str">
        <f>""</f>
        <v/>
      </c>
      <c r="BV997" t="str">
        <f>""</f>
        <v/>
      </c>
      <c r="BW997" t="str">
        <f>"Não visitado"</f>
        <v>Não visitado</v>
      </c>
    </row>
    <row r="998" spans="1:75" x14ac:dyDescent="0.35">
      <c r="A998">
        <v>134300</v>
      </c>
      <c r="B998" t="str">
        <f t="shared" si="481"/>
        <v>A</v>
      </c>
      <c r="C998" t="str">
        <f t="shared" si="482"/>
        <v>80</v>
      </c>
      <c r="D998" t="str">
        <f t="shared" si="472"/>
        <v>11121002</v>
      </c>
      <c r="E998" t="str">
        <f t="shared" si="473"/>
        <v>121002</v>
      </c>
      <c r="F998" t="str">
        <f t="shared" si="474"/>
        <v>CINTHIA NORONHA</v>
      </c>
      <c r="G998" t="str">
        <f>"20037372000280"</f>
        <v>20037372000280</v>
      </c>
      <c r="H998" t="str">
        <f>""</f>
        <v/>
      </c>
      <c r="I998" t="str">
        <f t="shared" si="483"/>
        <v>CONTA OPTICA</v>
      </c>
      <c r="J998" t="str">
        <f>"OTICA NEW GLASS EIRELI ME"</f>
        <v>OTICA NEW GLASS EIRELI ME</v>
      </c>
      <c r="K998" t="str">
        <f>"OTICA DINIZ (2213)"</f>
        <v>OTICA DINIZ (2213)</v>
      </c>
      <c r="L998" t="str">
        <f>""</f>
        <v/>
      </c>
      <c r="M998" t="str">
        <f>""</f>
        <v/>
      </c>
      <c r="N998" t="str">
        <f>"daniele.costa@oticasdinizsul.com.br"</f>
        <v>daniele.costa@oticasdinizsul.com.br</v>
      </c>
      <c r="O998" t="str">
        <f>""</f>
        <v/>
      </c>
      <c r="P998" t="str">
        <f>"RUA CORONEL CORDOVA"</f>
        <v>RUA CORONEL CORDOVA</v>
      </c>
      <c r="Q998" t="str">
        <f>"20"</f>
        <v>20</v>
      </c>
      <c r="R998" t="str">
        <f>""</f>
        <v/>
      </c>
      <c r="S998" t="str">
        <f>"1266"</f>
        <v>1266</v>
      </c>
      <c r="T998" t="str">
        <f>"88502000"</f>
        <v>88502000</v>
      </c>
      <c r="U998" t="str">
        <f t="shared" si="500"/>
        <v>CENTRO</v>
      </c>
      <c r="V998" t="str">
        <f>"LAGES"</f>
        <v>LAGES</v>
      </c>
      <c r="W998" t="str">
        <f t="shared" si="489"/>
        <v>SC</v>
      </c>
      <c r="X998" t="str">
        <f>"49"</f>
        <v>49</v>
      </c>
      <c r="Y998" t="str">
        <f>"32291322"</f>
        <v>32291322</v>
      </c>
      <c r="Z998" t="str">
        <f>""</f>
        <v/>
      </c>
      <c r="AA998" t="str">
        <f>""</f>
        <v/>
      </c>
      <c r="AB998" t="str">
        <f>""</f>
        <v/>
      </c>
      <c r="AC998" t="str">
        <f>""</f>
        <v/>
      </c>
      <c r="AD998" t="str">
        <f>""</f>
        <v/>
      </c>
      <c r="AE998" t="str">
        <f>""</f>
        <v/>
      </c>
      <c r="AF998" t="str">
        <f>""</f>
        <v/>
      </c>
      <c r="AG998" t="str">
        <f>""</f>
        <v/>
      </c>
      <c r="AH998" t="str">
        <f>""</f>
        <v/>
      </c>
      <c r="AI998" t="str">
        <f>""</f>
        <v/>
      </c>
      <c r="AJ998" t="str">
        <f>"0"</f>
        <v>0</v>
      </c>
      <c r="AK998" t="str">
        <f>"0"</f>
        <v>0</v>
      </c>
      <c r="AL998" t="str">
        <f>"0"</f>
        <v>0</v>
      </c>
      <c r="AM998" t="str">
        <f>""</f>
        <v/>
      </c>
      <c r="AN998" t="str">
        <f>""</f>
        <v/>
      </c>
      <c r="AO998" t="str">
        <f>""</f>
        <v/>
      </c>
      <c r="AP998" t="str">
        <f>""</f>
        <v/>
      </c>
      <c r="AQ998" t="str">
        <f>""</f>
        <v/>
      </c>
      <c r="AR998" t="str">
        <f>""</f>
        <v/>
      </c>
      <c r="AS998" t="str">
        <f>""</f>
        <v/>
      </c>
      <c r="AT998" t="str">
        <f>""</f>
        <v/>
      </c>
      <c r="AU998" t="str">
        <f>""</f>
        <v/>
      </c>
      <c r="AV998" t="str">
        <f>""</f>
        <v/>
      </c>
      <c r="AW998" t="str">
        <f>""</f>
        <v/>
      </c>
      <c r="AX998" t="str">
        <f>""</f>
        <v/>
      </c>
      <c r="AY998" t="str">
        <f>""</f>
        <v/>
      </c>
      <c r="AZ998" t="str">
        <f>""</f>
        <v/>
      </c>
      <c r="BA998" t="str">
        <f>""</f>
        <v/>
      </c>
      <c r="BB998" t="str">
        <f>""</f>
        <v/>
      </c>
      <c r="BC998" t="str">
        <f>""</f>
        <v/>
      </c>
      <c r="BD998" t="str">
        <f>""</f>
        <v/>
      </c>
      <c r="BE998" t="str">
        <f>""</f>
        <v/>
      </c>
      <c r="BF998" t="str">
        <f t="shared" si="485"/>
        <v>A</v>
      </c>
      <c r="BG998" t="str">
        <f>"0,00"</f>
        <v>0,00</v>
      </c>
      <c r="BH998" t="str">
        <f>"0,00"</f>
        <v>0,00</v>
      </c>
      <c r="BI998" t="str">
        <f t="shared" si="503"/>
        <v>EVENTUAL</v>
      </c>
      <c r="BJ998" t="str">
        <f t="shared" si="487"/>
        <v>1</v>
      </c>
      <c r="BK998" t="str">
        <f t="shared" si="488"/>
        <v>Farmacia</v>
      </c>
      <c r="BL998" t="str">
        <f>""</f>
        <v/>
      </c>
      <c r="BM998" t="str">
        <f>"NÃO É VARILUX ESPECIALISTA"</f>
        <v>NÃO É VARILUX ESPECIALISTA</v>
      </c>
      <c r="BN998" t="str">
        <f>"NA"</f>
        <v>NA</v>
      </c>
      <c r="BO998" t="str">
        <f>"OUTROS"</f>
        <v>OUTROS</v>
      </c>
      <c r="BP998" t="str">
        <f>""</f>
        <v/>
      </c>
      <c r="BQ998" t="str">
        <f>""</f>
        <v/>
      </c>
      <c r="BR998" t="str">
        <f>""</f>
        <v/>
      </c>
      <c r="BS998" t="str">
        <f>""</f>
        <v/>
      </c>
      <c r="BT998" t="str">
        <f>""</f>
        <v/>
      </c>
      <c r="BU998" t="str">
        <f>""</f>
        <v/>
      </c>
      <c r="BV998" t="str">
        <f>"8"</f>
        <v>8</v>
      </c>
      <c r="BW998" t="str">
        <f>"Não visitado"</f>
        <v>Não visitado</v>
      </c>
    </row>
    <row r="999" spans="1:75" x14ac:dyDescent="0.35">
      <c r="A999">
        <v>158696</v>
      </c>
      <c r="B999" t="str">
        <f t="shared" si="481"/>
        <v>A</v>
      </c>
      <c r="C999" t="str">
        <f t="shared" si="482"/>
        <v>80</v>
      </c>
      <c r="D999" t="str">
        <f t="shared" si="472"/>
        <v>11121002</v>
      </c>
      <c r="E999" t="str">
        <f t="shared" si="473"/>
        <v>121002</v>
      </c>
      <c r="F999" t="str">
        <f t="shared" si="474"/>
        <v>CINTHIA NORONHA</v>
      </c>
      <c r="G999" t="str">
        <f>"51400613000157"</f>
        <v>51400613000157</v>
      </c>
      <c r="H999" t="str">
        <f>""</f>
        <v/>
      </c>
      <c r="I999" t="str">
        <f t="shared" si="483"/>
        <v>CONTA OPTICA</v>
      </c>
      <c r="J999" t="str">
        <f>"OTICA NOVO OLHAR LTDA"</f>
        <v>OTICA NOVO OLHAR LTDA</v>
      </c>
      <c r="K999" t="str">
        <f>"OTICA NOVO OLHAR (4751)"</f>
        <v>OTICA NOVO OLHAR (4751)</v>
      </c>
      <c r="L999" t="str">
        <f>""</f>
        <v/>
      </c>
      <c r="M999" t="str">
        <f>""</f>
        <v/>
      </c>
      <c r="N999" t="str">
        <f>"OTICANOVOOLHAROFICIAL@GMAIL.COM"</f>
        <v>OTICANOVOOLHAROFICIAL@GMAIL.COM</v>
      </c>
      <c r="O999" t="str">
        <f>""</f>
        <v/>
      </c>
      <c r="P999" t="str">
        <f>"RUA CORONEL TEIXEIRA DE OLIVEIRA"</f>
        <v>RUA CORONEL TEIXEIRA DE OLIVEIRA</v>
      </c>
      <c r="Q999" t="str">
        <f>"277"</f>
        <v>277</v>
      </c>
      <c r="R999" t="str">
        <f>"SALA 03 A"</f>
        <v>SALA 03 A</v>
      </c>
      <c r="S999" t="str">
        <f>"1259"</f>
        <v>1259</v>
      </c>
      <c r="T999" t="str">
        <f>"88160130"</f>
        <v>88160130</v>
      </c>
      <c r="U999" t="str">
        <f t="shared" si="500"/>
        <v>CENTRO</v>
      </c>
      <c r="V999" t="str">
        <f>"BIGUACU"</f>
        <v>BIGUACU</v>
      </c>
      <c r="W999" t="str">
        <f t="shared" ref="W999:W1030" si="504">"SC"</f>
        <v>SC</v>
      </c>
      <c r="X999" t="str">
        <f>"48"</f>
        <v>48</v>
      </c>
      <c r="Y999" t="str">
        <f>"20123430"</f>
        <v>20123430</v>
      </c>
      <c r="Z999" t="str">
        <f>""</f>
        <v/>
      </c>
      <c r="AA999" t="str">
        <f>""</f>
        <v/>
      </c>
      <c r="AB999" t="str">
        <f>""</f>
        <v/>
      </c>
      <c r="AC999" t="str">
        <f>""</f>
        <v/>
      </c>
      <c r="AD999" t="str">
        <f>""</f>
        <v/>
      </c>
      <c r="AE999" t="str">
        <f>""</f>
        <v/>
      </c>
      <c r="AF999" t="str">
        <f>""</f>
        <v/>
      </c>
      <c r="AG999" t="str">
        <f>""</f>
        <v/>
      </c>
      <c r="AH999" t="str">
        <f>""</f>
        <v/>
      </c>
      <c r="AI999" t="str">
        <f>""</f>
        <v/>
      </c>
      <c r="AJ999" t="str">
        <f>""</f>
        <v/>
      </c>
      <c r="AK999" t="str">
        <f>""</f>
        <v/>
      </c>
      <c r="AL999" t="str">
        <f>""</f>
        <v/>
      </c>
      <c r="AM999" t="str">
        <f>""</f>
        <v/>
      </c>
      <c r="AN999" t="str">
        <f>""</f>
        <v/>
      </c>
      <c r="AO999" t="str">
        <f>""</f>
        <v/>
      </c>
      <c r="AP999" t="str">
        <f>""</f>
        <v/>
      </c>
      <c r="AQ999" t="str">
        <f>""</f>
        <v/>
      </c>
      <c r="AR999" t="str">
        <f>""</f>
        <v/>
      </c>
      <c r="AS999" t="str">
        <f>""</f>
        <v/>
      </c>
      <c r="AT999" t="str">
        <f>""</f>
        <v/>
      </c>
      <c r="AU999" t="str">
        <f>""</f>
        <v/>
      </c>
      <c r="AV999" t="str">
        <f>""</f>
        <v/>
      </c>
      <c r="AW999" t="str">
        <f>""</f>
        <v/>
      </c>
      <c r="AX999" t="str">
        <f>""</f>
        <v/>
      </c>
      <c r="AY999" t="str">
        <f>""</f>
        <v/>
      </c>
      <c r="AZ999" t="str">
        <f>""</f>
        <v/>
      </c>
      <c r="BA999" t="str">
        <f>""</f>
        <v/>
      </c>
      <c r="BB999" t="str">
        <f>"17/08/2023 16:48:06"</f>
        <v>17/08/2023 16:48:06</v>
      </c>
      <c r="BC999" t="str">
        <f>""</f>
        <v/>
      </c>
      <c r="BD999" t="str">
        <f>""</f>
        <v/>
      </c>
      <c r="BE999" t="str">
        <f>""</f>
        <v/>
      </c>
      <c r="BF999" t="str">
        <f t="shared" si="485"/>
        <v>A</v>
      </c>
      <c r="BG999" t="str">
        <f>""</f>
        <v/>
      </c>
      <c r="BH999" t="str">
        <f>""</f>
        <v/>
      </c>
      <c r="BI999" t="str">
        <f t="shared" si="503"/>
        <v>EVENTUAL</v>
      </c>
      <c r="BJ999" t="str">
        <f t="shared" si="487"/>
        <v>1</v>
      </c>
      <c r="BK999" t="str">
        <f t="shared" si="488"/>
        <v>Farmacia</v>
      </c>
      <c r="BL999" t="str">
        <f>""</f>
        <v/>
      </c>
      <c r="BM999" t="str">
        <f>""</f>
        <v/>
      </c>
      <c r="BN999" t="str">
        <f>""</f>
        <v/>
      </c>
      <c r="BO999" t="str">
        <f>""</f>
        <v/>
      </c>
      <c r="BP999" t="str">
        <f>""</f>
        <v/>
      </c>
      <c r="BQ999" t="str">
        <f>""</f>
        <v/>
      </c>
      <c r="BR999" t="str">
        <f>"17/08/2023"</f>
        <v>17/08/2023</v>
      </c>
      <c r="BS999" t="str">
        <f>""</f>
        <v/>
      </c>
      <c r="BT999" t="str">
        <f>""</f>
        <v/>
      </c>
      <c r="BU999" t="str">
        <f>""</f>
        <v/>
      </c>
      <c r="BV999" t="str">
        <f>""</f>
        <v/>
      </c>
      <c r="BW999" t="str">
        <f>"Não visitado"</f>
        <v>Não visitado</v>
      </c>
    </row>
    <row r="1000" spans="1:75" x14ac:dyDescent="0.35">
      <c r="A1000">
        <v>152752</v>
      </c>
      <c r="B1000" t="str">
        <f t="shared" si="481"/>
        <v>A</v>
      </c>
      <c r="C1000" t="str">
        <f t="shared" si="482"/>
        <v>80</v>
      </c>
      <c r="D1000" t="str">
        <f t="shared" si="472"/>
        <v>11121002</v>
      </c>
      <c r="E1000" t="str">
        <f t="shared" si="473"/>
        <v>121002</v>
      </c>
      <c r="F1000" t="str">
        <f t="shared" si="474"/>
        <v>CINTHIA NORONHA</v>
      </c>
      <c r="G1000" t="str">
        <f>"45002890000109"</f>
        <v>45002890000109</v>
      </c>
      <c r="H1000" t="str">
        <f>"0"</f>
        <v>0</v>
      </c>
      <c r="I1000" t="str">
        <f t="shared" si="483"/>
        <v>CONTA OPTICA</v>
      </c>
      <c r="J1000" t="str">
        <f>"OTICA ODARA COM VAR ART DE OPTICA LTDA"</f>
        <v>OTICA ODARA COM VAR ART DE OPTICA LTDA</v>
      </c>
      <c r="K1000" t="str">
        <f>"OTICA ODARA"</f>
        <v>OTICA ODARA</v>
      </c>
      <c r="L1000" t="str">
        <f>""</f>
        <v/>
      </c>
      <c r="M1000" t="str">
        <f>""</f>
        <v/>
      </c>
      <c r="N1000" t="str">
        <f>"oticadaraadm@gmail.com"</f>
        <v>oticadaraadm@gmail.com</v>
      </c>
      <c r="O1000" t="str">
        <f>""</f>
        <v/>
      </c>
      <c r="P1000" t="str">
        <f>"AVENIDA IRINEU BORNHAUSEN"</f>
        <v>AVENIDA IRINEU BORNHAUSEN</v>
      </c>
      <c r="Q1000" t="str">
        <f>"333"</f>
        <v>333</v>
      </c>
      <c r="R1000" t="str">
        <f>"LOJA B2"</f>
        <v>LOJA B2</v>
      </c>
      <c r="S1000" t="str">
        <f>"1259"</f>
        <v>1259</v>
      </c>
      <c r="T1000" t="str">
        <f>"88101300"</f>
        <v>88101300</v>
      </c>
      <c r="U1000" t="str">
        <f>"CAMPINAS"</f>
        <v>CAMPINAS</v>
      </c>
      <c r="V1000" t="str">
        <f>"SAO JOSE"</f>
        <v>SAO JOSE</v>
      </c>
      <c r="W1000" t="str">
        <f t="shared" si="504"/>
        <v>SC</v>
      </c>
      <c r="X1000" t="str">
        <f>""</f>
        <v/>
      </c>
      <c r="Y1000" t="str">
        <f>""</f>
        <v/>
      </c>
      <c r="Z1000" t="str">
        <f>""</f>
        <v/>
      </c>
      <c r="AA1000" t="str">
        <f>""</f>
        <v/>
      </c>
      <c r="AB1000" t="str">
        <f>""</f>
        <v/>
      </c>
      <c r="AC1000" t="str">
        <f>""</f>
        <v/>
      </c>
      <c r="AD1000" t="str">
        <f>""</f>
        <v/>
      </c>
      <c r="AE1000" t="str">
        <f>""</f>
        <v/>
      </c>
      <c r="AF1000" t="str">
        <f>""</f>
        <v/>
      </c>
      <c r="AG1000" t="str">
        <f>""</f>
        <v/>
      </c>
      <c r="AH1000" t="str">
        <f>""</f>
        <v/>
      </c>
      <c r="AI1000" t="str">
        <f>""</f>
        <v/>
      </c>
      <c r="AJ1000" t="str">
        <f>""</f>
        <v/>
      </c>
      <c r="AK1000" t="str">
        <f>""</f>
        <v/>
      </c>
      <c r="AL1000" t="str">
        <f>""</f>
        <v/>
      </c>
      <c r="AM1000" t="str">
        <f>""</f>
        <v/>
      </c>
      <c r="AN1000" t="str">
        <f>""</f>
        <v/>
      </c>
      <c r="AO1000" t="str">
        <f>""</f>
        <v/>
      </c>
      <c r="AP1000" t="str">
        <f>""</f>
        <v/>
      </c>
      <c r="AQ1000" t="str">
        <f>""</f>
        <v/>
      </c>
      <c r="AR1000" t="str">
        <f>""</f>
        <v/>
      </c>
      <c r="AS1000" t="str">
        <f>""</f>
        <v/>
      </c>
      <c r="AT1000" t="str">
        <f>""</f>
        <v/>
      </c>
      <c r="AU1000" t="str">
        <f>""</f>
        <v/>
      </c>
      <c r="AV1000" t="str">
        <f>""</f>
        <v/>
      </c>
      <c r="AW1000" t="str">
        <f>""</f>
        <v/>
      </c>
      <c r="AX1000" t="str">
        <f>""</f>
        <v/>
      </c>
      <c r="AY1000" t="str">
        <f>""</f>
        <v/>
      </c>
      <c r="AZ1000" t="str">
        <f>""</f>
        <v/>
      </c>
      <c r="BA1000" t="str">
        <f>""</f>
        <v/>
      </c>
      <c r="BB1000" t="str">
        <f>"03/04/2023 13:34:29"</f>
        <v>03/04/2023 13:34:29</v>
      </c>
      <c r="BC1000" t="str">
        <f>""</f>
        <v/>
      </c>
      <c r="BD1000" t="str">
        <f>""</f>
        <v/>
      </c>
      <c r="BE1000" t="str">
        <f>""</f>
        <v/>
      </c>
      <c r="BF1000" t="str">
        <f t="shared" si="485"/>
        <v>A</v>
      </c>
      <c r="BG1000" t="str">
        <f>""</f>
        <v/>
      </c>
      <c r="BH1000" t="str">
        <f>""</f>
        <v/>
      </c>
      <c r="BI1000" t="str">
        <f t="shared" si="503"/>
        <v>EVENTUAL</v>
      </c>
      <c r="BJ1000" t="str">
        <f t="shared" si="487"/>
        <v>1</v>
      </c>
      <c r="BK1000" t="str">
        <f t="shared" si="488"/>
        <v>Farmacia</v>
      </c>
      <c r="BL1000" t="str">
        <f>""</f>
        <v/>
      </c>
      <c r="BM1000" t="str">
        <f>""</f>
        <v/>
      </c>
      <c r="BN1000" t="str">
        <f>""</f>
        <v/>
      </c>
      <c r="BO1000" t="str">
        <f>""</f>
        <v/>
      </c>
      <c r="BP1000" t="str">
        <f>""</f>
        <v/>
      </c>
      <c r="BQ1000" t="str">
        <f>""</f>
        <v/>
      </c>
      <c r="BR1000" t="str">
        <f>"03/04/2023"</f>
        <v>03/04/2023</v>
      </c>
      <c r="BS1000" t="str">
        <f>""</f>
        <v/>
      </c>
      <c r="BT1000" t="str">
        <f>""</f>
        <v/>
      </c>
      <c r="BU1000" t="str">
        <f>""</f>
        <v/>
      </c>
      <c r="BV1000" t="str">
        <f>""</f>
        <v/>
      </c>
      <c r="BW1000" t="str">
        <f>"Não visitado"</f>
        <v>Não visitado</v>
      </c>
    </row>
    <row r="1001" spans="1:75" x14ac:dyDescent="0.35">
      <c r="A1001">
        <v>134316</v>
      </c>
      <c r="B1001" t="str">
        <f t="shared" si="481"/>
        <v>A</v>
      </c>
      <c r="C1001" t="str">
        <f t="shared" si="482"/>
        <v>80</v>
      </c>
      <c r="D1001" t="str">
        <f t="shared" si="472"/>
        <v>11121002</v>
      </c>
      <c r="E1001" t="str">
        <f t="shared" si="473"/>
        <v>121002</v>
      </c>
      <c r="F1001" t="str">
        <f t="shared" si="474"/>
        <v>CINTHIA NORONHA</v>
      </c>
      <c r="G1001" t="str">
        <f>"33789436000160"</f>
        <v>33789436000160</v>
      </c>
      <c r="H1001" t="str">
        <f>""</f>
        <v/>
      </c>
      <c r="I1001" t="str">
        <f t="shared" si="483"/>
        <v>CONTA OPTICA</v>
      </c>
      <c r="J1001" t="str">
        <f>"OTICA OLHARES LTDA"</f>
        <v>OTICA OLHARES LTDA</v>
      </c>
      <c r="K1001" t="str">
        <f>"OTICA OLHARES (4012)"</f>
        <v>OTICA OLHARES (4012)</v>
      </c>
      <c r="L1001" t="str">
        <f>""</f>
        <v/>
      </c>
      <c r="M1001" t="str">
        <f>""</f>
        <v/>
      </c>
      <c r="N1001" t="str">
        <f>"oticaolhares1@gmail.com"</f>
        <v>oticaolhares1@gmail.com</v>
      </c>
      <c r="O1001" t="str">
        <f>""</f>
        <v/>
      </c>
      <c r="P1001" t="str">
        <f>"RUA RUA CORONEL BERNADINO MACHADO"</f>
        <v>RUA RUA CORONEL BERNADINO MACHADO</v>
      </c>
      <c r="Q1001" t="str">
        <f>"94"</f>
        <v>94</v>
      </c>
      <c r="R1001" t="str">
        <f>"SALA 03"</f>
        <v>SALA 03</v>
      </c>
      <c r="S1001" t="str">
        <f>"1259"</f>
        <v>1259</v>
      </c>
      <c r="T1001" t="str">
        <f>"88130220"</f>
        <v>88130220</v>
      </c>
      <c r="U1001" t="str">
        <f>"PALHOCA"</f>
        <v>PALHOCA</v>
      </c>
      <c r="V1001" t="str">
        <f>"PALHOÇA"</f>
        <v>PALHOÇA</v>
      </c>
      <c r="W1001" t="str">
        <f t="shared" si="504"/>
        <v>SC</v>
      </c>
      <c r="X1001" t="str">
        <f t="shared" ref="X1001:X1014" si="505">"48"</f>
        <v>48</v>
      </c>
      <c r="Y1001" t="str">
        <f>"32865110"</f>
        <v>32865110</v>
      </c>
      <c r="Z1001" t="str">
        <f>""</f>
        <v/>
      </c>
      <c r="AA1001" t="str">
        <f>""</f>
        <v/>
      </c>
      <c r="AB1001" t="str">
        <f>""</f>
        <v/>
      </c>
      <c r="AC1001" t="str">
        <f>""</f>
        <v/>
      </c>
      <c r="AD1001" t="str">
        <f>""</f>
        <v/>
      </c>
      <c r="AE1001" t="str">
        <f>""</f>
        <v/>
      </c>
      <c r="AF1001" t="str">
        <f>""</f>
        <v/>
      </c>
      <c r="AG1001" t="str">
        <f>"S"</f>
        <v>S</v>
      </c>
      <c r="AH1001" t="str">
        <f>""</f>
        <v/>
      </c>
      <c r="AI1001" t="str">
        <f>""</f>
        <v/>
      </c>
      <c r="AJ1001" t="str">
        <f t="shared" ref="AJ1001:AL1002" si="506">"0"</f>
        <v>0</v>
      </c>
      <c r="AK1001" t="str">
        <f t="shared" si="506"/>
        <v>0</v>
      </c>
      <c r="AL1001" t="str">
        <f t="shared" si="506"/>
        <v>0</v>
      </c>
      <c r="AM1001" t="str">
        <f>""</f>
        <v/>
      </c>
      <c r="AN1001" t="str">
        <f>""</f>
        <v/>
      </c>
      <c r="AO1001" t="str">
        <f>""</f>
        <v/>
      </c>
      <c r="AP1001" t="str">
        <f>""</f>
        <v/>
      </c>
      <c r="AQ1001" t="str">
        <f t="shared" ref="AQ1001:AU1002" si="507">"N"</f>
        <v>N</v>
      </c>
      <c r="AR1001" t="str">
        <f t="shared" si="507"/>
        <v>N</v>
      </c>
      <c r="AS1001" t="str">
        <f t="shared" si="507"/>
        <v>N</v>
      </c>
      <c r="AT1001" t="str">
        <f t="shared" si="507"/>
        <v>N</v>
      </c>
      <c r="AU1001" t="str">
        <f t="shared" si="507"/>
        <v>N</v>
      </c>
      <c r="AV1001" t="str">
        <f>""</f>
        <v/>
      </c>
      <c r="AW1001" t="str">
        <f>""</f>
        <v/>
      </c>
      <c r="AX1001" t="str">
        <f>""</f>
        <v/>
      </c>
      <c r="AY1001" t="str">
        <f>""</f>
        <v/>
      </c>
      <c r="AZ1001" t="str">
        <f>""</f>
        <v/>
      </c>
      <c r="BA1001" t="str">
        <f>""</f>
        <v/>
      </c>
      <c r="BB1001" t="str">
        <f>""</f>
        <v/>
      </c>
      <c r="BC1001" t="str">
        <f>"29/12/2021 15:09:28"</f>
        <v>29/12/2021 15:09:28</v>
      </c>
      <c r="BD1001" t="str">
        <f>""</f>
        <v/>
      </c>
      <c r="BE1001" t="str">
        <f>""</f>
        <v/>
      </c>
      <c r="BF1001" t="str">
        <f t="shared" si="485"/>
        <v>A</v>
      </c>
      <c r="BG1001" t="str">
        <f>"0,00"</f>
        <v>0,00</v>
      </c>
      <c r="BH1001" t="str">
        <f>"0,00"</f>
        <v>0,00</v>
      </c>
      <c r="BI1001" t="str">
        <f t="shared" si="503"/>
        <v>EVENTUAL</v>
      </c>
      <c r="BJ1001" t="str">
        <f t="shared" si="487"/>
        <v>1</v>
      </c>
      <c r="BK1001" t="str">
        <f t="shared" si="488"/>
        <v>Farmacia</v>
      </c>
      <c r="BL1001" t="str">
        <f>""</f>
        <v/>
      </c>
      <c r="BM1001" t="str">
        <f>"NÃO É VARILUX ESPECIALISTA"</f>
        <v>NÃO É VARILUX ESPECIALISTA</v>
      </c>
      <c r="BN1001" t="str">
        <f>"NA"</f>
        <v>NA</v>
      </c>
      <c r="BO1001" t="str">
        <f>"FOCO VARILUX"</f>
        <v>FOCO VARILUX</v>
      </c>
      <c r="BP1001" t="str">
        <f>""</f>
        <v/>
      </c>
      <c r="BQ1001" t="str">
        <f>""</f>
        <v/>
      </c>
      <c r="BR1001" t="str">
        <f>""</f>
        <v/>
      </c>
      <c r="BS1001" t="str">
        <f>"29/12/2021"</f>
        <v>29/12/2021</v>
      </c>
      <c r="BT1001" t="str">
        <f>""</f>
        <v/>
      </c>
      <c r="BU1001" t="str">
        <f>""</f>
        <v/>
      </c>
      <c r="BV1001" t="str">
        <f>"5"</f>
        <v>5</v>
      </c>
      <c r="BW1001" t="str">
        <f>"30"</f>
        <v>30</v>
      </c>
    </row>
    <row r="1002" spans="1:75" x14ac:dyDescent="0.35">
      <c r="A1002">
        <v>134265</v>
      </c>
      <c r="B1002" t="str">
        <f t="shared" si="481"/>
        <v>A</v>
      </c>
      <c r="C1002" t="str">
        <f t="shared" si="482"/>
        <v>80</v>
      </c>
      <c r="D1002" t="str">
        <f t="shared" si="472"/>
        <v>11121002</v>
      </c>
      <c r="E1002" t="str">
        <f t="shared" si="473"/>
        <v>121002</v>
      </c>
      <c r="F1002" t="str">
        <f t="shared" si="474"/>
        <v>CINTHIA NORONHA</v>
      </c>
      <c r="G1002" t="str">
        <f>"27245191000108"</f>
        <v>27245191000108</v>
      </c>
      <c r="H1002" t="str">
        <f>""</f>
        <v/>
      </c>
      <c r="I1002" t="str">
        <f t="shared" si="483"/>
        <v>CONTA OPTICA</v>
      </c>
      <c r="J1002" t="str">
        <f>"OTICA OLIVEIRA LTDA"</f>
        <v>OTICA OLIVEIRA LTDA</v>
      </c>
      <c r="K1002" t="str">
        <f>"OTICA OLIVEIRA LTDA ME (3372)"</f>
        <v>OTICA OLIVEIRA LTDA ME (3372)</v>
      </c>
      <c r="L1002" t="str">
        <f>""</f>
        <v/>
      </c>
      <c r="M1002" t="str">
        <f>""</f>
        <v/>
      </c>
      <c r="N1002" t="str">
        <f>"otica_oliveiraltda@outlook.com"</f>
        <v>otica_oliveiraltda@outlook.com</v>
      </c>
      <c r="O1002" t="str">
        <f>""</f>
        <v/>
      </c>
      <c r="P1002" t="str">
        <f>"RUA SETE DE SETEMBRO"</f>
        <v>RUA SETE DE SETEMBRO</v>
      </c>
      <c r="Q1002" t="str">
        <f>"SN"</f>
        <v>SN</v>
      </c>
      <c r="R1002" t="str">
        <f>"SALA 03"</f>
        <v>SALA 03</v>
      </c>
      <c r="S1002" t="str">
        <f>"1259"</f>
        <v>1259</v>
      </c>
      <c r="T1002" t="str">
        <f>"88130200"</f>
        <v>88130200</v>
      </c>
      <c r="U1002" t="str">
        <f>"CENTRO"</f>
        <v>CENTRO</v>
      </c>
      <c r="V1002" t="str">
        <f>"PALHOÇA"</f>
        <v>PALHOÇA</v>
      </c>
      <c r="W1002" t="str">
        <f t="shared" si="504"/>
        <v>SC</v>
      </c>
      <c r="X1002" t="str">
        <f t="shared" si="505"/>
        <v>48</v>
      </c>
      <c r="Y1002" t="str">
        <f>"33740810"</f>
        <v>33740810</v>
      </c>
      <c r="Z1002" t="str">
        <f>""</f>
        <v/>
      </c>
      <c r="AA1002" t="str">
        <f>""</f>
        <v/>
      </c>
      <c r="AB1002" t="str">
        <f>""</f>
        <v/>
      </c>
      <c r="AC1002" t="str">
        <f>""</f>
        <v/>
      </c>
      <c r="AD1002" t="str">
        <f>""</f>
        <v/>
      </c>
      <c r="AE1002" t="str">
        <f>""</f>
        <v/>
      </c>
      <c r="AF1002" t="str">
        <f>""</f>
        <v/>
      </c>
      <c r="AG1002" t="str">
        <f>"S"</f>
        <v>S</v>
      </c>
      <c r="AH1002" t="str">
        <f>""</f>
        <v/>
      </c>
      <c r="AI1002" t="str">
        <f>""</f>
        <v/>
      </c>
      <c r="AJ1002" t="str">
        <f t="shared" si="506"/>
        <v>0</v>
      </c>
      <c r="AK1002" t="str">
        <f t="shared" si="506"/>
        <v>0</v>
      </c>
      <c r="AL1002" t="str">
        <f t="shared" si="506"/>
        <v>0</v>
      </c>
      <c r="AM1002" t="str">
        <f>""</f>
        <v/>
      </c>
      <c r="AN1002" t="str">
        <f>""</f>
        <v/>
      </c>
      <c r="AO1002" t="str">
        <f>""</f>
        <v/>
      </c>
      <c r="AP1002" t="str">
        <f>""</f>
        <v/>
      </c>
      <c r="AQ1002" t="str">
        <f t="shared" si="507"/>
        <v>N</v>
      </c>
      <c r="AR1002" t="str">
        <f t="shared" si="507"/>
        <v>N</v>
      </c>
      <c r="AS1002" t="str">
        <f t="shared" si="507"/>
        <v>N</v>
      </c>
      <c r="AT1002" t="str">
        <f t="shared" si="507"/>
        <v>N</v>
      </c>
      <c r="AU1002" t="str">
        <f t="shared" si="507"/>
        <v>N</v>
      </c>
      <c r="AV1002" t="str">
        <f>""</f>
        <v/>
      </c>
      <c r="AW1002" t="str">
        <f>""</f>
        <v/>
      </c>
      <c r="AX1002" t="str">
        <f>""</f>
        <v/>
      </c>
      <c r="AY1002" t="str">
        <f>""</f>
        <v/>
      </c>
      <c r="AZ1002" t="str">
        <f>""</f>
        <v/>
      </c>
      <c r="BA1002" t="str">
        <f>""</f>
        <v/>
      </c>
      <c r="BB1002" t="str">
        <f>""</f>
        <v/>
      </c>
      <c r="BC1002" t="str">
        <f>"13/07/2022 10:14:58"</f>
        <v>13/07/2022 10:14:58</v>
      </c>
      <c r="BD1002" t="str">
        <f>""</f>
        <v/>
      </c>
      <c r="BE1002" t="str">
        <f>""</f>
        <v/>
      </c>
      <c r="BF1002" t="str">
        <f t="shared" si="485"/>
        <v>A</v>
      </c>
      <c r="BG1002" t="str">
        <f>"0,00"</f>
        <v>0,00</v>
      </c>
      <c r="BH1002" t="str">
        <f>"0,00"</f>
        <v>0,00</v>
      </c>
      <c r="BI1002" t="str">
        <f t="shared" si="503"/>
        <v>EVENTUAL</v>
      </c>
      <c r="BJ1002" t="str">
        <f t="shared" si="487"/>
        <v>1</v>
      </c>
      <c r="BK1002" t="str">
        <f t="shared" si="488"/>
        <v>Farmacia</v>
      </c>
      <c r="BL1002" t="str">
        <f>""</f>
        <v/>
      </c>
      <c r="BM1002" t="str">
        <f>"NÃO É VARILUX ESPECIALISTA"</f>
        <v>NÃO É VARILUX ESPECIALISTA</v>
      </c>
      <c r="BN1002" t="str">
        <f>"NA"</f>
        <v>NA</v>
      </c>
      <c r="BO1002" t="str">
        <f>"OUTROS"</f>
        <v>OUTROS</v>
      </c>
      <c r="BP1002" t="str">
        <f>""</f>
        <v/>
      </c>
      <c r="BQ1002" t="str">
        <f>""</f>
        <v/>
      </c>
      <c r="BR1002" t="str">
        <f>""</f>
        <v/>
      </c>
      <c r="BS1002" t="str">
        <f>"13/07/2022"</f>
        <v>13/07/2022</v>
      </c>
      <c r="BT1002" t="str">
        <f>""</f>
        <v/>
      </c>
      <c r="BU1002" t="str">
        <f>""</f>
        <v/>
      </c>
      <c r="BV1002" t="str">
        <f>"9"</f>
        <v>9</v>
      </c>
      <c r="BW1002" t="str">
        <f>"192"</f>
        <v>192</v>
      </c>
    </row>
    <row r="1003" spans="1:75" x14ac:dyDescent="0.35">
      <c r="A1003">
        <v>120556</v>
      </c>
      <c r="B1003" t="str">
        <f t="shared" si="481"/>
        <v>A</v>
      </c>
      <c r="C1003" t="str">
        <f t="shared" si="482"/>
        <v>80</v>
      </c>
      <c r="D1003" t="str">
        <f t="shared" si="472"/>
        <v>11121002</v>
      </c>
      <c r="E1003" t="str">
        <f t="shared" si="473"/>
        <v>121002</v>
      </c>
      <c r="F1003" t="str">
        <f t="shared" si="474"/>
        <v>CINTHIA NORONHA</v>
      </c>
      <c r="G1003" t="str">
        <f>"08361365000153"</f>
        <v>08361365000153</v>
      </c>
      <c r="H1003" t="str">
        <f>"0"</f>
        <v>0</v>
      </c>
      <c r="I1003" t="str">
        <f t="shared" si="483"/>
        <v>CONTA OPTICA</v>
      </c>
      <c r="J1003" t="str">
        <f>"OTICA OSL LTDA"</f>
        <v>OTICA OSL LTDA</v>
      </c>
      <c r="K1003" t="str">
        <f>"JOALHERIA OTICA SANTA LUZIA (992)"</f>
        <v>JOALHERIA OTICA SANTA LUZIA (992)</v>
      </c>
      <c r="L1003" t="str">
        <f>""</f>
        <v/>
      </c>
      <c r="M1003" t="str">
        <f>""</f>
        <v/>
      </c>
      <c r="N1003" t="str">
        <f>"marlosfveras@gmail.com"</f>
        <v>marlosfveras@gmail.com</v>
      </c>
      <c r="O1003" t="str">
        <f>""</f>
        <v/>
      </c>
      <c r="P1003" t="str">
        <f>"RUA VIDAL RAMOS"</f>
        <v>RUA VIDAL RAMOS</v>
      </c>
      <c r="Q1003" t="str">
        <f>"189"</f>
        <v>189</v>
      </c>
      <c r="R1003" t="str">
        <f>""</f>
        <v/>
      </c>
      <c r="S1003" t="str">
        <f>"1254"</f>
        <v>1254</v>
      </c>
      <c r="T1003" t="str">
        <f>"88010320"</f>
        <v>88010320</v>
      </c>
      <c r="U1003" t="str">
        <f>"CENTRO"</f>
        <v>CENTRO</v>
      </c>
      <c r="V1003" t="str">
        <f>"FLORIANOPOLIS"</f>
        <v>FLORIANOPOLIS</v>
      </c>
      <c r="W1003" t="str">
        <f t="shared" si="504"/>
        <v>SC</v>
      </c>
      <c r="X1003" t="str">
        <f t="shared" si="505"/>
        <v>48</v>
      </c>
      <c r="Y1003" t="str">
        <f>"32237825"</f>
        <v>32237825</v>
      </c>
      <c r="Z1003" t="str">
        <f>""</f>
        <v/>
      </c>
      <c r="AA1003" t="str">
        <f>""</f>
        <v/>
      </c>
      <c r="AB1003" t="str">
        <f>""</f>
        <v/>
      </c>
      <c r="AC1003" t="str">
        <f>""</f>
        <v/>
      </c>
      <c r="AD1003" t="str">
        <f>""</f>
        <v/>
      </c>
      <c r="AE1003" t="str">
        <f>""</f>
        <v/>
      </c>
      <c r="AF1003" t="str">
        <f>""</f>
        <v/>
      </c>
      <c r="AG1003" t="str">
        <f>""</f>
        <v/>
      </c>
      <c r="AH1003" t="str">
        <f>""</f>
        <v/>
      </c>
      <c r="AI1003" t="str">
        <f>""</f>
        <v/>
      </c>
      <c r="AJ1003" t="str">
        <f>""</f>
        <v/>
      </c>
      <c r="AK1003" t="str">
        <f>""</f>
        <v/>
      </c>
      <c r="AL1003" t="str">
        <f>""</f>
        <v/>
      </c>
      <c r="AM1003" t="str">
        <f>""</f>
        <v/>
      </c>
      <c r="AN1003" t="str">
        <f>""</f>
        <v/>
      </c>
      <c r="AO1003" t="str">
        <f>""</f>
        <v/>
      </c>
      <c r="AP1003" t="str">
        <f>""</f>
        <v/>
      </c>
      <c r="AQ1003" t="str">
        <f>""</f>
        <v/>
      </c>
      <c r="AR1003" t="str">
        <f>""</f>
        <v/>
      </c>
      <c r="AS1003" t="str">
        <f>""</f>
        <v/>
      </c>
      <c r="AT1003" t="str">
        <f>""</f>
        <v/>
      </c>
      <c r="AU1003" t="str">
        <f>""</f>
        <v/>
      </c>
      <c r="AV1003" t="str">
        <f>""</f>
        <v/>
      </c>
      <c r="AW1003" t="str">
        <f>""</f>
        <v/>
      </c>
      <c r="AX1003" t="str">
        <f>""</f>
        <v/>
      </c>
      <c r="AY1003" t="str">
        <f>""</f>
        <v/>
      </c>
      <c r="AZ1003" t="str">
        <f>""</f>
        <v/>
      </c>
      <c r="BA1003" t="str">
        <f>""</f>
        <v/>
      </c>
      <c r="BB1003" t="str">
        <f>"22/09/2020 15:29:33"</f>
        <v>22/09/2020 15:29:33</v>
      </c>
      <c r="BC1003" t="str">
        <f>""</f>
        <v/>
      </c>
      <c r="BD1003" t="str">
        <f>""</f>
        <v/>
      </c>
      <c r="BE1003" t="str">
        <f>""</f>
        <v/>
      </c>
      <c r="BF1003" t="str">
        <f t="shared" si="485"/>
        <v>A</v>
      </c>
      <c r="BG1003" t="str">
        <f>""</f>
        <v/>
      </c>
      <c r="BH1003" t="str">
        <f>""</f>
        <v/>
      </c>
      <c r="BI1003" t="str">
        <f t="shared" si="503"/>
        <v>EVENTUAL</v>
      </c>
      <c r="BJ1003" t="str">
        <f t="shared" si="487"/>
        <v>1</v>
      </c>
      <c r="BK1003" t="str">
        <f t="shared" si="488"/>
        <v>Farmacia</v>
      </c>
      <c r="BL1003" t="str">
        <f>""</f>
        <v/>
      </c>
      <c r="BM1003" t="str">
        <f>"NÃO É VARILUX ESPECIALISTA"</f>
        <v>NÃO É VARILUX ESPECIALISTA</v>
      </c>
      <c r="BN1003" t="str">
        <f>"NA"</f>
        <v>NA</v>
      </c>
      <c r="BO1003" t="str">
        <f>"OUTROS"</f>
        <v>OUTROS</v>
      </c>
      <c r="BP1003" t="str">
        <f>""</f>
        <v/>
      </c>
      <c r="BQ1003" t="str">
        <f>""</f>
        <v/>
      </c>
      <c r="BR1003" t="str">
        <f>"22/09/2020"</f>
        <v>22/09/2020</v>
      </c>
      <c r="BS1003" t="str">
        <f>""</f>
        <v/>
      </c>
      <c r="BT1003" t="str">
        <f>""</f>
        <v/>
      </c>
      <c r="BU1003" t="str">
        <f>""</f>
        <v/>
      </c>
      <c r="BV1003" t="str">
        <f>"9"</f>
        <v>9</v>
      </c>
      <c r="BW1003" t="str">
        <f>"Não visitado"</f>
        <v>Não visitado</v>
      </c>
    </row>
    <row r="1004" spans="1:75" x14ac:dyDescent="0.35">
      <c r="A1004">
        <v>157707</v>
      </c>
      <c r="B1004" t="str">
        <f t="shared" si="481"/>
        <v>A</v>
      </c>
      <c r="C1004" t="str">
        <f t="shared" si="482"/>
        <v>80</v>
      </c>
      <c r="D1004" t="str">
        <f t="shared" si="472"/>
        <v>11121002</v>
      </c>
      <c r="E1004" t="str">
        <f t="shared" si="473"/>
        <v>121002</v>
      </c>
      <c r="F1004" t="str">
        <f t="shared" si="474"/>
        <v>CINTHIA NORONHA</v>
      </c>
      <c r="G1004" t="str">
        <f>"21795423000115"</f>
        <v>21795423000115</v>
      </c>
      <c r="H1004" t="str">
        <f>"0"</f>
        <v>0</v>
      </c>
      <c r="I1004" t="str">
        <f t="shared" si="483"/>
        <v>CONTA OPTICA</v>
      </c>
      <c r="J1004" t="str">
        <f>"OTICA OSLK LTDA ME"</f>
        <v>OTICA OSLK LTDA ME</v>
      </c>
      <c r="K1004" t="str">
        <f>"OTICA SANTA LUZIA (2209)"</f>
        <v>OTICA SANTA LUZIA (2209)</v>
      </c>
      <c r="L1004" t="str">
        <f>""</f>
        <v/>
      </c>
      <c r="M1004" t="str">
        <f>""</f>
        <v/>
      </c>
      <c r="N1004" t="str">
        <f>"SANTALUZIAKOBRASOL@GMAIL.COM"</f>
        <v>SANTALUZIAKOBRASOL@GMAIL.COM</v>
      </c>
      <c r="O1004" t="str">
        <f>""</f>
        <v/>
      </c>
      <c r="P1004" t="str">
        <f>"RUA LEDIO JOAO MARTINS"</f>
        <v>RUA LEDIO JOAO MARTINS</v>
      </c>
      <c r="Q1004" t="str">
        <f>"434"</f>
        <v>434</v>
      </c>
      <c r="R1004" t="str">
        <f>"LOJA 05"</f>
        <v>LOJA 05</v>
      </c>
      <c r="S1004" t="str">
        <f>"1259"</f>
        <v>1259</v>
      </c>
      <c r="T1004" t="str">
        <f>"88102000"</f>
        <v>88102000</v>
      </c>
      <c r="U1004" t="str">
        <f>"KOBRASOL"</f>
        <v>KOBRASOL</v>
      </c>
      <c r="V1004" t="str">
        <f>"SAO JOSE"</f>
        <v>SAO JOSE</v>
      </c>
      <c r="W1004" t="str">
        <f t="shared" si="504"/>
        <v>SC</v>
      </c>
      <c r="X1004" t="str">
        <f t="shared" si="505"/>
        <v>48</v>
      </c>
      <c r="Y1004" t="str">
        <f>"32479454"</f>
        <v>32479454</v>
      </c>
      <c r="Z1004" t="str">
        <f>""</f>
        <v/>
      </c>
      <c r="AA1004" t="str">
        <f>""</f>
        <v/>
      </c>
      <c r="AB1004" t="str">
        <f>""</f>
        <v/>
      </c>
      <c r="AC1004" t="str">
        <f>""</f>
        <v/>
      </c>
      <c r="AD1004" t="str">
        <f>""</f>
        <v/>
      </c>
      <c r="AE1004" t="str">
        <f>""</f>
        <v/>
      </c>
      <c r="AF1004" t="str">
        <f>""</f>
        <v/>
      </c>
      <c r="AG1004" t="str">
        <f>""</f>
        <v/>
      </c>
      <c r="AH1004" t="str">
        <f>""</f>
        <v/>
      </c>
      <c r="AI1004" t="str">
        <f>""</f>
        <v/>
      </c>
      <c r="AJ1004" t="str">
        <f>""</f>
        <v/>
      </c>
      <c r="AK1004" t="str">
        <f>""</f>
        <v/>
      </c>
      <c r="AL1004" t="str">
        <f>""</f>
        <v/>
      </c>
      <c r="AM1004" t="str">
        <f>""</f>
        <v/>
      </c>
      <c r="AN1004" t="str">
        <f>""</f>
        <v/>
      </c>
      <c r="AO1004" t="str">
        <f>""</f>
        <v/>
      </c>
      <c r="AP1004" t="str">
        <f>""</f>
        <v/>
      </c>
      <c r="AQ1004" t="str">
        <f>""</f>
        <v/>
      </c>
      <c r="AR1004" t="str">
        <f>""</f>
        <v/>
      </c>
      <c r="AS1004" t="str">
        <f>""</f>
        <v/>
      </c>
      <c r="AT1004" t="str">
        <f>""</f>
        <v/>
      </c>
      <c r="AU1004" t="str">
        <f>""</f>
        <v/>
      </c>
      <c r="AV1004" t="str">
        <f>""</f>
        <v/>
      </c>
      <c r="AW1004" t="str">
        <f>""</f>
        <v/>
      </c>
      <c r="AX1004" t="str">
        <f>""</f>
        <v/>
      </c>
      <c r="AY1004" t="str">
        <f>""</f>
        <v/>
      </c>
      <c r="AZ1004" t="str">
        <f>""</f>
        <v/>
      </c>
      <c r="BA1004" t="str">
        <f>""</f>
        <v/>
      </c>
      <c r="BB1004" t="str">
        <f>"11/07/2023 02:19:56"</f>
        <v>11/07/2023 02:19:56</v>
      </c>
      <c r="BC1004" t="str">
        <f>""</f>
        <v/>
      </c>
      <c r="BD1004" t="str">
        <f>""</f>
        <v/>
      </c>
      <c r="BE1004" t="str">
        <f>""</f>
        <v/>
      </c>
      <c r="BF1004" t="str">
        <f t="shared" si="485"/>
        <v>A</v>
      </c>
      <c r="BG1004" t="str">
        <f>""</f>
        <v/>
      </c>
      <c r="BH1004" t="str">
        <f>""</f>
        <v/>
      </c>
      <c r="BI1004" t="str">
        <f t="shared" si="503"/>
        <v>EVENTUAL</v>
      </c>
      <c r="BJ1004" t="str">
        <f t="shared" si="487"/>
        <v>1</v>
      </c>
      <c r="BK1004" t="str">
        <f t="shared" si="488"/>
        <v>Farmacia</v>
      </c>
      <c r="BL1004" t="str">
        <f>""</f>
        <v/>
      </c>
      <c r="BM1004" t="str">
        <f>""</f>
        <v/>
      </c>
      <c r="BN1004" t="str">
        <f>""</f>
        <v/>
      </c>
      <c r="BO1004" t="str">
        <f>""</f>
        <v/>
      </c>
      <c r="BP1004" t="str">
        <f>""</f>
        <v/>
      </c>
      <c r="BQ1004" t="str">
        <f>""</f>
        <v/>
      </c>
      <c r="BR1004" t="str">
        <f>"11/07/2023"</f>
        <v>11/07/2023</v>
      </c>
      <c r="BS1004" t="str">
        <f>""</f>
        <v/>
      </c>
      <c r="BT1004" t="str">
        <f>""</f>
        <v/>
      </c>
      <c r="BU1004" t="str">
        <f>""</f>
        <v/>
      </c>
      <c r="BV1004" t="str">
        <f>""</f>
        <v/>
      </c>
      <c r="BW1004" t="str">
        <f>"Não visitado"</f>
        <v>Não visitado</v>
      </c>
    </row>
    <row r="1005" spans="1:75" x14ac:dyDescent="0.35">
      <c r="A1005">
        <v>144513</v>
      </c>
      <c r="B1005" t="str">
        <f t="shared" si="481"/>
        <v>A</v>
      </c>
      <c r="C1005" t="str">
        <f t="shared" si="482"/>
        <v>80</v>
      </c>
      <c r="D1005" t="str">
        <f t="shared" si="472"/>
        <v>11121002</v>
      </c>
      <c r="E1005" t="str">
        <f t="shared" si="473"/>
        <v>121002</v>
      </c>
      <c r="F1005" t="str">
        <f t="shared" si="474"/>
        <v>CINTHIA NORONHA</v>
      </c>
      <c r="G1005" t="str">
        <f>"33487479000191"</f>
        <v>33487479000191</v>
      </c>
      <c r="H1005" t="str">
        <f>""</f>
        <v/>
      </c>
      <c r="I1005" t="str">
        <f t="shared" si="483"/>
        <v>CONTA OPTICA</v>
      </c>
      <c r="J1005" t="str">
        <f>"OTICA OUSAR LTDA"</f>
        <v>OTICA OUSAR LTDA</v>
      </c>
      <c r="K1005" t="str">
        <f>"OTICA OUSAR (4015)"</f>
        <v>OTICA OUSAR (4015)</v>
      </c>
      <c r="L1005" t="str">
        <f>""</f>
        <v/>
      </c>
      <c r="M1005" t="str">
        <f>""</f>
        <v/>
      </c>
      <c r="N1005" t="str">
        <f>"financeiro.ousar@gmail.com"</f>
        <v>financeiro.ousar@gmail.com</v>
      </c>
      <c r="O1005" t="str">
        <f>""</f>
        <v/>
      </c>
      <c r="P1005" t="str">
        <f>"RUA ORLEANS"</f>
        <v>RUA ORLEANS</v>
      </c>
      <c r="Q1005" t="str">
        <f>"228"</f>
        <v>228</v>
      </c>
      <c r="R1005" t="str">
        <f>"SALA 2"</f>
        <v>SALA 2</v>
      </c>
      <c r="S1005" t="str">
        <f>"1269"</f>
        <v>1269</v>
      </c>
      <c r="T1005" t="str">
        <f>"88880000"</f>
        <v>88880000</v>
      </c>
      <c r="U1005" t="str">
        <f>"CENTRO"</f>
        <v>CENTRO</v>
      </c>
      <c r="V1005" t="str">
        <f>"LAURO MULLER"</f>
        <v>LAURO MULLER</v>
      </c>
      <c r="W1005" t="str">
        <f t="shared" si="504"/>
        <v>SC</v>
      </c>
      <c r="X1005" t="str">
        <f t="shared" si="505"/>
        <v>48</v>
      </c>
      <c r="Y1005" t="str">
        <f>"988297957"</f>
        <v>988297957</v>
      </c>
      <c r="Z1005" t="str">
        <f>""</f>
        <v/>
      </c>
      <c r="AA1005" t="str">
        <f>""</f>
        <v/>
      </c>
      <c r="AB1005" t="str">
        <f>""</f>
        <v/>
      </c>
      <c r="AC1005" t="str">
        <f>""</f>
        <v/>
      </c>
      <c r="AD1005" t="str">
        <f>""</f>
        <v/>
      </c>
      <c r="AE1005" t="str">
        <f>""</f>
        <v/>
      </c>
      <c r="AF1005" t="str">
        <f>""</f>
        <v/>
      </c>
      <c r="AG1005" t="str">
        <f>""</f>
        <v/>
      </c>
      <c r="AH1005" t="str">
        <f>""</f>
        <v/>
      </c>
      <c r="AI1005" t="str">
        <f>""</f>
        <v/>
      </c>
      <c r="AJ1005" t="str">
        <f>"0"</f>
        <v>0</v>
      </c>
      <c r="AK1005" t="str">
        <f>"0"</f>
        <v>0</v>
      </c>
      <c r="AL1005" t="str">
        <f>"0"</f>
        <v>0</v>
      </c>
      <c r="AM1005" t="str">
        <f>""</f>
        <v/>
      </c>
      <c r="AN1005" t="str">
        <f>""</f>
        <v/>
      </c>
      <c r="AO1005" t="str">
        <f>""</f>
        <v/>
      </c>
      <c r="AP1005" t="str">
        <f>""</f>
        <v/>
      </c>
      <c r="AQ1005" t="str">
        <f>""</f>
        <v/>
      </c>
      <c r="AR1005" t="str">
        <f>""</f>
        <v/>
      </c>
      <c r="AS1005" t="str">
        <f>""</f>
        <v/>
      </c>
      <c r="AT1005" t="str">
        <f>""</f>
        <v/>
      </c>
      <c r="AU1005" t="str">
        <f>""</f>
        <v/>
      </c>
      <c r="AV1005" t="str">
        <f>""</f>
        <v/>
      </c>
      <c r="AW1005" t="str">
        <f>""</f>
        <v/>
      </c>
      <c r="AX1005" t="str">
        <f>""</f>
        <v/>
      </c>
      <c r="AY1005" t="str">
        <f>""</f>
        <v/>
      </c>
      <c r="AZ1005" t="str">
        <f>""</f>
        <v/>
      </c>
      <c r="BA1005" t="str">
        <f>""</f>
        <v/>
      </c>
      <c r="BB1005" t="str">
        <f>""</f>
        <v/>
      </c>
      <c r="BC1005" t="str">
        <f>""</f>
        <v/>
      </c>
      <c r="BD1005" t="str">
        <f>""</f>
        <v/>
      </c>
      <c r="BE1005" t="str">
        <f>""</f>
        <v/>
      </c>
      <c r="BF1005" t="str">
        <f t="shared" si="485"/>
        <v>A</v>
      </c>
      <c r="BG1005" t="str">
        <f>"0,00"</f>
        <v>0,00</v>
      </c>
      <c r="BH1005" t="str">
        <f>"0,00"</f>
        <v>0,00</v>
      </c>
      <c r="BI1005" t="str">
        <f t="shared" si="503"/>
        <v>EVENTUAL</v>
      </c>
      <c r="BJ1005" t="str">
        <f t="shared" si="487"/>
        <v>1</v>
      </c>
      <c r="BK1005" t="str">
        <f t="shared" si="488"/>
        <v>Farmacia</v>
      </c>
      <c r="BL1005" t="str">
        <f>""</f>
        <v/>
      </c>
      <c r="BM1005" t="str">
        <f>"NÃO É VARILUX ESPECIALISTA"</f>
        <v>NÃO É VARILUX ESPECIALISTA</v>
      </c>
      <c r="BN1005" t="str">
        <f>"NA"</f>
        <v>NA</v>
      </c>
      <c r="BO1005" t="str">
        <f>"FOCO VARILUX"</f>
        <v>FOCO VARILUX</v>
      </c>
      <c r="BP1005" t="str">
        <f>""</f>
        <v/>
      </c>
      <c r="BQ1005" t="str">
        <f>""</f>
        <v/>
      </c>
      <c r="BR1005" t="str">
        <f>""</f>
        <v/>
      </c>
      <c r="BS1005" t="str">
        <f>""</f>
        <v/>
      </c>
      <c r="BT1005" t="str">
        <f>""</f>
        <v/>
      </c>
      <c r="BU1005" t="str">
        <f>""</f>
        <v/>
      </c>
      <c r="BV1005" t="str">
        <f>"9"</f>
        <v>9</v>
      </c>
      <c r="BW1005" t="str">
        <f>"Não visitado"</f>
        <v>Não visitado</v>
      </c>
    </row>
    <row r="1006" spans="1:75" x14ac:dyDescent="0.35">
      <c r="A1006">
        <v>157631</v>
      </c>
      <c r="B1006" t="str">
        <f t="shared" si="481"/>
        <v>A</v>
      </c>
      <c r="C1006" t="str">
        <f t="shared" si="482"/>
        <v>80</v>
      </c>
      <c r="D1006" t="str">
        <f t="shared" si="472"/>
        <v>11121002</v>
      </c>
      <c r="E1006" t="str">
        <f t="shared" si="473"/>
        <v>121002</v>
      </c>
      <c r="F1006" t="str">
        <f t="shared" si="474"/>
        <v>CINTHIA NORONHA</v>
      </c>
      <c r="G1006" t="str">
        <f>"86857091000100"</f>
        <v>86857091000100</v>
      </c>
      <c r="H1006" t="str">
        <f>"0"</f>
        <v>0</v>
      </c>
      <c r="I1006" t="str">
        <f t="shared" si="483"/>
        <v>CONTA OPTICA</v>
      </c>
      <c r="J1006" t="str">
        <f>"OTICA PALHOÇA LTDA ME"</f>
        <v>OTICA PALHOÇA LTDA ME</v>
      </c>
      <c r="K1006" t="str">
        <f>"OTICA PALHOÇA  (712)"</f>
        <v>OTICA PALHOÇA  (712)</v>
      </c>
      <c r="L1006" t="str">
        <f>""</f>
        <v/>
      </c>
      <c r="M1006" t="str">
        <f>""</f>
        <v/>
      </c>
      <c r="N1006" t="str">
        <f>"OTICAPALHOCA@HOTMAIL.COM"</f>
        <v>OTICAPALHOCA@HOTMAIL.COM</v>
      </c>
      <c r="O1006" t="str">
        <f>""</f>
        <v/>
      </c>
      <c r="P1006" t="str">
        <f>"RUA JOSE MARIA DA LUZ"</f>
        <v>RUA JOSE MARIA DA LUZ</v>
      </c>
      <c r="Q1006" t="str">
        <f>"2855"</f>
        <v>2855</v>
      </c>
      <c r="R1006" t="str">
        <f>""</f>
        <v/>
      </c>
      <c r="S1006" t="str">
        <f>"1259"</f>
        <v>1259</v>
      </c>
      <c r="T1006" t="str">
        <f>"88131000"</f>
        <v>88131000</v>
      </c>
      <c r="U1006" t="str">
        <f>"CENTRO"</f>
        <v>CENTRO</v>
      </c>
      <c r="V1006" t="str">
        <f>"PALHOCA"</f>
        <v>PALHOCA</v>
      </c>
      <c r="W1006" t="str">
        <f t="shared" si="504"/>
        <v>SC</v>
      </c>
      <c r="X1006" t="str">
        <f t="shared" si="505"/>
        <v>48</v>
      </c>
      <c r="Y1006" t="str">
        <f>"30333060"</f>
        <v>30333060</v>
      </c>
      <c r="Z1006" t="str">
        <f>""</f>
        <v/>
      </c>
      <c r="AA1006" t="str">
        <f>""</f>
        <v/>
      </c>
      <c r="AB1006" t="str">
        <f>""</f>
        <v/>
      </c>
      <c r="AC1006" t="str">
        <f>""</f>
        <v/>
      </c>
      <c r="AD1006" t="str">
        <f>""</f>
        <v/>
      </c>
      <c r="AE1006" t="str">
        <f>""</f>
        <v/>
      </c>
      <c r="AF1006" t="str">
        <f>""</f>
        <v/>
      </c>
      <c r="AG1006" t="str">
        <f>""</f>
        <v/>
      </c>
      <c r="AH1006" t="str">
        <f>""</f>
        <v/>
      </c>
      <c r="AI1006" t="str">
        <f>""</f>
        <v/>
      </c>
      <c r="AJ1006" t="str">
        <f>""</f>
        <v/>
      </c>
      <c r="AK1006" t="str">
        <f>""</f>
        <v/>
      </c>
      <c r="AL1006" t="str">
        <f>""</f>
        <v/>
      </c>
      <c r="AM1006" t="str">
        <f>""</f>
        <v/>
      </c>
      <c r="AN1006" t="str">
        <f>""</f>
        <v/>
      </c>
      <c r="AO1006" t="str">
        <f>""</f>
        <v/>
      </c>
      <c r="AP1006" t="str">
        <f>""</f>
        <v/>
      </c>
      <c r="AQ1006" t="str">
        <f>""</f>
        <v/>
      </c>
      <c r="AR1006" t="str">
        <f>""</f>
        <v/>
      </c>
      <c r="AS1006" t="str">
        <f>""</f>
        <v/>
      </c>
      <c r="AT1006" t="str">
        <f>""</f>
        <v/>
      </c>
      <c r="AU1006" t="str">
        <f>""</f>
        <v/>
      </c>
      <c r="AV1006" t="str">
        <f>""</f>
        <v/>
      </c>
      <c r="AW1006" t="str">
        <f>""</f>
        <v/>
      </c>
      <c r="AX1006" t="str">
        <f>""</f>
        <v/>
      </c>
      <c r="AY1006" t="str">
        <f>""</f>
        <v/>
      </c>
      <c r="AZ1006" t="str">
        <f>""</f>
        <v/>
      </c>
      <c r="BA1006" t="str">
        <f>""</f>
        <v/>
      </c>
      <c r="BB1006" t="str">
        <f>"11/07/2023 02:19:56"</f>
        <v>11/07/2023 02:19:56</v>
      </c>
      <c r="BC1006" t="str">
        <f>""</f>
        <v/>
      </c>
      <c r="BD1006" t="str">
        <f>""</f>
        <v/>
      </c>
      <c r="BE1006" t="str">
        <f>""</f>
        <v/>
      </c>
      <c r="BF1006" t="str">
        <f t="shared" si="485"/>
        <v>A</v>
      </c>
      <c r="BG1006" t="str">
        <f>""</f>
        <v/>
      </c>
      <c r="BH1006" t="str">
        <f>""</f>
        <v/>
      </c>
      <c r="BI1006" t="str">
        <f t="shared" si="503"/>
        <v>EVENTUAL</v>
      </c>
      <c r="BJ1006" t="str">
        <f t="shared" si="487"/>
        <v>1</v>
      </c>
      <c r="BK1006" t="str">
        <f t="shared" si="488"/>
        <v>Farmacia</v>
      </c>
      <c r="BL1006" t="str">
        <f>""</f>
        <v/>
      </c>
      <c r="BM1006" t="str">
        <f>""</f>
        <v/>
      </c>
      <c r="BN1006" t="str">
        <f>""</f>
        <v/>
      </c>
      <c r="BO1006" t="str">
        <f>""</f>
        <v/>
      </c>
      <c r="BP1006" t="str">
        <f>""</f>
        <v/>
      </c>
      <c r="BQ1006" t="str">
        <f>""</f>
        <v/>
      </c>
      <c r="BR1006" t="str">
        <f>"11/07/2023"</f>
        <v>11/07/2023</v>
      </c>
      <c r="BS1006" t="str">
        <f>""</f>
        <v/>
      </c>
      <c r="BT1006" t="str">
        <f>""</f>
        <v/>
      </c>
      <c r="BU1006" t="str">
        <f>""</f>
        <v/>
      </c>
      <c r="BV1006" t="str">
        <f>""</f>
        <v/>
      </c>
      <c r="BW1006" t="str">
        <f>"Não visitado"</f>
        <v>Não visitado</v>
      </c>
    </row>
    <row r="1007" spans="1:75" x14ac:dyDescent="0.35">
      <c r="A1007">
        <v>136655</v>
      </c>
      <c r="B1007" t="str">
        <f t="shared" si="481"/>
        <v>A</v>
      </c>
      <c r="C1007" t="str">
        <f t="shared" si="482"/>
        <v>80</v>
      </c>
      <c r="D1007" t="str">
        <f t="shared" si="472"/>
        <v>11121002</v>
      </c>
      <c r="E1007" t="str">
        <f t="shared" si="473"/>
        <v>121002</v>
      </c>
      <c r="F1007" t="str">
        <f t="shared" si="474"/>
        <v>CINTHIA NORONHA</v>
      </c>
      <c r="G1007" t="str">
        <f>"41609963000174"</f>
        <v>41609963000174</v>
      </c>
      <c r="H1007" t="str">
        <f>"0"</f>
        <v>0</v>
      </c>
      <c r="I1007" t="str">
        <f t="shared" si="483"/>
        <v>CONTA OPTICA</v>
      </c>
      <c r="J1007" t="str">
        <f>"OTICA PEDRA BRANCA LTDA"</f>
        <v>OTICA PEDRA BRANCA LTDA</v>
      </c>
      <c r="K1007" t="str">
        <f>"OTICA PEDRA BRANCA (4338)"</f>
        <v>OTICA PEDRA BRANCA (4338)</v>
      </c>
      <c r="L1007" t="str">
        <f>""</f>
        <v/>
      </c>
      <c r="M1007" t="str">
        <f>""</f>
        <v/>
      </c>
      <c r="N1007" t="str">
        <f>"OTICAPEDRABRANCA@GMAIL.COM"</f>
        <v>OTICAPEDRABRANCA@GMAIL.COM</v>
      </c>
      <c r="O1007" t="str">
        <f>""</f>
        <v/>
      </c>
      <c r="P1007" t="str">
        <f>"DAS UNIVERSIDADES"</f>
        <v>DAS UNIVERSIDADES</v>
      </c>
      <c r="Q1007" t="str">
        <f>"89"</f>
        <v>89</v>
      </c>
      <c r="R1007" t="str">
        <f>"LJ 3 TRAVERTINO"</f>
        <v>LJ 3 TRAVERTINO</v>
      </c>
      <c r="S1007" t="str">
        <f>""</f>
        <v/>
      </c>
      <c r="T1007" t="str">
        <f>"88137315"</f>
        <v>88137315</v>
      </c>
      <c r="U1007" t="str">
        <f>"PEDRA BRANCA"</f>
        <v>PEDRA BRANCA</v>
      </c>
      <c r="V1007" t="str">
        <f>"PALHOÇA"</f>
        <v>PALHOÇA</v>
      </c>
      <c r="W1007" t="str">
        <f t="shared" si="504"/>
        <v>SC</v>
      </c>
      <c r="X1007" t="str">
        <f t="shared" si="505"/>
        <v>48</v>
      </c>
      <c r="Y1007" t="str">
        <f>"996708641"</f>
        <v>996708641</v>
      </c>
      <c r="Z1007" t="str">
        <f>""</f>
        <v/>
      </c>
      <c r="AA1007" t="str">
        <f>""</f>
        <v/>
      </c>
      <c r="AB1007" t="str">
        <f>""</f>
        <v/>
      </c>
      <c r="AC1007" t="str">
        <f>""</f>
        <v/>
      </c>
      <c r="AD1007" t="str">
        <f>""</f>
        <v/>
      </c>
      <c r="AE1007" t="str">
        <f>""</f>
        <v/>
      </c>
      <c r="AF1007" t="str">
        <f>""</f>
        <v/>
      </c>
      <c r="AG1007" t="str">
        <f>"S"</f>
        <v>S</v>
      </c>
      <c r="AH1007" t="str">
        <f>""</f>
        <v/>
      </c>
      <c r="AI1007" t="str">
        <f>""</f>
        <v/>
      </c>
      <c r="AJ1007" t="str">
        <f>""</f>
        <v/>
      </c>
      <c r="AK1007" t="str">
        <f>""</f>
        <v/>
      </c>
      <c r="AL1007" t="str">
        <f>""</f>
        <v/>
      </c>
      <c r="AM1007" t="str">
        <f>""</f>
        <v/>
      </c>
      <c r="AN1007" t="str">
        <f>""</f>
        <v/>
      </c>
      <c r="AO1007" t="str">
        <f>""</f>
        <v/>
      </c>
      <c r="AP1007" t="str">
        <f>""</f>
        <v/>
      </c>
      <c r="AQ1007" t="str">
        <f>"N"</f>
        <v>N</v>
      </c>
      <c r="AR1007" t="str">
        <f>"N"</f>
        <v>N</v>
      </c>
      <c r="AS1007" t="str">
        <f>"N"</f>
        <v>N</v>
      </c>
      <c r="AT1007" t="str">
        <f>"N"</f>
        <v>N</v>
      </c>
      <c r="AU1007" t="str">
        <f>"N"</f>
        <v>N</v>
      </c>
      <c r="AV1007" t="str">
        <f>""</f>
        <v/>
      </c>
      <c r="AW1007" t="str">
        <f>""</f>
        <v/>
      </c>
      <c r="AX1007" t="str">
        <f>""</f>
        <v/>
      </c>
      <c r="AY1007" t="str">
        <f>""</f>
        <v/>
      </c>
      <c r="AZ1007" t="str">
        <f>""</f>
        <v/>
      </c>
      <c r="BA1007" t="str">
        <f>""</f>
        <v/>
      </c>
      <c r="BB1007" t="str">
        <f>"22/06/2021 10:47:38"</f>
        <v>22/06/2021 10:47:38</v>
      </c>
      <c r="BC1007" t="str">
        <f>"13/07/2022 11:08:56"</f>
        <v>13/07/2022 11:08:56</v>
      </c>
      <c r="BD1007" t="str">
        <f>""</f>
        <v/>
      </c>
      <c r="BE1007" t="str">
        <f>""</f>
        <v/>
      </c>
      <c r="BF1007" t="str">
        <f t="shared" si="485"/>
        <v>A</v>
      </c>
      <c r="BG1007" t="str">
        <f>""</f>
        <v/>
      </c>
      <c r="BH1007" t="str">
        <f>"0,00"</f>
        <v>0,00</v>
      </c>
      <c r="BI1007" t="str">
        <f t="shared" si="503"/>
        <v>EVENTUAL</v>
      </c>
      <c r="BJ1007" t="str">
        <f t="shared" si="487"/>
        <v>1</v>
      </c>
      <c r="BK1007" t="str">
        <f t="shared" si="488"/>
        <v>Farmacia</v>
      </c>
      <c r="BL1007" t="str">
        <f>""</f>
        <v/>
      </c>
      <c r="BM1007" t="str">
        <f>"NÃO É VARILUX ESPECIALISTA"</f>
        <v>NÃO É VARILUX ESPECIALISTA</v>
      </c>
      <c r="BN1007" t="str">
        <f>"NA"</f>
        <v>NA</v>
      </c>
      <c r="BO1007" t="str">
        <f>"FOCO VARILUX DIGITAL"</f>
        <v>FOCO VARILUX DIGITAL</v>
      </c>
      <c r="BP1007" t="str">
        <f>""</f>
        <v/>
      </c>
      <c r="BQ1007" t="str">
        <f>""</f>
        <v/>
      </c>
      <c r="BR1007" t="str">
        <f>"22/06/2021"</f>
        <v>22/06/2021</v>
      </c>
      <c r="BS1007" t="str">
        <f>"13/07/2022"</f>
        <v>13/07/2022</v>
      </c>
      <c r="BT1007" t="str">
        <f>""</f>
        <v/>
      </c>
      <c r="BU1007" t="str">
        <f>""</f>
        <v/>
      </c>
      <c r="BV1007" t="str">
        <f>""</f>
        <v/>
      </c>
      <c r="BW1007" t="str">
        <f>"30"</f>
        <v>30</v>
      </c>
    </row>
    <row r="1008" spans="1:75" x14ac:dyDescent="0.35">
      <c r="A1008">
        <v>115046</v>
      </c>
      <c r="B1008" t="str">
        <f t="shared" si="481"/>
        <v>A</v>
      </c>
      <c r="C1008" t="str">
        <f t="shared" si="482"/>
        <v>80</v>
      </c>
      <c r="D1008" t="str">
        <f t="shared" si="472"/>
        <v>11121002</v>
      </c>
      <c r="E1008" t="str">
        <f t="shared" si="473"/>
        <v>121002</v>
      </c>
      <c r="F1008" t="str">
        <f t="shared" si="474"/>
        <v>CINTHIA NORONHA</v>
      </c>
      <c r="G1008" t="str">
        <f>"03072835000307"</f>
        <v>03072835000307</v>
      </c>
      <c r="H1008" t="str">
        <f>"0"</f>
        <v>0</v>
      </c>
      <c r="I1008" t="str">
        <f t="shared" si="483"/>
        <v>CONTA OPTICA</v>
      </c>
      <c r="J1008" t="str">
        <f>"OTICA PONTO DE VISTA LTDA"</f>
        <v>OTICA PONTO DE VISTA LTDA</v>
      </c>
      <c r="K1008" t="str">
        <f>"OTICA PONTO DE VISTA (4091)"</f>
        <v>OTICA PONTO DE VISTA (4091)</v>
      </c>
      <c r="L1008" t="str">
        <f>""</f>
        <v/>
      </c>
      <c r="M1008" t="str">
        <f>""</f>
        <v/>
      </c>
      <c r="N1008" t="str">
        <f>"oticapontodevista@globomail.com"</f>
        <v>oticapontodevista@globomail.com</v>
      </c>
      <c r="O1008" t="str">
        <f>""</f>
        <v/>
      </c>
      <c r="P1008" t="str">
        <f>"RODOVIA RODOVIA ARMANDO CALIL BULOS"</f>
        <v>RODOVIA RODOVIA ARMANDO CALIL BULOS</v>
      </c>
      <c r="Q1008" t="str">
        <f>"5405"</f>
        <v>5405</v>
      </c>
      <c r="R1008" t="str">
        <f>"SC403 LOJA 04"</f>
        <v>SC403 LOJA 04</v>
      </c>
      <c r="S1008" t="str">
        <f>"1257"</f>
        <v>1257</v>
      </c>
      <c r="T1008" t="str">
        <f>"88058001"</f>
        <v>88058001</v>
      </c>
      <c r="U1008" t="str">
        <f>"INGLESES"</f>
        <v>INGLESES</v>
      </c>
      <c r="V1008" t="str">
        <f>"FLORIANÓPOLIS"</f>
        <v>FLORIANÓPOLIS</v>
      </c>
      <c r="W1008" t="str">
        <f t="shared" si="504"/>
        <v>SC</v>
      </c>
      <c r="X1008" t="str">
        <f t="shared" si="505"/>
        <v>48</v>
      </c>
      <c r="Y1008" t="str">
        <f>"33691887"</f>
        <v>33691887</v>
      </c>
      <c r="Z1008" t="str">
        <f>""</f>
        <v/>
      </c>
      <c r="AA1008" t="str">
        <f>""</f>
        <v/>
      </c>
      <c r="AB1008" t="str">
        <f>""</f>
        <v/>
      </c>
      <c r="AC1008" t="str">
        <f>""</f>
        <v/>
      </c>
      <c r="AD1008" t="str">
        <f>""</f>
        <v/>
      </c>
      <c r="AE1008" t="str">
        <f>""</f>
        <v/>
      </c>
      <c r="AF1008" t="str">
        <f>""</f>
        <v/>
      </c>
      <c r="AG1008" t="str">
        <f>""</f>
        <v/>
      </c>
      <c r="AH1008" t="str">
        <f>""</f>
        <v/>
      </c>
      <c r="AI1008" t="str">
        <f>""</f>
        <v/>
      </c>
      <c r="AJ1008" t="str">
        <f>"0"</f>
        <v>0</v>
      </c>
      <c r="AK1008" t="str">
        <f>"0"</f>
        <v>0</v>
      </c>
      <c r="AL1008" t="str">
        <f>"0"</f>
        <v>0</v>
      </c>
      <c r="AM1008" t="str">
        <f>""</f>
        <v/>
      </c>
      <c r="AN1008" t="str">
        <f>""</f>
        <v/>
      </c>
      <c r="AO1008" t="str">
        <f>""</f>
        <v/>
      </c>
      <c r="AP1008" t="str">
        <f>""</f>
        <v/>
      </c>
      <c r="AQ1008" t="str">
        <f>""</f>
        <v/>
      </c>
      <c r="AR1008" t="str">
        <f>""</f>
        <v/>
      </c>
      <c r="AS1008" t="str">
        <f>""</f>
        <v/>
      </c>
      <c r="AT1008" t="str">
        <f>""</f>
        <v/>
      </c>
      <c r="AU1008" t="str">
        <f>""</f>
        <v/>
      </c>
      <c r="AV1008" t="str">
        <f>""</f>
        <v/>
      </c>
      <c r="AW1008" t="str">
        <f>""</f>
        <v/>
      </c>
      <c r="AX1008" t="str">
        <f>""</f>
        <v/>
      </c>
      <c r="AY1008" t="str">
        <f>""</f>
        <v/>
      </c>
      <c r="AZ1008" t="str">
        <f>""</f>
        <v/>
      </c>
      <c r="BA1008" t="str">
        <f>""</f>
        <v/>
      </c>
      <c r="BB1008" t="str">
        <f>"17/01/2020 11:15:12"</f>
        <v>17/01/2020 11:15:12</v>
      </c>
      <c r="BC1008" t="str">
        <f>""</f>
        <v/>
      </c>
      <c r="BD1008" t="str">
        <f>""</f>
        <v/>
      </c>
      <c r="BE1008" t="str">
        <f>""</f>
        <v/>
      </c>
      <c r="BF1008" t="str">
        <f t="shared" si="485"/>
        <v>A</v>
      </c>
      <c r="BG1008" t="str">
        <f>"0,00"</f>
        <v>0,00</v>
      </c>
      <c r="BH1008" t="str">
        <f>"0,00"</f>
        <v>0,00</v>
      </c>
      <c r="BI1008" t="str">
        <f t="shared" si="503"/>
        <v>EVENTUAL</v>
      </c>
      <c r="BJ1008" t="str">
        <f t="shared" si="487"/>
        <v>1</v>
      </c>
      <c r="BK1008" t="str">
        <f t="shared" si="488"/>
        <v>Farmacia</v>
      </c>
      <c r="BL1008" t="str">
        <f>""</f>
        <v/>
      </c>
      <c r="BM1008" t="str">
        <f>"NÃO É VARILUX ESPECIALISTA"</f>
        <v>NÃO É VARILUX ESPECIALISTA</v>
      </c>
      <c r="BN1008" t="str">
        <f>"NA"</f>
        <v>NA</v>
      </c>
      <c r="BO1008" t="str">
        <f>"FOCO VARILUX"</f>
        <v>FOCO VARILUX</v>
      </c>
      <c r="BP1008" t="str">
        <f>""</f>
        <v/>
      </c>
      <c r="BQ1008" t="str">
        <f>""</f>
        <v/>
      </c>
      <c r="BR1008" t="str">
        <f>"17/01/2020"</f>
        <v>17/01/2020</v>
      </c>
      <c r="BS1008" t="str">
        <f>""</f>
        <v/>
      </c>
      <c r="BT1008" t="str">
        <f>""</f>
        <v/>
      </c>
      <c r="BU1008" t="str">
        <f>""</f>
        <v/>
      </c>
      <c r="BV1008" t="str">
        <f>"9"</f>
        <v>9</v>
      </c>
      <c r="BW1008" t="str">
        <f>"141"</f>
        <v>141</v>
      </c>
    </row>
    <row r="1009" spans="1:75" x14ac:dyDescent="0.35">
      <c r="A1009">
        <v>157737</v>
      </c>
      <c r="B1009" t="str">
        <f t="shared" si="481"/>
        <v>A</v>
      </c>
      <c r="C1009" t="str">
        <f t="shared" si="482"/>
        <v>80</v>
      </c>
      <c r="D1009" t="str">
        <f t="shared" si="472"/>
        <v>11121002</v>
      </c>
      <c r="E1009" t="str">
        <f t="shared" si="473"/>
        <v>121002</v>
      </c>
      <c r="F1009" t="str">
        <f t="shared" si="474"/>
        <v>CINTHIA NORONHA</v>
      </c>
      <c r="G1009" t="str">
        <f>"04963651000138"</f>
        <v>04963651000138</v>
      </c>
      <c r="H1009" t="str">
        <f>"0"</f>
        <v>0</v>
      </c>
      <c r="I1009" t="str">
        <f t="shared" si="483"/>
        <v>CONTA OPTICA</v>
      </c>
      <c r="J1009" t="str">
        <f>"OTICA PROTECAO LTDA ME"</f>
        <v>OTICA PROTECAO LTDA ME</v>
      </c>
      <c r="K1009" t="str">
        <f>"OTICA DIMENSAO (141)"</f>
        <v>OTICA DIMENSAO (141)</v>
      </c>
      <c r="L1009" t="str">
        <f>""</f>
        <v/>
      </c>
      <c r="M1009" t="str">
        <f>""</f>
        <v/>
      </c>
      <c r="N1009" t="str">
        <f>""</f>
        <v/>
      </c>
      <c r="O1009" t="str">
        <f>""</f>
        <v/>
      </c>
      <c r="P1009" t="str">
        <f>"RUA VEREADOR ARTHUR MANOEL MARIANO"</f>
        <v>RUA VEREADOR ARTHUR MANOEL MARIANO</v>
      </c>
      <c r="Q1009" t="str">
        <f>"1028"</f>
        <v>1028</v>
      </c>
      <c r="R1009" t="str">
        <f>""</f>
        <v/>
      </c>
      <c r="S1009" t="str">
        <f>"1259"</f>
        <v>1259</v>
      </c>
      <c r="T1009" t="str">
        <f>"88106501"</f>
        <v>88106501</v>
      </c>
      <c r="U1009" t="str">
        <f>"FORQUILHINHA"</f>
        <v>FORQUILHINHA</v>
      </c>
      <c r="V1009" t="str">
        <f>"SAO JOSE"</f>
        <v>SAO JOSE</v>
      </c>
      <c r="W1009" t="str">
        <f t="shared" si="504"/>
        <v>SC</v>
      </c>
      <c r="X1009" t="str">
        <f t="shared" si="505"/>
        <v>48</v>
      </c>
      <c r="Y1009" t="str">
        <f>"33574945"</f>
        <v>33574945</v>
      </c>
      <c r="Z1009" t="str">
        <f>""</f>
        <v/>
      </c>
      <c r="AA1009" t="str">
        <f>""</f>
        <v/>
      </c>
      <c r="AB1009" t="str">
        <f>""</f>
        <v/>
      </c>
      <c r="AC1009" t="str">
        <f>""</f>
        <v/>
      </c>
      <c r="AD1009" t="str">
        <f>""</f>
        <v/>
      </c>
      <c r="AE1009" t="str">
        <f>""</f>
        <v/>
      </c>
      <c r="AF1009" t="str">
        <f>""</f>
        <v/>
      </c>
      <c r="AG1009" t="str">
        <f>""</f>
        <v/>
      </c>
      <c r="AH1009" t="str">
        <f>""</f>
        <v/>
      </c>
      <c r="AI1009" t="str">
        <f>""</f>
        <v/>
      </c>
      <c r="AJ1009" t="str">
        <f>""</f>
        <v/>
      </c>
      <c r="AK1009" t="str">
        <f>""</f>
        <v/>
      </c>
      <c r="AL1009" t="str">
        <f>""</f>
        <v/>
      </c>
      <c r="AM1009" t="str">
        <f>""</f>
        <v/>
      </c>
      <c r="AN1009" t="str">
        <f>""</f>
        <v/>
      </c>
      <c r="AO1009" t="str">
        <f>""</f>
        <v/>
      </c>
      <c r="AP1009" t="str">
        <f>""</f>
        <v/>
      </c>
      <c r="AQ1009" t="str">
        <f>""</f>
        <v/>
      </c>
      <c r="AR1009" t="str">
        <f>""</f>
        <v/>
      </c>
      <c r="AS1009" t="str">
        <f>""</f>
        <v/>
      </c>
      <c r="AT1009" t="str">
        <f>""</f>
        <v/>
      </c>
      <c r="AU1009" t="str">
        <f>""</f>
        <v/>
      </c>
      <c r="AV1009" t="str">
        <f>""</f>
        <v/>
      </c>
      <c r="AW1009" t="str">
        <f>""</f>
        <v/>
      </c>
      <c r="AX1009" t="str">
        <f>""</f>
        <v/>
      </c>
      <c r="AY1009" t="str">
        <f>""</f>
        <v/>
      </c>
      <c r="AZ1009" t="str">
        <f>""</f>
        <v/>
      </c>
      <c r="BA1009" t="str">
        <f>""</f>
        <v/>
      </c>
      <c r="BB1009" t="str">
        <f>"11/07/2023 02:19:56"</f>
        <v>11/07/2023 02:19:56</v>
      </c>
      <c r="BC1009" t="str">
        <f>""</f>
        <v/>
      </c>
      <c r="BD1009" t="str">
        <f>""</f>
        <v/>
      </c>
      <c r="BE1009" t="str">
        <f>""</f>
        <v/>
      </c>
      <c r="BF1009" t="str">
        <f t="shared" si="485"/>
        <v>A</v>
      </c>
      <c r="BG1009" t="str">
        <f>""</f>
        <v/>
      </c>
      <c r="BH1009" t="str">
        <f>""</f>
        <v/>
      </c>
      <c r="BI1009" t="str">
        <f t="shared" si="503"/>
        <v>EVENTUAL</v>
      </c>
      <c r="BJ1009" t="str">
        <f t="shared" si="487"/>
        <v>1</v>
      </c>
      <c r="BK1009" t="str">
        <f t="shared" si="488"/>
        <v>Farmacia</v>
      </c>
      <c r="BL1009" t="str">
        <f>""</f>
        <v/>
      </c>
      <c r="BM1009" t="str">
        <f>""</f>
        <v/>
      </c>
      <c r="BN1009" t="str">
        <f>""</f>
        <v/>
      </c>
      <c r="BO1009" t="str">
        <f>""</f>
        <v/>
      </c>
      <c r="BP1009" t="str">
        <f>""</f>
        <v/>
      </c>
      <c r="BQ1009" t="str">
        <f>""</f>
        <v/>
      </c>
      <c r="BR1009" t="str">
        <f>"11/07/2023"</f>
        <v>11/07/2023</v>
      </c>
      <c r="BS1009" t="str">
        <f>""</f>
        <v/>
      </c>
      <c r="BT1009" t="str">
        <f>""</f>
        <v/>
      </c>
      <c r="BU1009" t="str">
        <f>""</f>
        <v/>
      </c>
      <c r="BV1009" t="str">
        <f>""</f>
        <v/>
      </c>
      <c r="BW1009" t="str">
        <f>"Não visitado"</f>
        <v>Não visitado</v>
      </c>
    </row>
    <row r="1010" spans="1:75" x14ac:dyDescent="0.35">
      <c r="A1010">
        <v>144325</v>
      </c>
      <c r="B1010" t="str">
        <f t="shared" si="481"/>
        <v>A</v>
      </c>
      <c r="C1010" t="str">
        <f t="shared" si="482"/>
        <v>80</v>
      </c>
      <c r="D1010" t="str">
        <f t="shared" si="472"/>
        <v>11121002</v>
      </c>
      <c r="E1010" t="str">
        <f t="shared" si="473"/>
        <v>121002</v>
      </c>
      <c r="F1010" t="str">
        <f t="shared" si="474"/>
        <v>CINTHIA NORONHA</v>
      </c>
      <c r="G1010" t="str">
        <f>"10235388000163"</f>
        <v>10235388000163</v>
      </c>
      <c r="H1010" t="str">
        <f>""</f>
        <v/>
      </c>
      <c r="I1010" t="str">
        <f t="shared" si="483"/>
        <v>CONTA OPTICA</v>
      </c>
      <c r="J1010" t="str">
        <f>"OTICA R.D.A. LTDA ME"</f>
        <v>OTICA R.D.A. LTDA ME</v>
      </c>
      <c r="K1010" t="str">
        <f>"OTICAS CAROL (1749)"</f>
        <v>OTICAS CAROL (1749)</v>
      </c>
      <c r="L1010" t="str">
        <f>""</f>
        <v/>
      </c>
      <c r="M1010" t="str">
        <f>""</f>
        <v/>
      </c>
      <c r="N1010" t="str">
        <f>"oticascarolcriciuma@hotmail.com"</f>
        <v>oticascarolcriciuma@hotmail.com</v>
      </c>
      <c r="O1010" t="str">
        <f>""</f>
        <v/>
      </c>
      <c r="P1010" t="str">
        <f>"AVENIDA UNIVERSITARIA"</f>
        <v>AVENIDA UNIVERSITARIA</v>
      </c>
      <c r="Q1010" t="str">
        <f>"1860"</f>
        <v>1860</v>
      </c>
      <c r="R1010" t="str">
        <f>"SL 04"</f>
        <v>SL 04</v>
      </c>
      <c r="S1010" t="str">
        <f>"1269"</f>
        <v>1269</v>
      </c>
      <c r="T1010" t="str">
        <f>"88806001"</f>
        <v>88806001</v>
      </c>
      <c r="U1010" t="str">
        <f>"SANTA LUZIA"</f>
        <v>SANTA LUZIA</v>
      </c>
      <c r="V1010" t="str">
        <f>"CRICIÚMA"</f>
        <v>CRICIÚMA</v>
      </c>
      <c r="W1010" t="str">
        <f t="shared" si="504"/>
        <v>SC</v>
      </c>
      <c r="X1010" t="str">
        <f t="shared" si="505"/>
        <v>48</v>
      </c>
      <c r="Y1010" t="str">
        <f>"34370219"</f>
        <v>34370219</v>
      </c>
      <c r="Z1010" t="str">
        <f>""</f>
        <v/>
      </c>
      <c r="AA1010" t="str">
        <f>""</f>
        <v/>
      </c>
      <c r="AB1010" t="str">
        <f>""</f>
        <v/>
      </c>
      <c r="AC1010" t="str">
        <f>""</f>
        <v/>
      </c>
      <c r="AD1010" t="str">
        <f>""</f>
        <v/>
      </c>
      <c r="AE1010" t="str">
        <f>""</f>
        <v/>
      </c>
      <c r="AF1010" t="str">
        <f>""</f>
        <v/>
      </c>
      <c r="AG1010" t="str">
        <f>""</f>
        <v/>
      </c>
      <c r="AH1010" t="str">
        <f>""</f>
        <v/>
      </c>
      <c r="AI1010" t="str">
        <f>""</f>
        <v/>
      </c>
      <c r="AJ1010" t="str">
        <f>"0"</f>
        <v>0</v>
      </c>
      <c r="AK1010" t="str">
        <f>"0"</f>
        <v>0</v>
      </c>
      <c r="AL1010" t="str">
        <f>"0"</f>
        <v>0</v>
      </c>
      <c r="AM1010" t="str">
        <f>""</f>
        <v/>
      </c>
      <c r="AN1010" t="str">
        <f>""</f>
        <v/>
      </c>
      <c r="AO1010" t="str">
        <f>""</f>
        <v/>
      </c>
      <c r="AP1010" t="str">
        <f>""</f>
        <v/>
      </c>
      <c r="AQ1010" t="str">
        <f>""</f>
        <v/>
      </c>
      <c r="AR1010" t="str">
        <f>""</f>
        <v/>
      </c>
      <c r="AS1010" t="str">
        <f>""</f>
        <v/>
      </c>
      <c r="AT1010" t="str">
        <f>""</f>
        <v/>
      </c>
      <c r="AU1010" t="str">
        <f>""</f>
        <v/>
      </c>
      <c r="AV1010" t="str">
        <f>""</f>
        <v/>
      </c>
      <c r="AW1010" t="str">
        <f>""</f>
        <v/>
      </c>
      <c r="AX1010" t="str">
        <f>""</f>
        <v/>
      </c>
      <c r="AY1010" t="str">
        <f>""</f>
        <v/>
      </c>
      <c r="AZ1010" t="str">
        <f>""</f>
        <v/>
      </c>
      <c r="BA1010" t="str">
        <f>""</f>
        <v/>
      </c>
      <c r="BB1010" t="str">
        <f>""</f>
        <v/>
      </c>
      <c r="BC1010" t="str">
        <f>""</f>
        <v/>
      </c>
      <c r="BD1010" t="str">
        <f>""</f>
        <v/>
      </c>
      <c r="BE1010" t="str">
        <f>""</f>
        <v/>
      </c>
      <c r="BF1010" t="str">
        <f t="shared" si="485"/>
        <v>A</v>
      </c>
      <c r="BG1010" t="str">
        <f>"0,00"</f>
        <v>0,00</v>
      </c>
      <c r="BH1010" t="str">
        <f>"0,00"</f>
        <v>0,00</v>
      </c>
      <c r="BI1010" t="str">
        <f t="shared" si="503"/>
        <v>EVENTUAL</v>
      </c>
      <c r="BJ1010" t="str">
        <f t="shared" si="487"/>
        <v>1</v>
      </c>
      <c r="BK1010" t="str">
        <f t="shared" si="488"/>
        <v>Farmacia</v>
      </c>
      <c r="BL1010" t="str">
        <f>""</f>
        <v/>
      </c>
      <c r="BM1010" t="str">
        <f>"NÃO É VARILUX ESPECIALISTA"</f>
        <v>NÃO É VARILUX ESPECIALISTA</v>
      </c>
      <c r="BN1010" t="str">
        <f>"NA"</f>
        <v>NA</v>
      </c>
      <c r="BO1010" t="str">
        <f>"FOCO VARILUX DIGITAL"</f>
        <v>FOCO VARILUX DIGITAL</v>
      </c>
      <c r="BP1010" t="str">
        <f>""</f>
        <v/>
      </c>
      <c r="BQ1010" t="str">
        <f>""</f>
        <v/>
      </c>
      <c r="BR1010" t="str">
        <f>""</f>
        <v/>
      </c>
      <c r="BS1010" t="str">
        <f>""</f>
        <v/>
      </c>
      <c r="BT1010" t="str">
        <f>""</f>
        <v/>
      </c>
      <c r="BU1010" t="str">
        <f>""</f>
        <v/>
      </c>
      <c r="BV1010" t="str">
        <f>"9"</f>
        <v>9</v>
      </c>
      <c r="BW1010" t="str">
        <f>"Não visitado"</f>
        <v>Não visitado</v>
      </c>
    </row>
    <row r="1011" spans="1:75" x14ac:dyDescent="0.35">
      <c r="A1011">
        <v>144703</v>
      </c>
      <c r="B1011" t="str">
        <f t="shared" si="481"/>
        <v>A</v>
      </c>
      <c r="C1011" t="str">
        <f t="shared" si="482"/>
        <v>80</v>
      </c>
      <c r="D1011" t="str">
        <f t="shared" si="472"/>
        <v>11121002</v>
      </c>
      <c r="E1011" t="str">
        <f t="shared" si="473"/>
        <v>121002</v>
      </c>
      <c r="F1011" t="str">
        <f t="shared" si="474"/>
        <v>CINTHIA NORONHA</v>
      </c>
      <c r="G1011" t="str">
        <f>"85292241000104"</f>
        <v>85292241000104</v>
      </c>
      <c r="H1011" t="str">
        <f>""</f>
        <v/>
      </c>
      <c r="I1011" t="str">
        <f t="shared" si="483"/>
        <v>CONTA OPTICA</v>
      </c>
      <c r="J1011" t="str">
        <f>"OTICA RAMOS LTDA ME"</f>
        <v>OTICA RAMOS LTDA ME</v>
      </c>
      <c r="K1011" t="str">
        <f>"OTICA RAMOS LTDA ME (347)"</f>
        <v>OTICA RAMOS LTDA ME (347)</v>
      </c>
      <c r="L1011" t="str">
        <f>""</f>
        <v/>
      </c>
      <c r="M1011" t="str">
        <f>""</f>
        <v/>
      </c>
      <c r="N1011" t="str">
        <f>"oticaramos@mkm.net.br"</f>
        <v>oticaramos@mkm.net.br</v>
      </c>
      <c r="O1011" t="str">
        <f>""</f>
        <v/>
      </c>
      <c r="P1011" t="str">
        <f>"RUA SENADOR NEREU RAMOS"</f>
        <v>RUA SENADOR NEREU RAMOS</v>
      </c>
      <c r="Q1011" t="str">
        <f>"1186"</f>
        <v>1186</v>
      </c>
      <c r="R1011" t="str">
        <f>""</f>
        <v/>
      </c>
      <c r="S1011" t="str">
        <f>"1268"</f>
        <v>1268</v>
      </c>
      <c r="T1011" t="str">
        <f>"88750000"</f>
        <v>88750000</v>
      </c>
      <c r="U1011" t="str">
        <f t="shared" ref="U1011:U1017" si="508">"CENTRO"</f>
        <v>CENTRO</v>
      </c>
      <c r="V1011" t="str">
        <f>"BRACO DO NORTE"</f>
        <v>BRACO DO NORTE</v>
      </c>
      <c r="W1011" t="str">
        <f t="shared" si="504"/>
        <v>SC</v>
      </c>
      <c r="X1011" t="str">
        <f t="shared" si="505"/>
        <v>48</v>
      </c>
      <c r="Y1011" t="str">
        <f>"36582811"</f>
        <v>36582811</v>
      </c>
      <c r="Z1011" t="str">
        <f>""</f>
        <v/>
      </c>
      <c r="AA1011" t="str">
        <f>""</f>
        <v/>
      </c>
      <c r="AB1011" t="str">
        <f>""</f>
        <v/>
      </c>
      <c r="AC1011" t="str">
        <f>""</f>
        <v/>
      </c>
      <c r="AD1011" t="str">
        <f>""</f>
        <v/>
      </c>
      <c r="AE1011" t="str">
        <f>""</f>
        <v/>
      </c>
      <c r="AF1011" t="str">
        <f>""</f>
        <v/>
      </c>
      <c r="AG1011" t="str">
        <f>""</f>
        <v/>
      </c>
      <c r="AH1011" t="str">
        <f>""</f>
        <v/>
      </c>
      <c r="AI1011" t="str">
        <f>""</f>
        <v/>
      </c>
      <c r="AJ1011" t="str">
        <f>""</f>
        <v/>
      </c>
      <c r="AK1011" t="str">
        <f>""</f>
        <v/>
      </c>
      <c r="AL1011" t="str">
        <f>""</f>
        <v/>
      </c>
      <c r="AM1011" t="str">
        <f>""</f>
        <v/>
      </c>
      <c r="AN1011" t="str">
        <f>""</f>
        <v/>
      </c>
      <c r="AO1011" t="str">
        <f>""</f>
        <v/>
      </c>
      <c r="AP1011" t="str">
        <f>""</f>
        <v/>
      </c>
      <c r="AQ1011" t="str">
        <f>""</f>
        <v/>
      </c>
      <c r="AR1011" t="str">
        <f>""</f>
        <v/>
      </c>
      <c r="AS1011" t="str">
        <f>""</f>
        <v/>
      </c>
      <c r="AT1011" t="str">
        <f>""</f>
        <v/>
      </c>
      <c r="AU1011" t="str">
        <f>""</f>
        <v/>
      </c>
      <c r="AV1011" t="str">
        <f>""</f>
        <v/>
      </c>
      <c r="AW1011" t="str">
        <f>""</f>
        <v/>
      </c>
      <c r="AX1011" t="str">
        <f>""</f>
        <v/>
      </c>
      <c r="AY1011" t="str">
        <f>""</f>
        <v/>
      </c>
      <c r="AZ1011" t="str">
        <f>""</f>
        <v/>
      </c>
      <c r="BA1011" t="str">
        <f>""</f>
        <v/>
      </c>
      <c r="BB1011" t="str">
        <f>""</f>
        <v/>
      </c>
      <c r="BC1011" t="str">
        <f>""</f>
        <v/>
      </c>
      <c r="BD1011" t="str">
        <f>""</f>
        <v/>
      </c>
      <c r="BE1011" t="str">
        <f>""</f>
        <v/>
      </c>
      <c r="BF1011" t="str">
        <f t="shared" si="485"/>
        <v>A</v>
      </c>
      <c r="BG1011" t="str">
        <f>""</f>
        <v/>
      </c>
      <c r="BH1011" t="str">
        <f>""</f>
        <v/>
      </c>
      <c r="BI1011" t="str">
        <f t="shared" si="503"/>
        <v>EVENTUAL</v>
      </c>
      <c r="BJ1011" t="str">
        <f t="shared" si="487"/>
        <v>1</v>
      </c>
      <c r="BK1011" t="str">
        <f t="shared" si="488"/>
        <v>Farmacia</v>
      </c>
      <c r="BL1011" t="str">
        <f>""</f>
        <v/>
      </c>
      <c r="BM1011" t="str">
        <f>"NÃO É VARILUX ESPECIALISTA"</f>
        <v>NÃO É VARILUX ESPECIALISTA</v>
      </c>
      <c r="BN1011" t="str">
        <f>"NA"</f>
        <v>NA</v>
      </c>
      <c r="BO1011" t="str">
        <f>""</f>
        <v/>
      </c>
      <c r="BP1011" t="str">
        <f>""</f>
        <v/>
      </c>
      <c r="BQ1011" t="str">
        <f>""</f>
        <v/>
      </c>
      <c r="BR1011" t="str">
        <f>""</f>
        <v/>
      </c>
      <c r="BS1011" t="str">
        <f>""</f>
        <v/>
      </c>
      <c r="BT1011" t="str">
        <f>""</f>
        <v/>
      </c>
      <c r="BU1011" t="str">
        <f>""</f>
        <v/>
      </c>
      <c r="BV1011" t="str">
        <f>"9"</f>
        <v>9</v>
      </c>
      <c r="BW1011" t="str">
        <f>"247"</f>
        <v>247</v>
      </c>
    </row>
    <row r="1012" spans="1:75" x14ac:dyDescent="0.35">
      <c r="A1012">
        <v>159582</v>
      </c>
      <c r="B1012" t="str">
        <f t="shared" si="481"/>
        <v>A</v>
      </c>
      <c r="C1012" t="str">
        <f t="shared" si="482"/>
        <v>80</v>
      </c>
      <c r="D1012" t="str">
        <f t="shared" ref="D1012:D1075" si="509">"11121002"</f>
        <v>11121002</v>
      </c>
      <c r="E1012" t="str">
        <f t="shared" ref="E1012:E1075" si="510">"121002"</f>
        <v>121002</v>
      </c>
      <c r="F1012" t="str">
        <f t="shared" ref="F1012:F1075" si="511">"CINTHIA NORONHA"</f>
        <v>CINTHIA NORONHA</v>
      </c>
      <c r="G1012" t="str">
        <f>"50981732000188"</f>
        <v>50981732000188</v>
      </c>
      <c r="H1012" t="str">
        <f>""</f>
        <v/>
      </c>
      <c r="I1012" t="str">
        <f t="shared" si="483"/>
        <v>CONTA OPTICA</v>
      </c>
      <c r="J1012" t="str">
        <f>"OTICA RARITA LTDA."</f>
        <v>OTICA RARITA LTDA.</v>
      </c>
      <c r="K1012" t="str">
        <f>"OTICAS RARITA (4765)"</f>
        <v>OTICAS RARITA (4765)</v>
      </c>
      <c r="L1012" t="str">
        <f>""</f>
        <v/>
      </c>
      <c r="M1012" t="str">
        <f>""</f>
        <v/>
      </c>
      <c r="N1012" t="str">
        <f>"FERNANDA@OTICASRARITA.COM.BR"</f>
        <v>FERNANDA@OTICASRARITA.COM.BR</v>
      </c>
      <c r="O1012" t="str">
        <f>""</f>
        <v/>
      </c>
      <c r="P1012" t="str">
        <f>"RUA DR. VALDIR COTRIN"</f>
        <v>RUA DR. VALDIR COTRIN</v>
      </c>
      <c r="Q1012" t="str">
        <f>"328"</f>
        <v>328</v>
      </c>
      <c r="R1012" t="str">
        <f>"SALA 06"</f>
        <v>SALA 06</v>
      </c>
      <c r="S1012" t="str">
        <f>"1269"</f>
        <v>1269</v>
      </c>
      <c r="T1012" t="str">
        <f>"88880000"</f>
        <v>88880000</v>
      </c>
      <c r="U1012" t="str">
        <f t="shared" si="508"/>
        <v>CENTRO</v>
      </c>
      <c r="V1012" t="str">
        <f>"LAURO MULLER"</f>
        <v>LAURO MULLER</v>
      </c>
      <c r="W1012" t="str">
        <f t="shared" si="504"/>
        <v>SC</v>
      </c>
      <c r="X1012" t="str">
        <f t="shared" si="505"/>
        <v>48</v>
      </c>
      <c r="Y1012" t="str">
        <f>"99800949"</f>
        <v>99800949</v>
      </c>
      <c r="Z1012" t="str">
        <f>""</f>
        <v/>
      </c>
      <c r="AA1012" t="str">
        <f>""</f>
        <v/>
      </c>
      <c r="AB1012" t="str">
        <f>""</f>
        <v/>
      </c>
      <c r="AC1012" t="str">
        <f>""</f>
        <v/>
      </c>
      <c r="AD1012" t="str">
        <f>""</f>
        <v/>
      </c>
      <c r="AE1012" t="str">
        <f>""</f>
        <v/>
      </c>
      <c r="AF1012" t="str">
        <f>""</f>
        <v/>
      </c>
      <c r="AG1012" t="str">
        <f>""</f>
        <v/>
      </c>
      <c r="AH1012" t="str">
        <f>""</f>
        <v/>
      </c>
      <c r="AI1012" t="str">
        <f>""</f>
        <v/>
      </c>
      <c r="AJ1012" t="str">
        <f>""</f>
        <v/>
      </c>
      <c r="AK1012" t="str">
        <f>""</f>
        <v/>
      </c>
      <c r="AL1012" t="str">
        <f>""</f>
        <v/>
      </c>
      <c r="AM1012" t="str">
        <f>""</f>
        <v/>
      </c>
      <c r="AN1012" t="str">
        <f>""</f>
        <v/>
      </c>
      <c r="AO1012" t="str">
        <f>""</f>
        <v/>
      </c>
      <c r="AP1012" t="str">
        <f>""</f>
        <v/>
      </c>
      <c r="AQ1012" t="str">
        <f>""</f>
        <v/>
      </c>
      <c r="AR1012" t="str">
        <f>""</f>
        <v/>
      </c>
      <c r="AS1012" t="str">
        <f>""</f>
        <v/>
      </c>
      <c r="AT1012" t="str">
        <f>""</f>
        <v/>
      </c>
      <c r="AU1012" t="str">
        <f>""</f>
        <v/>
      </c>
      <c r="AV1012" t="str">
        <f>""</f>
        <v/>
      </c>
      <c r="AW1012" t="str">
        <f>""</f>
        <v/>
      </c>
      <c r="AX1012" t="str">
        <f>""</f>
        <v/>
      </c>
      <c r="AY1012" t="str">
        <f>""</f>
        <v/>
      </c>
      <c r="AZ1012" t="str">
        <f>""</f>
        <v/>
      </c>
      <c r="BA1012" t="str">
        <f>""</f>
        <v/>
      </c>
      <c r="BB1012" t="str">
        <f>"25/09/2023 11:47:13"</f>
        <v>25/09/2023 11:47:13</v>
      </c>
      <c r="BC1012" t="str">
        <f>""</f>
        <v/>
      </c>
      <c r="BD1012" t="str">
        <f>""</f>
        <v/>
      </c>
      <c r="BE1012" t="str">
        <f>""</f>
        <v/>
      </c>
      <c r="BF1012" t="str">
        <f t="shared" si="485"/>
        <v>A</v>
      </c>
      <c r="BG1012" t="str">
        <f>""</f>
        <v/>
      </c>
      <c r="BH1012" t="str">
        <f>""</f>
        <v/>
      </c>
      <c r="BI1012" t="str">
        <f t="shared" si="503"/>
        <v>EVENTUAL</v>
      </c>
      <c r="BJ1012" t="str">
        <f t="shared" si="487"/>
        <v>1</v>
      </c>
      <c r="BK1012" t="str">
        <f t="shared" si="488"/>
        <v>Farmacia</v>
      </c>
      <c r="BL1012" t="str">
        <f>""</f>
        <v/>
      </c>
      <c r="BM1012" t="str">
        <f>""</f>
        <v/>
      </c>
      <c r="BN1012" t="str">
        <f>""</f>
        <v/>
      </c>
      <c r="BO1012" t="str">
        <f>""</f>
        <v/>
      </c>
      <c r="BP1012" t="str">
        <f>""</f>
        <v/>
      </c>
      <c r="BQ1012" t="str">
        <f>""</f>
        <v/>
      </c>
      <c r="BR1012" t="str">
        <f>"25/09/2023"</f>
        <v>25/09/2023</v>
      </c>
      <c r="BS1012" t="str">
        <f>""</f>
        <v/>
      </c>
      <c r="BT1012" t="str">
        <f>""</f>
        <v/>
      </c>
      <c r="BU1012" t="str">
        <f>""</f>
        <v/>
      </c>
      <c r="BV1012" t="str">
        <f>""</f>
        <v/>
      </c>
      <c r="BW1012" t="str">
        <f>"Não visitado"</f>
        <v>Não visitado</v>
      </c>
    </row>
    <row r="1013" spans="1:75" x14ac:dyDescent="0.35">
      <c r="A1013">
        <v>118687</v>
      </c>
      <c r="B1013" t="str">
        <f t="shared" si="481"/>
        <v>A</v>
      </c>
      <c r="C1013" t="str">
        <f t="shared" si="482"/>
        <v>80</v>
      </c>
      <c r="D1013" t="str">
        <f t="shared" si="509"/>
        <v>11121002</v>
      </c>
      <c r="E1013" t="str">
        <f t="shared" si="510"/>
        <v>121002</v>
      </c>
      <c r="F1013" t="str">
        <f t="shared" si="511"/>
        <v>CINTHIA NORONHA</v>
      </c>
      <c r="G1013" t="str">
        <f>"06932838000108"</f>
        <v>06932838000108</v>
      </c>
      <c r="H1013" t="str">
        <f>""</f>
        <v/>
      </c>
      <c r="I1013" t="str">
        <f t="shared" si="483"/>
        <v>CONTA OPTICA</v>
      </c>
      <c r="J1013" t="str">
        <f>"OTICA REDIVO LTDA ME"</f>
        <v>OTICA REDIVO LTDA ME</v>
      </c>
      <c r="K1013" t="str">
        <f>"OTICA REDIVO (1817)"</f>
        <v>OTICA REDIVO (1817)</v>
      </c>
      <c r="L1013" t="str">
        <f>""</f>
        <v/>
      </c>
      <c r="M1013" t="str">
        <f>""</f>
        <v/>
      </c>
      <c r="N1013" t="str">
        <f>"oticaredivo@hotmail.com"</f>
        <v>oticaredivo@hotmail.com</v>
      </c>
      <c r="O1013" t="str">
        <f>""</f>
        <v/>
      </c>
      <c r="P1013" t="str">
        <f>"RUA JOAO PESSOA"</f>
        <v>RUA JOAO PESSOA</v>
      </c>
      <c r="Q1013" t="str">
        <f>"45"</f>
        <v>45</v>
      </c>
      <c r="R1013" t="str">
        <f>"SALA 23"</f>
        <v>SALA 23</v>
      </c>
      <c r="S1013" t="str">
        <f>"1269"</f>
        <v>1269</v>
      </c>
      <c r="T1013" t="str">
        <f>"88801530"</f>
        <v>88801530</v>
      </c>
      <c r="U1013" t="str">
        <f t="shared" si="508"/>
        <v>CENTRO</v>
      </c>
      <c r="V1013" t="str">
        <f>"CRICIÚMA"</f>
        <v>CRICIÚMA</v>
      </c>
      <c r="W1013" t="str">
        <f t="shared" si="504"/>
        <v>SC</v>
      </c>
      <c r="X1013" t="str">
        <f t="shared" si="505"/>
        <v>48</v>
      </c>
      <c r="Y1013" t="str">
        <f>"34428431"</f>
        <v>34428431</v>
      </c>
      <c r="Z1013" t="str">
        <f>""</f>
        <v/>
      </c>
      <c r="AA1013" t="str">
        <f>""</f>
        <v/>
      </c>
      <c r="AB1013" t="str">
        <f>""</f>
        <v/>
      </c>
      <c r="AC1013" t="str">
        <f>""</f>
        <v/>
      </c>
      <c r="AD1013" t="str">
        <f>""</f>
        <v/>
      </c>
      <c r="AE1013" t="str">
        <f>""</f>
        <v/>
      </c>
      <c r="AF1013" t="str">
        <f>""</f>
        <v/>
      </c>
      <c r="AG1013" t="str">
        <f>""</f>
        <v/>
      </c>
      <c r="AH1013" t="str">
        <f>""</f>
        <v/>
      </c>
      <c r="AI1013" t="str">
        <f>""</f>
        <v/>
      </c>
      <c r="AJ1013" t="str">
        <f t="shared" ref="AJ1013:AL1014" si="512">"0"</f>
        <v>0</v>
      </c>
      <c r="AK1013" t="str">
        <f t="shared" si="512"/>
        <v>0</v>
      </c>
      <c r="AL1013" t="str">
        <f t="shared" si="512"/>
        <v>0</v>
      </c>
      <c r="AM1013" t="str">
        <f>""</f>
        <v/>
      </c>
      <c r="AN1013" t="str">
        <f>""</f>
        <v/>
      </c>
      <c r="AO1013" t="str">
        <f>""</f>
        <v/>
      </c>
      <c r="AP1013" t="str">
        <f>""</f>
        <v/>
      </c>
      <c r="AQ1013" t="str">
        <f>""</f>
        <v/>
      </c>
      <c r="AR1013" t="str">
        <f>""</f>
        <v/>
      </c>
      <c r="AS1013" t="str">
        <f>""</f>
        <v/>
      </c>
      <c r="AT1013" t="str">
        <f>""</f>
        <v/>
      </c>
      <c r="AU1013" t="str">
        <f>""</f>
        <v/>
      </c>
      <c r="AV1013" t="str">
        <f>""</f>
        <v/>
      </c>
      <c r="AW1013" t="str">
        <f>""</f>
        <v/>
      </c>
      <c r="AX1013" t="str">
        <f>""</f>
        <v/>
      </c>
      <c r="AY1013" t="str">
        <f>""</f>
        <v/>
      </c>
      <c r="AZ1013" t="str">
        <f>""</f>
        <v/>
      </c>
      <c r="BA1013" t="str">
        <f>""</f>
        <v/>
      </c>
      <c r="BB1013" t="str">
        <f>""</f>
        <v/>
      </c>
      <c r="BC1013" t="str">
        <f>""</f>
        <v/>
      </c>
      <c r="BD1013" t="str">
        <f>""</f>
        <v/>
      </c>
      <c r="BE1013" t="str">
        <f>""</f>
        <v/>
      </c>
      <c r="BF1013" t="str">
        <f t="shared" si="485"/>
        <v>A</v>
      </c>
      <c r="BG1013" t="str">
        <f>"0,00"</f>
        <v>0,00</v>
      </c>
      <c r="BH1013" t="str">
        <f>"0,00"</f>
        <v>0,00</v>
      </c>
      <c r="BI1013" t="str">
        <f t="shared" si="503"/>
        <v>EVENTUAL</v>
      </c>
      <c r="BJ1013" t="str">
        <f t="shared" si="487"/>
        <v>1</v>
      </c>
      <c r="BK1013" t="str">
        <f t="shared" si="488"/>
        <v>Farmacia</v>
      </c>
      <c r="BL1013" t="str">
        <f>""</f>
        <v/>
      </c>
      <c r="BM1013" t="str">
        <f>"NÃO É VARILUX ESPECIALISTA"</f>
        <v>NÃO É VARILUX ESPECIALISTA</v>
      </c>
      <c r="BN1013" t="str">
        <f>"NA"</f>
        <v>NA</v>
      </c>
      <c r="BO1013" t="str">
        <f>"OUTROS"</f>
        <v>OUTROS</v>
      </c>
      <c r="BP1013" t="str">
        <f>""</f>
        <v/>
      </c>
      <c r="BQ1013" t="str">
        <f>""</f>
        <v/>
      </c>
      <c r="BR1013" t="str">
        <f>""</f>
        <v/>
      </c>
      <c r="BS1013" t="str">
        <f>""</f>
        <v/>
      </c>
      <c r="BT1013" t="str">
        <f>""</f>
        <v/>
      </c>
      <c r="BU1013" t="str">
        <f>""</f>
        <v/>
      </c>
      <c r="BV1013" t="str">
        <f>"9"</f>
        <v>9</v>
      </c>
      <c r="BW1013" t="str">
        <f>"Não visitado"</f>
        <v>Não visitado</v>
      </c>
    </row>
    <row r="1014" spans="1:75" x14ac:dyDescent="0.35">
      <c r="A1014">
        <v>367</v>
      </c>
      <c r="B1014" t="str">
        <f t="shared" si="481"/>
        <v>A</v>
      </c>
      <c r="C1014" t="str">
        <f t="shared" si="482"/>
        <v>80</v>
      </c>
      <c r="D1014" t="str">
        <f t="shared" si="509"/>
        <v>11121002</v>
      </c>
      <c r="E1014" t="str">
        <f t="shared" si="510"/>
        <v>121002</v>
      </c>
      <c r="F1014" t="str">
        <f t="shared" si="511"/>
        <v>CINTHIA NORONHA</v>
      </c>
      <c r="G1014" t="str">
        <f>"04322530000107"</f>
        <v>04322530000107</v>
      </c>
      <c r="H1014" t="str">
        <f>""</f>
        <v/>
      </c>
      <c r="I1014" t="str">
        <f t="shared" si="483"/>
        <v>CONTA OPTICA</v>
      </c>
      <c r="J1014" t="str">
        <f>"OTICA RELOJOARIA E JOALHERIA FLORIPA LTDA  ME"</f>
        <v>OTICA RELOJOARIA E JOALHERIA FLORIPA LTDA  ME</v>
      </c>
      <c r="K1014" t="str">
        <f>"OTICA FLORIPA (1259)"</f>
        <v>OTICA FLORIPA (1259)</v>
      </c>
      <c r="L1014" t="str">
        <f>""</f>
        <v/>
      </c>
      <c r="M1014" t="str">
        <f>""</f>
        <v/>
      </c>
      <c r="N1014" t="str">
        <f>"oticafloripa@hotmail.com"</f>
        <v>oticafloripa@hotmail.com</v>
      </c>
      <c r="O1014" t="str">
        <f>""</f>
        <v/>
      </c>
      <c r="P1014" t="str">
        <f>"RUA TRAJANO"</f>
        <v>RUA TRAJANO</v>
      </c>
      <c r="Q1014" t="str">
        <f>"168"</f>
        <v>168</v>
      </c>
      <c r="R1014" t="str">
        <f>"LOJA 4 TERREO"</f>
        <v>LOJA 4 TERREO</v>
      </c>
      <c r="S1014" t="str">
        <f>"1254"</f>
        <v>1254</v>
      </c>
      <c r="T1014" t="str">
        <f>"88010010"</f>
        <v>88010010</v>
      </c>
      <c r="U1014" t="str">
        <f t="shared" si="508"/>
        <v>CENTRO</v>
      </c>
      <c r="V1014" t="str">
        <f>"FLORIANÓPOLIS"</f>
        <v>FLORIANÓPOLIS</v>
      </c>
      <c r="W1014" t="str">
        <f t="shared" si="504"/>
        <v>SC</v>
      </c>
      <c r="X1014" t="str">
        <f t="shared" si="505"/>
        <v>48</v>
      </c>
      <c r="Y1014" t="str">
        <f>"33242389"</f>
        <v>33242389</v>
      </c>
      <c r="Z1014" t="str">
        <f>""</f>
        <v/>
      </c>
      <c r="AA1014" t="str">
        <f>""</f>
        <v/>
      </c>
      <c r="AB1014" t="str">
        <f>""</f>
        <v/>
      </c>
      <c r="AC1014" t="str">
        <f>""</f>
        <v/>
      </c>
      <c r="AD1014" t="str">
        <f>""</f>
        <v/>
      </c>
      <c r="AE1014" t="str">
        <f>""</f>
        <v/>
      </c>
      <c r="AF1014" t="str">
        <f>""</f>
        <v/>
      </c>
      <c r="AG1014" t="str">
        <f>""</f>
        <v/>
      </c>
      <c r="AH1014" t="str">
        <f>""</f>
        <v/>
      </c>
      <c r="AI1014" t="str">
        <f>""</f>
        <v/>
      </c>
      <c r="AJ1014" t="str">
        <f t="shared" si="512"/>
        <v>0</v>
      </c>
      <c r="AK1014" t="str">
        <f t="shared" si="512"/>
        <v>0</v>
      </c>
      <c r="AL1014" t="str">
        <f t="shared" si="512"/>
        <v>0</v>
      </c>
      <c r="AM1014" t="str">
        <f>""</f>
        <v/>
      </c>
      <c r="AN1014" t="str">
        <f>""</f>
        <v/>
      </c>
      <c r="AO1014" t="str">
        <f>""</f>
        <v/>
      </c>
      <c r="AP1014" t="str">
        <f>""</f>
        <v/>
      </c>
      <c r="AQ1014" t="str">
        <f>""</f>
        <v/>
      </c>
      <c r="AR1014" t="str">
        <f>""</f>
        <v/>
      </c>
      <c r="AS1014" t="str">
        <f>""</f>
        <v/>
      </c>
      <c r="AT1014" t="str">
        <f>""</f>
        <v/>
      </c>
      <c r="AU1014" t="str">
        <f>""</f>
        <v/>
      </c>
      <c r="AV1014" t="str">
        <f>""</f>
        <v/>
      </c>
      <c r="AW1014" t="str">
        <f>""</f>
        <v/>
      </c>
      <c r="AX1014" t="str">
        <f>""</f>
        <v/>
      </c>
      <c r="AY1014" t="str">
        <f>""</f>
        <v/>
      </c>
      <c r="AZ1014" t="str">
        <f>""</f>
        <v/>
      </c>
      <c r="BA1014" t="str">
        <f>""</f>
        <v/>
      </c>
      <c r="BB1014" t="str">
        <f>"27/07/2018 09:25:39"</f>
        <v>27/07/2018 09:25:39</v>
      </c>
      <c r="BC1014" t="str">
        <f>""</f>
        <v/>
      </c>
      <c r="BD1014" t="str">
        <f>""</f>
        <v/>
      </c>
      <c r="BE1014" t="str">
        <f>"367"</f>
        <v>367</v>
      </c>
      <c r="BF1014" t="str">
        <f t="shared" si="485"/>
        <v>A</v>
      </c>
      <c r="BG1014" t="str">
        <f>"0,00"</f>
        <v>0,00</v>
      </c>
      <c r="BH1014" t="str">
        <f>"0,00"</f>
        <v>0,00</v>
      </c>
      <c r="BI1014" t="str">
        <f t="shared" si="503"/>
        <v>EVENTUAL</v>
      </c>
      <c r="BJ1014" t="str">
        <f t="shared" si="487"/>
        <v>1</v>
      </c>
      <c r="BK1014" t="str">
        <f t="shared" si="488"/>
        <v>Farmacia</v>
      </c>
      <c r="BL1014" t="str">
        <f>""</f>
        <v/>
      </c>
      <c r="BM1014" t="str">
        <f>"NÃO É VARILUX ESPECIALISTA"</f>
        <v>NÃO É VARILUX ESPECIALISTA</v>
      </c>
      <c r="BN1014" t="str">
        <f>"NA"</f>
        <v>NA</v>
      </c>
      <c r="BO1014" t="str">
        <f>"FOCO VARILUX"</f>
        <v>FOCO VARILUX</v>
      </c>
      <c r="BP1014" t="str">
        <f>""</f>
        <v/>
      </c>
      <c r="BQ1014" t="str">
        <f>""</f>
        <v/>
      </c>
      <c r="BR1014" t="str">
        <f>"27/07/2018"</f>
        <v>27/07/2018</v>
      </c>
      <c r="BS1014" t="str">
        <f>""</f>
        <v/>
      </c>
      <c r="BT1014" t="str">
        <f>""</f>
        <v/>
      </c>
      <c r="BU1014" t="str">
        <f>""</f>
        <v/>
      </c>
      <c r="BV1014" t="str">
        <f>"9"</f>
        <v>9</v>
      </c>
      <c r="BW1014" t="str">
        <f>"25"</f>
        <v>25</v>
      </c>
    </row>
    <row r="1015" spans="1:75" x14ac:dyDescent="0.35">
      <c r="A1015">
        <v>152760</v>
      </c>
      <c r="B1015" t="str">
        <f t="shared" si="481"/>
        <v>A</v>
      </c>
      <c r="C1015" t="str">
        <f t="shared" si="482"/>
        <v>80</v>
      </c>
      <c r="D1015" t="str">
        <f t="shared" si="509"/>
        <v>11121002</v>
      </c>
      <c r="E1015" t="str">
        <f t="shared" si="510"/>
        <v>121002</v>
      </c>
      <c r="F1015" t="str">
        <f t="shared" si="511"/>
        <v>CINTHIA NORONHA</v>
      </c>
      <c r="G1015" t="str">
        <f>"45230370000153"</f>
        <v>45230370000153</v>
      </c>
      <c r="H1015" t="str">
        <f>"0"</f>
        <v>0</v>
      </c>
      <c r="I1015" t="str">
        <f t="shared" si="483"/>
        <v>CONTA OPTICA</v>
      </c>
      <c r="J1015" t="str">
        <f>"OTICA RIO BRANCO BIGUACU LTDA"</f>
        <v>OTICA RIO BRANCO BIGUACU LTDA</v>
      </c>
      <c r="K1015" t="str">
        <f>"OTICA RIO BRANCO BIGUACU LTDA"</f>
        <v>OTICA RIO BRANCO BIGUACU LTDA</v>
      </c>
      <c r="L1015" t="str">
        <f>""</f>
        <v/>
      </c>
      <c r="M1015" t="str">
        <f>""</f>
        <v/>
      </c>
      <c r="N1015" t="str">
        <f>"laboratorio@oticariobranco.com.br"</f>
        <v>laboratorio@oticariobranco.com.br</v>
      </c>
      <c r="O1015" t="str">
        <f>""</f>
        <v/>
      </c>
      <c r="P1015" t="str">
        <f>"RUA MARCONDES DE MATTOS"</f>
        <v>RUA MARCONDES DE MATTOS</v>
      </c>
      <c r="Q1015" t="str">
        <f>"305"</f>
        <v>305</v>
      </c>
      <c r="R1015" t="str">
        <f>"SALA 01"</f>
        <v>SALA 01</v>
      </c>
      <c r="S1015" t="str">
        <f>"1259"</f>
        <v>1259</v>
      </c>
      <c r="T1015" t="str">
        <f>"88160138"</f>
        <v>88160138</v>
      </c>
      <c r="U1015" t="str">
        <f t="shared" si="508"/>
        <v>CENTRO</v>
      </c>
      <c r="V1015" t="str">
        <f>"BIGUACU"</f>
        <v>BIGUACU</v>
      </c>
      <c r="W1015" t="str">
        <f t="shared" si="504"/>
        <v>SC</v>
      </c>
      <c r="X1015" t="str">
        <f>""</f>
        <v/>
      </c>
      <c r="Y1015" t="str">
        <f>""</f>
        <v/>
      </c>
      <c r="Z1015" t="str">
        <f>""</f>
        <v/>
      </c>
      <c r="AA1015" t="str">
        <f>""</f>
        <v/>
      </c>
      <c r="AB1015" t="str">
        <f>""</f>
        <v/>
      </c>
      <c r="AC1015" t="str">
        <f>""</f>
        <v/>
      </c>
      <c r="AD1015" t="str">
        <f>""</f>
        <v/>
      </c>
      <c r="AE1015" t="str">
        <f>""</f>
        <v/>
      </c>
      <c r="AF1015" t="str">
        <f>""</f>
        <v/>
      </c>
      <c r="AG1015" t="str">
        <f>""</f>
        <v/>
      </c>
      <c r="AH1015" t="str">
        <f>""</f>
        <v/>
      </c>
      <c r="AI1015" t="str">
        <f>""</f>
        <v/>
      </c>
      <c r="AJ1015" t="str">
        <f>""</f>
        <v/>
      </c>
      <c r="AK1015" t="str">
        <f>""</f>
        <v/>
      </c>
      <c r="AL1015" t="str">
        <f>""</f>
        <v/>
      </c>
      <c r="AM1015" t="str">
        <f>""</f>
        <v/>
      </c>
      <c r="AN1015" t="str">
        <f>""</f>
        <v/>
      </c>
      <c r="AO1015" t="str">
        <f>""</f>
        <v/>
      </c>
      <c r="AP1015" t="str">
        <f>""</f>
        <v/>
      </c>
      <c r="AQ1015" t="str">
        <f>""</f>
        <v/>
      </c>
      <c r="AR1015" t="str">
        <f>""</f>
        <v/>
      </c>
      <c r="AS1015" t="str">
        <f>""</f>
        <v/>
      </c>
      <c r="AT1015" t="str">
        <f>""</f>
        <v/>
      </c>
      <c r="AU1015" t="str">
        <f>""</f>
        <v/>
      </c>
      <c r="AV1015" t="str">
        <f>""</f>
        <v/>
      </c>
      <c r="AW1015" t="str">
        <f>""</f>
        <v/>
      </c>
      <c r="AX1015" t="str">
        <f>""</f>
        <v/>
      </c>
      <c r="AY1015" t="str">
        <f>""</f>
        <v/>
      </c>
      <c r="AZ1015" t="str">
        <f>""</f>
        <v/>
      </c>
      <c r="BA1015" t="str">
        <f>""</f>
        <v/>
      </c>
      <c r="BB1015" t="str">
        <f>"03/04/2023 13:34:29"</f>
        <v>03/04/2023 13:34:29</v>
      </c>
      <c r="BC1015" t="str">
        <f>""</f>
        <v/>
      </c>
      <c r="BD1015" t="str">
        <f>""</f>
        <v/>
      </c>
      <c r="BE1015" t="str">
        <f>""</f>
        <v/>
      </c>
      <c r="BF1015" t="str">
        <f t="shared" si="485"/>
        <v>A</v>
      </c>
      <c r="BG1015" t="str">
        <f>""</f>
        <v/>
      </c>
      <c r="BH1015" t="str">
        <f>""</f>
        <v/>
      </c>
      <c r="BI1015" t="str">
        <f t="shared" si="503"/>
        <v>EVENTUAL</v>
      </c>
      <c r="BJ1015" t="str">
        <f t="shared" si="487"/>
        <v>1</v>
      </c>
      <c r="BK1015" t="str">
        <f t="shared" si="488"/>
        <v>Farmacia</v>
      </c>
      <c r="BL1015" t="str">
        <f>""</f>
        <v/>
      </c>
      <c r="BM1015" t="str">
        <f>""</f>
        <v/>
      </c>
      <c r="BN1015" t="str">
        <f>""</f>
        <v/>
      </c>
      <c r="BO1015" t="str">
        <f>""</f>
        <v/>
      </c>
      <c r="BP1015" t="str">
        <f>""</f>
        <v/>
      </c>
      <c r="BQ1015" t="str">
        <f>""</f>
        <v/>
      </c>
      <c r="BR1015" t="str">
        <f>"03/04/2023"</f>
        <v>03/04/2023</v>
      </c>
      <c r="BS1015" t="str">
        <f>""</f>
        <v/>
      </c>
      <c r="BT1015" t="str">
        <f>""</f>
        <v/>
      </c>
      <c r="BU1015" t="str">
        <f>""</f>
        <v/>
      </c>
      <c r="BV1015" t="str">
        <f>""</f>
        <v/>
      </c>
      <c r="BW1015" t="str">
        <f>"Não visitado"</f>
        <v>Não visitado</v>
      </c>
    </row>
    <row r="1016" spans="1:75" x14ac:dyDescent="0.35">
      <c r="A1016">
        <v>292</v>
      </c>
      <c r="B1016" t="str">
        <f t="shared" si="481"/>
        <v>A</v>
      </c>
      <c r="C1016" t="str">
        <f t="shared" si="482"/>
        <v>80</v>
      </c>
      <c r="D1016" t="str">
        <f t="shared" si="509"/>
        <v>11121002</v>
      </c>
      <c r="E1016" t="str">
        <f t="shared" si="510"/>
        <v>121002</v>
      </c>
      <c r="F1016" t="str">
        <f t="shared" si="511"/>
        <v>CINTHIA NORONHA</v>
      </c>
      <c r="G1016" t="str">
        <f>"00451619000112"</f>
        <v>00451619000112</v>
      </c>
      <c r="H1016" t="str">
        <f>""</f>
        <v/>
      </c>
      <c r="I1016" t="str">
        <f t="shared" si="483"/>
        <v>CONTA OPTICA</v>
      </c>
      <c r="J1016" t="str">
        <f>"OTICA RIO BRANCO LTDA"</f>
        <v>OTICA RIO BRANCO LTDA</v>
      </c>
      <c r="K1016" t="str">
        <f>"OTICA RIO BRANCO (819)"</f>
        <v>OTICA RIO BRANCO (819)</v>
      </c>
      <c r="L1016" t="str">
        <f>""</f>
        <v/>
      </c>
      <c r="M1016" t="str">
        <f>""</f>
        <v/>
      </c>
      <c r="N1016" t="str">
        <f>"financeiro@oticariobranco.com.br"</f>
        <v>financeiro@oticariobranco.com.br</v>
      </c>
      <c r="O1016" t="str">
        <f>""</f>
        <v/>
      </c>
      <c r="P1016" t="str">
        <f>"AVENIDA RIO BRANCO"</f>
        <v>AVENIDA RIO BRANCO</v>
      </c>
      <c r="Q1016" t="str">
        <f>"623"</f>
        <v>623</v>
      </c>
      <c r="R1016" t="str">
        <f>""</f>
        <v/>
      </c>
      <c r="S1016" t="str">
        <f>"1255"</f>
        <v>1255</v>
      </c>
      <c r="T1016" t="str">
        <f>"88015210"</f>
        <v>88015210</v>
      </c>
      <c r="U1016" t="str">
        <f t="shared" si="508"/>
        <v>CENTRO</v>
      </c>
      <c r="V1016" t="str">
        <f>"FLORIANÓPOLIS"</f>
        <v>FLORIANÓPOLIS</v>
      </c>
      <c r="W1016" t="str">
        <f t="shared" si="504"/>
        <v>SC</v>
      </c>
      <c r="X1016" t="str">
        <f t="shared" ref="X1016:X1023" si="513">"48"</f>
        <v>48</v>
      </c>
      <c r="Y1016" t="str">
        <f>"30289724"</f>
        <v>30289724</v>
      </c>
      <c r="Z1016" t="str">
        <f>""</f>
        <v/>
      </c>
      <c r="AA1016" t="str">
        <f>""</f>
        <v/>
      </c>
      <c r="AB1016" t="str">
        <f>""</f>
        <v/>
      </c>
      <c r="AC1016" t="str">
        <f>""</f>
        <v/>
      </c>
      <c r="AD1016" t="str">
        <f>""</f>
        <v/>
      </c>
      <c r="AE1016" t="str">
        <f>""</f>
        <v/>
      </c>
      <c r="AF1016" t="str">
        <f>""</f>
        <v/>
      </c>
      <c r="AG1016" t="str">
        <f>""</f>
        <v/>
      </c>
      <c r="AH1016" t="str">
        <f>""</f>
        <v/>
      </c>
      <c r="AI1016" t="str">
        <f>""</f>
        <v/>
      </c>
      <c r="AJ1016" t="str">
        <f>"0"</f>
        <v>0</v>
      </c>
      <c r="AK1016" t="str">
        <f>"0"</f>
        <v>0</v>
      </c>
      <c r="AL1016" t="str">
        <f>"0"</f>
        <v>0</v>
      </c>
      <c r="AM1016" t="str">
        <f>""</f>
        <v/>
      </c>
      <c r="AN1016" t="str">
        <f>""</f>
        <v/>
      </c>
      <c r="AO1016" t="str">
        <f>""</f>
        <v/>
      </c>
      <c r="AP1016" t="str">
        <f>""</f>
        <v/>
      </c>
      <c r="AQ1016" t="str">
        <f>""</f>
        <v/>
      </c>
      <c r="AR1016" t="str">
        <f>""</f>
        <v/>
      </c>
      <c r="AS1016" t="str">
        <f>""</f>
        <v/>
      </c>
      <c r="AT1016" t="str">
        <f>""</f>
        <v/>
      </c>
      <c r="AU1016" t="str">
        <f>""</f>
        <v/>
      </c>
      <c r="AV1016" t="str">
        <f>""</f>
        <v/>
      </c>
      <c r="AW1016" t="str">
        <f>""</f>
        <v/>
      </c>
      <c r="AX1016" t="str">
        <f>""</f>
        <v/>
      </c>
      <c r="AY1016" t="str">
        <f>""</f>
        <v/>
      </c>
      <c r="AZ1016" t="str">
        <f>""</f>
        <v/>
      </c>
      <c r="BA1016" t="str">
        <f>""</f>
        <v/>
      </c>
      <c r="BB1016" t="str">
        <f>"27/07/2018 09:25:37"</f>
        <v>27/07/2018 09:25:37</v>
      </c>
      <c r="BC1016" t="str">
        <f>""</f>
        <v/>
      </c>
      <c r="BD1016" t="str">
        <f>""</f>
        <v/>
      </c>
      <c r="BE1016" t="str">
        <f>"292"</f>
        <v>292</v>
      </c>
      <c r="BF1016" t="str">
        <f t="shared" si="485"/>
        <v>A</v>
      </c>
      <c r="BG1016" t="str">
        <f>"0,00"</f>
        <v>0,00</v>
      </c>
      <c r="BH1016" t="str">
        <f>"0,00"</f>
        <v>0,00</v>
      </c>
      <c r="BI1016" t="str">
        <f t="shared" si="503"/>
        <v>EVENTUAL</v>
      </c>
      <c r="BJ1016" t="str">
        <f t="shared" si="487"/>
        <v>1</v>
      </c>
      <c r="BK1016" t="str">
        <f t="shared" si="488"/>
        <v>Farmacia</v>
      </c>
      <c r="BL1016" t="str">
        <f>""</f>
        <v/>
      </c>
      <c r="BM1016" t="str">
        <f>"VARILUX ESPECIALISTA PLATINE"</f>
        <v>VARILUX ESPECIALISTA PLATINE</v>
      </c>
      <c r="BN1016" t="str">
        <f>"EL360"</f>
        <v>EL360</v>
      </c>
      <c r="BO1016" t="str">
        <f>"FOCO VARILUX DIGITAL"</f>
        <v>FOCO VARILUX DIGITAL</v>
      </c>
      <c r="BP1016" t="str">
        <f>""</f>
        <v/>
      </c>
      <c r="BQ1016" t="str">
        <f>""</f>
        <v/>
      </c>
      <c r="BR1016" t="str">
        <f>"27/07/2018"</f>
        <v>27/07/2018</v>
      </c>
      <c r="BS1016" t="str">
        <f>""</f>
        <v/>
      </c>
      <c r="BT1016" t="str">
        <f>""</f>
        <v/>
      </c>
      <c r="BU1016" t="str">
        <f>""</f>
        <v/>
      </c>
      <c r="BV1016" t="str">
        <f>"1"</f>
        <v>1</v>
      </c>
      <c r="BW1016" t="str">
        <f>"Não visitado"</f>
        <v>Não visitado</v>
      </c>
    </row>
    <row r="1017" spans="1:75" x14ac:dyDescent="0.35">
      <c r="A1017">
        <v>157704</v>
      </c>
      <c r="B1017" t="str">
        <f t="shared" si="481"/>
        <v>A</v>
      </c>
      <c r="C1017" t="str">
        <f t="shared" si="482"/>
        <v>80</v>
      </c>
      <c r="D1017" t="str">
        <f t="shared" si="509"/>
        <v>11121002</v>
      </c>
      <c r="E1017" t="str">
        <f t="shared" si="510"/>
        <v>121002</v>
      </c>
      <c r="F1017" t="str">
        <f t="shared" si="511"/>
        <v>CINTHIA NORONHA</v>
      </c>
      <c r="G1017" t="str">
        <f>"29279582000179"</f>
        <v>29279582000179</v>
      </c>
      <c r="H1017" t="str">
        <f>"0"</f>
        <v>0</v>
      </c>
      <c r="I1017" t="str">
        <f t="shared" si="483"/>
        <v>CONTA OPTICA</v>
      </c>
      <c r="J1017" t="str">
        <f>"OTICA RIO BRANCO MARINE EIRELI - ME"</f>
        <v>OTICA RIO BRANCO MARINE EIRELI - ME</v>
      </c>
      <c r="K1017" t="str">
        <f>"OTICA RIO BRANCO (3870)"</f>
        <v>OTICA RIO BRANCO (3870)</v>
      </c>
      <c r="L1017" t="str">
        <f>""</f>
        <v/>
      </c>
      <c r="M1017" t="str">
        <f>""</f>
        <v/>
      </c>
      <c r="N1017" t="str">
        <f>"ASSISTENCIA@OTICARIOBRANCO.COM.BR"</f>
        <v>ASSISTENCIA@OTICARIOBRANCO.COM.BR</v>
      </c>
      <c r="O1017" t="str">
        <f>""</f>
        <v/>
      </c>
      <c r="P1017" t="str">
        <f>"RUA RIO BRANCO"</f>
        <v>RUA RIO BRANCO</v>
      </c>
      <c r="Q1017" t="str">
        <f>"533"</f>
        <v>533</v>
      </c>
      <c r="R1017" t="str">
        <f>"SUBSOLO"</f>
        <v>SUBSOLO</v>
      </c>
      <c r="S1017" t="str">
        <f>"1255"</f>
        <v>1255</v>
      </c>
      <c r="T1017" t="str">
        <f>"88015203"</f>
        <v>88015203</v>
      </c>
      <c r="U1017" t="str">
        <f t="shared" si="508"/>
        <v>CENTRO</v>
      </c>
      <c r="V1017" t="str">
        <f>"FLORIANOPOLIS"</f>
        <v>FLORIANOPOLIS</v>
      </c>
      <c r="W1017" t="str">
        <f t="shared" si="504"/>
        <v>SC</v>
      </c>
      <c r="X1017" t="str">
        <f t="shared" si="513"/>
        <v>48</v>
      </c>
      <c r="Y1017" t="str">
        <f>"30289524"</f>
        <v>30289524</v>
      </c>
      <c r="Z1017" t="str">
        <f>""</f>
        <v/>
      </c>
      <c r="AA1017" t="str">
        <f>""</f>
        <v/>
      </c>
      <c r="AB1017" t="str">
        <f>""</f>
        <v/>
      </c>
      <c r="AC1017" t="str">
        <f>""</f>
        <v/>
      </c>
      <c r="AD1017" t="str">
        <f>""</f>
        <v/>
      </c>
      <c r="AE1017" t="str">
        <f>""</f>
        <v/>
      </c>
      <c r="AF1017" t="str">
        <f>""</f>
        <v/>
      </c>
      <c r="AG1017" t="str">
        <f>""</f>
        <v/>
      </c>
      <c r="AH1017" t="str">
        <f>""</f>
        <v/>
      </c>
      <c r="AI1017" t="str">
        <f>""</f>
        <v/>
      </c>
      <c r="AJ1017" t="str">
        <f>""</f>
        <v/>
      </c>
      <c r="AK1017" t="str">
        <f>""</f>
        <v/>
      </c>
      <c r="AL1017" t="str">
        <f>""</f>
        <v/>
      </c>
      <c r="AM1017" t="str">
        <f>""</f>
        <v/>
      </c>
      <c r="AN1017" t="str">
        <f>""</f>
        <v/>
      </c>
      <c r="AO1017" t="str">
        <f>""</f>
        <v/>
      </c>
      <c r="AP1017" t="str">
        <f>""</f>
        <v/>
      </c>
      <c r="AQ1017" t="str">
        <f>""</f>
        <v/>
      </c>
      <c r="AR1017" t="str">
        <f>""</f>
        <v/>
      </c>
      <c r="AS1017" t="str">
        <f>""</f>
        <v/>
      </c>
      <c r="AT1017" t="str">
        <f>""</f>
        <v/>
      </c>
      <c r="AU1017" t="str">
        <f>""</f>
        <v/>
      </c>
      <c r="AV1017" t="str">
        <f>""</f>
        <v/>
      </c>
      <c r="AW1017" t="str">
        <f>""</f>
        <v/>
      </c>
      <c r="AX1017" t="str">
        <f>""</f>
        <v/>
      </c>
      <c r="AY1017" t="str">
        <f>""</f>
        <v/>
      </c>
      <c r="AZ1017" t="str">
        <f>""</f>
        <v/>
      </c>
      <c r="BA1017" t="str">
        <f>""</f>
        <v/>
      </c>
      <c r="BB1017" t="str">
        <f>"11/07/2023 02:19:56"</f>
        <v>11/07/2023 02:19:56</v>
      </c>
      <c r="BC1017" t="str">
        <f>""</f>
        <v/>
      </c>
      <c r="BD1017" t="str">
        <f>""</f>
        <v/>
      </c>
      <c r="BE1017" t="str">
        <f>""</f>
        <v/>
      </c>
      <c r="BF1017" t="str">
        <f t="shared" si="485"/>
        <v>A</v>
      </c>
      <c r="BG1017" t="str">
        <f>""</f>
        <v/>
      </c>
      <c r="BH1017" t="str">
        <f>""</f>
        <v/>
      </c>
      <c r="BI1017" t="str">
        <f t="shared" si="503"/>
        <v>EVENTUAL</v>
      </c>
      <c r="BJ1017" t="str">
        <f t="shared" si="487"/>
        <v>1</v>
      </c>
      <c r="BK1017" t="str">
        <f t="shared" si="488"/>
        <v>Farmacia</v>
      </c>
      <c r="BL1017" t="str">
        <f>""</f>
        <v/>
      </c>
      <c r="BM1017" t="str">
        <f>""</f>
        <v/>
      </c>
      <c r="BN1017" t="str">
        <f>""</f>
        <v/>
      </c>
      <c r="BO1017" t="str">
        <f>""</f>
        <v/>
      </c>
      <c r="BP1017" t="str">
        <f>""</f>
        <v/>
      </c>
      <c r="BQ1017" t="str">
        <f>""</f>
        <v/>
      </c>
      <c r="BR1017" t="str">
        <f>"11/07/2023"</f>
        <v>11/07/2023</v>
      </c>
      <c r="BS1017" t="str">
        <f>""</f>
        <v/>
      </c>
      <c r="BT1017" t="str">
        <f>""</f>
        <v/>
      </c>
      <c r="BU1017" t="str">
        <f>""</f>
        <v/>
      </c>
      <c r="BV1017" t="str">
        <f>""</f>
        <v/>
      </c>
      <c r="BW1017" t="str">
        <f>"Não visitado"</f>
        <v>Não visitado</v>
      </c>
    </row>
    <row r="1018" spans="1:75" x14ac:dyDescent="0.35">
      <c r="A1018">
        <v>157731</v>
      </c>
      <c r="B1018" t="str">
        <f t="shared" si="481"/>
        <v>A</v>
      </c>
      <c r="C1018" t="str">
        <f t="shared" si="482"/>
        <v>80</v>
      </c>
      <c r="D1018" t="str">
        <f t="shared" si="509"/>
        <v>11121002</v>
      </c>
      <c r="E1018" t="str">
        <f t="shared" si="510"/>
        <v>121002</v>
      </c>
      <c r="F1018" t="str">
        <f t="shared" si="511"/>
        <v>CINTHIA NORONHA</v>
      </c>
      <c r="G1018" t="str">
        <f>"07915126000135"</f>
        <v>07915126000135</v>
      </c>
      <c r="H1018" t="str">
        <f>"0"</f>
        <v>0</v>
      </c>
      <c r="I1018" t="str">
        <f t="shared" si="483"/>
        <v>CONTA OPTICA</v>
      </c>
      <c r="J1018" t="str">
        <f>"OTICA ROSAN LTDA ME"</f>
        <v>OTICA ROSAN LTDA ME</v>
      </c>
      <c r="K1018" t="str">
        <f>"OTICA ROSAN LTDA ME (883)"</f>
        <v>OTICA ROSAN LTDA ME (883)</v>
      </c>
      <c r="L1018" t="str">
        <f>""</f>
        <v/>
      </c>
      <c r="M1018" t="str">
        <f>""</f>
        <v/>
      </c>
      <c r="N1018" t="str">
        <f>"avaadriano@gmail.com"</f>
        <v>avaadriano@gmail.com</v>
      </c>
      <c r="O1018" t="str">
        <f>""</f>
        <v/>
      </c>
      <c r="P1018" t="str">
        <f>"RUA VEREADOR ARTUR MANOEL MARIANO"</f>
        <v>RUA VEREADOR ARTUR MANOEL MARIANO</v>
      </c>
      <c r="Q1018" t="str">
        <f>"853"</f>
        <v>853</v>
      </c>
      <c r="R1018" t="str">
        <f>"SALA 05"</f>
        <v>SALA 05</v>
      </c>
      <c r="S1018" t="str">
        <f>"1259"</f>
        <v>1259</v>
      </c>
      <c r="T1018" t="str">
        <f>"88106555"</f>
        <v>88106555</v>
      </c>
      <c r="U1018" t="str">
        <f>"FORQUILHINHAS"</f>
        <v>FORQUILHINHAS</v>
      </c>
      <c r="V1018" t="str">
        <f>"SAO JOSE"</f>
        <v>SAO JOSE</v>
      </c>
      <c r="W1018" t="str">
        <f t="shared" si="504"/>
        <v>SC</v>
      </c>
      <c r="X1018" t="str">
        <f t="shared" si="513"/>
        <v>48</v>
      </c>
      <c r="Y1018" t="str">
        <f>"32471030"</f>
        <v>32471030</v>
      </c>
      <c r="Z1018" t="str">
        <f>""</f>
        <v/>
      </c>
      <c r="AA1018" t="str">
        <f>""</f>
        <v/>
      </c>
      <c r="AB1018" t="str">
        <f>""</f>
        <v/>
      </c>
      <c r="AC1018" t="str">
        <f>""</f>
        <v/>
      </c>
      <c r="AD1018" t="str">
        <f>""</f>
        <v/>
      </c>
      <c r="AE1018" t="str">
        <f>""</f>
        <v/>
      </c>
      <c r="AF1018" t="str">
        <f>""</f>
        <v/>
      </c>
      <c r="AG1018" t="str">
        <f>""</f>
        <v/>
      </c>
      <c r="AH1018" t="str">
        <f>""</f>
        <v/>
      </c>
      <c r="AI1018" t="str">
        <f>""</f>
        <v/>
      </c>
      <c r="AJ1018" t="str">
        <f>""</f>
        <v/>
      </c>
      <c r="AK1018" t="str">
        <f>""</f>
        <v/>
      </c>
      <c r="AL1018" t="str">
        <f>""</f>
        <v/>
      </c>
      <c r="AM1018" t="str">
        <f>""</f>
        <v/>
      </c>
      <c r="AN1018" t="str">
        <f>""</f>
        <v/>
      </c>
      <c r="AO1018" t="str">
        <f>""</f>
        <v/>
      </c>
      <c r="AP1018" t="str">
        <f>""</f>
        <v/>
      </c>
      <c r="AQ1018" t="str">
        <f>""</f>
        <v/>
      </c>
      <c r="AR1018" t="str">
        <f>""</f>
        <v/>
      </c>
      <c r="AS1018" t="str">
        <f>""</f>
        <v/>
      </c>
      <c r="AT1018" t="str">
        <f>""</f>
        <v/>
      </c>
      <c r="AU1018" t="str">
        <f>""</f>
        <v/>
      </c>
      <c r="AV1018" t="str">
        <f>""</f>
        <v/>
      </c>
      <c r="AW1018" t="str">
        <f>""</f>
        <v/>
      </c>
      <c r="AX1018" t="str">
        <f>""</f>
        <v/>
      </c>
      <c r="AY1018" t="str">
        <f>""</f>
        <v/>
      </c>
      <c r="AZ1018" t="str">
        <f>""</f>
        <v/>
      </c>
      <c r="BA1018" t="str">
        <f>""</f>
        <v/>
      </c>
      <c r="BB1018" t="str">
        <f>"11/07/2023 02:19:56"</f>
        <v>11/07/2023 02:19:56</v>
      </c>
      <c r="BC1018" t="str">
        <f>""</f>
        <v/>
      </c>
      <c r="BD1018" t="str">
        <f>""</f>
        <v/>
      </c>
      <c r="BE1018" t="str">
        <f>""</f>
        <v/>
      </c>
      <c r="BF1018" t="str">
        <f t="shared" si="485"/>
        <v>A</v>
      </c>
      <c r="BG1018" t="str">
        <f>""</f>
        <v/>
      </c>
      <c r="BH1018" t="str">
        <f>""</f>
        <v/>
      </c>
      <c r="BI1018" t="str">
        <f t="shared" si="503"/>
        <v>EVENTUAL</v>
      </c>
      <c r="BJ1018" t="str">
        <f t="shared" si="487"/>
        <v>1</v>
      </c>
      <c r="BK1018" t="str">
        <f t="shared" si="488"/>
        <v>Farmacia</v>
      </c>
      <c r="BL1018" t="str">
        <f>""</f>
        <v/>
      </c>
      <c r="BM1018" t="str">
        <f>""</f>
        <v/>
      </c>
      <c r="BN1018" t="str">
        <f>""</f>
        <v/>
      </c>
      <c r="BO1018" t="str">
        <f>""</f>
        <v/>
      </c>
      <c r="BP1018" t="str">
        <f>""</f>
        <v/>
      </c>
      <c r="BQ1018" t="str">
        <f>""</f>
        <v/>
      </c>
      <c r="BR1018" t="str">
        <f>"11/07/2023"</f>
        <v>11/07/2023</v>
      </c>
      <c r="BS1018" t="str">
        <f>""</f>
        <v/>
      </c>
      <c r="BT1018" t="str">
        <f>""</f>
        <v/>
      </c>
      <c r="BU1018" t="str">
        <f>""</f>
        <v/>
      </c>
      <c r="BV1018" t="str">
        <f>""</f>
        <v/>
      </c>
      <c r="BW1018" t="str">
        <f>"Não visitado"</f>
        <v>Não visitado</v>
      </c>
    </row>
    <row r="1019" spans="1:75" x14ac:dyDescent="0.35">
      <c r="A1019">
        <v>157702</v>
      </c>
      <c r="B1019" t="str">
        <f t="shared" si="481"/>
        <v>A</v>
      </c>
      <c r="C1019" t="str">
        <f t="shared" si="482"/>
        <v>80</v>
      </c>
      <c r="D1019" t="str">
        <f t="shared" si="509"/>
        <v>11121002</v>
      </c>
      <c r="E1019" t="str">
        <f t="shared" si="510"/>
        <v>121002</v>
      </c>
      <c r="F1019" t="str">
        <f t="shared" si="511"/>
        <v>CINTHIA NORONHA</v>
      </c>
      <c r="G1019" t="str">
        <f>"26857970000100"</f>
        <v>26857970000100</v>
      </c>
      <c r="H1019" t="str">
        <f>"0"</f>
        <v>0</v>
      </c>
      <c r="I1019" t="str">
        <f t="shared" si="483"/>
        <v>CONTA OPTICA</v>
      </c>
      <c r="J1019" t="str">
        <f>"OTICA ROSANE EIRELI"</f>
        <v>OTICA ROSANE EIRELI</v>
      </c>
      <c r="K1019" t="str">
        <f>"OTICA ROSANE  (3929)"</f>
        <v>OTICA ROSANE  (3929)</v>
      </c>
      <c r="L1019" t="str">
        <f>""</f>
        <v/>
      </c>
      <c r="M1019" t="str">
        <f>""</f>
        <v/>
      </c>
      <c r="N1019" t="str">
        <f>"ALEXFLORIPA@YAHOO.COM.BR"</f>
        <v>ALEXFLORIPA@YAHOO.COM.BR</v>
      </c>
      <c r="O1019" t="str">
        <f>""</f>
        <v/>
      </c>
      <c r="P1019" t="str">
        <f>"RUA SC-281"</f>
        <v>RUA SC-281</v>
      </c>
      <c r="Q1019" t="str">
        <f>"#VALUE!"</f>
        <v>#VALUE!</v>
      </c>
      <c r="R1019" t="str">
        <f>"SALA 01"</f>
        <v>SALA 01</v>
      </c>
      <c r="S1019" t="str">
        <f>""</f>
        <v/>
      </c>
      <c r="T1019" t="str">
        <f>"88123001"</f>
        <v>88123001</v>
      </c>
      <c r="U1019" t="str">
        <f>"COLONIA SANTANA"</f>
        <v>COLONIA SANTANA</v>
      </c>
      <c r="V1019" t="str">
        <f>"SAO JOSE"</f>
        <v>SAO JOSE</v>
      </c>
      <c r="W1019" t="str">
        <f t="shared" si="504"/>
        <v>SC</v>
      </c>
      <c r="X1019" t="str">
        <f t="shared" si="513"/>
        <v>48</v>
      </c>
      <c r="Y1019" t="str">
        <f>"32470138"</f>
        <v>32470138</v>
      </c>
      <c r="Z1019" t="str">
        <f>""</f>
        <v/>
      </c>
      <c r="AA1019" t="str">
        <f>""</f>
        <v/>
      </c>
      <c r="AB1019" t="str">
        <f>""</f>
        <v/>
      </c>
      <c r="AC1019" t="str">
        <f>""</f>
        <v/>
      </c>
      <c r="AD1019" t="str">
        <f>""</f>
        <v/>
      </c>
      <c r="AE1019" t="str">
        <f>""</f>
        <v/>
      </c>
      <c r="AF1019" t="str">
        <f>""</f>
        <v/>
      </c>
      <c r="AG1019" t="str">
        <f>""</f>
        <v/>
      </c>
      <c r="AH1019" t="str">
        <f>""</f>
        <v/>
      </c>
      <c r="AI1019" t="str">
        <f>""</f>
        <v/>
      </c>
      <c r="AJ1019" t="str">
        <f>""</f>
        <v/>
      </c>
      <c r="AK1019" t="str">
        <f>""</f>
        <v/>
      </c>
      <c r="AL1019" t="str">
        <f>""</f>
        <v/>
      </c>
      <c r="AM1019" t="str">
        <f>""</f>
        <v/>
      </c>
      <c r="AN1019" t="str">
        <f>""</f>
        <v/>
      </c>
      <c r="AO1019" t="str">
        <f>""</f>
        <v/>
      </c>
      <c r="AP1019" t="str">
        <f>""</f>
        <v/>
      </c>
      <c r="AQ1019" t="str">
        <f>""</f>
        <v/>
      </c>
      <c r="AR1019" t="str">
        <f>""</f>
        <v/>
      </c>
      <c r="AS1019" t="str">
        <f>""</f>
        <v/>
      </c>
      <c r="AT1019" t="str">
        <f>""</f>
        <v/>
      </c>
      <c r="AU1019" t="str">
        <f>""</f>
        <v/>
      </c>
      <c r="AV1019" t="str">
        <f>""</f>
        <v/>
      </c>
      <c r="AW1019" t="str">
        <f>""</f>
        <v/>
      </c>
      <c r="AX1019" t="str">
        <f>""</f>
        <v/>
      </c>
      <c r="AY1019" t="str">
        <f>""</f>
        <v/>
      </c>
      <c r="AZ1019" t="str">
        <f>""</f>
        <v/>
      </c>
      <c r="BA1019" t="str">
        <f>""</f>
        <v/>
      </c>
      <c r="BB1019" t="str">
        <f>"11/07/2023 02:19:56"</f>
        <v>11/07/2023 02:19:56</v>
      </c>
      <c r="BC1019" t="str">
        <f>""</f>
        <v/>
      </c>
      <c r="BD1019" t="str">
        <f>""</f>
        <v/>
      </c>
      <c r="BE1019" t="str">
        <f>""</f>
        <v/>
      </c>
      <c r="BF1019" t="str">
        <f t="shared" si="485"/>
        <v>A</v>
      </c>
      <c r="BG1019" t="str">
        <f>""</f>
        <v/>
      </c>
      <c r="BH1019" t="str">
        <f>""</f>
        <v/>
      </c>
      <c r="BI1019" t="str">
        <f t="shared" si="503"/>
        <v>EVENTUAL</v>
      </c>
      <c r="BJ1019" t="str">
        <f t="shared" si="487"/>
        <v>1</v>
      </c>
      <c r="BK1019" t="str">
        <f t="shared" si="488"/>
        <v>Farmacia</v>
      </c>
      <c r="BL1019" t="str">
        <f>""</f>
        <v/>
      </c>
      <c r="BM1019" t="str">
        <f>""</f>
        <v/>
      </c>
      <c r="BN1019" t="str">
        <f>""</f>
        <v/>
      </c>
      <c r="BO1019" t="str">
        <f>""</f>
        <v/>
      </c>
      <c r="BP1019" t="str">
        <f>""</f>
        <v/>
      </c>
      <c r="BQ1019" t="str">
        <f>""</f>
        <v/>
      </c>
      <c r="BR1019" t="str">
        <f>"11/07/2023"</f>
        <v>11/07/2023</v>
      </c>
      <c r="BS1019" t="str">
        <f>""</f>
        <v/>
      </c>
      <c r="BT1019" t="str">
        <f>""</f>
        <v/>
      </c>
      <c r="BU1019" t="str">
        <f>""</f>
        <v/>
      </c>
      <c r="BV1019" t="str">
        <f>""</f>
        <v/>
      </c>
      <c r="BW1019" t="str">
        <f>"Não visitado"</f>
        <v>Não visitado</v>
      </c>
    </row>
    <row r="1020" spans="1:75" x14ac:dyDescent="0.35">
      <c r="A1020">
        <v>134282</v>
      </c>
      <c r="B1020" t="str">
        <f t="shared" si="481"/>
        <v>A</v>
      </c>
      <c r="C1020" t="str">
        <f t="shared" si="482"/>
        <v>80</v>
      </c>
      <c r="D1020" t="str">
        <f t="shared" si="509"/>
        <v>11121002</v>
      </c>
      <c r="E1020" t="str">
        <f t="shared" si="510"/>
        <v>121002</v>
      </c>
      <c r="F1020" t="str">
        <f t="shared" si="511"/>
        <v>CINTHIA NORONHA</v>
      </c>
      <c r="G1020" t="str">
        <f>"80730476000117"</f>
        <v>80730476000117</v>
      </c>
      <c r="H1020" t="str">
        <f>""</f>
        <v/>
      </c>
      <c r="I1020" t="str">
        <f t="shared" si="483"/>
        <v>CONTA OPTICA</v>
      </c>
      <c r="J1020" t="str">
        <f>"OTICA ROSANGELA LTDA ME"</f>
        <v>OTICA ROSANGELA LTDA ME</v>
      </c>
      <c r="K1020" t="str">
        <f>"OTICA ROSANGELA (348)"</f>
        <v>OTICA ROSANGELA (348)</v>
      </c>
      <c r="L1020" t="str">
        <f>""</f>
        <v/>
      </c>
      <c r="M1020" t="str">
        <f>""</f>
        <v/>
      </c>
      <c r="N1020" t="str">
        <f>"oticarosangela@terra.com.br"</f>
        <v>oticarosangela@terra.com.br</v>
      </c>
      <c r="O1020" t="str">
        <f>""</f>
        <v/>
      </c>
      <c r="P1020" t="str">
        <f>"RUA TRAJANO"</f>
        <v>RUA TRAJANO</v>
      </c>
      <c r="Q1020" t="str">
        <f>"116"</f>
        <v>116</v>
      </c>
      <c r="R1020" t="str">
        <f>""</f>
        <v/>
      </c>
      <c r="S1020" t="str">
        <f>"1254"</f>
        <v>1254</v>
      </c>
      <c r="T1020" t="str">
        <f>"88010010"</f>
        <v>88010010</v>
      </c>
      <c r="U1020" t="str">
        <f>"CENTRO"</f>
        <v>CENTRO</v>
      </c>
      <c r="V1020" t="str">
        <f>"FLORIANÓPOLIS"</f>
        <v>FLORIANÓPOLIS</v>
      </c>
      <c r="W1020" t="str">
        <f t="shared" si="504"/>
        <v>SC</v>
      </c>
      <c r="X1020" t="str">
        <f t="shared" si="513"/>
        <v>48</v>
      </c>
      <c r="Y1020" t="str">
        <f>"32229588"</f>
        <v>32229588</v>
      </c>
      <c r="Z1020" t="str">
        <f>""</f>
        <v/>
      </c>
      <c r="AA1020" t="str">
        <f>""</f>
        <v/>
      </c>
      <c r="AB1020" t="str">
        <f>""</f>
        <v/>
      </c>
      <c r="AC1020" t="str">
        <f>""</f>
        <v/>
      </c>
      <c r="AD1020" t="str">
        <f>""</f>
        <v/>
      </c>
      <c r="AE1020" t="str">
        <f>""</f>
        <v/>
      </c>
      <c r="AF1020" t="str">
        <f>""</f>
        <v/>
      </c>
      <c r="AG1020" t="str">
        <f>"S"</f>
        <v>S</v>
      </c>
      <c r="AH1020" t="str">
        <f>""</f>
        <v/>
      </c>
      <c r="AI1020" t="str">
        <f>""</f>
        <v/>
      </c>
      <c r="AJ1020" t="str">
        <f t="shared" ref="AJ1020:AL1021" si="514">"0"</f>
        <v>0</v>
      </c>
      <c r="AK1020" t="str">
        <f t="shared" si="514"/>
        <v>0</v>
      </c>
      <c r="AL1020" t="str">
        <f t="shared" si="514"/>
        <v>0</v>
      </c>
      <c r="AM1020" t="str">
        <f>""</f>
        <v/>
      </c>
      <c r="AN1020" t="str">
        <f>""</f>
        <v/>
      </c>
      <c r="AO1020" t="str">
        <f>""</f>
        <v/>
      </c>
      <c r="AP1020" t="str">
        <f>""</f>
        <v/>
      </c>
      <c r="AQ1020" t="str">
        <f>"N"</f>
        <v>N</v>
      </c>
      <c r="AR1020" t="str">
        <f>"N"</f>
        <v>N</v>
      </c>
      <c r="AS1020" t="str">
        <f>"N"</f>
        <v>N</v>
      </c>
      <c r="AT1020" t="str">
        <f>"N"</f>
        <v>N</v>
      </c>
      <c r="AU1020" t="str">
        <f>"N"</f>
        <v>N</v>
      </c>
      <c r="AV1020" t="str">
        <f>""</f>
        <v/>
      </c>
      <c r="AW1020" t="str">
        <f>""</f>
        <v/>
      </c>
      <c r="AX1020" t="str">
        <f>""</f>
        <v/>
      </c>
      <c r="AY1020" t="str">
        <f>""</f>
        <v/>
      </c>
      <c r="AZ1020" t="str">
        <f>""</f>
        <v/>
      </c>
      <c r="BA1020" t="str">
        <f>""</f>
        <v/>
      </c>
      <c r="BB1020" t="str">
        <f>""</f>
        <v/>
      </c>
      <c r="BC1020" t="str">
        <f>"11/04/2022 10:28:00"</f>
        <v>11/04/2022 10:28:00</v>
      </c>
      <c r="BD1020" t="str">
        <f>""</f>
        <v/>
      </c>
      <c r="BE1020" t="str">
        <f>""</f>
        <v/>
      </c>
      <c r="BF1020" t="str">
        <f t="shared" si="485"/>
        <v>A</v>
      </c>
      <c r="BG1020" t="str">
        <f>"0,00"</f>
        <v>0,00</v>
      </c>
      <c r="BH1020" t="str">
        <f>"0,00"</f>
        <v>0,00</v>
      </c>
      <c r="BI1020" t="str">
        <f t="shared" si="503"/>
        <v>EVENTUAL</v>
      </c>
      <c r="BJ1020" t="str">
        <f t="shared" si="487"/>
        <v>1</v>
      </c>
      <c r="BK1020" t="str">
        <f t="shared" si="488"/>
        <v>Farmacia</v>
      </c>
      <c r="BL1020" t="str">
        <f>""</f>
        <v/>
      </c>
      <c r="BM1020" t="str">
        <f>"NÃO É VARILUX ESPECIALISTA"</f>
        <v>NÃO É VARILUX ESPECIALISTA</v>
      </c>
      <c r="BN1020" t="str">
        <f>"NA"</f>
        <v>NA</v>
      </c>
      <c r="BO1020" t="str">
        <f>"FOCO KODAK 1"</f>
        <v>FOCO KODAK 1</v>
      </c>
      <c r="BP1020" t="str">
        <f>""</f>
        <v/>
      </c>
      <c r="BQ1020" t="str">
        <f>""</f>
        <v/>
      </c>
      <c r="BR1020" t="str">
        <f>""</f>
        <v/>
      </c>
      <c r="BS1020" t="str">
        <f>"11/04/2022"</f>
        <v>11/04/2022</v>
      </c>
      <c r="BT1020" t="str">
        <f>""</f>
        <v/>
      </c>
      <c r="BU1020" t="str">
        <f>""</f>
        <v/>
      </c>
      <c r="BV1020" t="str">
        <f>"6"</f>
        <v>6</v>
      </c>
      <c r="BW1020" t="str">
        <f>"7"</f>
        <v>7</v>
      </c>
    </row>
    <row r="1021" spans="1:75" x14ac:dyDescent="0.35">
      <c r="A1021">
        <v>127486</v>
      </c>
      <c r="B1021" t="str">
        <f t="shared" si="481"/>
        <v>A</v>
      </c>
      <c r="C1021" t="str">
        <f t="shared" si="482"/>
        <v>80</v>
      </c>
      <c r="D1021" t="str">
        <f t="shared" si="509"/>
        <v>11121002</v>
      </c>
      <c r="E1021" t="str">
        <f t="shared" si="510"/>
        <v>121002</v>
      </c>
      <c r="F1021" t="str">
        <f t="shared" si="511"/>
        <v>CINTHIA NORONHA</v>
      </c>
      <c r="G1021" t="str">
        <f>"04505264000158"</f>
        <v>04505264000158</v>
      </c>
      <c r="H1021" t="str">
        <f>"0"</f>
        <v>0</v>
      </c>
      <c r="I1021" t="str">
        <f t="shared" si="483"/>
        <v>CONTA OPTICA</v>
      </c>
      <c r="J1021" t="str">
        <f>"OTICA SANTA CLARA LTDA"</f>
        <v>OTICA SANTA CLARA LTDA</v>
      </c>
      <c r="K1021" t="str">
        <f>"OTICA SANTA CLARA (1295)"</f>
        <v>OTICA SANTA CLARA (1295)</v>
      </c>
      <c r="L1021" t="str">
        <f>""</f>
        <v/>
      </c>
      <c r="M1021" t="str">
        <f>""</f>
        <v/>
      </c>
      <c r="N1021" t="str">
        <f>"oticas_santaclara@hotmail.com"</f>
        <v>oticas_santaclara@hotmail.com</v>
      </c>
      <c r="O1021" t="str">
        <f>""</f>
        <v/>
      </c>
      <c r="P1021" t="str">
        <f>"AVENIDA HERCILIO LUZ"</f>
        <v>AVENIDA HERCILIO LUZ</v>
      </c>
      <c r="Q1021" t="str">
        <f>"647"</f>
        <v>647</v>
      </c>
      <c r="R1021" t="str">
        <f>"LJ. 01"</f>
        <v>LJ. 01</v>
      </c>
      <c r="S1021" t="str">
        <f>"1256"</f>
        <v>1256</v>
      </c>
      <c r="T1021" t="str">
        <f>"88020000"</f>
        <v>88020000</v>
      </c>
      <c r="U1021" t="str">
        <f>"CENTRO"</f>
        <v>CENTRO</v>
      </c>
      <c r="V1021" t="str">
        <f>"FLORIANÓPOLIS"</f>
        <v>FLORIANÓPOLIS</v>
      </c>
      <c r="W1021" t="str">
        <f t="shared" si="504"/>
        <v>SC</v>
      </c>
      <c r="X1021" t="str">
        <f t="shared" si="513"/>
        <v>48</v>
      </c>
      <c r="Y1021" t="str">
        <f>"32229602"</f>
        <v>32229602</v>
      </c>
      <c r="Z1021" t="str">
        <f>""</f>
        <v/>
      </c>
      <c r="AA1021" t="str">
        <f>""</f>
        <v/>
      </c>
      <c r="AB1021" t="str">
        <f>""</f>
        <v/>
      </c>
      <c r="AC1021" t="str">
        <f>""</f>
        <v/>
      </c>
      <c r="AD1021" t="str">
        <f>""</f>
        <v/>
      </c>
      <c r="AE1021" t="str">
        <f>""</f>
        <v/>
      </c>
      <c r="AF1021" t="str">
        <f>""</f>
        <v/>
      </c>
      <c r="AG1021" t="str">
        <f>""</f>
        <v/>
      </c>
      <c r="AH1021" t="str">
        <f>""</f>
        <v/>
      </c>
      <c r="AI1021" t="str">
        <f>""</f>
        <v/>
      </c>
      <c r="AJ1021" t="str">
        <f t="shared" si="514"/>
        <v>0</v>
      </c>
      <c r="AK1021" t="str">
        <f t="shared" si="514"/>
        <v>0</v>
      </c>
      <c r="AL1021" t="str">
        <f t="shared" si="514"/>
        <v>0</v>
      </c>
      <c r="AM1021" t="str">
        <f>""</f>
        <v/>
      </c>
      <c r="AN1021" t="str">
        <f>""</f>
        <v/>
      </c>
      <c r="AO1021" t="str">
        <f>""</f>
        <v/>
      </c>
      <c r="AP1021" t="str">
        <f>""</f>
        <v/>
      </c>
      <c r="AQ1021" t="str">
        <f>""</f>
        <v/>
      </c>
      <c r="AR1021" t="str">
        <f>""</f>
        <v/>
      </c>
      <c r="AS1021" t="str">
        <f>""</f>
        <v/>
      </c>
      <c r="AT1021" t="str">
        <f>""</f>
        <v/>
      </c>
      <c r="AU1021" t="str">
        <f>""</f>
        <v/>
      </c>
      <c r="AV1021" t="str">
        <f>""</f>
        <v/>
      </c>
      <c r="AW1021" t="str">
        <f>""</f>
        <v/>
      </c>
      <c r="AX1021" t="str">
        <f>""</f>
        <v/>
      </c>
      <c r="AY1021" t="str">
        <f>""</f>
        <v/>
      </c>
      <c r="AZ1021" t="str">
        <f>""</f>
        <v/>
      </c>
      <c r="BA1021" t="str">
        <f>""</f>
        <v/>
      </c>
      <c r="BB1021" t="str">
        <f>"07/10/2020 09:08:38"</f>
        <v>07/10/2020 09:08:38</v>
      </c>
      <c r="BC1021" t="str">
        <f>""</f>
        <v/>
      </c>
      <c r="BD1021" t="str">
        <f>""</f>
        <v/>
      </c>
      <c r="BE1021" t="str">
        <f>""</f>
        <v/>
      </c>
      <c r="BF1021" t="str">
        <f t="shared" si="485"/>
        <v>A</v>
      </c>
      <c r="BG1021" t="str">
        <f>"0,00"</f>
        <v>0,00</v>
      </c>
      <c r="BH1021" t="str">
        <f>"0,00"</f>
        <v>0,00</v>
      </c>
      <c r="BI1021" t="str">
        <f t="shared" si="503"/>
        <v>EVENTUAL</v>
      </c>
      <c r="BJ1021" t="str">
        <f t="shared" si="487"/>
        <v>1</v>
      </c>
      <c r="BK1021" t="str">
        <f t="shared" si="488"/>
        <v>Farmacia</v>
      </c>
      <c r="BL1021" t="str">
        <f>""</f>
        <v/>
      </c>
      <c r="BM1021" t="str">
        <f>"NÃO É VARILUX ESPECIALISTA"</f>
        <v>NÃO É VARILUX ESPECIALISTA</v>
      </c>
      <c r="BN1021" t="str">
        <f>"NA"</f>
        <v>NA</v>
      </c>
      <c r="BO1021" t="str">
        <f>"FOCO VARILUX"</f>
        <v>FOCO VARILUX</v>
      </c>
      <c r="BP1021" t="str">
        <f>""</f>
        <v/>
      </c>
      <c r="BQ1021" t="str">
        <f>""</f>
        <v/>
      </c>
      <c r="BR1021" t="str">
        <f>"07/10/2020"</f>
        <v>07/10/2020</v>
      </c>
      <c r="BS1021" t="str">
        <f>""</f>
        <v/>
      </c>
      <c r="BT1021" t="str">
        <f>""</f>
        <v/>
      </c>
      <c r="BU1021" t="str">
        <f>""</f>
        <v/>
      </c>
      <c r="BV1021" t="str">
        <f>"9"</f>
        <v>9</v>
      </c>
      <c r="BW1021" t="str">
        <f>"Não visitado"</f>
        <v>Não visitado</v>
      </c>
    </row>
    <row r="1022" spans="1:75" x14ac:dyDescent="0.35">
      <c r="A1022">
        <v>134334</v>
      </c>
      <c r="B1022" t="str">
        <f t="shared" si="481"/>
        <v>A</v>
      </c>
      <c r="C1022" t="str">
        <f t="shared" si="482"/>
        <v>80</v>
      </c>
      <c r="D1022" t="str">
        <f t="shared" si="509"/>
        <v>11121002</v>
      </c>
      <c r="E1022" t="str">
        <f t="shared" si="510"/>
        <v>121002</v>
      </c>
      <c r="F1022" t="str">
        <f t="shared" si="511"/>
        <v>CINTHIA NORONHA</v>
      </c>
      <c r="G1022" t="str">
        <f>"76832658000202"</f>
        <v>76832658000202</v>
      </c>
      <c r="H1022" t="str">
        <f>""</f>
        <v/>
      </c>
      <c r="I1022" t="str">
        <f t="shared" si="483"/>
        <v>CONTA OPTICA</v>
      </c>
      <c r="J1022" t="str">
        <f>"OTICA SANTA LUZIA LTDA"</f>
        <v>OTICA SANTA LUZIA LTDA</v>
      </c>
      <c r="K1022" t="str">
        <f>"SANTA LUZIA - COMASA (350)"</f>
        <v>SANTA LUZIA - COMASA (350)</v>
      </c>
      <c r="L1022" t="str">
        <f>""</f>
        <v/>
      </c>
      <c r="M1022" t="str">
        <f>""</f>
        <v/>
      </c>
      <c r="N1022" t="str">
        <f>"santaluzia02otica@hotmail.com"</f>
        <v>santaluzia02otica@hotmail.com</v>
      </c>
      <c r="O1022" t="str">
        <f>""</f>
        <v/>
      </c>
      <c r="P1022" t="str">
        <f>"RUA FELIPE SCHMIDT"</f>
        <v>RUA FELIPE SCHMIDT</v>
      </c>
      <c r="Q1022" t="str">
        <f>"390"</f>
        <v>390</v>
      </c>
      <c r="R1022" t="str">
        <f>"COMASA - LJ. 02"</f>
        <v>COMASA - LJ. 02</v>
      </c>
      <c r="S1022" t="str">
        <f>"1254"</f>
        <v>1254</v>
      </c>
      <c r="T1022" t="str">
        <f>"88010000"</f>
        <v>88010000</v>
      </c>
      <c r="U1022" t="str">
        <f>"CENTRO"</f>
        <v>CENTRO</v>
      </c>
      <c r="V1022" t="str">
        <f>"FLORIANÓPOLIS"</f>
        <v>FLORIANÓPOLIS</v>
      </c>
      <c r="W1022" t="str">
        <f t="shared" si="504"/>
        <v>SC</v>
      </c>
      <c r="X1022" t="str">
        <f t="shared" si="513"/>
        <v>48</v>
      </c>
      <c r="Y1022" t="str">
        <f>"32241879"</f>
        <v>32241879</v>
      </c>
      <c r="Z1022" t="str">
        <f>""</f>
        <v/>
      </c>
      <c r="AA1022" t="str">
        <f>""</f>
        <v/>
      </c>
      <c r="AB1022" t="str">
        <f>""</f>
        <v/>
      </c>
      <c r="AC1022" t="str">
        <f>""</f>
        <v/>
      </c>
      <c r="AD1022" t="str">
        <f>""</f>
        <v/>
      </c>
      <c r="AE1022" t="str">
        <f>""</f>
        <v/>
      </c>
      <c r="AF1022" t="str">
        <f>""</f>
        <v/>
      </c>
      <c r="AG1022" t="str">
        <f>"S"</f>
        <v>S</v>
      </c>
      <c r="AH1022" t="str">
        <f>""</f>
        <v/>
      </c>
      <c r="AI1022" t="str">
        <f>""</f>
        <v/>
      </c>
      <c r="AJ1022" t="str">
        <f>""</f>
        <v/>
      </c>
      <c r="AK1022" t="str">
        <f>""</f>
        <v/>
      </c>
      <c r="AL1022" t="str">
        <f>""</f>
        <v/>
      </c>
      <c r="AM1022" t="str">
        <f>""</f>
        <v/>
      </c>
      <c r="AN1022" t="str">
        <f>""</f>
        <v/>
      </c>
      <c r="AO1022" t="str">
        <f>""</f>
        <v/>
      </c>
      <c r="AP1022" t="str">
        <f>""</f>
        <v/>
      </c>
      <c r="AQ1022" t="str">
        <f>"N"</f>
        <v>N</v>
      </c>
      <c r="AR1022" t="str">
        <f>"N"</f>
        <v>N</v>
      </c>
      <c r="AS1022" t="str">
        <f>"N"</f>
        <v>N</v>
      </c>
      <c r="AT1022" t="str">
        <f>"N"</f>
        <v>N</v>
      </c>
      <c r="AU1022" t="str">
        <f>"N"</f>
        <v>N</v>
      </c>
      <c r="AV1022" t="str">
        <f>""</f>
        <v/>
      </c>
      <c r="AW1022" t="str">
        <f>""</f>
        <v/>
      </c>
      <c r="AX1022" t="str">
        <f>""</f>
        <v/>
      </c>
      <c r="AY1022" t="str">
        <f>""</f>
        <v/>
      </c>
      <c r="AZ1022" t="str">
        <f>""</f>
        <v/>
      </c>
      <c r="BA1022" t="str">
        <f>""</f>
        <v/>
      </c>
      <c r="BB1022" t="str">
        <f>""</f>
        <v/>
      </c>
      <c r="BC1022" t="str">
        <f>"16/02/2022 10:27:50"</f>
        <v>16/02/2022 10:27:50</v>
      </c>
      <c r="BD1022" t="str">
        <f>""</f>
        <v/>
      </c>
      <c r="BE1022" t="str">
        <f>""</f>
        <v/>
      </c>
      <c r="BF1022" t="str">
        <f t="shared" si="485"/>
        <v>A</v>
      </c>
      <c r="BG1022" t="str">
        <f>""</f>
        <v/>
      </c>
      <c r="BH1022" t="str">
        <f>"0,00"</f>
        <v>0,00</v>
      </c>
      <c r="BI1022" t="str">
        <f t="shared" si="503"/>
        <v>EVENTUAL</v>
      </c>
      <c r="BJ1022" t="str">
        <f t="shared" si="487"/>
        <v>1</v>
      </c>
      <c r="BK1022" t="str">
        <f t="shared" si="488"/>
        <v>Farmacia</v>
      </c>
      <c r="BL1022" t="str">
        <f>""</f>
        <v/>
      </c>
      <c r="BM1022" t="str">
        <f>"NÃO É VARILUX ESPECIALISTA"</f>
        <v>NÃO É VARILUX ESPECIALISTA</v>
      </c>
      <c r="BN1022" t="str">
        <f>"NA"</f>
        <v>NA</v>
      </c>
      <c r="BO1022" t="str">
        <f>"FOCO VARILUX DIGITAL"</f>
        <v>FOCO VARILUX DIGITAL</v>
      </c>
      <c r="BP1022" t="str">
        <f>""</f>
        <v/>
      </c>
      <c r="BQ1022" t="str">
        <f>""</f>
        <v/>
      </c>
      <c r="BR1022" t="str">
        <f>""</f>
        <v/>
      </c>
      <c r="BS1022" t="str">
        <f>"16/02/2022"</f>
        <v>16/02/2022</v>
      </c>
      <c r="BT1022" t="str">
        <f>""</f>
        <v/>
      </c>
      <c r="BU1022" t="str">
        <f>""</f>
        <v/>
      </c>
      <c r="BV1022" t="str">
        <f>"9"</f>
        <v>9</v>
      </c>
      <c r="BW1022" t="str">
        <f>"112"</f>
        <v>112</v>
      </c>
    </row>
    <row r="1023" spans="1:75" x14ac:dyDescent="0.35">
      <c r="A1023">
        <v>134335</v>
      </c>
      <c r="B1023" t="str">
        <f t="shared" si="481"/>
        <v>A</v>
      </c>
      <c r="C1023" t="str">
        <f t="shared" si="482"/>
        <v>80</v>
      </c>
      <c r="D1023" t="str">
        <f t="shared" si="509"/>
        <v>11121002</v>
      </c>
      <c r="E1023" t="str">
        <f t="shared" si="510"/>
        <v>121002</v>
      </c>
      <c r="F1023" t="str">
        <f t="shared" si="511"/>
        <v>CINTHIA NORONHA</v>
      </c>
      <c r="G1023" t="str">
        <f>"76832658000121"</f>
        <v>76832658000121</v>
      </c>
      <c r="H1023" t="str">
        <f>""</f>
        <v/>
      </c>
      <c r="I1023" t="str">
        <f t="shared" si="483"/>
        <v>CONTA OPTICA</v>
      </c>
      <c r="J1023" t="str">
        <f>"OTICA SANTA LUZIA LTDA"</f>
        <v>OTICA SANTA LUZIA LTDA</v>
      </c>
      <c r="K1023" t="str">
        <f>"SANTA LUZIA MATRIZ (349)"</f>
        <v>SANTA LUZIA MATRIZ (349)</v>
      </c>
      <c r="L1023" t="str">
        <f>""</f>
        <v/>
      </c>
      <c r="M1023" t="str">
        <f>""</f>
        <v/>
      </c>
      <c r="N1023" t="str">
        <f>"osljaqueline@hotmail.com"</f>
        <v>osljaqueline@hotmail.com</v>
      </c>
      <c r="O1023" t="str">
        <f>""</f>
        <v/>
      </c>
      <c r="P1023" t="str">
        <f>"RUA FELIPE SCHMIDT"</f>
        <v>RUA FELIPE SCHMIDT</v>
      </c>
      <c r="Q1023" t="str">
        <f>"413"</f>
        <v>413</v>
      </c>
      <c r="R1023" t="str">
        <f>"LOJA 07"</f>
        <v>LOJA 07</v>
      </c>
      <c r="S1023" t="str">
        <f>"1254"</f>
        <v>1254</v>
      </c>
      <c r="T1023" t="str">
        <f>"88010000"</f>
        <v>88010000</v>
      </c>
      <c r="U1023" t="str">
        <f>"CENTRO"</f>
        <v>CENTRO</v>
      </c>
      <c r="V1023" t="str">
        <f>"FLORIANOPOLIS"</f>
        <v>FLORIANOPOLIS</v>
      </c>
      <c r="W1023" t="str">
        <f t="shared" si="504"/>
        <v>SC</v>
      </c>
      <c r="X1023" t="str">
        <f t="shared" si="513"/>
        <v>48</v>
      </c>
      <c r="Y1023" t="str">
        <f>"32223490"</f>
        <v>32223490</v>
      </c>
      <c r="Z1023" t="str">
        <f>""</f>
        <v/>
      </c>
      <c r="AA1023" t="str">
        <f>""</f>
        <v/>
      </c>
      <c r="AB1023" t="str">
        <f>""</f>
        <v/>
      </c>
      <c r="AC1023" t="str">
        <f>""</f>
        <v/>
      </c>
      <c r="AD1023" t="str">
        <f>""</f>
        <v/>
      </c>
      <c r="AE1023" t="str">
        <f>""</f>
        <v/>
      </c>
      <c r="AF1023" t="str">
        <f>""</f>
        <v/>
      </c>
      <c r="AG1023" t="str">
        <f>""</f>
        <v/>
      </c>
      <c r="AH1023" t="str">
        <f>""</f>
        <v/>
      </c>
      <c r="AI1023" t="str">
        <f>""</f>
        <v/>
      </c>
      <c r="AJ1023" t="str">
        <f>""</f>
        <v/>
      </c>
      <c r="AK1023" t="str">
        <f>""</f>
        <v/>
      </c>
      <c r="AL1023" t="str">
        <f>""</f>
        <v/>
      </c>
      <c r="AM1023" t="str">
        <f>""</f>
        <v/>
      </c>
      <c r="AN1023" t="str">
        <f>""</f>
        <v/>
      </c>
      <c r="AO1023" t="str">
        <f>""</f>
        <v/>
      </c>
      <c r="AP1023" t="str">
        <f>""</f>
        <v/>
      </c>
      <c r="AQ1023" t="str">
        <f>""</f>
        <v/>
      </c>
      <c r="AR1023" t="str">
        <f>""</f>
        <v/>
      </c>
      <c r="AS1023" t="str">
        <f>""</f>
        <v/>
      </c>
      <c r="AT1023" t="str">
        <f>""</f>
        <v/>
      </c>
      <c r="AU1023" t="str">
        <f>""</f>
        <v/>
      </c>
      <c r="AV1023" t="str">
        <f>""</f>
        <v/>
      </c>
      <c r="AW1023" t="str">
        <f>""</f>
        <v/>
      </c>
      <c r="AX1023" t="str">
        <f>""</f>
        <v/>
      </c>
      <c r="AY1023" t="str">
        <f>""</f>
        <v/>
      </c>
      <c r="AZ1023" t="str">
        <f>""</f>
        <v/>
      </c>
      <c r="BA1023" t="str">
        <f>""</f>
        <v/>
      </c>
      <c r="BB1023" t="str">
        <f>""</f>
        <v/>
      </c>
      <c r="BC1023" t="str">
        <f>""</f>
        <v/>
      </c>
      <c r="BD1023" t="str">
        <f>""</f>
        <v/>
      </c>
      <c r="BE1023" t="str">
        <f>""</f>
        <v/>
      </c>
      <c r="BF1023" t="str">
        <f t="shared" si="485"/>
        <v>A</v>
      </c>
      <c r="BG1023" t="str">
        <f>""</f>
        <v/>
      </c>
      <c r="BH1023" t="str">
        <f>""</f>
        <v/>
      </c>
      <c r="BI1023" t="str">
        <f t="shared" si="503"/>
        <v>EVENTUAL</v>
      </c>
      <c r="BJ1023" t="str">
        <f t="shared" si="487"/>
        <v>1</v>
      </c>
      <c r="BK1023" t="str">
        <f t="shared" si="488"/>
        <v>Farmacia</v>
      </c>
      <c r="BL1023" t="str">
        <f>""</f>
        <v/>
      </c>
      <c r="BM1023" t="str">
        <f>"NÃO É VARILUX ESPECIALISTA"</f>
        <v>NÃO É VARILUX ESPECIALISTA</v>
      </c>
      <c r="BN1023" t="str">
        <f>"NA"</f>
        <v>NA</v>
      </c>
      <c r="BO1023" t="str">
        <f>"OUTROS"</f>
        <v>OUTROS</v>
      </c>
      <c r="BP1023" t="str">
        <f>""</f>
        <v/>
      </c>
      <c r="BQ1023" t="str">
        <f>""</f>
        <v/>
      </c>
      <c r="BR1023" t="str">
        <f>""</f>
        <v/>
      </c>
      <c r="BS1023" t="str">
        <f>""</f>
        <v/>
      </c>
      <c r="BT1023" t="str">
        <f>""</f>
        <v/>
      </c>
      <c r="BU1023" t="str">
        <f>""</f>
        <v/>
      </c>
      <c r="BV1023" t="str">
        <f>"9"</f>
        <v>9</v>
      </c>
      <c r="BW1023" t="str">
        <f>"865"</f>
        <v>865</v>
      </c>
    </row>
    <row r="1024" spans="1:75" x14ac:dyDescent="0.35">
      <c r="A1024">
        <v>156863</v>
      </c>
      <c r="B1024" t="str">
        <f t="shared" si="481"/>
        <v>A</v>
      </c>
      <c r="C1024" t="str">
        <f t="shared" si="482"/>
        <v>80</v>
      </c>
      <c r="D1024" t="str">
        <f t="shared" si="509"/>
        <v>11121002</v>
      </c>
      <c r="E1024" t="str">
        <f t="shared" si="510"/>
        <v>121002</v>
      </c>
      <c r="F1024" t="str">
        <f t="shared" si="511"/>
        <v>CINTHIA NORONHA</v>
      </c>
      <c r="G1024" t="str">
        <f>"42953470000209"</f>
        <v>42953470000209</v>
      </c>
      <c r="H1024" t="str">
        <f>"0"</f>
        <v>0</v>
      </c>
      <c r="I1024" t="str">
        <f t="shared" si="483"/>
        <v>CONTA OPTICA</v>
      </c>
      <c r="J1024" t="str">
        <f>"OTICA SANTO LUXO SERRANA LTDA"</f>
        <v>OTICA SANTO LUXO SERRANA LTDA</v>
      </c>
      <c r="K1024" t="str">
        <f>"OTICA SANTO LUXO SERRANA (4620)"</f>
        <v>OTICA SANTO LUXO SERRANA (4620)</v>
      </c>
      <c r="L1024" t="str">
        <f>""</f>
        <v/>
      </c>
      <c r="M1024" t="str">
        <f>""</f>
        <v/>
      </c>
      <c r="N1024" t="str">
        <f>"FINANCEIRO.LOJASSERRANAS@GMAIL.COM"</f>
        <v>FINANCEIRO.LOJASSERRANAS@GMAIL.COM</v>
      </c>
      <c r="O1024" t="str">
        <f>""</f>
        <v/>
      </c>
      <c r="P1024" t="str">
        <f>"RUA HERCILIO LUZ"</f>
        <v>RUA HERCILIO LUZ</v>
      </c>
      <c r="Q1024" t="str">
        <f>"454"</f>
        <v>454</v>
      </c>
      <c r="R1024" t="str">
        <f>""</f>
        <v/>
      </c>
      <c r="S1024" t="str">
        <f>""</f>
        <v/>
      </c>
      <c r="T1024" t="str">
        <f>"88201010"</f>
        <v>88201010</v>
      </c>
      <c r="U1024" t="str">
        <f>"CENTRO"</f>
        <v>CENTRO</v>
      </c>
      <c r="V1024" t="str">
        <f>"LAGES"</f>
        <v>LAGES</v>
      </c>
      <c r="W1024" t="str">
        <f t="shared" si="504"/>
        <v>SC</v>
      </c>
      <c r="X1024" t="str">
        <f>"49"</f>
        <v>49</v>
      </c>
      <c r="Y1024" t="str">
        <f>"30344395"</f>
        <v>30344395</v>
      </c>
      <c r="Z1024" t="str">
        <f>""</f>
        <v/>
      </c>
      <c r="AA1024" t="str">
        <f>""</f>
        <v/>
      </c>
      <c r="AB1024" t="str">
        <f>""</f>
        <v/>
      </c>
      <c r="AC1024" t="str">
        <f>""</f>
        <v/>
      </c>
      <c r="AD1024" t="str">
        <f>""</f>
        <v/>
      </c>
      <c r="AE1024" t="str">
        <f>""</f>
        <v/>
      </c>
      <c r="AF1024" t="str">
        <f>""</f>
        <v/>
      </c>
      <c r="AG1024" t="str">
        <f>""</f>
        <v/>
      </c>
      <c r="AH1024" t="str">
        <f>""</f>
        <v/>
      </c>
      <c r="AI1024" t="str">
        <f>""</f>
        <v/>
      </c>
      <c r="AJ1024" t="str">
        <f>""</f>
        <v/>
      </c>
      <c r="AK1024" t="str">
        <f>""</f>
        <v/>
      </c>
      <c r="AL1024" t="str">
        <f>""</f>
        <v/>
      </c>
      <c r="AM1024" t="str">
        <f>""</f>
        <v/>
      </c>
      <c r="AN1024" t="str">
        <f>""</f>
        <v/>
      </c>
      <c r="AO1024" t="str">
        <f>""</f>
        <v/>
      </c>
      <c r="AP1024" t="str">
        <f>""</f>
        <v/>
      </c>
      <c r="AQ1024" t="str">
        <f>""</f>
        <v/>
      </c>
      <c r="AR1024" t="str">
        <f>""</f>
        <v/>
      </c>
      <c r="AS1024" t="str">
        <f>""</f>
        <v/>
      </c>
      <c r="AT1024" t="str">
        <f>""</f>
        <v/>
      </c>
      <c r="AU1024" t="str">
        <f>""</f>
        <v/>
      </c>
      <c r="AV1024" t="str">
        <f>""</f>
        <v/>
      </c>
      <c r="AW1024" t="str">
        <f>""</f>
        <v/>
      </c>
      <c r="AX1024" t="str">
        <f>""</f>
        <v/>
      </c>
      <c r="AY1024" t="str">
        <f>""</f>
        <v/>
      </c>
      <c r="AZ1024" t="str">
        <f>""</f>
        <v/>
      </c>
      <c r="BA1024" t="str">
        <f>""</f>
        <v/>
      </c>
      <c r="BB1024" t="str">
        <f>"06/07/2023 12:07:48"</f>
        <v>06/07/2023 12:07:48</v>
      </c>
      <c r="BC1024" t="str">
        <f>""</f>
        <v/>
      </c>
      <c r="BD1024" t="str">
        <f>""</f>
        <v/>
      </c>
      <c r="BE1024" t="str">
        <f>""</f>
        <v/>
      </c>
      <c r="BF1024" t="str">
        <f t="shared" si="485"/>
        <v>A</v>
      </c>
      <c r="BG1024" t="str">
        <f>""</f>
        <v/>
      </c>
      <c r="BH1024" t="str">
        <f>""</f>
        <v/>
      </c>
      <c r="BI1024" t="str">
        <f t="shared" si="503"/>
        <v>EVENTUAL</v>
      </c>
      <c r="BJ1024" t="str">
        <f t="shared" si="487"/>
        <v>1</v>
      </c>
      <c r="BK1024" t="str">
        <f t="shared" si="488"/>
        <v>Farmacia</v>
      </c>
      <c r="BL1024" t="str">
        <f>""</f>
        <v/>
      </c>
      <c r="BM1024" t="str">
        <f>""</f>
        <v/>
      </c>
      <c r="BN1024" t="str">
        <f>""</f>
        <v/>
      </c>
      <c r="BO1024" t="str">
        <f>""</f>
        <v/>
      </c>
      <c r="BP1024" t="str">
        <f>""</f>
        <v/>
      </c>
      <c r="BQ1024" t="str">
        <f>""</f>
        <v/>
      </c>
      <c r="BR1024" t="str">
        <f>"06/07/2023"</f>
        <v>06/07/2023</v>
      </c>
      <c r="BS1024" t="str">
        <f>""</f>
        <v/>
      </c>
      <c r="BT1024" t="str">
        <f>""</f>
        <v/>
      </c>
      <c r="BU1024" t="str">
        <f>""</f>
        <v/>
      </c>
      <c r="BV1024" t="str">
        <f>""</f>
        <v/>
      </c>
      <c r="BW1024" t="str">
        <f>"Não visitado"</f>
        <v>Não visitado</v>
      </c>
    </row>
    <row r="1025" spans="1:75" x14ac:dyDescent="0.35">
      <c r="A1025">
        <v>156864</v>
      </c>
      <c r="B1025" t="str">
        <f t="shared" si="481"/>
        <v>A</v>
      </c>
      <c r="C1025" t="str">
        <f t="shared" si="482"/>
        <v>80</v>
      </c>
      <c r="D1025" t="str">
        <f t="shared" si="509"/>
        <v>11121002</v>
      </c>
      <c r="E1025" t="str">
        <f t="shared" si="510"/>
        <v>121002</v>
      </c>
      <c r="F1025" t="str">
        <f t="shared" si="511"/>
        <v>CINTHIA NORONHA</v>
      </c>
      <c r="G1025" t="str">
        <f>"42953470000110"</f>
        <v>42953470000110</v>
      </c>
      <c r="H1025" t="str">
        <f>"0"</f>
        <v>0</v>
      </c>
      <c r="I1025" t="str">
        <f t="shared" si="483"/>
        <v>CONTA OPTICA</v>
      </c>
      <c r="J1025" t="str">
        <f>"OTICA SANTO LUXO SERRANA LTDA"</f>
        <v>OTICA SANTO LUXO SERRANA LTDA</v>
      </c>
      <c r="K1025" t="str">
        <f>"OTICA SANTO LUXO SERRANA (4619)"</f>
        <v>OTICA SANTO LUXO SERRANA (4619)</v>
      </c>
      <c r="L1025" t="str">
        <f>""</f>
        <v/>
      </c>
      <c r="M1025" t="str">
        <f>""</f>
        <v/>
      </c>
      <c r="N1025" t="str">
        <f>"FINANCEIRO.LOJASSERRANAS@GMAIL.COM"</f>
        <v>FINANCEIRO.LOJASSERRANAS@GMAIL.COM</v>
      </c>
      <c r="O1025" t="str">
        <f>""</f>
        <v/>
      </c>
      <c r="P1025" t="str">
        <f>"ADOLFO KONDER"</f>
        <v>ADOLFO KONDER</v>
      </c>
      <c r="Q1025" t="str">
        <f>"2683"</f>
        <v>2683</v>
      </c>
      <c r="R1025" t="str">
        <f>"SALA 02"</f>
        <v>SALA 02</v>
      </c>
      <c r="S1025" t="str">
        <f>"1267"</f>
        <v>1267</v>
      </c>
      <c r="T1025" t="str">
        <f>"88650000"</f>
        <v>88650000</v>
      </c>
      <c r="U1025" t="str">
        <f>"ESQUINA"</f>
        <v>ESQUINA</v>
      </c>
      <c r="V1025" t="str">
        <f>"URUBICI"</f>
        <v>URUBICI</v>
      </c>
      <c r="W1025" t="str">
        <f t="shared" si="504"/>
        <v>SC</v>
      </c>
      <c r="X1025" t="str">
        <f>"49"</f>
        <v>49</v>
      </c>
      <c r="Y1025" t="str">
        <f>"30344395"</f>
        <v>30344395</v>
      </c>
      <c r="Z1025" t="str">
        <f>""</f>
        <v/>
      </c>
      <c r="AA1025" t="str">
        <f>""</f>
        <v/>
      </c>
      <c r="AB1025" t="str">
        <f>""</f>
        <v/>
      </c>
      <c r="AC1025" t="str">
        <f>""</f>
        <v/>
      </c>
      <c r="AD1025" t="str">
        <f>""</f>
        <v/>
      </c>
      <c r="AE1025" t="str">
        <f>""</f>
        <v/>
      </c>
      <c r="AF1025" t="str">
        <f>""</f>
        <v/>
      </c>
      <c r="AG1025" t="str">
        <f>""</f>
        <v/>
      </c>
      <c r="AH1025" t="str">
        <f>""</f>
        <v/>
      </c>
      <c r="AI1025" t="str">
        <f>""</f>
        <v/>
      </c>
      <c r="AJ1025" t="str">
        <f>""</f>
        <v/>
      </c>
      <c r="AK1025" t="str">
        <f>""</f>
        <v/>
      </c>
      <c r="AL1025" t="str">
        <f>""</f>
        <v/>
      </c>
      <c r="AM1025" t="str">
        <f>""</f>
        <v/>
      </c>
      <c r="AN1025" t="str">
        <f>""</f>
        <v/>
      </c>
      <c r="AO1025" t="str">
        <f>""</f>
        <v/>
      </c>
      <c r="AP1025" t="str">
        <f>""</f>
        <v/>
      </c>
      <c r="AQ1025" t="str">
        <f>""</f>
        <v/>
      </c>
      <c r="AR1025" t="str">
        <f>""</f>
        <v/>
      </c>
      <c r="AS1025" t="str">
        <f>""</f>
        <v/>
      </c>
      <c r="AT1025" t="str">
        <f>""</f>
        <v/>
      </c>
      <c r="AU1025" t="str">
        <f>""</f>
        <v/>
      </c>
      <c r="AV1025" t="str">
        <f>""</f>
        <v/>
      </c>
      <c r="AW1025" t="str">
        <f>""</f>
        <v/>
      </c>
      <c r="AX1025" t="str">
        <f>""</f>
        <v/>
      </c>
      <c r="AY1025" t="str">
        <f>""</f>
        <v/>
      </c>
      <c r="AZ1025" t="str">
        <f>""</f>
        <v/>
      </c>
      <c r="BA1025" t="str">
        <f>""</f>
        <v/>
      </c>
      <c r="BB1025" t="str">
        <f>"06/07/2023 12:07:48"</f>
        <v>06/07/2023 12:07:48</v>
      </c>
      <c r="BC1025" t="str">
        <f>""</f>
        <v/>
      </c>
      <c r="BD1025" t="str">
        <f>""</f>
        <v/>
      </c>
      <c r="BE1025" t="str">
        <f>""</f>
        <v/>
      </c>
      <c r="BF1025" t="str">
        <f t="shared" si="485"/>
        <v>A</v>
      </c>
      <c r="BG1025" t="str">
        <f>""</f>
        <v/>
      </c>
      <c r="BH1025" t="str">
        <f>""</f>
        <v/>
      </c>
      <c r="BI1025" t="str">
        <f t="shared" si="503"/>
        <v>EVENTUAL</v>
      </c>
      <c r="BJ1025" t="str">
        <f t="shared" si="487"/>
        <v>1</v>
      </c>
      <c r="BK1025" t="str">
        <f t="shared" si="488"/>
        <v>Farmacia</v>
      </c>
      <c r="BL1025" t="str">
        <f>""</f>
        <v/>
      </c>
      <c r="BM1025" t="str">
        <f>""</f>
        <v/>
      </c>
      <c r="BN1025" t="str">
        <f>""</f>
        <v/>
      </c>
      <c r="BO1025" t="str">
        <f>""</f>
        <v/>
      </c>
      <c r="BP1025" t="str">
        <f>""</f>
        <v/>
      </c>
      <c r="BQ1025" t="str">
        <f>""</f>
        <v/>
      </c>
      <c r="BR1025" t="str">
        <f>"06/07/2023"</f>
        <v>06/07/2023</v>
      </c>
      <c r="BS1025" t="str">
        <f>""</f>
        <v/>
      </c>
      <c r="BT1025" t="str">
        <f>""</f>
        <v/>
      </c>
      <c r="BU1025" t="str">
        <f>""</f>
        <v/>
      </c>
      <c r="BV1025" t="str">
        <f>""</f>
        <v/>
      </c>
      <c r="BW1025" t="str">
        <f>"Não visitado"</f>
        <v>Não visitado</v>
      </c>
    </row>
    <row r="1026" spans="1:75" x14ac:dyDescent="0.35">
      <c r="A1026">
        <v>144502</v>
      </c>
      <c r="B1026" t="str">
        <f t="shared" ref="B1026:B1089" si="515">"A"</f>
        <v>A</v>
      </c>
      <c r="C1026" t="str">
        <f t="shared" ref="C1026:C1089" si="516">"80"</f>
        <v>80</v>
      </c>
      <c r="D1026" t="str">
        <f t="shared" si="509"/>
        <v>11121002</v>
      </c>
      <c r="E1026" t="str">
        <f t="shared" si="510"/>
        <v>121002</v>
      </c>
      <c r="F1026" t="str">
        <f t="shared" si="511"/>
        <v>CINTHIA NORONHA</v>
      </c>
      <c r="G1026" t="str">
        <f>"31854752000143"</f>
        <v>31854752000143</v>
      </c>
      <c r="H1026" t="str">
        <f>""</f>
        <v/>
      </c>
      <c r="I1026" t="str">
        <f t="shared" ref="I1026:I1089" si="517">"CONTA OPTICA"</f>
        <v>CONTA OPTICA</v>
      </c>
      <c r="J1026" t="str">
        <f>"OTICA SAO DONATO LTDA"</f>
        <v>OTICA SAO DONATO LTDA</v>
      </c>
      <c r="K1026" t="str">
        <f>"OTICA SAO DONATO (3956)"</f>
        <v>OTICA SAO DONATO (3956)</v>
      </c>
      <c r="L1026" t="str">
        <f>""</f>
        <v/>
      </c>
      <c r="M1026" t="str">
        <f>""</f>
        <v/>
      </c>
      <c r="N1026" t="str">
        <f>"milton1976mcs@gmail.com"</f>
        <v>milton1976mcs@gmail.com</v>
      </c>
      <c r="O1026" t="str">
        <f>""</f>
        <v/>
      </c>
      <c r="P1026" t="str">
        <f>"RUA CORONEL MARCOS ROVARIS"</f>
        <v>RUA CORONEL MARCOS ROVARIS</v>
      </c>
      <c r="Q1026" t="str">
        <f>"510"</f>
        <v>510</v>
      </c>
      <c r="R1026" t="str">
        <f>"SALA 02"</f>
        <v>SALA 02</v>
      </c>
      <c r="S1026" t="str">
        <f>"1269"</f>
        <v>1269</v>
      </c>
      <c r="T1026" t="str">
        <f>"88820000"</f>
        <v>88820000</v>
      </c>
      <c r="U1026" t="str">
        <f>"CENTRO"</f>
        <v>CENTRO</v>
      </c>
      <c r="V1026" t="str">
        <f>"IÇARA"</f>
        <v>IÇARA</v>
      </c>
      <c r="W1026" t="str">
        <f t="shared" si="504"/>
        <v>SC</v>
      </c>
      <c r="X1026" t="str">
        <f>"48"</f>
        <v>48</v>
      </c>
      <c r="Y1026" t="str">
        <f>"34322513"</f>
        <v>34322513</v>
      </c>
      <c r="Z1026" t="str">
        <f>""</f>
        <v/>
      </c>
      <c r="AA1026" t="str">
        <f>""</f>
        <v/>
      </c>
      <c r="AB1026" t="str">
        <f>""</f>
        <v/>
      </c>
      <c r="AC1026" t="str">
        <f>""</f>
        <v/>
      </c>
      <c r="AD1026" t="str">
        <f>""</f>
        <v/>
      </c>
      <c r="AE1026" t="str">
        <f>""</f>
        <v/>
      </c>
      <c r="AF1026" t="str">
        <f>""</f>
        <v/>
      </c>
      <c r="AG1026" t="str">
        <f>""</f>
        <v/>
      </c>
      <c r="AH1026" t="str">
        <f>""</f>
        <v/>
      </c>
      <c r="AI1026" t="str">
        <f>""</f>
        <v/>
      </c>
      <c r="AJ1026" t="str">
        <f>"0"</f>
        <v>0</v>
      </c>
      <c r="AK1026" t="str">
        <f>"0"</f>
        <v>0</v>
      </c>
      <c r="AL1026" t="str">
        <f>"0"</f>
        <v>0</v>
      </c>
      <c r="AM1026" t="str">
        <f>""</f>
        <v/>
      </c>
      <c r="AN1026" t="str">
        <f>""</f>
        <v/>
      </c>
      <c r="AO1026" t="str">
        <f>""</f>
        <v/>
      </c>
      <c r="AP1026" t="str">
        <f>""</f>
        <v/>
      </c>
      <c r="AQ1026" t="str">
        <f>""</f>
        <v/>
      </c>
      <c r="AR1026" t="str">
        <f>""</f>
        <v/>
      </c>
      <c r="AS1026" t="str">
        <f>""</f>
        <v/>
      </c>
      <c r="AT1026" t="str">
        <f>""</f>
        <v/>
      </c>
      <c r="AU1026" t="str">
        <f>""</f>
        <v/>
      </c>
      <c r="AV1026" t="str">
        <f>""</f>
        <v/>
      </c>
      <c r="AW1026" t="str">
        <f>""</f>
        <v/>
      </c>
      <c r="AX1026" t="str">
        <f>""</f>
        <v/>
      </c>
      <c r="AY1026" t="str">
        <f>""</f>
        <v/>
      </c>
      <c r="AZ1026" t="str">
        <f>""</f>
        <v/>
      </c>
      <c r="BA1026" t="str">
        <f>""</f>
        <v/>
      </c>
      <c r="BB1026" t="str">
        <f>""</f>
        <v/>
      </c>
      <c r="BC1026" t="str">
        <f>""</f>
        <v/>
      </c>
      <c r="BD1026" t="str">
        <f>""</f>
        <v/>
      </c>
      <c r="BE1026" t="str">
        <f>""</f>
        <v/>
      </c>
      <c r="BF1026" t="str">
        <f t="shared" ref="BF1026:BF1089" si="518">"A"</f>
        <v>A</v>
      </c>
      <c r="BG1026" t="str">
        <f>"0,00"</f>
        <v>0,00</v>
      </c>
      <c r="BH1026" t="str">
        <f>"0,00"</f>
        <v>0,00</v>
      </c>
      <c r="BI1026" t="str">
        <f t="shared" si="503"/>
        <v>EVENTUAL</v>
      </c>
      <c r="BJ1026" t="str">
        <f t="shared" ref="BJ1026:BJ1089" si="519">"1"</f>
        <v>1</v>
      </c>
      <c r="BK1026" t="str">
        <f t="shared" ref="BK1026:BK1089" si="520">"Farmacia"</f>
        <v>Farmacia</v>
      </c>
      <c r="BL1026" t="str">
        <f>""</f>
        <v/>
      </c>
      <c r="BM1026" t="str">
        <f>"NÃO É VARILUX ESPECIALISTA"</f>
        <v>NÃO É VARILUX ESPECIALISTA</v>
      </c>
      <c r="BN1026" t="str">
        <f>"NA"</f>
        <v>NA</v>
      </c>
      <c r="BO1026" t="str">
        <f>"FOCO VARILUX"</f>
        <v>FOCO VARILUX</v>
      </c>
      <c r="BP1026" t="str">
        <f>""</f>
        <v/>
      </c>
      <c r="BQ1026" t="str">
        <f>""</f>
        <v/>
      </c>
      <c r="BR1026" t="str">
        <f>""</f>
        <v/>
      </c>
      <c r="BS1026" t="str">
        <f>""</f>
        <v/>
      </c>
      <c r="BT1026" t="str">
        <f>""</f>
        <v/>
      </c>
      <c r="BU1026" t="str">
        <f>""</f>
        <v/>
      </c>
      <c r="BV1026" t="str">
        <f>"9"</f>
        <v>9</v>
      </c>
      <c r="BW1026" t="str">
        <f>"353"</f>
        <v>353</v>
      </c>
    </row>
    <row r="1027" spans="1:75" x14ac:dyDescent="0.35">
      <c r="A1027">
        <v>157633</v>
      </c>
      <c r="B1027" t="str">
        <f t="shared" si="515"/>
        <v>A</v>
      </c>
      <c r="C1027" t="str">
        <f t="shared" si="516"/>
        <v>80</v>
      </c>
      <c r="D1027" t="str">
        <f t="shared" si="509"/>
        <v>11121002</v>
      </c>
      <c r="E1027" t="str">
        <f t="shared" si="510"/>
        <v>121002</v>
      </c>
      <c r="F1027" t="str">
        <f t="shared" si="511"/>
        <v>CINTHIA NORONHA</v>
      </c>
      <c r="G1027" t="str">
        <f>"72484447000194"</f>
        <v>72484447000194</v>
      </c>
      <c r="H1027" t="str">
        <f t="shared" ref="H1027:H1033" si="521">"0"</f>
        <v>0</v>
      </c>
      <c r="I1027" t="str">
        <f t="shared" si="517"/>
        <v>CONTA OPTICA</v>
      </c>
      <c r="J1027" t="str">
        <f>"OTICA SCHWIDER LTDA ME"</f>
        <v>OTICA SCHWIDER LTDA ME</v>
      </c>
      <c r="K1027" t="str">
        <f>"CAYMAN PALHOÇA (564)"</f>
        <v>CAYMAN PALHOÇA (564)</v>
      </c>
      <c r="L1027" t="str">
        <f>""</f>
        <v/>
      </c>
      <c r="M1027" t="str">
        <f>""</f>
        <v/>
      </c>
      <c r="N1027" t="str">
        <f>""</f>
        <v/>
      </c>
      <c r="O1027" t="str">
        <f>""</f>
        <v/>
      </c>
      <c r="P1027" t="str">
        <f>"BARAO DO RIO BRANCO"</f>
        <v>BARAO DO RIO BRANCO</v>
      </c>
      <c r="Q1027" t="str">
        <f>"31"</f>
        <v>31</v>
      </c>
      <c r="R1027" t="str">
        <f>"LOJA 03"</f>
        <v>LOJA 03</v>
      </c>
      <c r="S1027" t="str">
        <f>"1259"</f>
        <v>1259</v>
      </c>
      <c r="T1027" t="str">
        <f>"88130101"</f>
        <v>88130101</v>
      </c>
      <c r="U1027" t="str">
        <f>"CENTRO"</f>
        <v>CENTRO</v>
      </c>
      <c r="V1027" t="str">
        <f>"PALHOCA"</f>
        <v>PALHOCA</v>
      </c>
      <c r="W1027" t="str">
        <f t="shared" si="504"/>
        <v>SC</v>
      </c>
      <c r="X1027" t="str">
        <f>"48"</f>
        <v>48</v>
      </c>
      <c r="Y1027" t="str">
        <f>"32422656"</f>
        <v>32422656</v>
      </c>
      <c r="Z1027" t="str">
        <f>""</f>
        <v/>
      </c>
      <c r="AA1027" t="str">
        <f>""</f>
        <v/>
      </c>
      <c r="AB1027" t="str">
        <f>""</f>
        <v/>
      </c>
      <c r="AC1027" t="str">
        <f>""</f>
        <v/>
      </c>
      <c r="AD1027" t="str">
        <f>""</f>
        <v/>
      </c>
      <c r="AE1027" t="str">
        <f>""</f>
        <v/>
      </c>
      <c r="AF1027" t="str">
        <f>""</f>
        <v/>
      </c>
      <c r="AG1027" t="str">
        <f>""</f>
        <v/>
      </c>
      <c r="AH1027" t="str">
        <f>""</f>
        <v/>
      </c>
      <c r="AI1027" t="str">
        <f>""</f>
        <v/>
      </c>
      <c r="AJ1027" t="str">
        <f>""</f>
        <v/>
      </c>
      <c r="AK1027" t="str">
        <f>""</f>
        <v/>
      </c>
      <c r="AL1027" t="str">
        <f>""</f>
        <v/>
      </c>
      <c r="AM1027" t="str">
        <f>""</f>
        <v/>
      </c>
      <c r="AN1027" t="str">
        <f>""</f>
        <v/>
      </c>
      <c r="AO1027" t="str">
        <f>""</f>
        <v/>
      </c>
      <c r="AP1027" t="str">
        <f>""</f>
        <v/>
      </c>
      <c r="AQ1027" t="str">
        <f>""</f>
        <v/>
      </c>
      <c r="AR1027" t="str">
        <f>""</f>
        <v/>
      </c>
      <c r="AS1027" t="str">
        <f>""</f>
        <v/>
      </c>
      <c r="AT1027" t="str">
        <f>""</f>
        <v/>
      </c>
      <c r="AU1027" t="str">
        <f>""</f>
        <v/>
      </c>
      <c r="AV1027" t="str">
        <f>""</f>
        <v/>
      </c>
      <c r="AW1027" t="str">
        <f>""</f>
        <v/>
      </c>
      <c r="AX1027" t="str">
        <f>""</f>
        <v/>
      </c>
      <c r="AY1027" t="str">
        <f>""</f>
        <v/>
      </c>
      <c r="AZ1027" t="str">
        <f>""</f>
        <v/>
      </c>
      <c r="BA1027" t="str">
        <f>""</f>
        <v/>
      </c>
      <c r="BB1027" t="str">
        <f>"11/07/2023 02:19:56"</f>
        <v>11/07/2023 02:19:56</v>
      </c>
      <c r="BC1027" t="str">
        <f>""</f>
        <v/>
      </c>
      <c r="BD1027" t="str">
        <f>""</f>
        <v/>
      </c>
      <c r="BE1027" t="str">
        <f>""</f>
        <v/>
      </c>
      <c r="BF1027" t="str">
        <f t="shared" si="518"/>
        <v>A</v>
      </c>
      <c r="BG1027" t="str">
        <f>""</f>
        <v/>
      </c>
      <c r="BH1027" t="str">
        <f>""</f>
        <v/>
      </c>
      <c r="BI1027" t="str">
        <f t="shared" si="503"/>
        <v>EVENTUAL</v>
      </c>
      <c r="BJ1027" t="str">
        <f t="shared" si="519"/>
        <v>1</v>
      </c>
      <c r="BK1027" t="str">
        <f t="shared" si="520"/>
        <v>Farmacia</v>
      </c>
      <c r="BL1027" t="str">
        <f>""</f>
        <v/>
      </c>
      <c r="BM1027" t="str">
        <f>""</f>
        <v/>
      </c>
      <c r="BN1027" t="str">
        <f>""</f>
        <v/>
      </c>
      <c r="BO1027" t="str">
        <f>""</f>
        <v/>
      </c>
      <c r="BP1027" t="str">
        <f>""</f>
        <v/>
      </c>
      <c r="BQ1027" t="str">
        <f>""</f>
        <v/>
      </c>
      <c r="BR1027" t="str">
        <f>"11/07/2023"</f>
        <v>11/07/2023</v>
      </c>
      <c r="BS1027" t="str">
        <f>""</f>
        <v/>
      </c>
      <c r="BT1027" t="str">
        <f>""</f>
        <v/>
      </c>
      <c r="BU1027" t="str">
        <f>""</f>
        <v/>
      </c>
      <c r="BV1027" t="str">
        <f>""</f>
        <v/>
      </c>
      <c r="BW1027" t="str">
        <f>"Não visitado"</f>
        <v>Não visitado</v>
      </c>
    </row>
    <row r="1028" spans="1:75" x14ac:dyDescent="0.35">
      <c r="A1028">
        <v>135401</v>
      </c>
      <c r="B1028" t="str">
        <f t="shared" si="515"/>
        <v>A</v>
      </c>
      <c r="C1028" t="str">
        <f t="shared" si="516"/>
        <v>80</v>
      </c>
      <c r="D1028" t="str">
        <f t="shared" si="509"/>
        <v>11121002</v>
      </c>
      <c r="E1028" t="str">
        <f t="shared" si="510"/>
        <v>121002</v>
      </c>
      <c r="F1028" t="str">
        <f t="shared" si="511"/>
        <v>CINTHIA NORONHA</v>
      </c>
      <c r="G1028" t="str">
        <f>"40840788000169"</f>
        <v>40840788000169</v>
      </c>
      <c r="H1028" t="str">
        <f t="shared" si="521"/>
        <v>0</v>
      </c>
      <c r="I1028" t="str">
        <f t="shared" si="517"/>
        <v>CONTA OPTICA</v>
      </c>
      <c r="J1028" t="str">
        <f>"OTICA SERRANA LTDA"</f>
        <v>OTICA SERRANA LTDA</v>
      </c>
      <c r="K1028" t="str">
        <f>"OTICA SERRANA (4319)"</f>
        <v>OTICA SERRANA (4319)</v>
      </c>
      <c r="L1028" t="str">
        <f>""</f>
        <v/>
      </c>
      <c r="M1028" t="str">
        <f>""</f>
        <v/>
      </c>
      <c r="N1028" t="str">
        <f>"OTICASLAGES@GMAIL.COM"</f>
        <v>OTICASLAGES@GMAIL.COM</v>
      </c>
      <c r="O1028" t="str">
        <f>""</f>
        <v/>
      </c>
      <c r="P1028" t="str">
        <f>"RUA HERCILIO LUZ"</f>
        <v>RUA HERCILIO LUZ</v>
      </c>
      <c r="Q1028" t="str">
        <f>"241"</f>
        <v>241</v>
      </c>
      <c r="R1028" t="str">
        <f>"SALA 01"</f>
        <v>SALA 01</v>
      </c>
      <c r="S1028" t="str">
        <f>""</f>
        <v/>
      </c>
      <c r="T1028" t="str">
        <f>"88501010"</f>
        <v>88501010</v>
      </c>
      <c r="U1028" t="str">
        <f>"CENTRO"</f>
        <v>CENTRO</v>
      </c>
      <c r="V1028" t="str">
        <f>"LAGES"</f>
        <v>LAGES</v>
      </c>
      <c r="W1028" t="str">
        <f t="shared" si="504"/>
        <v>SC</v>
      </c>
      <c r="X1028" t="str">
        <f>"49"</f>
        <v>49</v>
      </c>
      <c r="Y1028" t="str">
        <f>"33809694"</f>
        <v>33809694</v>
      </c>
      <c r="Z1028" t="str">
        <f>""</f>
        <v/>
      </c>
      <c r="AA1028" t="str">
        <f>""</f>
        <v/>
      </c>
      <c r="AB1028" t="str">
        <f>""</f>
        <v/>
      </c>
      <c r="AC1028" t="str">
        <f>""</f>
        <v/>
      </c>
      <c r="AD1028" t="str">
        <f>""</f>
        <v/>
      </c>
      <c r="AE1028" t="str">
        <f>""</f>
        <v/>
      </c>
      <c r="AF1028" t="str">
        <f>""</f>
        <v/>
      </c>
      <c r="AG1028" t="str">
        <f>"S"</f>
        <v>S</v>
      </c>
      <c r="AH1028" t="str">
        <f>""</f>
        <v/>
      </c>
      <c r="AI1028" t="str">
        <f>""</f>
        <v/>
      </c>
      <c r="AJ1028" t="str">
        <f>""</f>
        <v/>
      </c>
      <c r="AK1028" t="str">
        <f>""</f>
        <v/>
      </c>
      <c r="AL1028" t="str">
        <f>""</f>
        <v/>
      </c>
      <c r="AM1028" t="str">
        <f>""</f>
        <v/>
      </c>
      <c r="AN1028" t="str">
        <f>""</f>
        <v/>
      </c>
      <c r="AO1028" t="str">
        <f>""</f>
        <v/>
      </c>
      <c r="AP1028" t="str">
        <f>""</f>
        <v/>
      </c>
      <c r="AQ1028" t="str">
        <f>"N"</f>
        <v>N</v>
      </c>
      <c r="AR1028" t="str">
        <f>"N"</f>
        <v>N</v>
      </c>
      <c r="AS1028" t="str">
        <f>"N"</f>
        <v>N</v>
      </c>
      <c r="AT1028" t="str">
        <f>"N"</f>
        <v>N</v>
      </c>
      <c r="AU1028" t="str">
        <f>"N"</f>
        <v>N</v>
      </c>
      <c r="AV1028" t="str">
        <f>""</f>
        <v/>
      </c>
      <c r="AW1028" t="str">
        <f>""</f>
        <v/>
      </c>
      <c r="AX1028" t="str">
        <f>""</f>
        <v/>
      </c>
      <c r="AY1028" t="str">
        <f>""</f>
        <v/>
      </c>
      <c r="AZ1028" t="str">
        <f>""</f>
        <v/>
      </c>
      <c r="BA1028" t="str">
        <f>""</f>
        <v/>
      </c>
      <c r="BB1028" t="str">
        <f>"25/05/2021 05:44:13"</f>
        <v>25/05/2021 05:44:13</v>
      </c>
      <c r="BC1028" t="str">
        <f>"13/12/2021 13:40:45"</f>
        <v>13/12/2021 13:40:45</v>
      </c>
      <c r="BD1028" t="str">
        <f>""</f>
        <v/>
      </c>
      <c r="BE1028" t="str">
        <f>""</f>
        <v/>
      </c>
      <c r="BF1028" t="str">
        <f t="shared" si="518"/>
        <v>A</v>
      </c>
      <c r="BG1028" t="str">
        <f>""</f>
        <v/>
      </c>
      <c r="BH1028" t="str">
        <f>"0,00"</f>
        <v>0,00</v>
      </c>
      <c r="BI1028" t="str">
        <f t="shared" si="503"/>
        <v>EVENTUAL</v>
      </c>
      <c r="BJ1028" t="str">
        <f t="shared" si="519"/>
        <v>1</v>
      </c>
      <c r="BK1028" t="str">
        <f t="shared" si="520"/>
        <v>Farmacia</v>
      </c>
      <c r="BL1028" t="str">
        <f>""</f>
        <v/>
      </c>
      <c r="BM1028" t="str">
        <f>"NÃO É VARILUX ESPECIALISTA"</f>
        <v>NÃO É VARILUX ESPECIALISTA</v>
      </c>
      <c r="BN1028" t="str">
        <f>"NA"</f>
        <v>NA</v>
      </c>
      <c r="BO1028" t="str">
        <f>"FOCO VARILUX DIGITAL"</f>
        <v>FOCO VARILUX DIGITAL</v>
      </c>
      <c r="BP1028" t="str">
        <f>""</f>
        <v/>
      </c>
      <c r="BQ1028" t="str">
        <f>""</f>
        <v/>
      </c>
      <c r="BR1028" t="str">
        <f>"25/05/2021"</f>
        <v>25/05/2021</v>
      </c>
      <c r="BS1028" t="str">
        <f>"13/12/2021"</f>
        <v>13/12/2021</v>
      </c>
      <c r="BT1028" t="str">
        <f>""</f>
        <v/>
      </c>
      <c r="BU1028" t="str">
        <f>""</f>
        <v/>
      </c>
      <c r="BV1028" t="str">
        <f>""</f>
        <v/>
      </c>
      <c r="BW1028" t="str">
        <f>"93"</f>
        <v>93</v>
      </c>
    </row>
    <row r="1029" spans="1:75" x14ac:dyDescent="0.35">
      <c r="A1029">
        <v>156882</v>
      </c>
      <c r="B1029" t="str">
        <f t="shared" si="515"/>
        <v>A</v>
      </c>
      <c r="C1029" t="str">
        <f t="shared" si="516"/>
        <v>80</v>
      </c>
      <c r="D1029" t="str">
        <f t="shared" si="509"/>
        <v>11121002</v>
      </c>
      <c r="E1029" t="str">
        <f t="shared" si="510"/>
        <v>121002</v>
      </c>
      <c r="F1029" t="str">
        <f t="shared" si="511"/>
        <v>CINTHIA NORONHA</v>
      </c>
      <c r="G1029" t="str">
        <f>"34733798000100"</f>
        <v>34733798000100</v>
      </c>
      <c r="H1029" t="str">
        <f t="shared" si="521"/>
        <v>0</v>
      </c>
      <c r="I1029" t="str">
        <f t="shared" si="517"/>
        <v>CONTA OPTICA</v>
      </c>
      <c r="J1029" t="str">
        <f>"OTICA SILVA SILVEIRA LTDA"</f>
        <v>OTICA SILVA SILVEIRA LTDA</v>
      </c>
      <c r="K1029" t="str">
        <f>"OTICA SANTO LUXO (4076)"</f>
        <v>OTICA SANTO LUXO (4076)</v>
      </c>
      <c r="L1029" t="str">
        <f>""</f>
        <v/>
      </c>
      <c r="M1029" t="str">
        <f>""</f>
        <v/>
      </c>
      <c r="N1029" t="str">
        <f>"OTICASANTOLUXOBR@GMAIL.COM"</f>
        <v>OTICASANTOLUXOBR@GMAIL.COM</v>
      </c>
      <c r="O1029" t="str">
        <f>""</f>
        <v/>
      </c>
      <c r="P1029" t="str">
        <f>"RUA FRONTINO VIEIRA DE SOUZA"</f>
        <v>RUA FRONTINO VIEIRA DE SOUZA</v>
      </c>
      <c r="Q1029" t="str">
        <f>"464"</f>
        <v>464</v>
      </c>
      <c r="R1029" t="str">
        <f>""</f>
        <v/>
      </c>
      <c r="S1029" t="str">
        <f>"1267"</f>
        <v>1267</v>
      </c>
      <c r="T1029" t="str">
        <f>"88680000"</f>
        <v>88680000</v>
      </c>
      <c r="U1029" t="str">
        <f>"CENTRO"</f>
        <v>CENTRO</v>
      </c>
      <c r="V1029" t="str">
        <f>"BOM RETIRO"</f>
        <v>BOM RETIRO</v>
      </c>
      <c r="W1029" t="str">
        <f t="shared" si="504"/>
        <v>SC</v>
      </c>
      <c r="X1029" t="str">
        <f>"49"</f>
        <v>49</v>
      </c>
      <c r="Y1029" t="str">
        <f>"98171589"</f>
        <v>98171589</v>
      </c>
      <c r="Z1029" t="str">
        <f>""</f>
        <v/>
      </c>
      <c r="AA1029" t="str">
        <f>""</f>
        <v/>
      </c>
      <c r="AB1029" t="str">
        <f>""</f>
        <v/>
      </c>
      <c r="AC1029" t="str">
        <f>""</f>
        <v/>
      </c>
      <c r="AD1029" t="str">
        <f>""</f>
        <v/>
      </c>
      <c r="AE1029" t="str">
        <f>""</f>
        <v/>
      </c>
      <c r="AF1029" t="str">
        <f>""</f>
        <v/>
      </c>
      <c r="AG1029" t="str">
        <f>""</f>
        <v/>
      </c>
      <c r="AH1029" t="str">
        <f>""</f>
        <v/>
      </c>
      <c r="AI1029" t="str">
        <f>""</f>
        <v/>
      </c>
      <c r="AJ1029" t="str">
        <f>""</f>
        <v/>
      </c>
      <c r="AK1029" t="str">
        <f>""</f>
        <v/>
      </c>
      <c r="AL1029" t="str">
        <f>""</f>
        <v/>
      </c>
      <c r="AM1029" t="str">
        <f>""</f>
        <v/>
      </c>
      <c r="AN1029" t="str">
        <f>""</f>
        <v/>
      </c>
      <c r="AO1029" t="str">
        <f>""</f>
        <v/>
      </c>
      <c r="AP1029" t="str">
        <f>""</f>
        <v/>
      </c>
      <c r="AQ1029" t="str">
        <f>""</f>
        <v/>
      </c>
      <c r="AR1029" t="str">
        <f>""</f>
        <v/>
      </c>
      <c r="AS1029" t="str">
        <f>""</f>
        <v/>
      </c>
      <c r="AT1029" t="str">
        <f>""</f>
        <v/>
      </c>
      <c r="AU1029" t="str">
        <f>""</f>
        <v/>
      </c>
      <c r="AV1029" t="str">
        <f>""</f>
        <v/>
      </c>
      <c r="AW1029" t="str">
        <f>""</f>
        <v/>
      </c>
      <c r="AX1029" t="str">
        <f>""</f>
        <v/>
      </c>
      <c r="AY1029" t="str">
        <f>""</f>
        <v/>
      </c>
      <c r="AZ1029" t="str">
        <f>""</f>
        <v/>
      </c>
      <c r="BA1029" t="str">
        <f>""</f>
        <v/>
      </c>
      <c r="BB1029" t="str">
        <f>"06/07/2023 12:07:48"</f>
        <v>06/07/2023 12:07:48</v>
      </c>
      <c r="BC1029" t="str">
        <f>""</f>
        <v/>
      </c>
      <c r="BD1029" t="str">
        <f>""</f>
        <v/>
      </c>
      <c r="BE1029" t="str">
        <f>""</f>
        <v/>
      </c>
      <c r="BF1029" t="str">
        <f t="shared" si="518"/>
        <v>A</v>
      </c>
      <c r="BG1029" t="str">
        <f>""</f>
        <v/>
      </c>
      <c r="BH1029" t="str">
        <f>""</f>
        <v/>
      </c>
      <c r="BI1029" t="str">
        <f t="shared" si="503"/>
        <v>EVENTUAL</v>
      </c>
      <c r="BJ1029" t="str">
        <f t="shared" si="519"/>
        <v>1</v>
      </c>
      <c r="BK1029" t="str">
        <f t="shared" si="520"/>
        <v>Farmacia</v>
      </c>
      <c r="BL1029" t="str">
        <f>""</f>
        <v/>
      </c>
      <c r="BM1029" t="str">
        <f>""</f>
        <v/>
      </c>
      <c r="BN1029" t="str">
        <f>""</f>
        <v/>
      </c>
      <c r="BO1029" t="str">
        <f>""</f>
        <v/>
      </c>
      <c r="BP1029" t="str">
        <f>""</f>
        <v/>
      </c>
      <c r="BQ1029" t="str">
        <f>""</f>
        <v/>
      </c>
      <c r="BR1029" t="str">
        <f>"06/07/2023"</f>
        <v>06/07/2023</v>
      </c>
      <c r="BS1029" t="str">
        <f>""</f>
        <v/>
      </c>
      <c r="BT1029" t="str">
        <f>""</f>
        <v/>
      </c>
      <c r="BU1029" t="str">
        <f>""</f>
        <v/>
      </c>
      <c r="BV1029" t="str">
        <f>""</f>
        <v/>
      </c>
      <c r="BW1029" t="str">
        <f>"Não visitado"</f>
        <v>Não visitado</v>
      </c>
    </row>
    <row r="1030" spans="1:75" x14ac:dyDescent="0.35">
      <c r="A1030">
        <v>141888</v>
      </c>
      <c r="B1030" t="str">
        <f t="shared" si="515"/>
        <v>A</v>
      </c>
      <c r="C1030" t="str">
        <f t="shared" si="516"/>
        <v>80</v>
      </c>
      <c r="D1030" t="str">
        <f t="shared" si="509"/>
        <v>11121002</v>
      </c>
      <c r="E1030" t="str">
        <f t="shared" si="510"/>
        <v>121002</v>
      </c>
      <c r="F1030" t="str">
        <f t="shared" si="511"/>
        <v>CINTHIA NORONHA</v>
      </c>
      <c r="G1030" t="str">
        <f>"43294079000113"</f>
        <v>43294079000113</v>
      </c>
      <c r="H1030" t="str">
        <f t="shared" si="521"/>
        <v>0</v>
      </c>
      <c r="I1030" t="str">
        <f t="shared" si="517"/>
        <v>CONTA OPTICA</v>
      </c>
      <c r="J1030" t="str">
        <f>"OTICA SOUZA SMANIOTTO LTDA"</f>
        <v>OTICA SOUZA SMANIOTTO LTDA</v>
      </c>
      <c r="K1030" t="str">
        <f>"OTICA KOBRASOL (4403)"</f>
        <v>OTICA KOBRASOL (4403)</v>
      </c>
      <c r="L1030" t="str">
        <f>""</f>
        <v/>
      </c>
      <c r="M1030" t="str">
        <f>""</f>
        <v/>
      </c>
      <c r="N1030" t="str">
        <f>"ANDERSON.R.SMANIOTTO@GMAIL.COM"</f>
        <v>ANDERSON.R.SMANIOTTO@GMAIL.COM</v>
      </c>
      <c r="O1030" t="str">
        <f>""</f>
        <v/>
      </c>
      <c r="P1030" t="str">
        <f>"RUA DELAMAR JOSE DA SILVA"</f>
        <v>RUA DELAMAR JOSE DA SILVA</v>
      </c>
      <c r="Q1030" t="str">
        <f>"100"</f>
        <v>100</v>
      </c>
      <c r="R1030" t="str">
        <f>"LOJA 01"</f>
        <v>LOJA 01</v>
      </c>
      <c r="S1030" t="str">
        <f>"1259"</f>
        <v>1259</v>
      </c>
      <c r="T1030" t="str">
        <f>"88102100"</f>
        <v>88102100</v>
      </c>
      <c r="U1030" t="str">
        <f>"KOBRASOL"</f>
        <v>KOBRASOL</v>
      </c>
      <c r="V1030" t="str">
        <f>"SÃO JOSÉ"</f>
        <v>SÃO JOSÉ</v>
      </c>
      <c r="W1030" t="str">
        <f t="shared" si="504"/>
        <v>SC</v>
      </c>
      <c r="X1030" t="str">
        <f>"48"</f>
        <v>48</v>
      </c>
      <c r="Y1030" t="str">
        <f>"991028798"</f>
        <v>991028798</v>
      </c>
      <c r="Z1030" t="str">
        <f>""</f>
        <v/>
      </c>
      <c r="AA1030" t="str">
        <f>""</f>
        <v/>
      </c>
      <c r="AB1030" t="str">
        <f>""</f>
        <v/>
      </c>
      <c r="AC1030" t="str">
        <f>""</f>
        <v/>
      </c>
      <c r="AD1030" t="str">
        <f>""</f>
        <v/>
      </c>
      <c r="AE1030" t="str">
        <f>""</f>
        <v/>
      </c>
      <c r="AF1030" t="str">
        <f>""</f>
        <v/>
      </c>
      <c r="AG1030" t="str">
        <f>"S"</f>
        <v>S</v>
      </c>
      <c r="AH1030" t="str">
        <f>""</f>
        <v/>
      </c>
      <c r="AI1030" t="str">
        <f>""</f>
        <v/>
      </c>
      <c r="AJ1030" t="str">
        <f>""</f>
        <v/>
      </c>
      <c r="AK1030" t="str">
        <f>""</f>
        <v/>
      </c>
      <c r="AL1030" t="str">
        <f>""</f>
        <v/>
      </c>
      <c r="AM1030" t="str">
        <f>""</f>
        <v/>
      </c>
      <c r="AN1030" t="str">
        <f>""</f>
        <v/>
      </c>
      <c r="AO1030" t="str">
        <f>""</f>
        <v/>
      </c>
      <c r="AP1030" t="str">
        <f>""</f>
        <v/>
      </c>
      <c r="AQ1030" t="str">
        <f>"N"</f>
        <v>N</v>
      </c>
      <c r="AR1030" t="str">
        <f>"N"</f>
        <v>N</v>
      </c>
      <c r="AS1030" t="str">
        <f>"N"</f>
        <v>N</v>
      </c>
      <c r="AT1030" t="str">
        <f>"N"</f>
        <v>N</v>
      </c>
      <c r="AU1030" t="str">
        <f>"N"</f>
        <v>N</v>
      </c>
      <c r="AV1030" t="str">
        <f>""</f>
        <v/>
      </c>
      <c r="AW1030" t="str">
        <f>""</f>
        <v/>
      </c>
      <c r="AX1030" t="str">
        <f>""</f>
        <v/>
      </c>
      <c r="AY1030" t="str">
        <f>""</f>
        <v/>
      </c>
      <c r="AZ1030" t="str">
        <f>""</f>
        <v/>
      </c>
      <c r="BA1030" t="str">
        <f>""</f>
        <v/>
      </c>
      <c r="BB1030" t="str">
        <f>"28/10/2021 19:34:33"</f>
        <v>28/10/2021 19:34:33</v>
      </c>
      <c r="BC1030" t="str">
        <f>"18/04/2022 11:59:42"</f>
        <v>18/04/2022 11:59:42</v>
      </c>
      <c r="BD1030" t="str">
        <f>""</f>
        <v/>
      </c>
      <c r="BE1030" t="str">
        <f>""</f>
        <v/>
      </c>
      <c r="BF1030" t="str">
        <f t="shared" si="518"/>
        <v>A</v>
      </c>
      <c r="BG1030" t="str">
        <f>""</f>
        <v/>
      </c>
      <c r="BH1030" t="str">
        <f>"0,00"</f>
        <v>0,00</v>
      </c>
      <c r="BI1030" t="str">
        <f t="shared" si="503"/>
        <v>EVENTUAL</v>
      </c>
      <c r="BJ1030" t="str">
        <f t="shared" si="519"/>
        <v>1</v>
      </c>
      <c r="BK1030" t="str">
        <f t="shared" si="520"/>
        <v>Farmacia</v>
      </c>
      <c r="BL1030" t="str">
        <f>""</f>
        <v/>
      </c>
      <c r="BM1030" t="str">
        <f>""</f>
        <v/>
      </c>
      <c r="BN1030" t="str">
        <f>""</f>
        <v/>
      </c>
      <c r="BO1030" t="str">
        <f>"FOCO VARILUX"</f>
        <v>FOCO VARILUX</v>
      </c>
      <c r="BP1030" t="str">
        <f>""</f>
        <v/>
      </c>
      <c r="BQ1030" t="str">
        <f>""</f>
        <v/>
      </c>
      <c r="BR1030" t="str">
        <f>"28/10/2021"</f>
        <v>28/10/2021</v>
      </c>
      <c r="BS1030" t="str">
        <f>"18/04/2022"</f>
        <v>18/04/2022</v>
      </c>
      <c r="BT1030" t="str">
        <f>""</f>
        <v/>
      </c>
      <c r="BU1030" t="str">
        <f>""</f>
        <v/>
      </c>
      <c r="BV1030" t="str">
        <f>""</f>
        <v/>
      </c>
      <c r="BW1030" t="str">
        <f>"4"</f>
        <v>4</v>
      </c>
    </row>
    <row r="1031" spans="1:75" x14ac:dyDescent="0.35">
      <c r="A1031">
        <v>157696</v>
      </c>
      <c r="B1031" t="str">
        <f t="shared" si="515"/>
        <v>A</v>
      </c>
      <c r="C1031" t="str">
        <f t="shared" si="516"/>
        <v>80</v>
      </c>
      <c r="D1031" t="str">
        <f t="shared" si="509"/>
        <v>11121002</v>
      </c>
      <c r="E1031" t="str">
        <f t="shared" si="510"/>
        <v>121002</v>
      </c>
      <c r="F1031" t="str">
        <f t="shared" si="511"/>
        <v>CINTHIA NORONHA</v>
      </c>
      <c r="G1031" t="str">
        <f>"16756117000130"</f>
        <v>16756117000130</v>
      </c>
      <c r="H1031" t="str">
        <f t="shared" si="521"/>
        <v>0</v>
      </c>
      <c r="I1031" t="str">
        <f t="shared" si="517"/>
        <v>CONTA OPTICA</v>
      </c>
      <c r="J1031" t="str">
        <f>"OTICA SRL EIRELI"</f>
        <v>OTICA SRL EIRELI</v>
      </c>
      <c r="K1031" t="str">
        <f>"CAYMAN OTICA (4141)"</f>
        <v>CAYMAN OTICA (4141)</v>
      </c>
      <c r="L1031" t="str">
        <f>""</f>
        <v/>
      </c>
      <c r="M1031" t="str">
        <f>""</f>
        <v/>
      </c>
      <c r="N1031" t="str">
        <f>"JULIOSCHWIDER@TERRA.COM.BR"</f>
        <v>JULIOSCHWIDER@TERRA.COM.BR</v>
      </c>
      <c r="O1031" t="str">
        <f>""</f>
        <v/>
      </c>
      <c r="P1031" t="str">
        <f>"PROFESSOR OTHON GAMA D ECA"</f>
        <v>PROFESSOR OTHON GAMA D ECA</v>
      </c>
      <c r="Q1031" t="str">
        <f>"900"</f>
        <v>900</v>
      </c>
      <c r="R1031" t="str">
        <f>"LOJA 03"</f>
        <v>LOJA 03</v>
      </c>
      <c r="S1031" t="str">
        <f>"1255"</f>
        <v>1255</v>
      </c>
      <c r="T1031" t="str">
        <f>"88015240"</f>
        <v>88015240</v>
      </c>
      <c r="U1031" t="str">
        <f>"CENTRO"</f>
        <v>CENTRO</v>
      </c>
      <c r="V1031" t="str">
        <f>"FLORIANOPOLIS"</f>
        <v>FLORIANOPOLIS</v>
      </c>
      <c r="W1031" t="str">
        <f t="shared" ref="W1031:W1062" si="522">"SC"</f>
        <v>SC</v>
      </c>
      <c r="X1031" t="str">
        <f>"48"</f>
        <v>48</v>
      </c>
      <c r="Y1031" t="str">
        <f>"33242666"</f>
        <v>33242666</v>
      </c>
      <c r="Z1031" t="str">
        <f>""</f>
        <v/>
      </c>
      <c r="AA1031" t="str">
        <f>""</f>
        <v/>
      </c>
      <c r="AB1031" t="str">
        <f>""</f>
        <v/>
      </c>
      <c r="AC1031" t="str">
        <f>""</f>
        <v/>
      </c>
      <c r="AD1031" t="str">
        <f>""</f>
        <v/>
      </c>
      <c r="AE1031" t="str">
        <f>""</f>
        <v/>
      </c>
      <c r="AF1031" t="str">
        <f>""</f>
        <v/>
      </c>
      <c r="AG1031" t="str">
        <f>""</f>
        <v/>
      </c>
      <c r="AH1031" t="str">
        <f>""</f>
        <v/>
      </c>
      <c r="AI1031" t="str">
        <f>""</f>
        <v/>
      </c>
      <c r="AJ1031" t="str">
        <f>""</f>
        <v/>
      </c>
      <c r="AK1031" t="str">
        <f>""</f>
        <v/>
      </c>
      <c r="AL1031" t="str">
        <f>""</f>
        <v/>
      </c>
      <c r="AM1031" t="str">
        <f>""</f>
        <v/>
      </c>
      <c r="AN1031" t="str">
        <f>""</f>
        <v/>
      </c>
      <c r="AO1031" t="str">
        <f>""</f>
        <v/>
      </c>
      <c r="AP1031" t="str">
        <f>""</f>
        <v/>
      </c>
      <c r="AQ1031" t="str">
        <f>""</f>
        <v/>
      </c>
      <c r="AR1031" t="str">
        <f>""</f>
        <v/>
      </c>
      <c r="AS1031" t="str">
        <f>""</f>
        <v/>
      </c>
      <c r="AT1031" t="str">
        <f>""</f>
        <v/>
      </c>
      <c r="AU1031" t="str">
        <f>""</f>
        <v/>
      </c>
      <c r="AV1031" t="str">
        <f>""</f>
        <v/>
      </c>
      <c r="AW1031" t="str">
        <f>""</f>
        <v/>
      </c>
      <c r="AX1031" t="str">
        <f>""</f>
        <v/>
      </c>
      <c r="AY1031" t="str">
        <f>""</f>
        <v/>
      </c>
      <c r="AZ1031" t="str">
        <f>""</f>
        <v/>
      </c>
      <c r="BA1031" t="str">
        <f>""</f>
        <v/>
      </c>
      <c r="BB1031" t="str">
        <f>"11/07/2023 02:19:56"</f>
        <v>11/07/2023 02:19:56</v>
      </c>
      <c r="BC1031" t="str">
        <f>""</f>
        <v/>
      </c>
      <c r="BD1031" t="str">
        <f>""</f>
        <v/>
      </c>
      <c r="BE1031" t="str">
        <f>""</f>
        <v/>
      </c>
      <c r="BF1031" t="str">
        <f t="shared" si="518"/>
        <v>A</v>
      </c>
      <c r="BG1031" t="str">
        <f>""</f>
        <v/>
      </c>
      <c r="BH1031" t="str">
        <f>""</f>
        <v/>
      </c>
      <c r="BI1031" t="str">
        <f t="shared" si="503"/>
        <v>EVENTUAL</v>
      </c>
      <c r="BJ1031" t="str">
        <f t="shared" si="519"/>
        <v>1</v>
      </c>
      <c r="BK1031" t="str">
        <f t="shared" si="520"/>
        <v>Farmacia</v>
      </c>
      <c r="BL1031" t="str">
        <f>""</f>
        <v/>
      </c>
      <c r="BM1031" t="str">
        <f>""</f>
        <v/>
      </c>
      <c r="BN1031" t="str">
        <f>""</f>
        <v/>
      </c>
      <c r="BO1031" t="str">
        <f>""</f>
        <v/>
      </c>
      <c r="BP1031" t="str">
        <f>""</f>
        <v/>
      </c>
      <c r="BQ1031" t="str">
        <f>""</f>
        <v/>
      </c>
      <c r="BR1031" t="str">
        <f>"11/07/2023"</f>
        <v>11/07/2023</v>
      </c>
      <c r="BS1031" t="str">
        <f>""</f>
        <v/>
      </c>
      <c r="BT1031" t="str">
        <f>""</f>
        <v/>
      </c>
      <c r="BU1031" t="str">
        <f>""</f>
        <v/>
      </c>
      <c r="BV1031" t="str">
        <f>""</f>
        <v/>
      </c>
      <c r="BW1031" t="str">
        <f>"Não visitado"</f>
        <v>Não visitado</v>
      </c>
    </row>
    <row r="1032" spans="1:75" x14ac:dyDescent="0.35">
      <c r="A1032">
        <v>157672</v>
      </c>
      <c r="B1032" t="str">
        <f t="shared" si="515"/>
        <v>A</v>
      </c>
      <c r="C1032" t="str">
        <f t="shared" si="516"/>
        <v>80</v>
      </c>
      <c r="D1032" t="str">
        <f t="shared" si="509"/>
        <v>11121002</v>
      </c>
      <c r="E1032" t="str">
        <f t="shared" si="510"/>
        <v>121002</v>
      </c>
      <c r="F1032" t="str">
        <f t="shared" si="511"/>
        <v>CINTHIA NORONHA</v>
      </c>
      <c r="G1032" t="str">
        <f>"02568440000175"</f>
        <v>02568440000175</v>
      </c>
      <c r="H1032" t="str">
        <f t="shared" si="521"/>
        <v>0</v>
      </c>
      <c r="I1032" t="str">
        <f t="shared" si="517"/>
        <v>CONTA OPTICA</v>
      </c>
      <c r="J1032" t="str">
        <f>"OTICA SUPERVISAO LTDA EPP"</f>
        <v>OTICA SUPERVISAO LTDA EPP</v>
      </c>
      <c r="K1032" t="str">
        <f>"OTICA SUPERVISAO (1205)"</f>
        <v>OTICA SUPERVISAO (1205)</v>
      </c>
      <c r="L1032" t="str">
        <f>""</f>
        <v/>
      </c>
      <c r="M1032" t="str">
        <f>""</f>
        <v/>
      </c>
      <c r="N1032" t="str">
        <f>"FINANCEIRO_ALCIDINO@YAHOO.COM.BR"</f>
        <v>FINANCEIRO_ALCIDINO@YAHOO.COM.BR</v>
      </c>
      <c r="O1032" t="str">
        <f>""</f>
        <v/>
      </c>
      <c r="P1032" t="str">
        <f>"RUA GETULIO VARGAS"</f>
        <v>RUA GETULIO VARGAS</v>
      </c>
      <c r="Q1032" t="str">
        <f>"62"</f>
        <v>62</v>
      </c>
      <c r="R1032" t="str">
        <f>"SALA 01"</f>
        <v>SALA 01</v>
      </c>
      <c r="S1032" t="str">
        <f>"1270"</f>
        <v>1270</v>
      </c>
      <c r="T1032" t="str">
        <f>"88900035"</f>
        <v>88900035</v>
      </c>
      <c r="U1032" t="str">
        <f>"NAO INFORMADO"</f>
        <v>NAO INFORMADO</v>
      </c>
      <c r="V1032" t="str">
        <f>"ARARANGUA"</f>
        <v>ARARANGUA</v>
      </c>
      <c r="W1032" t="str">
        <f t="shared" si="522"/>
        <v>SC</v>
      </c>
      <c r="X1032" t="str">
        <f>"48"</f>
        <v>48</v>
      </c>
      <c r="Y1032" t="str">
        <f>"35241633"</f>
        <v>35241633</v>
      </c>
      <c r="Z1032" t="str">
        <f>""</f>
        <v/>
      </c>
      <c r="AA1032" t="str">
        <f>""</f>
        <v/>
      </c>
      <c r="AB1032" t="str">
        <f>""</f>
        <v/>
      </c>
      <c r="AC1032" t="str">
        <f>""</f>
        <v/>
      </c>
      <c r="AD1032" t="str">
        <f>""</f>
        <v/>
      </c>
      <c r="AE1032" t="str">
        <f>""</f>
        <v/>
      </c>
      <c r="AF1032" t="str">
        <f>""</f>
        <v/>
      </c>
      <c r="AG1032" t="str">
        <f>""</f>
        <v/>
      </c>
      <c r="AH1032" t="str">
        <f>""</f>
        <v/>
      </c>
      <c r="AI1032" t="str">
        <f>""</f>
        <v/>
      </c>
      <c r="AJ1032" t="str">
        <f>""</f>
        <v/>
      </c>
      <c r="AK1032" t="str">
        <f>""</f>
        <v/>
      </c>
      <c r="AL1032" t="str">
        <f>""</f>
        <v/>
      </c>
      <c r="AM1032" t="str">
        <f>""</f>
        <v/>
      </c>
      <c r="AN1032" t="str">
        <f>""</f>
        <v/>
      </c>
      <c r="AO1032" t="str">
        <f>""</f>
        <v/>
      </c>
      <c r="AP1032" t="str">
        <f>""</f>
        <v/>
      </c>
      <c r="AQ1032" t="str">
        <f>""</f>
        <v/>
      </c>
      <c r="AR1032" t="str">
        <f>""</f>
        <v/>
      </c>
      <c r="AS1032" t="str">
        <f>""</f>
        <v/>
      </c>
      <c r="AT1032" t="str">
        <f>""</f>
        <v/>
      </c>
      <c r="AU1032" t="str">
        <f>""</f>
        <v/>
      </c>
      <c r="AV1032" t="str">
        <f>""</f>
        <v/>
      </c>
      <c r="AW1032" t="str">
        <f>""</f>
        <v/>
      </c>
      <c r="AX1032" t="str">
        <f>""</f>
        <v/>
      </c>
      <c r="AY1032" t="str">
        <f>""</f>
        <v/>
      </c>
      <c r="AZ1032" t="str">
        <f>""</f>
        <v/>
      </c>
      <c r="BA1032" t="str">
        <f>""</f>
        <v/>
      </c>
      <c r="BB1032" t="str">
        <f>"11/07/2023 02:19:56"</f>
        <v>11/07/2023 02:19:56</v>
      </c>
      <c r="BC1032" t="str">
        <f>""</f>
        <v/>
      </c>
      <c r="BD1032" t="str">
        <f>""</f>
        <v/>
      </c>
      <c r="BE1032" t="str">
        <f>""</f>
        <v/>
      </c>
      <c r="BF1032" t="str">
        <f t="shared" si="518"/>
        <v>A</v>
      </c>
      <c r="BG1032" t="str">
        <f>""</f>
        <v/>
      </c>
      <c r="BH1032" t="str">
        <f>""</f>
        <v/>
      </c>
      <c r="BI1032" t="str">
        <f t="shared" si="503"/>
        <v>EVENTUAL</v>
      </c>
      <c r="BJ1032" t="str">
        <f t="shared" si="519"/>
        <v>1</v>
      </c>
      <c r="BK1032" t="str">
        <f t="shared" si="520"/>
        <v>Farmacia</v>
      </c>
      <c r="BL1032" t="str">
        <f>""</f>
        <v/>
      </c>
      <c r="BM1032" t="str">
        <f>""</f>
        <v/>
      </c>
      <c r="BN1032" t="str">
        <f>""</f>
        <v/>
      </c>
      <c r="BO1032" t="str">
        <f>""</f>
        <v/>
      </c>
      <c r="BP1032" t="str">
        <f>""</f>
        <v/>
      </c>
      <c r="BQ1032" t="str">
        <f>""</f>
        <v/>
      </c>
      <c r="BR1032" t="str">
        <f>"11/07/2023"</f>
        <v>11/07/2023</v>
      </c>
      <c r="BS1032" t="str">
        <f>""</f>
        <v/>
      </c>
      <c r="BT1032" t="str">
        <f>""</f>
        <v/>
      </c>
      <c r="BU1032" t="str">
        <f>""</f>
        <v/>
      </c>
      <c r="BV1032" t="str">
        <f>""</f>
        <v/>
      </c>
      <c r="BW1032" t="str">
        <f>"Não visitado"</f>
        <v>Não visitado</v>
      </c>
    </row>
    <row r="1033" spans="1:75" x14ac:dyDescent="0.35">
      <c r="A1033">
        <v>137499</v>
      </c>
      <c r="B1033" t="str">
        <f t="shared" si="515"/>
        <v>A</v>
      </c>
      <c r="C1033" t="str">
        <f t="shared" si="516"/>
        <v>80</v>
      </c>
      <c r="D1033" t="str">
        <f t="shared" si="509"/>
        <v>11121002</v>
      </c>
      <c r="E1033" t="str">
        <f t="shared" si="510"/>
        <v>121002</v>
      </c>
      <c r="F1033" t="str">
        <f t="shared" si="511"/>
        <v>CINTHIA NORONHA</v>
      </c>
      <c r="G1033" t="str">
        <f>"42081454000184"</f>
        <v>42081454000184</v>
      </c>
      <c r="H1033" t="str">
        <f t="shared" si="521"/>
        <v>0</v>
      </c>
      <c r="I1033" t="str">
        <f t="shared" si="517"/>
        <v>CONTA OPTICA</v>
      </c>
      <c r="J1033" t="str">
        <f>"OTICA TECH VISION LTDA"</f>
        <v>OTICA TECH VISION LTDA</v>
      </c>
      <c r="K1033" t="str">
        <f>"OTICA TECH VISION (4348)"</f>
        <v>OTICA TECH VISION (4348)</v>
      </c>
      <c r="L1033" t="str">
        <f>""</f>
        <v/>
      </c>
      <c r="M1033" t="str">
        <f>""</f>
        <v/>
      </c>
      <c r="N1033" t="str">
        <f>"OTICATECHVISION@GMAIL.COM"</f>
        <v>OTICATECHVISION@GMAIL.COM</v>
      </c>
      <c r="O1033" t="str">
        <f>""</f>
        <v/>
      </c>
      <c r="P1033" t="str">
        <f>"RUA LAURO LINHARES"</f>
        <v>RUA LAURO LINHARES</v>
      </c>
      <c r="Q1033" t="str">
        <f>"2123"</f>
        <v>2123</v>
      </c>
      <c r="R1033" t="str">
        <f>"LOJA 11"</f>
        <v>LOJA 11</v>
      </c>
      <c r="S1033" t="str">
        <f>""</f>
        <v/>
      </c>
      <c r="T1033" t="str">
        <f>"88036003"</f>
        <v>88036003</v>
      </c>
      <c r="U1033" t="str">
        <f>"TRINDADE"</f>
        <v>TRINDADE</v>
      </c>
      <c r="V1033" t="str">
        <f>"FLORIANÓPOLIS"</f>
        <v>FLORIANÓPOLIS</v>
      </c>
      <c r="W1033" t="str">
        <f t="shared" si="522"/>
        <v>SC</v>
      </c>
      <c r="X1033" t="str">
        <f>"49"</f>
        <v>49</v>
      </c>
      <c r="Y1033" t="str">
        <f>"988514629"</f>
        <v>988514629</v>
      </c>
      <c r="Z1033" t="str">
        <f>""</f>
        <v/>
      </c>
      <c r="AA1033" t="str">
        <f>""</f>
        <v/>
      </c>
      <c r="AB1033" t="str">
        <f>""</f>
        <v/>
      </c>
      <c r="AC1033" t="str">
        <f>""</f>
        <v/>
      </c>
      <c r="AD1033" t="str">
        <f>""</f>
        <v/>
      </c>
      <c r="AE1033" t="str">
        <f>""</f>
        <v/>
      </c>
      <c r="AF1033" t="str">
        <f>""</f>
        <v/>
      </c>
      <c r="AG1033" t="str">
        <f>"S"</f>
        <v>S</v>
      </c>
      <c r="AH1033" t="str">
        <f>""</f>
        <v/>
      </c>
      <c r="AI1033" t="str">
        <f>""</f>
        <v/>
      </c>
      <c r="AJ1033" t="str">
        <f>""</f>
        <v/>
      </c>
      <c r="AK1033" t="str">
        <f>""</f>
        <v/>
      </c>
      <c r="AL1033" t="str">
        <f>""</f>
        <v/>
      </c>
      <c r="AM1033" t="str">
        <f>""</f>
        <v/>
      </c>
      <c r="AN1033" t="str">
        <f>""</f>
        <v/>
      </c>
      <c r="AO1033" t="str">
        <f>""</f>
        <v/>
      </c>
      <c r="AP1033" t="str">
        <f>""</f>
        <v/>
      </c>
      <c r="AQ1033" t="str">
        <f>"N"</f>
        <v>N</v>
      </c>
      <c r="AR1033" t="str">
        <f>"N"</f>
        <v>N</v>
      </c>
      <c r="AS1033" t="str">
        <f>"N"</f>
        <v>N</v>
      </c>
      <c r="AT1033" t="str">
        <f>"N"</f>
        <v>N</v>
      </c>
      <c r="AU1033" t="str">
        <f>"N"</f>
        <v>N</v>
      </c>
      <c r="AV1033" t="str">
        <f>""</f>
        <v/>
      </c>
      <c r="AW1033" t="str">
        <f>""</f>
        <v/>
      </c>
      <c r="AX1033" t="str">
        <f>""</f>
        <v/>
      </c>
      <c r="AY1033" t="str">
        <f>""</f>
        <v/>
      </c>
      <c r="AZ1033" t="str">
        <f>""</f>
        <v/>
      </c>
      <c r="BA1033" t="str">
        <f>""</f>
        <v/>
      </c>
      <c r="BB1033" t="str">
        <f>"29/06/2021 10:02:37"</f>
        <v>29/06/2021 10:02:37</v>
      </c>
      <c r="BC1033" t="str">
        <f>"01/07/2021 15:11:01"</f>
        <v>01/07/2021 15:11:01</v>
      </c>
      <c r="BD1033" t="str">
        <f>""</f>
        <v/>
      </c>
      <c r="BE1033" t="str">
        <f>""</f>
        <v/>
      </c>
      <c r="BF1033" t="str">
        <f t="shared" si="518"/>
        <v>A</v>
      </c>
      <c r="BG1033" t="str">
        <f>""</f>
        <v/>
      </c>
      <c r="BH1033" t="str">
        <f>"0,00"</f>
        <v>0,00</v>
      </c>
      <c r="BI1033" t="str">
        <f t="shared" si="503"/>
        <v>EVENTUAL</v>
      </c>
      <c r="BJ1033" t="str">
        <f t="shared" si="519"/>
        <v>1</v>
      </c>
      <c r="BK1033" t="str">
        <f t="shared" si="520"/>
        <v>Farmacia</v>
      </c>
      <c r="BL1033" t="str">
        <f>""</f>
        <v/>
      </c>
      <c r="BM1033" t="str">
        <f>"NÃO É VARILUX ESPECIALISTA"</f>
        <v>NÃO É VARILUX ESPECIALISTA</v>
      </c>
      <c r="BN1033" t="str">
        <f>"NA"</f>
        <v>NA</v>
      </c>
      <c r="BO1033" t="str">
        <f>"FOCO VARILUX"</f>
        <v>FOCO VARILUX</v>
      </c>
      <c r="BP1033" t="str">
        <f>""</f>
        <v/>
      </c>
      <c r="BQ1033" t="str">
        <f>""</f>
        <v/>
      </c>
      <c r="BR1033" t="str">
        <f>"29/06/2021"</f>
        <v>29/06/2021</v>
      </c>
      <c r="BS1033" t="str">
        <f>"01/07/2021"</f>
        <v>01/07/2021</v>
      </c>
      <c r="BT1033" t="str">
        <f>""</f>
        <v/>
      </c>
      <c r="BU1033" t="str">
        <f>""</f>
        <v/>
      </c>
      <c r="BV1033" t="str">
        <f>""</f>
        <v/>
      </c>
      <c r="BW1033" t="str">
        <f>"385"</f>
        <v>385</v>
      </c>
    </row>
    <row r="1034" spans="1:75" x14ac:dyDescent="0.35">
      <c r="A1034">
        <v>388</v>
      </c>
      <c r="B1034" t="str">
        <f t="shared" si="515"/>
        <v>A</v>
      </c>
      <c r="C1034" t="str">
        <f t="shared" si="516"/>
        <v>80</v>
      </c>
      <c r="D1034" t="str">
        <f t="shared" si="509"/>
        <v>11121002</v>
      </c>
      <c r="E1034" t="str">
        <f t="shared" si="510"/>
        <v>121002</v>
      </c>
      <c r="F1034" t="str">
        <f t="shared" si="511"/>
        <v>CINTHIA NORONHA</v>
      </c>
      <c r="G1034" t="str">
        <f>"05060494000113"</f>
        <v>05060494000113</v>
      </c>
      <c r="H1034" t="str">
        <f>""</f>
        <v/>
      </c>
      <c r="I1034" t="str">
        <f t="shared" si="517"/>
        <v>CONTA OPTICA</v>
      </c>
      <c r="J1034" t="str">
        <f>"OTICA TESSAROLO COM.PRODUTOS OPTICOS LTDA ME"</f>
        <v>OTICA TESSAROLO COM.PRODUTOS OPTICOS LTDA ME</v>
      </c>
      <c r="K1034" t="str">
        <f>"OTICA TESSAROLO (200)"</f>
        <v>OTICA TESSAROLO (200)</v>
      </c>
      <c r="L1034" t="str">
        <f>""</f>
        <v/>
      </c>
      <c r="M1034" t="str">
        <f>""</f>
        <v/>
      </c>
      <c r="N1034" t="str">
        <f>"oticatessarolo@hotmail.com"</f>
        <v>oticatessarolo@hotmail.com</v>
      </c>
      <c r="O1034" t="str">
        <f>""</f>
        <v/>
      </c>
      <c r="P1034" t="str">
        <f>"RUA JAIME DE ARRUDA RAMOS"</f>
        <v>RUA JAIME DE ARRUDA RAMOS</v>
      </c>
      <c r="Q1034" t="str">
        <f>"26"</f>
        <v>26</v>
      </c>
      <c r="R1034" t="str">
        <f>"LOJA 03"</f>
        <v>LOJA 03</v>
      </c>
      <c r="S1034" t="str">
        <f>"1259"</f>
        <v>1259</v>
      </c>
      <c r="T1034" t="str">
        <f>"88102000"</f>
        <v>88102000</v>
      </c>
      <c r="U1034" t="str">
        <f>"KOBRASOL"</f>
        <v>KOBRASOL</v>
      </c>
      <c r="V1034" t="str">
        <f>"SÃO JOSÉ"</f>
        <v>SÃO JOSÉ</v>
      </c>
      <c r="W1034" t="str">
        <f t="shared" si="522"/>
        <v>SC</v>
      </c>
      <c r="X1034" t="str">
        <f>"48"</f>
        <v>48</v>
      </c>
      <c r="Y1034" t="str">
        <f>"32592662"</f>
        <v>32592662</v>
      </c>
      <c r="Z1034" t="str">
        <f>""</f>
        <v/>
      </c>
      <c r="AA1034" t="str">
        <f>""</f>
        <v/>
      </c>
      <c r="AB1034" t="str">
        <f>""</f>
        <v/>
      </c>
      <c r="AC1034" t="str">
        <f>""</f>
        <v/>
      </c>
      <c r="AD1034" t="str">
        <f>""</f>
        <v/>
      </c>
      <c r="AE1034" t="str">
        <f>""</f>
        <v/>
      </c>
      <c r="AF1034" t="str">
        <f>""</f>
        <v/>
      </c>
      <c r="AG1034" t="str">
        <f>""</f>
        <v/>
      </c>
      <c r="AH1034" t="str">
        <f>""</f>
        <v/>
      </c>
      <c r="AI1034" t="str">
        <f>""</f>
        <v/>
      </c>
      <c r="AJ1034" t="str">
        <f t="shared" ref="AJ1034:AL1037" si="523">"0"</f>
        <v>0</v>
      </c>
      <c r="AK1034" t="str">
        <f t="shared" si="523"/>
        <v>0</v>
      </c>
      <c r="AL1034" t="str">
        <f t="shared" si="523"/>
        <v>0</v>
      </c>
      <c r="AM1034" t="str">
        <f>""</f>
        <v/>
      </c>
      <c r="AN1034" t="str">
        <f>""</f>
        <v/>
      </c>
      <c r="AO1034" t="str">
        <f>""</f>
        <v/>
      </c>
      <c r="AP1034" t="str">
        <f>""</f>
        <v/>
      </c>
      <c r="AQ1034" t="str">
        <f>""</f>
        <v/>
      </c>
      <c r="AR1034" t="str">
        <f>""</f>
        <v/>
      </c>
      <c r="AS1034" t="str">
        <f>""</f>
        <v/>
      </c>
      <c r="AT1034" t="str">
        <f>""</f>
        <v/>
      </c>
      <c r="AU1034" t="str">
        <f>""</f>
        <v/>
      </c>
      <c r="AV1034" t="str">
        <f>""</f>
        <v/>
      </c>
      <c r="AW1034" t="str">
        <f>""</f>
        <v/>
      </c>
      <c r="AX1034" t="str">
        <f>""</f>
        <v/>
      </c>
      <c r="AY1034" t="str">
        <f>""</f>
        <v/>
      </c>
      <c r="AZ1034" t="str">
        <f>""</f>
        <v/>
      </c>
      <c r="BA1034" t="str">
        <f>""</f>
        <v/>
      </c>
      <c r="BB1034" t="str">
        <f>"27/07/2018 09:25:40"</f>
        <v>27/07/2018 09:25:40</v>
      </c>
      <c r="BC1034" t="str">
        <f>""</f>
        <v/>
      </c>
      <c r="BD1034" t="str">
        <f>""</f>
        <v/>
      </c>
      <c r="BE1034" t="str">
        <f>"388"</f>
        <v>388</v>
      </c>
      <c r="BF1034" t="str">
        <f t="shared" si="518"/>
        <v>A</v>
      </c>
      <c r="BG1034" t="str">
        <f>"0,00"</f>
        <v>0,00</v>
      </c>
      <c r="BH1034" t="str">
        <f>"0,00"</f>
        <v>0,00</v>
      </c>
      <c r="BI1034" t="str">
        <f t="shared" si="503"/>
        <v>EVENTUAL</v>
      </c>
      <c r="BJ1034" t="str">
        <f t="shared" si="519"/>
        <v>1</v>
      </c>
      <c r="BK1034" t="str">
        <f t="shared" si="520"/>
        <v>Farmacia</v>
      </c>
      <c r="BL1034" t="str">
        <f>""</f>
        <v/>
      </c>
      <c r="BM1034" t="str">
        <f>"VARILUX ESPECIALISTA PLATINE"</f>
        <v>VARILUX ESPECIALISTA PLATINE</v>
      </c>
      <c r="BN1034" t="str">
        <f>"NA"</f>
        <v>NA</v>
      </c>
      <c r="BO1034" t="str">
        <f>"FOCO VARILUX DIGITAL"</f>
        <v>FOCO VARILUX DIGITAL</v>
      </c>
      <c r="BP1034" t="str">
        <f>""</f>
        <v/>
      </c>
      <c r="BQ1034" t="str">
        <f>""</f>
        <v/>
      </c>
      <c r="BR1034" t="str">
        <f>"27/07/2018"</f>
        <v>27/07/2018</v>
      </c>
      <c r="BS1034" t="str">
        <f>""</f>
        <v/>
      </c>
      <c r="BT1034" t="str">
        <f>""</f>
        <v/>
      </c>
      <c r="BU1034" t="str">
        <f>""</f>
        <v/>
      </c>
      <c r="BV1034" t="str">
        <f>"1"</f>
        <v>1</v>
      </c>
      <c r="BW1034" t="str">
        <f>"64"</f>
        <v>64</v>
      </c>
    </row>
    <row r="1035" spans="1:75" x14ac:dyDescent="0.35">
      <c r="A1035">
        <v>144337</v>
      </c>
      <c r="B1035" t="str">
        <f t="shared" si="515"/>
        <v>A</v>
      </c>
      <c r="C1035" t="str">
        <f t="shared" si="516"/>
        <v>80</v>
      </c>
      <c r="D1035" t="str">
        <f t="shared" si="509"/>
        <v>11121002</v>
      </c>
      <c r="E1035" t="str">
        <f t="shared" si="510"/>
        <v>121002</v>
      </c>
      <c r="F1035" t="str">
        <f t="shared" si="511"/>
        <v>CINTHIA NORONHA</v>
      </c>
      <c r="G1035" t="str">
        <f>"14929987000138"</f>
        <v>14929987000138</v>
      </c>
      <c r="H1035" t="str">
        <f>""</f>
        <v/>
      </c>
      <c r="I1035" t="str">
        <f t="shared" si="517"/>
        <v>CONTA OPTICA</v>
      </c>
      <c r="J1035" t="str">
        <f>"OTICA THALITA LTDA ME"</f>
        <v>OTICA THALITA LTDA ME</v>
      </c>
      <c r="K1035" t="str">
        <f>"OTICA DINIZ (1878)"</f>
        <v>OTICA DINIZ (1878)</v>
      </c>
      <c r="L1035" t="str">
        <f>""</f>
        <v/>
      </c>
      <c r="M1035" t="str">
        <f>""</f>
        <v/>
      </c>
      <c r="N1035" t="str">
        <f>"daniele.costa@oticasdinizsul.com.br"</f>
        <v>daniele.costa@oticasdinizsul.com.br</v>
      </c>
      <c r="O1035" t="str">
        <f>""</f>
        <v/>
      </c>
      <c r="P1035" t="str">
        <f>"AVENIDA GETULIO VARGAS"</f>
        <v>AVENIDA GETULIO VARGAS</v>
      </c>
      <c r="Q1035" t="str">
        <f>"113"</f>
        <v>113</v>
      </c>
      <c r="R1035" t="str">
        <f>"SALA 02"</f>
        <v>SALA 02</v>
      </c>
      <c r="S1035" t="str">
        <f>"1269"</f>
        <v>1269</v>
      </c>
      <c r="T1035" t="str">
        <f>"88804150"</f>
        <v>88804150</v>
      </c>
      <c r="U1035" t="str">
        <f>"SANTA BARBARA"</f>
        <v>SANTA BARBARA</v>
      </c>
      <c r="V1035" t="str">
        <f>"CRICIÚMA"</f>
        <v>CRICIÚMA</v>
      </c>
      <c r="W1035" t="str">
        <f t="shared" si="522"/>
        <v>SC</v>
      </c>
      <c r="X1035" t="str">
        <f>"48"</f>
        <v>48</v>
      </c>
      <c r="Y1035" t="str">
        <f>"30455818"</f>
        <v>30455818</v>
      </c>
      <c r="Z1035" t="str">
        <f>""</f>
        <v/>
      </c>
      <c r="AA1035" t="str">
        <f>""</f>
        <v/>
      </c>
      <c r="AB1035" t="str">
        <f>""</f>
        <v/>
      </c>
      <c r="AC1035" t="str">
        <f>""</f>
        <v/>
      </c>
      <c r="AD1035" t="str">
        <f>""</f>
        <v/>
      </c>
      <c r="AE1035" t="str">
        <f>""</f>
        <v/>
      </c>
      <c r="AF1035" t="str">
        <f>""</f>
        <v/>
      </c>
      <c r="AG1035" t="str">
        <f>""</f>
        <v/>
      </c>
      <c r="AH1035" t="str">
        <f>""</f>
        <v/>
      </c>
      <c r="AI1035" t="str">
        <f>""</f>
        <v/>
      </c>
      <c r="AJ1035" t="str">
        <f t="shared" si="523"/>
        <v>0</v>
      </c>
      <c r="AK1035" t="str">
        <f t="shared" si="523"/>
        <v>0</v>
      </c>
      <c r="AL1035" t="str">
        <f t="shared" si="523"/>
        <v>0</v>
      </c>
      <c r="AM1035" t="str">
        <f>""</f>
        <v/>
      </c>
      <c r="AN1035" t="str">
        <f>""</f>
        <v/>
      </c>
      <c r="AO1035" t="str">
        <f>""</f>
        <v/>
      </c>
      <c r="AP1035" t="str">
        <f>""</f>
        <v/>
      </c>
      <c r="AQ1035" t="str">
        <f>""</f>
        <v/>
      </c>
      <c r="AR1035" t="str">
        <f>""</f>
        <v/>
      </c>
      <c r="AS1035" t="str">
        <f>""</f>
        <v/>
      </c>
      <c r="AT1035" t="str">
        <f>""</f>
        <v/>
      </c>
      <c r="AU1035" t="str">
        <f>""</f>
        <v/>
      </c>
      <c r="AV1035" t="str">
        <f>""</f>
        <v/>
      </c>
      <c r="AW1035" t="str">
        <f>""</f>
        <v/>
      </c>
      <c r="AX1035" t="str">
        <f>""</f>
        <v/>
      </c>
      <c r="AY1035" t="str">
        <f>""</f>
        <v/>
      </c>
      <c r="AZ1035" t="str">
        <f>""</f>
        <v/>
      </c>
      <c r="BA1035" t="str">
        <f>""</f>
        <v/>
      </c>
      <c r="BB1035" t="str">
        <f>""</f>
        <v/>
      </c>
      <c r="BC1035" t="str">
        <f>""</f>
        <v/>
      </c>
      <c r="BD1035" t="str">
        <f>""</f>
        <v/>
      </c>
      <c r="BE1035" t="str">
        <f>""</f>
        <v/>
      </c>
      <c r="BF1035" t="str">
        <f t="shared" si="518"/>
        <v>A</v>
      </c>
      <c r="BG1035" t="str">
        <f>"0,00"</f>
        <v>0,00</v>
      </c>
      <c r="BH1035" t="str">
        <f>"0,00"</f>
        <v>0,00</v>
      </c>
      <c r="BI1035" t="str">
        <f t="shared" si="503"/>
        <v>EVENTUAL</v>
      </c>
      <c r="BJ1035" t="str">
        <f t="shared" si="519"/>
        <v>1</v>
      </c>
      <c r="BK1035" t="str">
        <f t="shared" si="520"/>
        <v>Farmacia</v>
      </c>
      <c r="BL1035" t="str">
        <f>""</f>
        <v/>
      </c>
      <c r="BM1035" t="str">
        <f>"NÃO É VARILUX ESPECIALISTA"</f>
        <v>NÃO É VARILUX ESPECIALISTA</v>
      </c>
      <c r="BN1035" t="str">
        <f>"NA"</f>
        <v>NA</v>
      </c>
      <c r="BO1035" t="str">
        <f>"FOCO VARILUX"</f>
        <v>FOCO VARILUX</v>
      </c>
      <c r="BP1035" t="str">
        <f>""</f>
        <v/>
      </c>
      <c r="BQ1035" t="str">
        <f>""</f>
        <v/>
      </c>
      <c r="BR1035" t="str">
        <f>""</f>
        <v/>
      </c>
      <c r="BS1035" t="str">
        <f>""</f>
        <v/>
      </c>
      <c r="BT1035" t="str">
        <f>""</f>
        <v/>
      </c>
      <c r="BU1035" t="str">
        <f>""</f>
        <v/>
      </c>
      <c r="BV1035" t="str">
        <f>"9"</f>
        <v>9</v>
      </c>
      <c r="BW1035" t="str">
        <f>"Não visitado"</f>
        <v>Não visitado</v>
      </c>
    </row>
    <row r="1036" spans="1:75" x14ac:dyDescent="0.35">
      <c r="A1036">
        <v>144338</v>
      </c>
      <c r="B1036" t="str">
        <f t="shared" si="515"/>
        <v>A</v>
      </c>
      <c r="C1036" t="str">
        <f t="shared" si="516"/>
        <v>80</v>
      </c>
      <c r="D1036" t="str">
        <f t="shared" si="509"/>
        <v>11121002</v>
      </c>
      <c r="E1036" t="str">
        <f t="shared" si="510"/>
        <v>121002</v>
      </c>
      <c r="F1036" t="str">
        <f t="shared" si="511"/>
        <v>CINTHIA NORONHA</v>
      </c>
      <c r="G1036" t="str">
        <f>"14929987000219"</f>
        <v>14929987000219</v>
      </c>
      <c r="H1036" t="str">
        <f>""</f>
        <v/>
      </c>
      <c r="I1036" t="str">
        <f t="shared" si="517"/>
        <v>CONTA OPTICA</v>
      </c>
      <c r="J1036" t="str">
        <f>"OTICA THALITA LTDA ME"</f>
        <v>OTICA THALITA LTDA ME</v>
      </c>
      <c r="K1036" t="str">
        <f>"OTICA DINIZ (1972)"</f>
        <v>OTICA DINIZ (1972)</v>
      </c>
      <c r="L1036" t="str">
        <f>""</f>
        <v/>
      </c>
      <c r="M1036" t="str">
        <f>""</f>
        <v/>
      </c>
      <c r="N1036" t="str">
        <f>"daniele.costa@oticasdinizsul.com.br"</f>
        <v>daniele.costa@oticasdinizsul.com.br</v>
      </c>
      <c r="O1036" t="str">
        <f>""</f>
        <v/>
      </c>
      <c r="P1036" t="str">
        <f>"RUA CORONEL MARCOS ROVARIS"</f>
        <v>RUA CORONEL MARCOS ROVARIS</v>
      </c>
      <c r="Q1036" t="str">
        <f>"259"</f>
        <v>259</v>
      </c>
      <c r="R1036" t="str">
        <f>"SALA 03"</f>
        <v>SALA 03</v>
      </c>
      <c r="S1036" t="str">
        <f>"1269"</f>
        <v>1269</v>
      </c>
      <c r="T1036" t="str">
        <f>"88820000"</f>
        <v>88820000</v>
      </c>
      <c r="U1036" t="str">
        <f>"CENTRO"</f>
        <v>CENTRO</v>
      </c>
      <c r="V1036" t="str">
        <f>"IÇARA"</f>
        <v>IÇARA</v>
      </c>
      <c r="W1036" t="str">
        <f t="shared" si="522"/>
        <v>SC</v>
      </c>
      <c r="X1036" t="str">
        <f>"48"</f>
        <v>48</v>
      </c>
      <c r="Y1036" t="str">
        <f>"34373245"</f>
        <v>34373245</v>
      </c>
      <c r="Z1036" t="str">
        <f>""</f>
        <v/>
      </c>
      <c r="AA1036" t="str">
        <f>""</f>
        <v/>
      </c>
      <c r="AB1036" t="str">
        <f>""</f>
        <v/>
      </c>
      <c r="AC1036" t="str">
        <f>""</f>
        <v/>
      </c>
      <c r="AD1036" t="str">
        <f>""</f>
        <v/>
      </c>
      <c r="AE1036" t="str">
        <f>""</f>
        <v/>
      </c>
      <c r="AF1036" t="str">
        <f>""</f>
        <v/>
      </c>
      <c r="AG1036" t="str">
        <f>""</f>
        <v/>
      </c>
      <c r="AH1036" t="str">
        <f>""</f>
        <v/>
      </c>
      <c r="AI1036" t="str">
        <f>""</f>
        <v/>
      </c>
      <c r="AJ1036" t="str">
        <f t="shared" si="523"/>
        <v>0</v>
      </c>
      <c r="AK1036" t="str">
        <f t="shared" si="523"/>
        <v>0</v>
      </c>
      <c r="AL1036" t="str">
        <f t="shared" si="523"/>
        <v>0</v>
      </c>
      <c r="AM1036" t="str">
        <f>""</f>
        <v/>
      </c>
      <c r="AN1036" t="str">
        <f>""</f>
        <v/>
      </c>
      <c r="AO1036" t="str">
        <f>""</f>
        <v/>
      </c>
      <c r="AP1036" t="str">
        <f>""</f>
        <v/>
      </c>
      <c r="AQ1036" t="str">
        <f>""</f>
        <v/>
      </c>
      <c r="AR1036" t="str">
        <f>""</f>
        <v/>
      </c>
      <c r="AS1036" t="str">
        <f>""</f>
        <v/>
      </c>
      <c r="AT1036" t="str">
        <f>""</f>
        <v/>
      </c>
      <c r="AU1036" t="str">
        <f>""</f>
        <v/>
      </c>
      <c r="AV1036" t="str">
        <f>""</f>
        <v/>
      </c>
      <c r="AW1036" t="str">
        <f>""</f>
        <v/>
      </c>
      <c r="AX1036" t="str">
        <f>""</f>
        <v/>
      </c>
      <c r="AY1036" t="str">
        <f>""</f>
        <v/>
      </c>
      <c r="AZ1036" t="str">
        <f>""</f>
        <v/>
      </c>
      <c r="BA1036" t="str">
        <f>""</f>
        <v/>
      </c>
      <c r="BB1036" t="str">
        <f>""</f>
        <v/>
      </c>
      <c r="BC1036" t="str">
        <f>""</f>
        <v/>
      </c>
      <c r="BD1036" t="str">
        <f>""</f>
        <v/>
      </c>
      <c r="BE1036" t="str">
        <f>""</f>
        <v/>
      </c>
      <c r="BF1036" t="str">
        <f t="shared" si="518"/>
        <v>A</v>
      </c>
      <c r="BG1036" t="str">
        <f>"0,00"</f>
        <v>0,00</v>
      </c>
      <c r="BH1036" t="str">
        <f>"0,00"</f>
        <v>0,00</v>
      </c>
      <c r="BI1036" t="str">
        <f t="shared" si="503"/>
        <v>EVENTUAL</v>
      </c>
      <c r="BJ1036" t="str">
        <f t="shared" si="519"/>
        <v>1</v>
      </c>
      <c r="BK1036" t="str">
        <f t="shared" si="520"/>
        <v>Farmacia</v>
      </c>
      <c r="BL1036" t="str">
        <f>""</f>
        <v/>
      </c>
      <c r="BM1036" t="str">
        <f>"NÃO É VARILUX ESPECIALISTA"</f>
        <v>NÃO É VARILUX ESPECIALISTA</v>
      </c>
      <c r="BN1036" t="str">
        <f>"NA"</f>
        <v>NA</v>
      </c>
      <c r="BO1036" t="str">
        <f>"OUTROS"</f>
        <v>OUTROS</v>
      </c>
      <c r="BP1036" t="str">
        <f>""</f>
        <v/>
      </c>
      <c r="BQ1036" t="str">
        <f>""</f>
        <v/>
      </c>
      <c r="BR1036" t="str">
        <f>""</f>
        <v/>
      </c>
      <c r="BS1036" t="str">
        <f>""</f>
        <v/>
      </c>
      <c r="BT1036" t="str">
        <f>""</f>
        <v/>
      </c>
      <c r="BU1036" t="str">
        <f>""</f>
        <v/>
      </c>
      <c r="BV1036" t="str">
        <f>"9"</f>
        <v>9</v>
      </c>
      <c r="BW1036" t="str">
        <f>"Não visitado"</f>
        <v>Não visitado</v>
      </c>
    </row>
    <row r="1037" spans="1:75" x14ac:dyDescent="0.35">
      <c r="A1037">
        <v>144684</v>
      </c>
      <c r="B1037" t="str">
        <f t="shared" si="515"/>
        <v>A</v>
      </c>
      <c r="C1037" t="str">
        <f t="shared" si="516"/>
        <v>80</v>
      </c>
      <c r="D1037" t="str">
        <f t="shared" si="509"/>
        <v>11121002</v>
      </c>
      <c r="E1037" t="str">
        <f t="shared" si="510"/>
        <v>121002</v>
      </c>
      <c r="F1037" t="str">
        <f t="shared" si="511"/>
        <v>CINTHIA NORONHA</v>
      </c>
      <c r="G1037" t="str">
        <f>"14929987000480"</f>
        <v>14929987000480</v>
      </c>
      <c r="H1037" t="str">
        <f>""</f>
        <v/>
      </c>
      <c r="I1037" t="str">
        <f t="shared" si="517"/>
        <v>CONTA OPTICA</v>
      </c>
      <c r="J1037" t="str">
        <f>"OTICA THALITA LTDA ME"</f>
        <v>OTICA THALITA LTDA ME</v>
      </c>
      <c r="K1037" t="str">
        <f>"OTICA DINIZ (2043)"</f>
        <v>OTICA DINIZ (2043)</v>
      </c>
      <c r="L1037" t="str">
        <f>""</f>
        <v/>
      </c>
      <c r="M1037" t="str">
        <f>""</f>
        <v/>
      </c>
      <c r="N1037" t="str">
        <f>"daniele.costa@oticasdinizsul.com.br"</f>
        <v>daniele.costa@oticasdinizsul.com.br</v>
      </c>
      <c r="O1037" t="str">
        <f>""</f>
        <v/>
      </c>
      <c r="P1037" t="str">
        <f>"RUA CORONEL PEDRO BENEDET"</f>
        <v>RUA CORONEL PEDRO BENEDET</v>
      </c>
      <c r="Q1037" t="str">
        <f>"300"</f>
        <v>300</v>
      </c>
      <c r="R1037" t="str">
        <f>"SALA TERREO"</f>
        <v>SALA TERREO</v>
      </c>
      <c r="S1037" t="str">
        <f>"1269"</f>
        <v>1269</v>
      </c>
      <c r="T1037" t="str">
        <f>"88801250"</f>
        <v>88801250</v>
      </c>
      <c r="U1037" t="str">
        <f>"CENTRO"</f>
        <v>CENTRO</v>
      </c>
      <c r="V1037" t="str">
        <f>"CRICIÚMA"</f>
        <v>CRICIÚMA</v>
      </c>
      <c r="W1037" t="str">
        <f t="shared" si="522"/>
        <v>SC</v>
      </c>
      <c r="X1037" t="str">
        <f>"48"</f>
        <v>48</v>
      </c>
      <c r="Y1037" t="str">
        <f>"30455970"</f>
        <v>30455970</v>
      </c>
      <c r="Z1037" t="str">
        <f>""</f>
        <v/>
      </c>
      <c r="AA1037" t="str">
        <f>""</f>
        <v/>
      </c>
      <c r="AB1037" t="str">
        <f>""</f>
        <v/>
      </c>
      <c r="AC1037" t="str">
        <f>""</f>
        <v/>
      </c>
      <c r="AD1037" t="str">
        <f>""</f>
        <v/>
      </c>
      <c r="AE1037" t="str">
        <f>""</f>
        <v/>
      </c>
      <c r="AF1037" t="str">
        <f>""</f>
        <v/>
      </c>
      <c r="AG1037" t="str">
        <f>""</f>
        <v/>
      </c>
      <c r="AH1037" t="str">
        <f>""</f>
        <v/>
      </c>
      <c r="AI1037" t="str">
        <f>""</f>
        <v/>
      </c>
      <c r="AJ1037" t="str">
        <f t="shared" si="523"/>
        <v>0</v>
      </c>
      <c r="AK1037" t="str">
        <f t="shared" si="523"/>
        <v>0</v>
      </c>
      <c r="AL1037" t="str">
        <f t="shared" si="523"/>
        <v>0</v>
      </c>
      <c r="AM1037" t="str">
        <f>""</f>
        <v/>
      </c>
      <c r="AN1037" t="str">
        <f>""</f>
        <v/>
      </c>
      <c r="AO1037" t="str">
        <f>""</f>
        <v/>
      </c>
      <c r="AP1037" t="str">
        <f>""</f>
        <v/>
      </c>
      <c r="AQ1037" t="str">
        <f>""</f>
        <v/>
      </c>
      <c r="AR1037" t="str">
        <f>""</f>
        <v/>
      </c>
      <c r="AS1037" t="str">
        <f>""</f>
        <v/>
      </c>
      <c r="AT1037" t="str">
        <f>""</f>
        <v/>
      </c>
      <c r="AU1037" t="str">
        <f>""</f>
        <v/>
      </c>
      <c r="AV1037" t="str">
        <f>""</f>
        <v/>
      </c>
      <c r="AW1037" t="str">
        <f>""</f>
        <v/>
      </c>
      <c r="AX1037" t="str">
        <f>""</f>
        <v/>
      </c>
      <c r="AY1037" t="str">
        <f>""</f>
        <v/>
      </c>
      <c r="AZ1037" t="str">
        <f>""</f>
        <v/>
      </c>
      <c r="BA1037" t="str">
        <f>""</f>
        <v/>
      </c>
      <c r="BB1037" t="str">
        <f>""</f>
        <v/>
      </c>
      <c r="BC1037" t="str">
        <f>""</f>
        <v/>
      </c>
      <c r="BD1037" t="str">
        <f>""</f>
        <v/>
      </c>
      <c r="BE1037" t="str">
        <f>""</f>
        <v/>
      </c>
      <c r="BF1037" t="str">
        <f t="shared" si="518"/>
        <v>A</v>
      </c>
      <c r="BG1037" t="str">
        <f>"0,00"</f>
        <v>0,00</v>
      </c>
      <c r="BH1037" t="str">
        <f>"0,00"</f>
        <v>0,00</v>
      </c>
      <c r="BI1037" t="str">
        <f t="shared" si="503"/>
        <v>EVENTUAL</v>
      </c>
      <c r="BJ1037" t="str">
        <f t="shared" si="519"/>
        <v>1</v>
      </c>
      <c r="BK1037" t="str">
        <f t="shared" si="520"/>
        <v>Farmacia</v>
      </c>
      <c r="BL1037" t="str">
        <f>""</f>
        <v/>
      </c>
      <c r="BM1037" t="str">
        <f>"NÃO É VARILUX ESPECIALISTA"</f>
        <v>NÃO É VARILUX ESPECIALISTA</v>
      </c>
      <c r="BN1037" t="str">
        <f>"NA"</f>
        <v>NA</v>
      </c>
      <c r="BO1037" t="str">
        <f>"FOCO KODAK 2"</f>
        <v>FOCO KODAK 2</v>
      </c>
      <c r="BP1037" t="str">
        <f>""</f>
        <v/>
      </c>
      <c r="BQ1037" t="str">
        <f>""</f>
        <v/>
      </c>
      <c r="BR1037" t="str">
        <f>""</f>
        <v/>
      </c>
      <c r="BS1037" t="str">
        <f>""</f>
        <v/>
      </c>
      <c r="BT1037" t="str">
        <f>""</f>
        <v/>
      </c>
      <c r="BU1037" t="str">
        <f>""</f>
        <v/>
      </c>
      <c r="BV1037" t="str">
        <f>"4"</f>
        <v>4</v>
      </c>
      <c r="BW1037" t="str">
        <f>"Não visitado"</f>
        <v>Não visitado</v>
      </c>
    </row>
    <row r="1038" spans="1:75" x14ac:dyDescent="0.35">
      <c r="A1038">
        <v>156866</v>
      </c>
      <c r="B1038" t="str">
        <f t="shared" si="515"/>
        <v>A</v>
      </c>
      <c r="C1038" t="str">
        <f t="shared" si="516"/>
        <v>80</v>
      </c>
      <c r="D1038" t="str">
        <f t="shared" si="509"/>
        <v>11121002</v>
      </c>
      <c r="E1038" t="str">
        <f t="shared" si="510"/>
        <v>121002</v>
      </c>
      <c r="F1038" t="str">
        <f t="shared" si="511"/>
        <v>CINTHIA NORONHA</v>
      </c>
      <c r="G1038" t="str">
        <f>"38830258000279"</f>
        <v>38830258000279</v>
      </c>
      <c r="H1038" t="str">
        <f>"0"</f>
        <v>0</v>
      </c>
      <c r="I1038" t="str">
        <f t="shared" si="517"/>
        <v>CONTA OPTICA</v>
      </c>
      <c r="J1038" t="str">
        <f>"OTICA ULTRA LAGES LTDA"</f>
        <v>OTICA ULTRA LAGES LTDA</v>
      </c>
      <c r="K1038" t="str">
        <f>"CHILLI BEANS (4607)"</f>
        <v>CHILLI BEANS (4607)</v>
      </c>
      <c r="L1038" t="str">
        <f>""</f>
        <v/>
      </c>
      <c r="M1038" t="str">
        <f>""</f>
        <v/>
      </c>
      <c r="N1038" t="str">
        <f>"SANTOSEDSONJR@GMAIL.COM"</f>
        <v>SANTOSEDSONJR@GMAIL.COM</v>
      </c>
      <c r="O1038" t="str">
        <f>""</f>
        <v/>
      </c>
      <c r="P1038" t="str">
        <f>"RUA BR 282"</f>
        <v>RUA BR 282</v>
      </c>
      <c r="Q1038" t="str">
        <f>"1015"</f>
        <v>1015</v>
      </c>
      <c r="R1038" t="str">
        <f>"LAGES GARDEN SH"</f>
        <v>LAGES GARDEN SH</v>
      </c>
      <c r="S1038" t="str">
        <f>""</f>
        <v/>
      </c>
      <c r="T1038" t="str">
        <f>"88524400"</f>
        <v>88524400</v>
      </c>
      <c r="U1038" t="str">
        <f>"BATES"</f>
        <v>BATES</v>
      </c>
      <c r="V1038" t="str">
        <f>"LAGES"</f>
        <v>LAGES</v>
      </c>
      <c r="W1038" t="str">
        <f t="shared" si="522"/>
        <v>SC</v>
      </c>
      <c r="X1038" t="str">
        <f>"49"</f>
        <v>49</v>
      </c>
      <c r="Y1038" t="str">
        <f>"998287839"</f>
        <v>998287839</v>
      </c>
      <c r="Z1038" t="str">
        <f>""</f>
        <v/>
      </c>
      <c r="AA1038" t="str">
        <f>""</f>
        <v/>
      </c>
      <c r="AB1038" t="str">
        <f>""</f>
        <v/>
      </c>
      <c r="AC1038" t="str">
        <f>""</f>
        <v/>
      </c>
      <c r="AD1038" t="str">
        <f>""</f>
        <v/>
      </c>
      <c r="AE1038" t="str">
        <f>""</f>
        <v/>
      </c>
      <c r="AF1038" t="str">
        <f>""</f>
        <v/>
      </c>
      <c r="AG1038" t="str">
        <f>""</f>
        <v/>
      </c>
      <c r="AH1038" t="str">
        <f>""</f>
        <v/>
      </c>
      <c r="AI1038" t="str">
        <f>""</f>
        <v/>
      </c>
      <c r="AJ1038" t="str">
        <f>""</f>
        <v/>
      </c>
      <c r="AK1038" t="str">
        <f>""</f>
        <v/>
      </c>
      <c r="AL1038" t="str">
        <f>""</f>
        <v/>
      </c>
      <c r="AM1038" t="str">
        <f>""</f>
        <v/>
      </c>
      <c r="AN1038" t="str">
        <f>""</f>
        <v/>
      </c>
      <c r="AO1038" t="str">
        <f>""</f>
        <v/>
      </c>
      <c r="AP1038" t="str">
        <f>""</f>
        <v/>
      </c>
      <c r="AQ1038" t="str">
        <f>""</f>
        <v/>
      </c>
      <c r="AR1038" t="str">
        <f>""</f>
        <v/>
      </c>
      <c r="AS1038" t="str">
        <f>""</f>
        <v/>
      </c>
      <c r="AT1038" t="str">
        <f>""</f>
        <v/>
      </c>
      <c r="AU1038" t="str">
        <f>""</f>
        <v/>
      </c>
      <c r="AV1038" t="str">
        <f>""</f>
        <v/>
      </c>
      <c r="AW1038" t="str">
        <f>""</f>
        <v/>
      </c>
      <c r="AX1038" t="str">
        <f>""</f>
        <v/>
      </c>
      <c r="AY1038" t="str">
        <f>""</f>
        <v/>
      </c>
      <c r="AZ1038" t="str">
        <f>""</f>
        <v/>
      </c>
      <c r="BA1038" t="str">
        <f>""</f>
        <v/>
      </c>
      <c r="BB1038" t="str">
        <f>"06/07/2023 12:07:48"</f>
        <v>06/07/2023 12:07:48</v>
      </c>
      <c r="BC1038" t="str">
        <f>""</f>
        <v/>
      </c>
      <c r="BD1038" t="str">
        <f>""</f>
        <v/>
      </c>
      <c r="BE1038" t="str">
        <f>""</f>
        <v/>
      </c>
      <c r="BF1038" t="str">
        <f t="shared" si="518"/>
        <v>A</v>
      </c>
      <c r="BG1038" t="str">
        <f>""</f>
        <v/>
      </c>
      <c r="BH1038" t="str">
        <f>""</f>
        <v/>
      </c>
      <c r="BI1038" t="str">
        <f t="shared" si="503"/>
        <v>EVENTUAL</v>
      </c>
      <c r="BJ1038" t="str">
        <f t="shared" si="519"/>
        <v>1</v>
      </c>
      <c r="BK1038" t="str">
        <f t="shared" si="520"/>
        <v>Farmacia</v>
      </c>
      <c r="BL1038" t="str">
        <f>""</f>
        <v/>
      </c>
      <c r="BM1038" t="str">
        <f>""</f>
        <v/>
      </c>
      <c r="BN1038" t="str">
        <f>""</f>
        <v/>
      </c>
      <c r="BO1038" t="str">
        <f>""</f>
        <v/>
      </c>
      <c r="BP1038" t="str">
        <f>""</f>
        <v/>
      </c>
      <c r="BQ1038" t="str">
        <f>""</f>
        <v/>
      </c>
      <c r="BR1038" t="str">
        <f>"06/07/2023"</f>
        <v>06/07/2023</v>
      </c>
      <c r="BS1038" t="str">
        <f>""</f>
        <v/>
      </c>
      <c r="BT1038" t="str">
        <f>""</f>
        <v/>
      </c>
      <c r="BU1038" t="str">
        <f>""</f>
        <v/>
      </c>
      <c r="BV1038" t="str">
        <f>""</f>
        <v/>
      </c>
      <c r="BW1038" t="str">
        <f>"Não visitado"</f>
        <v>Não visitado</v>
      </c>
    </row>
    <row r="1039" spans="1:75" x14ac:dyDescent="0.35">
      <c r="A1039">
        <v>134552</v>
      </c>
      <c r="B1039" t="str">
        <f t="shared" si="515"/>
        <v>A</v>
      </c>
      <c r="C1039" t="str">
        <f t="shared" si="516"/>
        <v>80</v>
      </c>
      <c r="D1039" t="str">
        <f t="shared" si="509"/>
        <v>11121002</v>
      </c>
      <c r="E1039" t="str">
        <f t="shared" si="510"/>
        <v>121002</v>
      </c>
      <c r="F1039" t="str">
        <f t="shared" si="511"/>
        <v>CINTHIA NORONHA</v>
      </c>
      <c r="G1039" t="str">
        <f>"38830258000198"</f>
        <v>38830258000198</v>
      </c>
      <c r="H1039" t="str">
        <f>""</f>
        <v/>
      </c>
      <c r="I1039" t="str">
        <f t="shared" si="517"/>
        <v>CONTA OPTICA</v>
      </c>
      <c r="J1039" t="str">
        <f>"OTICA ULTRA LAGES LTDA"</f>
        <v>OTICA ULTRA LAGES LTDA</v>
      </c>
      <c r="K1039" t="str">
        <f>"OTICA ULTRA LAGES - CHILLI BEANS (4226)"</f>
        <v>OTICA ULTRA LAGES - CHILLI BEANS (4226)</v>
      </c>
      <c r="L1039" t="str">
        <f>""</f>
        <v/>
      </c>
      <c r="M1039" t="str">
        <f>""</f>
        <v/>
      </c>
      <c r="N1039" t="str">
        <f>"oticalages.ljr@lojaschillibeans.com.br"</f>
        <v>oticalages.ljr@lojaschillibeans.com.br</v>
      </c>
      <c r="O1039" t="str">
        <f>""</f>
        <v/>
      </c>
      <c r="P1039" t="str">
        <f>"PRACA JOAO COSTA"</f>
        <v>PRACA JOAO COSTA</v>
      </c>
      <c r="Q1039" t="str">
        <f>"60"</f>
        <v>60</v>
      </c>
      <c r="R1039" t="str">
        <f>"ED DOUTOR ACCAC"</f>
        <v>ED DOUTOR ACCAC</v>
      </c>
      <c r="S1039" t="str">
        <f>""</f>
        <v/>
      </c>
      <c r="T1039" t="str">
        <f>"88502175"</f>
        <v>88502175</v>
      </c>
      <c r="U1039" t="str">
        <f>"CENTRO"</f>
        <v>CENTRO</v>
      </c>
      <c r="V1039" t="str">
        <f>"LAGES"</f>
        <v>LAGES</v>
      </c>
      <c r="W1039" t="str">
        <f t="shared" si="522"/>
        <v>SC</v>
      </c>
      <c r="X1039" t="str">
        <f>"49"</f>
        <v>49</v>
      </c>
      <c r="Y1039" t="str">
        <f>"33800525"</f>
        <v>33800525</v>
      </c>
      <c r="Z1039" t="str">
        <f>""</f>
        <v/>
      </c>
      <c r="AA1039" t="str">
        <f>""</f>
        <v/>
      </c>
      <c r="AB1039" t="str">
        <f>""</f>
        <v/>
      </c>
      <c r="AC1039" t="str">
        <f>""</f>
        <v/>
      </c>
      <c r="AD1039" t="str">
        <f>""</f>
        <v/>
      </c>
      <c r="AE1039" t="str">
        <f>""</f>
        <v/>
      </c>
      <c r="AF1039" t="str">
        <f>""</f>
        <v/>
      </c>
      <c r="AG1039" t="str">
        <f>"S"</f>
        <v>S</v>
      </c>
      <c r="AH1039" t="str">
        <f>""</f>
        <v/>
      </c>
      <c r="AI1039" t="str">
        <f>""</f>
        <v/>
      </c>
      <c r="AJ1039" t="str">
        <f>""</f>
        <v/>
      </c>
      <c r="AK1039" t="str">
        <f>""</f>
        <v/>
      </c>
      <c r="AL1039" t="str">
        <f>""</f>
        <v/>
      </c>
      <c r="AM1039" t="str">
        <f>""</f>
        <v/>
      </c>
      <c r="AN1039" t="str">
        <f>""</f>
        <v/>
      </c>
      <c r="AO1039" t="str">
        <f>""</f>
        <v/>
      </c>
      <c r="AP1039" t="str">
        <f>""</f>
        <v/>
      </c>
      <c r="AQ1039" t="str">
        <f t="shared" ref="AQ1039:AU1040" si="524">"N"</f>
        <v>N</v>
      </c>
      <c r="AR1039" t="str">
        <f t="shared" si="524"/>
        <v>N</v>
      </c>
      <c r="AS1039" t="str">
        <f t="shared" si="524"/>
        <v>N</v>
      </c>
      <c r="AT1039" t="str">
        <f t="shared" si="524"/>
        <v>N</v>
      </c>
      <c r="AU1039" t="str">
        <f t="shared" si="524"/>
        <v>N</v>
      </c>
      <c r="AV1039" t="str">
        <f>""</f>
        <v/>
      </c>
      <c r="AW1039" t="str">
        <f>""</f>
        <v/>
      </c>
      <c r="AX1039" t="str">
        <f>""</f>
        <v/>
      </c>
      <c r="AY1039" t="str">
        <f>""</f>
        <v/>
      </c>
      <c r="AZ1039" t="str">
        <f>""</f>
        <v/>
      </c>
      <c r="BA1039" t="str">
        <f>""</f>
        <v/>
      </c>
      <c r="BB1039" t="str">
        <f>""</f>
        <v/>
      </c>
      <c r="BC1039" t="str">
        <f>"20/12/2021 08:34:11"</f>
        <v>20/12/2021 08:34:11</v>
      </c>
      <c r="BD1039" t="str">
        <f>""</f>
        <v/>
      </c>
      <c r="BE1039" t="str">
        <f>""</f>
        <v/>
      </c>
      <c r="BF1039" t="str">
        <f t="shared" si="518"/>
        <v>A</v>
      </c>
      <c r="BG1039" t="str">
        <f>""</f>
        <v/>
      </c>
      <c r="BH1039" t="str">
        <f>"0,00"</f>
        <v>0,00</v>
      </c>
      <c r="BI1039" t="str">
        <f t="shared" si="503"/>
        <v>EVENTUAL</v>
      </c>
      <c r="BJ1039" t="str">
        <f t="shared" si="519"/>
        <v>1</v>
      </c>
      <c r="BK1039" t="str">
        <f t="shared" si="520"/>
        <v>Farmacia</v>
      </c>
      <c r="BL1039" t="str">
        <f>""</f>
        <v/>
      </c>
      <c r="BM1039" t="str">
        <f>"NÃO É VARILUX ESPECIALISTA"</f>
        <v>NÃO É VARILUX ESPECIALISTA</v>
      </c>
      <c r="BN1039" t="str">
        <f>"NA"</f>
        <v>NA</v>
      </c>
      <c r="BO1039" t="str">
        <f>"FOCO KODAK 2"</f>
        <v>FOCO KODAK 2</v>
      </c>
      <c r="BP1039" t="str">
        <f>""</f>
        <v/>
      </c>
      <c r="BQ1039" t="str">
        <f>""</f>
        <v/>
      </c>
      <c r="BR1039" t="str">
        <f>""</f>
        <v/>
      </c>
      <c r="BS1039" t="str">
        <f>"20/12/2021"</f>
        <v>20/12/2021</v>
      </c>
      <c r="BT1039" t="str">
        <f>""</f>
        <v/>
      </c>
      <c r="BU1039" t="str">
        <f>""</f>
        <v/>
      </c>
      <c r="BV1039" t="str">
        <f>""</f>
        <v/>
      </c>
      <c r="BW1039" t="str">
        <f>"707"</f>
        <v>707</v>
      </c>
    </row>
    <row r="1040" spans="1:75" x14ac:dyDescent="0.35">
      <c r="A1040">
        <v>134304</v>
      </c>
      <c r="B1040" t="str">
        <f t="shared" si="515"/>
        <v>A</v>
      </c>
      <c r="C1040" t="str">
        <f t="shared" si="516"/>
        <v>80</v>
      </c>
      <c r="D1040" t="str">
        <f t="shared" si="509"/>
        <v>11121002</v>
      </c>
      <c r="E1040" t="str">
        <f t="shared" si="510"/>
        <v>121002</v>
      </c>
      <c r="F1040" t="str">
        <f t="shared" si="511"/>
        <v>CINTHIA NORONHA</v>
      </c>
      <c r="G1040" t="str">
        <f>"83417659000175"</f>
        <v>83417659000175</v>
      </c>
      <c r="H1040" t="str">
        <f>""</f>
        <v/>
      </c>
      <c r="I1040" t="str">
        <f t="shared" si="517"/>
        <v>CONTA OPTICA</v>
      </c>
      <c r="J1040" t="str">
        <f>"OTICA UNIVERSAL LTDA"</f>
        <v>OTICA UNIVERSAL LTDA</v>
      </c>
      <c r="K1040" t="str">
        <f>"OTICA UNIVERSAL LTDA (360)"</f>
        <v>OTICA UNIVERSAL LTDA (360)</v>
      </c>
      <c r="L1040" t="str">
        <f>""</f>
        <v/>
      </c>
      <c r="M1040" t="str">
        <f>""</f>
        <v/>
      </c>
      <c r="N1040" t="str">
        <f>"oticauniversal@bol.com.br"</f>
        <v>oticauniversal@bol.com.br</v>
      </c>
      <c r="O1040" t="str">
        <f>""</f>
        <v/>
      </c>
      <c r="P1040" t="str">
        <f>"RUA JOAO DE CASTRO"</f>
        <v>RUA JOAO DE CASTRO</v>
      </c>
      <c r="Q1040" t="str">
        <f>"97"</f>
        <v>97</v>
      </c>
      <c r="R1040" t="str">
        <f>"SALA 02"</f>
        <v>SALA 02</v>
      </c>
      <c r="S1040" t="str">
        <f>"1266"</f>
        <v>1266</v>
      </c>
      <c r="T1040" t="str">
        <f>"88501160"</f>
        <v>88501160</v>
      </c>
      <c r="U1040" t="str">
        <f>"CENTRO"</f>
        <v>CENTRO</v>
      </c>
      <c r="V1040" t="str">
        <f>"LAGES"</f>
        <v>LAGES</v>
      </c>
      <c r="W1040" t="str">
        <f t="shared" si="522"/>
        <v>SC</v>
      </c>
      <c r="X1040" t="str">
        <f>"49"</f>
        <v>49</v>
      </c>
      <c r="Y1040" t="str">
        <f>"32220345"</f>
        <v>32220345</v>
      </c>
      <c r="Z1040" t="str">
        <f>""</f>
        <v/>
      </c>
      <c r="AA1040" t="str">
        <f>""</f>
        <v/>
      </c>
      <c r="AB1040" t="str">
        <f>""</f>
        <v/>
      </c>
      <c r="AC1040" t="str">
        <f>""</f>
        <v/>
      </c>
      <c r="AD1040" t="str">
        <f>""</f>
        <v/>
      </c>
      <c r="AE1040" t="str">
        <f>""</f>
        <v/>
      </c>
      <c r="AF1040" t="str">
        <f>""</f>
        <v/>
      </c>
      <c r="AG1040" t="str">
        <f>"S"</f>
        <v>S</v>
      </c>
      <c r="AH1040" t="str">
        <f>""</f>
        <v/>
      </c>
      <c r="AI1040" t="str">
        <f>""</f>
        <v/>
      </c>
      <c r="AJ1040" t="str">
        <f>"0"</f>
        <v>0</v>
      </c>
      <c r="AK1040" t="str">
        <f>"0"</f>
        <v>0</v>
      </c>
      <c r="AL1040" t="str">
        <f>"0"</f>
        <v>0</v>
      </c>
      <c r="AM1040" t="str">
        <f>""</f>
        <v/>
      </c>
      <c r="AN1040" t="str">
        <f>""</f>
        <v/>
      </c>
      <c r="AO1040" t="str">
        <f>""</f>
        <v/>
      </c>
      <c r="AP1040" t="str">
        <f>""</f>
        <v/>
      </c>
      <c r="AQ1040" t="str">
        <f t="shared" si="524"/>
        <v>N</v>
      </c>
      <c r="AR1040" t="str">
        <f t="shared" si="524"/>
        <v>N</v>
      </c>
      <c r="AS1040" t="str">
        <f t="shared" si="524"/>
        <v>N</v>
      </c>
      <c r="AT1040" t="str">
        <f t="shared" si="524"/>
        <v>N</v>
      </c>
      <c r="AU1040" t="str">
        <f t="shared" si="524"/>
        <v>N</v>
      </c>
      <c r="AV1040" t="str">
        <f>""</f>
        <v/>
      </c>
      <c r="AW1040" t="str">
        <f>""</f>
        <v/>
      </c>
      <c r="AX1040" t="str">
        <f>""</f>
        <v/>
      </c>
      <c r="AY1040" t="str">
        <f>""</f>
        <v/>
      </c>
      <c r="AZ1040" t="str">
        <f>""</f>
        <v/>
      </c>
      <c r="BA1040" t="str">
        <f>""</f>
        <v/>
      </c>
      <c r="BB1040" t="str">
        <f>""</f>
        <v/>
      </c>
      <c r="BC1040" t="str">
        <f>"20/12/2021 16:19:26"</f>
        <v>20/12/2021 16:19:26</v>
      </c>
      <c r="BD1040" t="str">
        <f>""</f>
        <v/>
      </c>
      <c r="BE1040" t="str">
        <f>""</f>
        <v/>
      </c>
      <c r="BF1040" t="str">
        <f t="shared" si="518"/>
        <v>A</v>
      </c>
      <c r="BG1040" t="str">
        <f>"0,00"</f>
        <v>0,00</v>
      </c>
      <c r="BH1040" t="str">
        <f>"0,00"</f>
        <v>0,00</v>
      </c>
      <c r="BI1040" t="str">
        <f t="shared" si="503"/>
        <v>EVENTUAL</v>
      </c>
      <c r="BJ1040" t="str">
        <f t="shared" si="519"/>
        <v>1</v>
      </c>
      <c r="BK1040" t="str">
        <f t="shared" si="520"/>
        <v>Farmacia</v>
      </c>
      <c r="BL1040" t="str">
        <f>""</f>
        <v/>
      </c>
      <c r="BM1040" t="str">
        <f>"VARILUX ESPECIALISTA SELECT"</f>
        <v>VARILUX ESPECIALISTA SELECT</v>
      </c>
      <c r="BN1040" t="str">
        <f>"NA"</f>
        <v>NA</v>
      </c>
      <c r="BO1040" t="str">
        <f>"FOCO VARILUX DIGITAL"</f>
        <v>FOCO VARILUX DIGITAL</v>
      </c>
      <c r="BP1040" t="str">
        <f>""</f>
        <v/>
      </c>
      <c r="BQ1040" t="str">
        <f>""</f>
        <v/>
      </c>
      <c r="BR1040" t="str">
        <f>""</f>
        <v/>
      </c>
      <c r="BS1040" t="str">
        <f>"20/12/2021"</f>
        <v>20/12/2021</v>
      </c>
      <c r="BT1040" t="str">
        <f>""</f>
        <v/>
      </c>
      <c r="BU1040" t="str">
        <f>""</f>
        <v/>
      </c>
      <c r="BV1040" t="str">
        <f>"1"</f>
        <v>1</v>
      </c>
      <c r="BW1040" t="str">
        <f>"36"</f>
        <v>36</v>
      </c>
    </row>
    <row r="1041" spans="1:75" x14ac:dyDescent="0.35">
      <c r="A1041">
        <v>157724</v>
      </c>
      <c r="B1041" t="str">
        <f t="shared" si="515"/>
        <v>A</v>
      </c>
      <c r="C1041" t="str">
        <f t="shared" si="516"/>
        <v>80</v>
      </c>
      <c r="D1041" t="str">
        <f t="shared" si="509"/>
        <v>11121002</v>
      </c>
      <c r="E1041" t="str">
        <f t="shared" si="510"/>
        <v>121002</v>
      </c>
      <c r="F1041" t="str">
        <f t="shared" si="511"/>
        <v>CINTHIA NORONHA</v>
      </c>
      <c r="G1041" t="str">
        <f>"03484064000101"</f>
        <v>03484064000101</v>
      </c>
      <c r="H1041" t="str">
        <f>"0"</f>
        <v>0</v>
      </c>
      <c r="I1041" t="str">
        <f t="shared" si="517"/>
        <v>CONTA OPTICA</v>
      </c>
      <c r="J1041" t="str">
        <f>"OTICA VENUS LTDA ME"</f>
        <v>OTICA VENUS LTDA ME</v>
      </c>
      <c r="K1041" t="str">
        <f>"OTICA VENUS (1491)"</f>
        <v>OTICA VENUS (1491)</v>
      </c>
      <c r="L1041" t="str">
        <f>""</f>
        <v/>
      </c>
      <c r="M1041" t="str">
        <f>""</f>
        <v/>
      </c>
      <c r="N1041" t="str">
        <f>""</f>
        <v/>
      </c>
      <c r="O1041" t="str">
        <f>""</f>
        <v/>
      </c>
      <c r="P1041" t="str">
        <f>"RUA SANTOS SARAIVA"</f>
        <v>RUA SANTOS SARAIVA</v>
      </c>
      <c r="Q1041" t="str">
        <f>"2233"</f>
        <v>2233</v>
      </c>
      <c r="R1041" t="str">
        <f>""</f>
        <v/>
      </c>
      <c r="S1041" t="str">
        <f>"1258"</f>
        <v>1258</v>
      </c>
      <c r="T1041" t="str">
        <f>"88070101"</f>
        <v>88070101</v>
      </c>
      <c r="U1041" t="str">
        <f>"CAPOEIRAS"</f>
        <v>CAPOEIRAS</v>
      </c>
      <c r="V1041" t="str">
        <f>"FLORIANOPOLIS"</f>
        <v>FLORIANOPOLIS</v>
      </c>
      <c r="W1041" t="str">
        <f t="shared" si="522"/>
        <v>SC</v>
      </c>
      <c r="X1041" t="str">
        <f t="shared" ref="X1041:X1047" si="525">"48"</f>
        <v>48</v>
      </c>
      <c r="Y1041" t="str">
        <f>"33643490"</f>
        <v>33643490</v>
      </c>
      <c r="Z1041" t="str">
        <f>""</f>
        <v/>
      </c>
      <c r="AA1041" t="str">
        <f>""</f>
        <v/>
      </c>
      <c r="AB1041" t="str">
        <f>""</f>
        <v/>
      </c>
      <c r="AC1041" t="str">
        <f>""</f>
        <v/>
      </c>
      <c r="AD1041" t="str">
        <f>""</f>
        <v/>
      </c>
      <c r="AE1041" t="str">
        <f>""</f>
        <v/>
      </c>
      <c r="AF1041" t="str">
        <f>""</f>
        <v/>
      </c>
      <c r="AG1041" t="str">
        <f>""</f>
        <v/>
      </c>
      <c r="AH1041" t="str">
        <f>""</f>
        <v/>
      </c>
      <c r="AI1041" t="str">
        <f>""</f>
        <v/>
      </c>
      <c r="AJ1041" t="str">
        <f>""</f>
        <v/>
      </c>
      <c r="AK1041" t="str">
        <f>""</f>
        <v/>
      </c>
      <c r="AL1041" t="str">
        <f>""</f>
        <v/>
      </c>
      <c r="AM1041" t="str">
        <f>""</f>
        <v/>
      </c>
      <c r="AN1041" t="str">
        <f>""</f>
        <v/>
      </c>
      <c r="AO1041" t="str">
        <f>""</f>
        <v/>
      </c>
      <c r="AP1041" t="str">
        <f>""</f>
        <v/>
      </c>
      <c r="AQ1041" t="str">
        <f>""</f>
        <v/>
      </c>
      <c r="AR1041" t="str">
        <f>""</f>
        <v/>
      </c>
      <c r="AS1041" t="str">
        <f>""</f>
        <v/>
      </c>
      <c r="AT1041" t="str">
        <f>""</f>
        <v/>
      </c>
      <c r="AU1041" t="str">
        <f>""</f>
        <v/>
      </c>
      <c r="AV1041" t="str">
        <f>""</f>
        <v/>
      </c>
      <c r="AW1041" t="str">
        <f>""</f>
        <v/>
      </c>
      <c r="AX1041" t="str">
        <f>""</f>
        <v/>
      </c>
      <c r="AY1041" t="str">
        <f>""</f>
        <v/>
      </c>
      <c r="AZ1041" t="str">
        <f>""</f>
        <v/>
      </c>
      <c r="BA1041" t="str">
        <f>""</f>
        <v/>
      </c>
      <c r="BB1041" t="str">
        <f>"11/07/2023 02:19:56"</f>
        <v>11/07/2023 02:19:56</v>
      </c>
      <c r="BC1041" t="str">
        <f>""</f>
        <v/>
      </c>
      <c r="BD1041" t="str">
        <f>""</f>
        <v/>
      </c>
      <c r="BE1041" t="str">
        <f>""</f>
        <v/>
      </c>
      <c r="BF1041" t="str">
        <f t="shared" si="518"/>
        <v>A</v>
      </c>
      <c r="BG1041" t="str">
        <f>""</f>
        <v/>
      </c>
      <c r="BH1041" t="str">
        <f>""</f>
        <v/>
      </c>
      <c r="BI1041" t="str">
        <f t="shared" si="503"/>
        <v>EVENTUAL</v>
      </c>
      <c r="BJ1041" t="str">
        <f t="shared" si="519"/>
        <v>1</v>
      </c>
      <c r="BK1041" t="str">
        <f t="shared" si="520"/>
        <v>Farmacia</v>
      </c>
      <c r="BL1041" t="str">
        <f>""</f>
        <v/>
      </c>
      <c r="BM1041" t="str">
        <f>""</f>
        <v/>
      </c>
      <c r="BN1041" t="str">
        <f>""</f>
        <v/>
      </c>
      <c r="BO1041" t="str">
        <f>""</f>
        <v/>
      </c>
      <c r="BP1041" t="str">
        <f>""</f>
        <v/>
      </c>
      <c r="BQ1041" t="str">
        <f>""</f>
        <v/>
      </c>
      <c r="BR1041" t="str">
        <f>"11/07/2023"</f>
        <v>11/07/2023</v>
      </c>
      <c r="BS1041" t="str">
        <f>""</f>
        <v/>
      </c>
      <c r="BT1041" t="str">
        <f>""</f>
        <v/>
      </c>
      <c r="BU1041" t="str">
        <f>""</f>
        <v/>
      </c>
      <c r="BV1041" t="str">
        <f>""</f>
        <v/>
      </c>
      <c r="BW1041" t="str">
        <f>"Não visitado"</f>
        <v>Não visitado</v>
      </c>
    </row>
    <row r="1042" spans="1:75" x14ac:dyDescent="0.35">
      <c r="A1042">
        <v>134293</v>
      </c>
      <c r="B1042" t="str">
        <f t="shared" si="515"/>
        <v>A</v>
      </c>
      <c r="C1042" t="str">
        <f t="shared" si="516"/>
        <v>80</v>
      </c>
      <c r="D1042" t="str">
        <f t="shared" si="509"/>
        <v>11121002</v>
      </c>
      <c r="E1042" t="str">
        <f t="shared" si="510"/>
        <v>121002</v>
      </c>
      <c r="F1042" t="str">
        <f t="shared" si="511"/>
        <v>CINTHIA NORONHA</v>
      </c>
      <c r="G1042" t="str">
        <f>"95771002000190"</f>
        <v>95771002000190</v>
      </c>
      <c r="H1042" t="str">
        <f>""</f>
        <v/>
      </c>
      <c r="I1042" t="str">
        <f t="shared" si="517"/>
        <v>CONTA OPTICA</v>
      </c>
      <c r="J1042" t="str">
        <f>"OTICA VERONI LTDA"</f>
        <v>OTICA VERONI LTDA</v>
      </c>
      <c r="K1042" t="str">
        <f>"OTICA VERONI (375)"</f>
        <v>OTICA VERONI (375)</v>
      </c>
      <c r="L1042" t="str">
        <f>""</f>
        <v/>
      </c>
      <c r="M1042" t="str">
        <f>""</f>
        <v/>
      </c>
      <c r="N1042" t="str">
        <f>"oticaveroni1@hotmail.com"</f>
        <v>oticaveroni1@hotmail.com</v>
      </c>
      <c r="O1042" t="str">
        <f>""</f>
        <v/>
      </c>
      <c r="P1042" t="str">
        <f>"AVENIDA ANICETO ZACCHI"</f>
        <v>AVENIDA ANICETO ZACCHI</v>
      </c>
      <c r="Q1042" t="str">
        <f>"625"</f>
        <v>625</v>
      </c>
      <c r="R1042" t="str">
        <f>"A"</f>
        <v>A</v>
      </c>
      <c r="S1042" t="str">
        <f>"1259"</f>
        <v>1259</v>
      </c>
      <c r="T1042" t="str">
        <f>"88130301"</f>
        <v>88130301</v>
      </c>
      <c r="U1042" t="str">
        <f>"PONTE DO IMARUIM"</f>
        <v>PONTE DO IMARUIM</v>
      </c>
      <c r="V1042" t="str">
        <f>"PALHOÇA"</f>
        <v>PALHOÇA</v>
      </c>
      <c r="W1042" t="str">
        <f t="shared" si="522"/>
        <v>SC</v>
      </c>
      <c r="X1042" t="str">
        <f t="shared" si="525"/>
        <v>48</v>
      </c>
      <c r="Y1042" t="str">
        <f>"32422646"</f>
        <v>32422646</v>
      </c>
      <c r="Z1042" t="str">
        <f>""</f>
        <v/>
      </c>
      <c r="AA1042" t="str">
        <f>""</f>
        <v/>
      </c>
      <c r="AB1042" t="str">
        <f>""</f>
        <v/>
      </c>
      <c r="AC1042" t="str">
        <f>""</f>
        <v/>
      </c>
      <c r="AD1042" t="str">
        <f>""</f>
        <v/>
      </c>
      <c r="AE1042" t="str">
        <f>""</f>
        <v/>
      </c>
      <c r="AF1042" t="str">
        <f>""</f>
        <v/>
      </c>
      <c r="AG1042" t="str">
        <f>"S"</f>
        <v>S</v>
      </c>
      <c r="AH1042" t="str">
        <f>""</f>
        <v/>
      </c>
      <c r="AI1042" t="str">
        <f>""</f>
        <v/>
      </c>
      <c r="AJ1042" t="str">
        <f t="shared" ref="AJ1042:AL1043" si="526">"0"</f>
        <v>0</v>
      </c>
      <c r="AK1042" t="str">
        <f t="shared" si="526"/>
        <v>0</v>
      </c>
      <c r="AL1042" t="str">
        <f t="shared" si="526"/>
        <v>0</v>
      </c>
      <c r="AM1042" t="str">
        <f>""</f>
        <v/>
      </c>
      <c r="AN1042" t="str">
        <f>""</f>
        <v/>
      </c>
      <c r="AO1042" t="str">
        <f>""</f>
        <v/>
      </c>
      <c r="AP1042" t="str">
        <f>""</f>
        <v/>
      </c>
      <c r="AQ1042" t="str">
        <f t="shared" ref="AQ1042:AU1043" si="527">"N"</f>
        <v>N</v>
      </c>
      <c r="AR1042" t="str">
        <f t="shared" si="527"/>
        <v>N</v>
      </c>
      <c r="AS1042" t="str">
        <f t="shared" si="527"/>
        <v>N</v>
      </c>
      <c r="AT1042" t="str">
        <f t="shared" si="527"/>
        <v>N</v>
      </c>
      <c r="AU1042" t="str">
        <f t="shared" si="527"/>
        <v>N</v>
      </c>
      <c r="AV1042" t="str">
        <f>""</f>
        <v/>
      </c>
      <c r="AW1042" t="str">
        <f>""</f>
        <v/>
      </c>
      <c r="AX1042" t="str">
        <f>""</f>
        <v/>
      </c>
      <c r="AY1042" t="str">
        <f>""</f>
        <v/>
      </c>
      <c r="AZ1042" t="str">
        <f>""</f>
        <v/>
      </c>
      <c r="BA1042" t="str">
        <f>""</f>
        <v/>
      </c>
      <c r="BB1042" t="str">
        <f>""</f>
        <v/>
      </c>
      <c r="BC1042" t="str">
        <f>"03/03/2022 16:28:44"</f>
        <v>03/03/2022 16:28:44</v>
      </c>
      <c r="BD1042" t="str">
        <f>""</f>
        <v/>
      </c>
      <c r="BE1042" t="str">
        <f>""</f>
        <v/>
      </c>
      <c r="BF1042" t="str">
        <f t="shared" si="518"/>
        <v>A</v>
      </c>
      <c r="BG1042" t="str">
        <f>"0,00"</f>
        <v>0,00</v>
      </c>
      <c r="BH1042" t="str">
        <f>"0,00"</f>
        <v>0,00</v>
      </c>
      <c r="BI1042" t="str">
        <f t="shared" si="503"/>
        <v>EVENTUAL</v>
      </c>
      <c r="BJ1042" t="str">
        <f t="shared" si="519"/>
        <v>1</v>
      </c>
      <c r="BK1042" t="str">
        <f t="shared" si="520"/>
        <v>Farmacia</v>
      </c>
      <c r="BL1042" t="str">
        <f>""</f>
        <v/>
      </c>
      <c r="BM1042" t="str">
        <f>"NÃO É VARILUX ESPECIALISTA"</f>
        <v>NÃO É VARILUX ESPECIALISTA</v>
      </c>
      <c r="BN1042" t="str">
        <f>"NA"</f>
        <v>NA</v>
      </c>
      <c r="BO1042" t="str">
        <f>"FOCO VARILUX"</f>
        <v>FOCO VARILUX</v>
      </c>
      <c r="BP1042" t="str">
        <f>""</f>
        <v/>
      </c>
      <c r="BQ1042" t="str">
        <f>""</f>
        <v/>
      </c>
      <c r="BR1042" t="str">
        <f>""</f>
        <v/>
      </c>
      <c r="BS1042" t="str">
        <f>"03/03/2022"</f>
        <v>03/03/2022</v>
      </c>
      <c r="BT1042" t="str">
        <f>""</f>
        <v/>
      </c>
      <c r="BU1042" t="str">
        <f>""</f>
        <v/>
      </c>
      <c r="BV1042" t="str">
        <f>"9"</f>
        <v>9</v>
      </c>
      <c r="BW1042" t="str">
        <f>"16"</f>
        <v>16</v>
      </c>
    </row>
    <row r="1043" spans="1:75" x14ac:dyDescent="0.35">
      <c r="A1043">
        <v>134249</v>
      </c>
      <c r="B1043" t="str">
        <f t="shared" si="515"/>
        <v>A</v>
      </c>
      <c r="C1043" t="str">
        <f t="shared" si="516"/>
        <v>80</v>
      </c>
      <c r="D1043" t="str">
        <f t="shared" si="509"/>
        <v>11121002</v>
      </c>
      <c r="E1043" t="str">
        <f t="shared" si="510"/>
        <v>121002</v>
      </c>
      <c r="F1043" t="str">
        <f t="shared" si="511"/>
        <v>CINTHIA NORONHA</v>
      </c>
      <c r="G1043" t="str">
        <f>"16962942000190"</f>
        <v>16962942000190</v>
      </c>
      <c r="H1043" t="str">
        <f>""</f>
        <v/>
      </c>
      <c r="I1043" t="str">
        <f t="shared" si="517"/>
        <v>CONTA OPTICA</v>
      </c>
      <c r="J1043" t="str">
        <f>"OTICA VIDAL LTDA ME"</f>
        <v>OTICA VIDAL LTDA ME</v>
      </c>
      <c r="K1043" t="str">
        <f>"OTICA VIDAL (1943)"</f>
        <v>OTICA VIDAL (1943)</v>
      </c>
      <c r="L1043" t="str">
        <f>""</f>
        <v/>
      </c>
      <c r="M1043" t="str">
        <f>""</f>
        <v/>
      </c>
      <c r="N1043" t="str">
        <f>"oticavidalfpolis@hotmail.com"</f>
        <v>oticavidalfpolis@hotmail.com</v>
      </c>
      <c r="O1043" t="str">
        <f>""</f>
        <v/>
      </c>
      <c r="P1043" t="str">
        <f>"RUA VIDAL RAMOS"</f>
        <v>RUA VIDAL RAMOS</v>
      </c>
      <c r="Q1043" t="str">
        <f>"190"</f>
        <v>190</v>
      </c>
      <c r="R1043" t="str">
        <f>"LOJA 04"</f>
        <v>LOJA 04</v>
      </c>
      <c r="S1043" t="str">
        <f>"1254"</f>
        <v>1254</v>
      </c>
      <c r="T1043" t="str">
        <f>"88010320"</f>
        <v>88010320</v>
      </c>
      <c r="U1043" t="str">
        <f t="shared" ref="U1043:U1048" si="528">"CENTRO"</f>
        <v>CENTRO</v>
      </c>
      <c r="V1043" t="str">
        <f>"FLORIANÓPOLIS"</f>
        <v>FLORIANÓPOLIS</v>
      </c>
      <c r="W1043" t="str">
        <f t="shared" si="522"/>
        <v>SC</v>
      </c>
      <c r="X1043" t="str">
        <f t="shared" si="525"/>
        <v>48</v>
      </c>
      <c r="Y1043" t="str">
        <f>"32228068"</f>
        <v>32228068</v>
      </c>
      <c r="Z1043" t="str">
        <f>""</f>
        <v/>
      </c>
      <c r="AA1043" t="str">
        <f>""</f>
        <v/>
      </c>
      <c r="AB1043" t="str">
        <f>""</f>
        <v/>
      </c>
      <c r="AC1043" t="str">
        <f>""</f>
        <v/>
      </c>
      <c r="AD1043" t="str">
        <f>""</f>
        <v/>
      </c>
      <c r="AE1043" t="str">
        <f>""</f>
        <v/>
      </c>
      <c r="AF1043" t="str">
        <f>""</f>
        <v/>
      </c>
      <c r="AG1043" t="str">
        <f>"S"</f>
        <v>S</v>
      </c>
      <c r="AH1043" t="str">
        <f>""</f>
        <v/>
      </c>
      <c r="AI1043" t="str">
        <f>""</f>
        <v/>
      </c>
      <c r="AJ1043" t="str">
        <f t="shared" si="526"/>
        <v>0</v>
      </c>
      <c r="AK1043" t="str">
        <f t="shared" si="526"/>
        <v>0</v>
      </c>
      <c r="AL1043" t="str">
        <f t="shared" si="526"/>
        <v>0</v>
      </c>
      <c r="AM1043" t="str">
        <f>""</f>
        <v/>
      </c>
      <c r="AN1043" t="str">
        <f>""</f>
        <v/>
      </c>
      <c r="AO1043" t="str">
        <f>""</f>
        <v/>
      </c>
      <c r="AP1043" t="str">
        <f>""</f>
        <v/>
      </c>
      <c r="AQ1043" t="str">
        <f t="shared" si="527"/>
        <v>N</v>
      </c>
      <c r="AR1043" t="str">
        <f t="shared" si="527"/>
        <v>N</v>
      </c>
      <c r="AS1043" t="str">
        <f t="shared" si="527"/>
        <v>N</v>
      </c>
      <c r="AT1043" t="str">
        <f t="shared" si="527"/>
        <v>N</v>
      </c>
      <c r="AU1043" t="str">
        <f t="shared" si="527"/>
        <v>N</v>
      </c>
      <c r="AV1043" t="str">
        <f>""</f>
        <v/>
      </c>
      <c r="AW1043" t="str">
        <f>""</f>
        <v/>
      </c>
      <c r="AX1043" t="str">
        <f>""</f>
        <v/>
      </c>
      <c r="AY1043" t="str">
        <f>""</f>
        <v/>
      </c>
      <c r="AZ1043" t="str">
        <f>""</f>
        <v/>
      </c>
      <c r="BA1043" t="str">
        <f>""</f>
        <v/>
      </c>
      <c r="BB1043" t="str">
        <f>""</f>
        <v/>
      </c>
      <c r="BC1043" t="str">
        <f>"02/05/2022 13:18:40"</f>
        <v>02/05/2022 13:18:40</v>
      </c>
      <c r="BD1043" t="str">
        <f>""</f>
        <v/>
      </c>
      <c r="BE1043" t="str">
        <f>""</f>
        <v/>
      </c>
      <c r="BF1043" t="str">
        <f t="shared" si="518"/>
        <v>A</v>
      </c>
      <c r="BG1043" t="str">
        <f>"0,00"</f>
        <v>0,00</v>
      </c>
      <c r="BH1043" t="str">
        <f>"0,00"</f>
        <v>0,00</v>
      </c>
      <c r="BI1043" t="str">
        <f t="shared" si="503"/>
        <v>EVENTUAL</v>
      </c>
      <c r="BJ1043" t="str">
        <f t="shared" si="519"/>
        <v>1</v>
      </c>
      <c r="BK1043" t="str">
        <f t="shared" si="520"/>
        <v>Farmacia</v>
      </c>
      <c r="BL1043" t="str">
        <f>""</f>
        <v/>
      </c>
      <c r="BM1043" t="str">
        <f>"NÃO É VARILUX ESPECIALISTA"</f>
        <v>NÃO É VARILUX ESPECIALISTA</v>
      </c>
      <c r="BN1043" t="str">
        <f>"NA"</f>
        <v>NA</v>
      </c>
      <c r="BO1043" t="str">
        <f>"FOCO KODAK 2"</f>
        <v>FOCO KODAK 2</v>
      </c>
      <c r="BP1043" t="str">
        <f>""</f>
        <v/>
      </c>
      <c r="BQ1043" t="str">
        <f>""</f>
        <v/>
      </c>
      <c r="BR1043" t="str">
        <f>""</f>
        <v/>
      </c>
      <c r="BS1043" t="str">
        <f>"02/05/2022"</f>
        <v>02/05/2022</v>
      </c>
      <c r="BT1043" t="str">
        <f>""</f>
        <v/>
      </c>
      <c r="BU1043" t="str">
        <f>""</f>
        <v/>
      </c>
      <c r="BV1043" t="str">
        <f>"7"</f>
        <v>7</v>
      </c>
      <c r="BW1043" t="str">
        <f>"72"</f>
        <v>72</v>
      </c>
    </row>
    <row r="1044" spans="1:75" x14ac:dyDescent="0.35">
      <c r="A1044">
        <v>158708</v>
      </c>
      <c r="B1044" t="str">
        <f t="shared" si="515"/>
        <v>A</v>
      </c>
      <c r="C1044" t="str">
        <f t="shared" si="516"/>
        <v>80</v>
      </c>
      <c r="D1044" t="str">
        <f t="shared" si="509"/>
        <v>11121002</v>
      </c>
      <c r="E1044" t="str">
        <f t="shared" si="510"/>
        <v>121002</v>
      </c>
      <c r="F1044" t="str">
        <f t="shared" si="511"/>
        <v>CINTHIA NORONHA</v>
      </c>
      <c r="G1044" t="str">
        <f>"50136230000150"</f>
        <v>50136230000150</v>
      </c>
      <c r="H1044" t="str">
        <f>""</f>
        <v/>
      </c>
      <c r="I1044" t="str">
        <f t="shared" si="517"/>
        <v>CONTA OPTICA</v>
      </c>
      <c r="J1044" t="str">
        <f>"OTICA VISAO SUL LTDA"</f>
        <v>OTICA VISAO SUL LTDA</v>
      </c>
      <c r="K1044" t="str">
        <f>"OTICA VISAO SUL (4722)"</f>
        <v>OTICA VISAO SUL (4722)</v>
      </c>
      <c r="L1044" t="str">
        <f>""</f>
        <v/>
      </c>
      <c r="M1044" t="str">
        <f>""</f>
        <v/>
      </c>
      <c r="N1044" t="str">
        <f>"FABYSELAU@HOTMAIL.COM"</f>
        <v>FABYSELAU@HOTMAIL.COM</v>
      </c>
      <c r="O1044" t="str">
        <f>""</f>
        <v/>
      </c>
      <c r="P1044" t="str">
        <f>"RUA ANSELMO BORBA"</f>
        <v>RUA ANSELMO BORBA</v>
      </c>
      <c r="Q1044" t="str">
        <f>"256"</f>
        <v>256</v>
      </c>
      <c r="R1044" t="str">
        <f>"SALA 01"</f>
        <v>SALA 01</v>
      </c>
      <c r="S1044" t="str">
        <f>"1270"</f>
        <v>1270</v>
      </c>
      <c r="T1044" t="str">
        <f>"88970000"</f>
        <v>88970000</v>
      </c>
      <c r="U1044" t="str">
        <f t="shared" si="528"/>
        <v>CENTRO</v>
      </c>
      <c r="V1044" t="str">
        <f>"SAO JOAO DO SUL"</f>
        <v>SAO JOAO DO SUL</v>
      </c>
      <c r="W1044" t="str">
        <f t="shared" si="522"/>
        <v>SC</v>
      </c>
      <c r="X1044" t="str">
        <f t="shared" si="525"/>
        <v>48</v>
      </c>
      <c r="Y1044" t="str">
        <f>"988505722"</f>
        <v>988505722</v>
      </c>
      <c r="Z1044" t="str">
        <f>""</f>
        <v/>
      </c>
      <c r="AA1044" t="str">
        <f>""</f>
        <v/>
      </c>
      <c r="AB1044" t="str">
        <f>""</f>
        <v/>
      </c>
      <c r="AC1044" t="str">
        <f>""</f>
        <v/>
      </c>
      <c r="AD1044" t="str">
        <f>""</f>
        <v/>
      </c>
      <c r="AE1044" t="str">
        <f>""</f>
        <v/>
      </c>
      <c r="AF1044" t="str">
        <f>""</f>
        <v/>
      </c>
      <c r="AG1044" t="str">
        <f>""</f>
        <v/>
      </c>
      <c r="AH1044" t="str">
        <f>""</f>
        <v/>
      </c>
      <c r="AI1044" t="str">
        <f>""</f>
        <v/>
      </c>
      <c r="AJ1044" t="str">
        <f>""</f>
        <v/>
      </c>
      <c r="AK1044" t="str">
        <f>""</f>
        <v/>
      </c>
      <c r="AL1044" t="str">
        <f>""</f>
        <v/>
      </c>
      <c r="AM1044" t="str">
        <f>""</f>
        <v/>
      </c>
      <c r="AN1044" t="str">
        <f>""</f>
        <v/>
      </c>
      <c r="AO1044" t="str">
        <f>""</f>
        <v/>
      </c>
      <c r="AP1044" t="str">
        <f>""</f>
        <v/>
      </c>
      <c r="AQ1044" t="str">
        <f>""</f>
        <v/>
      </c>
      <c r="AR1044" t="str">
        <f>""</f>
        <v/>
      </c>
      <c r="AS1044" t="str">
        <f>""</f>
        <v/>
      </c>
      <c r="AT1044" t="str">
        <f>""</f>
        <v/>
      </c>
      <c r="AU1044" t="str">
        <f>""</f>
        <v/>
      </c>
      <c r="AV1044" t="str">
        <f>""</f>
        <v/>
      </c>
      <c r="AW1044" t="str">
        <f>""</f>
        <v/>
      </c>
      <c r="AX1044" t="str">
        <f>""</f>
        <v/>
      </c>
      <c r="AY1044" t="str">
        <f>""</f>
        <v/>
      </c>
      <c r="AZ1044" t="str">
        <f>""</f>
        <v/>
      </c>
      <c r="BA1044" t="str">
        <f>""</f>
        <v/>
      </c>
      <c r="BB1044" t="str">
        <f>"17/08/2023 16:48:06"</f>
        <v>17/08/2023 16:48:06</v>
      </c>
      <c r="BC1044" t="str">
        <f>""</f>
        <v/>
      </c>
      <c r="BD1044" t="str">
        <f>""</f>
        <v/>
      </c>
      <c r="BE1044" t="str">
        <f>""</f>
        <v/>
      </c>
      <c r="BF1044" t="str">
        <f t="shared" si="518"/>
        <v>A</v>
      </c>
      <c r="BG1044" t="str">
        <f>""</f>
        <v/>
      </c>
      <c r="BH1044" t="str">
        <f>""</f>
        <v/>
      </c>
      <c r="BI1044" t="str">
        <f t="shared" si="503"/>
        <v>EVENTUAL</v>
      </c>
      <c r="BJ1044" t="str">
        <f t="shared" si="519"/>
        <v>1</v>
      </c>
      <c r="BK1044" t="str">
        <f t="shared" si="520"/>
        <v>Farmacia</v>
      </c>
      <c r="BL1044" t="str">
        <f>""</f>
        <v/>
      </c>
      <c r="BM1044" t="str">
        <f>""</f>
        <v/>
      </c>
      <c r="BN1044" t="str">
        <f>""</f>
        <v/>
      </c>
      <c r="BO1044" t="str">
        <f>""</f>
        <v/>
      </c>
      <c r="BP1044" t="str">
        <f>""</f>
        <v/>
      </c>
      <c r="BQ1044" t="str">
        <f>""</f>
        <v/>
      </c>
      <c r="BR1044" t="str">
        <f>"17/08/2023"</f>
        <v>17/08/2023</v>
      </c>
      <c r="BS1044" t="str">
        <f>""</f>
        <v/>
      </c>
      <c r="BT1044" t="str">
        <f>""</f>
        <v/>
      </c>
      <c r="BU1044" t="str">
        <f>""</f>
        <v/>
      </c>
      <c r="BV1044" t="str">
        <f>""</f>
        <v/>
      </c>
      <c r="BW1044" t="str">
        <f>"72"</f>
        <v>72</v>
      </c>
    </row>
    <row r="1045" spans="1:75" x14ac:dyDescent="0.35">
      <c r="A1045">
        <v>134429</v>
      </c>
      <c r="B1045" t="str">
        <f t="shared" si="515"/>
        <v>A</v>
      </c>
      <c r="C1045" t="str">
        <f t="shared" si="516"/>
        <v>80</v>
      </c>
      <c r="D1045" t="str">
        <f t="shared" si="509"/>
        <v>11121002</v>
      </c>
      <c r="E1045" t="str">
        <f t="shared" si="510"/>
        <v>121002</v>
      </c>
      <c r="F1045" t="str">
        <f t="shared" si="511"/>
        <v>CINTHIA NORONHA</v>
      </c>
      <c r="G1045" t="str">
        <f>"37445275000149"</f>
        <v>37445275000149</v>
      </c>
      <c r="H1045" t="str">
        <f>""</f>
        <v/>
      </c>
      <c r="I1045" t="str">
        <f t="shared" si="517"/>
        <v>CONTA OPTICA</v>
      </c>
      <c r="J1045" t="str">
        <f>"OTICA VISIONERY LTDA"</f>
        <v>OTICA VISIONERY LTDA</v>
      </c>
      <c r="K1045" t="str">
        <f>"OTICA VISIONERY (4142)"</f>
        <v>OTICA VISIONERY (4142)</v>
      </c>
      <c r="L1045" t="str">
        <f>""</f>
        <v/>
      </c>
      <c r="M1045" t="str">
        <f>""</f>
        <v/>
      </c>
      <c r="N1045" t="str">
        <f>"nossaotica221016@gmail.com"</f>
        <v>nossaotica221016@gmail.com</v>
      </c>
      <c r="O1045" t="str">
        <f>""</f>
        <v/>
      </c>
      <c r="P1045" t="str">
        <f>"RUA PRESIDENTE NEREU RAMOS"</f>
        <v>RUA PRESIDENTE NEREU RAMOS</v>
      </c>
      <c r="Q1045" t="str">
        <f>"19"</f>
        <v>19</v>
      </c>
      <c r="R1045" t="str">
        <f>"SALA 05"</f>
        <v>SALA 05</v>
      </c>
      <c r="S1045" t="str">
        <f>"1255"</f>
        <v>1255</v>
      </c>
      <c r="T1045" t="str">
        <f>"88015010"</f>
        <v>88015010</v>
      </c>
      <c r="U1045" t="str">
        <f t="shared" si="528"/>
        <v>CENTRO</v>
      </c>
      <c r="V1045" t="str">
        <f>"FLORIANÓPOLIS"</f>
        <v>FLORIANÓPOLIS</v>
      </c>
      <c r="W1045" t="str">
        <f t="shared" si="522"/>
        <v>SC</v>
      </c>
      <c r="X1045" t="str">
        <f t="shared" si="525"/>
        <v>48</v>
      </c>
      <c r="Y1045" t="str">
        <f>"33717966"</f>
        <v>33717966</v>
      </c>
      <c r="Z1045" t="str">
        <f>""</f>
        <v/>
      </c>
      <c r="AA1045" t="str">
        <f>""</f>
        <v/>
      </c>
      <c r="AB1045" t="str">
        <f>""</f>
        <v/>
      </c>
      <c r="AC1045" t="str">
        <f>""</f>
        <v/>
      </c>
      <c r="AD1045" t="str">
        <f>""</f>
        <v/>
      </c>
      <c r="AE1045" t="str">
        <f>""</f>
        <v/>
      </c>
      <c r="AF1045" t="str">
        <f>""</f>
        <v/>
      </c>
      <c r="AG1045" t="str">
        <f>"S"</f>
        <v>S</v>
      </c>
      <c r="AH1045" t="str">
        <f>""</f>
        <v/>
      </c>
      <c r="AI1045" t="str">
        <f>""</f>
        <v/>
      </c>
      <c r="AJ1045" t="str">
        <f>""</f>
        <v/>
      </c>
      <c r="AK1045" t="str">
        <f>""</f>
        <v/>
      </c>
      <c r="AL1045" t="str">
        <f>""</f>
        <v/>
      </c>
      <c r="AM1045" t="str">
        <f>""</f>
        <v/>
      </c>
      <c r="AN1045" t="str">
        <f>""</f>
        <v/>
      </c>
      <c r="AO1045" t="str">
        <f>""</f>
        <v/>
      </c>
      <c r="AP1045" t="str">
        <f>""</f>
        <v/>
      </c>
      <c r="AQ1045" t="str">
        <f>"N"</f>
        <v>N</v>
      </c>
      <c r="AR1045" t="str">
        <f>"N"</f>
        <v>N</v>
      </c>
      <c r="AS1045" t="str">
        <f>"N"</f>
        <v>N</v>
      </c>
      <c r="AT1045" t="str">
        <f>"N"</f>
        <v>N</v>
      </c>
      <c r="AU1045" t="str">
        <f>"N"</f>
        <v>N</v>
      </c>
      <c r="AV1045" t="str">
        <f>""</f>
        <v/>
      </c>
      <c r="AW1045" t="str">
        <f>""</f>
        <v/>
      </c>
      <c r="AX1045" t="str">
        <f>""</f>
        <v/>
      </c>
      <c r="AY1045" t="str">
        <f>""</f>
        <v/>
      </c>
      <c r="AZ1045" t="str">
        <f>""</f>
        <v/>
      </c>
      <c r="BA1045" t="str">
        <f>""</f>
        <v/>
      </c>
      <c r="BB1045" t="str">
        <f>""</f>
        <v/>
      </c>
      <c r="BC1045" t="str">
        <f>"26/11/2021 17:40:33"</f>
        <v>26/11/2021 17:40:33</v>
      </c>
      <c r="BD1045" t="str">
        <f>""</f>
        <v/>
      </c>
      <c r="BE1045" t="str">
        <f>""</f>
        <v/>
      </c>
      <c r="BF1045" t="str">
        <f t="shared" si="518"/>
        <v>A</v>
      </c>
      <c r="BG1045" t="str">
        <f>""</f>
        <v/>
      </c>
      <c r="BH1045" t="str">
        <f>"0,00"</f>
        <v>0,00</v>
      </c>
      <c r="BI1045" t="str">
        <f t="shared" si="503"/>
        <v>EVENTUAL</v>
      </c>
      <c r="BJ1045" t="str">
        <f t="shared" si="519"/>
        <v>1</v>
      </c>
      <c r="BK1045" t="str">
        <f t="shared" si="520"/>
        <v>Farmacia</v>
      </c>
      <c r="BL1045" t="str">
        <f>""</f>
        <v/>
      </c>
      <c r="BM1045" t="str">
        <f>"NÃO É VARILUX ESPECIALISTA"</f>
        <v>NÃO É VARILUX ESPECIALISTA</v>
      </c>
      <c r="BN1045" t="str">
        <f>"NA"</f>
        <v>NA</v>
      </c>
      <c r="BO1045" t="str">
        <f>"FOCO VARILUX"</f>
        <v>FOCO VARILUX</v>
      </c>
      <c r="BP1045" t="str">
        <f>""</f>
        <v/>
      </c>
      <c r="BQ1045" t="str">
        <f>""</f>
        <v/>
      </c>
      <c r="BR1045" t="str">
        <f>""</f>
        <v/>
      </c>
      <c r="BS1045" t="str">
        <f>"26/11/2021"</f>
        <v>26/11/2021</v>
      </c>
      <c r="BT1045" t="str">
        <f>""</f>
        <v/>
      </c>
      <c r="BU1045" t="str">
        <f>""</f>
        <v/>
      </c>
      <c r="BV1045" t="str">
        <f>"9"</f>
        <v>9</v>
      </c>
      <c r="BW1045" t="str">
        <f>"2"</f>
        <v>2</v>
      </c>
    </row>
    <row r="1046" spans="1:75" x14ac:dyDescent="0.35">
      <c r="A1046">
        <v>158695</v>
      </c>
      <c r="B1046" t="str">
        <f t="shared" si="515"/>
        <v>A</v>
      </c>
      <c r="C1046" t="str">
        <f t="shared" si="516"/>
        <v>80</v>
      </c>
      <c r="D1046" t="str">
        <f t="shared" si="509"/>
        <v>11121002</v>
      </c>
      <c r="E1046" t="str">
        <f t="shared" si="510"/>
        <v>121002</v>
      </c>
      <c r="F1046" t="str">
        <f t="shared" si="511"/>
        <v>CINTHIA NORONHA</v>
      </c>
      <c r="G1046" t="str">
        <f>"45422648000194"</f>
        <v>45422648000194</v>
      </c>
      <c r="H1046" t="str">
        <f>""</f>
        <v/>
      </c>
      <c r="I1046" t="str">
        <f t="shared" si="517"/>
        <v>CONTA OPTICA</v>
      </c>
      <c r="J1046" t="str">
        <f>"OTICA VITORIA LTDA"</f>
        <v>OTICA VITORIA LTDA</v>
      </c>
      <c r="K1046" t="str">
        <f>"OTICA VITORIA (4753)"</f>
        <v>OTICA VITORIA (4753)</v>
      </c>
      <c r="L1046" t="str">
        <f>""</f>
        <v/>
      </c>
      <c r="M1046" t="str">
        <f>""</f>
        <v/>
      </c>
      <c r="N1046" t="str">
        <f>"OTICAVITORIAPALHOCA@GMAIL.COM"</f>
        <v>OTICAVITORIAPALHOCA@GMAIL.COM</v>
      </c>
      <c r="O1046" t="str">
        <f>""</f>
        <v/>
      </c>
      <c r="P1046" t="str">
        <f>"RUA GOVERNADOR JOSE BOABAID"</f>
        <v>RUA GOVERNADOR JOSE BOABAID</v>
      </c>
      <c r="Q1046" t="str">
        <f>"254"</f>
        <v>254</v>
      </c>
      <c r="R1046" t="str">
        <f>"SALA 1 E 2"</f>
        <v>SALA 1 E 2</v>
      </c>
      <c r="S1046" t="str">
        <f>""</f>
        <v/>
      </c>
      <c r="T1046" t="str">
        <f>"88130055"</f>
        <v>88130055</v>
      </c>
      <c r="U1046" t="str">
        <f t="shared" si="528"/>
        <v>CENTRO</v>
      </c>
      <c r="V1046" t="str">
        <f>"PALHOCA"</f>
        <v>PALHOCA</v>
      </c>
      <c r="W1046" t="str">
        <f t="shared" si="522"/>
        <v>SC</v>
      </c>
      <c r="X1046" t="str">
        <f t="shared" si="525"/>
        <v>48</v>
      </c>
      <c r="Y1046" t="str">
        <f>"996762743"</f>
        <v>996762743</v>
      </c>
      <c r="Z1046" t="str">
        <f>""</f>
        <v/>
      </c>
      <c r="AA1046" t="str">
        <f>""</f>
        <v/>
      </c>
      <c r="AB1046" t="str">
        <f>""</f>
        <v/>
      </c>
      <c r="AC1046" t="str">
        <f>""</f>
        <v/>
      </c>
      <c r="AD1046" t="str">
        <f>""</f>
        <v/>
      </c>
      <c r="AE1046" t="str">
        <f>""</f>
        <v/>
      </c>
      <c r="AF1046" t="str">
        <f>""</f>
        <v/>
      </c>
      <c r="AG1046" t="str">
        <f>""</f>
        <v/>
      </c>
      <c r="AH1046" t="str">
        <f>""</f>
        <v/>
      </c>
      <c r="AI1046" t="str">
        <f>""</f>
        <v/>
      </c>
      <c r="AJ1046" t="str">
        <f>""</f>
        <v/>
      </c>
      <c r="AK1046" t="str">
        <f>""</f>
        <v/>
      </c>
      <c r="AL1046" t="str">
        <f>""</f>
        <v/>
      </c>
      <c r="AM1046" t="str">
        <f>""</f>
        <v/>
      </c>
      <c r="AN1046" t="str">
        <f>""</f>
        <v/>
      </c>
      <c r="AO1046" t="str">
        <f>""</f>
        <v/>
      </c>
      <c r="AP1046" t="str">
        <f>""</f>
        <v/>
      </c>
      <c r="AQ1046" t="str">
        <f>""</f>
        <v/>
      </c>
      <c r="AR1046" t="str">
        <f>""</f>
        <v/>
      </c>
      <c r="AS1046" t="str">
        <f>""</f>
        <v/>
      </c>
      <c r="AT1046" t="str">
        <f>""</f>
        <v/>
      </c>
      <c r="AU1046" t="str">
        <f>""</f>
        <v/>
      </c>
      <c r="AV1046" t="str">
        <f>""</f>
        <v/>
      </c>
      <c r="AW1046" t="str">
        <f>""</f>
        <v/>
      </c>
      <c r="AX1046" t="str">
        <f>""</f>
        <v/>
      </c>
      <c r="AY1046" t="str">
        <f>""</f>
        <v/>
      </c>
      <c r="AZ1046" t="str">
        <f>""</f>
        <v/>
      </c>
      <c r="BA1046" t="str">
        <f>""</f>
        <v/>
      </c>
      <c r="BB1046" t="str">
        <f>"17/08/2023 16:48:06"</f>
        <v>17/08/2023 16:48:06</v>
      </c>
      <c r="BC1046" t="str">
        <f>""</f>
        <v/>
      </c>
      <c r="BD1046" t="str">
        <f>""</f>
        <v/>
      </c>
      <c r="BE1046" t="str">
        <f>""</f>
        <v/>
      </c>
      <c r="BF1046" t="str">
        <f t="shared" si="518"/>
        <v>A</v>
      </c>
      <c r="BG1046" t="str">
        <f>""</f>
        <v/>
      </c>
      <c r="BH1046" t="str">
        <f>""</f>
        <v/>
      </c>
      <c r="BI1046" t="str">
        <f t="shared" si="503"/>
        <v>EVENTUAL</v>
      </c>
      <c r="BJ1046" t="str">
        <f t="shared" si="519"/>
        <v>1</v>
      </c>
      <c r="BK1046" t="str">
        <f t="shared" si="520"/>
        <v>Farmacia</v>
      </c>
      <c r="BL1046" t="str">
        <f>""</f>
        <v/>
      </c>
      <c r="BM1046" t="str">
        <f>""</f>
        <v/>
      </c>
      <c r="BN1046" t="str">
        <f>""</f>
        <v/>
      </c>
      <c r="BO1046" t="str">
        <f>""</f>
        <v/>
      </c>
      <c r="BP1046" t="str">
        <f>""</f>
        <v/>
      </c>
      <c r="BQ1046" t="str">
        <f>""</f>
        <v/>
      </c>
      <c r="BR1046" t="str">
        <f>"17/08/2023"</f>
        <v>17/08/2023</v>
      </c>
      <c r="BS1046" t="str">
        <f>""</f>
        <v/>
      </c>
      <c r="BT1046" t="str">
        <f>""</f>
        <v/>
      </c>
      <c r="BU1046" t="str">
        <f>""</f>
        <v/>
      </c>
      <c r="BV1046" t="str">
        <f>""</f>
        <v/>
      </c>
      <c r="BW1046" t="str">
        <f>"85"</f>
        <v>85</v>
      </c>
    </row>
    <row r="1047" spans="1:75" x14ac:dyDescent="0.35">
      <c r="A1047">
        <v>156872</v>
      </c>
      <c r="B1047" t="str">
        <f t="shared" si="515"/>
        <v>A</v>
      </c>
      <c r="C1047" t="str">
        <f t="shared" si="516"/>
        <v>80</v>
      </c>
      <c r="D1047" t="str">
        <f t="shared" si="509"/>
        <v>11121002</v>
      </c>
      <c r="E1047" t="str">
        <f t="shared" si="510"/>
        <v>121002</v>
      </c>
      <c r="F1047" t="str">
        <f t="shared" si="511"/>
        <v>CINTHIA NORONHA</v>
      </c>
      <c r="G1047" t="str">
        <f>"28401009000123"</f>
        <v>28401009000123</v>
      </c>
      <c r="H1047" t="str">
        <f>"0"</f>
        <v>0</v>
      </c>
      <c r="I1047" t="str">
        <f t="shared" si="517"/>
        <v>CONTA OPTICA</v>
      </c>
      <c r="J1047" t="str">
        <f>"OTICA VITRINE LTDA"</f>
        <v>OTICA VITRINE LTDA</v>
      </c>
      <c r="K1047" t="str">
        <f>"OTICA VITRINE (4560)"</f>
        <v>OTICA VITRINE (4560)</v>
      </c>
      <c r="L1047" t="str">
        <f>""</f>
        <v/>
      </c>
      <c r="M1047" t="str">
        <f>""</f>
        <v/>
      </c>
      <c r="N1047" t="str">
        <f>"OTICAVITRINEANGELINA@GMAIL.COM"</f>
        <v>OTICAVITRINEANGELINA@GMAIL.COM</v>
      </c>
      <c r="O1047" t="str">
        <f>""</f>
        <v/>
      </c>
      <c r="P1047" t="str">
        <f>"RUA R. LEOBERTO LEAL"</f>
        <v>RUA R. LEOBERTO LEAL</v>
      </c>
      <c r="Q1047" t="str">
        <f>"22"</f>
        <v>22</v>
      </c>
      <c r="R1047" t="str">
        <f>"SALA 02"</f>
        <v>SALA 02</v>
      </c>
      <c r="S1047" t="str">
        <f>""</f>
        <v/>
      </c>
      <c r="T1047" t="str">
        <f>"88460000"</f>
        <v>88460000</v>
      </c>
      <c r="U1047" t="str">
        <f t="shared" si="528"/>
        <v>CENTRO</v>
      </c>
      <c r="V1047" t="str">
        <f>"ANGELINA"</f>
        <v>ANGELINA</v>
      </c>
      <c r="W1047" t="str">
        <f t="shared" si="522"/>
        <v>SC</v>
      </c>
      <c r="X1047" t="str">
        <f t="shared" si="525"/>
        <v>48</v>
      </c>
      <c r="Y1047" t="str">
        <f>"32741625"</f>
        <v>32741625</v>
      </c>
      <c r="Z1047" t="str">
        <f>""</f>
        <v/>
      </c>
      <c r="AA1047" t="str">
        <f>""</f>
        <v/>
      </c>
      <c r="AB1047" t="str">
        <f>""</f>
        <v/>
      </c>
      <c r="AC1047" t="str">
        <f>""</f>
        <v/>
      </c>
      <c r="AD1047" t="str">
        <f>""</f>
        <v/>
      </c>
      <c r="AE1047" t="str">
        <f>""</f>
        <v/>
      </c>
      <c r="AF1047" t="str">
        <f>""</f>
        <v/>
      </c>
      <c r="AG1047" t="str">
        <f>""</f>
        <v/>
      </c>
      <c r="AH1047" t="str">
        <f>""</f>
        <v/>
      </c>
      <c r="AI1047" t="str">
        <f>""</f>
        <v/>
      </c>
      <c r="AJ1047" t="str">
        <f>""</f>
        <v/>
      </c>
      <c r="AK1047" t="str">
        <f>""</f>
        <v/>
      </c>
      <c r="AL1047" t="str">
        <f>""</f>
        <v/>
      </c>
      <c r="AM1047" t="str">
        <f>""</f>
        <v/>
      </c>
      <c r="AN1047" t="str">
        <f>""</f>
        <v/>
      </c>
      <c r="AO1047" t="str">
        <f>""</f>
        <v/>
      </c>
      <c r="AP1047" t="str">
        <f>""</f>
        <v/>
      </c>
      <c r="AQ1047" t="str">
        <f>""</f>
        <v/>
      </c>
      <c r="AR1047" t="str">
        <f>""</f>
        <v/>
      </c>
      <c r="AS1047" t="str">
        <f>""</f>
        <v/>
      </c>
      <c r="AT1047" t="str">
        <f>""</f>
        <v/>
      </c>
      <c r="AU1047" t="str">
        <f>""</f>
        <v/>
      </c>
      <c r="AV1047" t="str">
        <f>""</f>
        <v/>
      </c>
      <c r="AW1047" t="str">
        <f>""</f>
        <v/>
      </c>
      <c r="AX1047" t="str">
        <f>""</f>
        <v/>
      </c>
      <c r="AY1047" t="str">
        <f>""</f>
        <v/>
      </c>
      <c r="AZ1047" t="str">
        <f>""</f>
        <v/>
      </c>
      <c r="BA1047" t="str">
        <f>""</f>
        <v/>
      </c>
      <c r="BB1047" t="str">
        <f>"06/07/2023 12:07:48"</f>
        <v>06/07/2023 12:07:48</v>
      </c>
      <c r="BC1047" t="str">
        <f>""</f>
        <v/>
      </c>
      <c r="BD1047" t="str">
        <f>""</f>
        <v/>
      </c>
      <c r="BE1047" t="str">
        <f>""</f>
        <v/>
      </c>
      <c r="BF1047" t="str">
        <f t="shared" si="518"/>
        <v>A</v>
      </c>
      <c r="BG1047" t="str">
        <f>""</f>
        <v/>
      </c>
      <c r="BH1047" t="str">
        <f>""</f>
        <v/>
      </c>
      <c r="BI1047" t="str">
        <f t="shared" si="503"/>
        <v>EVENTUAL</v>
      </c>
      <c r="BJ1047" t="str">
        <f t="shared" si="519"/>
        <v>1</v>
      </c>
      <c r="BK1047" t="str">
        <f t="shared" si="520"/>
        <v>Farmacia</v>
      </c>
      <c r="BL1047" t="str">
        <f>""</f>
        <v/>
      </c>
      <c r="BM1047" t="str">
        <f>""</f>
        <v/>
      </c>
      <c r="BN1047" t="str">
        <f>""</f>
        <v/>
      </c>
      <c r="BO1047" t="str">
        <f>""</f>
        <v/>
      </c>
      <c r="BP1047" t="str">
        <f>""</f>
        <v/>
      </c>
      <c r="BQ1047" t="str">
        <f>""</f>
        <v/>
      </c>
      <c r="BR1047" t="str">
        <f>"06/07/2023"</f>
        <v>06/07/2023</v>
      </c>
      <c r="BS1047" t="str">
        <f>""</f>
        <v/>
      </c>
      <c r="BT1047" t="str">
        <f>""</f>
        <v/>
      </c>
      <c r="BU1047" t="str">
        <f>""</f>
        <v/>
      </c>
      <c r="BV1047" t="str">
        <f>""</f>
        <v/>
      </c>
      <c r="BW1047" t="str">
        <f>"66"</f>
        <v>66</v>
      </c>
    </row>
    <row r="1048" spans="1:75" x14ac:dyDescent="0.35">
      <c r="A1048">
        <v>134317</v>
      </c>
      <c r="B1048" t="str">
        <f t="shared" si="515"/>
        <v>A</v>
      </c>
      <c r="C1048" t="str">
        <f t="shared" si="516"/>
        <v>80</v>
      </c>
      <c r="D1048" t="str">
        <f t="shared" si="509"/>
        <v>11121002</v>
      </c>
      <c r="E1048" t="str">
        <f t="shared" si="510"/>
        <v>121002</v>
      </c>
      <c r="F1048" t="str">
        <f t="shared" si="511"/>
        <v>CINTHIA NORONHA</v>
      </c>
      <c r="G1048" t="str">
        <f>"33120142000141"</f>
        <v>33120142000141</v>
      </c>
      <c r="H1048" t="str">
        <f>""</f>
        <v/>
      </c>
      <c r="I1048" t="str">
        <f t="shared" si="517"/>
        <v>CONTA OPTICA</v>
      </c>
      <c r="J1048" t="str">
        <f>"OTICA WARMELING EIRELI"</f>
        <v>OTICA WARMELING EIRELI</v>
      </c>
      <c r="K1048" t="str">
        <f>"OPTICA VISION (4003)"</f>
        <v>OPTICA VISION (4003)</v>
      </c>
      <c r="L1048" t="str">
        <f>""</f>
        <v/>
      </c>
      <c r="M1048" t="str">
        <f>""</f>
        <v/>
      </c>
      <c r="N1048" t="str">
        <f>"patriciawarmeling@hotmail.com"</f>
        <v>patriciawarmeling@hotmail.com</v>
      </c>
      <c r="O1048" t="str">
        <f>""</f>
        <v/>
      </c>
      <c r="P1048" t="str">
        <f>"RUA PRESIDENTE NEREU RAMOS"</f>
        <v>RUA PRESIDENTE NEREU RAMOS</v>
      </c>
      <c r="Q1048" t="str">
        <f>"223"</f>
        <v>223</v>
      </c>
      <c r="R1048" t="str">
        <f>"SALA 17"</f>
        <v>SALA 17</v>
      </c>
      <c r="S1048" t="str">
        <f>"1266"</f>
        <v>1266</v>
      </c>
      <c r="T1048" t="str">
        <f>"88502170"</f>
        <v>88502170</v>
      </c>
      <c r="U1048" t="str">
        <f t="shared" si="528"/>
        <v>CENTRO</v>
      </c>
      <c r="V1048" t="str">
        <f>"LAGES"</f>
        <v>LAGES</v>
      </c>
      <c r="W1048" t="str">
        <f t="shared" si="522"/>
        <v>SC</v>
      </c>
      <c r="X1048" t="str">
        <f>"49"</f>
        <v>49</v>
      </c>
      <c r="Y1048" t="str">
        <f>"30180931"</f>
        <v>30180931</v>
      </c>
      <c r="Z1048" t="str">
        <f>""</f>
        <v/>
      </c>
      <c r="AA1048" t="str">
        <f>""</f>
        <v/>
      </c>
      <c r="AB1048" t="str">
        <f>""</f>
        <v/>
      </c>
      <c r="AC1048" t="str">
        <f>""</f>
        <v/>
      </c>
      <c r="AD1048" t="str">
        <f>""</f>
        <v/>
      </c>
      <c r="AE1048" t="str">
        <f>""</f>
        <v/>
      </c>
      <c r="AF1048" t="str">
        <f>""</f>
        <v/>
      </c>
      <c r="AG1048" t="str">
        <f>"S"</f>
        <v>S</v>
      </c>
      <c r="AH1048" t="str">
        <f>""</f>
        <v/>
      </c>
      <c r="AI1048" t="str">
        <f>""</f>
        <v/>
      </c>
      <c r="AJ1048" t="str">
        <f>"0"</f>
        <v>0</v>
      </c>
      <c r="AK1048" t="str">
        <f>"0"</f>
        <v>0</v>
      </c>
      <c r="AL1048" t="str">
        <f>"0"</f>
        <v>0</v>
      </c>
      <c r="AM1048" t="str">
        <f>""</f>
        <v/>
      </c>
      <c r="AN1048" t="str">
        <f>""</f>
        <v/>
      </c>
      <c r="AO1048" t="str">
        <f>""</f>
        <v/>
      </c>
      <c r="AP1048" t="str">
        <f>""</f>
        <v/>
      </c>
      <c r="AQ1048" t="str">
        <f>"N"</f>
        <v>N</v>
      </c>
      <c r="AR1048" t="str">
        <f>"N"</f>
        <v>N</v>
      </c>
      <c r="AS1048" t="str">
        <f>"N"</f>
        <v>N</v>
      </c>
      <c r="AT1048" t="str">
        <f>"N"</f>
        <v>N</v>
      </c>
      <c r="AU1048" t="str">
        <f>"N"</f>
        <v>N</v>
      </c>
      <c r="AV1048" t="str">
        <f>""</f>
        <v/>
      </c>
      <c r="AW1048" t="str">
        <f>""</f>
        <v/>
      </c>
      <c r="AX1048" t="str">
        <f>""</f>
        <v/>
      </c>
      <c r="AY1048" t="str">
        <f>""</f>
        <v/>
      </c>
      <c r="AZ1048" t="str">
        <f>""</f>
        <v/>
      </c>
      <c r="BA1048" t="str">
        <f>""</f>
        <v/>
      </c>
      <c r="BB1048" t="str">
        <f>""</f>
        <v/>
      </c>
      <c r="BC1048" t="str">
        <f>"02/05/2022 11:56:07"</f>
        <v>02/05/2022 11:56:07</v>
      </c>
      <c r="BD1048" t="str">
        <f>""</f>
        <v/>
      </c>
      <c r="BE1048" t="str">
        <f>""</f>
        <v/>
      </c>
      <c r="BF1048" t="str">
        <f t="shared" si="518"/>
        <v>A</v>
      </c>
      <c r="BG1048" t="str">
        <f>"0,00"</f>
        <v>0,00</v>
      </c>
      <c r="BH1048" t="str">
        <f>"0,00"</f>
        <v>0,00</v>
      </c>
      <c r="BI1048" t="str">
        <f t="shared" si="503"/>
        <v>EVENTUAL</v>
      </c>
      <c r="BJ1048" t="str">
        <f t="shared" si="519"/>
        <v>1</v>
      </c>
      <c r="BK1048" t="str">
        <f t="shared" si="520"/>
        <v>Farmacia</v>
      </c>
      <c r="BL1048" t="str">
        <f>""</f>
        <v/>
      </c>
      <c r="BM1048" t="str">
        <f>"NÃO É VARILUX ESPECIALISTA"</f>
        <v>NÃO É VARILUX ESPECIALISTA</v>
      </c>
      <c r="BN1048" t="str">
        <f>"NA"</f>
        <v>NA</v>
      </c>
      <c r="BO1048" t="str">
        <f>"FOCO VARILUX DIGITAL"</f>
        <v>FOCO VARILUX DIGITAL</v>
      </c>
      <c r="BP1048" t="str">
        <f>""</f>
        <v/>
      </c>
      <c r="BQ1048" t="str">
        <f>""</f>
        <v/>
      </c>
      <c r="BR1048" t="str">
        <f>""</f>
        <v/>
      </c>
      <c r="BS1048" t="str">
        <f>"02/05/2022"</f>
        <v>02/05/2022</v>
      </c>
      <c r="BT1048" t="str">
        <f>""</f>
        <v/>
      </c>
      <c r="BU1048" t="str">
        <f>""</f>
        <v/>
      </c>
      <c r="BV1048" t="str">
        <f>"5"</f>
        <v>5</v>
      </c>
      <c r="BW1048" t="str">
        <f>"74"</f>
        <v>74</v>
      </c>
    </row>
    <row r="1049" spans="1:75" x14ac:dyDescent="0.35">
      <c r="A1049">
        <v>127485</v>
      </c>
      <c r="B1049" t="str">
        <f t="shared" si="515"/>
        <v>A</v>
      </c>
      <c r="C1049" t="str">
        <f t="shared" si="516"/>
        <v>80</v>
      </c>
      <c r="D1049" t="str">
        <f t="shared" si="509"/>
        <v>11121002</v>
      </c>
      <c r="E1049" t="str">
        <f t="shared" si="510"/>
        <v>121002</v>
      </c>
      <c r="F1049" t="str">
        <f t="shared" si="511"/>
        <v>CINTHIA NORONHA</v>
      </c>
      <c r="G1049" t="str">
        <f>"04134225000191"</f>
        <v>04134225000191</v>
      </c>
      <c r="H1049" t="str">
        <f>"0"</f>
        <v>0</v>
      </c>
      <c r="I1049" t="str">
        <f t="shared" si="517"/>
        <v>CONTA OPTICA</v>
      </c>
      <c r="J1049" t="str">
        <f>"OTICA ZANI LTDA"</f>
        <v>OTICA ZANI LTDA</v>
      </c>
      <c r="K1049" t="str">
        <f>"OTICA ZANI LTDA (69)"</f>
        <v>OTICA ZANI LTDA (69)</v>
      </c>
      <c r="L1049" t="str">
        <f>""</f>
        <v/>
      </c>
      <c r="M1049" t="str">
        <f>""</f>
        <v/>
      </c>
      <c r="N1049" t="str">
        <f>"oticazani@gmail.com"</f>
        <v>oticazani@gmail.com</v>
      </c>
      <c r="O1049" t="str">
        <f>""</f>
        <v/>
      </c>
      <c r="P1049" t="str">
        <f>"RODOVIA SC-403 KM6"</f>
        <v>RODOVIA SC-403 KM6</v>
      </c>
      <c r="Q1049" t="str">
        <f>"5405"</f>
        <v>5405</v>
      </c>
      <c r="R1049" t="str">
        <f>""</f>
        <v/>
      </c>
      <c r="S1049" t="str">
        <f>"1257"</f>
        <v>1257</v>
      </c>
      <c r="T1049" t="str">
        <f>"88058600"</f>
        <v>88058600</v>
      </c>
      <c r="U1049" t="str">
        <f>"INGLESES DO RIO VERMELHO"</f>
        <v>INGLESES DO RIO VERMELHO</v>
      </c>
      <c r="V1049" t="str">
        <f>"FLORIANOPOLIS"</f>
        <v>FLORIANOPOLIS</v>
      </c>
      <c r="W1049" t="str">
        <f t="shared" si="522"/>
        <v>SC</v>
      </c>
      <c r="X1049" t="str">
        <f t="shared" ref="X1049:X1058" si="529">"48"</f>
        <v>48</v>
      </c>
      <c r="Y1049" t="str">
        <f>"33691887"</f>
        <v>33691887</v>
      </c>
      <c r="Z1049" t="str">
        <f>""</f>
        <v/>
      </c>
      <c r="AA1049" t="str">
        <f>""</f>
        <v/>
      </c>
      <c r="AB1049" t="str">
        <f>""</f>
        <v/>
      </c>
      <c r="AC1049" t="str">
        <f>""</f>
        <v/>
      </c>
      <c r="AD1049" t="str">
        <f>""</f>
        <v/>
      </c>
      <c r="AE1049" t="str">
        <f>""</f>
        <v/>
      </c>
      <c r="AF1049" t="str">
        <f>""</f>
        <v/>
      </c>
      <c r="AG1049" t="str">
        <f>""</f>
        <v/>
      </c>
      <c r="AH1049" t="str">
        <f>""</f>
        <v/>
      </c>
      <c r="AI1049" t="str">
        <f>""</f>
        <v/>
      </c>
      <c r="AJ1049" t="str">
        <f>""</f>
        <v/>
      </c>
      <c r="AK1049" t="str">
        <f>""</f>
        <v/>
      </c>
      <c r="AL1049" t="str">
        <f>""</f>
        <v/>
      </c>
      <c r="AM1049" t="str">
        <f>""</f>
        <v/>
      </c>
      <c r="AN1049" t="str">
        <f>""</f>
        <v/>
      </c>
      <c r="AO1049" t="str">
        <f>""</f>
        <v/>
      </c>
      <c r="AP1049" t="str">
        <f>""</f>
        <v/>
      </c>
      <c r="AQ1049" t="str">
        <f>""</f>
        <v/>
      </c>
      <c r="AR1049" t="str">
        <f>""</f>
        <v/>
      </c>
      <c r="AS1049" t="str">
        <f>""</f>
        <v/>
      </c>
      <c r="AT1049" t="str">
        <f>""</f>
        <v/>
      </c>
      <c r="AU1049" t="str">
        <f>""</f>
        <v/>
      </c>
      <c r="AV1049" t="str">
        <f>""</f>
        <v/>
      </c>
      <c r="AW1049" t="str">
        <f>""</f>
        <v/>
      </c>
      <c r="AX1049" t="str">
        <f>""</f>
        <v/>
      </c>
      <c r="AY1049" t="str">
        <f>""</f>
        <v/>
      </c>
      <c r="AZ1049" t="str">
        <f>""</f>
        <v/>
      </c>
      <c r="BA1049" t="str">
        <f>""</f>
        <v/>
      </c>
      <c r="BB1049" t="str">
        <f>"07/10/2020 09:08:38"</f>
        <v>07/10/2020 09:08:38</v>
      </c>
      <c r="BC1049" t="str">
        <f>""</f>
        <v/>
      </c>
      <c r="BD1049" t="str">
        <f>""</f>
        <v/>
      </c>
      <c r="BE1049" t="str">
        <f>""</f>
        <v/>
      </c>
      <c r="BF1049" t="str">
        <f t="shared" si="518"/>
        <v>A</v>
      </c>
      <c r="BG1049" t="str">
        <f>""</f>
        <v/>
      </c>
      <c r="BH1049" t="str">
        <f>""</f>
        <v/>
      </c>
      <c r="BI1049" t="str">
        <f t="shared" si="503"/>
        <v>EVENTUAL</v>
      </c>
      <c r="BJ1049" t="str">
        <f t="shared" si="519"/>
        <v>1</v>
      </c>
      <c r="BK1049" t="str">
        <f t="shared" si="520"/>
        <v>Farmacia</v>
      </c>
      <c r="BL1049" t="str">
        <f>""</f>
        <v/>
      </c>
      <c r="BM1049" t="str">
        <f>"NÃO É VARILUX ESPECIALISTA"</f>
        <v>NÃO É VARILUX ESPECIALISTA</v>
      </c>
      <c r="BN1049" t="str">
        <f>"NA"</f>
        <v>NA</v>
      </c>
      <c r="BO1049" t="str">
        <f>"OUTROS"</f>
        <v>OUTROS</v>
      </c>
      <c r="BP1049" t="str">
        <f>""</f>
        <v/>
      </c>
      <c r="BQ1049" t="str">
        <f>""</f>
        <v/>
      </c>
      <c r="BR1049" t="str">
        <f>"07/10/2020"</f>
        <v>07/10/2020</v>
      </c>
      <c r="BS1049" t="str">
        <f>""</f>
        <v/>
      </c>
      <c r="BT1049" t="str">
        <f>""</f>
        <v/>
      </c>
      <c r="BU1049" t="str">
        <f>""</f>
        <v/>
      </c>
      <c r="BV1049" t="str">
        <f>"6"</f>
        <v>6</v>
      </c>
      <c r="BW1049" t="str">
        <f>"Não visitado"</f>
        <v>Não visitado</v>
      </c>
    </row>
    <row r="1050" spans="1:75" x14ac:dyDescent="0.35">
      <c r="A1050">
        <v>156897</v>
      </c>
      <c r="B1050" t="str">
        <f t="shared" si="515"/>
        <v>A</v>
      </c>
      <c r="C1050" t="str">
        <f t="shared" si="516"/>
        <v>80</v>
      </c>
      <c r="D1050" t="str">
        <f t="shared" si="509"/>
        <v>11121002</v>
      </c>
      <c r="E1050" t="str">
        <f t="shared" si="510"/>
        <v>121002</v>
      </c>
      <c r="F1050" t="str">
        <f t="shared" si="511"/>
        <v>CINTHIA NORONHA</v>
      </c>
      <c r="G1050" t="str">
        <f>"39695857000290"</f>
        <v>39695857000290</v>
      </c>
      <c r="H1050" t="str">
        <f>"0"</f>
        <v>0</v>
      </c>
      <c r="I1050" t="str">
        <f t="shared" si="517"/>
        <v>CONTA OPTICA</v>
      </c>
      <c r="J1050" t="str">
        <f>"OTICAMED COMERCIO LTDA"</f>
        <v>OTICAMED COMERCIO LTDA</v>
      </c>
      <c r="K1050" t="str">
        <f>"OTICAMED (4707)"</f>
        <v>OTICAMED (4707)</v>
      </c>
      <c r="L1050" t="str">
        <f>""</f>
        <v/>
      </c>
      <c r="M1050" t="str">
        <f>""</f>
        <v/>
      </c>
      <c r="N1050" t="str">
        <f>"OTICAMEDSUL@GMAIL.COM"</f>
        <v>OTICAMEDSUL@GMAIL.COM</v>
      </c>
      <c r="O1050" t="str">
        <f>""</f>
        <v/>
      </c>
      <c r="P1050" t="str">
        <f>"RUA CORONEL PEDRO BENEDET"</f>
        <v>RUA CORONEL PEDRO BENEDET</v>
      </c>
      <c r="Q1050" t="str">
        <f>"209"</f>
        <v>209</v>
      </c>
      <c r="R1050" t="str">
        <f>""</f>
        <v/>
      </c>
      <c r="S1050" t="str">
        <f>"1269"</f>
        <v>1269</v>
      </c>
      <c r="T1050" t="str">
        <f>"88801250"</f>
        <v>88801250</v>
      </c>
      <c r="U1050" t="str">
        <f>"CENTRO"</f>
        <v>CENTRO</v>
      </c>
      <c r="V1050" t="str">
        <f>"CRICIUMA"</f>
        <v>CRICIUMA</v>
      </c>
      <c r="W1050" t="str">
        <f t="shared" si="522"/>
        <v>SC</v>
      </c>
      <c r="X1050" t="str">
        <f t="shared" si="529"/>
        <v>48</v>
      </c>
      <c r="Y1050" t="str">
        <f>"30561902"</f>
        <v>30561902</v>
      </c>
      <c r="Z1050" t="str">
        <f>""</f>
        <v/>
      </c>
      <c r="AA1050" t="str">
        <f>""</f>
        <v/>
      </c>
      <c r="AB1050" t="str">
        <f>""</f>
        <v/>
      </c>
      <c r="AC1050" t="str">
        <f>""</f>
        <v/>
      </c>
      <c r="AD1050" t="str">
        <f>""</f>
        <v/>
      </c>
      <c r="AE1050" t="str">
        <f>""</f>
        <v/>
      </c>
      <c r="AF1050" t="str">
        <f>""</f>
        <v/>
      </c>
      <c r="AG1050" t="str">
        <f>""</f>
        <v/>
      </c>
      <c r="AH1050" t="str">
        <f>""</f>
        <v/>
      </c>
      <c r="AI1050" t="str">
        <f>""</f>
        <v/>
      </c>
      <c r="AJ1050" t="str">
        <f>""</f>
        <v/>
      </c>
      <c r="AK1050" t="str">
        <f>""</f>
        <v/>
      </c>
      <c r="AL1050" t="str">
        <f>""</f>
        <v/>
      </c>
      <c r="AM1050" t="str">
        <f>""</f>
        <v/>
      </c>
      <c r="AN1050" t="str">
        <f>""</f>
        <v/>
      </c>
      <c r="AO1050" t="str">
        <f>""</f>
        <v/>
      </c>
      <c r="AP1050" t="str">
        <f>""</f>
        <v/>
      </c>
      <c r="AQ1050" t="str">
        <f>""</f>
        <v/>
      </c>
      <c r="AR1050" t="str">
        <f>""</f>
        <v/>
      </c>
      <c r="AS1050" t="str">
        <f>""</f>
        <v/>
      </c>
      <c r="AT1050" t="str">
        <f>""</f>
        <v/>
      </c>
      <c r="AU1050" t="str">
        <f>""</f>
        <v/>
      </c>
      <c r="AV1050" t="str">
        <f>""</f>
        <v/>
      </c>
      <c r="AW1050" t="str">
        <f>""</f>
        <v/>
      </c>
      <c r="AX1050" t="str">
        <f>""</f>
        <v/>
      </c>
      <c r="AY1050" t="str">
        <f>""</f>
        <v/>
      </c>
      <c r="AZ1050" t="str">
        <f>""</f>
        <v/>
      </c>
      <c r="BA1050" t="str">
        <f>""</f>
        <v/>
      </c>
      <c r="BB1050" t="str">
        <f>"06/07/2023 12:07:48"</f>
        <v>06/07/2023 12:07:48</v>
      </c>
      <c r="BC1050" t="str">
        <f>""</f>
        <v/>
      </c>
      <c r="BD1050" t="str">
        <f>""</f>
        <v/>
      </c>
      <c r="BE1050" t="str">
        <f>""</f>
        <v/>
      </c>
      <c r="BF1050" t="str">
        <f t="shared" si="518"/>
        <v>A</v>
      </c>
      <c r="BG1050" t="str">
        <f>""</f>
        <v/>
      </c>
      <c r="BH1050" t="str">
        <f>""</f>
        <v/>
      </c>
      <c r="BI1050" t="str">
        <f t="shared" si="503"/>
        <v>EVENTUAL</v>
      </c>
      <c r="BJ1050" t="str">
        <f t="shared" si="519"/>
        <v>1</v>
      </c>
      <c r="BK1050" t="str">
        <f t="shared" si="520"/>
        <v>Farmacia</v>
      </c>
      <c r="BL1050" t="str">
        <f>""</f>
        <v/>
      </c>
      <c r="BM1050" t="str">
        <f>""</f>
        <v/>
      </c>
      <c r="BN1050" t="str">
        <f>""</f>
        <v/>
      </c>
      <c r="BO1050" t="str">
        <f>""</f>
        <v/>
      </c>
      <c r="BP1050" t="str">
        <f>""</f>
        <v/>
      </c>
      <c r="BQ1050" t="str">
        <f>""</f>
        <v/>
      </c>
      <c r="BR1050" t="str">
        <f>"06/07/2023"</f>
        <v>06/07/2023</v>
      </c>
      <c r="BS1050" t="str">
        <f>""</f>
        <v/>
      </c>
      <c r="BT1050" t="str">
        <f>""</f>
        <v/>
      </c>
      <c r="BU1050" t="str">
        <f>""</f>
        <v/>
      </c>
      <c r="BV1050" t="str">
        <f>""</f>
        <v/>
      </c>
      <c r="BW1050" t="str">
        <f>"Não visitado"</f>
        <v>Não visitado</v>
      </c>
    </row>
    <row r="1051" spans="1:75" x14ac:dyDescent="0.35">
      <c r="A1051">
        <v>144819</v>
      </c>
      <c r="B1051" t="str">
        <f t="shared" si="515"/>
        <v>A</v>
      </c>
      <c r="C1051" t="str">
        <f t="shared" si="516"/>
        <v>80</v>
      </c>
      <c r="D1051" t="str">
        <f t="shared" si="509"/>
        <v>11121002</v>
      </c>
      <c r="E1051" t="str">
        <f t="shared" si="510"/>
        <v>121002</v>
      </c>
      <c r="F1051" t="str">
        <f t="shared" si="511"/>
        <v>CINTHIA NORONHA</v>
      </c>
      <c r="G1051" t="str">
        <f>"39695857000109"</f>
        <v>39695857000109</v>
      </c>
      <c r="H1051" t="str">
        <f>""</f>
        <v/>
      </c>
      <c r="I1051" t="str">
        <f t="shared" si="517"/>
        <v>CONTA OPTICA</v>
      </c>
      <c r="J1051" t="str">
        <f>"OTICAMED COMERCIO LTDA"</f>
        <v>OTICAMED COMERCIO LTDA</v>
      </c>
      <c r="K1051" t="str">
        <f>"OTICAMED (4350)"</f>
        <v>OTICAMED (4350)</v>
      </c>
      <c r="L1051" t="str">
        <f>""</f>
        <v/>
      </c>
      <c r="M1051" t="str">
        <f>""</f>
        <v/>
      </c>
      <c r="N1051" t="str">
        <f>"oticamedsul@gmail.com"</f>
        <v>oticamedsul@gmail.com</v>
      </c>
      <c r="O1051" t="str">
        <f>""</f>
        <v/>
      </c>
      <c r="P1051" t="str">
        <f>"TRAVESSA PADRE PEDRO BALDONCINI"</f>
        <v>TRAVESSA PADRE PEDRO BALDONCINI</v>
      </c>
      <c r="Q1051" t="str">
        <f>"100"</f>
        <v>100</v>
      </c>
      <c r="R1051" t="str">
        <f>"SALA 05"</f>
        <v>SALA 05</v>
      </c>
      <c r="S1051" t="str">
        <f>""</f>
        <v/>
      </c>
      <c r="T1051" t="str">
        <f>"88801045"</f>
        <v>88801045</v>
      </c>
      <c r="U1051" t="str">
        <f>"CENTRO"</f>
        <v>CENTRO</v>
      </c>
      <c r="V1051" t="str">
        <f>"CRICIÚMA"</f>
        <v>CRICIÚMA</v>
      </c>
      <c r="W1051" t="str">
        <f t="shared" si="522"/>
        <v>SC</v>
      </c>
      <c r="X1051" t="str">
        <f t="shared" si="529"/>
        <v>48</v>
      </c>
      <c r="Y1051" t="str">
        <f>"30561902"</f>
        <v>30561902</v>
      </c>
      <c r="Z1051" t="str">
        <f>""</f>
        <v/>
      </c>
      <c r="AA1051" t="str">
        <f>""</f>
        <v/>
      </c>
      <c r="AB1051" t="str">
        <f>""</f>
        <v/>
      </c>
      <c r="AC1051" t="str">
        <f>""</f>
        <v/>
      </c>
      <c r="AD1051" t="str">
        <f>""</f>
        <v/>
      </c>
      <c r="AE1051" t="str">
        <f>""</f>
        <v/>
      </c>
      <c r="AF1051" t="str">
        <f>""</f>
        <v/>
      </c>
      <c r="AG1051" t="str">
        <f>""</f>
        <v/>
      </c>
      <c r="AH1051" t="str">
        <f>""</f>
        <v/>
      </c>
      <c r="AI1051" t="str">
        <f>""</f>
        <v/>
      </c>
      <c r="AJ1051" t="str">
        <f>"0"</f>
        <v>0</v>
      </c>
      <c r="AK1051" t="str">
        <f>"0"</f>
        <v>0</v>
      </c>
      <c r="AL1051" t="str">
        <f>"0"</f>
        <v>0</v>
      </c>
      <c r="AM1051" t="str">
        <f>""</f>
        <v/>
      </c>
      <c r="AN1051" t="str">
        <f>""</f>
        <v/>
      </c>
      <c r="AO1051" t="str">
        <f>""</f>
        <v/>
      </c>
      <c r="AP1051" t="str">
        <f>""</f>
        <v/>
      </c>
      <c r="AQ1051" t="str">
        <f>""</f>
        <v/>
      </c>
      <c r="AR1051" t="str">
        <f>""</f>
        <v/>
      </c>
      <c r="AS1051" t="str">
        <f>""</f>
        <v/>
      </c>
      <c r="AT1051" t="str">
        <f>""</f>
        <v/>
      </c>
      <c r="AU1051" t="str">
        <f>""</f>
        <v/>
      </c>
      <c r="AV1051" t="str">
        <f>""</f>
        <v/>
      </c>
      <c r="AW1051" t="str">
        <f>""</f>
        <v/>
      </c>
      <c r="AX1051" t="str">
        <f>""</f>
        <v/>
      </c>
      <c r="AY1051" t="str">
        <f>""</f>
        <v/>
      </c>
      <c r="AZ1051" t="str">
        <f>""</f>
        <v/>
      </c>
      <c r="BA1051" t="str">
        <f>""</f>
        <v/>
      </c>
      <c r="BB1051" t="str">
        <f>""</f>
        <v/>
      </c>
      <c r="BC1051" t="str">
        <f>""</f>
        <v/>
      </c>
      <c r="BD1051" t="str">
        <f>""</f>
        <v/>
      </c>
      <c r="BE1051" t="str">
        <f>""</f>
        <v/>
      </c>
      <c r="BF1051" t="str">
        <f t="shared" si="518"/>
        <v>A</v>
      </c>
      <c r="BG1051" t="str">
        <f>"0,00"</f>
        <v>0,00</v>
      </c>
      <c r="BH1051" t="str">
        <f>"0,00"</f>
        <v>0,00</v>
      </c>
      <c r="BI1051" t="str">
        <f t="shared" si="503"/>
        <v>EVENTUAL</v>
      </c>
      <c r="BJ1051" t="str">
        <f t="shared" si="519"/>
        <v>1</v>
      </c>
      <c r="BK1051" t="str">
        <f t="shared" si="520"/>
        <v>Farmacia</v>
      </c>
      <c r="BL1051" t="str">
        <f>""</f>
        <v/>
      </c>
      <c r="BM1051" t="str">
        <f>"NÃO É VARILUX ESPECIALISTA"</f>
        <v>NÃO É VARILUX ESPECIALISTA</v>
      </c>
      <c r="BN1051" t="str">
        <f>"NA"</f>
        <v>NA</v>
      </c>
      <c r="BO1051" t="str">
        <f>"FOCO VARILUX"</f>
        <v>FOCO VARILUX</v>
      </c>
      <c r="BP1051" t="str">
        <f>""</f>
        <v/>
      </c>
      <c r="BQ1051" t="str">
        <f>""</f>
        <v/>
      </c>
      <c r="BR1051" t="str">
        <f>""</f>
        <v/>
      </c>
      <c r="BS1051" t="str">
        <f>""</f>
        <v/>
      </c>
      <c r="BT1051" t="str">
        <f>""</f>
        <v/>
      </c>
      <c r="BU1051" t="str">
        <f>""</f>
        <v/>
      </c>
      <c r="BV1051" t="str">
        <f>""</f>
        <v/>
      </c>
      <c r="BW1051" t="str">
        <f>"14"</f>
        <v>14</v>
      </c>
    </row>
    <row r="1052" spans="1:75" x14ac:dyDescent="0.35">
      <c r="A1052">
        <v>157690</v>
      </c>
      <c r="B1052" t="str">
        <f t="shared" si="515"/>
        <v>A</v>
      </c>
      <c r="C1052" t="str">
        <f t="shared" si="516"/>
        <v>80</v>
      </c>
      <c r="D1052" t="str">
        <f t="shared" si="509"/>
        <v>11121002</v>
      </c>
      <c r="E1052" t="str">
        <f t="shared" si="510"/>
        <v>121002</v>
      </c>
      <c r="F1052" t="str">
        <f t="shared" si="511"/>
        <v>CINTHIA NORONHA</v>
      </c>
      <c r="G1052" t="str">
        <f>"42659452000120"</f>
        <v>42659452000120</v>
      </c>
      <c r="H1052" t="str">
        <f>"0"</f>
        <v>0</v>
      </c>
      <c r="I1052" t="str">
        <f t="shared" si="517"/>
        <v>CONTA OPTICA</v>
      </c>
      <c r="J1052" t="str">
        <f>"OTICAS CONTINENTE LTDA"</f>
        <v>OTICAS CONTINENTE LTDA</v>
      </c>
      <c r="K1052" t="str">
        <f>"OTICAS CONTINENTE (4378)"</f>
        <v>OTICAS CONTINENTE (4378)</v>
      </c>
      <c r="L1052" t="str">
        <f>""</f>
        <v/>
      </c>
      <c r="M1052" t="str">
        <f>""</f>
        <v/>
      </c>
      <c r="N1052" t="str">
        <f>"OTICACONTINENTE01@GMAIL.COM"</f>
        <v>OTICACONTINENTE01@GMAIL.COM</v>
      </c>
      <c r="O1052" t="str">
        <f>""</f>
        <v/>
      </c>
      <c r="P1052" t="str">
        <f>"BRASILIA"</f>
        <v>BRASILIA</v>
      </c>
      <c r="Q1052" t="str">
        <f>"384"</f>
        <v>384</v>
      </c>
      <c r="R1052" t="str">
        <f>"LOJA 01 A"</f>
        <v>LOJA 01 A</v>
      </c>
      <c r="S1052" t="str">
        <f>""</f>
        <v/>
      </c>
      <c r="T1052" t="str">
        <f>"88110450"</f>
        <v>88110450</v>
      </c>
      <c r="U1052" t="str">
        <f>"BELA VISTA"</f>
        <v>BELA VISTA</v>
      </c>
      <c r="V1052" t="str">
        <f>"SAO JOSE"</f>
        <v>SAO JOSE</v>
      </c>
      <c r="W1052" t="str">
        <f t="shared" si="522"/>
        <v>SC</v>
      </c>
      <c r="X1052" t="str">
        <f t="shared" si="529"/>
        <v>48</v>
      </c>
      <c r="Y1052" t="str">
        <f>"30396225"</f>
        <v>30396225</v>
      </c>
      <c r="Z1052" t="str">
        <f>""</f>
        <v/>
      </c>
      <c r="AA1052" t="str">
        <f>""</f>
        <v/>
      </c>
      <c r="AB1052" t="str">
        <f>""</f>
        <v/>
      </c>
      <c r="AC1052" t="str">
        <f>""</f>
        <v/>
      </c>
      <c r="AD1052" t="str">
        <f>""</f>
        <v/>
      </c>
      <c r="AE1052" t="str">
        <f>""</f>
        <v/>
      </c>
      <c r="AF1052" t="str">
        <f>""</f>
        <v/>
      </c>
      <c r="AG1052" t="str">
        <f>""</f>
        <v/>
      </c>
      <c r="AH1052" t="str">
        <f>""</f>
        <v/>
      </c>
      <c r="AI1052" t="str">
        <f>""</f>
        <v/>
      </c>
      <c r="AJ1052" t="str">
        <f>""</f>
        <v/>
      </c>
      <c r="AK1052" t="str">
        <f>""</f>
        <v/>
      </c>
      <c r="AL1052" t="str">
        <f>""</f>
        <v/>
      </c>
      <c r="AM1052" t="str">
        <f>""</f>
        <v/>
      </c>
      <c r="AN1052" t="str">
        <f>""</f>
        <v/>
      </c>
      <c r="AO1052" t="str">
        <f>""</f>
        <v/>
      </c>
      <c r="AP1052" t="str">
        <f>""</f>
        <v/>
      </c>
      <c r="AQ1052" t="str">
        <f>""</f>
        <v/>
      </c>
      <c r="AR1052" t="str">
        <f>""</f>
        <v/>
      </c>
      <c r="AS1052" t="str">
        <f>""</f>
        <v/>
      </c>
      <c r="AT1052" t="str">
        <f>""</f>
        <v/>
      </c>
      <c r="AU1052" t="str">
        <f>""</f>
        <v/>
      </c>
      <c r="AV1052" t="str">
        <f>""</f>
        <v/>
      </c>
      <c r="AW1052" t="str">
        <f>""</f>
        <v/>
      </c>
      <c r="AX1052" t="str">
        <f>""</f>
        <v/>
      </c>
      <c r="AY1052" t="str">
        <f>""</f>
        <v/>
      </c>
      <c r="AZ1052" t="str">
        <f>""</f>
        <v/>
      </c>
      <c r="BA1052" t="str">
        <f>""</f>
        <v/>
      </c>
      <c r="BB1052" t="str">
        <f>"11/07/2023 02:19:56"</f>
        <v>11/07/2023 02:19:56</v>
      </c>
      <c r="BC1052" t="str">
        <f>""</f>
        <v/>
      </c>
      <c r="BD1052" t="str">
        <f>""</f>
        <v/>
      </c>
      <c r="BE1052" t="str">
        <f>""</f>
        <v/>
      </c>
      <c r="BF1052" t="str">
        <f t="shared" si="518"/>
        <v>A</v>
      </c>
      <c r="BG1052" t="str">
        <f>""</f>
        <v/>
      </c>
      <c r="BH1052" t="str">
        <f>""</f>
        <v/>
      </c>
      <c r="BI1052" t="str">
        <f t="shared" si="503"/>
        <v>EVENTUAL</v>
      </c>
      <c r="BJ1052" t="str">
        <f t="shared" si="519"/>
        <v>1</v>
      </c>
      <c r="BK1052" t="str">
        <f t="shared" si="520"/>
        <v>Farmacia</v>
      </c>
      <c r="BL1052" t="str">
        <f>""</f>
        <v/>
      </c>
      <c r="BM1052" t="str">
        <f>""</f>
        <v/>
      </c>
      <c r="BN1052" t="str">
        <f>""</f>
        <v/>
      </c>
      <c r="BO1052" t="str">
        <f>""</f>
        <v/>
      </c>
      <c r="BP1052" t="str">
        <f>""</f>
        <v/>
      </c>
      <c r="BQ1052" t="str">
        <f>""</f>
        <v/>
      </c>
      <c r="BR1052" t="str">
        <f>"11/07/2023"</f>
        <v>11/07/2023</v>
      </c>
      <c r="BS1052" t="str">
        <f>""</f>
        <v/>
      </c>
      <c r="BT1052" t="str">
        <f>""</f>
        <v/>
      </c>
      <c r="BU1052" t="str">
        <f>""</f>
        <v/>
      </c>
      <c r="BV1052" t="str">
        <f>""</f>
        <v/>
      </c>
      <c r="BW1052" t="str">
        <f>"Não visitado"</f>
        <v>Não visitado</v>
      </c>
    </row>
    <row r="1053" spans="1:75" x14ac:dyDescent="0.35">
      <c r="A1053">
        <v>152753</v>
      </c>
      <c r="B1053" t="str">
        <f t="shared" si="515"/>
        <v>A</v>
      </c>
      <c r="C1053" t="str">
        <f t="shared" si="516"/>
        <v>80</v>
      </c>
      <c r="D1053" t="str">
        <f t="shared" si="509"/>
        <v>11121002</v>
      </c>
      <c r="E1053" t="str">
        <f t="shared" si="510"/>
        <v>121002</v>
      </c>
      <c r="F1053" t="str">
        <f t="shared" si="511"/>
        <v>CINTHIA NORONHA</v>
      </c>
      <c r="G1053" t="str">
        <f>"48139665000107"</f>
        <v>48139665000107</v>
      </c>
      <c r="H1053" t="str">
        <f>"0"</f>
        <v>0</v>
      </c>
      <c r="I1053" t="str">
        <f t="shared" si="517"/>
        <v>CONTA OPTICA</v>
      </c>
      <c r="J1053" t="str">
        <f>"OTICAS DAL GRANDE E PAIVA LTDA"</f>
        <v>OTICAS DAL GRANDE E PAIVA LTDA</v>
      </c>
      <c r="K1053" t="str">
        <f>"OTICAS DAL GRANDE E PAIVA LTDA"</f>
        <v>OTICAS DAL GRANDE E PAIVA LTDA</v>
      </c>
      <c r="L1053" t="str">
        <f>""</f>
        <v/>
      </c>
      <c r="M1053" t="str">
        <f>""</f>
        <v/>
      </c>
      <c r="N1053" t="str">
        <f>"saojose.sc@visaodetodos.com"</f>
        <v>saojose.sc@visaodetodos.com</v>
      </c>
      <c r="O1053" t="str">
        <f>""</f>
        <v/>
      </c>
      <c r="P1053" t="str">
        <f>"AVENIDA JOSUE DI BERNARDI"</f>
        <v>AVENIDA JOSUE DI BERNARDI</v>
      </c>
      <c r="Q1053" t="str">
        <f>"18"</f>
        <v>18</v>
      </c>
      <c r="R1053" t="str">
        <f>"- ATE 489/490"</f>
        <v>- ATE 489/490</v>
      </c>
      <c r="S1053" t="str">
        <f>"1259"</f>
        <v>1259</v>
      </c>
      <c r="T1053" t="str">
        <f>"88101200"</f>
        <v>88101200</v>
      </c>
      <c r="U1053" t="str">
        <f>"CAMPINAS"</f>
        <v>CAMPINAS</v>
      </c>
      <c r="V1053" t="str">
        <f>"SAO JOSE"</f>
        <v>SAO JOSE</v>
      </c>
      <c r="W1053" t="str">
        <f t="shared" si="522"/>
        <v>SC</v>
      </c>
      <c r="X1053" t="str">
        <f t="shared" si="529"/>
        <v>48</v>
      </c>
      <c r="Y1053" t="str">
        <f>"984679307"</f>
        <v>984679307</v>
      </c>
      <c r="Z1053" t="str">
        <f>""</f>
        <v/>
      </c>
      <c r="AA1053" t="str">
        <f>""</f>
        <v/>
      </c>
      <c r="AB1053" t="str">
        <f>""</f>
        <v/>
      </c>
      <c r="AC1053" t="str">
        <f>""</f>
        <v/>
      </c>
      <c r="AD1053" t="str">
        <f>""</f>
        <v/>
      </c>
      <c r="AE1053" t="str">
        <f>""</f>
        <v/>
      </c>
      <c r="AF1053" t="str">
        <f>""</f>
        <v/>
      </c>
      <c r="AG1053" t="str">
        <f>""</f>
        <v/>
      </c>
      <c r="AH1053" t="str">
        <f>""</f>
        <v/>
      </c>
      <c r="AI1053" t="str">
        <f>""</f>
        <v/>
      </c>
      <c r="AJ1053" t="str">
        <f>""</f>
        <v/>
      </c>
      <c r="AK1053" t="str">
        <f>""</f>
        <v/>
      </c>
      <c r="AL1053" t="str">
        <f>""</f>
        <v/>
      </c>
      <c r="AM1053" t="str">
        <f>""</f>
        <v/>
      </c>
      <c r="AN1053" t="str">
        <f>""</f>
        <v/>
      </c>
      <c r="AO1053" t="str">
        <f>""</f>
        <v/>
      </c>
      <c r="AP1053" t="str">
        <f>""</f>
        <v/>
      </c>
      <c r="AQ1053" t="str">
        <f>""</f>
        <v/>
      </c>
      <c r="AR1053" t="str">
        <f>""</f>
        <v/>
      </c>
      <c r="AS1053" t="str">
        <f>""</f>
        <v/>
      </c>
      <c r="AT1053" t="str">
        <f>""</f>
        <v/>
      </c>
      <c r="AU1053" t="str">
        <f>""</f>
        <v/>
      </c>
      <c r="AV1053" t="str">
        <f>""</f>
        <v/>
      </c>
      <c r="AW1053" t="str">
        <f>""</f>
        <v/>
      </c>
      <c r="AX1053" t="str">
        <f>""</f>
        <v/>
      </c>
      <c r="AY1053" t="str">
        <f>""</f>
        <v/>
      </c>
      <c r="AZ1053" t="str">
        <f>""</f>
        <v/>
      </c>
      <c r="BA1053" t="str">
        <f>""</f>
        <v/>
      </c>
      <c r="BB1053" t="str">
        <f>"03/04/2023 13:34:29"</f>
        <v>03/04/2023 13:34:29</v>
      </c>
      <c r="BC1053" t="str">
        <f>""</f>
        <v/>
      </c>
      <c r="BD1053" t="str">
        <f>""</f>
        <v/>
      </c>
      <c r="BE1053" t="str">
        <f>""</f>
        <v/>
      </c>
      <c r="BF1053" t="str">
        <f t="shared" si="518"/>
        <v>A</v>
      </c>
      <c r="BG1053" t="str">
        <f>""</f>
        <v/>
      </c>
      <c r="BH1053" t="str">
        <f>""</f>
        <v/>
      </c>
      <c r="BI1053" t="str">
        <f t="shared" si="503"/>
        <v>EVENTUAL</v>
      </c>
      <c r="BJ1053" t="str">
        <f t="shared" si="519"/>
        <v>1</v>
      </c>
      <c r="BK1053" t="str">
        <f t="shared" si="520"/>
        <v>Farmacia</v>
      </c>
      <c r="BL1053" t="str">
        <f>""</f>
        <v/>
      </c>
      <c r="BM1053" t="str">
        <f>""</f>
        <v/>
      </c>
      <c r="BN1053" t="str">
        <f>""</f>
        <v/>
      </c>
      <c r="BO1053" t="str">
        <f>""</f>
        <v/>
      </c>
      <c r="BP1053" t="str">
        <f>""</f>
        <v/>
      </c>
      <c r="BQ1053" t="str">
        <f>""</f>
        <v/>
      </c>
      <c r="BR1053" t="str">
        <f>"03/04/2023"</f>
        <v>03/04/2023</v>
      </c>
      <c r="BS1053" t="str">
        <f>""</f>
        <v/>
      </c>
      <c r="BT1053" t="str">
        <f>""</f>
        <v/>
      </c>
      <c r="BU1053" t="str">
        <f>""</f>
        <v/>
      </c>
      <c r="BV1053" t="str">
        <f>""</f>
        <v/>
      </c>
      <c r="BW1053" t="str">
        <f>"Não visitado"</f>
        <v>Não visitado</v>
      </c>
    </row>
    <row r="1054" spans="1:75" x14ac:dyDescent="0.35">
      <c r="A1054">
        <v>441</v>
      </c>
      <c r="B1054" t="str">
        <f t="shared" si="515"/>
        <v>A</v>
      </c>
      <c r="C1054" t="str">
        <f t="shared" si="516"/>
        <v>80</v>
      </c>
      <c r="D1054" t="str">
        <f t="shared" si="509"/>
        <v>11121002</v>
      </c>
      <c r="E1054" t="str">
        <f t="shared" si="510"/>
        <v>121002</v>
      </c>
      <c r="F1054" t="str">
        <f t="shared" si="511"/>
        <v>CINTHIA NORONHA</v>
      </c>
      <c r="G1054" t="str">
        <f>"07568063000198"</f>
        <v>07568063000198</v>
      </c>
      <c r="H1054" t="str">
        <f>""</f>
        <v/>
      </c>
      <c r="I1054" t="str">
        <f t="shared" si="517"/>
        <v>CONTA OPTICA</v>
      </c>
      <c r="J1054" t="str">
        <f>"OTICAS DINIZ LTDA"</f>
        <v>OTICAS DINIZ LTDA</v>
      </c>
      <c r="K1054" t="str">
        <f>"OTICA DINIZ (916)"</f>
        <v>OTICA DINIZ (916)</v>
      </c>
      <c r="L1054" t="str">
        <f>""</f>
        <v/>
      </c>
      <c r="M1054" t="str">
        <f>""</f>
        <v/>
      </c>
      <c r="N1054" t="str">
        <f>"auxiliar.caixa@oticadinizfloripa.com.br"</f>
        <v>auxiliar.caixa@oticadinizfloripa.com.br</v>
      </c>
      <c r="O1054" t="str">
        <f>""</f>
        <v/>
      </c>
      <c r="P1054" t="str">
        <f>"RUA JERONIMO COELHO"</f>
        <v>RUA JERONIMO COELHO</v>
      </c>
      <c r="Q1054" t="str">
        <f>"290"</f>
        <v>290</v>
      </c>
      <c r="R1054" t="str">
        <f>""</f>
        <v/>
      </c>
      <c r="S1054" t="str">
        <f>"1254"</f>
        <v>1254</v>
      </c>
      <c r="T1054" t="str">
        <f>"88010030"</f>
        <v>88010030</v>
      </c>
      <c r="U1054" t="str">
        <f>"CENTRO"</f>
        <v>CENTRO</v>
      </c>
      <c r="V1054" t="str">
        <f>"FLORIANÓPOLIS"</f>
        <v>FLORIANÓPOLIS</v>
      </c>
      <c r="W1054" t="str">
        <f t="shared" si="522"/>
        <v>SC</v>
      </c>
      <c r="X1054" t="str">
        <f t="shared" si="529"/>
        <v>48</v>
      </c>
      <c r="Y1054" t="str">
        <f>"30625138"</f>
        <v>30625138</v>
      </c>
      <c r="Z1054" t="str">
        <f>""</f>
        <v/>
      </c>
      <c r="AA1054" t="str">
        <f>""</f>
        <v/>
      </c>
      <c r="AB1054" t="str">
        <f>""</f>
        <v/>
      </c>
      <c r="AC1054" t="str">
        <f>""</f>
        <v/>
      </c>
      <c r="AD1054" t="str">
        <f>""</f>
        <v/>
      </c>
      <c r="AE1054" t="str">
        <f>""</f>
        <v/>
      </c>
      <c r="AF1054" t="str">
        <f>""</f>
        <v/>
      </c>
      <c r="AG1054" t="str">
        <f>""</f>
        <v/>
      </c>
      <c r="AH1054" t="str">
        <f>""</f>
        <v/>
      </c>
      <c r="AI1054" t="str">
        <f>""</f>
        <v/>
      </c>
      <c r="AJ1054" t="str">
        <f t="shared" ref="AJ1054:AL1055" si="530">"0"</f>
        <v>0</v>
      </c>
      <c r="AK1054" t="str">
        <f t="shared" si="530"/>
        <v>0</v>
      </c>
      <c r="AL1054" t="str">
        <f t="shared" si="530"/>
        <v>0</v>
      </c>
      <c r="AM1054" t="str">
        <f>""</f>
        <v/>
      </c>
      <c r="AN1054" t="str">
        <f>""</f>
        <v/>
      </c>
      <c r="AO1054" t="str">
        <f>""</f>
        <v/>
      </c>
      <c r="AP1054" t="str">
        <f>""</f>
        <v/>
      </c>
      <c r="AQ1054" t="str">
        <f>""</f>
        <v/>
      </c>
      <c r="AR1054" t="str">
        <f>""</f>
        <v/>
      </c>
      <c r="AS1054" t="str">
        <f>""</f>
        <v/>
      </c>
      <c r="AT1054" t="str">
        <f>""</f>
        <v/>
      </c>
      <c r="AU1054" t="str">
        <f>""</f>
        <v/>
      </c>
      <c r="AV1054" t="str">
        <f>""</f>
        <v/>
      </c>
      <c r="AW1054" t="str">
        <f>""</f>
        <v/>
      </c>
      <c r="AX1054" t="str">
        <f>""</f>
        <v/>
      </c>
      <c r="AY1054" t="str">
        <f>""</f>
        <v/>
      </c>
      <c r="AZ1054" t="str">
        <f>""</f>
        <v/>
      </c>
      <c r="BA1054" t="str">
        <f>""</f>
        <v/>
      </c>
      <c r="BB1054" t="str">
        <f>"27/07/2018 09:25:43"</f>
        <v>27/07/2018 09:25:43</v>
      </c>
      <c r="BC1054" t="str">
        <f>""</f>
        <v/>
      </c>
      <c r="BD1054" t="str">
        <f>""</f>
        <v/>
      </c>
      <c r="BE1054" t="str">
        <f>"441"</f>
        <v>441</v>
      </c>
      <c r="BF1054" t="str">
        <f t="shared" si="518"/>
        <v>A</v>
      </c>
      <c r="BG1054" t="str">
        <f>"0,00"</f>
        <v>0,00</v>
      </c>
      <c r="BH1054" t="str">
        <f>"0,00"</f>
        <v>0,00</v>
      </c>
      <c r="BI1054" t="str">
        <f t="shared" si="503"/>
        <v>EVENTUAL</v>
      </c>
      <c r="BJ1054" t="str">
        <f t="shared" si="519"/>
        <v>1</v>
      </c>
      <c r="BK1054" t="str">
        <f t="shared" si="520"/>
        <v>Farmacia</v>
      </c>
      <c r="BL1054" t="str">
        <f>""</f>
        <v/>
      </c>
      <c r="BM1054" t="str">
        <f>"NÃO É VARILUX ESPECIALISTA"</f>
        <v>NÃO É VARILUX ESPECIALISTA</v>
      </c>
      <c r="BN1054" t="str">
        <f>"NA"</f>
        <v>NA</v>
      </c>
      <c r="BO1054" t="str">
        <f>"FOCO VARILUX DIGITAL"</f>
        <v>FOCO VARILUX DIGITAL</v>
      </c>
      <c r="BP1054" t="str">
        <f>""</f>
        <v/>
      </c>
      <c r="BQ1054" t="str">
        <f>""</f>
        <v/>
      </c>
      <c r="BR1054" t="str">
        <f>"27/07/2018"</f>
        <v>27/07/2018</v>
      </c>
      <c r="BS1054" t="str">
        <f>""</f>
        <v/>
      </c>
      <c r="BT1054" t="str">
        <f>""</f>
        <v/>
      </c>
      <c r="BU1054" t="str">
        <f>""</f>
        <v/>
      </c>
      <c r="BV1054" t="str">
        <f>"3"</f>
        <v>3</v>
      </c>
      <c r="BW1054" t="str">
        <f>"Não visitado"</f>
        <v>Não visitado</v>
      </c>
    </row>
    <row r="1055" spans="1:75" x14ac:dyDescent="0.35">
      <c r="A1055">
        <v>134270</v>
      </c>
      <c r="B1055" t="str">
        <f t="shared" si="515"/>
        <v>A</v>
      </c>
      <c r="C1055" t="str">
        <f t="shared" si="516"/>
        <v>80</v>
      </c>
      <c r="D1055" t="str">
        <f t="shared" si="509"/>
        <v>11121002</v>
      </c>
      <c r="E1055" t="str">
        <f t="shared" si="510"/>
        <v>121002</v>
      </c>
      <c r="F1055" t="str">
        <f t="shared" si="511"/>
        <v>CINTHIA NORONHA</v>
      </c>
      <c r="G1055" t="str">
        <f>"30267876008900"</f>
        <v>30267876008900</v>
      </c>
      <c r="H1055" t="str">
        <f>""</f>
        <v/>
      </c>
      <c r="I1055" t="str">
        <f t="shared" si="517"/>
        <v>CONTA OPTICA</v>
      </c>
      <c r="J1055" t="str">
        <f>"OTICAS DO POVO LTDA"</f>
        <v>OTICAS DO POVO LTDA</v>
      </c>
      <c r="K1055" t="str">
        <f>"OTICAS DO POVO LTDA (1850)"</f>
        <v>OTICAS DO POVO LTDA (1850)</v>
      </c>
      <c r="L1055" t="str">
        <f>""</f>
        <v/>
      </c>
      <c r="M1055" t="str">
        <f>""</f>
        <v/>
      </c>
      <c r="N1055" t="str">
        <f>"nfe@oticasdopovo.com.br"</f>
        <v>nfe@oticasdopovo.com.br</v>
      </c>
      <c r="O1055" t="str">
        <f>""</f>
        <v/>
      </c>
      <c r="P1055" t="str">
        <f>"RUA SC - 401                   NIVEL SUP L-2"</f>
        <v>RUA SC - 401                   NIVEL SUP L-2</v>
      </c>
      <c r="Q1055" t="str">
        <f>"3116"</f>
        <v>3116</v>
      </c>
      <c r="R1055" t="str">
        <f>"LJ 240/241/242"</f>
        <v>LJ 240/241/242</v>
      </c>
      <c r="S1055" t="str">
        <f>"1257"</f>
        <v>1257</v>
      </c>
      <c r="T1055" t="str">
        <f>"88032005"</f>
        <v>88032005</v>
      </c>
      <c r="U1055" t="str">
        <f>"SACO GRANDE"</f>
        <v>SACO GRANDE</v>
      </c>
      <c r="V1055" t="str">
        <f>"FLORIANOPOLIS"</f>
        <v>FLORIANOPOLIS</v>
      </c>
      <c r="W1055" t="str">
        <f t="shared" si="522"/>
        <v>SC</v>
      </c>
      <c r="X1055" t="str">
        <f t="shared" si="529"/>
        <v>48</v>
      </c>
      <c r="Y1055" t="str">
        <f>"32383113"</f>
        <v>32383113</v>
      </c>
      <c r="Z1055" t="str">
        <f>""</f>
        <v/>
      </c>
      <c r="AA1055" t="str">
        <f>""</f>
        <v/>
      </c>
      <c r="AB1055" t="str">
        <f>""</f>
        <v/>
      </c>
      <c r="AC1055" t="str">
        <f>""</f>
        <v/>
      </c>
      <c r="AD1055" t="str">
        <f>""</f>
        <v/>
      </c>
      <c r="AE1055" t="str">
        <f>""</f>
        <v/>
      </c>
      <c r="AF1055" t="str">
        <f>""</f>
        <v/>
      </c>
      <c r="AG1055" t="str">
        <f>""</f>
        <v/>
      </c>
      <c r="AH1055" t="str">
        <f>""</f>
        <v/>
      </c>
      <c r="AI1055" t="str">
        <f>""</f>
        <v/>
      </c>
      <c r="AJ1055" t="str">
        <f t="shared" si="530"/>
        <v>0</v>
      </c>
      <c r="AK1055" t="str">
        <f t="shared" si="530"/>
        <v>0</v>
      </c>
      <c r="AL1055" t="str">
        <f t="shared" si="530"/>
        <v>0</v>
      </c>
      <c r="AM1055" t="str">
        <f>""</f>
        <v/>
      </c>
      <c r="AN1055" t="str">
        <f>""</f>
        <v/>
      </c>
      <c r="AO1055" t="str">
        <f>""</f>
        <v/>
      </c>
      <c r="AP1055" t="str">
        <f>""</f>
        <v/>
      </c>
      <c r="AQ1055" t="str">
        <f>""</f>
        <v/>
      </c>
      <c r="AR1055" t="str">
        <f>""</f>
        <v/>
      </c>
      <c r="AS1055" t="str">
        <f>""</f>
        <v/>
      </c>
      <c r="AT1055" t="str">
        <f>""</f>
        <v/>
      </c>
      <c r="AU1055" t="str">
        <f>""</f>
        <v/>
      </c>
      <c r="AV1055" t="str">
        <f>""</f>
        <v/>
      </c>
      <c r="AW1055" t="str">
        <f>""</f>
        <v/>
      </c>
      <c r="AX1055" t="str">
        <f>""</f>
        <v/>
      </c>
      <c r="AY1055" t="str">
        <f>""</f>
        <v/>
      </c>
      <c r="AZ1055" t="str">
        <f>""</f>
        <v/>
      </c>
      <c r="BA1055" t="str">
        <f>""</f>
        <v/>
      </c>
      <c r="BB1055" t="str">
        <f>""</f>
        <v/>
      </c>
      <c r="BC1055" t="str">
        <f>""</f>
        <v/>
      </c>
      <c r="BD1055" t="str">
        <f>""</f>
        <v/>
      </c>
      <c r="BE1055" t="str">
        <f>""</f>
        <v/>
      </c>
      <c r="BF1055" t="str">
        <f t="shared" si="518"/>
        <v>A</v>
      </c>
      <c r="BG1055" t="str">
        <f>"0,00"</f>
        <v>0,00</v>
      </c>
      <c r="BH1055" t="str">
        <f>"0,00"</f>
        <v>0,00</v>
      </c>
      <c r="BI1055" t="str">
        <f t="shared" si="503"/>
        <v>EVENTUAL</v>
      </c>
      <c r="BJ1055" t="str">
        <f t="shared" si="519"/>
        <v>1</v>
      </c>
      <c r="BK1055" t="str">
        <f t="shared" si="520"/>
        <v>Farmacia</v>
      </c>
      <c r="BL1055" t="str">
        <f>""</f>
        <v/>
      </c>
      <c r="BM1055" t="str">
        <f>"NÃO É VARILUX ESPECIALISTA"</f>
        <v>NÃO É VARILUX ESPECIALISTA</v>
      </c>
      <c r="BN1055" t="str">
        <f>"NA"</f>
        <v>NA</v>
      </c>
      <c r="BO1055" t="str">
        <f>"FOCO VARILUX"</f>
        <v>FOCO VARILUX</v>
      </c>
      <c r="BP1055" t="str">
        <f>""</f>
        <v/>
      </c>
      <c r="BQ1055" t="str">
        <f>""</f>
        <v/>
      </c>
      <c r="BR1055" t="str">
        <f>""</f>
        <v/>
      </c>
      <c r="BS1055" t="str">
        <f>""</f>
        <v/>
      </c>
      <c r="BT1055" t="str">
        <f>""</f>
        <v/>
      </c>
      <c r="BU1055" t="str">
        <f>""</f>
        <v/>
      </c>
      <c r="BV1055" t="str">
        <f>"7"</f>
        <v>7</v>
      </c>
      <c r="BW1055" t="str">
        <f>"77"</f>
        <v>77</v>
      </c>
    </row>
    <row r="1056" spans="1:75" x14ac:dyDescent="0.35">
      <c r="A1056">
        <v>156960</v>
      </c>
      <c r="B1056" t="str">
        <f t="shared" si="515"/>
        <v>A</v>
      </c>
      <c r="C1056" t="str">
        <f t="shared" si="516"/>
        <v>80</v>
      </c>
      <c r="D1056" t="str">
        <f t="shared" si="509"/>
        <v>11121002</v>
      </c>
      <c r="E1056" t="str">
        <f t="shared" si="510"/>
        <v>121002</v>
      </c>
      <c r="F1056" t="str">
        <f t="shared" si="511"/>
        <v>CINTHIA NORONHA</v>
      </c>
      <c r="G1056" t="str">
        <f>"30267876009701"</f>
        <v>30267876009701</v>
      </c>
      <c r="H1056" t="str">
        <f>"0"</f>
        <v>0</v>
      </c>
      <c r="I1056" t="str">
        <f t="shared" si="517"/>
        <v>CONTA OPTICA</v>
      </c>
      <c r="J1056" t="str">
        <f>"OTICAS DO POVO LTDA"</f>
        <v>OTICAS DO POVO LTDA</v>
      </c>
      <c r="K1056" t="str">
        <f>"OTICAS DO POVO LTDA (1944)"</f>
        <v>OTICAS DO POVO LTDA (1944)</v>
      </c>
      <c r="L1056" t="str">
        <f>""</f>
        <v/>
      </c>
      <c r="M1056" t="str">
        <f>""</f>
        <v/>
      </c>
      <c r="N1056" t="str">
        <f>"NFE@OTICASDOPOVO.COM.BR"</f>
        <v>NFE@OTICASDOPOVO.COM.BR</v>
      </c>
      <c r="O1056" t="str">
        <f>""</f>
        <v/>
      </c>
      <c r="P1056" t="str">
        <f>"BR-101"</f>
        <v>BR-101</v>
      </c>
      <c r="Q1056" t="str">
        <f>"SN"</f>
        <v>SN</v>
      </c>
      <c r="R1056" t="str">
        <f>"LOJA 129 130"</f>
        <v>LOJA 129 130</v>
      </c>
      <c r="S1056" t="str">
        <f>"1259"</f>
        <v>1259</v>
      </c>
      <c r="T1056" t="str">
        <f>"88104801"</f>
        <v>88104801</v>
      </c>
      <c r="U1056" t="str">
        <f>"DISTRITO INDUSTRIAL"</f>
        <v>DISTRITO INDUSTRIAL</v>
      </c>
      <c r="V1056" t="str">
        <f>"SAO JOSE"</f>
        <v>SAO JOSE</v>
      </c>
      <c r="W1056" t="str">
        <f t="shared" si="522"/>
        <v>SC</v>
      </c>
      <c r="X1056" t="str">
        <f t="shared" si="529"/>
        <v>48</v>
      </c>
      <c r="Y1056" t="str">
        <f>"30949179"</f>
        <v>30949179</v>
      </c>
      <c r="Z1056" t="str">
        <f>""</f>
        <v/>
      </c>
      <c r="AA1056" t="str">
        <f>""</f>
        <v/>
      </c>
      <c r="AB1056" t="str">
        <f>""</f>
        <v/>
      </c>
      <c r="AC1056" t="str">
        <f>""</f>
        <v/>
      </c>
      <c r="AD1056" t="str">
        <f>""</f>
        <v/>
      </c>
      <c r="AE1056" t="str">
        <f>""</f>
        <v/>
      </c>
      <c r="AF1056" t="str">
        <f>""</f>
        <v/>
      </c>
      <c r="AG1056" t="str">
        <f>""</f>
        <v/>
      </c>
      <c r="AH1056" t="str">
        <f>""</f>
        <v/>
      </c>
      <c r="AI1056" t="str">
        <f>""</f>
        <v/>
      </c>
      <c r="AJ1056" t="str">
        <f>""</f>
        <v/>
      </c>
      <c r="AK1056" t="str">
        <f>""</f>
        <v/>
      </c>
      <c r="AL1056" t="str">
        <f>""</f>
        <v/>
      </c>
      <c r="AM1056" t="str">
        <f>""</f>
        <v/>
      </c>
      <c r="AN1056" t="str">
        <f>""</f>
        <v/>
      </c>
      <c r="AO1056" t="str">
        <f>""</f>
        <v/>
      </c>
      <c r="AP1056" t="str">
        <f>""</f>
        <v/>
      </c>
      <c r="AQ1056" t="str">
        <f>""</f>
        <v/>
      </c>
      <c r="AR1056" t="str">
        <f>""</f>
        <v/>
      </c>
      <c r="AS1056" t="str">
        <f>""</f>
        <v/>
      </c>
      <c r="AT1056" t="str">
        <f>""</f>
        <v/>
      </c>
      <c r="AU1056" t="str">
        <f>""</f>
        <v/>
      </c>
      <c r="AV1056" t="str">
        <f>""</f>
        <v/>
      </c>
      <c r="AW1056" t="str">
        <f>""</f>
        <v/>
      </c>
      <c r="AX1056" t="str">
        <f>""</f>
        <v/>
      </c>
      <c r="AY1056" t="str">
        <f>""</f>
        <v/>
      </c>
      <c r="AZ1056" t="str">
        <f>""</f>
        <v/>
      </c>
      <c r="BA1056" t="str">
        <f>""</f>
        <v/>
      </c>
      <c r="BB1056" t="str">
        <f>"06/07/2023 12:07:48"</f>
        <v>06/07/2023 12:07:48</v>
      </c>
      <c r="BC1056" t="str">
        <f>""</f>
        <v/>
      </c>
      <c r="BD1056" t="str">
        <f>""</f>
        <v/>
      </c>
      <c r="BE1056" t="str">
        <f>""</f>
        <v/>
      </c>
      <c r="BF1056" t="str">
        <f t="shared" si="518"/>
        <v>A</v>
      </c>
      <c r="BG1056" t="str">
        <f>""</f>
        <v/>
      </c>
      <c r="BH1056" t="str">
        <f>""</f>
        <v/>
      </c>
      <c r="BI1056" t="str">
        <f t="shared" ref="BI1056:BI1119" si="531">"EVENTUAL"</f>
        <v>EVENTUAL</v>
      </c>
      <c r="BJ1056" t="str">
        <f t="shared" si="519"/>
        <v>1</v>
      </c>
      <c r="BK1056" t="str">
        <f t="shared" si="520"/>
        <v>Farmacia</v>
      </c>
      <c r="BL1056" t="str">
        <f>""</f>
        <v/>
      </c>
      <c r="BM1056" t="str">
        <f>""</f>
        <v/>
      </c>
      <c r="BN1056" t="str">
        <f>""</f>
        <v/>
      </c>
      <c r="BO1056" t="str">
        <f>""</f>
        <v/>
      </c>
      <c r="BP1056" t="str">
        <f>""</f>
        <v/>
      </c>
      <c r="BQ1056" t="str">
        <f>""</f>
        <v/>
      </c>
      <c r="BR1056" t="str">
        <f>"06/07/2023"</f>
        <v>06/07/2023</v>
      </c>
      <c r="BS1056" t="str">
        <f>""</f>
        <v/>
      </c>
      <c r="BT1056" t="str">
        <f>""</f>
        <v/>
      </c>
      <c r="BU1056" t="str">
        <f>""</f>
        <v/>
      </c>
      <c r="BV1056" t="str">
        <f>""</f>
        <v/>
      </c>
      <c r="BW1056" t="str">
        <f>"Não visitado"</f>
        <v>Não visitado</v>
      </c>
    </row>
    <row r="1057" spans="1:75" x14ac:dyDescent="0.35">
      <c r="A1057">
        <v>158700</v>
      </c>
      <c r="B1057" t="str">
        <f t="shared" si="515"/>
        <v>A</v>
      </c>
      <c r="C1057" t="str">
        <f t="shared" si="516"/>
        <v>80</v>
      </c>
      <c r="D1057" t="str">
        <f t="shared" si="509"/>
        <v>11121002</v>
      </c>
      <c r="E1057" t="str">
        <f t="shared" si="510"/>
        <v>121002</v>
      </c>
      <c r="F1057" t="str">
        <f t="shared" si="511"/>
        <v>CINTHIA NORONHA</v>
      </c>
      <c r="G1057" t="str">
        <f>"49975034000190"</f>
        <v>49975034000190</v>
      </c>
      <c r="H1057" t="str">
        <f>""</f>
        <v/>
      </c>
      <c r="I1057" t="str">
        <f t="shared" si="517"/>
        <v>CONTA OPTICA</v>
      </c>
      <c r="J1057" t="str">
        <f>"OTICAS FERRI BC 002 LTDA"</f>
        <v>OTICAS FERRI BC 002 LTDA</v>
      </c>
      <c r="K1057" t="str">
        <f>"OTICAS FERRI (4744)"</f>
        <v>OTICAS FERRI (4744)</v>
      </c>
      <c r="L1057" t="str">
        <f>""</f>
        <v/>
      </c>
      <c r="M1057" t="str">
        <f>""</f>
        <v/>
      </c>
      <c r="N1057" t="str">
        <f>"LABORATORIO@OTICASFERRI.COM.BR"</f>
        <v>LABORATORIO@OTICASFERRI.COM.BR</v>
      </c>
      <c r="O1057" t="str">
        <f>""</f>
        <v/>
      </c>
      <c r="P1057" t="str">
        <f>"RUA 500"</f>
        <v>RUA 500</v>
      </c>
      <c r="Q1057" t="str">
        <f>"16"</f>
        <v>16</v>
      </c>
      <c r="R1057" t="str">
        <f>"SALA 5"</f>
        <v>SALA 5</v>
      </c>
      <c r="S1057" t="str">
        <f>""</f>
        <v/>
      </c>
      <c r="T1057" t="str">
        <f>"88330904"</f>
        <v>88330904</v>
      </c>
      <c r="U1057" t="str">
        <f>"CENTRO"</f>
        <v>CENTRO</v>
      </c>
      <c r="V1057" t="str">
        <f>"BALNEARIO CAMBORIU"</f>
        <v>BALNEARIO CAMBORIU</v>
      </c>
      <c r="W1057" t="str">
        <f t="shared" si="522"/>
        <v>SC</v>
      </c>
      <c r="X1057" t="str">
        <f t="shared" si="529"/>
        <v>48</v>
      </c>
      <c r="Y1057" t="str">
        <f>"991838770"</f>
        <v>991838770</v>
      </c>
      <c r="Z1057" t="str">
        <f>""</f>
        <v/>
      </c>
      <c r="AA1057" t="str">
        <f>""</f>
        <v/>
      </c>
      <c r="AB1057" t="str">
        <f>""</f>
        <v/>
      </c>
      <c r="AC1057" t="str">
        <f>""</f>
        <v/>
      </c>
      <c r="AD1057" t="str">
        <f>""</f>
        <v/>
      </c>
      <c r="AE1057" t="str">
        <f>""</f>
        <v/>
      </c>
      <c r="AF1057" t="str">
        <f>""</f>
        <v/>
      </c>
      <c r="AG1057" t="str">
        <f>""</f>
        <v/>
      </c>
      <c r="AH1057" t="str">
        <f>""</f>
        <v/>
      </c>
      <c r="AI1057" t="str">
        <f>""</f>
        <v/>
      </c>
      <c r="AJ1057" t="str">
        <f>""</f>
        <v/>
      </c>
      <c r="AK1057" t="str">
        <f>""</f>
        <v/>
      </c>
      <c r="AL1057" t="str">
        <f>""</f>
        <v/>
      </c>
      <c r="AM1057" t="str">
        <f>""</f>
        <v/>
      </c>
      <c r="AN1057" t="str">
        <f>""</f>
        <v/>
      </c>
      <c r="AO1057" t="str">
        <f>""</f>
        <v/>
      </c>
      <c r="AP1057" t="str">
        <f>""</f>
        <v/>
      </c>
      <c r="AQ1057" t="str">
        <f>""</f>
        <v/>
      </c>
      <c r="AR1057" t="str">
        <f>""</f>
        <v/>
      </c>
      <c r="AS1057" t="str">
        <f>""</f>
        <v/>
      </c>
      <c r="AT1057" t="str">
        <f>""</f>
        <v/>
      </c>
      <c r="AU1057" t="str">
        <f>""</f>
        <v/>
      </c>
      <c r="AV1057" t="str">
        <f>""</f>
        <v/>
      </c>
      <c r="AW1057" t="str">
        <f>""</f>
        <v/>
      </c>
      <c r="AX1057" t="str">
        <f>""</f>
        <v/>
      </c>
      <c r="AY1057" t="str">
        <f>""</f>
        <v/>
      </c>
      <c r="AZ1057" t="str">
        <f>""</f>
        <v/>
      </c>
      <c r="BA1057" t="str">
        <f>""</f>
        <v/>
      </c>
      <c r="BB1057" t="str">
        <f>"17/08/2023 16:48:06"</f>
        <v>17/08/2023 16:48:06</v>
      </c>
      <c r="BC1057" t="str">
        <f>""</f>
        <v/>
      </c>
      <c r="BD1057" t="str">
        <f>""</f>
        <v/>
      </c>
      <c r="BE1057" t="str">
        <f>""</f>
        <v/>
      </c>
      <c r="BF1057" t="str">
        <f t="shared" si="518"/>
        <v>A</v>
      </c>
      <c r="BG1057" t="str">
        <f>""</f>
        <v/>
      </c>
      <c r="BH1057" t="str">
        <f>""</f>
        <v/>
      </c>
      <c r="BI1057" t="str">
        <f t="shared" si="531"/>
        <v>EVENTUAL</v>
      </c>
      <c r="BJ1057" t="str">
        <f t="shared" si="519"/>
        <v>1</v>
      </c>
      <c r="BK1057" t="str">
        <f t="shared" si="520"/>
        <v>Farmacia</v>
      </c>
      <c r="BL1057" t="str">
        <f>""</f>
        <v/>
      </c>
      <c r="BM1057" t="str">
        <f>""</f>
        <v/>
      </c>
      <c r="BN1057" t="str">
        <f>""</f>
        <v/>
      </c>
      <c r="BO1057" t="str">
        <f>""</f>
        <v/>
      </c>
      <c r="BP1057" t="str">
        <f>""</f>
        <v/>
      </c>
      <c r="BQ1057" t="str">
        <f>""</f>
        <v/>
      </c>
      <c r="BR1057" t="str">
        <f>"17/08/2023"</f>
        <v>17/08/2023</v>
      </c>
      <c r="BS1057" t="str">
        <f>""</f>
        <v/>
      </c>
      <c r="BT1057" t="str">
        <f>""</f>
        <v/>
      </c>
      <c r="BU1057" t="str">
        <f>""</f>
        <v/>
      </c>
      <c r="BV1057" t="str">
        <f>""</f>
        <v/>
      </c>
      <c r="BW1057" t="str">
        <f>"Não visitado"</f>
        <v>Não visitado</v>
      </c>
    </row>
    <row r="1058" spans="1:75" x14ac:dyDescent="0.35">
      <c r="A1058">
        <v>158701</v>
      </c>
      <c r="B1058" t="str">
        <f t="shared" si="515"/>
        <v>A</v>
      </c>
      <c r="C1058" t="str">
        <f t="shared" si="516"/>
        <v>80</v>
      </c>
      <c r="D1058" t="str">
        <f t="shared" si="509"/>
        <v>11121002</v>
      </c>
      <c r="E1058" t="str">
        <f t="shared" si="510"/>
        <v>121002</v>
      </c>
      <c r="F1058" t="str">
        <f t="shared" si="511"/>
        <v>CINTHIA NORONHA</v>
      </c>
      <c r="G1058" t="str">
        <f>"49963035000115"</f>
        <v>49963035000115</v>
      </c>
      <c r="H1058" t="str">
        <f>""</f>
        <v/>
      </c>
      <c r="I1058" t="str">
        <f t="shared" si="517"/>
        <v>CONTA OPTICA</v>
      </c>
      <c r="J1058" t="str">
        <f>"OTICAS FERRI SJ 001 LTDA"</f>
        <v>OTICAS FERRI SJ 001 LTDA</v>
      </c>
      <c r="K1058" t="str">
        <f>"OTICAS FERRI (4743)"</f>
        <v>OTICAS FERRI (4743)</v>
      </c>
      <c r="L1058" t="str">
        <f>""</f>
        <v/>
      </c>
      <c r="M1058" t="str">
        <f>""</f>
        <v/>
      </c>
      <c r="N1058" t="str">
        <f>"LABORATORIO@OTICASFERRI.COM.BR"</f>
        <v>LABORATORIO@OTICASFERRI.COM.BR</v>
      </c>
      <c r="O1058" t="str">
        <f>""</f>
        <v/>
      </c>
      <c r="P1058" t="str">
        <f>"LEOBERTO LEAL"</f>
        <v>LEOBERTO LEAL</v>
      </c>
      <c r="Q1058" t="str">
        <f>"87"</f>
        <v>87</v>
      </c>
      <c r="R1058" t="str">
        <f>"SALA 01"</f>
        <v>SALA 01</v>
      </c>
      <c r="S1058" t="str">
        <f>"1259"</f>
        <v>1259</v>
      </c>
      <c r="T1058" t="str">
        <f>"88110001"</f>
        <v>88110001</v>
      </c>
      <c r="U1058" t="str">
        <f>"BARREIROS"</f>
        <v>BARREIROS</v>
      </c>
      <c r="V1058" t="str">
        <f>"SAO JOSE"</f>
        <v>SAO JOSE</v>
      </c>
      <c r="W1058" t="str">
        <f t="shared" si="522"/>
        <v>SC</v>
      </c>
      <c r="X1058" t="str">
        <f t="shared" si="529"/>
        <v>48</v>
      </c>
      <c r="Y1058" t="str">
        <f>"991838770"</f>
        <v>991838770</v>
      </c>
      <c r="Z1058" t="str">
        <f>""</f>
        <v/>
      </c>
      <c r="AA1058" t="str">
        <f>""</f>
        <v/>
      </c>
      <c r="AB1058" t="str">
        <f>""</f>
        <v/>
      </c>
      <c r="AC1058" t="str">
        <f>""</f>
        <v/>
      </c>
      <c r="AD1058" t="str">
        <f>""</f>
        <v/>
      </c>
      <c r="AE1058" t="str">
        <f>""</f>
        <v/>
      </c>
      <c r="AF1058" t="str">
        <f>""</f>
        <v/>
      </c>
      <c r="AG1058" t="str">
        <f>""</f>
        <v/>
      </c>
      <c r="AH1058" t="str">
        <f>""</f>
        <v/>
      </c>
      <c r="AI1058" t="str">
        <f>""</f>
        <v/>
      </c>
      <c r="AJ1058" t="str">
        <f>""</f>
        <v/>
      </c>
      <c r="AK1058" t="str">
        <f>""</f>
        <v/>
      </c>
      <c r="AL1058" t="str">
        <f>""</f>
        <v/>
      </c>
      <c r="AM1058" t="str">
        <f>""</f>
        <v/>
      </c>
      <c r="AN1058" t="str">
        <f>""</f>
        <v/>
      </c>
      <c r="AO1058" t="str">
        <f>""</f>
        <v/>
      </c>
      <c r="AP1058" t="str">
        <f>""</f>
        <v/>
      </c>
      <c r="AQ1058" t="str">
        <f>""</f>
        <v/>
      </c>
      <c r="AR1058" t="str">
        <f>""</f>
        <v/>
      </c>
      <c r="AS1058" t="str">
        <f>""</f>
        <v/>
      </c>
      <c r="AT1058" t="str">
        <f>""</f>
        <v/>
      </c>
      <c r="AU1058" t="str">
        <f>""</f>
        <v/>
      </c>
      <c r="AV1058" t="str">
        <f>""</f>
        <v/>
      </c>
      <c r="AW1058" t="str">
        <f>""</f>
        <v/>
      </c>
      <c r="AX1058" t="str">
        <f>""</f>
        <v/>
      </c>
      <c r="AY1058" t="str">
        <f>""</f>
        <v/>
      </c>
      <c r="AZ1058" t="str">
        <f>""</f>
        <v/>
      </c>
      <c r="BA1058" t="str">
        <f>""</f>
        <v/>
      </c>
      <c r="BB1058" t="str">
        <f>"17/08/2023 16:48:06"</f>
        <v>17/08/2023 16:48:06</v>
      </c>
      <c r="BC1058" t="str">
        <f>""</f>
        <v/>
      </c>
      <c r="BD1058" t="str">
        <f>""</f>
        <v/>
      </c>
      <c r="BE1058" t="str">
        <f>""</f>
        <v/>
      </c>
      <c r="BF1058" t="str">
        <f t="shared" si="518"/>
        <v>A</v>
      </c>
      <c r="BG1058" t="str">
        <f>""</f>
        <v/>
      </c>
      <c r="BH1058" t="str">
        <f>""</f>
        <v/>
      </c>
      <c r="BI1058" t="str">
        <f t="shared" si="531"/>
        <v>EVENTUAL</v>
      </c>
      <c r="BJ1058" t="str">
        <f t="shared" si="519"/>
        <v>1</v>
      </c>
      <c r="BK1058" t="str">
        <f t="shared" si="520"/>
        <v>Farmacia</v>
      </c>
      <c r="BL1058" t="str">
        <f>""</f>
        <v/>
      </c>
      <c r="BM1058" t="str">
        <f>""</f>
        <v/>
      </c>
      <c r="BN1058" t="str">
        <f>""</f>
        <v/>
      </c>
      <c r="BO1058" t="str">
        <f>""</f>
        <v/>
      </c>
      <c r="BP1058" t="str">
        <f>""</f>
        <v/>
      </c>
      <c r="BQ1058" t="str">
        <f>""</f>
        <v/>
      </c>
      <c r="BR1058" t="str">
        <f>"17/08/2023"</f>
        <v>17/08/2023</v>
      </c>
      <c r="BS1058" t="str">
        <f>""</f>
        <v/>
      </c>
      <c r="BT1058" t="str">
        <f>""</f>
        <v/>
      </c>
      <c r="BU1058" t="str">
        <f>""</f>
        <v/>
      </c>
      <c r="BV1058" t="str">
        <f>""</f>
        <v/>
      </c>
      <c r="BW1058" t="str">
        <f>"Não visitado"</f>
        <v>Não visitado</v>
      </c>
    </row>
    <row r="1059" spans="1:75" x14ac:dyDescent="0.35">
      <c r="A1059">
        <v>159569</v>
      </c>
      <c r="B1059" t="str">
        <f t="shared" si="515"/>
        <v>A</v>
      </c>
      <c r="C1059" t="str">
        <f t="shared" si="516"/>
        <v>80</v>
      </c>
      <c r="D1059" t="str">
        <f t="shared" si="509"/>
        <v>11121002</v>
      </c>
      <c r="E1059" t="str">
        <f t="shared" si="510"/>
        <v>121002</v>
      </c>
      <c r="F1059" t="str">
        <f t="shared" si="511"/>
        <v>CINTHIA NORONHA</v>
      </c>
      <c r="G1059" t="str">
        <f>"49155418000167"</f>
        <v>49155418000167</v>
      </c>
      <c r="H1059" t="str">
        <f>""</f>
        <v/>
      </c>
      <c r="I1059" t="str">
        <f t="shared" si="517"/>
        <v>CONTA OPTICA</v>
      </c>
      <c r="J1059" t="str">
        <f>"OTICAS GOO LTDA"</f>
        <v>OTICAS GOO LTDA</v>
      </c>
      <c r="K1059" t="str">
        <f>"OTICAS GOO LTDA (4780)"</f>
        <v>OTICAS GOO LTDA (4780)</v>
      </c>
      <c r="L1059" t="str">
        <f>""</f>
        <v/>
      </c>
      <c r="M1059" t="str">
        <f>""</f>
        <v/>
      </c>
      <c r="N1059" t="str">
        <f>"DUDUFM05@GMAIL.COM"</f>
        <v>DUDUFM05@GMAIL.COM</v>
      </c>
      <c r="O1059" t="str">
        <f>""</f>
        <v/>
      </c>
      <c r="P1059" t="str">
        <f>"RUA CANDIDO PEREIRA DOS ANJOS"</f>
        <v>RUA CANDIDO PEREIRA DOS ANJOS</v>
      </c>
      <c r="Q1059" t="str">
        <f>"745"</f>
        <v>745</v>
      </c>
      <c r="R1059" t="str">
        <f>"SALA 14"</f>
        <v>SALA 14</v>
      </c>
      <c r="S1059" t="str">
        <f>""</f>
        <v/>
      </c>
      <c r="T1059" t="str">
        <f>"88060300"</f>
        <v>88060300</v>
      </c>
      <c r="U1059" t="str">
        <f>"INGLESES DO RIO VERMELHO"</f>
        <v>INGLESES DO RIO VERMELHO</v>
      </c>
      <c r="V1059" t="str">
        <f>"FLORIANOPOLIS"</f>
        <v>FLORIANOPOLIS</v>
      </c>
      <c r="W1059" t="str">
        <f t="shared" si="522"/>
        <v>SC</v>
      </c>
      <c r="X1059" t="str">
        <f>"31"</f>
        <v>31</v>
      </c>
      <c r="Y1059" t="str">
        <f>"971564738"</f>
        <v>971564738</v>
      </c>
      <c r="Z1059" t="str">
        <f>""</f>
        <v/>
      </c>
      <c r="AA1059" t="str">
        <f>""</f>
        <v/>
      </c>
      <c r="AB1059" t="str">
        <f>""</f>
        <v/>
      </c>
      <c r="AC1059" t="str">
        <f>""</f>
        <v/>
      </c>
      <c r="AD1059" t="str">
        <f>""</f>
        <v/>
      </c>
      <c r="AE1059" t="str">
        <f>""</f>
        <v/>
      </c>
      <c r="AF1059" t="str">
        <f>""</f>
        <v/>
      </c>
      <c r="AG1059" t="str">
        <f>""</f>
        <v/>
      </c>
      <c r="AH1059" t="str">
        <f>""</f>
        <v/>
      </c>
      <c r="AI1059" t="str">
        <f>""</f>
        <v/>
      </c>
      <c r="AJ1059" t="str">
        <f>""</f>
        <v/>
      </c>
      <c r="AK1059" t="str">
        <f>""</f>
        <v/>
      </c>
      <c r="AL1059" t="str">
        <f>""</f>
        <v/>
      </c>
      <c r="AM1059" t="str">
        <f>""</f>
        <v/>
      </c>
      <c r="AN1059" t="str">
        <f>""</f>
        <v/>
      </c>
      <c r="AO1059" t="str">
        <f>""</f>
        <v/>
      </c>
      <c r="AP1059" t="str">
        <f>""</f>
        <v/>
      </c>
      <c r="AQ1059" t="str">
        <f>""</f>
        <v/>
      </c>
      <c r="AR1059" t="str">
        <f>""</f>
        <v/>
      </c>
      <c r="AS1059" t="str">
        <f>""</f>
        <v/>
      </c>
      <c r="AT1059" t="str">
        <f>""</f>
        <v/>
      </c>
      <c r="AU1059" t="str">
        <f>""</f>
        <v/>
      </c>
      <c r="AV1059" t="str">
        <f>""</f>
        <v/>
      </c>
      <c r="AW1059" t="str">
        <f>""</f>
        <v/>
      </c>
      <c r="AX1059" t="str">
        <f>""</f>
        <v/>
      </c>
      <c r="AY1059" t="str">
        <f>""</f>
        <v/>
      </c>
      <c r="AZ1059" t="str">
        <f>""</f>
        <v/>
      </c>
      <c r="BA1059" t="str">
        <f>""</f>
        <v/>
      </c>
      <c r="BB1059" t="str">
        <f>"25/09/2023 11:47:13"</f>
        <v>25/09/2023 11:47:13</v>
      </c>
      <c r="BC1059" t="str">
        <f>""</f>
        <v/>
      </c>
      <c r="BD1059" t="str">
        <f>""</f>
        <v/>
      </c>
      <c r="BE1059" t="str">
        <f>""</f>
        <v/>
      </c>
      <c r="BF1059" t="str">
        <f t="shared" si="518"/>
        <v>A</v>
      </c>
      <c r="BG1059" t="str">
        <f>""</f>
        <v/>
      </c>
      <c r="BH1059" t="str">
        <f>""</f>
        <v/>
      </c>
      <c r="BI1059" t="str">
        <f t="shared" si="531"/>
        <v>EVENTUAL</v>
      </c>
      <c r="BJ1059" t="str">
        <f t="shared" si="519"/>
        <v>1</v>
      </c>
      <c r="BK1059" t="str">
        <f t="shared" si="520"/>
        <v>Farmacia</v>
      </c>
      <c r="BL1059" t="str">
        <f>""</f>
        <v/>
      </c>
      <c r="BM1059" t="str">
        <f>""</f>
        <v/>
      </c>
      <c r="BN1059" t="str">
        <f>""</f>
        <v/>
      </c>
      <c r="BO1059" t="str">
        <f>""</f>
        <v/>
      </c>
      <c r="BP1059" t="str">
        <f>""</f>
        <v/>
      </c>
      <c r="BQ1059" t="str">
        <f>""</f>
        <v/>
      </c>
      <c r="BR1059" t="str">
        <f>"25/09/2023"</f>
        <v>25/09/2023</v>
      </c>
      <c r="BS1059" t="str">
        <f>""</f>
        <v/>
      </c>
      <c r="BT1059" t="str">
        <f>""</f>
        <v/>
      </c>
      <c r="BU1059" t="str">
        <f>""</f>
        <v/>
      </c>
      <c r="BV1059" t="str">
        <f>""</f>
        <v/>
      </c>
      <c r="BW1059" t="str">
        <f>"2"</f>
        <v>2</v>
      </c>
    </row>
    <row r="1060" spans="1:75" x14ac:dyDescent="0.35">
      <c r="A1060">
        <v>144509</v>
      </c>
      <c r="B1060" t="str">
        <f t="shared" si="515"/>
        <v>A</v>
      </c>
      <c r="C1060" t="str">
        <f t="shared" si="516"/>
        <v>80</v>
      </c>
      <c r="D1060" t="str">
        <f t="shared" si="509"/>
        <v>11121002</v>
      </c>
      <c r="E1060" t="str">
        <f t="shared" si="510"/>
        <v>121002</v>
      </c>
      <c r="F1060" t="str">
        <f t="shared" si="511"/>
        <v>CINTHIA NORONHA</v>
      </c>
      <c r="G1060" t="str">
        <f>"32933677000179"</f>
        <v>32933677000179</v>
      </c>
      <c r="H1060" t="str">
        <f>""</f>
        <v/>
      </c>
      <c r="I1060" t="str">
        <f t="shared" si="517"/>
        <v>CONTA OPTICA</v>
      </c>
      <c r="J1060" t="str">
        <f>"OTICAS NOVA LTDA"</f>
        <v>OTICAS NOVA LTDA</v>
      </c>
      <c r="K1060" t="str">
        <f>"OTICAS NOVA (3984)"</f>
        <v>OTICAS NOVA (3984)</v>
      </c>
      <c r="L1060" t="str">
        <f>""</f>
        <v/>
      </c>
      <c r="M1060" t="str">
        <f>""</f>
        <v/>
      </c>
      <c r="N1060" t="str">
        <f>"carmendarosa78@hotmail.com"</f>
        <v>carmendarosa78@hotmail.com</v>
      </c>
      <c r="O1060" t="str">
        <f>""</f>
        <v/>
      </c>
      <c r="P1060" t="str">
        <f>"RUA RAOLINO HORN"</f>
        <v>RUA RAOLINO HORN</v>
      </c>
      <c r="Q1060" t="str">
        <f>"117"</f>
        <v>117</v>
      </c>
      <c r="R1060" t="str">
        <f>""</f>
        <v/>
      </c>
      <c r="S1060" t="str">
        <f>"1268"</f>
        <v>1268</v>
      </c>
      <c r="T1060" t="str">
        <f>"88790000"</f>
        <v>88790000</v>
      </c>
      <c r="U1060" t="str">
        <f>"CENTRO"</f>
        <v>CENTRO</v>
      </c>
      <c r="V1060" t="str">
        <f>"LAGUNA"</f>
        <v>LAGUNA</v>
      </c>
      <c r="W1060" t="str">
        <f t="shared" si="522"/>
        <v>SC</v>
      </c>
      <c r="X1060" t="str">
        <f>"48"</f>
        <v>48</v>
      </c>
      <c r="Y1060" t="str">
        <f>"998555185"</f>
        <v>998555185</v>
      </c>
      <c r="Z1060" t="str">
        <f>""</f>
        <v/>
      </c>
      <c r="AA1060" t="str">
        <f>""</f>
        <v/>
      </c>
      <c r="AB1060" t="str">
        <f>""</f>
        <v/>
      </c>
      <c r="AC1060" t="str">
        <f>""</f>
        <v/>
      </c>
      <c r="AD1060" t="str">
        <f>""</f>
        <v/>
      </c>
      <c r="AE1060" t="str">
        <f>""</f>
        <v/>
      </c>
      <c r="AF1060" t="str">
        <f>""</f>
        <v/>
      </c>
      <c r="AG1060" t="str">
        <f>""</f>
        <v/>
      </c>
      <c r="AH1060" t="str">
        <f>""</f>
        <v/>
      </c>
      <c r="AI1060" t="str">
        <f>""</f>
        <v/>
      </c>
      <c r="AJ1060" t="str">
        <f>"0"</f>
        <v>0</v>
      </c>
      <c r="AK1060" t="str">
        <f>"0"</f>
        <v>0</v>
      </c>
      <c r="AL1060" t="str">
        <f>"0"</f>
        <v>0</v>
      </c>
      <c r="AM1060" t="str">
        <f>""</f>
        <v/>
      </c>
      <c r="AN1060" t="str">
        <f>""</f>
        <v/>
      </c>
      <c r="AO1060" t="str">
        <f>""</f>
        <v/>
      </c>
      <c r="AP1060" t="str">
        <f>""</f>
        <v/>
      </c>
      <c r="AQ1060" t="str">
        <f>""</f>
        <v/>
      </c>
      <c r="AR1060" t="str">
        <f>""</f>
        <v/>
      </c>
      <c r="AS1060" t="str">
        <f>""</f>
        <v/>
      </c>
      <c r="AT1060" t="str">
        <f>""</f>
        <v/>
      </c>
      <c r="AU1060" t="str">
        <f>""</f>
        <v/>
      </c>
      <c r="AV1060" t="str">
        <f>""</f>
        <v/>
      </c>
      <c r="AW1060" t="str">
        <f>""</f>
        <v/>
      </c>
      <c r="AX1060" t="str">
        <f>""</f>
        <v/>
      </c>
      <c r="AY1060" t="str">
        <f>""</f>
        <v/>
      </c>
      <c r="AZ1060" t="str">
        <f>""</f>
        <v/>
      </c>
      <c r="BA1060" t="str">
        <f>""</f>
        <v/>
      </c>
      <c r="BB1060" t="str">
        <f>""</f>
        <v/>
      </c>
      <c r="BC1060" t="str">
        <f>""</f>
        <v/>
      </c>
      <c r="BD1060" t="str">
        <f>""</f>
        <v/>
      </c>
      <c r="BE1060" t="str">
        <f>""</f>
        <v/>
      </c>
      <c r="BF1060" t="str">
        <f t="shared" si="518"/>
        <v>A</v>
      </c>
      <c r="BG1060" t="str">
        <f>"0,00"</f>
        <v>0,00</v>
      </c>
      <c r="BH1060" t="str">
        <f>"0,00"</f>
        <v>0,00</v>
      </c>
      <c r="BI1060" t="str">
        <f t="shared" si="531"/>
        <v>EVENTUAL</v>
      </c>
      <c r="BJ1060" t="str">
        <f t="shared" si="519"/>
        <v>1</v>
      </c>
      <c r="BK1060" t="str">
        <f t="shared" si="520"/>
        <v>Farmacia</v>
      </c>
      <c r="BL1060" t="str">
        <f>""</f>
        <v/>
      </c>
      <c r="BM1060" t="str">
        <f>"NÃO É VARILUX ESPECIALISTA"</f>
        <v>NÃO É VARILUX ESPECIALISTA</v>
      </c>
      <c r="BN1060" t="str">
        <f>"NA"</f>
        <v>NA</v>
      </c>
      <c r="BO1060" t="str">
        <f>"OUTROS"</f>
        <v>OUTROS</v>
      </c>
      <c r="BP1060" t="str">
        <f>""</f>
        <v/>
      </c>
      <c r="BQ1060" t="str">
        <f>""</f>
        <v/>
      </c>
      <c r="BR1060" t="str">
        <f>""</f>
        <v/>
      </c>
      <c r="BS1060" t="str">
        <f>""</f>
        <v/>
      </c>
      <c r="BT1060" t="str">
        <f>""</f>
        <v/>
      </c>
      <c r="BU1060" t="str">
        <f>""</f>
        <v/>
      </c>
      <c r="BV1060" t="str">
        <f>"9"</f>
        <v>9</v>
      </c>
      <c r="BW1060" t="str">
        <f>"Não visitado"</f>
        <v>Não visitado</v>
      </c>
    </row>
    <row r="1061" spans="1:75" x14ac:dyDescent="0.35">
      <c r="A1061">
        <v>156870</v>
      </c>
      <c r="B1061" t="str">
        <f t="shared" si="515"/>
        <v>A</v>
      </c>
      <c r="C1061" t="str">
        <f t="shared" si="516"/>
        <v>80</v>
      </c>
      <c r="D1061" t="str">
        <f t="shared" si="509"/>
        <v>11121002</v>
      </c>
      <c r="E1061" t="str">
        <f t="shared" si="510"/>
        <v>121002</v>
      </c>
      <c r="F1061" t="str">
        <f t="shared" si="511"/>
        <v>CINTHIA NORONHA</v>
      </c>
      <c r="G1061" t="str">
        <f>"47336084000100"</f>
        <v>47336084000100</v>
      </c>
      <c r="H1061" t="str">
        <f>"0"</f>
        <v>0</v>
      </c>
      <c r="I1061" t="str">
        <f t="shared" si="517"/>
        <v>CONTA OPTICA</v>
      </c>
      <c r="J1061" t="str">
        <f>"OTICAS PUCCI &amp; SENS LTDA"</f>
        <v>OTICAS PUCCI &amp; SENS LTDA</v>
      </c>
      <c r="K1061" t="str">
        <f>"MERCADAO DOS OCULOS (4577)"</f>
        <v>MERCADAO DOS OCULOS (4577)</v>
      </c>
      <c r="L1061" t="str">
        <f>""</f>
        <v/>
      </c>
      <c r="M1061" t="str">
        <f>""</f>
        <v/>
      </c>
      <c r="N1061" t="str">
        <f>"SC-LAGES02@MERCADAODOSOCULOS.COM.BR"</f>
        <v>SC-LAGES02@MERCADAODOSOCULOS.COM.BR</v>
      </c>
      <c r="O1061" t="str">
        <f>""</f>
        <v/>
      </c>
      <c r="P1061" t="str">
        <f>"RUA HERCILIO LUZ"</f>
        <v>RUA HERCILIO LUZ</v>
      </c>
      <c r="Q1061" t="str">
        <f>"248"</f>
        <v>248</v>
      </c>
      <c r="R1061" t="str">
        <f>""</f>
        <v/>
      </c>
      <c r="S1061" t="str">
        <f>""</f>
        <v/>
      </c>
      <c r="T1061" t="str">
        <f>"88501010"</f>
        <v>88501010</v>
      </c>
      <c r="U1061" t="str">
        <f>"CENTRO"</f>
        <v>CENTRO</v>
      </c>
      <c r="V1061" t="str">
        <f>"LAGES"</f>
        <v>LAGES</v>
      </c>
      <c r="W1061" t="str">
        <f t="shared" si="522"/>
        <v>SC</v>
      </c>
      <c r="X1061" t="str">
        <f>"49"</f>
        <v>49</v>
      </c>
      <c r="Y1061" t="str">
        <f>"935059997"</f>
        <v>935059997</v>
      </c>
      <c r="Z1061" t="str">
        <f>""</f>
        <v/>
      </c>
      <c r="AA1061" t="str">
        <f>""</f>
        <v/>
      </c>
      <c r="AB1061" t="str">
        <f>""</f>
        <v/>
      </c>
      <c r="AC1061" t="str">
        <f>""</f>
        <v/>
      </c>
      <c r="AD1061" t="str">
        <f>""</f>
        <v/>
      </c>
      <c r="AE1061" t="str">
        <f>""</f>
        <v/>
      </c>
      <c r="AF1061" t="str">
        <f>""</f>
        <v/>
      </c>
      <c r="AG1061" t="str">
        <f>""</f>
        <v/>
      </c>
      <c r="AH1061" t="str">
        <f>""</f>
        <v/>
      </c>
      <c r="AI1061" t="str">
        <f>""</f>
        <v/>
      </c>
      <c r="AJ1061" t="str">
        <f>""</f>
        <v/>
      </c>
      <c r="AK1061" t="str">
        <f>""</f>
        <v/>
      </c>
      <c r="AL1061" t="str">
        <f>""</f>
        <v/>
      </c>
      <c r="AM1061" t="str">
        <f>""</f>
        <v/>
      </c>
      <c r="AN1061" t="str">
        <f>""</f>
        <v/>
      </c>
      <c r="AO1061" t="str">
        <f>""</f>
        <v/>
      </c>
      <c r="AP1061" t="str">
        <f>""</f>
        <v/>
      </c>
      <c r="AQ1061" t="str">
        <f>""</f>
        <v/>
      </c>
      <c r="AR1061" t="str">
        <f>""</f>
        <v/>
      </c>
      <c r="AS1061" t="str">
        <f>""</f>
        <v/>
      </c>
      <c r="AT1061" t="str">
        <f>""</f>
        <v/>
      </c>
      <c r="AU1061" t="str">
        <f>""</f>
        <v/>
      </c>
      <c r="AV1061" t="str">
        <f>""</f>
        <v/>
      </c>
      <c r="AW1061" t="str">
        <f>""</f>
        <v/>
      </c>
      <c r="AX1061" t="str">
        <f>""</f>
        <v/>
      </c>
      <c r="AY1061" t="str">
        <f>""</f>
        <v/>
      </c>
      <c r="AZ1061" t="str">
        <f>""</f>
        <v/>
      </c>
      <c r="BA1061" t="str">
        <f>""</f>
        <v/>
      </c>
      <c r="BB1061" t="str">
        <f>"06/07/2023 12:07:48"</f>
        <v>06/07/2023 12:07:48</v>
      </c>
      <c r="BC1061" t="str">
        <f>""</f>
        <v/>
      </c>
      <c r="BD1061" t="str">
        <f>""</f>
        <v/>
      </c>
      <c r="BE1061" t="str">
        <f>""</f>
        <v/>
      </c>
      <c r="BF1061" t="str">
        <f t="shared" si="518"/>
        <v>A</v>
      </c>
      <c r="BG1061" t="str">
        <f>""</f>
        <v/>
      </c>
      <c r="BH1061" t="str">
        <f>""</f>
        <v/>
      </c>
      <c r="BI1061" t="str">
        <f t="shared" si="531"/>
        <v>EVENTUAL</v>
      </c>
      <c r="BJ1061" t="str">
        <f t="shared" si="519"/>
        <v>1</v>
      </c>
      <c r="BK1061" t="str">
        <f t="shared" si="520"/>
        <v>Farmacia</v>
      </c>
      <c r="BL1061" t="str">
        <f>""</f>
        <v/>
      </c>
      <c r="BM1061" t="str">
        <f>""</f>
        <v/>
      </c>
      <c r="BN1061" t="str">
        <f>""</f>
        <v/>
      </c>
      <c r="BO1061" t="str">
        <f>""</f>
        <v/>
      </c>
      <c r="BP1061" t="str">
        <f>""</f>
        <v/>
      </c>
      <c r="BQ1061" t="str">
        <f>""</f>
        <v/>
      </c>
      <c r="BR1061" t="str">
        <f>"06/07/2023"</f>
        <v>06/07/2023</v>
      </c>
      <c r="BS1061" t="str">
        <f>""</f>
        <v/>
      </c>
      <c r="BT1061" t="str">
        <f>""</f>
        <v/>
      </c>
      <c r="BU1061" t="str">
        <f>""</f>
        <v/>
      </c>
      <c r="BV1061" t="str">
        <f>""</f>
        <v/>
      </c>
      <c r="BW1061" t="str">
        <f>"102"</f>
        <v>102</v>
      </c>
    </row>
    <row r="1062" spans="1:75" x14ac:dyDescent="0.35">
      <c r="A1062">
        <v>134332</v>
      </c>
      <c r="B1062" t="str">
        <f t="shared" si="515"/>
        <v>A</v>
      </c>
      <c r="C1062" t="str">
        <f t="shared" si="516"/>
        <v>80</v>
      </c>
      <c r="D1062" t="str">
        <f t="shared" si="509"/>
        <v>11121002</v>
      </c>
      <c r="E1062" t="str">
        <f t="shared" si="510"/>
        <v>121002</v>
      </c>
      <c r="F1062" t="str">
        <f t="shared" si="511"/>
        <v>CINTHIA NORONHA</v>
      </c>
      <c r="G1062" t="str">
        <f>"36473135000111"</f>
        <v>36473135000111</v>
      </c>
      <c r="H1062" t="str">
        <f>""</f>
        <v/>
      </c>
      <c r="I1062" t="str">
        <f t="shared" si="517"/>
        <v>CONTA OPTICA</v>
      </c>
      <c r="J1062" t="str">
        <f>"OTICAS SAN FRANCISCO FLORIPA EIRELI"</f>
        <v>OTICAS SAN FRANCISCO FLORIPA EIRELI</v>
      </c>
      <c r="K1062" t="str">
        <f>"OTICAS SAN FRANCISCO (4168)"</f>
        <v>OTICAS SAN FRANCISCO (4168)</v>
      </c>
      <c r="L1062" t="str">
        <f>""</f>
        <v/>
      </c>
      <c r="M1062" t="str">
        <f>""</f>
        <v/>
      </c>
      <c r="N1062" t="str">
        <f>"chicohortaneto@gmail.com"</f>
        <v>chicohortaneto@gmail.com</v>
      </c>
      <c r="O1062" t="str">
        <f>""</f>
        <v/>
      </c>
      <c r="P1062" t="str">
        <f>"RUA FELIPE SCHMIDT"</f>
        <v>RUA FELIPE SCHMIDT</v>
      </c>
      <c r="Q1062" t="str">
        <f>"249"</f>
        <v>249</v>
      </c>
      <c r="R1062" t="str">
        <f>"LOJA 115"</f>
        <v>LOJA 115</v>
      </c>
      <c r="S1062" t="str">
        <f>"1254"</f>
        <v>1254</v>
      </c>
      <c r="T1062" t="str">
        <f>"88010902"</f>
        <v>88010902</v>
      </c>
      <c r="U1062" t="str">
        <f>"CENTRO"</f>
        <v>CENTRO</v>
      </c>
      <c r="V1062" t="str">
        <f>"FLORIANÓPOLIS"</f>
        <v>FLORIANÓPOLIS</v>
      </c>
      <c r="W1062" t="str">
        <f t="shared" si="522"/>
        <v>SC</v>
      </c>
      <c r="X1062" t="str">
        <f>"41"</f>
        <v>41</v>
      </c>
      <c r="Y1062" t="str">
        <f>"999550611"</f>
        <v>999550611</v>
      </c>
      <c r="Z1062" t="str">
        <f>""</f>
        <v/>
      </c>
      <c r="AA1062" t="str">
        <f>""</f>
        <v/>
      </c>
      <c r="AB1062" t="str">
        <f>""</f>
        <v/>
      </c>
      <c r="AC1062" t="str">
        <f>""</f>
        <v/>
      </c>
      <c r="AD1062" t="str">
        <f>""</f>
        <v/>
      </c>
      <c r="AE1062" t="str">
        <f>""</f>
        <v/>
      </c>
      <c r="AF1062" t="str">
        <f>""</f>
        <v/>
      </c>
      <c r="AG1062" t="str">
        <f>"S"</f>
        <v>S</v>
      </c>
      <c r="AH1062" t="str">
        <f>""</f>
        <v/>
      </c>
      <c r="AI1062" t="str">
        <f>""</f>
        <v/>
      </c>
      <c r="AJ1062" t="str">
        <f>""</f>
        <v/>
      </c>
      <c r="AK1062" t="str">
        <f>""</f>
        <v/>
      </c>
      <c r="AL1062" t="str">
        <f>""</f>
        <v/>
      </c>
      <c r="AM1062" t="str">
        <f>""</f>
        <v/>
      </c>
      <c r="AN1062" t="str">
        <f>""</f>
        <v/>
      </c>
      <c r="AO1062" t="str">
        <f>""</f>
        <v/>
      </c>
      <c r="AP1062" t="str">
        <f>""</f>
        <v/>
      </c>
      <c r="AQ1062" t="str">
        <f>"N"</f>
        <v>N</v>
      </c>
      <c r="AR1062" t="str">
        <f>"N"</f>
        <v>N</v>
      </c>
      <c r="AS1062" t="str">
        <f>"N"</f>
        <v>N</v>
      </c>
      <c r="AT1062" t="str">
        <f>"N"</f>
        <v>N</v>
      </c>
      <c r="AU1062" t="str">
        <f>"N"</f>
        <v>N</v>
      </c>
      <c r="AV1062" t="str">
        <f>""</f>
        <v/>
      </c>
      <c r="AW1062" t="str">
        <f>""</f>
        <v/>
      </c>
      <c r="AX1062" t="str">
        <f>""</f>
        <v/>
      </c>
      <c r="AY1062" t="str">
        <f>""</f>
        <v/>
      </c>
      <c r="AZ1062" t="str">
        <f>""</f>
        <v/>
      </c>
      <c r="BA1062" t="str">
        <f>""</f>
        <v/>
      </c>
      <c r="BB1062" t="str">
        <f>""</f>
        <v/>
      </c>
      <c r="BC1062" t="str">
        <f>"07/07/2023 17:08:08"</f>
        <v>07/07/2023 17:08:08</v>
      </c>
      <c r="BD1062" t="str">
        <f>""</f>
        <v/>
      </c>
      <c r="BE1062" t="str">
        <f>""</f>
        <v/>
      </c>
      <c r="BF1062" t="str">
        <f t="shared" si="518"/>
        <v>A</v>
      </c>
      <c r="BG1062" t="str">
        <f>""</f>
        <v/>
      </c>
      <c r="BH1062" t="str">
        <f>"0,00"</f>
        <v>0,00</v>
      </c>
      <c r="BI1062" t="str">
        <f t="shared" si="531"/>
        <v>EVENTUAL</v>
      </c>
      <c r="BJ1062" t="str">
        <f t="shared" si="519"/>
        <v>1</v>
      </c>
      <c r="BK1062" t="str">
        <f t="shared" si="520"/>
        <v>Farmacia</v>
      </c>
      <c r="BL1062" t="str">
        <f>""</f>
        <v/>
      </c>
      <c r="BM1062" t="str">
        <f>"NÃO É VARILUX ESPECIALISTA"</f>
        <v>NÃO É VARILUX ESPECIALISTA</v>
      </c>
      <c r="BN1062" t="str">
        <f>"NA"</f>
        <v>NA</v>
      </c>
      <c r="BO1062" t="str">
        <f>"OUTROS"</f>
        <v>OUTROS</v>
      </c>
      <c r="BP1062" t="str">
        <f>""</f>
        <v/>
      </c>
      <c r="BQ1062" t="str">
        <f>""</f>
        <v/>
      </c>
      <c r="BR1062" t="str">
        <f>""</f>
        <v/>
      </c>
      <c r="BS1062" t="str">
        <f>"07/07/2023"</f>
        <v>07/07/2023</v>
      </c>
      <c r="BT1062" t="str">
        <f>""</f>
        <v/>
      </c>
      <c r="BU1062" t="str">
        <f>""</f>
        <v/>
      </c>
      <c r="BV1062" t="str">
        <f>""</f>
        <v/>
      </c>
      <c r="BW1062" t="str">
        <f>"3"</f>
        <v>3</v>
      </c>
    </row>
    <row r="1063" spans="1:75" x14ac:dyDescent="0.35">
      <c r="A1063">
        <v>144697</v>
      </c>
      <c r="B1063" t="str">
        <f t="shared" si="515"/>
        <v>A</v>
      </c>
      <c r="C1063" t="str">
        <f t="shared" si="516"/>
        <v>80</v>
      </c>
      <c r="D1063" t="str">
        <f t="shared" si="509"/>
        <v>11121002</v>
      </c>
      <c r="E1063" t="str">
        <f t="shared" si="510"/>
        <v>121002</v>
      </c>
      <c r="F1063" t="str">
        <f t="shared" si="511"/>
        <v>CINTHIA NORONHA</v>
      </c>
      <c r="G1063" t="str">
        <f>"26289134000168"</f>
        <v>26289134000168</v>
      </c>
      <c r="H1063" t="str">
        <f>""</f>
        <v/>
      </c>
      <c r="I1063" t="str">
        <f t="shared" si="517"/>
        <v>CONTA OPTICA</v>
      </c>
      <c r="J1063" t="str">
        <f>"OTICAS SHARK EIRELI EPP"</f>
        <v>OTICAS SHARK EIRELI EPP</v>
      </c>
      <c r="K1063" t="str">
        <f>"MERCADAO DOS OCULOS (3359)"</f>
        <v>MERCADAO DOS OCULOS (3359)</v>
      </c>
      <c r="L1063" t="str">
        <f>""</f>
        <v/>
      </c>
      <c r="M1063" t="str">
        <f>""</f>
        <v/>
      </c>
      <c r="N1063" t="str">
        <f>"tubarao@mercadaodosoculos.com.br"</f>
        <v>tubarao@mercadaodosoculos.com.br</v>
      </c>
      <c r="O1063" t="str">
        <f>""</f>
        <v/>
      </c>
      <c r="P1063" t="str">
        <f>"RUA LAURO MULLER"</f>
        <v>RUA LAURO MULLER</v>
      </c>
      <c r="Q1063" t="str">
        <f>"87"</f>
        <v>87</v>
      </c>
      <c r="R1063" t="str">
        <f>""</f>
        <v/>
      </c>
      <c r="S1063" t="str">
        <f>"1268"</f>
        <v>1268</v>
      </c>
      <c r="T1063" t="str">
        <f>"88701100"</f>
        <v>88701100</v>
      </c>
      <c r="U1063" t="str">
        <f>"CENTRO"</f>
        <v>CENTRO</v>
      </c>
      <c r="V1063" t="str">
        <f>"TUBARÃO"</f>
        <v>TUBARÃO</v>
      </c>
      <c r="W1063" t="str">
        <f t="shared" ref="W1063:W1074" si="532">"SC"</f>
        <v>SC</v>
      </c>
      <c r="X1063" t="str">
        <f t="shared" ref="X1063:X1069" si="533">"48"</f>
        <v>48</v>
      </c>
      <c r="Y1063" t="str">
        <f>"36262492"</f>
        <v>36262492</v>
      </c>
      <c r="Z1063" t="str">
        <f>""</f>
        <v/>
      </c>
      <c r="AA1063" t="str">
        <f>""</f>
        <v/>
      </c>
      <c r="AB1063" t="str">
        <f>""</f>
        <v/>
      </c>
      <c r="AC1063" t="str">
        <f>""</f>
        <v/>
      </c>
      <c r="AD1063" t="str">
        <f>""</f>
        <v/>
      </c>
      <c r="AE1063" t="str">
        <f>""</f>
        <v/>
      </c>
      <c r="AF1063" t="str">
        <f>""</f>
        <v/>
      </c>
      <c r="AG1063" t="str">
        <f>""</f>
        <v/>
      </c>
      <c r="AH1063" t="str">
        <f>""</f>
        <v/>
      </c>
      <c r="AI1063" t="str">
        <f>""</f>
        <v/>
      </c>
      <c r="AJ1063" t="str">
        <f>"0"</f>
        <v>0</v>
      </c>
      <c r="AK1063" t="str">
        <f>"0"</f>
        <v>0</v>
      </c>
      <c r="AL1063" t="str">
        <f>"0"</f>
        <v>0</v>
      </c>
      <c r="AM1063" t="str">
        <f>""</f>
        <v/>
      </c>
      <c r="AN1063" t="str">
        <f>""</f>
        <v/>
      </c>
      <c r="AO1063" t="str">
        <f>""</f>
        <v/>
      </c>
      <c r="AP1063" t="str">
        <f>""</f>
        <v/>
      </c>
      <c r="AQ1063" t="str">
        <f>""</f>
        <v/>
      </c>
      <c r="AR1063" t="str">
        <f>""</f>
        <v/>
      </c>
      <c r="AS1063" t="str">
        <f>""</f>
        <v/>
      </c>
      <c r="AT1063" t="str">
        <f>""</f>
        <v/>
      </c>
      <c r="AU1063" t="str">
        <f>""</f>
        <v/>
      </c>
      <c r="AV1063" t="str">
        <f>""</f>
        <v/>
      </c>
      <c r="AW1063" t="str">
        <f>""</f>
        <v/>
      </c>
      <c r="AX1063" t="str">
        <f>""</f>
        <v/>
      </c>
      <c r="AY1063" t="str">
        <f>""</f>
        <v/>
      </c>
      <c r="AZ1063" t="str">
        <f>""</f>
        <v/>
      </c>
      <c r="BA1063" t="str">
        <f>""</f>
        <v/>
      </c>
      <c r="BB1063" t="str">
        <f>""</f>
        <v/>
      </c>
      <c r="BC1063" t="str">
        <f>""</f>
        <v/>
      </c>
      <c r="BD1063" t="str">
        <f>""</f>
        <v/>
      </c>
      <c r="BE1063" t="str">
        <f>""</f>
        <v/>
      </c>
      <c r="BF1063" t="str">
        <f t="shared" si="518"/>
        <v>A</v>
      </c>
      <c r="BG1063" t="str">
        <f>"0,00"</f>
        <v>0,00</v>
      </c>
      <c r="BH1063" t="str">
        <f>"0,00"</f>
        <v>0,00</v>
      </c>
      <c r="BI1063" t="str">
        <f t="shared" si="531"/>
        <v>EVENTUAL</v>
      </c>
      <c r="BJ1063" t="str">
        <f t="shared" si="519"/>
        <v>1</v>
      </c>
      <c r="BK1063" t="str">
        <f t="shared" si="520"/>
        <v>Farmacia</v>
      </c>
      <c r="BL1063" t="str">
        <f>""</f>
        <v/>
      </c>
      <c r="BM1063" t="str">
        <f>"NÃO É VARILUX ESPECIALISTA"</f>
        <v>NÃO É VARILUX ESPECIALISTA</v>
      </c>
      <c r="BN1063" t="str">
        <f>"NA"</f>
        <v>NA</v>
      </c>
      <c r="BO1063" t="str">
        <f>"FOCO VARILUX"</f>
        <v>FOCO VARILUX</v>
      </c>
      <c r="BP1063" t="str">
        <f>""</f>
        <v/>
      </c>
      <c r="BQ1063" t="str">
        <f>""</f>
        <v/>
      </c>
      <c r="BR1063" t="str">
        <f>""</f>
        <v/>
      </c>
      <c r="BS1063" t="str">
        <f>""</f>
        <v/>
      </c>
      <c r="BT1063" t="str">
        <f>""</f>
        <v/>
      </c>
      <c r="BU1063" t="str">
        <f>""</f>
        <v/>
      </c>
      <c r="BV1063" t="str">
        <f>"5"</f>
        <v>5</v>
      </c>
      <c r="BW1063" t="str">
        <f>"Não visitado"</f>
        <v>Não visitado</v>
      </c>
    </row>
    <row r="1064" spans="1:75" x14ac:dyDescent="0.35">
      <c r="A1064">
        <v>157715</v>
      </c>
      <c r="B1064" t="str">
        <f t="shared" si="515"/>
        <v>A</v>
      </c>
      <c r="C1064" t="str">
        <f t="shared" si="516"/>
        <v>80</v>
      </c>
      <c r="D1064" t="str">
        <f t="shared" si="509"/>
        <v>11121002</v>
      </c>
      <c r="E1064" t="str">
        <f t="shared" si="510"/>
        <v>121002</v>
      </c>
      <c r="F1064" t="str">
        <f t="shared" si="511"/>
        <v>CINTHIA NORONHA</v>
      </c>
      <c r="G1064" t="str">
        <f>"12052423000134"</f>
        <v>12052423000134</v>
      </c>
      <c r="H1064" t="str">
        <f>"0"</f>
        <v>0</v>
      </c>
      <c r="I1064" t="str">
        <f t="shared" si="517"/>
        <v>CONTA OPTICA</v>
      </c>
      <c r="J1064" t="str">
        <f>"OTICAS ZURICH COMERCIO DE PRODUTOS OPTICOS LTDA ME"</f>
        <v>OTICAS ZURICH COMERCIO DE PRODUTOS OPTICOS LTDA ME</v>
      </c>
      <c r="K1064" t="str">
        <f>"OTICAS CATARINA (1967)"</f>
        <v>OTICAS CATARINA (1967)</v>
      </c>
      <c r="L1064" t="str">
        <f>""</f>
        <v/>
      </c>
      <c r="M1064" t="str">
        <f>""</f>
        <v/>
      </c>
      <c r="N1064" t="str">
        <f>""</f>
        <v/>
      </c>
      <c r="O1064" t="str">
        <f>""</f>
        <v/>
      </c>
      <c r="P1064" t="str">
        <f>"RUA RIO BRANCO"</f>
        <v>RUA RIO BRANCO</v>
      </c>
      <c r="Q1064" t="str">
        <f>"764"</f>
        <v>764</v>
      </c>
      <c r="R1064" t="str">
        <f>"SALA COMERCIAL"</f>
        <v>SALA COMERCIAL</v>
      </c>
      <c r="S1064" t="str">
        <f>"1255"</f>
        <v>1255</v>
      </c>
      <c r="T1064" t="str">
        <f>"88015205"</f>
        <v>88015205</v>
      </c>
      <c r="U1064" t="str">
        <f>"CENTRO"</f>
        <v>CENTRO</v>
      </c>
      <c r="V1064" t="str">
        <f>"FLORIANOPOLIS"</f>
        <v>FLORIANOPOLIS</v>
      </c>
      <c r="W1064" t="str">
        <f t="shared" si="532"/>
        <v>SC</v>
      </c>
      <c r="X1064" t="str">
        <f t="shared" si="533"/>
        <v>48</v>
      </c>
      <c r="Y1064" t="str">
        <f>"32070107"</f>
        <v>32070107</v>
      </c>
      <c r="Z1064" t="str">
        <f>""</f>
        <v/>
      </c>
      <c r="AA1064" t="str">
        <f>""</f>
        <v/>
      </c>
      <c r="AB1064" t="str">
        <f>""</f>
        <v/>
      </c>
      <c r="AC1064" t="str">
        <f>""</f>
        <v/>
      </c>
      <c r="AD1064" t="str">
        <f>""</f>
        <v/>
      </c>
      <c r="AE1064" t="str">
        <f>""</f>
        <v/>
      </c>
      <c r="AF1064" t="str">
        <f>""</f>
        <v/>
      </c>
      <c r="AG1064" t="str">
        <f>""</f>
        <v/>
      </c>
      <c r="AH1064" t="str">
        <f>""</f>
        <v/>
      </c>
      <c r="AI1064" t="str">
        <f>""</f>
        <v/>
      </c>
      <c r="AJ1064" t="str">
        <f>""</f>
        <v/>
      </c>
      <c r="AK1064" t="str">
        <f>""</f>
        <v/>
      </c>
      <c r="AL1064" t="str">
        <f>""</f>
        <v/>
      </c>
      <c r="AM1064" t="str">
        <f>""</f>
        <v/>
      </c>
      <c r="AN1064" t="str">
        <f>""</f>
        <v/>
      </c>
      <c r="AO1064" t="str">
        <f>""</f>
        <v/>
      </c>
      <c r="AP1064" t="str">
        <f>""</f>
        <v/>
      </c>
      <c r="AQ1064" t="str">
        <f>""</f>
        <v/>
      </c>
      <c r="AR1064" t="str">
        <f>""</f>
        <v/>
      </c>
      <c r="AS1064" t="str">
        <f>""</f>
        <v/>
      </c>
      <c r="AT1064" t="str">
        <f>""</f>
        <v/>
      </c>
      <c r="AU1064" t="str">
        <f>""</f>
        <v/>
      </c>
      <c r="AV1064" t="str">
        <f>""</f>
        <v/>
      </c>
      <c r="AW1064" t="str">
        <f>""</f>
        <v/>
      </c>
      <c r="AX1064" t="str">
        <f>""</f>
        <v/>
      </c>
      <c r="AY1064" t="str">
        <f>""</f>
        <v/>
      </c>
      <c r="AZ1064" t="str">
        <f>""</f>
        <v/>
      </c>
      <c r="BA1064" t="str">
        <f>""</f>
        <v/>
      </c>
      <c r="BB1064" t="str">
        <f>"11/07/2023 02:19:56"</f>
        <v>11/07/2023 02:19:56</v>
      </c>
      <c r="BC1064" t="str">
        <f>""</f>
        <v/>
      </c>
      <c r="BD1064" t="str">
        <f>""</f>
        <v/>
      </c>
      <c r="BE1064" t="str">
        <f>""</f>
        <v/>
      </c>
      <c r="BF1064" t="str">
        <f t="shared" si="518"/>
        <v>A</v>
      </c>
      <c r="BG1064" t="str">
        <f>""</f>
        <v/>
      </c>
      <c r="BH1064" t="str">
        <f>""</f>
        <v/>
      </c>
      <c r="BI1064" t="str">
        <f t="shared" si="531"/>
        <v>EVENTUAL</v>
      </c>
      <c r="BJ1064" t="str">
        <f t="shared" si="519"/>
        <v>1</v>
      </c>
      <c r="BK1064" t="str">
        <f t="shared" si="520"/>
        <v>Farmacia</v>
      </c>
      <c r="BL1064" t="str">
        <f>""</f>
        <v/>
      </c>
      <c r="BM1064" t="str">
        <f>""</f>
        <v/>
      </c>
      <c r="BN1064" t="str">
        <f>""</f>
        <v/>
      </c>
      <c r="BO1064" t="str">
        <f>""</f>
        <v/>
      </c>
      <c r="BP1064" t="str">
        <f>""</f>
        <v/>
      </c>
      <c r="BQ1064" t="str">
        <f>""</f>
        <v/>
      </c>
      <c r="BR1064" t="str">
        <f>"11/07/2023"</f>
        <v>11/07/2023</v>
      </c>
      <c r="BS1064" t="str">
        <f>""</f>
        <v/>
      </c>
      <c r="BT1064" t="str">
        <f>""</f>
        <v/>
      </c>
      <c r="BU1064" t="str">
        <f>""</f>
        <v/>
      </c>
      <c r="BV1064" t="str">
        <f>""</f>
        <v/>
      </c>
      <c r="BW1064" t="str">
        <f>"Não visitado"</f>
        <v>Não visitado</v>
      </c>
    </row>
    <row r="1065" spans="1:75" x14ac:dyDescent="0.35">
      <c r="A1065">
        <v>157645</v>
      </c>
      <c r="B1065" t="str">
        <f t="shared" si="515"/>
        <v>A</v>
      </c>
      <c r="C1065" t="str">
        <f t="shared" si="516"/>
        <v>80</v>
      </c>
      <c r="D1065" t="str">
        <f t="shared" si="509"/>
        <v>11121002</v>
      </c>
      <c r="E1065" t="str">
        <f t="shared" si="510"/>
        <v>121002</v>
      </c>
      <c r="F1065" t="str">
        <f t="shared" si="511"/>
        <v>CINTHIA NORONHA</v>
      </c>
      <c r="G1065" t="str">
        <f>"34256235000160"</f>
        <v>34256235000160</v>
      </c>
      <c r="H1065" t="str">
        <f>"0"</f>
        <v>0</v>
      </c>
      <c r="I1065" t="str">
        <f t="shared" si="517"/>
        <v>CONTA OPTICA</v>
      </c>
      <c r="J1065" t="str">
        <f>"P C DONATO OPTICA"</f>
        <v>P C DONATO OPTICA</v>
      </c>
      <c r="K1065" t="str">
        <f>"OTICA IMPERIAL  (4034)"</f>
        <v>OTICA IMPERIAL  (4034)</v>
      </c>
      <c r="L1065" t="str">
        <f>""</f>
        <v/>
      </c>
      <c r="M1065" t="str">
        <f>""</f>
        <v/>
      </c>
      <c r="N1065" t="str">
        <f>"PATRICKCARDOSODONATO@HOTMAIL.COM"</f>
        <v>PATRICKCARDOSODONATO@HOTMAIL.COM</v>
      </c>
      <c r="O1065" t="str">
        <f>""</f>
        <v/>
      </c>
      <c r="P1065" t="str">
        <f>"RUA JOSE MARQUES"</f>
        <v>RUA JOSE MARQUES</v>
      </c>
      <c r="Q1065" t="str">
        <f>"1345"</f>
        <v>1345</v>
      </c>
      <c r="R1065" t="str">
        <f>""</f>
        <v/>
      </c>
      <c r="S1065" t="str">
        <f>"1270"</f>
        <v>1270</v>
      </c>
      <c r="T1065" t="str">
        <f>"88915000"</f>
        <v>88915000</v>
      </c>
      <c r="U1065" t="str">
        <f>"VILA BEATRIZ"</f>
        <v>VILA BEATRIZ</v>
      </c>
      <c r="V1065" t="str">
        <f>"MARACAJA"</f>
        <v>MARACAJA</v>
      </c>
      <c r="W1065" t="str">
        <f t="shared" si="532"/>
        <v>SC</v>
      </c>
      <c r="X1065" t="str">
        <f t="shared" si="533"/>
        <v>48</v>
      </c>
      <c r="Y1065" t="str">
        <f>"35240849"</f>
        <v>35240849</v>
      </c>
      <c r="Z1065" t="str">
        <f>""</f>
        <v/>
      </c>
      <c r="AA1065" t="str">
        <f>""</f>
        <v/>
      </c>
      <c r="AB1065" t="str">
        <f>""</f>
        <v/>
      </c>
      <c r="AC1065" t="str">
        <f>""</f>
        <v/>
      </c>
      <c r="AD1065" t="str">
        <f>""</f>
        <v/>
      </c>
      <c r="AE1065" t="str">
        <f>""</f>
        <v/>
      </c>
      <c r="AF1065" t="str">
        <f>""</f>
        <v/>
      </c>
      <c r="AG1065" t="str">
        <f>""</f>
        <v/>
      </c>
      <c r="AH1065" t="str">
        <f>""</f>
        <v/>
      </c>
      <c r="AI1065" t="str">
        <f>""</f>
        <v/>
      </c>
      <c r="AJ1065" t="str">
        <f>""</f>
        <v/>
      </c>
      <c r="AK1065" t="str">
        <f>""</f>
        <v/>
      </c>
      <c r="AL1065" t="str">
        <f>""</f>
        <v/>
      </c>
      <c r="AM1065" t="str">
        <f>""</f>
        <v/>
      </c>
      <c r="AN1065" t="str">
        <f>""</f>
        <v/>
      </c>
      <c r="AO1065" t="str">
        <f>""</f>
        <v/>
      </c>
      <c r="AP1065" t="str">
        <f>""</f>
        <v/>
      </c>
      <c r="AQ1065" t="str">
        <f>""</f>
        <v/>
      </c>
      <c r="AR1065" t="str">
        <f>""</f>
        <v/>
      </c>
      <c r="AS1065" t="str">
        <f>""</f>
        <v/>
      </c>
      <c r="AT1065" t="str">
        <f>""</f>
        <v/>
      </c>
      <c r="AU1065" t="str">
        <f>""</f>
        <v/>
      </c>
      <c r="AV1065" t="str">
        <f>""</f>
        <v/>
      </c>
      <c r="AW1065" t="str">
        <f>""</f>
        <v/>
      </c>
      <c r="AX1065" t="str">
        <f>""</f>
        <v/>
      </c>
      <c r="AY1065" t="str">
        <f>""</f>
        <v/>
      </c>
      <c r="AZ1065" t="str">
        <f>""</f>
        <v/>
      </c>
      <c r="BA1065" t="str">
        <f>""</f>
        <v/>
      </c>
      <c r="BB1065" t="str">
        <f>"11/07/2023 02:19:56"</f>
        <v>11/07/2023 02:19:56</v>
      </c>
      <c r="BC1065" t="str">
        <f>""</f>
        <v/>
      </c>
      <c r="BD1065" t="str">
        <f>""</f>
        <v/>
      </c>
      <c r="BE1065" t="str">
        <f>""</f>
        <v/>
      </c>
      <c r="BF1065" t="str">
        <f t="shared" si="518"/>
        <v>A</v>
      </c>
      <c r="BG1065" t="str">
        <f>""</f>
        <v/>
      </c>
      <c r="BH1065" t="str">
        <f>""</f>
        <v/>
      </c>
      <c r="BI1065" t="str">
        <f t="shared" si="531"/>
        <v>EVENTUAL</v>
      </c>
      <c r="BJ1065" t="str">
        <f t="shared" si="519"/>
        <v>1</v>
      </c>
      <c r="BK1065" t="str">
        <f t="shared" si="520"/>
        <v>Farmacia</v>
      </c>
      <c r="BL1065" t="str">
        <f>""</f>
        <v/>
      </c>
      <c r="BM1065" t="str">
        <f>""</f>
        <v/>
      </c>
      <c r="BN1065" t="str">
        <f>""</f>
        <v/>
      </c>
      <c r="BO1065" t="str">
        <f>""</f>
        <v/>
      </c>
      <c r="BP1065" t="str">
        <f>""</f>
        <v/>
      </c>
      <c r="BQ1065" t="str">
        <f>""</f>
        <v/>
      </c>
      <c r="BR1065" t="str">
        <f>"11/07/2023"</f>
        <v>11/07/2023</v>
      </c>
      <c r="BS1065" t="str">
        <f>""</f>
        <v/>
      </c>
      <c r="BT1065" t="str">
        <f>""</f>
        <v/>
      </c>
      <c r="BU1065" t="str">
        <f>""</f>
        <v/>
      </c>
      <c r="BV1065" t="str">
        <f>""</f>
        <v/>
      </c>
      <c r="BW1065" t="str">
        <f>"Não visitado"</f>
        <v>Não visitado</v>
      </c>
    </row>
    <row r="1066" spans="1:75" x14ac:dyDescent="0.35">
      <c r="A1066">
        <v>157668</v>
      </c>
      <c r="B1066" t="str">
        <f t="shared" si="515"/>
        <v>A</v>
      </c>
      <c r="C1066" t="str">
        <f t="shared" si="516"/>
        <v>80</v>
      </c>
      <c r="D1066" t="str">
        <f t="shared" si="509"/>
        <v>11121002</v>
      </c>
      <c r="E1066" t="str">
        <f t="shared" si="510"/>
        <v>121002</v>
      </c>
      <c r="F1066" t="str">
        <f t="shared" si="511"/>
        <v>CINTHIA NORONHA</v>
      </c>
      <c r="G1066" t="str">
        <f>"10598574000167"</f>
        <v>10598574000167</v>
      </c>
      <c r="H1066" t="str">
        <f>"0"</f>
        <v>0</v>
      </c>
      <c r="I1066" t="str">
        <f t="shared" si="517"/>
        <v>CONTA OPTICA</v>
      </c>
      <c r="J1066" t="str">
        <f>"PACHECO E ALVES JOALHERIA E OTICA LTDA"</f>
        <v>PACHECO E ALVES JOALHERIA E OTICA LTDA</v>
      </c>
      <c r="K1066" t="str">
        <f>"EXPRESSO OTICA (1480)"</f>
        <v>EXPRESSO OTICA (1480)</v>
      </c>
      <c r="L1066" t="str">
        <f>""</f>
        <v/>
      </c>
      <c r="M1066" t="str">
        <f>""</f>
        <v/>
      </c>
      <c r="N1066" t="str">
        <f>"KXEROVIAJANTE@HOTMAIL.COM"</f>
        <v>KXEROVIAJANTE@HOTMAIL.COM</v>
      </c>
      <c r="O1066" t="str">
        <f>""</f>
        <v/>
      </c>
      <c r="P1066" t="str">
        <f>"RUA PEDRO JOAO PEREIRA"</f>
        <v>RUA PEDRO JOAO PEREIRA</v>
      </c>
      <c r="Q1066" t="str">
        <f>"700"</f>
        <v>700</v>
      </c>
      <c r="R1066" t="str">
        <f>"SL 01"</f>
        <v>SL 01</v>
      </c>
      <c r="S1066" t="str">
        <f>"1270"</f>
        <v>1270</v>
      </c>
      <c r="T1066" t="str">
        <f>"88904174"</f>
        <v>88904174</v>
      </c>
      <c r="U1066" t="str">
        <f>"MATO ALTO"</f>
        <v>MATO ALTO</v>
      </c>
      <c r="V1066" t="str">
        <f>"ARARANGUA"</f>
        <v>ARARANGUA</v>
      </c>
      <c r="W1066" t="str">
        <f t="shared" si="532"/>
        <v>SC</v>
      </c>
      <c r="X1066" t="str">
        <f t="shared" si="533"/>
        <v>48</v>
      </c>
      <c r="Y1066" t="str">
        <f>"35240058"</f>
        <v>35240058</v>
      </c>
      <c r="Z1066" t="str">
        <f>""</f>
        <v/>
      </c>
      <c r="AA1066" t="str">
        <f>""</f>
        <v/>
      </c>
      <c r="AB1066" t="str">
        <f>""</f>
        <v/>
      </c>
      <c r="AC1066" t="str">
        <f>""</f>
        <v/>
      </c>
      <c r="AD1066" t="str">
        <f>""</f>
        <v/>
      </c>
      <c r="AE1066" t="str">
        <f>""</f>
        <v/>
      </c>
      <c r="AF1066" t="str">
        <f>""</f>
        <v/>
      </c>
      <c r="AG1066" t="str">
        <f>""</f>
        <v/>
      </c>
      <c r="AH1066" t="str">
        <f>""</f>
        <v/>
      </c>
      <c r="AI1066" t="str">
        <f>""</f>
        <v/>
      </c>
      <c r="AJ1066" t="str">
        <f>""</f>
        <v/>
      </c>
      <c r="AK1066" t="str">
        <f>""</f>
        <v/>
      </c>
      <c r="AL1066" t="str">
        <f>""</f>
        <v/>
      </c>
      <c r="AM1066" t="str">
        <f>""</f>
        <v/>
      </c>
      <c r="AN1066" t="str">
        <f>""</f>
        <v/>
      </c>
      <c r="AO1066" t="str">
        <f>""</f>
        <v/>
      </c>
      <c r="AP1066" t="str">
        <f>""</f>
        <v/>
      </c>
      <c r="AQ1066" t="str">
        <f>""</f>
        <v/>
      </c>
      <c r="AR1066" t="str">
        <f>""</f>
        <v/>
      </c>
      <c r="AS1066" t="str">
        <f>""</f>
        <v/>
      </c>
      <c r="AT1066" t="str">
        <f>""</f>
        <v/>
      </c>
      <c r="AU1066" t="str">
        <f>""</f>
        <v/>
      </c>
      <c r="AV1066" t="str">
        <f>""</f>
        <v/>
      </c>
      <c r="AW1066" t="str">
        <f>""</f>
        <v/>
      </c>
      <c r="AX1066" t="str">
        <f>""</f>
        <v/>
      </c>
      <c r="AY1066" t="str">
        <f>""</f>
        <v/>
      </c>
      <c r="AZ1066" t="str">
        <f>""</f>
        <v/>
      </c>
      <c r="BA1066" t="str">
        <f>""</f>
        <v/>
      </c>
      <c r="BB1066" t="str">
        <f>"11/07/2023 02:19:56"</f>
        <v>11/07/2023 02:19:56</v>
      </c>
      <c r="BC1066" t="str">
        <f>""</f>
        <v/>
      </c>
      <c r="BD1066" t="str">
        <f>""</f>
        <v/>
      </c>
      <c r="BE1066" t="str">
        <f>""</f>
        <v/>
      </c>
      <c r="BF1066" t="str">
        <f t="shared" si="518"/>
        <v>A</v>
      </c>
      <c r="BG1066" t="str">
        <f>""</f>
        <v/>
      </c>
      <c r="BH1066" t="str">
        <f>""</f>
        <v/>
      </c>
      <c r="BI1066" t="str">
        <f t="shared" si="531"/>
        <v>EVENTUAL</v>
      </c>
      <c r="BJ1066" t="str">
        <f t="shared" si="519"/>
        <v>1</v>
      </c>
      <c r="BK1066" t="str">
        <f t="shared" si="520"/>
        <v>Farmacia</v>
      </c>
      <c r="BL1066" t="str">
        <f>""</f>
        <v/>
      </c>
      <c r="BM1066" t="str">
        <f>""</f>
        <v/>
      </c>
      <c r="BN1066" t="str">
        <f>""</f>
        <v/>
      </c>
      <c r="BO1066" t="str">
        <f>""</f>
        <v/>
      </c>
      <c r="BP1066" t="str">
        <f>""</f>
        <v/>
      </c>
      <c r="BQ1066" t="str">
        <f>""</f>
        <v/>
      </c>
      <c r="BR1066" t="str">
        <f>"11/07/2023"</f>
        <v>11/07/2023</v>
      </c>
      <c r="BS1066" t="str">
        <f>""</f>
        <v/>
      </c>
      <c r="BT1066" t="str">
        <f>""</f>
        <v/>
      </c>
      <c r="BU1066" t="str">
        <f>""</f>
        <v/>
      </c>
      <c r="BV1066" t="str">
        <f>""</f>
        <v/>
      </c>
      <c r="BW1066" t="str">
        <f>"Não visitado"</f>
        <v>Não visitado</v>
      </c>
    </row>
    <row r="1067" spans="1:75" x14ac:dyDescent="0.35">
      <c r="A1067">
        <v>144329</v>
      </c>
      <c r="B1067" t="str">
        <f t="shared" si="515"/>
        <v>A</v>
      </c>
      <c r="C1067" t="str">
        <f t="shared" si="516"/>
        <v>80</v>
      </c>
      <c r="D1067" t="str">
        <f t="shared" si="509"/>
        <v>11121002</v>
      </c>
      <c r="E1067" t="str">
        <f t="shared" si="510"/>
        <v>121002</v>
      </c>
      <c r="F1067" t="str">
        <f t="shared" si="511"/>
        <v>CINTHIA NORONHA</v>
      </c>
      <c r="G1067" t="str">
        <f>"11841005000163"</f>
        <v>11841005000163</v>
      </c>
      <c r="H1067" t="str">
        <f>""</f>
        <v/>
      </c>
      <c r="I1067" t="str">
        <f t="shared" si="517"/>
        <v>CONTA OPTICA</v>
      </c>
      <c r="J1067" t="str">
        <f>"PALOMA JOALHERIA E OPTICA LTDA ME"</f>
        <v>PALOMA JOALHERIA E OPTICA LTDA ME</v>
      </c>
      <c r="K1067" t="str">
        <f>"PALOMA JOALHERIA E OPTICA (1739)"</f>
        <v>PALOMA JOALHERIA E OPTICA (1739)</v>
      </c>
      <c r="L1067" t="str">
        <f>""</f>
        <v/>
      </c>
      <c r="M1067" t="str">
        <f>""</f>
        <v/>
      </c>
      <c r="N1067" t="str">
        <f>"palomaoptica@hotmail.com"</f>
        <v>palomaoptica@hotmail.com</v>
      </c>
      <c r="O1067" t="str">
        <f>""</f>
        <v/>
      </c>
      <c r="P1067" t="str">
        <f>"AVENIDA GETULIO VARGAS"</f>
        <v>AVENIDA GETULIO VARGAS</v>
      </c>
      <c r="Q1067" t="str">
        <f>"327"</f>
        <v>327</v>
      </c>
      <c r="R1067" t="str">
        <f>"SALA 02"</f>
        <v>SALA 02</v>
      </c>
      <c r="S1067" t="str">
        <f>"1270"</f>
        <v>1270</v>
      </c>
      <c r="T1067" t="str">
        <f>"88960000"</f>
        <v>88960000</v>
      </c>
      <c r="U1067" t="str">
        <f>"SOMBRIO"</f>
        <v>SOMBRIO</v>
      </c>
      <c r="V1067" t="str">
        <f>"SOMBRIO"</f>
        <v>SOMBRIO</v>
      </c>
      <c r="W1067" t="str">
        <f t="shared" si="532"/>
        <v>SC</v>
      </c>
      <c r="X1067" t="str">
        <f t="shared" si="533"/>
        <v>48</v>
      </c>
      <c r="Y1067" t="str">
        <f>"35330438"</f>
        <v>35330438</v>
      </c>
      <c r="Z1067" t="str">
        <f>""</f>
        <v/>
      </c>
      <c r="AA1067" t="str">
        <f>""</f>
        <v/>
      </c>
      <c r="AB1067" t="str">
        <f>""</f>
        <v/>
      </c>
      <c r="AC1067" t="str">
        <f>""</f>
        <v/>
      </c>
      <c r="AD1067" t="str">
        <f>""</f>
        <v/>
      </c>
      <c r="AE1067" t="str">
        <f>""</f>
        <v/>
      </c>
      <c r="AF1067" t="str">
        <f>""</f>
        <v/>
      </c>
      <c r="AG1067" t="str">
        <f>""</f>
        <v/>
      </c>
      <c r="AH1067" t="str">
        <f>""</f>
        <v/>
      </c>
      <c r="AI1067" t="str">
        <f>""</f>
        <v/>
      </c>
      <c r="AJ1067" t="str">
        <f>"0"</f>
        <v>0</v>
      </c>
      <c r="AK1067" t="str">
        <f>"0"</f>
        <v>0</v>
      </c>
      <c r="AL1067" t="str">
        <f>"0"</f>
        <v>0</v>
      </c>
      <c r="AM1067" t="str">
        <f>""</f>
        <v/>
      </c>
      <c r="AN1067" t="str">
        <f>""</f>
        <v/>
      </c>
      <c r="AO1067" t="str">
        <f>""</f>
        <v/>
      </c>
      <c r="AP1067" t="str">
        <f>""</f>
        <v/>
      </c>
      <c r="AQ1067" t="str">
        <f>""</f>
        <v/>
      </c>
      <c r="AR1067" t="str">
        <f>""</f>
        <v/>
      </c>
      <c r="AS1067" t="str">
        <f>""</f>
        <v/>
      </c>
      <c r="AT1067" t="str">
        <f>""</f>
        <v/>
      </c>
      <c r="AU1067" t="str">
        <f>""</f>
        <v/>
      </c>
      <c r="AV1067" t="str">
        <f>""</f>
        <v/>
      </c>
      <c r="AW1067" t="str">
        <f>""</f>
        <v/>
      </c>
      <c r="AX1067" t="str">
        <f>""</f>
        <v/>
      </c>
      <c r="AY1067" t="str">
        <f>""</f>
        <v/>
      </c>
      <c r="AZ1067" t="str">
        <f>""</f>
        <v/>
      </c>
      <c r="BA1067" t="str">
        <f>""</f>
        <v/>
      </c>
      <c r="BB1067" t="str">
        <f>""</f>
        <v/>
      </c>
      <c r="BC1067" t="str">
        <f>""</f>
        <v/>
      </c>
      <c r="BD1067" t="str">
        <f>""</f>
        <v/>
      </c>
      <c r="BE1067" t="str">
        <f>""</f>
        <v/>
      </c>
      <c r="BF1067" t="str">
        <f t="shared" si="518"/>
        <v>A</v>
      </c>
      <c r="BG1067" t="str">
        <f>"0,00"</f>
        <v>0,00</v>
      </c>
      <c r="BH1067" t="str">
        <f>"0,00"</f>
        <v>0,00</v>
      </c>
      <c r="BI1067" t="str">
        <f t="shared" si="531"/>
        <v>EVENTUAL</v>
      </c>
      <c r="BJ1067" t="str">
        <f t="shared" si="519"/>
        <v>1</v>
      </c>
      <c r="BK1067" t="str">
        <f t="shared" si="520"/>
        <v>Farmacia</v>
      </c>
      <c r="BL1067" t="str">
        <f>""</f>
        <v/>
      </c>
      <c r="BM1067" t="str">
        <f>"VARILUX ESPECIALISTA SELECT"</f>
        <v>VARILUX ESPECIALISTA SELECT</v>
      </c>
      <c r="BN1067" t="str">
        <f>"NA"</f>
        <v>NA</v>
      </c>
      <c r="BO1067" t="str">
        <f>"FOCO VARILUX DIGITAL"</f>
        <v>FOCO VARILUX DIGITAL</v>
      </c>
      <c r="BP1067" t="str">
        <f>""</f>
        <v/>
      </c>
      <c r="BQ1067" t="str">
        <f>""</f>
        <v/>
      </c>
      <c r="BR1067" t="str">
        <f>""</f>
        <v/>
      </c>
      <c r="BS1067" t="str">
        <f>""</f>
        <v/>
      </c>
      <c r="BT1067" t="str">
        <f>""</f>
        <v/>
      </c>
      <c r="BU1067" t="str">
        <f>""</f>
        <v/>
      </c>
      <c r="BV1067" t="str">
        <f>"5"</f>
        <v>5</v>
      </c>
      <c r="BW1067" t="str">
        <f>"64"</f>
        <v>64</v>
      </c>
    </row>
    <row r="1068" spans="1:75" x14ac:dyDescent="0.35">
      <c r="A1068">
        <v>158707</v>
      </c>
      <c r="B1068" t="str">
        <f t="shared" si="515"/>
        <v>A</v>
      </c>
      <c r="C1068" t="str">
        <f t="shared" si="516"/>
        <v>80</v>
      </c>
      <c r="D1068" t="str">
        <f t="shared" si="509"/>
        <v>11121002</v>
      </c>
      <c r="E1068" t="str">
        <f t="shared" si="510"/>
        <v>121002</v>
      </c>
      <c r="F1068" t="str">
        <f t="shared" si="511"/>
        <v>CINTHIA NORONHA</v>
      </c>
      <c r="G1068" t="str">
        <f>"50676377000133"</f>
        <v>50676377000133</v>
      </c>
      <c r="H1068" t="str">
        <f>""</f>
        <v/>
      </c>
      <c r="I1068" t="str">
        <f t="shared" si="517"/>
        <v>CONTA OPTICA</v>
      </c>
      <c r="J1068" t="str">
        <f>"PATRICIA CRISTIANE VAZ LTDA"</f>
        <v>PATRICIA CRISTIANE VAZ LTDA</v>
      </c>
      <c r="K1068" t="str">
        <f>"OPTICA PAGNATHE (4723)"</f>
        <v>OPTICA PAGNATHE (4723)</v>
      </c>
      <c r="L1068" t="str">
        <f>""</f>
        <v/>
      </c>
      <c r="M1068" t="str">
        <f>""</f>
        <v/>
      </c>
      <c r="N1068" t="str">
        <f>"PAGNATHE@OUTLOOK.COM"</f>
        <v>PAGNATHE@OUTLOOK.COM</v>
      </c>
      <c r="O1068" t="str">
        <f>""</f>
        <v/>
      </c>
      <c r="P1068" t="str">
        <f>"RUA CEL BERNARDINO MACHADO"</f>
        <v>RUA CEL BERNARDINO MACHADO</v>
      </c>
      <c r="Q1068" t="str">
        <f>"127"</f>
        <v>127</v>
      </c>
      <c r="R1068" t="str">
        <f>"LOJA 04"</f>
        <v>LOJA 04</v>
      </c>
      <c r="S1068" t="str">
        <f>"1259"</f>
        <v>1259</v>
      </c>
      <c r="T1068" t="str">
        <f>"88130220"</f>
        <v>88130220</v>
      </c>
      <c r="U1068" t="str">
        <f>"CENTRO"</f>
        <v>CENTRO</v>
      </c>
      <c r="V1068" t="str">
        <f>"PALHOCA"</f>
        <v>PALHOCA</v>
      </c>
      <c r="W1068" t="str">
        <f t="shared" si="532"/>
        <v>SC</v>
      </c>
      <c r="X1068" t="str">
        <f t="shared" si="533"/>
        <v>48</v>
      </c>
      <c r="Y1068" t="str">
        <f>"30863262"</f>
        <v>30863262</v>
      </c>
      <c r="Z1068" t="str">
        <f>""</f>
        <v/>
      </c>
      <c r="AA1068" t="str">
        <f>""</f>
        <v/>
      </c>
      <c r="AB1068" t="str">
        <f>""</f>
        <v/>
      </c>
      <c r="AC1068" t="str">
        <f>""</f>
        <v/>
      </c>
      <c r="AD1068" t="str">
        <f>""</f>
        <v/>
      </c>
      <c r="AE1068" t="str">
        <f>""</f>
        <v/>
      </c>
      <c r="AF1068" t="str">
        <f>""</f>
        <v/>
      </c>
      <c r="AG1068" t="str">
        <f>""</f>
        <v/>
      </c>
      <c r="AH1068" t="str">
        <f>""</f>
        <v/>
      </c>
      <c r="AI1068" t="str">
        <f>""</f>
        <v/>
      </c>
      <c r="AJ1068" t="str">
        <f>""</f>
        <v/>
      </c>
      <c r="AK1068" t="str">
        <f>""</f>
        <v/>
      </c>
      <c r="AL1068" t="str">
        <f>""</f>
        <v/>
      </c>
      <c r="AM1068" t="str">
        <f>""</f>
        <v/>
      </c>
      <c r="AN1068" t="str">
        <f>""</f>
        <v/>
      </c>
      <c r="AO1068" t="str">
        <f>""</f>
        <v/>
      </c>
      <c r="AP1068" t="str">
        <f>""</f>
        <v/>
      </c>
      <c r="AQ1068" t="str">
        <f>""</f>
        <v/>
      </c>
      <c r="AR1068" t="str">
        <f>""</f>
        <v/>
      </c>
      <c r="AS1068" t="str">
        <f>""</f>
        <v/>
      </c>
      <c r="AT1068" t="str">
        <f>""</f>
        <v/>
      </c>
      <c r="AU1068" t="str">
        <f>""</f>
        <v/>
      </c>
      <c r="AV1068" t="str">
        <f>""</f>
        <v/>
      </c>
      <c r="AW1068" t="str">
        <f>""</f>
        <v/>
      </c>
      <c r="AX1068" t="str">
        <f>""</f>
        <v/>
      </c>
      <c r="AY1068" t="str">
        <f>""</f>
        <v/>
      </c>
      <c r="AZ1068" t="str">
        <f>""</f>
        <v/>
      </c>
      <c r="BA1068" t="str">
        <f>""</f>
        <v/>
      </c>
      <c r="BB1068" t="str">
        <f>"17/08/2023 16:48:06"</f>
        <v>17/08/2023 16:48:06</v>
      </c>
      <c r="BC1068" t="str">
        <f>""</f>
        <v/>
      </c>
      <c r="BD1068" t="str">
        <f>""</f>
        <v/>
      </c>
      <c r="BE1068" t="str">
        <f>""</f>
        <v/>
      </c>
      <c r="BF1068" t="str">
        <f t="shared" si="518"/>
        <v>A</v>
      </c>
      <c r="BG1068" t="str">
        <f>""</f>
        <v/>
      </c>
      <c r="BH1068" t="str">
        <f>""</f>
        <v/>
      </c>
      <c r="BI1068" t="str">
        <f t="shared" si="531"/>
        <v>EVENTUAL</v>
      </c>
      <c r="BJ1068" t="str">
        <f t="shared" si="519"/>
        <v>1</v>
      </c>
      <c r="BK1068" t="str">
        <f t="shared" si="520"/>
        <v>Farmacia</v>
      </c>
      <c r="BL1068" t="str">
        <f>""</f>
        <v/>
      </c>
      <c r="BM1068" t="str">
        <f>""</f>
        <v/>
      </c>
      <c r="BN1068" t="str">
        <f>""</f>
        <v/>
      </c>
      <c r="BO1068" t="str">
        <f>""</f>
        <v/>
      </c>
      <c r="BP1068" t="str">
        <f>""</f>
        <v/>
      </c>
      <c r="BQ1068" t="str">
        <f>""</f>
        <v/>
      </c>
      <c r="BR1068" t="str">
        <f>"17/08/2023"</f>
        <v>17/08/2023</v>
      </c>
      <c r="BS1068" t="str">
        <f>""</f>
        <v/>
      </c>
      <c r="BT1068" t="str">
        <f>""</f>
        <v/>
      </c>
      <c r="BU1068" t="str">
        <f>""</f>
        <v/>
      </c>
      <c r="BV1068" t="str">
        <f>""</f>
        <v/>
      </c>
      <c r="BW1068" t="str">
        <f>"28"</f>
        <v>28</v>
      </c>
    </row>
    <row r="1069" spans="1:75" x14ac:dyDescent="0.35">
      <c r="A1069">
        <v>127439</v>
      </c>
      <c r="B1069" t="str">
        <f t="shared" si="515"/>
        <v>A</v>
      </c>
      <c r="C1069" t="str">
        <f t="shared" si="516"/>
        <v>80</v>
      </c>
      <c r="D1069" t="str">
        <f t="shared" si="509"/>
        <v>11121002</v>
      </c>
      <c r="E1069" t="str">
        <f t="shared" si="510"/>
        <v>121002</v>
      </c>
      <c r="F1069" t="str">
        <f t="shared" si="511"/>
        <v>CINTHIA NORONHA</v>
      </c>
      <c r="G1069" t="str">
        <f>"05118322000153"</f>
        <v>05118322000153</v>
      </c>
      <c r="H1069" t="str">
        <f>"0"</f>
        <v>0</v>
      </c>
      <c r="I1069" t="str">
        <f t="shared" si="517"/>
        <v>CONTA OPTICA</v>
      </c>
      <c r="J1069" t="str">
        <f>"PATRICIA FRITEZEN"</f>
        <v>PATRICIA FRITEZEN</v>
      </c>
      <c r="K1069" t="str">
        <f>"PATRICIA FRITEZEN (1680)"</f>
        <v>PATRICIA FRITEZEN (1680)</v>
      </c>
      <c r="L1069" t="str">
        <f>""</f>
        <v/>
      </c>
      <c r="M1069" t="str">
        <f>""</f>
        <v/>
      </c>
      <c r="N1069" t="str">
        <f>"patifritzen@gmail.com"</f>
        <v>patifritzen@gmail.com</v>
      </c>
      <c r="O1069" t="str">
        <f>""</f>
        <v/>
      </c>
      <c r="P1069" t="str">
        <f>"PRACA BENJAMIN SCUSSEL"</f>
        <v>PRACA BENJAMIN SCUSSEL</v>
      </c>
      <c r="Q1069" t="str">
        <f>"70"</f>
        <v>70</v>
      </c>
      <c r="R1069" t="str">
        <f>"SALA 2"</f>
        <v>SALA 2</v>
      </c>
      <c r="S1069" t="str">
        <f>"1269"</f>
        <v>1269</v>
      </c>
      <c r="T1069" t="str">
        <f>"88862000"</f>
        <v>88862000</v>
      </c>
      <c r="U1069" t="str">
        <f>"CENTRO"</f>
        <v>CENTRO</v>
      </c>
      <c r="V1069" t="str">
        <f>"TREVISO"</f>
        <v>TREVISO</v>
      </c>
      <c r="W1069" t="str">
        <f t="shared" si="532"/>
        <v>SC</v>
      </c>
      <c r="X1069" t="str">
        <f t="shared" si="533"/>
        <v>48</v>
      </c>
      <c r="Y1069" t="str">
        <f>"34353069"</f>
        <v>34353069</v>
      </c>
      <c r="Z1069" t="str">
        <f>""</f>
        <v/>
      </c>
      <c r="AA1069" t="str">
        <f>""</f>
        <v/>
      </c>
      <c r="AB1069" t="str">
        <f>""</f>
        <v/>
      </c>
      <c r="AC1069" t="str">
        <f>""</f>
        <v/>
      </c>
      <c r="AD1069" t="str">
        <f>""</f>
        <v/>
      </c>
      <c r="AE1069" t="str">
        <f>""</f>
        <v/>
      </c>
      <c r="AF1069" t="str">
        <f>""</f>
        <v/>
      </c>
      <c r="AG1069" t="str">
        <f>""</f>
        <v/>
      </c>
      <c r="AH1069" t="str">
        <f>""</f>
        <v/>
      </c>
      <c r="AI1069" t="str">
        <f>""</f>
        <v/>
      </c>
      <c r="AJ1069" t="str">
        <f>"0"</f>
        <v>0</v>
      </c>
      <c r="AK1069" t="str">
        <f>"0"</f>
        <v>0</v>
      </c>
      <c r="AL1069" t="str">
        <f>"0"</f>
        <v>0</v>
      </c>
      <c r="AM1069" t="str">
        <f>""</f>
        <v/>
      </c>
      <c r="AN1069" t="str">
        <f>""</f>
        <v/>
      </c>
      <c r="AO1069" t="str">
        <f>""</f>
        <v/>
      </c>
      <c r="AP1069" t="str">
        <f>""</f>
        <v/>
      </c>
      <c r="AQ1069" t="str">
        <f>""</f>
        <v/>
      </c>
      <c r="AR1069" t="str">
        <f>""</f>
        <v/>
      </c>
      <c r="AS1069" t="str">
        <f>""</f>
        <v/>
      </c>
      <c r="AT1069" t="str">
        <f>""</f>
        <v/>
      </c>
      <c r="AU1069" t="str">
        <f>""</f>
        <v/>
      </c>
      <c r="AV1069" t="str">
        <f>""</f>
        <v/>
      </c>
      <c r="AW1069" t="str">
        <f>""</f>
        <v/>
      </c>
      <c r="AX1069" t="str">
        <f>""</f>
        <v/>
      </c>
      <c r="AY1069" t="str">
        <f>""</f>
        <v/>
      </c>
      <c r="AZ1069" t="str">
        <f>""</f>
        <v/>
      </c>
      <c r="BA1069" t="str">
        <f>""</f>
        <v/>
      </c>
      <c r="BB1069" t="str">
        <f>"07/10/2020 09:08:38"</f>
        <v>07/10/2020 09:08:38</v>
      </c>
      <c r="BC1069" t="str">
        <f>""</f>
        <v/>
      </c>
      <c r="BD1069" t="str">
        <f>""</f>
        <v/>
      </c>
      <c r="BE1069" t="str">
        <f>""</f>
        <v/>
      </c>
      <c r="BF1069" t="str">
        <f t="shared" si="518"/>
        <v>A</v>
      </c>
      <c r="BG1069" t="str">
        <f>"0,00"</f>
        <v>0,00</v>
      </c>
      <c r="BH1069" t="str">
        <f>"0,00"</f>
        <v>0,00</v>
      </c>
      <c r="BI1069" t="str">
        <f t="shared" si="531"/>
        <v>EVENTUAL</v>
      </c>
      <c r="BJ1069" t="str">
        <f t="shared" si="519"/>
        <v>1</v>
      </c>
      <c r="BK1069" t="str">
        <f t="shared" si="520"/>
        <v>Farmacia</v>
      </c>
      <c r="BL1069" t="str">
        <f>""</f>
        <v/>
      </c>
      <c r="BM1069" t="str">
        <f>"NÃO É VARILUX ESPECIALISTA"</f>
        <v>NÃO É VARILUX ESPECIALISTA</v>
      </c>
      <c r="BN1069" t="str">
        <f>"NA"</f>
        <v>NA</v>
      </c>
      <c r="BO1069" t="str">
        <f>"FOCO VARILUX"</f>
        <v>FOCO VARILUX</v>
      </c>
      <c r="BP1069" t="str">
        <f>""</f>
        <v/>
      </c>
      <c r="BQ1069" t="str">
        <f>""</f>
        <v/>
      </c>
      <c r="BR1069" t="str">
        <f>"07/10/2020"</f>
        <v>07/10/2020</v>
      </c>
      <c r="BS1069" t="str">
        <f>""</f>
        <v/>
      </c>
      <c r="BT1069" t="str">
        <f>""</f>
        <v/>
      </c>
      <c r="BU1069" t="str">
        <f>""</f>
        <v/>
      </c>
      <c r="BV1069" t="str">
        <f>"9"</f>
        <v>9</v>
      </c>
      <c r="BW1069" t="str">
        <f>"133"</f>
        <v>133</v>
      </c>
    </row>
    <row r="1070" spans="1:75" x14ac:dyDescent="0.35">
      <c r="A1070">
        <v>157689</v>
      </c>
      <c r="B1070" t="str">
        <f t="shared" si="515"/>
        <v>A</v>
      </c>
      <c r="C1070" t="str">
        <f t="shared" si="516"/>
        <v>80</v>
      </c>
      <c r="D1070" t="str">
        <f t="shared" si="509"/>
        <v>11121002</v>
      </c>
      <c r="E1070" t="str">
        <f t="shared" si="510"/>
        <v>121002</v>
      </c>
      <c r="F1070" t="str">
        <f t="shared" si="511"/>
        <v>CINTHIA NORONHA</v>
      </c>
      <c r="G1070" t="str">
        <f>"43064577000170"</f>
        <v>43064577000170</v>
      </c>
      <c r="H1070" t="str">
        <f>"0"</f>
        <v>0</v>
      </c>
      <c r="I1070" t="str">
        <f t="shared" si="517"/>
        <v>CONTA OPTICA</v>
      </c>
      <c r="J1070" t="str">
        <f>"PATRICIA GONCALVES VIEGA PEIXOTO 00305446029"</f>
        <v>PATRICIA GONCALVES VIEGA PEIXOTO 00305446029</v>
      </c>
      <c r="K1070" t="str">
        <f>"PATY OTICA (4379)"</f>
        <v>PATY OTICA (4379)</v>
      </c>
      <c r="L1070" t="str">
        <f>""</f>
        <v/>
      </c>
      <c r="M1070" t="str">
        <f>""</f>
        <v/>
      </c>
      <c r="N1070" t="str">
        <f>"PATRICIAVIEGA@YAHOO.COM.BR"</f>
        <v>PATRICIAVIEGA@YAHOO.COM.BR</v>
      </c>
      <c r="O1070" t="str">
        <f>""</f>
        <v/>
      </c>
      <c r="P1070" t="str">
        <f>"JOAO GUALBERTO SOARES"</f>
        <v>JOAO GUALBERTO SOARES</v>
      </c>
      <c r="Q1070" t="str">
        <f>"5013"</f>
        <v>5013</v>
      </c>
      <c r="R1070" t="str">
        <f>"SALA 02"</f>
        <v>SALA 02</v>
      </c>
      <c r="S1070" t="str">
        <f>""</f>
        <v/>
      </c>
      <c r="T1070" t="str">
        <f>"88060000"</f>
        <v>88060000</v>
      </c>
      <c r="U1070" t="str">
        <f>"SAO JOAO DO RIO VERMELHO"</f>
        <v>SAO JOAO DO RIO VERMELHO</v>
      </c>
      <c r="V1070" t="str">
        <f>"FLORIANOPOLIS"</f>
        <v>FLORIANOPOLIS</v>
      </c>
      <c r="W1070" t="str">
        <f t="shared" si="532"/>
        <v>SC</v>
      </c>
      <c r="X1070" t="str">
        <f>"51"</f>
        <v>51</v>
      </c>
      <c r="Y1070" t="str">
        <f>"996031363"</f>
        <v>996031363</v>
      </c>
      <c r="Z1070" t="str">
        <f>""</f>
        <v/>
      </c>
      <c r="AA1070" t="str">
        <f>""</f>
        <v/>
      </c>
      <c r="AB1070" t="str">
        <f>""</f>
        <v/>
      </c>
      <c r="AC1070" t="str">
        <f>""</f>
        <v/>
      </c>
      <c r="AD1070" t="str">
        <f>""</f>
        <v/>
      </c>
      <c r="AE1070" t="str">
        <f>""</f>
        <v/>
      </c>
      <c r="AF1070" t="str">
        <f>""</f>
        <v/>
      </c>
      <c r="AG1070" t="str">
        <f>""</f>
        <v/>
      </c>
      <c r="AH1070" t="str">
        <f>""</f>
        <v/>
      </c>
      <c r="AI1070" t="str">
        <f>""</f>
        <v/>
      </c>
      <c r="AJ1070" t="str">
        <f>""</f>
        <v/>
      </c>
      <c r="AK1070" t="str">
        <f>""</f>
        <v/>
      </c>
      <c r="AL1070" t="str">
        <f>""</f>
        <v/>
      </c>
      <c r="AM1070" t="str">
        <f>""</f>
        <v/>
      </c>
      <c r="AN1070" t="str">
        <f>""</f>
        <v/>
      </c>
      <c r="AO1070" t="str">
        <f>""</f>
        <v/>
      </c>
      <c r="AP1070" t="str">
        <f>""</f>
        <v/>
      </c>
      <c r="AQ1070" t="str">
        <f>""</f>
        <v/>
      </c>
      <c r="AR1070" t="str">
        <f>""</f>
        <v/>
      </c>
      <c r="AS1070" t="str">
        <f>""</f>
        <v/>
      </c>
      <c r="AT1070" t="str">
        <f>""</f>
        <v/>
      </c>
      <c r="AU1070" t="str">
        <f>""</f>
        <v/>
      </c>
      <c r="AV1070" t="str">
        <f>""</f>
        <v/>
      </c>
      <c r="AW1070" t="str">
        <f>""</f>
        <v/>
      </c>
      <c r="AX1070" t="str">
        <f>""</f>
        <v/>
      </c>
      <c r="AY1070" t="str">
        <f>""</f>
        <v/>
      </c>
      <c r="AZ1070" t="str">
        <f>""</f>
        <v/>
      </c>
      <c r="BA1070" t="str">
        <f>""</f>
        <v/>
      </c>
      <c r="BB1070" t="str">
        <f>"11/07/2023 02:19:56"</f>
        <v>11/07/2023 02:19:56</v>
      </c>
      <c r="BC1070" t="str">
        <f>""</f>
        <v/>
      </c>
      <c r="BD1070" t="str">
        <f>""</f>
        <v/>
      </c>
      <c r="BE1070" t="str">
        <f>""</f>
        <v/>
      </c>
      <c r="BF1070" t="str">
        <f t="shared" si="518"/>
        <v>A</v>
      </c>
      <c r="BG1070" t="str">
        <f>""</f>
        <v/>
      </c>
      <c r="BH1070" t="str">
        <f>""</f>
        <v/>
      </c>
      <c r="BI1070" t="str">
        <f t="shared" si="531"/>
        <v>EVENTUAL</v>
      </c>
      <c r="BJ1070" t="str">
        <f t="shared" si="519"/>
        <v>1</v>
      </c>
      <c r="BK1070" t="str">
        <f t="shared" si="520"/>
        <v>Farmacia</v>
      </c>
      <c r="BL1070" t="str">
        <f>""</f>
        <v/>
      </c>
      <c r="BM1070" t="str">
        <f>""</f>
        <v/>
      </c>
      <c r="BN1070" t="str">
        <f>""</f>
        <v/>
      </c>
      <c r="BO1070" t="str">
        <f>""</f>
        <v/>
      </c>
      <c r="BP1070" t="str">
        <f>""</f>
        <v/>
      </c>
      <c r="BQ1070" t="str">
        <f>""</f>
        <v/>
      </c>
      <c r="BR1070" t="str">
        <f>"11/07/2023"</f>
        <v>11/07/2023</v>
      </c>
      <c r="BS1070" t="str">
        <f>""</f>
        <v/>
      </c>
      <c r="BT1070" t="str">
        <f>""</f>
        <v/>
      </c>
      <c r="BU1070" t="str">
        <f>""</f>
        <v/>
      </c>
      <c r="BV1070" t="str">
        <f>""</f>
        <v/>
      </c>
      <c r="BW1070" t="str">
        <f>"Não visitado"</f>
        <v>Não visitado</v>
      </c>
    </row>
    <row r="1071" spans="1:75" x14ac:dyDescent="0.35">
      <c r="A1071">
        <v>1532</v>
      </c>
      <c r="B1071" t="str">
        <f t="shared" si="515"/>
        <v>A</v>
      </c>
      <c r="C1071" t="str">
        <f t="shared" si="516"/>
        <v>80</v>
      </c>
      <c r="D1071" t="str">
        <f t="shared" si="509"/>
        <v>11121002</v>
      </c>
      <c r="E1071" t="str">
        <f t="shared" si="510"/>
        <v>121002</v>
      </c>
      <c r="F1071" t="str">
        <f t="shared" si="511"/>
        <v>CINTHIA NORONHA</v>
      </c>
      <c r="G1071" t="str">
        <f>"03637719000126"</f>
        <v>03637719000126</v>
      </c>
      <c r="H1071" t="str">
        <f>""</f>
        <v/>
      </c>
      <c r="I1071" t="str">
        <f t="shared" si="517"/>
        <v>CONTA OPTICA</v>
      </c>
      <c r="J1071" t="str">
        <f>"PATRICIA WARMELING"</f>
        <v>PATRICIA WARMELING</v>
      </c>
      <c r="K1071" t="str">
        <f>"OTICA SANTA LUZIA (540)"</f>
        <v>OTICA SANTA LUZIA (540)</v>
      </c>
      <c r="L1071" t="str">
        <f>""</f>
        <v/>
      </c>
      <c r="M1071" t="str">
        <f>""</f>
        <v/>
      </c>
      <c r="N1071" t="str">
        <f>"patriciawarmeling@hotmail.com"</f>
        <v>patriciawarmeling@hotmail.com</v>
      </c>
      <c r="O1071" t="str">
        <f>""</f>
        <v/>
      </c>
      <c r="P1071" t="str">
        <f>"RUA MANOEL THIAGO DE CASTRO"</f>
        <v>RUA MANOEL THIAGO DE CASTRO</v>
      </c>
      <c r="Q1071" t="str">
        <f>"123"</f>
        <v>123</v>
      </c>
      <c r="R1071" t="str">
        <f>""</f>
        <v/>
      </c>
      <c r="S1071" t="str">
        <f>"1266"</f>
        <v>1266</v>
      </c>
      <c r="T1071" t="str">
        <f>"88501020"</f>
        <v>88501020</v>
      </c>
      <c r="U1071" t="str">
        <f>"CENTRO"</f>
        <v>CENTRO</v>
      </c>
      <c r="V1071" t="str">
        <f>"LAGES"</f>
        <v>LAGES</v>
      </c>
      <c r="W1071" t="str">
        <f t="shared" si="532"/>
        <v>SC</v>
      </c>
      <c r="X1071" t="str">
        <f>"49"</f>
        <v>49</v>
      </c>
      <c r="Y1071" t="str">
        <f>"32227651"</f>
        <v>32227651</v>
      </c>
      <c r="Z1071" t="str">
        <f>""</f>
        <v/>
      </c>
      <c r="AA1071" t="str">
        <f>""</f>
        <v/>
      </c>
      <c r="AB1071" t="str">
        <f>""</f>
        <v/>
      </c>
      <c r="AC1071" t="str">
        <f>""</f>
        <v/>
      </c>
      <c r="AD1071" t="str">
        <f>""</f>
        <v/>
      </c>
      <c r="AE1071" t="str">
        <f>""</f>
        <v/>
      </c>
      <c r="AF1071" t="str">
        <f>""</f>
        <v/>
      </c>
      <c r="AG1071" t="str">
        <f>""</f>
        <v/>
      </c>
      <c r="AH1071" t="str">
        <f>""</f>
        <v/>
      </c>
      <c r="AI1071" t="str">
        <f>""</f>
        <v/>
      </c>
      <c r="AJ1071" t="str">
        <f t="shared" ref="AJ1071:AL1072" si="534">"0"</f>
        <v>0</v>
      </c>
      <c r="AK1071" t="str">
        <f t="shared" si="534"/>
        <v>0</v>
      </c>
      <c r="AL1071" t="str">
        <f t="shared" si="534"/>
        <v>0</v>
      </c>
      <c r="AM1071" t="str">
        <f>""</f>
        <v/>
      </c>
      <c r="AN1071" t="str">
        <f>""</f>
        <v/>
      </c>
      <c r="AO1071" t="str">
        <f>""</f>
        <v/>
      </c>
      <c r="AP1071" t="str">
        <f>""</f>
        <v/>
      </c>
      <c r="AQ1071" t="str">
        <f>""</f>
        <v/>
      </c>
      <c r="AR1071" t="str">
        <f>""</f>
        <v/>
      </c>
      <c r="AS1071" t="str">
        <f>""</f>
        <v/>
      </c>
      <c r="AT1071" t="str">
        <f>""</f>
        <v/>
      </c>
      <c r="AU1071" t="str">
        <f>""</f>
        <v/>
      </c>
      <c r="AV1071" t="str">
        <f>""</f>
        <v/>
      </c>
      <c r="AW1071" t="str">
        <f>""</f>
        <v/>
      </c>
      <c r="AX1071" t="str">
        <f>""</f>
        <v/>
      </c>
      <c r="AY1071" t="str">
        <f>""</f>
        <v/>
      </c>
      <c r="AZ1071" t="str">
        <f>""</f>
        <v/>
      </c>
      <c r="BA1071" t="str">
        <f>""</f>
        <v/>
      </c>
      <c r="BB1071" t="str">
        <f>"27/07/2018 09:26:24"</f>
        <v>27/07/2018 09:26:24</v>
      </c>
      <c r="BC1071" t="str">
        <f>""</f>
        <v/>
      </c>
      <c r="BD1071" t="str">
        <f>""</f>
        <v/>
      </c>
      <c r="BE1071" t="str">
        <f>"1532"</f>
        <v>1532</v>
      </c>
      <c r="BF1071" t="str">
        <f t="shared" si="518"/>
        <v>A</v>
      </c>
      <c r="BG1071" t="str">
        <f>"0,00"</f>
        <v>0,00</v>
      </c>
      <c r="BH1071" t="str">
        <f>"0,00"</f>
        <v>0,00</v>
      </c>
      <c r="BI1071" t="str">
        <f t="shared" si="531"/>
        <v>EVENTUAL</v>
      </c>
      <c r="BJ1071" t="str">
        <f t="shared" si="519"/>
        <v>1</v>
      </c>
      <c r="BK1071" t="str">
        <f t="shared" si="520"/>
        <v>Farmacia</v>
      </c>
      <c r="BL1071" t="str">
        <f>""</f>
        <v/>
      </c>
      <c r="BM1071" t="str">
        <f>"VARILUX ESPECIALISTA PLATINE"</f>
        <v>VARILUX ESPECIALISTA PLATINE</v>
      </c>
      <c r="BN1071" t="str">
        <f>"NA"</f>
        <v>NA</v>
      </c>
      <c r="BO1071" t="str">
        <f>"FOCO VARILUX DIGITAL"</f>
        <v>FOCO VARILUX DIGITAL</v>
      </c>
      <c r="BP1071" t="str">
        <f>""</f>
        <v/>
      </c>
      <c r="BQ1071" t="str">
        <f>""</f>
        <v/>
      </c>
      <c r="BR1071" t="str">
        <f>"27/07/2018"</f>
        <v>27/07/2018</v>
      </c>
      <c r="BS1071" t="str">
        <f>""</f>
        <v/>
      </c>
      <c r="BT1071" t="str">
        <f>""</f>
        <v/>
      </c>
      <c r="BU1071" t="str">
        <f>""</f>
        <v/>
      </c>
      <c r="BV1071" t="str">
        <f>"1"</f>
        <v>1</v>
      </c>
      <c r="BW1071" t="str">
        <f>"73"</f>
        <v>73</v>
      </c>
    </row>
    <row r="1072" spans="1:75" x14ac:dyDescent="0.35">
      <c r="A1072">
        <v>134277</v>
      </c>
      <c r="B1072" t="str">
        <f t="shared" si="515"/>
        <v>A</v>
      </c>
      <c r="C1072" t="str">
        <f t="shared" si="516"/>
        <v>80</v>
      </c>
      <c r="D1072" t="str">
        <f t="shared" si="509"/>
        <v>11121002</v>
      </c>
      <c r="E1072" t="str">
        <f t="shared" si="510"/>
        <v>121002</v>
      </c>
      <c r="F1072" t="str">
        <f t="shared" si="511"/>
        <v>CINTHIA NORONHA</v>
      </c>
      <c r="G1072" t="str">
        <f>"78608213000198"</f>
        <v>78608213000198</v>
      </c>
      <c r="H1072" t="str">
        <f>""</f>
        <v/>
      </c>
      <c r="I1072" t="str">
        <f t="shared" si="517"/>
        <v>CONTA OPTICA</v>
      </c>
      <c r="J1072" t="str">
        <f>"PAULO RENI SCHURHAUS"</f>
        <v>PAULO RENI SCHURHAUS</v>
      </c>
      <c r="K1072" t="str">
        <f>"OTICA ORIENTE (168)"</f>
        <v>OTICA ORIENTE (168)</v>
      </c>
      <c r="L1072" t="str">
        <f>""</f>
        <v/>
      </c>
      <c r="M1072" t="str">
        <f>""</f>
        <v/>
      </c>
      <c r="N1072" t="str">
        <f>"relojoariaeoticaorient@gmail.com"</f>
        <v>relojoariaeoticaorient@gmail.com</v>
      </c>
      <c r="O1072" t="str">
        <f>""</f>
        <v/>
      </c>
      <c r="P1072" t="str">
        <f>"RUA PREFEITO JOSE KEHRIG"</f>
        <v>RUA PREFEITO JOSE KEHRIG</v>
      </c>
      <c r="Q1072" t="str">
        <f>"5680"</f>
        <v>5680</v>
      </c>
      <c r="R1072" t="str">
        <f>""</f>
        <v/>
      </c>
      <c r="S1072" t="str">
        <f>"1259"</f>
        <v>1259</v>
      </c>
      <c r="T1072" t="str">
        <f>"88140000"</f>
        <v>88140000</v>
      </c>
      <c r="U1072" t="str">
        <f>"CENTRO"</f>
        <v>CENTRO</v>
      </c>
      <c r="V1072" t="str">
        <f>"SANTO AMARO DA IMPERATRIZ"</f>
        <v>SANTO AMARO DA IMPERATRIZ</v>
      </c>
      <c r="W1072" t="str">
        <f t="shared" si="532"/>
        <v>SC</v>
      </c>
      <c r="X1072" t="str">
        <f>"48"</f>
        <v>48</v>
      </c>
      <c r="Y1072" t="str">
        <f>"32451473"</f>
        <v>32451473</v>
      </c>
      <c r="Z1072" t="str">
        <f>""</f>
        <v/>
      </c>
      <c r="AA1072" t="str">
        <f>""</f>
        <v/>
      </c>
      <c r="AB1072" t="str">
        <f>""</f>
        <v/>
      </c>
      <c r="AC1072" t="str">
        <f>""</f>
        <v/>
      </c>
      <c r="AD1072" t="str">
        <f>""</f>
        <v/>
      </c>
      <c r="AE1072" t="str">
        <f>""</f>
        <v/>
      </c>
      <c r="AF1072" t="str">
        <f>""</f>
        <v/>
      </c>
      <c r="AG1072" t="str">
        <f>"S"</f>
        <v>S</v>
      </c>
      <c r="AH1072" t="str">
        <f>""</f>
        <v/>
      </c>
      <c r="AI1072" t="str">
        <f>""</f>
        <v/>
      </c>
      <c r="AJ1072" t="str">
        <f t="shared" si="534"/>
        <v>0</v>
      </c>
      <c r="AK1072" t="str">
        <f t="shared" si="534"/>
        <v>0</v>
      </c>
      <c r="AL1072" t="str">
        <f t="shared" si="534"/>
        <v>0</v>
      </c>
      <c r="AM1072" t="str">
        <f>""</f>
        <v/>
      </c>
      <c r="AN1072" t="str">
        <f>""</f>
        <v/>
      </c>
      <c r="AO1072" t="str">
        <f>""</f>
        <v/>
      </c>
      <c r="AP1072" t="str">
        <f>""</f>
        <v/>
      </c>
      <c r="AQ1072" t="str">
        <f>"N"</f>
        <v>N</v>
      </c>
      <c r="AR1072" t="str">
        <f>"N"</f>
        <v>N</v>
      </c>
      <c r="AS1072" t="str">
        <f>"N"</f>
        <v>N</v>
      </c>
      <c r="AT1072" t="str">
        <f>"N"</f>
        <v>N</v>
      </c>
      <c r="AU1072" t="str">
        <f>"N"</f>
        <v>N</v>
      </c>
      <c r="AV1072" t="str">
        <f>""</f>
        <v/>
      </c>
      <c r="AW1072" t="str">
        <f>""</f>
        <v/>
      </c>
      <c r="AX1072" t="str">
        <f>""</f>
        <v/>
      </c>
      <c r="AY1072" t="str">
        <f>""</f>
        <v/>
      </c>
      <c r="AZ1072" t="str">
        <f>""</f>
        <v/>
      </c>
      <c r="BA1072" t="str">
        <f>""</f>
        <v/>
      </c>
      <c r="BB1072" t="str">
        <f>""</f>
        <v/>
      </c>
      <c r="BC1072" t="str">
        <f>"02/05/2022 11:32:17"</f>
        <v>02/05/2022 11:32:17</v>
      </c>
      <c r="BD1072" t="str">
        <f>""</f>
        <v/>
      </c>
      <c r="BE1072" t="str">
        <f>""</f>
        <v/>
      </c>
      <c r="BF1072" t="str">
        <f t="shared" si="518"/>
        <v>A</v>
      </c>
      <c r="BG1072" t="str">
        <f>"0,00"</f>
        <v>0,00</v>
      </c>
      <c r="BH1072" t="str">
        <f>"0,00"</f>
        <v>0,00</v>
      </c>
      <c r="BI1072" t="str">
        <f t="shared" si="531"/>
        <v>EVENTUAL</v>
      </c>
      <c r="BJ1072" t="str">
        <f t="shared" si="519"/>
        <v>1</v>
      </c>
      <c r="BK1072" t="str">
        <f t="shared" si="520"/>
        <v>Farmacia</v>
      </c>
      <c r="BL1072" t="str">
        <f>""</f>
        <v/>
      </c>
      <c r="BM1072" t="str">
        <f>"VARILUX ESPECIALISTA SELECT"</f>
        <v>VARILUX ESPECIALISTA SELECT</v>
      </c>
      <c r="BN1072" t="str">
        <f>"NA"</f>
        <v>NA</v>
      </c>
      <c r="BO1072" t="str">
        <f>"FOCO VARILUX DIGITAL"</f>
        <v>FOCO VARILUX DIGITAL</v>
      </c>
      <c r="BP1072" t="str">
        <f>""</f>
        <v/>
      </c>
      <c r="BQ1072" t="str">
        <f>""</f>
        <v/>
      </c>
      <c r="BR1072" t="str">
        <f>""</f>
        <v/>
      </c>
      <c r="BS1072" t="str">
        <f>"02/05/2022"</f>
        <v>02/05/2022</v>
      </c>
      <c r="BT1072" t="str">
        <f>""</f>
        <v/>
      </c>
      <c r="BU1072" t="str">
        <f>""</f>
        <v/>
      </c>
      <c r="BV1072" t="str">
        <f>"5"</f>
        <v>5</v>
      </c>
      <c r="BW1072" t="str">
        <f>"24"</f>
        <v>24</v>
      </c>
    </row>
    <row r="1073" spans="1:75" x14ac:dyDescent="0.35">
      <c r="A1073">
        <v>156867</v>
      </c>
      <c r="B1073" t="str">
        <f t="shared" si="515"/>
        <v>A</v>
      </c>
      <c r="C1073" t="str">
        <f t="shared" si="516"/>
        <v>80</v>
      </c>
      <c r="D1073" t="str">
        <f t="shared" si="509"/>
        <v>11121002</v>
      </c>
      <c r="E1073" t="str">
        <f t="shared" si="510"/>
        <v>121002</v>
      </c>
      <c r="F1073" t="str">
        <f t="shared" si="511"/>
        <v>CINTHIA NORONHA</v>
      </c>
      <c r="G1073" t="str">
        <f>"48237982000166"</f>
        <v>48237982000166</v>
      </c>
      <c r="H1073" t="str">
        <f>"0"</f>
        <v>0</v>
      </c>
      <c r="I1073" t="str">
        <f t="shared" si="517"/>
        <v>CONTA OPTICA</v>
      </c>
      <c r="J1073" t="str">
        <f>"PEDRA BRANCA COMERCIO PRODUTOS OTICOS LTDA"</f>
        <v>PEDRA BRANCA COMERCIO PRODUTOS OTICOS LTDA</v>
      </c>
      <c r="K1073" t="str">
        <f>"OTICA PEDRA BRANCA (4599)"</f>
        <v>OTICA PEDRA BRANCA (4599)</v>
      </c>
      <c r="L1073" t="str">
        <f>""</f>
        <v/>
      </c>
      <c r="M1073" t="str">
        <f>""</f>
        <v/>
      </c>
      <c r="N1073" t="str">
        <f>"MONTADORFELIPECORREA@GMAIL.COM"</f>
        <v>MONTADORFELIPECORREA@GMAIL.COM</v>
      </c>
      <c r="O1073" t="str">
        <f>""</f>
        <v/>
      </c>
      <c r="P1073" t="str">
        <f>"DOS LAGOS"</f>
        <v>DOS LAGOS</v>
      </c>
      <c r="Q1073" t="str">
        <f>"41"</f>
        <v>41</v>
      </c>
      <c r="R1073" t="str">
        <f>"LOJA 114"</f>
        <v>LOJA 114</v>
      </c>
      <c r="S1073" t="str">
        <f>""</f>
        <v/>
      </c>
      <c r="T1073" t="str">
        <f>"88137100"</f>
        <v>88137100</v>
      </c>
      <c r="U1073" t="str">
        <f>"CIDADE UNIVERSITARIA PEDR"</f>
        <v>CIDADE UNIVERSITARIA PEDR</v>
      </c>
      <c r="V1073" t="str">
        <f>"PALHOCA"</f>
        <v>PALHOCA</v>
      </c>
      <c r="W1073" t="str">
        <f t="shared" si="532"/>
        <v>SC</v>
      </c>
      <c r="X1073" t="str">
        <f>"48"</f>
        <v>48</v>
      </c>
      <c r="Y1073" t="str">
        <f>"999158436"</f>
        <v>999158436</v>
      </c>
      <c r="Z1073" t="str">
        <f>""</f>
        <v/>
      </c>
      <c r="AA1073" t="str">
        <f>""</f>
        <v/>
      </c>
      <c r="AB1073" t="str">
        <f>""</f>
        <v/>
      </c>
      <c r="AC1073" t="str">
        <f>""</f>
        <v/>
      </c>
      <c r="AD1073" t="str">
        <f>""</f>
        <v/>
      </c>
      <c r="AE1073" t="str">
        <f>""</f>
        <v/>
      </c>
      <c r="AF1073" t="str">
        <f>""</f>
        <v/>
      </c>
      <c r="AG1073" t="str">
        <f>""</f>
        <v/>
      </c>
      <c r="AH1073" t="str">
        <f>""</f>
        <v/>
      </c>
      <c r="AI1073" t="str">
        <f>""</f>
        <v/>
      </c>
      <c r="AJ1073" t="str">
        <f>""</f>
        <v/>
      </c>
      <c r="AK1073" t="str">
        <f>""</f>
        <v/>
      </c>
      <c r="AL1073" t="str">
        <f>""</f>
        <v/>
      </c>
      <c r="AM1073" t="str">
        <f>""</f>
        <v/>
      </c>
      <c r="AN1073" t="str">
        <f>""</f>
        <v/>
      </c>
      <c r="AO1073" t="str">
        <f>""</f>
        <v/>
      </c>
      <c r="AP1073" t="str">
        <f>""</f>
        <v/>
      </c>
      <c r="AQ1073" t="str">
        <f>""</f>
        <v/>
      </c>
      <c r="AR1073" t="str">
        <f>""</f>
        <v/>
      </c>
      <c r="AS1073" t="str">
        <f>""</f>
        <v/>
      </c>
      <c r="AT1073" t="str">
        <f>""</f>
        <v/>
      </c>
      <c r="AU1073" t="str">
        <f>""</f>
        <v/>
      </c>
      <c r="AV1073" t="str">
        <f>""</f>
        <v/>
      </c>
      <c r="AW1073" t="str">
        <f>""</f>
        <v/>
      </c>
      <c r="AX1073" t="str">
        <f>""</f>
        <v/>
      </c>
      <c r="AY1073" t="str">
        <f>""</f>
        <v/>
      </c>
      <c r="AZ1073" t="str">
        <f>""</f>
        <v/>
      </c>
      <c r="BA1073" t="str">
        <f>""</f>
        <v/>
      </c>
      <c r="BB1073" t="str">
        <f>"06/07/2023 12:07:48"</f>
        <v>06/07/2023 12:07:48</v>
      </c>
      <c r="BC1073" t="str">
        <f>""</f>
        <v/>
      </c>
      <c r="BD1073" t="str">
        <f>""</f>
        <v/>
      </c>
      <c r="BE1073" t="str">
        <f>""</f>
        <v/>
      </c>
      <c r="BF1073" t="str">
        <f t="shared" si="518"/>
        <v>A</v>
      </c>
      <c r="BG1073" t="str">
        <f>""</f>
        <v/>
      </c>
      <c r="BH1073" t="str">
        <f>""</f>
        <v/>
      </c>
      <c r="BI1073" t="str">
        <f t="shared" si="531"/>
        <v>EVENTUAL</v>
      </c>
      <c r="BJ1073" t="str">
        <f t="shared" si="519"/>
        <v>1</v>
      </c>
      <c r="BK1073" t="str">
        <f t="shared" si="520"/>
        <v>Farmacia</v>
      </c>
      <c r="BL1073" t="str">
        <f>""</f>
        <v/>
      </c>
      <c r="BM1073" t="str">
        <f>""</f>
        <v/>
      </c>
      <c r="BN1073" t="str">
        <f>""</f>
        <v/>
      </c>
      <c r="BO1073" t="str">
        <f>""</f>
        <v/>
      </c>
      <c r="BP1073" t="str">
        <f>""</f>
        <v/>
      </c>
      <c r="BQ1073" t="str">
        <f>""</f>
        <v/>
      </c>
      <c r="BR1073" t="str">
        <f>"06/07/2023"</f>
        <v>06/07/2023</v>
      </c>
      <c r="BS1073" t="str">
        <f>""</f>
        <v/>
      </c>
      <c r="BT1073" t="str">
        <f>""</f>
        <v/>
      </c>
      <c r="BU1073" t="str">
        <f>""</f>
        <v/>
      </c>
      <c r="BV1073" t="str">
        <f>""</f>
        <v/>
      </c>
      <c r="BW1073" t="str">
        <f>"39"</f>
        <v>39</v>
      </c>
    </row>
    <row r="1074" spans="1:75" x14ac:dyDescent="0.35">
      <c r="A1074">
        <v>157669</v>
      </c>
      <c r="B1074" t="str">
        <f t="shared" si="515"/>
        <v>A</v>
      </c>
      <c r="C1074" t="str">
        <f t="shared" si="516"/>
        <v>80</v>
      </c>
      <c r="D1074" t="str">
        <f t="shared" si="509"/>
        <v>11121002</v>
      </c>
      <c r="E1074" t="str">
        <f t="shared" si="510"/>
        <v>121002</v>
      </c>
      <c r="F1074" t="str">
        <f t="shared" si="511"/>
        <v>CINTHIA NORONHA</v>
      </c>
      <c r="G1074" t="str">
        <f>"05869704000119"</f>
        <v>05869704000119</v>
      </c>
      <c r="H1074" t="str">
        <f>"0"</f>
        <v>0</v>
      </c>
      <c r="I1074" t="str">
        <f t="shared" si="517"/>
        <v>CONTA OPTICA</v>
      </c>
      <c r="J1074" t="str">
        <f>"PEDRO DAGOSTIN ME"</f>
        <v>PEDRO DAGOSTIN ME</v>
      </c>
      <c r="K1074" t="str">
        <f>"RELOJOARIA E OTICA MARITALI (1467)"</f>
        <v>RELOJOARIA E OTICA MARITALI (1467)</v>
      </c>
      <c r="L1074" t="str">
        <f>""</f>
        <v/>
      </c>
      <c r="M1074" t="str">
        <f>""</f>
        <v/>
      </c>
      <c r="N1074" t="str">
        <f>"RELOJOARIAMARITALI@GMAIL.COM"</f>
        <v>RELOJOARIAMARITALI@GMAIL.COM</v>
      </c>
      <c r="O1074" t="str">
        <f>""</f>
        <v/>
      </c>
      <c r="P1074" t="str">
        <f>"NOSSA SENHORA DA CONCEICAO"</f>
        <v>NOSSA SENHORA DA CONCEICAO</v>
      </c>
      <c r="Q1074" t="str">
        <f>"1716"</f>
        <v>1716</v>
      </c>
      <c r="R1074" t="str">
        <f>"SL 01"</f>
        <v>SL 01</v>
      </c>
      <c r="S1074" t="str">
        <f>"1270"</f>
        <v>1270</v>
      </c>
      <c r="T1074" t="str">
        <f>"88915000"</f>
        <v>88915000</v>
      </c>
      <c r="U1074" t="str">
        <f>"CENTRO"</f>
        <v>CENTRO</v>
      </c>
      <c r="V1074" t="str">
        <f>"MARACAJA"</f>
        <v>MARACAJA</v>
      </c>
      <c r="W1074" t="str">
        <f t="shared" si="532"/>
        <v>SC</v>
      </c>
      <c r="X1074" t="str">
        <f>"48"</f>
        <v>48</v>
      </c>
      <c r="Y1074" t="str">
        <f>"35231337"</f>
        <v>35231337</v>
      </c>
      <c r="Z1074" t="str">
        <f>""</f>
        <v/>
      </c>
      <c r="AA1074" t="str">
        <f>""</f>
        <v/>
      </c>
      <c r="AB1074" t="str">
        <f>""</f>
        <v/>
      </c>
      <c r="AC1074" t="str">
        <f>""</f>
        <v/>
      </c>
      <c r="AD1074" t="str">
        <f>""</f>
        <v/>
      </c>
      <c r="AE1074" t="str">
        <f>""</f>
        <v/>
      </c>
      <c r="AF1074" t="str">
        <f>""</f>
        <v/>
      </c>
      <c r="AG1074" t="str">
        <f>""</f>
        <v/>
      </c>
      <c r="AH1074" t="str">
        <f>""</f>
        <v/>
      </c>
      <c r="AI1074" t="str">
        <f>""</f>
        <v/>
      </c>
      <c r="AJ1074" t="str">
        <f>""</f>
        <v/>
      </c>
      <c r="AK1074" t="str">
        <f>""</f>
        <v/>
      </c>
      <c r="AL1074" t="str">
        <f>""</f>
        <v/>
      </c>
      <c r="AM1074" t="str">
        <f>""</f>
        <v/>
      </c>
      <c r="AN1074" t="str">
        <f>""</f>
        <v/>
      </c>
      <c r="AO1074" t="str">
        <f>""</f>
        <v/>
      </c>
      <c r="AP1074" t="str">
        <f>""</f>
        <v/>
      </c>
      <c r="AQ1074" t="str">
        <f>""</f>
        <v/>
      </c>
      <c r="AR1074" t="str">
        <f>""</f>
        <v/>
      </c>
      <c r="AS1074" t="str">
        <f>""</f>
        <v/>
      </c>
      <c r="AT1074" t="str">
        <f>""</f>
        <v/>
      </c>
      <c r="AU1074" t="str">
        <f>""</f>
        <v/>
      </c>
      <c r="AV1074" t="str">
        <f>""</f>
        <v/>
      </c>
      <c r="AW1074" t="str">
        <f>""</f>
        <v/>
      </c>
      <c r="AX1074" t="str">
        <f>""</f>
        <v/>
      </c>
      <c r="AY1074" t="str">
        <f>""</f>
        <v/>
      </c>
      <c r="AZ1074" t="str">
        <f>""</f>
        <v/>
      </c>
      <c r="BA1074" t="str">
        <f>""</f>
        <v/>
      </c>
      <c r="BB1074" t="str">
        <f>"11/07/2023 02:19:56"</f>
        <v>11/07/2023 02:19:56</v>
      </c>
      <c r="BC1074" t="str">
        <f>""</f>
        <v/>
      </c>
      <c r="BD1074" t="str">
        <f>""</f>
        <v/>
      </c>
      <c r="BE1074" t="str">
        <f>""</f>
        <v/>
      </c>
      <c r="BF1074" t="str">
        <f t="shared" si="518"/>
        <v>A</v>
      </c>
      <c r="BG1074" t="str">
        <f>""</f>
        <v/>
      </c>
      <c r="BH1074" t="str">
        <f>""</f>
        <v/>
      </c>
      <c r="BI1074" t="str">
        <f t="shared" si="531"/>
        <v>EVENTUAL</v>
      </c>
      <c r="BJ1074" t="str">
        <f t="shared" si="519"/>
        <v>1</v>
      </c>
      <c r="BK1074" t="str">
        <f t="shared" si="520"/>
        <v>Farmacia</v>
      </c>
      <c r="BL1074" t="str">
        <f>""</f>
        <v/>
      </c>
      <c r="BM1074" t="str">
        <f>""</f>
        <v/>
      </c>
      <c r="BN1074" t="str">
        <f>""</f>
        <v/>
      </c>
      <c r="BO1074" t="str">
        <f>""</f>
        <v/>
      </c>
      <c r="BP1074" t="str">
        <f>""</f>
        <v/>
      </c>
      <c r="BQ1074" t="str">
        <f>""</f>
        <v/>
      </c>
      <c r="BR1074" t="str">
        <f>"11/07/2023"</f>
        <v>11/07/2023</v>
      </c>
      <c r="BS1074" t="str">
        <f>""</f>
        <v/>
      </c>
      <c r="BT1074" t="str">
        <f>""</f>
        <v/>
      </c>
      <c r="BU1074" t="str">
        <f>""</f>
        <v/>
      </c>
      <c r="BV1074" t="str">
        <f>""</f>
        <v/>
      </c>
      <c r="BW1074" t="str">
        <f>"Não visitado"</f>
        <v>Não visitado</v>
      </c>
    </row>
    <row r="1075" spans="1:75" x14ac:dyDescent="0.35">
      <c r="A1075">
        <v>144641</v>
      </c>
      <c r="B1075" t="str">
        <f t="shared" si="515"/>
        <v>A</v>
      </c>
      <c r="C1075" t="str">
        <f t="shared" si="516"/>
        <v>80</v>
      </c>
      <c r="D1075" t="str">
        <f t="shared" si="509"/>
        <v>11121002</v>
      </c>
      <c r="E1075" t="str">
        <f t="shared" si="510"/>
        <v>121002</v>
      </c>
      <c r="F1075" t="str">
        <f t="shared" si="511"/>
        <v>CINTHIA NORONHA</v>
      </c>
      <c r="G1075" t="str">
        <f>"34371028000157"</f>
        <v>34371028000157</v>
      </c>
      <c r="H1075" t="str">
        <f>""</f>
        <v/>
      </c>
      <c r="I1075" t="str">
        <f t="shared" si="517"/>
        <v>CONTA OPTICA</v>
      </c>
      <c r="J1075" t="str">
        <f>"PEREIRA E BORGES JOALHERIA E OPTICA LTDA"</f>
        <v>PEREIRA E BORGES JOALHERIA E OPTICA LTDA</v>
      </c>
      <c r="K1075" t="str">
        <f>"OTICA ESPECIALISTA (4100)"</f>
        <v>OTICA ESPECIALISTA (4100)</v>
      </c>
      <c r="L1075" t="str">
        <f>""</f>
        <v/>
      </c>
      <c r="M1075" t="str">
        <f>""</f>
        <v/>
      </c>
      <c r="N1075" t="str">
        <f>"oticaespecialista.ta@gmail.com"</f>
        <v>oticaespecialista.ta@gmail.com</v>
      </c>
      <c r="O1075" t="str">
        <f>""</f>
        <v/>
      </c>
      <c r="P1075" t="str">
        <f>"RUA DEPUTADO OSVALDO BASTOS"</f>
        <v>RUA DEPUTADO OSVALDO BASTOS</v>
      </c>
      <c r="Q1075" t="str">
        <f>"5475"</f>
        <v>5475</v>
      </c>
      <c r="R1075" t="str">
        <f>""</f>
        <v/>
      </c>
      <c r="S1075" t="str">
        <f>"1335"</f>
        <v>1335</v>
      </c>
      <c r="T1075" t="str">
        <f>"95535000"</f>
        <v>95535000</v>
      </c>
      <c r="U1075" t="str">
        <f>"CENTRO"</f>
        <v>CENTRO</v>
      </c>
      <c r="V1075" t="str">
        <f>"TERRA DE AREIA"</f>
        <v>TERRA DE AREIA</v>
      </c>
      <c r="W1075" t="str">
        <f>"RS"</f>
        <v>RS</v>
      </c>
      <c r="X1075" t="str">
        <f>"51"</f>
        <v>51</v>
      </c>
      <c r="Y1075" t="str">
        <f>"36661882"</f>
        <v>36661882</v>
      </c>
      <c r="Z1075" t="str">
        <f>""</f>
        <v/>
      </c>
      <c r="AA1075" t="str">
        <f>""</f>
        <v/>
      </c>
      <c r="AB1075" t="str">
        <f>""</f>
        <v/>
      </c>
      <c r="AC1075" t="str">
        <f>""</f>
        <v/>
      </c>
      <c r="AD1075" t="str">
        <f>""</f>
        <v/>
      </c>
      <c r="AE1075" t="str">
        <f>""</f>
        <v/>
      </c>
      <c r="AF1075" t="str">
        <f>""</f>
        <v/>
      </c>
      <c r="AG1075" t="str">
        <f>""</f>
        <v/>
      </c>
      <c r="AH1075" t="str">
        <f>""</f>
        <v/>
      </c>
      <c r="AI1075" t="str">
        <f>""</f>
        <v/>
      </c>
      <c r="AJ1075" t="str">
        <f>""</f>
        <v/>
      </c>
      <c r="AK1075" t="str">
        <f>""</f>
        <v/>
      </c>
      <c r="AL1075" t="str">
        <f>""</f>
        <v/>
      </c>
      <c r="AM1075" t="str">
        <f>""</f>
        <v/>
      </c>
      <c r="AN1075" t="str">
        <f>""</f>
        <v/>
      </c>
      <c r="AO1075" t="str">
        <f>""</f>
        <v/>
      </c>
      <c r="AP1075" t="str">
        <f>""</f>
        <v/>
      </c>
      <c r="AQ1075" t="str">
        <f>""</f>
        <v/>
      </c>
      <c r="AR1075" t="str">
        <f>""</f>
        <v/>
      </c>
      <c r="AS1075" t="str">
        <f>""</f>
        <v/>
      </c>
      <c r="AT1075" t="str">
        <f>""</f>
        <v/>
      </c>
      <c r="AU1075" t="str">
        <f>""</f>
        <v/>
      </c>
      <c r="AV1075" t="str">
        <f>""</f>
        <v/>
      </c>
      <c r="AW1075" t="str">
        <f>""</f>
        <v/>
      </c>
      <c r="AX1075" t="str">
        <f>""</f>
        <v/>
      </c>
      <c r="AY1075" t="str">
        <f>""</f>
        <v/>
      </c>
      <c r="AZ1075" t="str">
        <f>""</f>
        <v/>
      </c>
      <c r="BA1075" t="str">
        <f>""</f>
        <v/>
      </c>
      <c r="BB1075" t="str">
        <f>""</f>
        <v/>
      </c>
      <c r="BC1075" t="str">
        <f>""</f>
        <v/>
      </c>
      <c r="BD1075" t="str">
        <f>""</f>
        <v/>
      </c>
      <c r="BE1075" t="str">
        <f>""</f>
        <v/>
      </c>
      <c r="BF1075" t="str">
        <f t="shared" si="518"/>
        <v>A</v>
      </c>
      <c r="BG1075" t="str">
        <f>""</f>
        <v/>
      </c>
      <c r="BH1075" t="str">
        <f>""</f>
        <v/>
      </c>
      <c r="BI1075" t="str">
        <f t="shared" si="531"/>
        <v>EVENTUAL</v>
      </c>
      <c r="BJ1075" t="str">
        <f t="shared" si="519"/>
        <v>1</v>
      </c>
      <c r="BK1075" t="str">
        <f t="shared" si="520"/>
        <v>Farmacia</v>
      </c>
      <c r="BL1075" t="str">
        <f>""</f>
        <v/>
      </c>
      <c r="BM1075" t="str">
        <f>"NÃO É VARILUX ESPECIALISTA"</f>
        <v>NÃO É VARILUX ESPECIALISTA</v>
      </c>
      <c r="BN1075" t="str">
        <f>"EL360"</f>
        <v>EL360</v>
      </c>
      <c r="BO1075" t="str">
        <f>"FOCO VARILUX DIGITAL"</f>
        <v>FOCO VARILUX DIGITAL</v>
      </c>
      <c r="BP1075" t="str">
        <f>""</f>
        <v/>
      </c>
      <c r="BQ1075" t="str">
        <f>""</f>
        <v/>
      </c>
      <c r="BR1075" t="str">
        <f>""</f>
        <v/>
      </c>
      <c r="BS1075" t="str">
        <f>""</f>
        <v/>
      </c>
      <c r="BT1075" t="str">
        <f>""</f>
        <v/>
      </c>
      <c r="BU1075" t="str">
        <f>""</f>
        <v/>
      </c>
      <c r="BV1075" t="str">
        <f>"1"</f>
        <v>1</v>
      </c>
      <c r="BW1075" t="str">
        <f>"Não visitado"</f>
        <v>Não visitado</v>
      </c>
    </row>
    <row r="1076" spans="1:75" x14ac:dyDescent="0.35">
      <c r="A1076">
        <v>157584</v>
      </c>
      <c r="B1076" t="str">
        <f t="shared" si="515"/>
        <v>A</v>
      </c>
      <c r="C1076" t="str">
        <f t="shared" si="516"/>
        <v>80</v>
      </c>
      <c r="D1076" t="str">
        <f t="shared" ref="D1076:D1139" si="535">"11121002"</f>
        <v>11121002</v>
      </c>
      <c r="E1076" t="str">
        <f t="shared" ref="E1076:E1139" si="536">"121002"</f>
        <v>121002</v>
      </c>
      <c r="F1076" t="str">
        <f t="shared" ref="F1076:F1139" si="537">"CINTHIA NORONHA"</f>
        <v>CINTHIA NORONHA</v>
      </c>
      <c r="G1076" t="str">
        <f>"06286943000109"</f>
        <v>06286943000109</v>
      </c>
      <c r="H1076" t="str">
        <f>"0"</f>
        <v>0</v>
      </c>
      <c r="I1076" t="str">
        <f t="shared" si="517"/>
        <v>CONTA OPTICA</v>
      </c>
      <c r="J1076" t="str">
        <f>"PEROLA COMERCIO JOIAS E OTICA LTDA EPP"</f>
        <v>PEROLA COMERCIO JOIAS E OTICA LTDA EPP</v>
      </c>
      <c r="K1076" t="str">
        <f>"QUEVEDO KOBRASOL (618)"</f>
        <v>QUEVEDO KOBRASOL (618)</v>
      </c>
      <c r="L1076" t="str">
        <f>""</f>
        <v/>
      </c>
      <c r="M1076" t="str">
        <f>""</f>
        <v/>
      </c>
      <c r="N1076" t="str">
        <f>"LJ108.QUEVEDO@GMAIL.COM"</f>
        <v>LJ108.QUEVEDO@GMAIL.COM</v>
      </c>
      <c r="O1076" t="str">
        <f>""</f>
        <v/>
      </c>
      <c r="P1076" t="str">
        <f>"LEDIO JOAO MARTINS"</f>
        <v>LEDIO JOAO MARTINS</v>
      </c>
      <c r="Q1076" t="str">
        <f>"649"</f>
        <v>649</v>
      </c>
      <c r="R1076" t="str">
        <f>""</f>
        <v/>
      </c>
      <c r="S1076" t="str">
        <f>"1259"</f>
        <v>1259</v>
      </c>
      <c r="T1076" t="str">
        <f>"88102000"</f>
        <v>88102000</v>
      </c>
      <c r="U1076" t="str">
        <f>"KOBRASOL"</f>
        <v>KOBRASOL</v>
      </c>
      <c r="V1076" t="str">
        <f>"SAO JOSE"</f>
        <v>SAO JOSE</v>
      </c>
      <c r="W1076" t="str">
        <f t="shared" ref="W1076:W1097" si="538">"SC"</f>
        <v>SC</v>
      </c>
      <c r="X1076" t="str">
        <f>"48"</f>
        <v>48</v>
      </c>
      <c r="Y1076" t="str">
        <f>"30353353"</f>
        <v>30353353</v>
      </c>
      <c r="Z1076" t="str">
        <f>""</f>
        <v/>
      </c>
      <c r="AA1076" t="str">
        <f>""</f>
        <v/>
      </c>
      <c r="AB1076" t="str">
        <f>""</f>
        <v/>
      </c>
      <c r="AC1076" t="str">
        <f>""</f>
        <v/>
      </c>
      <c r="AD1076" t="str">
        <f>""</f>
        <v/>
      </c>
      <c r="AE1076" t="str">
        <f>""</f>
        <v/>
      </c>
      <c r="AF1076" t="str">
        <f>""</f>
        <v/>
      </c>
      <c r="AG1076" t="str">
        <f>""</f>
        <v/>
      </c>
      <c r="AH1076" t="str">
        <f>""</f>
        <v/>
      </c>
      <c r="AI1076" t="str">
        <f>""</f>
        <v/>
      </c>
      <c r="AJ1076" t="str">
        <f>""</f>
        <v/>
      </c>
      <c r="AK1076" t="str">
        <f>""</f>
        <v/>
      </c>
      <c r="AL1076" t="str">
        <f>""</f>
        <v/>
      </c>
      <c r="AM1076" t="str">
        <f>""</f>
        <v/>
      </c>
      <c r="AN1076" t="str">
        <f>""</f>
        <v/>
      </c>
      <c r="AO1076" t="str">
        <f>""</f>
        <v/>
      </c>
      <c r="AP1076" t="str">
        <f>""</f>
        <v/>
      </c>
      <c r="AQ1076" t="str">
        <f>""</f>
        <v/>
      </c>
      <c r="AR1076" t="str">
        <f>""</f>
        <v/>
      </c>
      <c r="AS1076" t="str">
        <f>""</f>
        <v/>
      </c>
      <c r="AT1076" t="str">
        <f>""</f>
        <v/>
      </c>
      <c r="AU1076" t="str">
        <f>""</f>
        <v/>
      </c>
      <c r="AV1076" t="str">
        <f>""</f>
        <v/>
      </c>
      <c r="AW1076" t="str">
        <f>""</f>
        <v/>
      </c>
      <c r="AX1076" t="str">
        <f>""</f>
        <v/>
      </c>
      <c r="AY1076" t="str">
        <f>""</f>
        <v/>
      </c>
      <c r="AZ1076" t="str">
        <f>""</f>
        <v/>
      </c>
      <c r="BA1076" t="str">
        <f>""</f>
        <v/>
      </c>
      <c r="BB1076" t="str">
        <f>"11/07/2023 02:19:56"</f>
        <v>11/07/2023 02:19:56</v>
      </c>
      <c r="BC1076" t="str">
        <f>""</f>
        <v/>
      </c>
      <c r="BD1076" t="str">
        <f>""</f>
        <v/>
      </c>
      <c r="BE1076" t="str">
        <f>""</f>
        <v/>
      </c>
      <c r="BF1076" t="str">
        <f t="shared" si="518"/>
        <v>A</v>
      </c>
      <c r="BG1076" t="str">
        <f>""</f>
        <v/>
      </c>
      <c r="BH1076" t="str">
        <f>""</f>
        <v/>
      </c>
      <c r="BI1076" t="str">
        <f t="shared" si="531"/>
        <v>EVENTUAL</v>
      </c>
      <c r="BJ1076" t="str">
        <f t="shared" si="519"/>
        <v>1</v>
      </c>
      <c r="BK1076" t="str">
        <f t="shared" si="520"/>
        <v>Farmacia</v>
      </c>
      <c r="BL1076" t="str">
        <f>""</f>
        <v/>
      </c>
      <c r="BM1076" t="str">
        <f>""</f>
        <v/>
      </c>
      <c r="BN1076" t="str">
        <f>""</f>
        <v/>
      </c>
      <c r="BO1076" t="str">
        <f>""</f>
        <v/>
      </c>
      <c r="BP1076" t="str">
        <f>""</f>
        <v/>
      </c>
      <c r="BQ1076" t="str">
        <f>""</f>
        <v/>
      </c>
      <c r="BR1076" t="str">
        <f>"11/07/2023"</f>
        <v>11/07/2023</v>
      </c>
      <c r="BS1076" t="str">
        <f>""</f>
        <v/>
      </c>
      <c r="BT1076" t="str">
        <f>""</f>
        <v/>
      </c>
      <c r="BU1076" t="str">
        <f>""</f>
        <v/>
      </c>
      <c r="BV1076" t="str">
        <f>""</f>
        <v/>
      </c>
      <c r="BW1076" t="str">
        <f>"Não visitado"</f>
        <v>Não visitado</v>
      </c>
    </row>
    <row r="1077" spans="1:75" x14ac:dyDescent="0.35">
      <c r="A1077">
        <v>134239</v>
      </c>
      <c r="B1077" t="str">
        <f t="shared" si="515"/>
        <v>A</v>
      </c>
      <c r="C1077" t="str">
        <f t="shared" si="516"/>
        <v>80</v>
      </c>
      <c r="D1077" t="str">
        <f t="shared" si="535"/>
        <v>11121002</v>
      </c>
      <c r="E1077" t="str">
        <f t="shared" si="536"/>
        <v>121002</v>
      </c>
      <c r="F1077" t="str">
        <f t="shared" si="537"/>
        <v>CINTHIA NORONHA</v>
      </c>
      <c r="G1077" t="str">
        <f>"14246407000108"</f>
        <v>14246407000108</v>
      </c>
      <c r="H1077" t="str">
        <f>""</f>
        <v/>
      </c>
      <c r="I1077" t="str">
        <f t="shared" si="517"/>
        <v>CONTA OPTICA</v>
      </c>
      <c r="J1077" t="str">
        <f>"PETRY E CASTRO JOIAS E RELOGIOS LTDA ME"</f>
        <v>PETRY E CASTRO JOIAS E RELOGIOS LTDA ME</v>
      </c>
      <c r="K1077" t="str">
        <f>"MARIO JOALHEIRO (2208)"</f>
        <v>MARIO JOALHEIRO (2208)</v>
      </c>
      <c r="L1077" t="str">
        <f>""</f>
        <v/>
      </c>
      <c r="M1077" t="str">
        <f>""</f>
        <v/>
      </c>
      <c r="N1077" t="str">
        <f>"pedidosmariojoalheiro@outlook.com"</f>
        <v>pedidosmariojoalheiro@outlook.com</v>
      </c>
      <c r="O1077" t="str">
        <f>""</f>
        <v/>
      </c>
      <c r="P1077" t="str">
        <f>"RUA JOAO HENRIQUE PAULI"</f>
        <v>RUA JOAO HENRIQUE PAULI</v>
      </c>
      <c r="Q1077" t="str">
        <f>"224"</f>
        <v>224</v>
      </c>
      <c r="R1077" t="str">
        <f>""</f>
        <v/>
      </c>
      <c r="S1077" t="str">
        <f>"1259"</f>
        <v>1259</v>
      </c>
      <c r="T1077" t="str">
        <f>"88180000"</f>
        <v>88180000</v>
      </c>
      <c r="U1077" t="str">
        <f>"CENTRO"</f>
        <v>CENTRO</v>
      </c>
      <c r="V1077" t="str">
        <f>"ANTÔNIO CARLOS"</f>
        <v>ANTÔNIO CARLOS</v>
      </c>
      <c r="W1077" t="str">
        <f t="shared" si="538"/>
        <v>SC</v>
      </c>
      <c r="X1077" t="str">
        <f>"48"</f>
        <v>48</v>
      </c>
      <c r="Y1077" t="str">
        <f>"32720273"</f>
        <v>32720273</v>
      </c>
      <c r="Z1077" t="str">
        <f>""</f>
        <v/>
      </c>
      <c r="AA1077" t="str">
        <f>""</f>
        <v/>
      </c>
      <c r="AB1077" t="str">
        <f>""</f>
        <v/>
      </c>
      <c r="AC1077" t="str">
        <f>""</f>
        <v/>
      </c>
      <c r="AD1077" t="str">
        <f>""</f>
        <v/>
      </c>
      <c r="AE1077" t="str">
        <f>""</f>
        <v/>
      </c>
      <c r="AF1077" t="str">
        <f>""</f>
        <v/>
      </c>
      <c r="AG1077" t="str">
        <f>"S"</f>
        <v>S</v>
      </c>
      <c r="AH1077" t="str">
        <f>""</f>
        <v/>
      </c>
      <c r="AI1077" t="str">
        <f>""</f>
        <v/>
      </c>
      <c r="AJ1077" t="str">
        <f>"0"</f>
        <v>0</v>
      </c>
      <c r="AK1077" t="str">
        <f>"0"</f>
        <v>0</v>
      </c>
      <c r="AL1077" t="str">
        <f>"0"</f>
        <v>0</v>
      </c>
      <c r="AM1077" t="str">
        <f>""</f>
        <v/>
      </c>
      <c r="AN1077" t="str">
        <f>""</f>
        <v/>
      </c>
      <c r="AO1077" t="str">
        <f>""</f>
        <v/>
      </c>
      <c r="AP1077" t="str">
        <f>""</f>
        <v/>
      </c>
      <c r="AQ1077" t="str">
        <f>"N"</f>
        <v>N</v>
      </c>
      <c r="AR1077" t="str">
        <f>"N"</f>
        <v>N</v>
      </c>
      <c r="AS1077" t="str">
        <f>"N"</f>
        <v>N</v>
      </c>
      <c r="AT1077" t="str">
        <f>"N"</f>
        <v>N</v>
      </c>
      <c r="AU1077" t="str">
        <f>"N"</f>
        <v>N</v>
      </c>
      <c r="AV1077" t="str">
        <f>""</f>
        <v/>
      </c>
      <c r="AW1077" t="str">
        <f>""</f>
        <v/>
      </c>
      <c r="AX1077" t="str">
        <f>""</f>
        <v/>
      </c>
      <c r="AY1077" t="str">
        <f>""</f>
        <v/>
      </c>
      <c r="AZ1077" t="str">
        <f>""</f>
        <v/>
      </c>
      <c r="BA1077" t="str">
        <f>""</f>
        <v/>
      </c>
      <c r="BB1077" t="str">
        <f>""</f>
        <v/>
      </c>
      <c r="BC1077" t="str">
        <f>"04/04/2022 08:59:15"</f>
        <v>04/04/2022 08:59:15</v>
      </c>
      <c r="BD1077" t="str">
        <f>""</f>
        <v/>
      </c>
      <c r="BE1077" t="str">
        <f>""</f>
        <v/>
      </c>
      <c r="BF1077" t="str">
        <f t="shared" si="518"/>
        <v>A</v>
      </c>
      <c r="BG1077" t="str">
        <f>"0,00"</f>
        <v>0,00</v>
      </c>
      <c r="BH1077" t="str">
        <f>"0,00"</f>
        <v>0,00</v>
      </c>
      <c r="BI1077" t="str">
        <f t="shared" si="531"/>
        <v>EVENTUAL</v>
      </c>
      <c r="BJ1077" t="str">
        <f t="shared" si="519"/>
        <v>1</v>
      </c>
      <c r="BK1077" t="str">
        <f t="shared" si="520"/>
        <v>Farmacia</v>
      </c>
      <c r="BL1077" t="str">
        <f>""</f>
        <v/>
      </c>
      <c r="BM1077" t="str">
        <f>"NÃO É VARILUX ESPECIALISTA"</f>
        <v>NÃO É VARILUX ESPECIALISTA</v>
      </c>
      <c r="BN1077" t="str">
        <f>"EL360"</f>
        <v>EL360</v>
      </c>
      <c r="BO1077" t="str">
        <f>"FOCO VARILUX DIGITAL"</f>
        <v>FOCO VARILUX DIGITAL</v>
      </c>
      <c r="BP1077" t="str">
        <f>""</f>
        <v/>
      </c>
      <c r="BQ1077" t="str">
        <f>""</f>
        <v/>
      </c>
      <c r="BR1077" t="str">
        <f>""</f>
        <v/>
      </c>
      <c r="BS1077" t="str">
        <f>"04/04/2022"</f>
        <v>04/04/2022</v>
      </c>
      <c r="BT1077" t="str">
        <f>""</f>
        <v/>
      </c>
      <c r="BU1077" t="str">
        <f>""</f>
        <v/>
      </c>
      <c r="BV1077" t="str">
        <f>"9"</f>
        <v>9</v>
      </c>
      <c r="BW1077" t="str">
        <f>"94"</f>
        <v>94</v>
      </c>
    </row>
    <row r="1078" spans="1:75" x14ac:dyDescent="0.35">
      <c r="A1078">
        <v>157624</v>
      </c>
      <c r="B1078" t="str">
        <f t="shared" si="515"/>
        <v>A</v>
      </c>
      <c r="C1078" t="str">
        <f t="shared" si="516"/>
        <v>80</v>
      </c>
      <c r="D1078" t="str">
        <f t="shared" si="535"/>
        <v>11121002</v>
      </c>
      <c r="E1078" t="str">
        <f t="shared" si="536"/>
        <v>121002</v>
      </c>
      <c r="F1078" t="str">
        <f t="shared" si="537"/>
        <v>CINTHIA NORONHA</v>
      </c>
      <c r="G1078" t="str">
        <f>"12570279000128"</f>
        <v>12570279000128</v>
      </c>
      <c r="H1078" t="str">
        <f t="shared" ref="H1078:H1085" si="539">"0"</f>
        <v>0</v>
      </c>
      <c r="I1078" t="str">
        <f t="shared" si="517"/>
        <v>CONTA OPTICA</v>
      </c>
      <c r="J1078" t="str">
        <f>"PLINIO RELOJOARIA E OPTICA LTDA"</f>
        <v>PLINIO RELOJOARIA E OPTICA LTDA</v>
      </c>
      <c r="K1078" t="str">
        <f>"PLINIO RELOJOARIA E OPTICA (1895)"</f>
        <v>PLINIO RELOJOARIA E OPTICA (1895)</v>
      </c>
      <c r="L1078" t="str">
        <f>""</f>
        <v/>
      </c>
      <c r="M1078" t="str">
        <f>""</f>
        <v/>
      </c>
      <c r="N1078" t="str">
        <f>"PLINIORELOJOARIAOPTICA@HOTMAIL.COM"</f>
        <v>PLINIORELOJOARIAOPTICA@HOTMAIL.COM</v>
      </c>
      <c r="O1078" t="str">
        <f>""</f>
        <v/>
      </c>
      <c r="P1078" t="str">
        <f>"ADOLFO KONDER"</f>
        <v>ADOLFO KONDER</v>
      </c>
      <c r="Q1078" t="str">
        <f>"2592"</f>
        <v>2592</v>
      </c>
      <c r="R1078" t="str">
        <f>"SALA 1"</f>
        <v>SALA 1</v>
      </c>
      <c r="S1078" t="str">
        <f>"1267"</f>
        <v>1267</v>
      </c>
      <c r="T1078" t="str">
        <f>"88650000"</f>
        <v>88650000</v>
      </c>
      <c r="U1078" t="str">
        <f>"ESQUINA"</f>
        <v>ESQUINA</v>
      </c>
      <c r="V1078" t="str">
        <f>"URUBICI"</f>
        <v>URUBICI</v>
      </c>
      <c r="W1078" t="str">
        <f t="shared" si="538"/>
        <v>SC</v>
      </c>
      <c r="X1078" t="str">
        <f>"49"</f>
        <v>49</v>
      </c>
      <c r="Y1078" t="str">
        <f>"32785531"</f>
        <v>32785531</v>
      </c>
      <c r="Z1078" t="str">
        <f>""</f>
        <v/>
      </c>
      <c r="AA1078" t="str">
        <f>""</f>
        <v/>
      </c>
      <c r="AB1078" t="str">
        <f>""</f>
        <v/>
      </c>
      <c r="AC1078" t="str">
        <f>""</f>
        <v/>
      </c>
      <c r="AD1078" t="str">
        <f>""</f>
        <v/>
      </c>
      <c r="AE1078" t="str">
        <f>""</f>
        <v/>
      </c>
      <c r="AF1078" t="str">
        <f>""</f>
        <v/>
      </c>
      <c r="AG1078" t="str">
        <f>""</f>
        <v/>
      </c>
      <c r="AH1078" t="str">
        <f>""</f>
        <v/>
      </c>
      <c r="AI1078" t="str">
        <f>""</f>
        <v/>
      </c>
      <c r="AJ1078" t="str">
        <f>""</f>
        <v/>
      </c>
      <c r="AK1078" t="str">
        <f>""</f>
        <v/>
      </c>
      <c r="AL1078" t="str">
        <f>""</f>
        <v/>
      </c>
      <c r="AM1078" t="str">
        <f>""</f>
        <v/>
      </c>
      <c r="AN1078" t="str">
        <f>""</f>
        <v/>
      </c>
      <c r="AO1078" t="str">
        <f>""</f>
        <v/>
      </c>
      <c r="AP1078" t="str">
        <f>""</f>
        <v/>
      </c>
      <c r="AQ1078" t="str">
        <f>""</f>
        <v/>
      </c>
      <c r="AR1078" t="str">
        <f>""</f>
        <v/>
      </c>
      <c r="AS1078" t="str">
        <f>""</f>
        <v/>
      </c>
      <c r="AT1078" t="str">
        <f>""</f>
        <v/>
      </c>
      <c r="AU1078" t="str">
        <f>""</f>
        <v/>
      </c>
      <c r="AV1078" t="str">
        <f>""</f>
        <v/>
      </c>
      <c r="AW1078" t="str">
        <f>""</f>
        <v/>
      </c>
      <c r="AX1078" t="str">
        <f>""</f>
        <v/>
      </c>
      <c r="AY1078" t="str">
        <f>""</f>
        <v/>
      </c>
      <c r="AZ1078" t="str">
        <f>""</f>
        <v/>
      </c>
      <c r="BA1078" t="str">
        <f>""</f>
        <v/>
      </c>
      <c r="BB1078" t="str">
        <f>"11/07/2023 02:19:56"</f>
        <v>11/07/2023 02:19:56</v>
      </c>
      <c r="BC1078" t="str">
        <f>""</f>
        <v/>
      </c>
      <c r="BD1078" t="str">
        <f>""</f>
        <v/>
      </c>
      <c r="BE1078" t="str">
        <f>""</f>
        <v/>
      </c>
      <c r="BF1078" t="str">
        <f t="shared" si="518"/>
        <v>A</v>
      </c>
      <c r="BG1078" t="str">
        <f>""</f>
        <v/>
      </c>
      <c r="BH1078" t="str">
        <f>""</f>
        <v/>
      </c>
      <c r="BI1078" t="str">
        <f t="shared" si="531"/>
        <v>EVENTUAL</v>
      </c>
      <c r="BJ1078" t="str">
        <f t="shared" si="519"/>
        <v>1</v>
      </c>
      <c r="BK1078" t="str">
        <f t="shared" si="520"/>
        <v>Farmacia</v>
      </c>
      <c r="BL1078" t="str">
        <f>""</f>
        <v/>
      </c>
      <c r="BM1078" t="str">
        <f>""</f>
        <v/>
      </c>
      <c r="BN1078" t="str">
        <f>""</f>
        <v/>
      </c>
      <c r="BO1078" t="str">
        <f>""</f>
        <v/>
      </c>
      <c r="BP1078" t="str">
        <f>""</f>
        <v/>
      </c>
      <c r="BQ1078" t="str">
        <f>""</f>
        <v/>
      </c>
      <c r="BR1078" t="str">
        <f>"11/07/2023"</f>
        <v>11/07/2023</v>
      </c>
      <c r="BS1078" t="str">
        <f>""</f>
        <v/>
      </c>
      <c r="BT1078" t="str">
        <f>""</f>
        <v/>
      </c>
      <c r="BU1078" t="str">
        <f>""</f>
        <v/>
      </c>
      <c r="BV1078" t="str">
        <f>""</f>
        <v/>
      </c>
      <c r="BW1078" t="str">
        <f>"Não visitado"</f>
        <v>Não visitado</v>
      </c>
    </row>
    <row r="1079" spans="1:75" x14ac:dyDescent="0.35">
      <c r="A1079">
        <v>127489</v>
      </c>
      <c r="B1079" t="str">
        <f t="shared" si="515"/>
        <v>A</v>
      </c>
      <c r="C1079" t="str">
        <f t="shared" si="516"/>
        <v>80</v>
      </c>
      <c r="D1079" t="str">
        <f t="shared" si="535"/>
        <v>11121002</v>
      </c>
      <c r="E1079" t="str">
        <f t="shared" si="536"/>
        <v>121002</v>
      </c>
      <c r="F1079" t="str">
        <f t="shared" si="537"/>
        <v>CINTHIA NORONHA</v>
      </c>
      <c r="G1079" t="str">
        <f>"05591639000102"</f>
        <v>05591639000102</v>
      </c>
      <c r="H1079" t="str">
        <f t="shared" si="539"/>
        <v>0</v>
      </c>
      <c r="I1079" t="str">
        <f t="shared" si="517"/>
        <v>CONTA OPTICA</v>
      </c>
      <c r="J1079" t="str">
        <f>"PONTO OPTICO COMERCIO DE OCULOS LTDA ME"</f>
        <v>PONTO OPTICO COMERCIO DE OCULOS LTDA ME</v>
      </c>
      <c r="K1079" t="str">
        <f>"PONTO OPTICO (284)"</f>
        <v>PONTO OPTICO (284)</v>
      </c>
      <c r="L1079" t="str">
        <f>""</f>
        <v/>
      </c>
      <c r="M1079" t="str">
        <f>""</f>
        <v/>
      </c>
      <c r="N1079" t="str">
        <f>"pontooptico@hotmail.com"</f>
        <v>pontooptico@hotmail.com</v>
      </c>
      <c r="O1079" t="str">
        <f>""</f>
        <v/>
      </c>
      <c r="P1079" t="str">
        <f>"RUA ADHEMAR DA SILVA"</f>
        <v>RUA ADHEMAR DA SILVA</v>
      </c>
      <c r="Q1079" t="str">
        <f>"345"</f>
        <v>345</v>
      </c>
      <c r="R1079" t="str">
        <f>"LOJA 02"</f>
        <v>LOJA 02</v>
      </c>
      <c r="S1079" t="str">
        <f>"1259"</f>
        <v>1259</v>
      </c>
      <c r="T1079" t="str">
        <f>"88101090"</f>
        <v>88101090</v>
      </c>
      <c r="U1079" t="str">
        <f>"KOBRASOL"</f>
        <v>KOBRASOL</v>
      </c>
      <c r="V1079" t="str">
        <f>"SÃO JOSÉ"</f>
        <v>SÃO JOSÉ</v>
      </c>
      <c r="W1079" t="str">
        <f t="shared" si="538"/>
        <v>SC</v>
      </c>
      <c r="X1079" t="str">
        <f t="shared" ref="X1079:X1097" si="540">"48"</f>
        <v>48</v>
      </c>
      <c r="Y1079" t="str">
        <f>"30353033"</f>
        <v>30353033</v>
      </c>
      <c r="Z1079" t="str">
        <f>""</f>
        <v/>
      </c>
      <c r="AA1079" t="str">
        <f>""</f>
        <v/>
      </c>
      <c r="AB1079" t="str">
        <f>""</f>
        <v/>
      </c>
      <c r="AC1079" t="str">
        <f>""</f>
        <v/>
      </c>
      <c r="AD1079" t="str">
        <f>""</f>
        <v/>
      </c>
      <c r="AE1079" t="str">
        <f>""</f>
        <v/>
      </c>
      <c r="AF1079" t="str">
        <f>""</f>
        <v/>
      </c>
      <c r="AG1079" t="str">
        <f>""</f>
        <v/>
      </c>
      <c r="AH1079" t="str">
        <f>""</f>
        <v/>
      </c>
      <c r="AI1079" t="str">
        <f>""</f>
        <v/>
      </c>
      <c r="AJ1079" t="str">
        <f>"0"</f>
        <v>0</v>
      </c>
      <c r="AK1079" t="str">
        <f>"0"</f>
        <v>0</v>
      </c>
      <c r="AL1079" t="str">
        <f>"0"</f>
        <v>0</v>
      </c>
      <c r="AM1079" t="str">
        <f>""</f>
        <v/>
      </c>
      <c r="AN1079" t="str">
        <f>""</f>
        <v/>
      </c>
      <c r="AO1079" t="str">
        <f>""</f>
        <v/>
      </c>
      <c r="AP1079" t="str">
        <f>""</f>
        <v/>
      </c>
      <c r="AQ1079" t="str">
        <f>""</f>
        <v/>
      </c>
      <c r="AR1079" t="str">
        <f>""</f>
        <v/>
      </c>
      <c r="AS1079" t="str">
        <f>""</f>
        <v/>
      </c>
      <c r="AT1079" t="str">
        <f>""</f>
        <v/>
      </c>
      <c r="AU1079" t="str">
        <f>""</f>
        <v/>
      </c>
      <c r="AV1079" t="str">
        <f>""</f>
        <v/>
      </c>
      <c r="AW1079" t="str">
        <f>""</f>
        <v/>
      </c>
      <c r="AX1079" t="str">
        <f>""</f>
        <v/>
      </c>
      <c r="AY1079" t="str">
        <f>""</f>
        <v/>
      </c>
      <c r="AZ1079" t="str">
        <f>""</f>
        <v/>
      </c>
      <c r="BA1079" t="str">
        <f>""</f>
        <v/>
      </c>
      <c r="BB1079" t="str">
        <f>"07/10/2020 09:08:38"</f>
        <v>07/10/2020 09:08:38</v>
      </c>
      <c r="BC1079" t="str">
        <f>""</f>
        <v/>
      </c>
      <c r="BD1079" t="str">
        <f>""</f>
        <v/>
      </c>
      <c r="BE1079" t="str">
        <f>""</f>
        <v/>
      </c>
      <c r="BF1079" t="str">
        <f t="shared" si="518"/>
        <v>A</v>
      </c>
      <c r="BG1079" t="str">
        <f>"0,00"</f>
        <v>0,00</v>
      </c>
      <c r="BH1079" t="str">
        <f>"0,00"</f>
        <v>0,00</v>
      </c>
      <c r="BI1079" t="str">
        <f t="shared" si="531"/>
        <v>EVENTUAL</v>
      </c>
      <c r="BJ1079" t="str">
        <f t="shared" si="519"/>
        <v>1</v>
      </c>
      <c r="BK1079" t="str">
        <f t="shared" si="520"/>
        <v>Farmacia</v>
      </c>
      <c r="BL1079" t="str">
        <f>""</f>
        <v/>
      </c>
      <c r="BM1079" t="str">
        <f>"NÃO É VARILUX ESPECIALISTA"</f>
        <v>NÃO É VARILUX ESPECIALISTA</v>
      </c>
      <c r="BN1079" t="str">
        <f>"NA"</f>
        <v>NA</v>
      </c>
      <c r="BO1079" t="str">
        <f>"OUTROS"</f>
        <v>OUTROS</v>
      </c>
      <c r="BP1079" t="str">
        <f>""</f>
        <v/>
      </c>
      <c r="BQ1079" t="str">
        <f>""</f>
        <v/>
      </c>
      <c r="BR1079" t="str">
        <f>"07/10/2020"</f>
        <v>07/10/2020</v>
      </c>
      <c r="BS1079" t="str">
        <f>""</f>
        <v/>
      </c>
      <c r="BT1079" t="str">
        <f>""</f>
        <v/>
      </c>
      <c r="BU1079" t="str">
        <f>""</f>
        <v/>
      </c>
      <c r="BV1079" t="str">
        <f>"9"</f>
        <v>9</v>
      </c>
      <c r="BW1079" t="str">
        <f>"17"</f>
        <v>17</v>
      </c>
    </row>
    <row r="1080" spans="1:75" x14ac:dyDescent="0.35">
      <c r="A1080">
        <v>156924</v>
      </c>
      <c r="B1080" t="str">
        <f t="shared" si="515"/>
        <v>A</v>
      </c>
      <c r="C1080" t="str">
        <f t="shared" si="516"/>
        <v>80</v>
      </c>
      <c r="D1080" t="str">
        <f t="shared" si="535"/>
        <v>11121002</v>
      </c>
      <c r="E1080" t="str">
        <f t="shared" si="536"/>
        <v>121002</v>
      </c>
      <c r="F1080" t="str">
        <f t="shared" si="537"/>
        <v>CINTHIA NORONHA</v>
      </c>
      <c r="G1080" t="str">
        <f>"41799376000195"</f>
        <v>41799376000195</v>
      </c>
      <c r="H1080" t="str">
        <f t="shared" si="539"/>
        <v>0</v>
      </c>
      <c r="I1080" t="str">
        <f t="shared" si="517"/>
        <v>CONTA OPTICA</v>
      </c>
      <c r="J1080" t="str">
        <f>"PRISCILLA OLIVEIRA ATHAYDES 07518112973"</f>
        <v>PRISCILLA OLIVEIRA ATHAYDES 07518112973</v>
      </c>
      <c r="K1080" t="str">
        <f>"OTICA OLHARES (4363)"</f>
        <v>OTICA OLHARES (4363)</v>
      </c>
      <c r="L1080" t="str">
        <f>""</f>
        <v/>
      </c>
      <c r="M1080" t="str">
        <f>""</f>
        <v/>
      </c>
      <c r="N1080" t="str">
        <f>"OTICAOLHARES@HOTMAIL.COM"</f>
        <v>OTICAOLHARES@HOTMAIL.COM</v>
      </c>
      <c r="O1080" t="str">
        <f>""</f>
        <v/>
      </c>
      <c r="P1080" t="str">
        <f>"BARRIGA VERDE"</f>
        <v>BARRIGA VERDE</v>
      </c>
      <c r="Q1080" t="str">
        <f>"528"</f>
        <v>528</v>
      </c>
      <c r="R1080" t="str">
        <f>"SALA 01"</f>
        <v>SALA 01</v>
      </c>
      <c r="S1080" t="str">
        <f>"1270"</f>
        <v>1270</v>
      </c>
      <c r="T1080" t="str">
        <f>"88914000"</f>
        <v>88914000</v>
      </c>
      <c r="U1080" t="str">
        <f>"CENTRO"</f>
        <v>CENTRO</v>
      </c>
      <c r="V1080" t="str">
        <f>"BALNEARIO ARROIO DO SILVA"</f>
        <v>BALNEARIO ARROIO DO SILVA</v>
      </c>
      <c r="W1080" t="str">
        <f t="shared" si="538"/>
        <v>SC</v>
      </c>
      <c r="X1080" t="str">
        <f t="shared" si="540"/>
        <v>48</v>
      </c>
      <c r="Y1080" t="str">
        <f>"999645449"</f>
        <v>999645449</v>
      </c>
      <c r="Z1080" t="str">
        <f>""</f>
        <v/>
      </c>
      <c r="AA1080" t="str">
        <f>""</f>
        <v/>
      </c>
      <c r="AB1080" t="str">
        <f>""</f>
        <v/>
      </c>
      <c r="AC1080" t="str">
        <f>""</f>
        <v/>
      </c>
      <c r="AD1080" t="str">
        <f>""</f>
        <v/>
      </c>
      <c r="AE1080" t="str">
        <f>""</f>
        <v/>
      </c>
      <c r="AF1080" t="str">
        <f>""</f>
        <v/>
      </c>
      <c r="AG1080" t="str">
        <f>""</f>
        <v/>
      </c>
      <c r="AH1080" t="str">
        <f>""</f>
        <v/>
      </c>
      <c r="AI1080" t="str">
        <f>""</f>
        <v/>
      </c>
      <c r="AJ1080" t="str">
        <f>""</f>
        <v/>
      </c>
      <c r="AK1080" t="str">
        <f>""</f>
        <v/>
      </c>
      <c r="AL1080" t="str">
        <f>""</f>
        <v/>
      </c>
      <c r="AM1080" t="str">
        <f>""</f>
        <v/>
      </c>
      <c r="AN1080" t="str">
        <f>""</f>
        <v/>
      </c>
      <c r="AO1080" t="str">
        <f>""</f>
        <v/>
      </c>
      <c r="AP1080" t="str">
        <f>""</f>
        <v/>
      </c>
      <c r="AQ1080" t="str">
        <f>""</f>
        <v/>
      </c>
      <c r="AR1080" t="str">
        <f>""</f>
        <v/>
      </c>
      <c r="AS1080" t="str">
        <f>""</f>
        <v/>
      </c>
      <c r="AT1080" t="str">
        <f>""</f>
        <v/>
      </c>
      <c r="AU1080" t="str">
        <f>""</f>
        <v/>
      </c>
      <c r="AV1080" t="str">
        <f>""</f>
        <v/>
      </c>
      <c r="AW1080" t="str">
        <f>""</f>
        <v/>
      </c>
      <c r="AX1080" t="str">
        <f>""</f>
        <v/>
      </c>
      <c r="AY1080" t="str">
        <f>""</f>
        <v/>
      </c>
      <c r="AZ1080" t="str">
        <f>""</f>
        <v/>
      </c>
      <c r="BA1080" t="str">
        <f>""</f>
        <v/>
      </c>
      <c r="BB1080" t="str">
        <f>"06/07/2023 12:07:48"</f>
        <v>06/07/2023 12:07:48</v>
      </c>
      <c r="BC1080" t="str">
        <f>""</f>
        <v/>
      </c>
      <c r="BD1080" t="str">
        <f>""</f>
        <v/>
      </c>
      <c r="BE1080" t="str">
        <f>""</f>
        <v/>
      </c>
      <c r="BF1080" t="str">
        <f t="shared" si="518"/>
        <v>A</v>
      </c>
      <c r="BG1080" t="str">
        <f>""</f>
        <v/>
      </c>
      <c r="BH1080" t="str">
        <f>""</f>
        <v/>
      </c>
      <c r="BI1080" t="str">
        <f t="shared" si="531"/>
        <v>EVENTUAL</v>
      </c>
      <c r="BJ1080" t="str">
        <f t="shared" si="519"/>
        <v>1</v>
      </c>
      <c r="BK1080" t="str">
        <f t="shared" si="520"/>
        <v>Farmacia</v>
      </c>
      <c r="BL1080" t="str">
        <f>""</f>
        <v/>
      </c>
      <c r="BM1080" t="str">
        <f>""</f>
        <v/>
      </c>
      <c r="BN1080" t="str">
        <f>""</f>
        <v/>
      </c>
      <c r="BO1080" t="str">
        <f>""</f>
        <v/>
      </c>
      <c r="BP1080" t="str">
        <f>""</f>
        <v/>
      </c>
      <c r="BQ1080" t="str">
        <f>""</f>
        <v/>
      </c>
      <c r="BR1080" t="str">
        <f>"06/07/2023"</f>
        <v>06/07/2023</v>
      </c>
      <c r="BS1080" t="str">
        <f>""</f>
        <v/>
      </c>
      <c r="BT1080" t="str">
        <f>""</f>
        <v/>
      </c>
      <c r="BU1080" t="str">
        <f>""</f>
        <v/>
      </c>
      <c r="BV1080" t="str">
        <f>""</f>
        <v/>
      </c>
      <c r="BW1080" t="str">
        <f t="shared" ref="BW1080:BW1085" si="541">"Não visitado"</f>
        <v>Não visitado</v>
      </c>
    </row>
    <row r="1081" spans="1:75" x14ac:dyDescent="0.35">
      <c r="A1081">
        <v>127481</v>
      </c>
      <c r="B1081" t="str">
        <f t="shared" si="515"/>
        <v>A</v>
      </c>
      <c r="C1081" t="str">
        <f t="shared" si="516"/>
        <v>80</v>
      </c>
      <c r="D1081" t="str">
        <f t="shared" si="535"/>
        <v>11121002</v>
      </c>
      <c r="E1081" t="str">
        <f t="shared" si="536"/>
        <v>121002</v>
      </c>
      <c r="F1081" t="str">
        <f t="shared" si="537"/>
        <v>CINTHIA NORONHA</v>
      </c>
      <c r="G1081" t="str">
        <f>"01613426000183"</f>
        <v>01613426000183</v>
      </c>
      <c r="H1081" t="str">
        <f t="shared" si="539"/>
        <v>0</v>
      </c>
      <c r="I1081" t="str">
        <f t="shared" si="517"/>
        <v>CONTA OPTICA</v>
      </c>
      <c r="J1081" t="str">
        <f>"PRO OTICA COMERCIO PRODUTOS OTICOS LTDA ME"</f>
        <v>PRO OTICA COMERCIO PRODUTOS OTICOS LTDA ME</v>
      </c>
      <c r="K1081" t="str">
        <f>"PRO OTICA COMERCIO PRODUTOS OTICOS LTDA ME (1022)"</f>
        <v>PRO OTICA COMERCIO PRODUTOS OTICOS LTDA ME (1022)</v>
      </c>
      <c r="L1081" t="str">
        <f>""</f>
        <v/>
      </c>
      <c r="M1081" t="str">
        <f>""</f>
        <v/>
      </c>
      <c r="N1081" t="str">
        <f>"operfeicao@gmail.com"</f>
        <v>operfeicao@gmail.com</v>
      </c>
      <c r="O1081" t="str">
        <f>""</f>
        <v/>
      </c>
      <c r="P1081" t="str">
        <f>"RUA JOSE ANTONIO TOMAZ"</f>
        <v>RUA JOSE ANTONIO TOMAZ</v>
      </c>
      <c r="Q1081" t="str">
        <f>"229"</f>
        <v>229</v>
      </c>
      <c r="R1081" t="str">
        <f>"LOJA 02"</f>
        <v>LOJA 02</v>
      </c>
      <c r="S1081" t="str">
        <f>"1259"</f>
        <v>1259</v>
      </c>
      <c r="T1081" t="str">
        <f>"88110080"</f>
        <v>88110080</v>
      </c>
      <c r="U1081" t="str">
        <f>"BELA VISTA"</f>
        <v>BELA VISTA</v>
      </c>
      <c r="V1081" t="str">
        <f>"SAO JOSE"</f>
        <v>SAO JOSE</v>
      </c>
      <c r="W1081" t="str">
        <f t="shared" si="538"/>
        <v>SC</v>
      </c>
      <c r="X1081" t="str">
        <f t="shared" si="540"/>
        <v>48</v>
      </c>
      <c r="Y1081" t="str">
        <f>"32468764"</f>
        <v>32468764</v>
      </c>
      <c r="Z1081" t="str">
        <f>""</f>
        <v/>
      </c>
      <c r="AA1081" t="str">
        <f>""</f>
        <v/>
      </c>
      <c r="AB1081" t="str">
        <f>""</f>
        <v/>
      </c>
      <c r="AC1081" t="str">
        <f>""</f>
        <v/>
      </c>
      <c r="AD1081" t="str">
        <f>""</f>
        <v/>
      </c>
      <c r="AE1081" t="str">
        <f>""</f>
        <v/>
      </c>
      <c r="AF1081" t="str">
        <f>""</f>
        <v/>
      </c>
      <c r="AG1081" t="str">
        <f>""</f>
        <v/>
      </c>
      <c r="AH1081" t="str">
        <f>""</f>
        <v/>
      </c>
      <c r="AI1081" t="str">
        <f>""</f>
        <v/>
      </c>
      <c r="AJ1081" t="str">
        <f>""</f>
        <v/>
      </c>
      <c r="AK1081" t="str">
        <f>""</f>
        <v/>
      </c>
      <c r="AL1081" t="str">
        <f>""</f>
        <v/>
      </c>
      <c r="AM1081" t="str">
        <f>""</f>
        <v/>
      </c>
      <c r="AN1081" t="str">
        <f>""</f>
        <v/>
      </c>
      <c r="AO1081" t="str">
        <f>""</f>
        <v/>
      </c>
      <c r="AP1081" t="str">
        <f>""</f>
        <v/>
      </c>
      <c r="AQ1081" t="str">
        <f>""</f>
        <v/>
      </c>
      <c r="AR1081" t="str">
        <f>""</f>
        <v/>
      </c>
      <c r="AS1081" t="str">
        <f>""</f>
        <v/>
      </c>
      <c r="AT1081" t="str">
        <f>""</f>
        <v/>
      </c>
      <c r="AU1081" t="str">
        <f>""</f>
        <v/>
      </c>
      <c r="AV1081" t="str">
        <f>""</f>
        <v/>
      </c>
      <c r="AW1081" t="str">
        <f>""</f>
        <v/>
      </c>
      <c r="AX1081" t="str">
        <f>""</f>
        <v/>
      </c>
      <c r="AY1081" t="str">
        <f>""</f>
        <v/>
      </c>
      <c r="AZ1081" t="str">
        <f>""</f>
        <v/>
      </c>
      <c r="BA1081" t="str">
        <f>""</f>
        <v/>
      </c>
      <c r="BB1081" t="str">
        <f>"07/10/2020 09:08:38"</f>
        <v>07/10/2020 09:08:38</v>
      </c>
      <c r="BC1081" t="str">
        <f>""</f>
        <v/>
      </c>
      <c r="BD1081" t="str">
        <f>""</f>
        <v/>
      </c>
      <c r="BE1081" t="str">
        <f>""</f>
        <v/>
      </c>
      <c r="BF1081" t="str">
        <f t="shared" si="518"/>
        <v>A</v>
      </c>
      <c r="BG1081" t="str">
        <f>""</f>
        <v/>
      </c>
      <c r="BH1081" t="str">
        <f>""</f>
        <v/>
      </c>
      <c r="BI1081" t="str">
        <f t="shared" si="531"/>
        <v>EVENTUAL</v>
      </c>
      <c r="BJ1081" t="str">
        <f t="shared" si="519"/>
        <v>1</v>
      </c>
      <c r="BK1081" t="str">
        <f t="shared" si="520"/>
        <v>Farmacia</v>
      </c>
      <c r="BL1081" t="str">
        <f>""</f>
        <v/>
      </c>
      <c r="BM1081" t="str">
        <f>"NÃO É VARILUX ESPECIALISTA"</f>
        <v>NÃO É VARILUX ESPECIALISTA</v>
      </c>
      <c r="BN1081" t="str">
        <f>"NA"</f>
        <v>NA</v>
      </c>
      <c r="BO1081" t="str">
        <f>"FOCO VARILUX"</f>
        <v>FOCO VARILUX</v>
      </c>
      <c r="BP1081" t="str">
        <f>""</f>
        <v/>
      </c>
      <c r="BQ1081" t="str">
        <f>""</f>
        <v/>
      </c>
      <c r="BR1081" t="str">
        <f>"07/10/2020"</f>
        <v>07/10/2020</v>
      </c>
      <c r="BS1081" t="str">
        <f>""</f>
        <v/>
      </c>
      <c r="BT1081" t="str">
        <f>""</f>
        <v/>
      </c>
      <c r="BU1081" t="str">
        <f>""</f>
        <v/>
      </c>
      <c r="BV1081" t="str">
        <f>"9"</f>
        <v>9</v>
      </c>
      <c r="BW1081" t="str">
        <f t="shared" si="541"/>
        <v>Não visitado</v>
      </c>
    </row>
    <row r="1082" spans="1:75" x14ac:dyDescent="0.35">
      <c r="A1082">
        <v>157647</v>
      </c>
      <c r="B1082" t="str">
        <f t="shared" si="515"/>
        <v>A</v>
      </c>
      <c r="C1082" t="str">
        <f t="shared" si="516"/>
        <v>80</v>
      </c>
      <c r="D1082" t="str">
        <f t="shared" si="535"/>
        <v>11121002</v>
      </c>
      <c r="E1082" t="str">
        <f t="shared" si="536"/>
        <v>121002</v>
      </c>
      <c r="F1082" t="str">
        <f t="shared" si="537"/>
        <v>CINTHIA NORONHA</v>
      </c>
      <c r="G1082" t="str">
        <f>"24944791000419"</f>
        <v>24944791000419</v>
      </c>
      <c r="H1082" t="str">
        <f t="shared" si="539"/>
        <v>0</v>
      </c>
      <c r="I1082" t="str">
        <f t="shared" si="517"/>
        <v>CONTA OPTICA</v>
      </c>
      <c r="J1082" t="str">
        <f>"PTG OPTICAL EIRELI"</f>
        <v>PTG OPTICAL EIRELI</v>
      </c>
      <c r="K1082" t="str">
        <f>"OTICAS CAROL (4024)"</f>
        <v>OTICAS CAROL (4024)</v>
      </c>
      <c r="L1082" t="str">
        <f>""</f>
        <v/>
      </c>
      <c r="M1082" t="str">
        <f>""</f>
        <v/>
      </c>
      <c r="N1082" t="str">
        <f>"PTGOPTICAL@GMAIL.COM"</f>
        <v>PTGOPTICAL@GMAIL.COM</v>
      </c>
      <c r="O1082" t="str">
        <f>""</f>
        <v/>
      </c>
      <c r="P1082" t="str">
        <f>"GETULIO VARGAS"</f>
        <v>GETULIO VARGAS</v>
      </c>
      <c r="Q1082" t="str">
        <f>"101"</f>
        <v>101</v>
      </c>
      <c r="R1082" t="str">
        <f>""</f>
        <v/>
      </c>
      <c r="S1082" t="str">
        <f>"1268"</f>
        <v>1268</v>
      </c>
      <c r="T1082" t="str">
        <f>"88750000"</f>
        <v>88750000</v>
      </c>
      <c r="U1082" t="str">
        <f>"CENTRO"</f>
        <v>CENTRO</v>
      </c>
      <c r="V1082" t="str">
        <f>"BRACO DO NORTE"</f>
        <v>BRACO DO NORTE</v>
      </c>
      <c r="W1082" t="str">
        <f t="shared" si="538"/>
        <v>SC</v>
      </c>
      <c r="X1082" t="str">
        <f t="shared" si="540"/>
        <v>48</v>
      </c>
      <c r="Y1082" t="str">
        <f>"31910660"</f>
        <v>31910660</v>
      </c>
      <c r="Z1082" t="str">
        <f>""</f>
        <v/>
      </c>
      <c r="AA1082" t="str">
        <f>""</f>
        <v/>
      </c>
      <c r="AB1082" t="str">
        <f>""</f>
        <v/>
      </c>
      <c r="AC1082" t="str">
        <f>""</f>
        <v/>
      </c>
      <c r="AD1082" t="str">
        <f>""</f>
        <v/>
      </c>
      <c r="AE1082" t="str">
        <f>""</f>
        <v/>
      </c>
      <c r="AF1082" t="str">
        <f>""</f>
        <v/>
      </c>
      <c r="AG1082" t="str">
        <f>""</f>
        <v/>
      </c>
      <c r="AH1082" t="str">
        <f>""</f>
        <v/>
      </c>
      <c r="AI1082" t="str">
        <f>""</f>
        <v/>
      </c>
      <c r="AJ1082" t="str">
        <f>""</f>
        <v/>
      </c>
      <c r="AK1082" t="str">
        <f>""</f>
        <v/>
      </c>
      <c r="AL1082" t="str">
        <f>""</f>
        <v/>
      </c>
      <c r="AM1082" t="str">
        <f>""</f>
        <v/>
      </c>
      <c r="AN1082" t="str">
        <f>""</f>
        <v/>
      </c>
      <c r="AO1082" t="str">
        <f>""</f>
        <v/>
      </c>
      <c r="AP1082" t="str">
        <f>""</f>
        <v/>
      </c>
      <c r="AQ1082" t="str">
        <f>""</f>
        <v/>
      </c>
      <c r="AR1082" t="str">
        <f>""</f>
        <v/>
      </c>
      <c r="AS1082" t="str">
        <f>""</f>
        <v/>
      </c>
      <c r="AT1082" t="str">
        <f>""</f>
        <v/>
      </c>
      <c r="AU1082" t="str">
        <f>""</f>
        <v/>
      </c>
      <c r="AV1082" t="str">
        <f>""</f>
        <v/>
      </c>
      <c r="AW1082" t="str">
        <f>""</f>
        <v/>
      </c>
      <c r="AX1082" t="str">
        <f>""</f>
        <v/>
      </c>
      <c r="AY1082" t="str">
        <f>""</f>
        <v/>
      </c>
      <c r="AZ1082" t="str">
        <f>""</f>
        <v/>
      </c>
      <c r="BA1082" t="str">
        <f>""</f>
        <v/>
      </c>
      <c r="BB1082" t="str">
        <f>"11/07/2023 02:19:56"</f>
        <v>11/07/2023 02:19:56</v>
      </c>
      <c r="BC1082" t="str">
        <f>""</f>
        <v/>
      </c>
      <c r="BD1082" t="str">
        <f>""</f>
        <v/>
      </c>
      <c r="BE1082" t="str">
        <f>""</f>
        <v/>
      </c>
      <c r="BF1082" t="str">
        <f t="shared" si="518"/>
        <v>A</v>
      </c>
      <c r="BG1082" t="str">
        <f>""</f>
        <v/>
      </c>
      <c r="BH1082" t="str">
        <f>""</f>
        <v/>
      </c>
      <c r="BI1082" t="str">
        <f t="shared" si="531"/>
        <v>EVENTUAL</v>
      </c>
      <c r="BJ1082" t="str">
        <f t="shared" si="519"/>
        <v>1</v>
      </c>
      <c r="BK1082" t="str">
        <f t="shared" si="520"/>
        <v>Farmacia</v>
      </c>
      <c r="BL1082" t="str">
        <f>""</f>
        <v/>
      </c>
      <c r="BM1082" t="str">
        <f>""</f>
        <v/>
      </c>
      <c r="BN1082" t="str">
        <f>""</f>
        <v/>
      </c>
      <c r="BO1082" t="str">
        <f>""</f>
        <v/>
      </c>
      <c r="BP1082" t="str">
        <f>""</f>
        <v/>
      </c>
      <c r="BQ1082" t="str">
        <f>""</f>
        <v/>
      </c>
      <c r="BR1082" t="str">
        <f>"11/07/2023"</f>
        <v>11/07/2023</v>
      </c>
      <c r="BS1082" t="str">
        <f>""</f>
        <v/>
      </c>
      <c r="BT1082" t="str">
        <f>""</f>
        <v/>
      </c>
      <c r="BU1082" t="str">
        <f>""</f>
        <v/>
      </c>
      <c r="BV1082" t="str">
        <f>""</f>
        <v/>
      </c>
      <c r="BW1082" t="str">
        <f t="shared" si="541"/>
        <v>Não visitado</v>
      </c>
    </row>
    <row r="1083" spans="1:75" x14ac:dyDescent="0.35">
      <c r="A1083">
        <v>157650</v>
      </c>
      <c r="B1083" t="str">
        <f t="shared" si="515"/>
        <v>A</v>
      </c>
      <c r="C1083" t="str">
        <f t="shared" si="516"/>
        <v>80</v>
      </c>
      <c r="D1083" t="str">
        <f t="shared" si="535"/>
        <v>11121002</v>
      </c>
      <c r="E1083" t="str">
        <f t="shared" si="536"/>
        <v>121002</v>
      </c>
      <c r="F1083" t="str">
        <f t="shared" si="537"/>
        <v>CINTHIA NORONHA</v>
      </c>
      <c r="G1083" t="str">
        <f>"24944791000338"</f>
        <v>24944791000338</v>
      </c>
      <c r="H1083" t="str">
        <f t="shared" si="539"/>
        <v>0</v>
      </c>
      <c r="I1083" t="str">
        <f t="shared" si="517"/>
        <v>CONTA OPTICA</v>
      </c>
      <c r="J1083" t="str">
        <f>"PTG OPTICAL EIRELI - ME"</f>
        <v>PTG OPTICAL EIRELI - ME</v>
      </c>
      <c r="K1083" t="str">
        <f>"OTICAS CAROL (3866)"</f>
        <v>OTICAS CAROL (3866)</v>
      </c>
      <c r="L1083" t="str">
        <f>""</f>
        <v/>
      </c>
      <c r="M1083" t="str">
        <f>""</f>
        <v/>
      </c>
      <c r="N1083" t="str">
        <f>"LOJA1598@OTICASCAROL.COM.BR"</f>
        <v>LOJA1598@OTICASCAROL.COM.BR</v>
      </c>
      <c r="O1083" t="str">
        <f>""</f>
        <v/>
      </c>
      <c r="P1083" t="str">
        <f>"RUA NEREU RAMOS"</f>
        <v>RUA NEREU RAMOS</v>
      </c>
      <c r="Q1083" t="str">
        <f>"674"</f>
        <v>674</v>
      </c>
      <c r="R1083" t="str">
        <f>""</f>
        <v/>
      </c>
      <c r="S1083" t="str">
        <f>"1268"</f>
        <v>1268</v>
      </c>
      <c r="T1083" t="str">
        <f>"88780000"</f>
        <v>88780000</v>
      </c>
      <c r="U1083" t="str">
        <f>"CENTRO"</f>
        <v>CENTRO</v>
      </c>
      <c r="V1083" t="str">
        <f>"IMBITUBA"</f>
        <v>IMBITUBA</v>
      </c>
      <c r="W1083" t="str">
        <f t="shared" si="538"/>
        <v>SC</v>
      </c>
      <c r="X1083" t="str">
        <f t="shared" si="540"/>
        <v>48</v>
      </c>
      <c r="Y1083" t="str">
        <f>"33560221"</f>
        <v>33560221</v>
      </c>
      <c r="Z1083" t="str">
        <f>""</f>
        <v/>
      </c>
      <c r="AA1083" t="str">
        <f>""</f>
        <v/>
      </c>
      <c r="AB1083" t="str">
        <f>""</f>
        <v/>
      </c>
      <c r="AC1083" t="str">
        <f>""</f>
        <v/>
      </c>
      <c r="AD1083" t="str">
        <f>""</f>
        <v/>
      </c>
      <c r="AE1083" t="str">
        <f>""</f>
        <v/>
      </c>
      <c r="AF1083" t="str">
        <f>""</f>
        <v/>
      </c>
      <c r="AG1083" t="str">
        <f>""</f>
        <v/>
      </c>
      <c r="AH1083" t="str">
        <f>""</f>
        <v/>
      </c>
      <c r="AI1083" t="str">
        <f>""</f>
        <v/>
      </c>
      <c r="AJ1083" t="str">
        <f>""</f>
        <v/>
      </c>
      <c r="AK1083" t="str">
        <f>""</f>
        <v/>
      </c>
      <c r="AL1083" t="str">
        <f>""</f>
        <v/>
      </c>
      <c r="AM1083" t="str">
        <f>""</f>
        <v/>
      </c>
      <c r="AN1083" t="str">
        <f>""</f>
        <v/>
      </c>
      <c r="AO1083" t="str">
        <f>""</f>
        <v/>
      </c>
      <c r="AP1083" t="str">
        <f>""</f>
        <v/>
      </c>
      <c r="AQ1083" t="str">
        <f>""</f>
        <v/>
      </c>
      <c r="AR1083" t="str">
        <f>""</f>
        <v/>
      </c>
      <c r="AS1083" t="str">
        <f>""</f>
        <v/>
      </c>
      <c r="AT1083" t="str">
        <f>""</f>
        <v/>
      </c>
      <c r="AU1083" t="str">
        <f>""</f>
        <v/>
      </c>
      <c r="AV1083" t="str">
        <f>""</f>
        <v/>
      </c>
      <c r="AW1083" t="str">
        <f>""</f>
        <v/>
      </c>
      <c r="AX1083" t="str">
        <f>""</f>
        <v/>
      </c>
      <c r="AY1083" t="str">
        <f>""</f>
        <v/>
      </c>
      <c r="AZ1083" t="str">
        <f>""</f>
        <v/>
      </c>
      <c r="BA1083" t="str">
        <f>""</f>
        <v/>
      </c>
      <c r="BB1083" t="str">
        <f>"11/07/2023 02:19:56"</f>
        <v>11/07/2023 02:19:56</v>
      </c>
      <c r="BC1083" t="str">
        <f>""</f>
        <v/>
      </c>
      <c r="BD1083" t="str">
        <f>""</f>
        <v/>
      </c>
      <c r="BE1083" t="str">
        <f>""</f>
        <v/>
      </c>
      <c r="BF1083" t="str">
        <f t="shared" si="518"/>
        <v>A</v>
      </c>
      <c r="BG1083" t="str">
        <f>""</f>
        <v/>
      </c>
      <c r="BH1083" t="str">
        <f>""</f>
        <v/>
      </c>
      <c r="BI1083" t="str">
        <f t="shared" si="531"/>
        <v>EVENTUAL</v>
      </c>
      <c r="BJ1083" t="str">
        <f t="shared" si="519"/>
        <v>1</v>
      </c>
      <c r="BK1083" t="str">
        <f t="shared" si="520"/>
        <v>Farmacia</v>
      </c>
      <c r="BL1083" t="str">
        <f>""</f>
        <v/>
      </c>
      <c r="BM1083" t="str">
        <f>""</f>
        <v/>
      </c>
      <c r="BN1083" t="str">
        <f>""</f>
        <v/>
      </c>
      <c r="BO1083" t="str">
        <f>""</f>
        <v/>
      </c>
      <c r="BP1083" t="str">
        <f>""</f>
        <v/>
      </c>
      <c r="BQ1083" t="str">
        <f>""</f>
        <v/>
      </c>
      <c r="BR1083" t="str">
        <f>"11/07/2023"</f>
        <v>11/07/2023</v>
      </c>
      <c r="BS1083" t="str">
        <f>""</f>
        <v/>
      </c>
      <c r="BT1083" t="str">
        <f>""</f>
        <v/>
      </c>
      <c r="BU1083" t="str">
        <f>""</f>
        <v/>
      </c>
      <c r="BV1083" t="str">
        <f>""</f>
        <v/>
      </c>
      <c r="BW1083" t="str">
        <f t="shared" si="541"/>
        <v>Não visitado</v>
      </c>
    </row>
    <row r="1084" spans="1:75" x14ac:dyDescent="0.35">
      <c r="A1084">
        <v>157651</v>
      </c>
      <c r="B1084" t="str">
        <f t="shared" si="515"/>
        <v>A</v>
      </c>
      <c r="C1084" t="str">
        <f t="shared" si="516"/>
        <v>80</v>
      </c>
      <c r="D1084" t="str">
        <f t="shared" si="535"/>
        <v>11121002</v>
      </c>
      <c r="E1084" t="str">
        <f t="shared" si="536"/>
        <v>121002</v>
      </c>
      <c r="F1084" t="str">
        <f t="shared" si="537"/>
        <v>CINTHIA NORONHA</v>
      </c>
      <c r="G1084" t="str">
        <f>"24944791000257"</f>
        <v>24944791000257</v>
      </c>
      <c r="H1084" t="str">
        <f t="shared" si="539"/>
        <v>0</v>
      </c>
      <c r="I1084" t="str">
        <f t="shared" si="517"/>
        <v>CONTA OPTICA</v>
      </c>
      <c r="J1084" t="str">
        <f>"PTG OPTICAL EIRELI - ME"</f>
        <v>PTG OPTICAL EIRELI - ME</v>
      </c>
      <c r="K1084" t="str">
        <f>"OTICAS CAROL (3865)"</f>
        <v>OTICAS CAROL (3865)</v>
      </c>
      <c r="L1084" t="str">
        <f>""</f>
        <v/>
      </c>
      <c r="M1084" t="str">
        <f>""</f>
        <v/>
      </c>
      <c r="N1084" t="str">
        <f>"LOJA1597@OTICASCAROL.COM.BR"</f>
        <v>LOJA1597@OTICASCAROL.COM.BR</v>
      </c>
      <c r="O1084" t="str">
        <f>""</f>
        <v/>
      </c>
      <c r="P1084" t="str">
        <f>"RUA PREFEITO JOAO ORESTES DE ARAUJO"</f>
        <v>RUA PREFEITO JOAO ORESTES DE ARAUJO</v>
      </c>
      <c r="Q1084" t="str">
        <f>"567"</f>
        <v>567</v>
      </c>
      <c r="R1084" t="str">
        <f>"LOJA 02"</f>
        <v>LOJA 02</v>
      </c>
      <c r="S1084" t="str">
        <f>"1265"</f>
        <v>1265</v>
      </c>
      <c r="T1084" t="str">
        <f>"88495000"</f>
        <v>88495000</v>
      </c>
      <c r="U1084" t="str">
        <f>"CENTRO"</f>
        <v>CENTRO</v>
      </c>
      <c r="V1084" t="str">
        <f>"GAROPABA"</f>
        <v>GAROPABA</v>
      </c>
      <c r="W1084" t="str">
        <f t="shared" si="538"/>
        <v>SC</v>
      </c>
      <c r="X1084" t="str">
        <f t="shared" si="540"/>
        <v>48</v>
      </c>
      <c r="Y1084" t="str">
        <f>"34250222"</f>
        <v>34250222</v>
      </c>
      <c r="Z1084" t="str">
        <f>""</f>
        <v/>
      </c>
      <c r="AA1084" t="str">
        <f>""</f>
        <v/>
      </c>
      <c r="AB1084" t="str">
        <f>""</f>
        <v/>
      </c>
      <c r="AC1084" t="str">
        <f>""</f>
        <v/>
      </c>
      <c r="AD1084" t="str">
        <f>""</f>
        <v/>
      </c>
      <c r="AE1084" t="str">
        <f>""</f>
        <v/>
      </c>
      <c r="AF1084" t="str">
        <f>""</f>
        <v/>
      </c>
      <c r="AG1084" t="str">
        <f>""</f>
        <v/>
      </c>
      <c r="AH1084" t="str">
        <f>""</f>
        <v/>
      </c>
      <c r="AI1084" t="str">
        <f>""</f>
        <v/>
      </c>
      <c r="AJ1084" t="str">
        <f>""</f>
        <v/>
      </c>
      <c r="AK1084" t="str">
        <f>""</f>
        <v/>
      </c>
      <c r="AL1084" t="str">
        <f>""</f>
        <v/>
      </c>
      <c r="AM1084" t="str">
        <f>""</f>
        <v/>
      </c>
      <c r="AN1084" t="str">
        <f>""</f>
        <v/>
      </c>
      <c r="AO1084" t="str">
        <f>""</f>
        <v/>
      </c>
      <c r="AP1084" t="str">
        <f>""</f>
        <v/>
      </c>
      <c r="AQ1084" t="str">
        <f>""</f>
        <v/>
      </c>
      <c r="AR1084" t="str">
        <f>""</f>
        <v/>
      </c>
      <c r="AS1084" t="str">
        <f>""</f>
        <v/>
      </c>
      <c r="AT1084" t="str">
        <f>""</f>
        <v/>
      </c>
      <c r="AU1084" t="str">
        <f>""</f>
        <v/>
      </c>
      <c r="AV1084" t="str">
        <f>""</f>
        <v/>
      </c>
      <c r="AW1084" t="str">
        <f>""</f>
        <v/>
      </c>
      <c r="AX1084" t="str">
        <f>""</f>
        <v/>
      </c>
      <c r="AY1084" t="str">
        <f>""</f>
        <v/>
      </c>
      <c r="AZ1084" t="str">
        <f>""</f>
        <v/>
      </c>
      <c r="BA1084" t="str">
        <f>""</f>
        <v/>
      </c>
      <c r="BB1084" t="str">
        <f>"11/07/2023 02:19:56"</f>
        <v>11/07/2023 02:19:56</v>
      </c>
      <c r="BC1084" t="str">
        <f>""</f>
        <v/>
      </c>
      <c r="BD1084" t="str">
        <f>""</f>
        <v/>
      </c>
      <c r="BE1084" t="str">
        <f>""</f>
        <v/>
      </c>
      <c r="BF1084" t="str">
        <f t="shared" si="518"/>
        <v>A</v>
      </c>
      <c r="BG1084" t="str">
        <f>""</f>
        <v/>
      </c>
      <c r="BH1084" t="str">
        <f>""</f>
        <v/>
      </c>
      <c r="BI1084" t="str">
        <f t="shared" si="531"/>
        <v>EVENTUAL</v>
      </c>
      <c r="BJ1084" t="str">
        <f t="shared" si="519"/>
        <v>1</v>
      </c>
      <c r="BK1084" t="str">
        <f t="shared" si="520"/>
        <v>Farmacia</v>
      </c>
      <c r="BL1084" t="str">
        <f>""</f>
        <v/>
      </c>
      <c r="BM1084" t="str">
        <f>""</f>
        <v/>
      </c>
      <c r="BN1084" t="str">
        <f>""</f>
        <v/>
      </c>
      <c r="BO1084" t="str">
        <f>""</f>
        <v/>
      </c>
      <c r="BP1084" t="str">
        <f>""</f>
        <v/>
      </c>
      <c r="BQ1084" t="str">
        <f>""</f>
        <v/>
      </c>
      <c r="BR1084" t="str">
        <f>"11/07/2023"</f>
        <v>11/07/2023</v>
      </c>
      <c r="BS1084" t="str">
        <f>""</f>
        <v/>
      </c>
      <c r="BT1084" t="str">
        <f>""</f>
        <v/>
      </c>
      <c r="BU1084" t="str">
        <f>""</f>
        <v/>
      </c>
      <c r="BV1084" t="str">
        <f>""</f>
        <v/>
      </c>
      <c r="BW1084" t="str">
        <f t="shared" si="541"/>
        <v>Não visitado</v>
      </c>
    </row>
    <row r="1085" spans="1:75" x14ac:dyDescent="0.35">
      <c r="A1085">
        <v>157654</v>
      </c>
      <c r="B1085" t="str">
        <f t="shared" si="515"/>
        <v>A</v>
      </c>
      <c r="C1085" t="str">
        <f t="shared" si="516"/>
        <v>80</v>
      </c>
      <c r="D1085" t="str">
        <f t="shared" si="535"/>
        <v>11121002</v>
      </c>
      <c r="E1085" t="str">
        <f t="shared" si="536"/>
        <v>121002</v>
      </c>
      <c r="F1085" t="str">
        <f t="shared" si="537"/>
        <v>CINTHIA NORONHA</v>
      </c>
      <c r="G1085" t="str">
        <f>"24944791000176"</f>
        <v>24944791000176</v>
      </c>
      <c r="H1085" t="str">
        <f t="shared" si="539"/>
        <v>0</v>
      </c>
      <c r="I1085" t="str">
        <f t="shared" si="517"/>
        <v>CONTA OPTICA</v>
      </c>
      <c r="J1085" t="str">
        <f>"PTG OPTICAL EIRELI - ME"</f>
        <v>PTG OPTICAL EIRELI - ME</v>
      </c>
      <c r="K1085" t="str">
        <f>"OTICAS CAROL (3828)"</f>
        <v>OTICAS CAROL (3828)</v>
      </c>
      <c r="L1085" t="str">
        <f>""</f>
        <v/>
      </c>
      <c r="M1085" t="str">
        <f>""</f>
        <v/>
      </c>
      <c r="N1085" t="str">
        <f>"LOJA1467@OTICASCAROL.COM.BR"</f>
        <v>LOJA1467@OTICASCAROL.COM.BR</v>
      </c>
      <c r="O1085" t="str">
        <f>""</f>
        <v/>
      </c>
      <c r="P1085" t="str">
        <f>"RUA MARCOLINO MARTINS CABRAL"</f>
        <v>RUA MARCOLINO MARTINS CABRAL</v>
      </c>
      <c r="Q1085" t="str">
        <f>"1818"</f>
        <v>1818</v>
      </c>
      <c r="R1085" t="str">
        <f>"LOJA 03"</f>
        <v>LOJA 03</v>
      </c>
      <c r="S1085" t="str">
        <f>""</f>
        <v/>
      </c>
      <c r="T1085" t="str">
        <f>"88705000"</f>
        <v>88705000</v>
      </c>
      <c r="U1085" t="str">
        <f>"VILA MOEMA"</f>
        <v>VILA MOEMA</v>
      </c>
      <c r="V1085" t="str">
        <f>"TUBARAO"</f>
        <v>TUBARAO</v>
      </c>
      <c r="W1085" t="str">
        <f t="shared" si="538"/>
        <v>SC</v>
      </c>
      <c r="X1085" t="str">
        <f t="shared" si="540"/>
        <v>48</v>
      </c>
      <c r="Y1085" t="str">
        <f>"31990220"</f>
        <v>31990220</v>
      </c>
      <c r="Z1085" t="str">
        <f>""</f>
        <v/>
      </c>
      <c r="AA1085" t="str">
        <f>""</f>
        <v/>
      </c>
      <c r="AB1085" t="str">
        <f>""</f>
        <v/>
      </c>
      <c r="AC1085" t="str">
        <f>""</f>
        <v/>
      </c>
      <c r="AD1085" t="str">
        <f>""</f>
        <v/>
      </c>
      <c r="AE1085" t="str">
        <f>""</f>
        <v/>
      </c>
      <c r="AF1085" t="str">
        <f>""</f>
        <v/>
      </c>
      <c r="AG1085" t="str">
        <f>""</f>
        <v/>
      </c>
      <c r="AH1085" t="str">
        <f>""</f>
        <v/>
      </c>
      <c r="AI1085" t="str">
        <f>""</f>
        <v/>
      </c>
      <c r="AJ1085" t="str">
        <f>""</f>
        <v/>
      </c>
      <c r="AK1085" t="str">
        <f>""</f>
        <v/>
      </c>
      <c r="AL1085" t="str">
        <f>""</f>
        <v/>
      </c>
      <c r="AM1085" t="str">
        <f>""</f>
        <v/>
      </c>
      <c r="AN1085" t="str">
        <f>""</f>
        <v/>
      </c>
      <c r="AO1085" t="str">
        <f>""</f>
        <v/>
      </c>
      <c r="AP1085" t="str">
        <f>""</f>
        <v/>
      </c>
      <c r="AQ1085" t="str">
        <f>""</f>
        <v/>
      </c>
      <c r="AR1085" t="str">
        <f>""</f>
        <v/>
      </c>
      <c r="AS1085" t="str">
        <f>""</f>
        <v/>
      </c>
      <c r="AT1085" t="str">
        <f>""</f>
        <v/>
      </c>
      <c r="AU1085" t="str">
        <f>""</f>
        <v/>
      </c>
      <c r="AV1085" t="str">
        <f>""</f>
        <v/>
      </c>
      <c r="AW1085" t="str">
        <f>""</f>
        <v/>
      </c>
      <c r="AX1085" t="str">
        <f>""</f>
        <v/>
      </c>
      <c r="AY1085" t="str">
        <f>""</f>
        <v/>
      </c>
      <c r="AZ1085" t="str">
        <f>""</f>
        <v/>
      </c>
      <c r="BA1085" t="str">
        <f>""</f>
        <v/>
      </c>
      <c r="BB1085" t="str">
        <f>"11/07/2023 02:19:56"</f>
        <v>11/07/2023 02:19:56</v>
      </c>
      <c r="BC1085" t="str">
        <f>""</f>
        <v/>
      </c>
      <c r="BD1085" t="str">
        <f>""</f>
        <v/>
      </c>
      <c r="BE1085" t="str">
        <f>""</f>
        <v/>
      </c>
      <c r="BF1085" t="str">
        <f t="shared" si="518"/>
        <v>A</v>
      </c>
      <c r="BG1085" t="str">
        <f>""</f>
        <v/>
      </c>
      <c r="BH1085" t="str">
        <f>""</f>
        <v/>
      </c>
      <c r="BI1085" t="str">
        <f t="shared" si="531"/>
        <v>EVENTUAL</v>
      </c>
      <c r="BJ1085" t="str">
        <f t="shared" si="519"/>
        <v>1</v>
      </c>
      <c r="BK1085" t="str">
        <f t="shared" si="520"/>
        <v>Farmacia</v>
      </c>
      <c r="BL1085" t="str">
        <f>""</f>
        <v/>
      </c>
      <c r="BM1085" t="str">
        <f>""</f>
        <v/>
      </c>
      <c r="BN1085" t="str">
        <f>""</f>
        <v/>
      </c>
      <c r="BO1085" t="str">
        <f>""</f>
        <v/>
      </c>
      <c r="BP1085" t="str">
        <f>""</f>
        <v/>
      </c>
      <c r="BQ1085" t="str">
        <f>""</f>
        <v/>
      </c>
      <c r="BR1085" t="str">
        <f>"11/07/2023"</f>
        <v>11/07/2023</v>
      </c>
      <c r="BS1085" t="str">
        <f>""</f>
        <v/>
      </c>
      <c r="BT1085" t="str">
        <f>""</f>
        <v/>
      </c>
      <c r="BU1085" t="str">
        <f>""</f>
        <v/>
      </c>
      <c r="BV1085" t="str">
        <f>""</f>
        <v/>
      </c>
      <c r="BW1085" t="str">
        <f t="shared" si="541"/>
        <v>Não visitado</v>
      </c>
    </row>
    <row r="1086" spans="1:75" x14ac:dyDescent="0.35">
      <c r="A1086">
        <v>118683</v>
      </c>
      <c r="B1086" t="str">
        <f t="shared" si="515"/>
        <v>A</v>
      </c>
      <c r="C1086" t="str">
        <f t="shared" si="516"/>
        <v>80</v>
      </c>
      <c r="D1086" t="str">
        <f t="shared" si="535"/>
        <v>11121002</v>
      </c>
      <c r="E1086" t="str">
        <f t="shared" si="536"/>
        <v>121002</v>
      </c>
      <c r="F1086" t="str">
        <f t="shared" si="537"/>
        <v>CINTHIA NORONHA</v>
      </c>
      <c r="G1086" t="str">
        <f>"04204006000131"</f>
        <v>04204006000131</v>
      </c>
      <c r="H1086" t="str">
        <f>""</f>
        <v/>
      </c>
      <c r="I1086" t="str">
        <f t="shared" si="517"/>
        <v>CONTA OPTICA</v>
      </c>
      <c r="J1086" t="str">
        <f>"PUPILA OPTICA E JOALHERIA LTDA"</f>
        <v>PUPILA OPTICA E JOALHERIA LTDA</v>
      </c>
      <c r="K1086" t="str">
        <f>"PUPILA OPTICA &amp; JOALHERIA (105)"</f>
        <v>PUPILA OPTICA &amp; JOALHERIA (105)</v>
      </c>
      <c r="L1086" t="str">
        <f>""</f>
        <v/>
      </c>
      <c r="M1086" t="str">
        <f>""</f>
        <v/>
      </c>
      <c r="N1086" t="str">
        <f>"pupilaoticaejoalheria@hotmail.com"</f>
        <v>pupilaoticaejoalheria@hotmail.com</v>
      </c>
      <c r="O1086" t="str">
        <f>""</f>
        <v/>
      </c>
      <c r="P1086" t="str">
        <f>"RUA RUI BARBOSA"</f>
        <v>RUA RUI BARBOSA</v>
      </c>
      <c r="Q1086" t="str">
        <f>"1113"</f>
        <v>1113</v>
      </c>
      <c r="R1086" t="str">
        <f>"SALA - 101"</f>
        <v>SALA - 101</v>
      </c>
      <c r="S1086" t="str">
        <f>"1270"</f>
        <v>1270</v>
      </c>
      <c r="T1086" t="str">
        <f>"88930000"</f>
        <v>88930000</v>
      </c>
      <c r="U1086" t="str">
        <f>"CENTRO"</f>
        <v>CENTRO</v>
      </c>
      <c r="V1086" t="str">
        <f>"TURVO"</f>
        <v>TURVO</v>
      </c>
      <c r="W1086" t="str">
        <f t="shared" si="538"/>
        <v>SC</v>
      </c>
      <c r="X1086" t="str">
        <f t="shared" si="540"/>
        <v>48</v>
      </c>
      <c r="Y1086" t="str">
        <f>"35250920"</f>
        <v>35250920</v>
      </c>
      <c r="Z1086" t="str">
        <f>""</f>
        <v/>
      </c>
      <c r="AA1086" t="str">
        <f>""</f>
        <v/>
      </c>
      <c r="AB1086" t="str">
        <f>""</f>
        <v/>
      </c>
      <c r="AC1086" t="str">
        <f>""</f>
        <v/>
      </c>
      <c r="AD1086" t="str">
        <f>""</f>
        <v/>
      </c>
      <c r="AE1086" t="str">
        <f>""</f>
        <v/>
      </c>
      <c r="AF1086" t="str">
        <f>""</f>
        <v/>
      </c>
      <c r="AG1086" t="str">
        <f>""</f>
        <v/>
      </c>
      <c r="AH1086" t="str">
        <f>""</f>
        <v/>
      </c>
      <c r="AI1086" t="str">
        <f>""</f>
        <v/>
      </c>
      <c r="AJ1086" t="str">
        <f t="shared" ref="AJ1086:AL1089" si="542">"0"</f>
        <v>0</v>
      </c>
      <c r="AK1086" t="str">
        <f t="shared" si="542"/>
        <v>0</v>
      </c>
      <c r="AL1086" t="str">
        <f t="shared" si="542"/>
        <v>0</v>
      </c>
      <c r="AM1086" t="str">
        <f>""</f>
        <v/>
      </c>
      <c r="AN1086" t="str">
        <f>""</f>
        <v/>
      </c>
      <c r="AO1086" t="str">
        <f>""</f>
        <v/>
      </c>
      <c r="AP1086" t="str">
        <f>""</f>
        <v/>
      </c>
      <c r="AQ1086" t="str">
        <f>""</f>
        <v/>
      </c>
      <c r="AR1086" t="str">
        <f>""</f>
        <v/>
      </c>
      <c r="AS1086" t="str">
        <f>""</f>
        <v/>
      </c>
      <c r="AT1086" t="str">
        <f>""</f>
        <v/>
      </c>
      <c r="AU1086" t="str">
        <f>""</f>
        <v/>
      </c>
      <c r="AV1086" t="str">
        <f>""</f>
        <v/>
      </c>
      <c r="AW1086" t="str">
        <f>""</f>
        <v/>
      </c>
      <c r="AX1086" t="str">
        <f>""</f>
        <v/>
      </c>
      <c r="AY1086" t="str">
        <f>""</f>
        <v/>
      </c>
      <c r="AZ1086" t="str">
        <f>""</f>
        <v/>
      </c>
      <c r="BA1086" t="str">
        <f>""</f>
        <v/>
      </c>
      <c r="BB1086" t="str">
        <f>""</f>
        <v/>
      </c>
      <c r="BC1086" t="str">
        <f>""</f>
        <v/>
      </c>
      <c r="BD1086" t="str">
        <f>""</f>
        <v/>
      </c>
      <c r="BE1086" t="str">
        <f>""</f>
        <v/>
      </c>
      <c r="BF1086" t="str">
        <f t="shared" si="518"/>
        <v>A</v>
      </c>
      <c r="BG1086" t="str">
        <f t="shared" ref="BG1086:BH1089" si="543">"0,00"</f>
        <v>0,00</v>
      </c>
      <c r="BH1086" t="str">
        <f t="shared" si="543"/>
        <v>0,00</v>
      </c>
      <c r="BI1086" t="str">
        <f t="shared" si="531"/>
        <v>EVENTUAL</v>
      </c>
      <c r="BJ1086" t="str">
        <f t="shared" si="519"/>
        <v>1</v>
      </c>
      <c r="BK1086" t="str">
        <f t="shared" si="520"/>
        <v>Farmacia</v>
      </c>
      <c r="BL1086" t="str">
        <f>""</f>
        <v/>
      </c>
      <c r="BM1086" t="str">
        <f>"NÃO É VARILUX ESPECIALISTA"</f>
        <v>NÃO É VARILUX ESPECIALISTA</v>
      </c>
      <c r="BN1086" t="str">
        <f>"NA"</f>
        <v>NA</v>
      </c>
      <c r="BO1086" t="str">
        <f>"FOCO KODAK 2"</f>
        <v>FOCO KODAK 2</v>
      </c>
      <c r="BP1086" t="str">
        <f>""</f>
        <v/>
      </c>
      <c r="BQ1086" t="str">
        <f>""</f>
        <v/>
      </c>
      <c r="BR1086" t="str">
        <f>""</f>
        <v/>
      </c>
      <c r="BS1086" t="str">
        <f>""</f>
        <v/>
      </c>
      <c r="BT1086" t="str">
        <f>""</f>
        <v/>
      </c>
      <c r="BU1086" t="str">
        <f>""</f>
        <v/>
      </c>
      <c r="BV1086" t="str">
        <f>"9"</f>
        <v>9</v>
      </c>
      <c r="BW1086" t="str">
        <f>"8"</f>
        <v>8</v>
      </c>
    </row>
    <row r="1087" spans="1:75" x14ac:dyDescent="0.35">
      <c r="A1087">
        <v>134225</v>
      </c>
      <c r="B1087" t="str">
        <f t="shared" si="515"/>
        <v>A</v>
      </c>
      <c r="C1087" t="str">
        <f t="shared" si="516"/>
        <v>80</v>
      </c>
      <c r="D1087" t="str">
        <f t="shared" si="535"/>
        <v>11121002</v>
      </c>
      <c r="E1087" t="str">
        <f t="shared" si="536"/>
        <v>121002</v>
      </c>
      <c r="F1087" t="str">
        <f t="shared" si="537"/>
        <v>CINTHIA NORONHA</v>
      </c>
      <c r="G1087" t="str">
        <f>"10537557000110"</f>
        <v>10537557000110</v>
      </c>
      <c r="H1087" t="str">
        <f>""</f>
        <v/>
      </c>
      <c r="I1087" t="str">
        <f t="shared" si="517"/>
        <v>CONTA OPTICA</v>
      </c>
      <c r="J1087" t="str">
        <f>"QUIUMENTO VELLOSO COM.PROD.OPT.LTDA ME"</f>
        <v>QUIUMENTO VELLOSO COM.PROD.OPT.LTDA ME</v>
      </c>
      <c r="K1087" t="str">
        <f>"OTICA HELENA (10061)"</f>
        <v>OTICA HELENA (10061)</v>
      </c>
      <c r="L1087" t="str">
        <f>""</f>
        <v/>
      </c>
      <c r="M1087" t="str">
        <f>""</f>
        <v/>
      </c>
      <c r="N1087" t="str">
        <f>"oticahelena@oticahelena.com.br"</f>
        <v>oticahelena@oticahelena.com.br</v>
      </c>
      <c r="O1087" t="str">
        <f>""</f>
        <v/>
      </c>
      <c r="P1087" t="str">
        <f>"RUA MANOEL SEVERINO DE OLIVEIRA"</f>
        <v>RUA MANOEL SEVERINO DE OLIVEIRA</v>
      </c>
      <c r="Q1087" t="str">
        <f>"653"</f>
        <v>653</v>
      </c>
      <c r="R1087" t="str">
        <f>"LOJA 07"</f>
        <v>LOJA 07</v>
      </c>
      <c r="S1087" t="str">
        <f>"1257"</f>
        <v>1257</v>
      </c>
      <c r="T1087" t="str">
        <f>"88062120"</f>
        <v>88062120</v>
      </c>
      <c r="U1087" t="str">
        <f>"LAGOA DA CONCEICAO"</f>
        <v>LAGOA DA CONCEICAO</v>
      </c>
      <c r="V1087" t="str">
        <f>"FLORIANÓPOLIS"</f>
        <v>FLORIANÓPOLIS</v>
      </c>
      <c r="W1087" t="str">
        <f t="shared" si="538"/>
        <v>SC</v>
      </c>
      <c r="X1087" t="str">
        <f t="shared" si="540"/>
        <v>48</v>
      </c>
      <c r="Y1087" t="str">
        <f>"32064402"</f>
        <v>32064402</v>
      </c>
      <c r="Z1087" t="str">
        <f>""</f>
        <v/>
      </c>
      <c r="AA1087" t="str">
        <f>""</f>
        <v/>
      </c>
      <c r="AB1087" t="str">
        <f>""</f>
        <v/>
      </c>
      <c r="AC1087" t="str">
        <f>""</f>
        <v/>
      </c>
      <c r="AD1087" t="str">
        <f>""</f>
        <v/>
      </c>
      <c r="AE1087" t="str">
        <f>""</f>
        <v/>
      </c>
      <c r="AF1087" t="str">
        <f>""</f>
        <v/>
      </c>
      <c r="AG1087" t="str">
        <f>"S"</f>
        <v>S</v>
      </c>
      <c r="AH1087" t="str">
        <f>""</f>
        <v/>
      </c>
      <c r="AI1087" t="str">
        <f>""</f>
        <v/>
      </c>
      <c r="AJ1087" t="str">
        <f t="shared" si="542"/>
        <v>0</v>
      </c>
      <c r="AK1087" t="str">
        <f t="shared" si="542"/>
        <v>0</v>
      </c>
      <c r="AL1087" t="str">
        <f t="shared" si="542"/>
        <v>0</v>
      </c>
      <c r="AM1087" t="str">
        <f>""</f>
        <v/>
      </c>
      <c r="AN1087" t="str">
        <f>""</f>
        <v/>
      </c>
      <c r="AO1087" t="str">
        <f>""</f>
        <v/>
      </c>
      <c r="AP1087" t="str">
        <f>""</f>
        <v/>
      </c>
      <c r="AQ1087" t="str">
        <f t="shared" ref="AQ1087:AU1089" si="544">"N"</f>
        <v>N</v>
      </c>
      <c r="AR1087" t="str">
        <f t="shared" si="544"/>
        <v>N</v>
      </c>
      <c r="AS1087" t="str">
        <f t="shared" si="544"/>
        <v>N</v>
      </c>
      <c r="AT1087" t="str">
        <f t="shared" si="544"/>
        <v>N</v>
      </c>
      <c r="AU1087" t="str">
        <f t="shared" si="544"/>
        <v>N</v>
      </c>
      <c r="AV1087" t="str">
        <f>""</f>
        <v/>
      </c>
      <c r="AW1087" t="str">
        <f>""</f>
        <v/>
      </c>
      <c r="AX1087" t="str">
        <f>""</f>
        <v/>
      </c>
      <c r="AY1087" t="str">
        <f>""</f>
        <v/>
      </c>
      <c r="AZ1087" t="str">
        <f>""</f>
        <v/>
      </c>
      <c r="BA1087" t="str">
        <f>""</f>
        <v/>
      </c>
      <c r="BB1087" t="str">
        <f>""</f>
        <v/>
      </c>
      <c r="BC1087" t="str">
        <f>"01/04/2022 15:07:39"</f>
        <v>01/04/2022 15:07:39</v>
      </c>
      <c r="BD1087" t="str">
        <f>""</f>
        <v/>
      </c>
      <c r="BE1087" t="str">
        <f>""</f>
        <v/>
      </c>
      <c r="BF1087" t="str">
        <f t="shared" si="518"/>
        <v>A</v>
      </c>
      <c r="BG1087" t="str">
        <f t="shared" si="543"/>
        <v>0,00</v>
      </c>
      <c r="BH1087" t="str">
        <f t="shared" si="543"/>
        <v>0,00</v>
      </c>
      <c r="BI1087" t="str">
        <f t="shared" si="531"/>
        <v>EVENTUAL</v>
      </c>
      <c r="BJ1087" t="str">
        <f t="shared" si="519"/>
        <v>1</v>
      </c>
      <c r="BK1087" t="str">
        <f t="shared" si="520"/>
        <v>Farmacia</v>
      </c>
      <c r="BL1087" t="str">
        <f>""</f>
        <v/>
      </c>
      <c r="BM1087" t="str">
        <f>"VARILUX ESPECIALISTA SELECT"</f>
        <v>VARILUX ESPECIALISTA SELECT</v>
      </c>
      <c r="BN1087" t="str">
        <f>"NA"</f>
        <v>NA</v>
      </c>
      <c r="BO1087" t="str">
        <f>"FOCO VARILUX DIGITAL"</f>
        <v>FOCO VARILUX DIGITAL</v>
      </c>
      <c r="BP1087" t="str">
        <f>""</f>
        <v/>
      </c>
      <c r="BQ1087" t="str">
        <f>""</f>
        <v/>
      </c>
      <c r="BR1087" t="str">
        <f>""</f>
        <v/>
      </c>
      <c r="BS1087" t="str">
        <f>"01/04/2022"</f>
        <v>01/04/2022</v>
      </c>
      <c r="BT1087" t="str">
        <f>""</f>
        <v/>
      </c>
      <c r="BU1087" t="str">
        <f>""</f>
        <v/>
      </c>
      <c r="BV1087" t="str">
        <f>"1"</f>
        <v>1</v>
      </c>
      <c r="BW1087" t="str">
        <f>"21"</f>
        <v>21</v>
      </c>
    </row>
    <row r="1088" spans="1:75" x14ac:dyDescent="0.35">
      <c r="A1088">
        <v>134315</v>
      </c>
      <c r="B1088" t="str">
        <f t="shared" si="515"/>
        <v>A</v>
      </c>
      <c r="C1088" t="str">
        <f t="shared" si="516"/>
        <v>80</v>
      </c>
      <c r="D1088" t="str">
        <f t="shared" si="535"/>
        <v>11121002</v>
      </c>
      <c r="E1088" t="str">
        <f t="shared" si="536"/>
        <v>121002</v>
      </c>
      <c r="F1088" t="str">
        <f t="shared" si="537"/>
        <v>CINTHIA NORONHA</v>
      </c>
      <c r="G1088" t="str">
        <f>"10537557000381"</f>
        <v>10537557000381</v>
      </c>
      <c r="H1088" t="str">
        <f>""</f>
        <v/>
      </c>
      <c r="I1088" t="str">
        <f t="shared" si="517"/>
        <v>CONTA OPTICA</v>
      </c>
      <c r="J1088" t="str">
        <f>"QUIUMENTO VELLOSO COMERCIO DE PRODUTOS OPTICOS LTDA"</f>
        <v>QUIUMENTO VELLOSO COMERCIO DE PRODUTOS OPTICOS LTDA</v>
      </c>
      <c r="K1088" t="str">
        <f>"OTICA HELENA CAMPECHE (4029)"</f>
        <v>OTICA HELENA CAMPECHE (4029)</v>
      </c>
      <c r="L1088" t="str">
        <f>""</f>
        <v/>
      </c>
      <c r="M1088" t="str">
        <f>""</f>
        <v/>
      </c>
      <c r="N1088" t="str">
        <f>"oticahelena@oticahelena.com.br"</f>
        <v>oticahelena@oticahelena.com.br</v>
      </c>
      <c r="O1088" t="str">
        <f>""</f>
        <v/>
      </c>
      <c r="P1088" t="str">
        <f>"AVENIDA PEQUENO PRINCIPE"</f>
        <v>AVENIDA PEQUENO PRINCIPE</v>
      </c>
      <c r="Q1088" t="str">
        <f>"1510"</f>
        <v>1510</v>
      </c>
      <c r="R1088" t="str">
        <f>"BLOCO B SALA 02"</f>
        <v>BLOCO B SALA 02</v>
      </c>
      <c r="S1088" t="str">
        <f>"1257"</f>
        <v>1257</v>
      </c>
      <c r="T1088" t="str">
        <f>"88063000"</f>
        <v>88063000</v>
      </c>
      <c r="U1088" t="str">
        <f>"CAMPECHE"</f>
        <v>CAMPECHE</v>
      </c>
      <c r="V1088" t="str">
        <f>"FLORIANÓPOLIS"</f>
        <v>FLORIANÓPOLIS</v>
      </c>
      <c r="W1088" t="str">
        <f t="shared" si="538"/>
        <v>SC</v>
      </c>
      <c r="X1088" t="str">
        <f t="shared" si="540"/>
        <v>48</v>
      </c>
      <c r="Y1088" t="str">
        <f>"32090861"</f>
        <v>32090861</v>
      </c>
      <c r="Z1088" t="str">
        <f>""</f>
        <v/>
      </c>
      <c r="AA1088" t="str">
        <f>""</f>
        <v/>
      </c>
      <c r="AB1088" t="str">
        <f>""</f>
        <v/>
      </c>
      <c r="AC1088" t="str">
        <f>""</f>
        <v/>
      </c>
      <c r="AD1088" t="str">
        <f>""</f>
        <v/>
      </c>
      <c r="AE1088" t="str">
        <f>""</f>
        <v/>
      </c>
      <c r="AF1088" t="str">
        <f>""</f>
        <v/>
      </c>
      <c r="AG1088" t="str">
        <f>"S"</f>
        <v>S</v>
      </c>
      <c r="AH1088" t="str">
        <f>""</f>
        <v/>
      </c>
      <c r="AI1088" t="str">
        <f>""</f>
        <v/>
      </c>
      <c r="AJ1088" t="str">
        <f t="shared" si="542"/>
        <v>0</v>
      </c>
      <c r="AK1088" t="str">
        <f t="shared" si="542"/>
        <v>0</v>
      </c>
      <c r="AL1088" t="str">
        <f t="shared" si="542"/>
        <v>0</v>
      </c>
      <c r="AM1088" t="str">
        <f>""</f>
        <v/>
      </c>
      <c r="AN1088" t="str">
        <f>""</f>
        <v/>
      </c>
      <c r="AO1088" t="str">
        <f>""</f>
        <v/>
      </c>
      <c r="AP1088" t="str">
        <f>""</f>
        <v/>
      </c>
      <c r="AQ1088" t="str">
        <f t="shared" si="544"/>
        <v>N</v>
      </c>
      <c r="AR1088" t="str">
        <f t="shared" si="544"/>
        <v>N</v>
      </c>
      <c r="AS1088" t="str">
        <f t="shared" si="544"/>
        <v>N</v>
      </c>
      <c r="AT1088" t="str">
        <f t="shared" si="544"/>
        <v>N</v>
      </c>
      <c r="AU1088" t="str">
        <f t="shared" si="544"/>
        <v>N</v>
      </c>
      <c r="AV1088" t="str">
        <f>""</f>
        <v/>
      </c>
      <c r="AW1088" t="str">
        <f>""</f>
        <v/>
      </c>
      <c r="AX1088" t="str">
        <f>""</f>
        <v/>
      </c>
      <c r="AY1088" t="str">
        <f>""</f>
        <v/>
      </c>
      <c r="AZ1088" t="str">
        <f>""</f>
        <v/>
      </c>
      <c r="BA1088" t="str">
        <f>""</f>
        <v/>
      </c>
      <c r="BB1088" t="str">
        <f>""</f>
        <v/>
      </c>
      <c r="BC1088" t="str">
        <f>"21/02/2022 13:49:53"</f>
        <v>21/02/2022 13:49:53</v>
      </c>
      <c r="BD1088" t="str">
        <f>""</f>
        <v/>
      </c>
      <c r="BE1088" t="str">
        <f>""</f>
        <v/>
      </c>
      <c r="BF1088" t="str">
        <f t="shared" si="518"/>
        <v>A</v>
      </c>
      <c r="BG1088" t="str">
        <f t="shared" si="543"/>
        <v>0,00</v>
      </c>
      <c r="BH1088" t="str">
        <f t="shared" si="543"/>
        <v>0,00</v>
      </c>
      <c r="BI1088" t="str">
        <f t="shared" si="531"/>
        <v>EVENTUAL</v>
      </c>
      <c r="BJ1088" t="str">
        <f t="shared" si="519"/>
        <v>1</v>
      </c>
      <c r="BK1088" t="str">
        <f t="shared" si="520"/>
        <v>Farmacia</v>
      </c>
      <c r="BL1088" t="str">
        <f>""</f>
        <v/>
      </c>
      <c r="BM1088" t="str">
        <f>"CREDENCIADO VARILUX"</f>
        <v>CREDENCIADO VARILUX</v>
      </c>
      <c r="BN1088" t="str">
        <f>"NA"</f>
        <v>NA</v>
      </c>
      <c r="BO1088" t="str">
        <f>"FOCO VARILUX DIGITAL"</f>
        <v>FOCO VARILUX DIGITAL</v>
      </c>
      <c r="BP1088" t="str">
        <f>""</f>
        <v/>
      </c>
      <c r="BQ1088" t="str">
        <f>""</f>
        <v/>
      </c>
      <c r="BR1088" t="str">
        <f>""</f>
        <v/>
      </c>
      <c r="BS1088" t="str">
        <f>"21/02/2022"</f>
        <v>21/02/2022</v>
      </c>
      <c r="BT1088" t="str">
        <f>""</f>
        <v/>
      </c>
      <c r="BU1088" t="str">
        <f>""</f>
        <v/>
      </c>
      <c r="BV1088" t="str">
        <f>"5"</f>
        <v>5</v>
      </c>
      <c r="BW1088" t="str">
        <f>"10"</f>
        <v>10</v>
      </c>
    </row>
    <row r="1089" spans="1:75" x14ac:dyDescent="0.35">
      <c r="A1089">
        <v>134310</v>
      </c>
      <c r="B1089" t="str">
        <f t="shared" si="515"/>
        <v>A</v>
      </c>
      <c r="C1089" t="str">
        <f t="shared" si="516"/>
        <v>80</v>
      </c>
      <c r="D1089" t="str">
        <f t="shared" si="535"/>
        <v>11121002</v>
      </c>
      <c r="E1089" t="str">
        <f t="shared" si="536"/>
        <v>121002</v>
      </c>
      <c r="F1089" t="str">
        <f t="shared" si="537"/>
        <v>CINTHIA NORONHA</v>
      </c>
      <c r="G1089" t="str">
        <f>"10537557000209"</f>
        <v>10537557000209</v>
      </c>
      <c r="H1089" t="str">
        <f>""</f>
        <v/>
      </c>
      <c r="I1089" t="str">
        <f t="shared" si="517"/>
        <v>CONTA OPTICA</v>
      </c>
      <c r="J1089" t="str">
        <f>"QUIUMENTO VELLOSO COMERCIO DE PRODUTOS OPTICOS LTDA"</f>
        <v>QUIUMENTO VELLOSO COMERCIO DE PRODUTOS OPTICOS LTDA</v>
      </c>
      <c r="K1089" t="str">
        <f>"OTICA HELENA (3937)"</f>
        <v>OTICA HELENA (3937)</v>
      </c>
      <c r="L1089" t="str">
        <f>""</f>
        <v/>
      </c>
      <c r="M1089" t="str">
        <f>""</f>
        <v/>
      </c>
      <c r="N1089" t="str">
        <f>"trindade@oticahelena.com.br"</f>
        <v>trindade@oticahelena.com.br</v>
      </c>
      <c r="O1089" t="str">
        <f>""</f>
        <v/>
      </c>
      <c r="P1089" t="str">
        <f>"RUA LAURO LINHARES"</f>
        <v>RUA LAURO LINHARES</v>
      </c>
      <c r="Q1089" t="str">
        <f>"2055"</f>
        <v>2055</v>
      </c>
      <c r="R1089" t="str">
        <f>"LOJA 27/28"</f>
        <v>LOJA 27/28</v>
      </c>
      <c r="S1089" t="str">
        <f>""</f>
        <v/>
      </c>
      <c r="T1089" t="str">
        <f>"88036003"</f>
        <v>88036003</v>
      </c>
      <c r="U1089" t="str">
        <f>"TRINDADE"</f>
        <v>TRINDADE</v>
      </c>
      <c r="V1089" t="str">
        <f>"FLORIANÓPOLIS"</f>
        <v>FLORIANÓPOLIS</v>
      </c>
      <c r="W1089" t="str">
        <f t="shared" si="538"/>
        <v>SC</v>
      </c>
      <c r="X1089" t="str">
        <f t="shared" si="540"/>
        <v>48</v>
      </c>
      <c r="Y1089" t="str">
        <f>"32262159"</f>
        <v>32262159</v>
      </c>
      <c r="Z1089" t="str">
        <f>""</f>
        <v/>
      </c>
      <c r="AA1089" t="str">
        <f>""</f>
        <v/>
      </c>
      <c r="AB1089" t="str">
        <f>""</f>
        <v/>
      </c>
      <c r="AC1089" t="str">
        <f>""</f>
        <v/>
      </c>
      <c r="AD1089" t="str">
        <f>""</f>
        <v/>
      </c>
      <c r="AE1089" t="str">
        <f>""</f>
        <v/>
      </c>
      <c r="AF1089" t="str">
        <f>""</f>
        <v/>
      </c>
      <c r="AG1089" t="str">
        <f>"S"</f>
        <v>S</v>
      </c>
      <c r="AH1089" t="str">
        <f>""</f>
        <v/>
      </c>
      <c r="AI1089" t="str">
        <f>""</f>
        <v/>
      </c>
      <c r="AJ1089" t="str">
        <f t="shared" si="542"/>
        <v>0</v>
      </c>
      <c r="AK1089" t="str">
        <f t="shared" si="542"/>
        <v>0</v>
      </c>
      <c r="AL1089" t="str">
        <f t="shared" si="542"/>
        <v>0</v>
      </c>
      <c r="AM1089" t="str">
        <f>""</f>
        <v/>
      </c>
      <c r="AN1089" t="str">
        <f>""</f>
        <v/>
      </c>
      <c r="AO1089" t="str">
        <f>""</f>
        <v/>
      </c>
      <c r="AP1089" t="str">
        <f>""</f>
        <v/>
      </c>
      <c r="AQ1089" t="str">
        <f t="shared" si="544"/>
        <v>N</v>
      </c>
      <c r="AR1089" t="str">
        <f t="shared" si="544"/>
        <v>N</v>
      </c>
      <c r="AS1089" t="str">
        <f t="shared" si="544"/>
        <v>N</v>
      </c>
      <c r="AT1089" t="str">
        <f t="shared" si="544"/>
        <v>N</v>
      </c>
      <c r="AU1089" t="str">
        <f t="shared" si="544"/>
        <v>N</v>
      </c>
      <c r="AV1089" t="str">
        <f>""</f>
        <v/>
      </c>
      <c r="AW1089" t="str">
        <f>""</f>
        <v/>
      </c>
      <c r="AX1089" t="str">
        <f>""</f>
        <v/>
      </c>
      <c r="AY1089" t="str">
        <f>""</f>
        <v/>
      </c>
      <c r="AZ1089" t="str">
        <f>""</f>
        <v/>
      </c>
      <c r="BA1089" t="str">
        <f>""</f>
        <v/>
      </c>
      <c r="BB1089" t="str">
        <f>""</f>
        <v/>
      </c>
      <c r="BC1089" t="str">
        <f>"12/04/2022 11:05:12"</f>
        <v>12/04/2022 11:05:12</v>
      </c>
      <c r="BD1089" t="str">
        <f>""</f>
        <v/>
      </c>
      <c r="BE1089" t="str">
        <f>""</f>
        <v/>
      </c>
      <c r="BF1089" t="str">
        <f t="shared" si="518"/>
        <v>A</v>
      </c>
      <c r="BG1089" t="str">
        <f t="shared" si="543"/>
        <v>0,00</v>
      </c>
      <c r="BH1089" t="str">
        <f t="shared" si="543"/>
        <v>0,00</v>
      </c>
      <c r="BI1089" t="str">
        <f t="shared" si="531"/>
        <v>EVENTUAL</v>
      </c>
      <c r="BJ1089" t="str">
        <f t="shared" si="519"/>
        <v>1</v>
      </c>
      <c r="BK1089" t="str">
        <f t="shared" si="520"/>
        <v>Farmacia</v>
      </c>
      <c r="BL1089" t="str">
        <f>""</f>
        <v/>
      </c>
      <c r="BM1089" t="str">
        <f>"VARILUX ESPECIALISTA SELECT"</f>
        <v>VARILUX ESPECIALISTA SELECT</v>
      </c>
      <c r="BN1089" t="str">
        <f>"NA"</f>
        <v>NA</v>
      </c>
      <c r="BO1089" t="str">
        <f>"FOCO VARILUX DIGITAL"</f>
        <v>FOCO VARILUX DIGITAL</v>
      </c>
      <c r="BP1089" t="str">
        <f>""</f>
        <v/>
      </c>
      <c r="BQ1089" t="str">
        <f>""</f>
        <v/>
      </c>
      <c r="BR1089" t="str">
        <f>""</f>
        <v/>
      </c>
      <c r="BS1089" t="str">
        <f>"12/04/2022"</f>
        <v>12/04/2022</v>
      </c>
      <c r="BT1089" t="str">
        <f>""</f>
        <v/>
      </c>
      <c r="BU1089" t="str">
        <f>""</f>
        <v/>
      </c>
      <c r="BV1089" t="str">
        <f>"5"</f>
        <v>5</v>
      </c>
      <c r="BW1089" t="str">
        <f>"17"</f>
        <v>17</v>
      </c>
    </row>
    <row r="1090" spans="1:75" x14ac:dyDescent="0.35">
      <c r="A1090">
        <v>157600</v>
      </c>
      <c r="B1090" t="str">
        <f t="shared" ref="B1090:B1153" si="545">"A"</f>
        <v>A</v>
      </c>
      <c r="C1090" t="str">
        <f t="shared" ref="C1090:C1153" si="546">"80"</f>
        <v>80</v>
      </c>
      <c r="D1090" t="str">
        <f t="shared" si="535"/>
        <v>11121002</v>
      </c>
      <c r="E1090" t="str">
        <f t="shared" si="536"/>
        <v>121002</v>
      </c>
      <c r="F1090" t="str">
        <f t="shared" si="537"/>
        <v>CINTHIA NORONHA</v>
      </c>
      <c r="G1090" t="str">
        <f>"07115234000123"</f>
        <v>07115234000123</v>
      </c>
      <c r="H1090" t="str">
        <f>"0"</f>
        <v>0</v>
      </c>
      <c r="I1090" t="str">
        <f t="shared" ref="I1090:I1153" si="547">"CONTA OPTICA"</f>
        <v>CONTA OPTICA</v>
      </c>
      <c r="J1090" t="str">
        <f>"R E K COMERCIO VAREJISTA DE ARTIGOS DE OTICA LTDA"</f>
        <v>R E K COMERCIO VAREJISTA DE ARTIGOS DE OTICA LTDA</v>
      </c>
      <c r="K1090" t="str">
        <f>"OTICA PRINCIPAL (666)"</f>
        <v>OTICA PRINCIPAL (666)</v>
      </c>
      <c r="L1090" t="str">
        <f>""</f>
        <v/>
      </c>
      <c r="M1090" t="str">
        <f>""</f>
        <v/>
      </c>
      <c r="N1090" t="str">
        <f>"OTICAPRINCIPAL@OUTLOOK.COM"</f>
        <v>OTICAPRINCIPAL@OUTLOOK.COM</v>
      </c>
      <c r="O1090" t="str">
        <f>""</f>
        <v/>
      </c>
      <c r="P1090" t="str">
        <f>"RUA JERONIMO COELHO"</f>
        <v>RUA JERONIMO COELHO</v>
      </c>
      <c r="Q1090" t="str">
        <f>"334"</f>
        <v>334</v>
      </c>
      <c r="R1090" t="str">
        <f>""</f>
        <v/>
      </c>
      <c r="S1090" t="str">
        <f>"1254"</f>
        <v>1254</v>
      </c>
      <c r="T1090" t="str">
        <f>"88010030"</f>
        <v>88010030</v>
      </c>
      <c r="U1090" t="str">
        <f>"CENTRO"</f>
        <v>CENTRO</v>
      </c>
      <c r="V1090" t="str">
        <f>"FLORIANOPOLIS"</f>
        <v>FLORIANOPOLIS</v>
      </c>
      <c r="W1090" t="str">
        <f t="shared" si="538"/>
        <v>SC</v>
      </c>
      <c r="X1090" t="str">
        <f t="shared" si="540"/>
        <v>48</v>
      </c>
      <c r="Y1090" t="str">
        <f>"32228377"</f>
        <v>32228377</v>
      </c>
      <c r="Z1090" t="str">
        <f>""</f>
        <v/>
      </c>
      <c r="AA1090" t="str">
        <f>""</f>
        <v/>
      </c>
      <c r="AB1090" t="str">
        <f>""</f>
        <v/>
      </c>
      <c r="AC1090" t="str">
        <f>""</f>
        <v/>
      </c>
      <c r="AD1090" t="str">
        <f>""</f>
        <v/>
      </c>
      <c r="AE1090" t="str">
        <f>""</f>
        <v/>
      </c>
      <c r="AF1090" t="str">
        <f>""</f>
        <v/>
      </c>
      <c r="AG1090" t="str">
        <f>""</f>
        <v/>
      </c>
      <c r="AH1090" t="str">
        <f>""</f>
        <v/>
      </c>
      <c r="AI1090" t="str">
        <f>""</f>
        <v/>
      </c>
      <c r="AJ1090" t="str">
        <f>""</f>
        <v/>
      </c>
      <c r="AK1090" t="str">
        <f>""</f>
        <v/>
      </c>
      <c r="AL1090" t="str">
        <f>""</f>
        <v/>
      </c>
      <c r="AM1090" t="str">
        <f>""</f>
        <v/>
      </c>
      <c r="AN1090" t="str">
        <f>""</f>
        <v/>
      </c>
      <c r="AO1090" t="str">
        <f>""</f>
        <v/>
      </c>
      <c r="AP1090" t="str">
        <f>""</f>
        <v/>
      </c>
      <c r="AQ1090" t="str">
        <f>""</f>
        <v/>
      </c>
      <c r="AR1090" t="str">
        <f>""</f>
        <v/>
      </c>
      <c r="AS1090" t="str">
        <f>""</f>
        <v/>
      </c>
      <c r="AT1090" t="str">
        <f>""</f>
        <v/>
      </c>
      <c r="AU1090" t="str">
        <f>""</f>
        <v/>
      </c>
      <c r="AV1090" t="str">
        <f>""</f>
        <v/>
      </c>
      <c r="AW1090" t="str">
        <f>""</f>
        <v/>
      </c>
      <c r="AX1090" t="str">
        <f>""</f>
        <v/>
      </c>
      <c r="AY1090" t="str">
        <f>""</f>
        <v/>
      </c>
      <c r="AZ1090" t="str">
        <f>""</f>
        <v/>
      </c>
      <c r="BA1090" t="str">
        <f>""</f>
        <v/>
      </c>
      <c r="BB1090" t="str">
        <f>"11/07/2023 02:19:56"</f>
        <v>11/07/2023 02:19:56</v>
      </c>
      <c r="BC1090" t="str">
        <f>""</f>
        <v/>
      </c>
      <c r="BD1090" t="str">
        <f>""</f>
        <v/>
      </c>
      <c r="BE1090" t="str">
        <f>""</f>
        <v/>
      </c>
      <c r="BF1090" t="str">
        <f t="shared" ref="BF1090:BF1153" si="548">"A"</f>
        <v>A</v>
      </c>
      <c r="BG1090" t="str">
        <f>""</f>
        <v/>
      </c>
      <c r="BH1090" t="str">
        <f>""</f>
        <v/>
      </c>
      <c r="BI1090" t="str">
        <f t="shared" si="531"/>
        <v>EVENTUAL</v>
      </c>
      <c r="BJ1090" t="str">
        <f t="shared" ref="BJ1090:BJ1153" si="549">"1"</f>
        <v>1</v>
      </c>
      <c r="BK1090" t="str">
        <f t="shared" ref="BK1090:BK1153" si="550">"Farmacia"</f>
        <v>Farmacia</v>
      </c>
      <c r="BL1090" t="str">
        <f>""</f>
        <v/>
      </c>
      <c r="BM1090" t="str">
        <f>""</f>
        <v/>
      </c>
      <c r="BN1090" t="str">
        <f>""</f>
        <v/>
      </c>
      <c r="BO1090" t="str">
        <f>""</f>
        <v/>
      </c>
      <c r="BP1090" t="str">
        <f>""</f>
        <v/>
      </c>
      <c r="BQ1090" t="str">
        <f>""</f>
        <v/>
      </c>
      <c r="BR1090" t="str">
        <f>"11/07/2023"</f>
        <v>11/07/2023</v>
      </c>
      <c r="BS1090" t="str">
        <f>""</f>
        <v/>
      </c>
      <c r="BT1090" t="str">
        <f>""</f>
        <v/>
      </c>
      <c r="BU1090" t="str">
        <f>""</f>
        <v/>
      </c>
      <c r="BV1090" t="str">
        <f>""</f>
        <v/>
      </c>
      <c r="BW1090" t="str">
        <f>"Não visitado"</f>
        <v>Não visitado</v>
      </c>
    </row>
    <row r="1091" spans="1:75" x14ac:dyDescent="0.35">
      <c r="A1091">
        <v>117440</v>
      </c>
      <c r="B1091" t="str">
        <f t="shared" si="545"/>
        <v>A</v>
      </c>
      <c r="C1091" t="str">
        <f t="shared" si="546"/>
        <v>80</v>
      </c>
      <c r="D1091" t="str">
        <f t="shared" si="535"/>
        <v>11121002</v>
      </c>
      <c r="E1091" t="str">
        <f t="shared" si="536"/>
        <v>121002</v>
      </c>
      <c r="F1091" t="str">
        <f t="shared" si="537"/>
        <v>CINTHIA NORONHA</v>
      </c>
      <c r="G1091" t="str">
        <f>"07871974000190"</f>
        <v>07871974000190</v>
      </c>
      <c r="H1091" t="str">
        <f>"0"</f>
        <v>0</v>
      </c>
      <c r="I1091" t="str">
        <f t="shared" si="547"/>
        <v>CONTA OPTICA</v>
      </c>
      <c r="J1091" t="str">
        <f>"R.D.R.M. MACIEL OPTICA ME"</f>
        <v>R.D.R.M. MACIEL OPTICA ME</v>
      </c>
      <c r="K1091" t="str">
        <f>"MACIEL OPTICA (877)"</f>
        <v>MACIEL OPTICA (877)</v>
      </c>
      <c r="L1091" t="str">
        <f>""</f>
        <v/>
      </c>
      <c r="M1091" t="str">
        <f>""</f>
        <v/>
      </c>
      <c r="N1091" t="str">
        <f>""</f>
        <v/>
      </c>
      <c r="O1091" t="str">
        <f>""</f>
        <v/>
      </c>
      <c r="P1091" t="str">
        <f>"RUA Amaro JosE Pereira"</f>
        <v>RUA Amaro JosE Pereira</v>
      </c>
      <c r="Q1091" t="str">
        <f>"1860"</f>
        <v>1860</v>
      </c>
      <c r="R1091" t="str">
        <f>"SALA 02"</f>
        <v>SALA 02</v>
      </c>
      <c r="S1091" t="str">
        <f>"1270"</f>
        <v>1270</v>
      </c>
      <c r="T1091" t="str">
        <f>"88906742"</f>
        <v>88906742</v>
      </c>
      <c r="U1091" t="str">
        <f>"COLONINHA"</f>
        <v>COLONINHA</v>
      </c>
      <c r="V1091" t="str">
        <f>"ARARANGUÁ"</f>
        <v>ARARANGUÁ</v>
      </c>
      <c r="W1091" t="str">
        <f t="shared" si="538"/>
        <v>SC</v>
      </c>
      <c r="X1091" t="str">
        <f t="shared" si="540"/>
        <v>48</v>
      </c>
      <c r="Y1091" t="str">
        <f>"35231941"</f>
        <v>35231941</v>
      </c>
      <c r="Z1091" t="str">
        <f>""</f>
        <v/>
      </c>
      <c r="AA1091" t="str">
        <f>""</f>
        <v/>
      </c>
      <c r="AB1091" t="str">
        <f>""</f>
        <v/>
      </c>
      <c r="AC1091" t="str">
        <f>""</f>
        <v/>
      </c>
      <c r="AD1091" t="str">
        <f>""</f>
        <v/>
      </c>
      <c r="AE1091" t="str">
        <f>""</f>
        <v/>
      </c>
      <c r="AF1091" t="str">
        <f>""</f>
        <v/>
      </c>
      <c r="AG1091" t="str">
        <f>""</f>
        <v/>
      </c>
      <c r="AH1091" t="str">
        <f>""</f>
        <v/>
      </c>
      <c r="AI1091" t="str">
        <f>""</f>
        <v/>
      </c>
      <c r="AJ1091" t="str">
        <f>"0"</f>
        <v>0</v>
      </c>
      <c r="AK1091" t="str">
        <f>"0"</f>
        <v>0</v>
      </c>
      <c r="AL1091" t="str">
        <f>"0"</f>
        <v>0</v>
      </c>
      <c r="AM1091" t="str">
        <f>""</f>
        <v/>
      </c>
      <c r="AN1091" t="str">
        <f>""</f>
        <v/>
      </c>
      <c r="AO1091" t="str">
        <f>""</f>
        <v/>
      </c>
      <c r="AP1091" t="str">
        <f>""</f>
        <v/>
      </c>
      <c r="AQ1091" t="str">
        <f>""</f>
        <v/>
      </c>
      <c r="AR1091" t="str">
        <f>""</f>
        <v/>
      </c>
      <c r="AS1091" t="str">
        <f>""</f>
        <v/>
      </c>
      <c r="AT1091" t="str">
        <f>""</f>
        <v/>
      </c>
      <c r="AU1091" t="str">
        <f>""</f>
        <v/>
      </c>
      <c r="AV1091" t="str">
        <f>""</f>
        <v/>
      </c>
      <c r="AW1091" t="str">
        <f>""</f>
        <v/>
      </c>
      <c r="AX1091" t="str">
        <f>""</f>
        <v/>
      </c>
      <c r="AY1091" t="str">
        <f>""</f>
        <v/>
      </c>
      <c r="AZ1091" t="str">
        <f>""</f>
        <v/>
      </c>
      <c r="BA1091" t="str">
        <f>""</f>
        <v/>
      </c>
      <c r="BB1091" t="str">
        <f>"22/07/2020 08:24:23"</f>
        <v>22/07/2020 08:24:23</v>
      </c>
      <c r="BC1091" t="str">
        <f>""</f>
        <v/>
      </c>
      <c r="BD1091" t="str">
        <f>""</f>
        <v/>
      </c>
      <c r="BE1091" t="str">
        <f>""</f>
        <v/>
      </c>
      <c r="BF1091" t="str">
        <f t="shared" si="548"/>
        <v>A</v>
      </c>
      <c r="BG1091" t="str">
        <f>"0,00"</f>
        <v>0,00</v>
      </c>
      <c r="BH1091" t="str">
        <f>"0,00"</f>
        <v>0,00</v>
      </c>
      <c r="BI1091" t="str">
        <f t="shared" si="531"/>
        <v>EVENTUAL</v>
      </c>
      <c r="BJ1091" t="str">
        <f t="shared" si="549"/>
        <v>1</v>
      </c>
      <c r="BK1091" t="str">
        <f t="shared" si="550"/>
        <v>Farmacia</v>
      </c>
      <c r="BL1091" t="str">
        <f>""</f>
        <v/>
      </c>
      <c r="BM1091" t="str">
        <f>"NÃO É VARILUX ESPECIALISTA"</f>
        <v>NÃO É VARILUX ESPECIALISTA</v>
      </c>
      <c r="BN1091" t="str">
        <f>"NA"</f>
        <v>NA</v>
      </c>
      <c r="BO1091" t="str">
        <f>"OUTROS"</f>
        <v>OUTROS</v>
      </c>
      <c r="BP1091" t="str">
        <f>""</f>
        <v/>
      </c>
      <c r="BQ1091" t="str">
        <f>""</f>
        <v/>
      </c>
      <c r="BR1091" t="str">
        <f>"22/07/2020"</f>
        <v>22/07/2020</v>
      </c>
      <c r="BS1091" t="str">
        <f>""</f>
        <v/>
      </c>
      <c r="BT1091" t="str">
        <f>""</f>
        <v/>
      </c>
      <c r="BU1091" t="str">
        <f>""</f>
        <v/>
      </c>
      <c r="BV1091" t="str">
        <f>"9"</f>
        <v>9</v>
      </c>
      <c r="BW1091" t="str">
        <f>"35"</f>
        <v>35</v>
      </c>
    </row>
    <row r="1092" spans="1:75" x14ac:dyDescent="0.35">
      <c r="A1092">
        <v>144626</v>
      </c>
      <c r="B1092" t="str">
        <f t="shared" si="545"/>
        <v>A</v>
      </c>
      <c r="C1092" t="str">
        <f t="shared" si="546"/>
        <v>80</v>
      </c>
      <c r="D1092" t="str">
        <f t="shared" si="535"/>
        <v>11121002</v>
      </c>
      <c r="E1092" t="str">
        <f t="shared" si="536"/>
        <v>121002</v>
      </c>
      <c r="F1092" t="str">
        <f t="shared" si="537"/>
        <v>CINTHIA NORONHA</v>
      </c>
      <c r="G1092" t="str">
        <f>"22399698000100"</f>
        <v>22399698000100</v>
      </c>
      <c r="H1092" t="str">
        <f>""</f>
        <v/>
      </c>
      <c r="I1092" t="str">
        <f t="shared" si="547"/>
        <v>CONTA OPTICA</v>
      </c>
      <c r="J1092" t="str">
        <f>"RAFAEL CUNHA FERNANDES 07614041984"</f>
        <v>RAFAEL CUNHA FERNANDES 07614041984</v>
      </c>
      <c r="K1092" t="str">
        <f>"RAFISA JOIAS (4086)"</f>
        <v>RAFISA JOIAS (4086)</v>
      </c>
      <c r="L1092" t="str">
        <f>""</f>
        <v/>
      </c>
      <c r="M1092" t="str">
        <f>""</f>
        <v/>
      </c>
      <c r="N1092" t="str">
        <f>"rafisajoias@gmail.com"</f>
        <v>rafisajoias@gmail.com</v>
      </c>
      <c r="O1092" t="str">
        <f>""</f>
        <v/>
      </c>
      <c r="P1092" t="str">
        <f>"RUA CONEGO MIGUEL GIACCA"</f>
        <v>RUA CONEGO MIGUEL GIACCA</v>
      </c>
      <c r="Q1092" t="str">
        <f>"15"</f>
        <v>15</v>
      </c>
      <c r="R1092" t="str">
        <f>"SL 5"</f>
        <v>SL 5</v>
      </c>
      <c r="S1092" t="str">
        <f>"1269"</f>
        <v>1269</v>
      </c>
      <c r="T1092" t="str">
        <f>"88801030"</f>
        <v>88801030</v>
      </c>
      <c r="U1092" t="str">
        <f>"CENTRO"</f>
        <v>CENTRO</v>
      </c>
      <c r="V1092" t="str">
        <f>"CRICIÚMA"</f>
        <v>CRICIÚMA</v>
      </c>
      <c r="W1092" t="str">
        <f t="shared" si="538"/>
        <v>SC</v>
      </c>
      <c r="X1092" t="str">
        <f t="shared" si="540"/>
        <v>48</v>
      </c>
      <c r="Y1092" t="str">
        <f>"34332894"</f>
        <v>34332894</v>
      </c>
      <c r="Z1092" t="str">
        <f>""</f>
        <v/>
      </c>
      <c r="AA1092" t="str">
        <f>""</f>
        <v/>
      </c>
      <c r="AB1092" t="str">
        <f>""</f>
        <v/>
      </c>
      <c r="AC1092" t="str">
        <f>""</f>
        <v/>
      </c>
      <c r="AD1092" t="str">
        <f>""</f>
        <v/>
      </c>
      <c r="AE1092" t="str">
        <f>""</f>
        <v/>
      </c>
      <c r="AF1092" t="str">
        <f>""</f>
        <v/>
      </c>
      <c r="AG1092" t="str">
        <f>""</f>
        <v/>
      </c>
      <c r="AH1092" t="str">
        <f>""</f>
        <v/>
      </c>
      <c r="AI1092" t="str">
        <f>""</f>
        <v/>
      </c>
      <c r="AJ1092" t="str">
        <f>"2"</f>
        <v>2</v>
      </c>
      <c r="AK1092" t="str">
        <f>"2"</f>
        <v>2</v>
      </c>
      <c r="AL1092" t="str">
        <f>"0"</f>
        <v>0</v>
      </c>
      <c r="AM1092" t="str">
        <f>""</f>
        <v/>
      </c>
      <c r="AN1092" t="str">
        <f>""</f>
        <v/>
      </c>
      <c r="AO1092" t="str">
        <f>""</f>
        <v/>
      </c>
      <c r="AP1092" t="str">
        <f>""</f>
        <v/>
      </c>
      <c r="AQ1092" t="str">
        <f>""</f>
        <v/>
      </c>
      <c r="AR1092" t="str">
        <f>""</f>
        <v/>
      </c>
      <c r="AS1092" t="str">
        <f>""</f>
        <v/>
      </c>
      <c r="AT1092" t="str">
        <f>""</f>
        <v/>
      </c>
      <c r="AU1092" t="str">
        <f>""</f>
        <v/>
      </c>
      <c r="AV1092" t="str">
        <f>""</f>
        <v/>
      </c>
      <c r="AW1092" t="str">
        <f>""</f>
        <v/>
      </c>
      <c r="AX1092" t="str">
        <f>""</f>
        <v/>
      </c>
      <c r="AY1092" t="str">
        <f>""</f>
        <v/>
      </c>
      <c r="AZ1092" t="str">
        <f>""</f>
        <v/>
      </c>
      <c r="BA1092" t="str">
        <f>""</f>
        <v/>
      </c>
      <c r="BB1092" t="str">
        <f>""</f>
        <v/>
      </c>
      <c r="BC1092" t="str">
        <f>""</f>
        <v/>
      </c>
      <c r="BD1092" t="str">
        <f>""</f>
        <v/>
      </c>
      <c r="BE1092" t="str">
        <f>""</f>
        <v/>
      </c>
      <c r="BF1092" t="str">
        <f t="shared" si="548"/>
        <v>A</v>
      </c>
      <c r="BG1092" t="str">
        <f>"0,00"</f>
        <v>0,00</v>
      </c>
      <c r="BH1092" t="str">
        <f>"0,00"</f>
        <v>0,00</v>
      </c>
      <c r="BI1092" t="str">
        <f t="shared" si="531"/>
        <v>EVENTUAL</v>
      </c>
      <c r="BJ1092" t="str">
        <f t="shared" si="549"/>
        <v>1</v>
      </c>
      <c r="BK1092" t="str">
        <f t="shared" si="550"/>
        <v>Farmacia</v>
      </c>
      <c r="BL1092" t="str">
        <f>""</f>
        <v/>
      </c>
      <c r="BM1092" t="str">
        <f>"NÃO É VARILUX ESPECIALISTA"</f>
        <v>NÃO É VARILUX ESPECIALISTA</v>
      </c>
      <c r="BN1092" t="str">
        <f>"NA"</f>
        <v>NA</v>
      </c>
      <c r="BO1092" t="str">
        <f>"FOCO VARILUX DIGITAL"</f>
        <v>FOCO VARILUX DIGITAL</v>
      </c>
      <c r="BP1092" t="str">
        <f>"ÓTICA INDEPENDENTE"</f>
        <v>ÓTICA INDEPENDENTE</v>
      </c>
      <c r="BQ1092" t="str">
        <f>""</f>
        <v/>
      </c>
      <c r="BR1092" t="str">
        <f>""</f>
        <v/>
      </c>
      <c r="BS1092" t="str">
        <f>""</f>
        <v/>
      </c>
      <c r="BT1092" t="str">
        <f>""</f>
        <v/>
      </c>
      <c r="BU1092" t="str">
        <f>""</f>
        <v/>
      </c>
      <c r="BV1092" t="str">
        <f>"9"</f>
        <v>9</v>
      </c>
      <c r="BW1092" t="str">
        <f>"Não visitado"</f>
        <v>Não visitado</v>
      </c>
    </row>
    <row r="1093" spans="1:75" x14ac:dyDescent="0.35">
      <c r="A1093">
        <v>137498</v>
      </c>
      <c r="B1093" t="str">
        <f t="shared" si="545"/>
        <v>A</v>
      </c>
      <c r="C1093" t="str">
        <f t="shared" si="546"/>
        <v>80</v>
      </c>
      <c r="D1093" t="str">
        <f t="shared" si="535"/>
        <v>11121002</v>
      </c>
      <c r="E1093" t="str">
        <f t="shared" si="536"/>
        <v>121002</v>
      </c>
      <c r="F1093" t="str">
        <f t="shared" si="537"/>
        <v>CINTHIA NORONHA</v>
      </c>
      <c r="G1093" t="str">
        <f>"42397567000193"</f>
        <v>42397567000193</v>
      </c>
      <c r="H1093" t="str">
        <f>"0"</f>
        <v>0</v>
      </c>
      <c r="I1093" t="str">
        <f t="shared" si="547"/>
        <v>CONTA OPTICA</v>
      </c>
      <c r="J1093" t="str">
        <f>"RAIMUNDA ELISANE DE CASTRO SANTOS 72041978287"</f>
        <v>RAIMUNDA ELISANE DE CASTRO SANTOS 72041978287</v>
      </c>
      <c r="K1093" t="str">
        <f>"OTICA ELEGANCE (4347)"</f>
        <v>OTICA ELEGANCE (4347)</v>
      </c>
      <c r="L1093" t="str">
        <f>""</f>
        <v/>
      </c>
      <c r="M1093" t="str">
        <f>""</f>
        <v/>
      </c>
      <c r="N1093" t="str">
        <f>"CONTATO.ELEGANCEOTICA@GMAIL.COM"</f>
        <v>CONTATO.ELEGANCEOTICA@GMAIL.COM</v>
      </c>
      <c r="O1093" t="str">
        <f>""</f>
        <v/>
      </c>
      <c r="P1093" t="str">
        <f>"RUA MANOEL ROSA"</f>
        <v>RUA MANOEL ROSA</v>
      </c>
      <c r="Q1093" t="str">
        <f>"116"</f>
        <v>116</v>
      </c>
      <c r="R1093" t="str">
        <f>"CONJ"</f>
        <v>CONJ</v>
      </c>
      <c r="S1093" t="str">
        <f>""</f>
        <v/>
      </c>
      <c r="T1093" t="str">
        <f>"88113835"</f>
        <v>88113835</v>
      </c>
      <c r="U1093" t="str">
        <f>"AREIAS"</f>
        <v>AREIAS</v>
      </c>
      <c r="V1093" t="str">
        <f>"SÃO JOSÉ"</f>
        <v>SÃO JOSÉ</v>
      </c>
      <c r="W1093" t="str">
        <f t="shared" si="538"/>
        <v>SC</v>
      </c>
      <c r="X1093" t="str">
        <f t="shared" si="540"/>
        <v>48</v>
      </c>
      <c r="Y1093" t="str">
        <f>"999215716"</f>
        <v>999215716</v>
      </c>
      <c r="Z1093" t="str">
        <f>""</f>
        <v/>
      </c>
      <c r="AA1093" t="str">
        <f>""</f>
        <v/>
      </c>
      <c r="AB1093" t="str">
        <f>""</f>
        <v/>
      </c>
      <c r="AC1093" t="str">
        <f>""</f>
        <v/>
      </c>
      <c r="AD1093" t="str">
        <f>""</f>
        <v/>
      </c>
      <c r="AE1093" t="str">
        <f>""</f>
        <v/>
      </c>
      <c r="AF1093" t="str">
        <f>""</f>
        <v/>
      </c>
      <c r="AG1093" t="str">
        <f>"S"</f>
        <v>S</v>
      </c>
      <c r="AH1093" t="str">
        <f>""</f>
        <v/>
      </c>
      <c r="AI1093" t="str">
        <f>""</f>
        <v/>
      </c>
      <c r="AJ1093" t="str">
        <f>""</f>
        <v/>
      </c>
      <c r="AK1093" t="str">
        <f>""</f>
        <v/>
      </c>
      <c r="AL1093" t="str">
        <f>""</f>
        <v/>
      </c>
      <c r="AM1093" t="str">
        <f>""</f>
        <v/>
      </c>
      <c r="AN1093" t="str">
        <f>""</f>
        <v/>
      </c>
      <c r="AO1093" t="str">
        <f>""</f>
        <v/>
      </c>
      <c r="AP1093" t="str">
        <f>""</f>
        <v/>
      </c>
      <c r="AQ1093" t="str">
        <f t="shared" ref="AQ1093:AU1095" si="551">"N"</f>
        <v>N</v>
      </c>
      <c r="AR1093" t="str">
        <f t="shared" si="551"/>
        <v>N</v>
      </c>
      <c r="AS1093" t="str">
        <f t="shared" si="551"/>
        <v>N</v>
      </c>
      <c r="AT1093" t="str">
        <f t="shared" si="551"/>
        <v>N</v>
      </c>
      <c r="AU1093" t="str">
        <f t="shared" si="551"/>
        <v>N</v>
      </c>
      <c r="AV1093" t="str">
        <f>""</f>
        <v/>
      </c>
      <c r="AW1093" t="str">
        <f>""</f>
        <v/>
      </c>
      <c r="AX1093" t="str">
        <f>""</f>
        <v/>
      </c>
      <c r="AY1093" t="str">
        <f>""</f>
        <v/>
      </c>
      <c r="AZ1093" t="str">
        <f>""</f>
        <v/>
      </c>
      <c r="BA1093" t="str">
        <f>""</f>
        <v/>
      </c>
      <c r="BB1093" t="str">
        <f>"29/06/2021 10:02:37"</f>
        <v>29/06/2021 10:02:37</v>
      </c>
      <c r="BC1093" t="str">
        <f>"19/04/2022 15:28:12"</f>
        <v>19/04/2022 15:28:12</v>
      </c>
      <c r="BD1093" t="str">
        <f>""</f>
        <v/>
      </c>
      <c r="BE1093" t="str">
        <f>""</f>
        <v/>
      </c>
      <c r="BF1093" t="str">
        <f t="shared" si="548"/>
        <v>A</v>
      </c>
      <c r="BG1093" t="str">
        <f>""</f>
        <v/>
      </c>
      <c r="BH1093" t="str">
        <f>"0,00"</f>
        <v>0,00</v>
      </c>
      <c r="BI1093" t="str">
        <f t="shared" si="531"/>
        <v>EVENTUAL</v>
      </c>
      <c r="BJ1093" t="str">
        <f t="shared" si="549"/>
        <v>1</v>
      </c>
      <c r="BK1093" t="str">
        <f t="shared" si="550"/>
        <v>Farmacia</v>
      </c>
      <c r="BL1093" t="str">
        <f>""</f>
        <v/>
      </c>
      <c r="BM1093" t="str">
        <f>"NÃO É VARILUX ESPECIALISTA"</f>
        <v>NÃO É VARILUX ESPECIALISTA</v>
      </c>
      <c r="BN1093" t="str">
        <f>"NA"</f>
        <v>NA</v>
      </c>
      <c r="BO1093" t="str">
        <f>""</f>
        <v/>
      </c>
      <c r="BP1093" t="str">
        <f>""</f>
        <v/>
      </c>
      <c r="BQ1093" t="str">
        <f>""</f>
        <v/>
      </c>
      <c r="BR1093" t="str">
        <f>"29/06/2021"</f>
        <v>29/06/2021</v>
      </c>
      <c r="BS1093" t="str">
        <f>"19/04/2022"</f>
        <v>19/04/2022</v>
      </c>
      <c r="BT1093" t="str">
        <f>""</f>
        <v/>
      </c>
      <c r="BU1093" t="str">
        <f>""</f>
        <v/>
      </c>
      <c r="BV1093" t="str">
        <f>""</f>
        <v/>
      </c>
      <c r="BW1093" t="str">
        <f>"11"</f>
        <v>11</v>
      </c>
    </row>
    <row r="1094" spans="1:75" x14ac:dyDescent="0.35">
      <c r="A1094">
        <v>134404</v>
      </c>
      <c r="B1094" t="str">
        <f t="shared" si="545"/>
        <v>A</v>
      </c>
      <c r="C1094" t="str">
        <f t="shared" si="546"/>
        <v>80</v>
      </c>
      <c r="D1094" t="str">
        <f t="shared" si="535"/>
        <v>11121002</v>
      </c>
      <c r="E1094" t="str">
        <f t="shared" si="536"/>
        <v>121002</v>
      </c>
      <c r="F1094" t="str">
        <f t="shared" si="537"/>
        <v>CINTHIA NORONHA</v>
      </c>
      <c r="G1094" t="str">
        <f>"32000969000159"</f>
        <v>32000969000159</v>
      </c>
      <c r="H1094" t="str">
        <f>""</f>
        <v/>
      </c>
      <c r="I1094" t="str">
        <f t="shared" si="547"/>
        <v>CONTA OPTICA</v>
      </c>
      <c r="J1094" t="str">
        <f>"RAMBOR E ROSA OTICA LTDA"</f>
        <v>RAMBOR E ROSA OTICA LTDA</v>
      </c>
      <c r="K1094" t="str">
        <f>"MERCADAO DOS OCULOS (3966)"</f>
        <v>MERCADAO DOS OCULOS (3966)</v>
      </c>
      <c r="L1094" t="str">
        <f>""</f>
        <v/>
      </c>
      <c r="M1094" t="str">
        <f>""</f>
        <v/>
      </c>
      <c r="N1094" t="str">
        <f>"carmendarosa78@hotmail.com"</f>
        <v>carmendarosa78@hotmail.com</v>
      </c>
      <c r="O1094" t="str">
        <f>""</f>
        <v/>
      </c>
      <c r="P1094" t="str">
        <f>"RUA JOSE MARIA DA LUZ"</f>
        <v>RUA JOSE MARIA DA LUZ</v>
      </c>
      <c r="Q1094" t="str">
        <f>"2916"</f>
        <v>2916</v>
      </c>
      <c r="R1094" t="str">
        <f>"SALA 03"</f>
        <v>SALA 03</v>
      </c>
      <c r="S1094" t="str">
        <f>"1259"</f>
        <v>1259</v>
      </c>
      <c r="T1094" t="str">
        <f>"88131000"</f>
        <v>88131000</v>
      </c>
      <c r="U1094" t="str">
        <f>"CENTRO"</f>
        <v>CENTRO</v>
      </c>
      <c r="V1094" t="str">
        <f>"PALHOÇA"</f>
        <v>PALHOÇA</v>
      </c>
      <c r="W1094" t="str">
        <f t="shared" si="538"/>
        <v>SC</v>
      </c>
      <c r="X1094" t="str">
        <f t="shared" si="540"/>
        <v>48</v>
      </c>
      <c r="Y1094" t="str">
        <f>"37711994"</f>
        <v>37711994</v>
      </c>
      <c r="Z1094" t="str">
        <f>""</f>
        <v/>
      </c>
      <c r="AA1094" t="str">
        <f>""</f>
        <v/>
      </c>
      <c r="AB1094" t="str">
        <f>""</f>
        <v/>
      </c>
      <c r="AC1094" t="str">
        <f>""</f>
        <v/>
      </c>
      <c r="AD1094" t="str">
        <f>""</f>
        <v/>
      </c>
      <c r="AE1094" t="str">
        <f>""</f>
        <v/>
      </c>
      <c r="AF1094" t="str">
        <f>""</f>
        <v/>
      </c>
      <c r="AG1094" t="str">
        <f>"S"</f>
        <v>S</v>
      </c>
      <c r="AH1094" t="str">
        <f>""</f>
        <v/>
      </c>
      <c r="AI1094" t="str">
        <f>""</f>
        <v/>
      </c>
      <c r="AJ1094" t="str">
        <f>""</f>
        <v/>
      </c>
      <c r="AK1094" t="str">
        <f>""</f>
        <v/>
      </c>
      <c r="AL1094" t="str">
        <f>""</f>
        <v/>
      </c>
      <c r="AM1094" t="str">
        <f>""</f>
        <v/>
      </c>
      <c r="AN1094" t="str">
        <f>""</f>
        <v/>
      </c>
      <c r="AO1094" t="str">
        <f>""</f>
        <v/>
      </c>
      <c r="AP1094" t="str">
        <f>""</f>
        <v/>
      </c>
      <c r="AQ1094" t="str">
        <f t="shared" si="551"/>
        <v>N</v>
      </c>
      <c r="AR1094" t="str">
        <f t="shared" si="551"/>
        <v>N</v>
      </c>
      <c r="AS1094" t="str">
        <f t="shared" si="551"/>
        <v>N</v>
      </c>
      <c r="AT1094" t="str">
        <f t="shared" si="551"/>
        <v>N</v>
      </c>
      <c r="AU1094" t="str">
        <f t="shared" si="551"/>
        <v>N</v>
      </c>
      <c r="AV1094" t="str">
        <f>""</f>
        <v/>
      </c>
      <c r="AW1094" t="str">
        <f>""</f>
        <v/>
      </c>
      <c r="AX1094" t="str">
        <f>""</f>
        <v/>
      </c>
      <c r="AY1094" t="str">
        <f>""</f>
        <v/>
      </c>
      <c r="AZ1094" t="str">
        <f>""</f>
        <v/>
      </c>
      <c r="BA1094" t="str">
        <f>""</f>
        <v/>
      </c>
      <c r="BB1094" t="str">
        <f>""</f>
        <v/>
      </c>
      <c r="BC1094" t="str">
        <f>"22/04/2022 12:13:25"</f>
        <v>22/04/2022 12:13:25</v>
      </c>
      <c r="BD1094" t="str">
        <f>""</f>
        <v/>
      </c>
      <c r="BE1094" t="str">
        <f>""</f>
        <v/>
      </c>
      <c r="BF1094" t="str">
        <f t="shared" si="548"/>
        <v>A</v>
      </c>
      <c r="BG1094" t="str">
        <f>""</f>
        <v/>
      </c>
      <c r="BH1094" t="str">
        <f>"0,00"</f>
        <v>0,00</v>
      </c>
      <c r="BI1094" t="str">
        <f t="shared" si="531"/>
        <v>EVENTUAL</v>
      </c>
      <c r="BJ1094" t="str">
        <f t="shared" si="549"/>
        <v>1</v>
      </c>
      <c r="BK1094" t="str">
        <f t="shared" si="550"/>
        <v>Farmacia</v>
      </c>
      <c r="BL1094" t="str">
        <f>""</f>
        <v/>
      </c>
      <c r="BM1094" t="str">
        <f>"NÃO É VARILUX ESPECIALISTA"</f>
        <v>NÃO É VARILUX ESPECIALISTA</v>
      </c>
      <c r="BN1094" t="str">
        <f>"NA"</f>
        <v>NA</v>
      </c>
      <c r="BO1094" t="str">
        <f>"FOCO KODAK 2"</f>
        <v>FOCO KODAK 2</v>
      </c>
      <c r="BP1094" t="str">
        <f>""</f>
        <v/>
      </c>
      <c r="BQ1094" t="str">
        <f>""</f>
        <v/>
      </c>
      <c r="BR1094" t="str">
        <f>""</f>
        <v/>
      </c>
      <c r="BS1094" t="str">
        <f>"22/04/2022"</f>
        <v>22/04/2022</v>
      </c>
      <c r="BT1094" t="str">
        <f>""</f>
        <v/>
      </c>
      <c r="BU1094" t="str">
        <f>""</f>
        <v/>
      </c>
      <c r="BV1094" t="str">
        <f>"8"</f>
        <v>8</v>
      </c>
      <c r="BW1094" t="str">
        <f>"67"</f>
        <v>67</v>
      </c>
    </row>
    <row r="1095" spans="1:75" x14ac:dyDescent="0.35">
      <c r="A1095">
        <v>140102</v>
      </c>
      <c r="B1095" t="str">
        <f t="shared" si="545"/>
        <v>A</v>
      </c>
      <c r="C1095" t="str">
        <f t="shared" si="546"/>
        <v>80</v>
      </c>
      <c r="D1095" t="str">
        <f t="shared" si="535"/>
        <v>11121002</v>
      </c>
      <c r="E1095" t="str">
        <f t="shared" si="536"/>
        <v>121002</v>
      </c>
      <c r="F1095" t="str">
        <f t="shared" si="537"/>
        <v>CINTHIA NORONHA</v>
      </c>
      <c r="G1095" t="str">
        <f>"32502087000191"</f>
        <v>32502087000191</v>
      </c>
      <c r="H1095" t="str">
        <f>"0"</f>
        <v>0</v>
      </c>
      <c r="I1095" t="str">
        <f t="shared" si="547"/>
        <v>CONTA OPTICA</v>
      </c>
      <c r="J1095" t="str">
        <f>"RAMOS E BIANCHIN COMERCIO DE ARTIGOS OPTICOS LTDA"</f>
        <v>RAMOS E BIANCHIN COMERCIO DE ARTIGOS OPTICOS LTDA</v>
      </c>
      <c r="K1095" t="str">
        <f>"OTICA CELYN (4383)"</f>
        <v>OTICA CELYN (4383)</v>
      </c>
      <c r="L1095" t="str">
        <f>""</f>
        <v/>
      </c>
      <c r="M1095" t="str">
        <f>""</f>
        <v/>
      </c>
      <c r="N1095" t="str">
        <f>"EVELYN.BIANCHIN@GMAIL.COM"</f>
        <v>EVELYN.BIANCHIN@GMAIL.COM</v>
      </c>
      <c r="O1095" t="str">
        <f>""</f>
        <v/>
      </c>
      <c r="P1095" t="str">
        <f>"AVENIDA BOM JESUS DE NAZARE"</f>
        <v>AVENIDA BOM JESUS DE NAZARE</v>
      </c>
      <c r="Q1095" t="str">
        <f>"1640"</f>
        <v>1640</v>
      </c>
      <c r="R1095" t="str">
        <f>""</f>
        <v/>
      </c>
      <c r="S1095" t="str">
        <f>"1259"</f>
        <v>1259</v>
      </c>
      <c r="T1095" t="str">
        <f>"88135100"</f>
        <v>88135100</v>
      </c>
      <c r="U1095" t="str">
        <f>"ARIRIU"</f>
        <v>ARIRIU</v>
      </c>
      <c r="V1095" t="str">
        <f>"PALHOÇA"</f>
        <v>PALHOÇA</v>
      </c>
      <c r="W1095" t="str">
        <f t="shared" si="538"/>
        <v>SC</v>
      </c>
      <c r="X1095" t="str">
        <f t="shared" si="540"/>
        <v>48</v>
      </c>
      <c r="Y1095" t="str">
        <f>"999130289"</f>
        <v>999130289</v>
      </c>
      <c r="Z1095" t="str">
        <f>""</f>
        <v/>
      </c>
      <c r="AA1095" t="str">
        <f>""</f>
        <v/>
      </c>
      <c r="AB1095" t="str">
        <f>""</f>
        <v/>
      </c>
      <c r="AC1095" t="str">
        <f>""</f>
        <v/>
      </c>
      <c r="AD1095" t="str">
        <f>""</f>
        <v/>
      </c>
      <c r="AE1095" t="str">
        <f>""</f>
        <v/>
      </c>
      <c r="AF1095" t="str">
        <f>""</f>
        <v/>
      </c>
      <c r="AG1095" t="str">
        <f>"S"</f>
        <v>S</v>
      </c>
      <c r="AH1095" t="str">
        <f>""</f>
        <v/>
      </c>
      <c r="AI1095" t="str">
        <f>""</f>
        <v/>
      </c>
      <c r="AJ1095" t="str">
        <f>""</f>
        <v/>
      </c>
      <c r="AK1095" t="str">
        <f>""</f>
        <v/>
      </c>
      <c r="AL1095" t="str">
        <f>""</f>
        <v/>
      </c>
      <c r="AM1095" t="str">
        <f>""</f>
        <v/>
      </c>
      <c r="AN1095" t="str">
        <f>""</f>
        <v/>
      </c>
      <c r="AO1095" t="str">
        <f>""</f>
        <v/>
      </c>
      <c r="AP1095" t="str">
        <f>""</f>
        <v/>
      </c>
      <c r="AQ1095" t="str">
        <f t="shared" si="551"/>
        <v>N</v>
      </c>
      <c r="AR1095" t="str">
        <f t="shared" si="551"/>
        <v>N</v>
      </c>
      <c r="AS1095" t="str">
        <f t="shared" si="551"/>
        <v>N</v>
      </c>
      <c r="AT1095" t="str">
        <f t="shared" si="551"/>
        <v>N</v>
      </c>
      <c r="AU1095" t="str">
        <f t="shared" si="551"/>
        <v>N</v>
      </c>
      <c r="AV1095" t="str">
        <f>""</f>
        <v/>
      </c>
      <c r="AW1095" t="str">
        <f>""</f>
        <v/>
      </c>
      <c r="AX1095" t="str">
        <f>""</f>
        <v/>
      </c>
      <c r="AY1095" t="str">
        <f>""</f>
        <v/>
      </c>
      <c r="AZ1095" t="str">
        <f>""</f>
        <v/>
      </c>
      <c r="BA1095" t="str">
        <f>""</f>
        <v/>
      </c>
      <c r="BB1095" t="str">
        <f>"06/09/2021 19:24:15"</f>
        <v>06/09/2021 19:24:15</v>
      </c>
      <c r="BC1095" t="str">
        <f>"02/05/2022 10:00:01"</f>
        <v>02/05/2022 10:00:01</v>
      </c>
      <c r="BD1095" t="str">
        <f>""</f>
        <v/>
      </c>
      <c r="BE1095" t="str">
        <f>""</f>
        <v/>
      </c>
      <c r="BF1095" t="str">
        <f t="shared" si="548"/>
        <v>A</v>
      </c>
      <c r="BG1095" t="str">
        <f>""</f>
        <v/>
      </c>
      <c r="BH1095" t="str">
        <f>"0,00"</f>
        <v>0,00</v>
      </c>
      <c r="BI1095" t="str">
        <f t="shared" si="531"/>
        <v>EVENTUAL</v>
      </c>
      <c r="BJ1095" t="str">
        <f t="shared" si="549"/>
        <v>1</v>
      </c>
      <c r="BK1095" t="str">
        <f t="shared" si="550"/>
        <v>Farmacia</v>
      </c>
      <c r="BL1095" t="str">
        <f>""</f>
        <v/>
      </c>
      <c r="BM1095" t="str">
        <f>"NÃO É VARILUX ESPECIALISTA"</f>
        <v>NÃO É VARILUX ESPECIALISTA</v>
      </c>
      <c r="BN1095" t="str">
        <f>"NA"</f>
        <v>NA</v>
      </c>
      <c r="BO1095" t="str">
        <f>"FOCO VARILUX"</f>
        <v>FOCO VARILUX</v>
      </c>
      <c r="BP1095" t="str">
        <f>""</f>
        <v/>
      </c>
      <c r="BQ1095" t="str">
        <f>""</f>
        <v/>
      </c>
      <c r="BR1095" t="str">
        <f>"06/09/2021"</f>
        <v>06/09/2021</v>
      </c>
      <c r="BS1095" t="str">
        <f>"02/05/2022"</f>
        <v>02/05/2022</v>
      </c>
      <c r="BT1095" t="str">
        <f>""</f>
        <v/>
      </c>
      <c r="BU1095" t="str">
        <f>""</f>
        <v/>
      </c>
      <c r="BV1095" t="str">
        <f>""</f>
        <v/>
      </c>
      <c r="BW1095" t="str">
        <f>"17"</f>
        <v>17</v>
      </c>
    </row>
    <row r="1096" spans="1:75" x14ac:dyDescent="0.35">
      <c r="A1096">
        <v>156935</v>
      </c>
      <c r="B1096" t="str">
        <f t="shared" si="545"/>
        <v>A</v>
      </c>
      <c r="C1096" t="str">
        <f t="shared" si="546"/>
        <v>80</v>
      </c>
      <c r="D1096" t="str">
        <f t="shared" si="535"/>
        <v>11121002</v>
      </c>
      <c r="E1096" t="str">
        <f t="shared" si="536"/>
        <v>121002</v>
      </c>
      <c r="F1096" t="str">
        <f t="shared" si="537"/>
        <v>CINTHIA NORONHA</v>
      </c>
      <c r="G1096" t="str">
        <f>"13615843000144"</f>
        <v>13615843000144</v>
      </c>
      <c r="H1096" t="str">
        <f>"0"</f>
        <v>0</v>
      </c>
      <c r="I1096" t="str">
        <f t="shared" si="547"/>
        <v>CONTA OPTICA</v>
      </c>
      <c r="J1096" t="str">
        <f>"RAQUEL MARTINS GOULART-ME"</f>
        <v>RAQUEL MARTINS GOULART-ME</v>
      </c>
      <c r="K1096" t="str">
        <f>"R.M. OTICA E RELOJOARIA (1988)"</f>
        <v>R.M. OTICA E RELOJOARIA (1988)</v>
      </c>
      <c r="L1096" t="str">
        <f>""</f>
        <v/>
      </c>
      <c r="M1096" t="str">
        <f>""</f>
        <v/>
      </c>
      <c r="N1096" t="str">
        <f>""</f>
        <v/>
      </c>
      <c r="O1096" t="str">
        <f>""</f>
        <v/>
      </c>
      <c r="P1096" t="str">
        <f>"RUA 13 DE MAIO"</f>
        <v>RUA 13 DE MAIO</v>
      </c>
      <c r="Q1096" t="str">
        <f>"90"</f>
        <v>90</v>
      </c>
      <c r="R1096" t="str">
        <f>"SALA"</f>
        <v>SALA</v>
      </c>
      <c r="S1096" t="str">
        <f>"1268"</f>
        <v>1268</v>
      </c>
      <c r="T1096" t="str">
        <f>"88790000"</f>
        <v>88790000</v>
      </c>
      <c r="U1096" t="str">
        <f>"CENTRO"</f>
        <v>CENTRO</v>
      </c>
      <c r="V1096" t="str">
        <f>"LAGUNA"</f>
        <v>LAGUNA</v>
      </c>
      <c r="W1096" t="str">
        <f t="shared" si="538"/>
        <v>SC</v>
      </c>
      <c r="X1096" t="str">
        <f t="shared" si="540"/>
        <v>48</v>
      </c>
      <c r="Y1096" t="str">
        <f>"998657544"</f>
        <v>998657544</v>
      </c>
      <c r="Z1096" t="str">
        <f>""</f>
        <v/>
      </c>
      <c r="AA1096" t="str">
        <f>""</f>
        <v/>
      </c>
      <c r="AB1096" t="str">
        <f>""</f>
        <v/>
      </c>
      <c r="AC1096" t="str">
        <f>""</f>
        <v/>
      </c>
      <c r="AD1096" t="str">
        <f>""</f>
        <v/>
      </c>
      <c r="AE1096" t="str">
        <f>""</f>
        <v/>
      </c>
      <c r="AF1096" t="str">
        <f>""</f>
        <v/>
      </c>
      <c r="AG1096" t="str">
        <f>""</f>
        <v/>
      </c>
      <c r="AH1096" t="str">
        <f>""</f>
        <v/>
      </c>
      <c r="AI1096" t="str">
        <f>""</f>
        <v/>
      </c>
      <c r="AJ1096" t="str">
        <f>""</f>
        <v/>
      </c>
      <c r="AK1096" t="str">
        <f>""</f>
        <v/>
      </c>
      <c r="AL1096" t="str">
        <f>""</f>
        <v/>
      </c>
      <c r="AM1096" t="str">
        <f>""</f>
        <v/>
      </c>
      <c r="AN1096" t="str">
        <f>""</f>
        <v/>
      </c>
      <c r="AO1096" t="str">
        <f>""</f>
        <v/>
      </c>
      <c r="AP1096" t="str">
        <f>""</f>
        <v/>
      </c>
      <c r="AQ1096" t="str">
        <f>""</f>
        <v/>
      </c>
      <c r="AR1096" t="str">
        <f>""</f>
        <v/>
      </c>
      <c r="AS1096" t="str">
        <f>""</f>
        <v/>
      </c>
      <c r="AT1096" t="str">
        <f>""</f>
        <v/>
      </c>
      <c r="AU1096" t="str">
        <f>""</f>
        <v/>
      </c>
      <c r="AV1096" t="str">
        <f>""</f>
        <v/>
      </c>
      <c r="AW1096" t="str">
        <f>""</f>
        <v/>
      </c>
      <c r="AX1096" t="str">
        <f>""</f>
        <v/>
      </c>
      <c r="AY1096" t="str">
        <f>""</f>
        <v/>
      </c>
      <c r="AZ1096" t="str">
        <f>""</f>
        <v/>
      </c>
      <c r="BA1096" t="str">
        <f>""</f>
        <v/>
      </c>
      <c r="BB1096" t="str">
        <f>"06/07/2023 12:07:48"</f>
        <v>06/07/2023 12:07:48</v>
      </c>
      <c r="BC1096" t="str">
        <f>""</f>
        <v/>
      </c>
      <c r="BD1096" t="str">
        <f>""</f>
        <v/>
      </c>
      <c r="BE1096" t="str">
        <f>""</f>
        <v/>
      </c>
      <c r="BF1096" t="str">
        <f t="shared" si="548"/>
        <v>A</v>
      </c>
      <c r="BG1096" t="str">
        <f>""</f>
        <v/>
      </c>
      <c r="BH1096" t="str">
        <f>""</f>
        <v/>
      </c>
      <c r="BI1096" t="str">
        <f t="shared" si="531"/>
        <v>EVENTUAL</v>
      </c>
      <c r="BJ1096" t="str">
        <f t="shared" si="549"/>
        <v>1</v>
      </c>
      <c r="BK1096" t="str">
        <f t="shared" si="550"/>
        <v>Farmacia</v>
      </c>
      <c r="BL1096" t="str">
        <f>""</f>
        <v/>
      </c>
      <c r="BM1096" t="str">
        <f>""</f>
        <v/>
      </c>
      <c r="BN1096" t="str">
        <f>""</f>
        <v/>
      </c>
      <c r="BO1096" t="str">
        <f>""</f>
        <v/>
      </c>
      <c r="BP1096" t="str">
        <f>""</f>
        <v/>
      </c>
      <c r="BQ1096" t="str">
        <f>""</f>
        <v/>
      </c>
      <c r="BR1096" t="str">
        <f>"06/07/2023"</f>
        <v>06/07/2023</v>
      </c>
      <c r="BS1096" t="str">
        <f>""</f>
        <v/>
      </c>
      <c r="BT1096" t="str">
        <f>""</f>
        <v/>
      </c>
      <c r="BU1096" t="str">
        <f>""</f>
        <v/>
      </c>
      <c r="BV1096" t="str">
        <f>""</f>
        <v/>
      </c>
      <c r="BW1096" t="str">
        <f>"Não visitado"</f>
        <v>Não visitado</v>
      </c>
    </row>
    <row r="1097" spans="1:75" x14ac:dyDescent="0.35">
      <c r="A1097">
        <v>156928</v>
      </c>
      <c r="B1097" t="str">
        <f t="shared" si="545"/>
        <v>A</v>
      </c>
      <c r="C1097" t="str">
        <f t="shared" si="546"/>
        <v>80</v>
      </c>
      <c r="D1097" t="str">
        <f t="shared" si="535"/>
        <v>11121002</v>
      </c>
      <c r="E1097" t="str">
        <f t="shared" si="536"/>
        <v>121002</v>
      </c>
      <c r="F1097" t="str">
        <f t="shared" si="537"/>
        <v>CINTHIA NORONHA</v>
      </c>
      <c r="G1097" t="str">
        <f>"27614707000144"</f>
        <v>27614707000144</v>
      </c>
      <c r="H1097" t="str">
        <f>"0"</f>
        <v>0</v>
      </c>
      <c r="I1097" t="str">
        <f t="shared" si="547"/>
        <v>CONTA OPTICA</v>
      </c>
      <c r="J1097" t="str">
        <f>"RAYANE LUIZ DA SILVA 08549884910"</f>
        <v>RAYANE LUIZ DA SILVA 08549884910</v>
      </c>
      <c r="K1097" t="str">
        <f>"VERLUZ OPTICA  (3861)"</f>
        <v>VERLUZ OPTICA  (3861)</v>
      </c>
      <c r="L1097" t="str">
        <f>""</f>
        <v/>
      </c>
      <c r="M1097" t="str">
        <f>""</f>
        <v/>
      </c>
      <c r="N1097" t="str">
        <f>"RAYHSILVA@HOTMAIL.COM"</f>
        <v>RAYHSILVA@HOTMAIL.COM</v>
      </c>
      <c r="O1097" t="str">
        <f>""</f>
        <v/>
      </c>
      <c r="P1097" t="str">
        <f>"RUA SEVERIANO ALBINO CORREA"</f>
        <v>RUA SEVERIANO ALBINO CORREA</v>
      </c>
      <c r="Q1097" t="str">
        <f>"420"</f>
        <v>420</v>
      </c>
      <c r="R1097" t="str">
        <f>"SALA 02"</f>
        <v>SALA 02</v>
      </c>
      <c r="S1097" t="str">
        <f>"1268"</f>
        <v>1268</v>
      </c>
      <c r="T1097" t="str">
        <f>"88702700"</f>
        <v>88702700</v>
      </c>
      <c r="U1097" t="str">
        <f>"FABIO SILVA"</f>
        <v>FABIO SILVA</v>
      </c>
      <c r="V1097" t="str">
        <f>"TUBARAO"</f>
        <v>TUBARAO</v>
      </c>
      <c r="W1097" t="str">
        <f t="shared" si="538"/>
        <v>SC</v>
      </c>
      <c r="X1097" t="str">
        <f t="shared" si="540"/>
        <v>48</v>
      </c>
      <c r="Y1097" t="str">
        <f>"36328290"</f>
        <v>36328290</v>
      </c>
      <c r="Z1097" t="str">
        <f>""</f>
        <v/>
      </c>
      <c r="AA1097" t="str">
        <f>""</f>
        <v/>
      </c>
      <c r="AB1097" t="str">
        <f>""</f>
        <v/>
      </c>
      <c r="AC1097" t="str">
        <f>""</f>
        <v/>
      </c>
      <c r="AD1097" t="str">
        <f>""</f>
        <v/>
      </c>
      <c r="AE1097" t="str">
        <f>""</f>
        <v/>
      </c>
      <c r="AF1097" t="str">
        <f>""</f>
        <v/>
      </c>
      <c r="AG1097" t="str">
        <f>""</f>
        <v/>
      </c>
      <c r="AH1097" t="str">
        <f>""</f>
        <v/>
      </c>
      <c r="AI1097" t="str">
        <f>""</f>
        <v/>
      </c>
      <c r="AJ1097" t="str">
        <f>""</f>
        <v/>
      </c>
      <c r="AK1097" t="str">
        <f>""</f>
        <v/>
      </c>
      <c r="AL1097" t="str">
        <f>""</f>
        <v/>
      </c>
      <c r="AM1097" t="str">
        <f>""</f>
        <v/>
      </c>
      <c r="AN1097" t="str">
        <f>""</f>
        <v/>
      </c>
      <c r="AO1097" t="str">
        <f>""</f>
        <v/>
      </c>
      <c r="AP1097" t="str">
        <f>""</f>
        <v/>
      </c>
      <c r="AQ1097" t="str">
        <f>""</f>
        <v/>
      </c>
      <c r="AR1097" t="str">
        <f>""</f>
        <v/>
      </c>
      <c r="AS1097" t="str">
        <f>""</f>
        <v/>
      </c>
      <c r="AT1097" t="str">
        <f>""</f>
        <v/>
      </c>
      <c r="AU1097" t="str">
        <f>""</f>
        <v/>
      </c>
      <c r="AV1097" t="str">
        <f>""</f>
        <v/>
      </c>
      <c r="AW1097" t="str">
        <f>""</f>
        <v/>
      </c>
      <c r="AX1097" t="str">
        <f>""</f>
        <v/>
      </c>
      <c r="AY1097" t="str">
        <f>""</f>
        <v/>
      </c>
      <c r="AZ1097" t="str">
        <f>""</f>
        <v/>
      </c>
      <c r="BA1097" t="str">
        <f>""</f>
        <v/>
      </c>
      <c r="BB1097" t="str">
        <f>"06/07/2023 12:07:48"</f>
        <v>06/07/2023 12:07:48</v>
      </c>
      <c r="BC1097" t="str">
        <f>""</f>
        <v/>
      </c>
      <c r="BD1097" t="str">
        <f>""</f>
        <v/>
      </c>
      <c r="BE1097" t="str">
        <f>""</f>
        <v/>
      </c>
      <c r="BF1097" t="str">
        <f t="shared" si="548"/>
        <v>A</v>
      </c>
      <c r="BG1097" t="str">
        <f>""</f>
        <v/>
      </c>
      <c r="BH1097" t="str">
        <f>""</f>
        <v/>
      </c>
      <c r="BI1097" t="str">
        <f t="shared" si="531"/>
        <v>EVENTUAL</v>
      </c>
      <c r="BJ1097" t="str">
        <f t="shared" si="549"/>
        <v>1</v>
      </c>
      <c r="BK1097" t="str">
        <f t="shared" si="550"/>
        <v>Farmacia</v>
      </c>
      <c r="BL1097" t="str">
        <f>""</f>
        <v/>
      </c>
      <c r="BM1097" t="str">
        <f>""</f>
        <v/>
      </c>
      <c r="BN1097" t="str">
        <f>""</f>
        <v/>
      </c>
      <c r="BO1097" t="str">
        <f>""</f>
        <v/>
      </c>
      <c r="BP1097" t="str">
        <f>""</f>
        <v/>
      </c>
      <c r="BQ1097" t="str">
        <f>""</f>
        <v/>
      </c>
      <c r="BR1097" t="str">
        <f>"06/07/2023"</f>
        <v>06/07/2023</v>
      </c>
      <c r="BS1097" t="str">
        <f>""</f>
        <v/>
      </c>
      <c r="BT1097" t="str">
        <f>""</f>
        <v/>
      </c>
      <c r="BU1097" t="str">
        <f>""</f>
        <v/>
      </c>
      <c r="BV1097" t="str">
        <f>""</f>
        <v/>
      </c>
      <c r="BW1097" t="str">
        <f>"Não visitado"</f>
        <v>Não visitado</v>
      </c>
    </row>
    <row r="1098" spans="1:75" x14ac:dyDescent="0.35">
      <c r="A1098">
        <v>127443</v>
      </c>
      <c r="B1098" t="str">
        <f t="shared" si="545"/>
        <v>A</v>
      </c>
      <c r="C1098" t="str">
        <f t="shared" si="546"/>
        <v>80</v>
      </c>
      <c r="D1098" t="str">
        <f t="shared" si="535"/>
        <v>11121002</v>
      </c>
      <c r="E1098" t="str">
        <f t="shared" si="536"/>
        <v>121002</v>
      </c>
      <c r="F1098" t="str">
        <f t="shared" si="537"/>
        <v>CINTHIA NORONHA</v>
      </c>
      <c r="G1098" t="str">
        <f>"07025142000152"</f>
        <v>07025142000152</v>
      </c>
      <c r="H1098" t="str">
        <f>"0"</f>
        <v>0</v>
      </c>
      <c r="I1098" t="str">
        <f t="shared" si="547"/>
        <v>CONTA OPTICA</v>
      </c>
      <c r="J1098" t="str">
        <f>"REAL TORRES RELOJOARIA E OTICA LTDA"</f>
        <v>REAL TORRES RELOJOARIA E OTICA LTDA</v>
      </c>
      <c r="K1098" t="str">
        <f>"REAL TORRES RELOJOARIA E OTICA LTDA (109)"</f>
        <v>REAL TORRES RELOJOARIA E OTICA LTDA (109)</v>
      </c>
      <c r="L1098" t="str">
        <f>""</f>
        <v/>
      </c>
      <c r="M1098" t="str">
        <f>""</f>
        <v/>
      </c>
      <c r="N1098" t="str">
        <f>"luis.fa01@uol.com.br"</f>
        <v>luis.fa01@uol.com.br</v>
      </c>
      <c r="O1098" t="str">
        <f>""</f>
        <v/>
      </c>
      <c r="P1098" t="str">
        <f>"AVENIDA BARAO DO RIO BRANCO"</f>
        <v>AVENIDA BARAO DO RIO BRANCO</v>
      </c>
      <c r="Q1098" t="str">
        <f>"58"</f>
        <v>58</v>
      </c>
      <c r="R1098" t="str">
        <f>""</f>
        <v/>
      </c>
      <c r="S1098" t="str">
        <f>"1336"</f>
        <v>1336</v>
      </c>
      <c r="T1098" t="str">
        <f>"95560000"</f>
        <v>95560000</v>
      </c>
      <c r="U1098" t="str">
        <f>"CENTRO"</f>
        <v>CENTRO</v>
      </c>
      <c r="V1098" t="str">
        <f>"TORRES"</f>
        <v>TORRES</v>
      </c>
      <c r="W1098" t="str">
        <f>"RS"</f>
        <v>RS</v>
      </c>
      <c r="X1098" t="str">
        <f>"51"</f>
        <v>51</v>
      </c>
      <c r="Y1098" t="str">
        <f>"36641677"</f>
        <v>36641677</v>
      </c>
      <c r="Z1098" t="str">
        <f>""</f>
        <v/>
      </c>
      <c r="AA1098" t="str">
        <f>""</f>
        <v/>
      </c>
      <c r="AB1098" t="str">
        <f>""</f>
        <v/>
      </c>
      <c r="AC1098" t="str">
        <f>""</f>
        <v/>
      </c>
      <c r="AD1098" t="str">
        <f>""</f>
        <v/>
      </c>
      <c r="AE1098" t="str">
        <f>""</f>
        <v/>
      </c>
      <c r="AF1098" t="str">
        <f>""</f>
        <v/>
      </c>
      <c r="AG1098" t="str">
        <f>""</f>
        <v/>
      </c>
      <c r="AH1098" t="str">
        <f>""</f>
        <v/>
      </c>
      <c r="AI1098" t="str">
        <f>""</f>
        <v/>
      </c>
      <c r="AJ1098" t="str">
        <f>"0"</f>
        <v>0</v>
      </c>
      <c r="AK1098" t="str">
        <f>"0"</f>
        <v>0</v>
      </c>
      <c r="AL1098" t="str">
        <f>"0"</f>
        <v>0</v>
      </c>
      <c r="AM1098" t="str">
        <f>""</f>
        <v/>
      </c>
      <c r="AN1098" t="str">
        <f>""</f>
        <v/>
      </c>
      <c r="AO1098" t="str">
        <f>""</f>
        <v/>
      </c>
      <c r="AP1098" t="str">
        <f>""</f>
        <v/>
      </c>
      <c r="AQ1098" t="str">
        <f>""</f>
        <v/>
      </c>
      <c r="AR1098" t="str">
        <f>""</f>
        <v/>
      </c>
      <c r="AS1098" t="str">
        <f>""</f>
        <v/>
      </c>
      <c r="AT1098" t="str">
        <f>""</f>
        <v/>
      </c>
      <c r="AU1098" t="str">
        <f>""</f>
        <v/>
      </c>
      <c r="AV1098" t="str">
        <f>""</f>
        <v/>
      </c>
      <c r="AW1098" t="str">
        <f>""</f>
        <v/>
      </c>
      <c r="AX1098" t="str">
        <f>""</f>
        <v/>
      </c>
      <c r="AY1098" t="str">
        <f>""</f>
        <v/>
      </c>
      <c r="AZ1098" t="str">
        <f>""</f>
        <v/>
      </c>
      <c r="BA1098" t="str">
        <f>""</f>
        <v/>
      </c>
      <c r="BB1098" t="str">
        <f>"07/10/2020 09:08:38"</f>
        <v>07/10/2020 09:08:38</v>
      </c>
      <c r="BC1098" t="str">
        <f>""</f>
        <v/>
      </c>
      <c r="BD1098" t="str">
        <f>""</f>
        <v/>
      </c>
      <c r="BE1098" t="str">
        <f>""</f>
        <v/>
      </c>
      <c r="BF1098" t="str">
        <f t="shared" si="548"/>
        <v>A</v>
      </c>
      <c r="BG1098" t="str">
        <f>"0,00"</f>
        <v>0,00</v>
      </c>
      <c r="BH1098" t="str">
        <f>"0,00"</f>
        <v>0,00</v>
      </c>
      <c r="BI1098" t="str">
        <f t="shared" si="531"/>
        <v>EVENTUAL</v>
      </c>
      <c r="BJ1098" t="str">
        <f t="shared" si="549"/>
        <v>1</v>
      </c>
      <c r="BK1098" t="str">
        <f t="shared" si="550"/>
        <v>Farmacia</v>
      </c>
      <c r="BL1098" t="str">
        <f>""</f>
        <v/>
      </c>
      <c r="BM1098" t="str">
        <f>"VARILUX ESPECIALISTA SELECT"</f>
        <v>VARILUX ESPECIALISTA SELECT</v>
      </c>
      <c r="BN1098" t="str">
        <f>"NA"</f>
        <v>NA</v>
      </c>
      <c r="BO1098" t="str">
        <f>"FOCO VARILUX DIGITAL"</f>
        <v>FOCO VARILUX DIGITAL</v>
      </c>
      <c r="BP1098" t="str">
        <f>""</f>
        <v/>
      </c>
      <c r="BQ1098" t="str">
        <f>""</f>
        <v/>
      </c>
      <c r="BR1098" t="str">
        <f>"07/10/2020"</f>
        <v>07/10/2020</v>
      </c>
      <c r="BS1098" t="str">
        <f>""</f>
        <v/>
      </c>
      <c r="BT1098" t="str">
        <f>""</f>
        <v/>
      </c>
      <c r="BU1098" t="str">
        <f>""</f>
        <v/>
      </c>
      <c r="BV1098" t="str">
        <f>"3"</f>
        <v>3</v>
      </c>
      <c r="BW1098" t="str">
        <f>"122"</f>
        <v>122</v>
      </c>
    </row>
    <row r="1099" spans="1:75" x14ac:dyDescent="0.35">
      <c r="A1099">
        <v>156927</v>
      </c>
      <c r="B1099" t="str">
        <f t="shared" si="545"/>
        <v>A</v>
      </c>
      <c r="C1099" t="str">
        <f t="shared" si="546"/>
        <v>80</v>
      </c>
      <c r="D1099" t="str">
        <f t="shared" si="535"/>
        <v>11121002</v>
      </c>
      <c r="E1099" t="str">
        <f t="shared" si="536"/>
        <v>121002</v>
      </c>
      <c r="F1099" t="str">
        <f t="shared" si="537"/>
        <v>CINTHIA NORONHA</v>
      </c>
      <c r="G1099" t="str">
        <f>"12935736000130"</f>
        <v>12935736000130</v>
      </c>
      <c r="H1099" t="str">
        <f>"0"</f>
        <v>0</v>
      </c>
      <c r="I1099" t="str">
        <f t="shared" si="547"/>
        <v>CONTA OPTICA</v>
      </c>
      <c r="J1099" t="str">
        <f>"REGINALDO ALBINO BERTO"</f>
        <v>REGINALDO ALBINO BERTO</v>
      </c>
      <c r="K1099" t="str">
        <f>"RELOJOARIA E OTICA ALBINO (3899)"</f>
        <v>RELOJOARIA E OTICA ALBINO (3899)</v>
      </c>
      <c r="L1099" t="str">
        <f>""</f>
        <v/>
      </c>
      <c r="M1099" t="str">
        <f>""</f>
        <v/>
      </c>
      <c r="N1099" t="str">
        <f>"REGIALBINOBERTO@GMAIL.COM"</f>
        <v>REGIALBINOBERTO@GMAIL.COM</v>
      </c>
      <c r="O1099" t="str">
        <f>""</f>
        <v/>
      </c>
      <c r="P1099" t="str">
        <f>"RUA NEREU RAMOS"</f>
        <v>RUA NEREU RAMOS</v>
      </c>
      <c r="Q1099" t="str">
        <f>"70"</f>
        <v>70</v>
      </c>
      <c r="R1099" t="str">
        <f>""</f>
        <v/>
      </c>
      <c r="S1099" t="str">
        <f>"1269"</f>
        <v>1269</v>
      </c>
      <c r="T1099" t="str">
        <f>"88890000"</f>
        <v>88890000</v>
      </c>
      <c r="U1099" t="str">
        <f>"CENTRO"</f>
        <v>CENTRO</v>
      </c>
      <c r="V1099" t="str">
        <f>"GRAO PARA"</f>
        <v>GRAO PARA</v>
      </c>
      <c r="W1099" t="str">
        <f t="shared" ref="W1099:W1117" si="552">"SC"</f>
        <v>SC</v>
      </c>
      <c r="X1099" t="str">
        <f t="shared" ref="X1099:X1106" si="553">"48"</f>
        <v>48</v>
      </c>
      <c r="Y1099" t="str">
        <f>"36521308"</f>
        <v>36521308</v>
      </c>
      <c r="Z1099" t="str">
        <f>""</f>
        <v/>
      </c>
      <c r="AA1099" t="str">
        <f>""</f>
        <v/>
      </c>
      <c r="AB1099" t="str">
        <f>""</f>
        <v/>
      </c>
      <c r="AC1099" t="str">
        <f>""</f>
        <v/>
      </c>
      <c r="AD1099" t="str">
        <f>""</f>
        <v/>
      </c>
      <c r="AE1099" t="str">
        <f>""</f>
        <v/>
      </c>
      <c r="AF1099" t="str">
        <f>""</f>
        <v/>
      </c>
      <c r="AG1099" t="str">
        <f>""</f>
        <v/>
      </c>
      <c r="AH1099" t="str">
        <f>""</f>
        <v/>
      </c>
      <c r="AI1099" t="str">
        <f>""</f>
        <v/>
      </c>
      <c r="AJ1099" t="str">
        <f>""</f>
        <v/>
      </c>
      <c r="AK1099" t="str">
        <f>""</f>
        <v/>
      </c>
      <c r="AL1099" t="str">
        <f>""</f>
        <v/>
      </c>
      <c r="AM1099" t="str">
        <f>""</f>
        <v/>
      </c>
      <c r="AN1099" t="str">
        <f>""</f>
        <v/>
      </c>
      <c r="AO1099" t="str">
        <f>""</f>
        <v/>
      </c>
      <c r="AP1099" t="str">
        <f>""</f>
        <v/>
      </c>
      <c r="AQ1099" t="str">
        <f>""</f>
        <v/>
      </c>
      <c r="AR1099" t="str">
        <f>""</f>
        <v/>
      </c>
      <c r="AS1099" t="str">
        <f>""</f>
        <v/>
      </c>
      <c r="AT1099" t="str">
        <f>""</f>
        <v/>
      </c>
      <c r="AU1099" t="str">
        <f>""</f>
        <v/>
      </c>
      <c r="AV1099" t="str">
        <f>""</f>
        <v/>
      </c>
      <c r="AW1099" t="str">
        <f>""</f>
        <v/>
      </c>
      <c r="AX1099" t="str">
        <f>""</f>
        <v/>
      </c>
      <c r="AY1099" t="str">
        <f>""</f>
        <v/>
      </c>
      <c r="AZ1099" t="str">
        <f>""</f>
        <v/>
      </c>
      <c r="BA1099" t="str">
        <f>""</f>
        <v/>
      </c>
      <c r="BB1099" t="str">
        <f>"06/07/2023 12:07:48"</f>
        <v>06/07/2023 12:07:48</v>
      </c>
      <c r="BC1099" t="str">
        <f>""</f>
        <v/>
      </c>
      <c r="BD1099" t="str">
        <f>""</f>
        <v/>
      </c>
      <c r="BE1099" t="str">
        <f>""</f>
        <v/>
      </c>
      <c r="BF1099" t="str">
        <f t="shared" si="548"/>
        <v>A</v>
      </c>
      <c r="BG1099" t="str">
        <f>""</f>
        <v/>
      </c>
      <c r="BH1099" t="str">
        <f>""</f>
        <v/>
      </c>
      <c r="BI1099" t="str">
        <f t="shared" si="531"/>
        <v>EVENTUAL</v>
      </c>
      <c r="BJ1099" t="str">
        <f t="shared" si="549"/>
        <v>1</v>
      </c>
      <c r="BK1099" t="str">
        <f t="shared" si="550"/>
        <v>Farmacia</v>
      </c>
      <c r="BL1099" t="str">
        <f>""</f>
        <v/>
      </c>
      <c r="BM1099" t="str">
        <f>""</f>
        <v/>
      </c>
      <c r="BN1099" t="str">
        <f>""</f>
        <v/>
      </c>
      <c r="BO1099" t="str">
        <f>""</f>
        <v/>
      </c>
      <c r="BP1099" t="str">
        <f>""</f>
        <v/>
      </c>
      <c r="BQ1099" t="str">
        <f>""</f>
        <v/>
      </c>
      <c r="BR1099" t="str">
        <f>"06/07/2023"</f>
        <v>06/07/2023</v>
      </c>
      <c r="BS1099" t="str">
        <f>""</f>
        <v/>
      </c>
      <c r="BT1099" t="str">
        <f>""</f>
        <v/>
      </c>
      <c r="BU1099" t="str">
        <f>""</f>
        <v/>
      </c>
      <c r="BV1099" t="str">
        <f>""</f>
        <v/>
      </c>
      <c r="BW1099" t="str">
        <f>"Não visitado"</f>
        <v>Não visitado</v>
      </c>
    </row>
    <row r="1100" spans="1:75" x14ac:dyDescent="0.35">
      <c r="A1100">
        <v>86</v>
      </c>
      <c r="B1100" t="str">
        <f t="shared" si="545"/>
        <v>A</v>
      </c>
      <c r="C1100" t="str">
        <f t="shared" si="546"/>
        <v>80</v>
      </c>
      <c r="D1100" t="str">
        <f t="shared" si="535"/>
        <v>11121002</v>
      </c>
      <c r="E1100" t="str">
        <f t="shared" si="536"/>
        <v>121002</v>
      </c>
      <c r="F1100" t="str">
        <f t="shared" si="537"/>
        <v>CINTHIA NORONHA</v>
      </c>
      <c r="G1100" t="str">
        <f>"07555573000120"</f>
        <v>07555573000120</v>
      </c>
      <c r="H1100" t="str">
        <f>""</f>
        <v/>
      </c>
      <c r="I1100" t="str">
        <f t="shared" si="547"/>
        <v>CONTA OPTICA</v>
      </c>
      <c r="J1100" t="str">
        <f>"REL. E OTICA NOSSA SENHORA APARECIDA LTDA"</f>
        <v>REL. E OTICA NOSSA SENHORA APARECIDA LTDA</v>
      </c>
      <c r="K1100" t="str">
        <f>"RELOJOARIA E OTICA NOSSA SENHORA APARECIDA LTDA (804)"</f>
        <v>RELOJOARIA E OTICA NOSSA SENHORA APARECIDA LTDA (804)</v>
      </c>
      <c r="L1100" t="str">
        <f>""</f>
        <v/>
      </c>
      <c r="M1100" t="str">
        <f>""</f>
        <v/>
      </c>
      <c r="N1100" t="str">
        <f>"novaveneza@oticansa.com.br"</f>
        <v>novaveneza@oticansa.com.br</v>
      </c>
      <c r="O1100" t="str">
        <f>""</f>
        <v/>
      </c>
      <c r="P1100" t="str">
        <f>"RUA DOS IMIGRANTES"</f>
        <v>RUA DOS IMIGRANTES</v>
      </c>
      <c r="Q1100" t="str">
        <f>"113"</f>
        <v>113</v>
      </c>
      <c r="R1100" t="str">
        <f>""</f>
        <v/>
      </c>
      <c r="S1100" t="str">
        <f>"1269"</f>
        <v>1269</v>
      </c>
      <c r="T1100" t="str">
        <f>"88865000"</f>
        <v>88865000</v>
      </c>
      <c r="U1100" t="str">
        <f>"CENTRO"</f>
        <v>CENTRO</v>
      </c>
      <c r="V1100" t="str">
        <f>"NOVA VENEZA"</f>
        <v>NOVA VENEZA</v>
      </c>
      <c r="W1100" t="str">
        <f t="shared" si="552"/>
        <v>SC</v>
      </c>
      <c r="X1100" t="str">
        <f t="shared" si="553"/>
        <v>48</v>
      </c>
      <c r="Y1100" t="str">
        <f>"34361535"</f>
        <v>34361535</v>
      </c>
      <c r="Z1100" t="str">
        <f>""</f>
        <v/>
      </c>
      <c r="AA1100" t="str">
        <f>""</f>
        <v/>
      </c>
      <c r="AB1100" t="str">
        <f>""</f>
        <v/>
      </c>
      <c r="AC1100" t="str">
        <f>""</f>
        <v/>
      </c>
      <c r="AD1100" t="str">
        <f>""</f>
        <v/>
      </c>
      <c r="AE1100" t="str">
        <f>""</f>
        <v/>
      </c>
      <c r="AF1100" t="str">
        <f>""</f>
        <v/>
      </c>
      <c r="AG1100" t="str">
        <f>""</f>
        <v/>
      </c>
      <c r="AH1100" t="str">
        <f>""</f>
        <v/>
      </c>
      <c r="AI1100" t="str">
        <f>""</f>
        <v/>
      </c>
      <c r="AJ1100" t="str">
        <f t="shared" ref="AJ1100:AL1101" si="554">"0"</f>
        <v>0</v>
      </c>
      <c r="AK1100" t="str">
        <f t="shared" si="554"/>
        <v>0</v>
      </c>
      <c r="AL1100" t="str">
        <f t="shared" si="554"/>
        <v>0</v>
      </c>
      <c r="AM1100" t="str">
        <f>""</f>
        <v/>
      </c>
      <c r="AN1100" t="str">
        <f>""</f>
        <v/>
      </c>
      <c r="AO1100" t="str">
        <f>""</f>
        <v/>
      </c>
      <c r="AP1100" t="str">
        <f>""</f>
        <v/>
      </c>
      <c r="AQ1100" t="str">
        <f>""</f>
        <v/>
      </c>
      <c r="AR1100" t="str">
        <f>""</f>
        <v/>
      </c>
      <c r="AS1100" t="str">
        <f>""</f>
        <v/>
      </c>
      <c r="AT1100" t="str">
        <f>""</f>
        <v/>
      </c>
      <c r="AU1100" t="str">
        <f>""</f>
        <v/>
      </c>
      <c r="AV1100" t="str">
        <f>""</f>
        <v/>
      </c>
      <c r="AW1100" t="str">
        <f>""</f>
        <v/>
      </c>
      <c r="AX1100" t="str">
        <f>""</f>
        <v/>
      </c>
      <c r="AY1100" t="str">
        <f>""</f>
        <v/>
      </c>
      <c r="AZ1100" t="str">
        <f>""</f>
        <v/>
      </c>
      <c r="BA1100" t="str">
        <f>""</f>
        <v/>
      </c>
      <c r="BB1100" t="str">
        <f>"27/07/2018 09:25:33"</f>
        <v>27/07/2018 09:25:33</v>
      </c>
      <c r="BC1100" t="str">
        <f>""</f>
        <v/>
      </c>
      <c r="BD1100" t="str">
        <f>""</f>
        <v/>
      </c>
      <c r="BE1100" t="str">
        <f>"86"</f>
        <v>86</v>
      </c>
      <c r="BF1100" t="str">
        <f t="shared" si="548"/>
        <v>A</v>
      </c>
      <c r="BG1100" t="str">
        <f>"0,00"</f>
        <v>0,00</v>
      </c>
      <c r="BH1100" t="str">
        <f>"0,00"</f>
        <v>0,00</v>
      </c>
      <c r="BI1100" t="str">
        <f t="shared" si="531"/>
        <v>EVENTUAL</v>
      </c>
      <c r="BJ1100" t="str">
        <f t="shared" si="549"/>
        <v>1</v>
      </c>
      <c r="BK1100" t="str">
        <f t="shared" si="550"/>
        <v>Farmacia</v>
      </c>
      <c r="BL1100" t="str">
        <f>""</f>
        <v/>
      </c>
      <c r="BM1100" t="str">
        <f>"NÃO É VARILUX ESPECIALISTA"</f>
        <v>NÃO É VARILUX ESPECIALISTA</v>
      </c>
      <c r="BN1100" t="str">
        <f>"NA"</f>
        <v>NA</v>
      </c>
      <c r="BO1100" t="str">
        <f>"FOCO VARILUX"</f>
        <v>FOCO VARILUX</v>
      </c>
      <c r="BP1100" t="str">
        <f>""</f>
        <v/>
      </c>
      <c r="BQ1100" t="str">
        <f>""</f>
        <v/>
      </c>
      <c r="BR1100" t="str">
        <f>"27/07/2018"</f>
        <v>27/07/2018</v>
      </c>
      <c r="BS1100" t="str">
        <f>""</f>
        <v/>
      </c>
      <c r="BT1100" t="str">
        <f>""</f>
        <v/>
      </c>
      <c r="BU1100" t="str">
        <f>""</f>
        <v/>
      </c>
      <c r="BV1100" t="str">
        <f>"9"</f>
        <v>9</v>
      </c>
      <c r="BW1100" t="str">
        <f>"1"</f>
        <v>1</v>
      </c>
    </row>
    <row r="1101" spans="1:75" x14ac:dyDescent="0.35">
      <c r="A1101">
        <v>144328</v>
      </c>
      <c r="B1101" t="str">
        <f t="shared" si="545"/>
        <v>A</v>
      </c>
      <c r="C1101" t="str">
        <f t="shared" si="546"/>
        <v>80</v>
      </c>
      <c r="D1101" t="str">
        <f t="shared" si="535"/>
        <v>11121002</v>
      </c>
      <c r="E1101" t="str">
        <f t="shared" si="536"/>
        <v>121002</v>
      </c>
      <c r="F1101" t="str">
        <f t="shared" si="537"/>
        <v>CINTHIA NORONHA</v>
      </c>
      <c r="G1101" t="str">
        <f>"11833524000180"</f>
        <v>11833524000180</v>
      </c>
      <c r="H1101" t="str">
        <f>""</f>
        <v/>
      </c>
      <c r="I1101" t="str">
        <f t="shared" si="547"/>
        <v>CONTA OPTICA</v>
      </c>
      <c r="J1101" t="str">
        <f>"RELOJOARIA E OPTICA CECILIA LTDA ME"</f>
        <v>RELOJOARIA E OPTICA CECILIA LTDA ME</v>
      </c>
      <c r="K1101" t="str">
        <f>"RELOJOARIA SUICA (1761)"</f>
        <v>RELOJOARIA SUICA (1761)</v>
      </c>
      <c r="L1101" t="str">
        <f>""</f>
        <v/>
      </c>
      <c r="M1101" t="str">
        <f>""</f>
        <v/>
      </c>
      <c r="N1101" t="str">
        <f>"karlafritzen@hotmail.com"</f>
        <v>karlafritzen@hotmail.com</v>
      </c>
      <c r="O1101" t="str">
        <f>""</f>
        <v/>
      </c>
      <c r="P1101" t="str">
        <f>"RUA XV DE NOVEMBRO"</f>
        <v>RUA XV DE NOVEMBRO</v>
      </c>
      <c r="Q1101" t="str">
        <f>"87"</f>
        <v>87</v>
      </c>
      <c r="R1101" t="str">
        <f>"SALA 01"</f>
        <v>SALA 01</v>
      </c>
      <c r="S1101" t="str">
        <f>"1269"</f>
        <v>1269</v>
      </c>
      <c r="T1101" t="str">
        <f>"88870000"</f>
        <v>88870000</v>
      </c>
      <c r="U1101" t="str">
        <f>"CENTRO"</f>
        <v>CENTRO</v>
      </c>
      <c r="V1101" t="str">
        <f>"ORLEANS"</f>
        <v>ORLEANS</v>
      </c>
      <c r="W1101" t="str">
        <f t="shared" si="552"/>
        <v>SC</v>
      </c>
      <c r="X1101" t="str">
        <f t="shared" si="553"/>
        <v>48</v>
      </c>
      <c r="Y1101" t="str">
        <f>"34660350"</f>
        <v>34660350</v>
      </c>
      <c r="Z1101" t="str">
        <f>""</f>
        <v/>
      </c>
      <c r="AA1101" t="str">
        <f>""</f>
        <v/>
      </c>
      <c r="AB1101" t="str">
        <f>""</f>
        <v/>
      </c>
      <c r="AC1101" t="str">
        <f>""</f>
        <v/>
      </c>
      <c r="AD1101" t="str">
        <f>""</f>
        <v/>
      </c>
      <c r="AE1101" t="str">
        <f>""</f>
        <v/>
      </c>
      <c r="AF1101" t="str">
        <f>""</f>
        <v/>
      </c>
      <c r="AG1101" t="str">
        <f>""</f>
        <v/>
      </c>
      <c r="AH1101" t="str">
        <f>""</f>
        <v/>
      </c>
      <c r="AI1101" t="str">
        <f>""</f>
        <v/>
      </c>
      <c r="AJ1101" t="str">
        <f t="shared" si="554"/>
        <v>0</v>
      </c>
      <c r="AK1101" t="str">
        <f t="shared" si="554"/>
        <v>0</v>
      </c>
      <c r="AL1101" t="str">
        <f t="shared" si="554"/>
        <v>0</v>
      </c>
      <c r="AM1101" t="str">
        <f>""</f>
        <v/>
      </c>
      <c r="AN1101" t="str">
        <f>""</f>
        <v/>
      </c>
      <c r="AO1101" t="str">
        <f>""</f>
        <v/>
      </c>
      <c r="AP1101" t="str">
        <f>""</f>
        <v/>
      </c>
      <c r="AQ1101" t="str">
        <f>""</f>
        <v/>
      </c>
      <c r="AR1101" t="str">
        <f>""</f>
        <v/>
      </c>
      <c r="AS1101" t="str">
        <f>""</f>
        <v/>
      </c>
      <c r="AT1101" t="str">
        <f>""</f>
        <v/>
      </c>
      <c r="AU1101" t="str">
        <f>""</f>
        <v/>
      </c>
      <c r="AV1101" t="str">
        <f>""</f>
        <v/>
      </c>
      <c r="AW1101" t="str">
        <f>""</f>
        <v/>
      </c>
      <c r="AX1101" t="str">
        <f>""</f>
        <v/>
      </c>
      <c r="AY1101" t="str">
        <f>""</f>
        <v/>
      </c>
      <c r="AZ1101" t="str">
        <f>""</f>
        <v/>
      </c>
      <c r="BA1101" t="str">
        <f>""</f>
        <v/>
      </c>
      <c r="BB1101" t="str">
        <f>""</f>
        <v/>
      </c>
      <c r="BC1101" t="str">
        <f>""</f>
        <v/>
      </c>
      <c r="BD1101" t="str">
        <f>""</f>
        <v/>
      </c>
      <c r="BE1101" t="str">
        <f>""</f>
        <v/>
      </c>
      <c r="BF1101" t="str">
        <f t="shared" si="548"/>
        <v>A</v>
      </c>
      <c r="BG1101" t="str">
        <f>"0,00"</f>
        <v>0,00</v>
      </c>
      <c r="BH1101" t="str">
        <f>"0,00"</f>
        <v>0,00</v>
      </c>
      <c r="BI1101" t="str">
        <f t="shared" si="531"/>
        <v>EVENTUAL</v>
      </c>
      <c r="BJ1101" t="str">
        <f t="shared" si="549"/>
        <v>1</v>
      </c>
      <c r="BK1101" t="str">
        <f t="shared" si="550"/>
        <v>Farmacia</v>
      </c>
      <c r="BL1101" t="str">
        <f>""</f>
        <v/>
      </c>
      <c r="BM1101" t="str">
        <f>"VARILUX ESPECIALISTA SELECT"</f>
        <v>VARILUX ESPECIALISTA SELECT</v>
      </c>
      <c r="BN1101" t="str">
        <f>"NA"</f>
        <v>NA</v>
      </c>
      <c r="BO1101" t="str">
        <f>"FOCO VARILUX DIGITAL"</f>
        <v>FOCO VARILUX DIGITAL</v>
      </c>
      <c r="BP1101" t="str">
        <f>""</f>
        <v/>
      </c>
      <c r="BQ1101" t="str">
        <f>""</f>
        <v/>
      </c>
      <c r="BR1101" t="str">
        <f>""</f>
        <v/>
      </c>
      <c r="BS1101" t="str">
        <f>""</f>
        <v/>
      </c>
      <c r="BT1101" t="str">
        <f>""</f>
        <v/>
      </c>
      <c r="BU1101" t="str">
        <f>""</f>
        <v/>
      </c>
      <c r="BV1101" t="str">
        <f>"1"</f>
        <v>1</v>
      </c>
      <c r="BW1101" t="str">
        <f>"74"</f>
        <v>74</v>
      </c>
    </row>
    <row r="1102" spans="1:75" x14ac:dyDescent="0.35">
      <c r="A1102">
        <v>157591</v>
      </c>
      <c r="B1102" t="str">
        <f t="shared" si="545"/>
        <v>A</v>
      </c>
      <c r="C1102" t="str">
        <f t="shared" si="546"/>
        <v>80</v>
      </c>
      <c r="D1102" t="str">
        <f t="shared" si="535"/>
        <v>11121002</v>
      </c>
      <c r="E1102" t="str">
        <f t="shared" si="536"/>
        <v>121002</v>
      </c>
      <c r="F1102" t="str">
        <f t="shared" si="537"/>
        <v>CINTHIA NORONHA</v>
      </c>
      <c r="G1102" t="str">
        <f>"07036384000141"</f>
        <v>07036384000141</v>
      </c>
      <c r="H1102" t="str">
        <f>"0"</f>
        <v>0</v>
      </c>
      <c r="I1102" t="str">
        <f t="shared" si="547"/>
        <v>CONTA OPTICA</v>
      </c>
      <c r="J1102" t="str">
        <f>"RELOJOARIA E OPTICA PONTUAL LTDA ME"</f>
        <v>RELOJOARIA E OPTICA PONTUAL LTDA ME</v>
      </c>
      <c r="K1102" t="str">
        <f>"RELOJOARIA E OPTICA PONTUAL LTDA ME (188)"</f>
        <v>RELOJOARIA E OPTICA PONTUAL LTDA ME (188)</v>
      </c>
      <c r="L1102" t="str">
        <f>""</f>
        <v/>
      </c>
      <c r="M1102" t="str">
        <f>""</f>
        <v/>
      </c>
      <c r="N1102" t="str">
        <f>"carminati@carminati.com.br"</f>
        <v>carminati@carminati.com.br</v>
      </c>
      <c r="O1102" t="str">
        <f>""</f>
        <v/>
      </c>
      <c r="P1102" t="str">
        <f>"RUA ARISTILIANO RAMOS"</f>
        <v>RUA ARISTILIANO RAMOS</v>
      </c>
      <c r="Q1102" t="str">
        <f>"23"</f>
        <v>23</v>
      </c>
      <c r="R1102" t="str">
        <f>"SALA 03"</f>
        <v>SALA 03</v>
      </c>
      <c r="S1102" t="str">
        <f>"1269"</f>
        <v>1269</v>
      </c>
      <c r="T1102" t="str">
        <f>"88870000"</f>
        <v>88870000</v>
      </c>
      <c r="U1102" t="str">
        <f>"NAO INFORMADO"</f>
        <v>NAO INFORMADO</v>
      </c>
      <c r="V1102" t="str">
        <f>"ORLEANS"</f>
        <v>ORLEANS</v>
      </c>
      <c r="W1102" t="str">
        <f t="shared" si="552"/>
        <v>SC</v>
      </c>
      <c r="X1102" t="str">
        <f t="shared" si="553"/>
        <v>48</v>
      </c>
      <c r="Y1102" t="str">
        <f>"34660303"</f>
        <v>34660303</v>
      </c>
      <c r="Z1102" t="str">
        <f>""</f>
        <v/>
      </c>
      <c r="AA1102" t="str">
        <f>""</f>
        <v/>
      </c>
      <c r="AB1102" t="str">
        <f>""</f>
        <v/>
      </c>
      <c r="AC1102" t="str">
        <f>""</f>
        <v/>
      </c>
      <c r="AD1102" t="str">
        <f>""</f>
        <v/>
      </c>
      <c r="AE1102" t="str">
        <f>""</f>
        <v/>
      </c>
      <c r="AF1102" t="str">
        <f>""</f>
        <v/>
      </c>
      <c r="AG1102" t="str">
        <f>""</f>
        <v/>
      </c>
      <c r="AH1102" t="str">
        <f>""</f>
        <v/>
      </c>
      <c r="AI1102" t="str">
        <f>""</f>
        <v/>
      </c>
      <c r="AJ1102" t="str">
        <f>""</f>
        <v/>
      </c>
      <c r="AK1102" t="str">
        <f>""</f>
        <v/>
      </c>
      <c r="AL1102" t="str">
        <f>""</f>
        <v/>
      </c>
      <c r="AM1102" t="str">
        <f>""</f>
        <v/>
      </c>
      <c r="AN1102" t="str">
        <f>""</f>
        <v/>
      </c>
      <c r="AO1102" t="str">
        <f>""</f>
        <v/>
      </c>
      <c r="AP1102" t="str">
        <f>""</f>
        <v/>
      </c>
      <c r="AQ1102" t="str">
        <f>""</f>
        <v/>
      </c>
      <c r="AR1102" t="str">
        <f>""</f>
        <v/>
      </c>
      <c r="AS1102" t="str">
        <f>""</f>
        <v/>
      </c>
      <c r="AT1102" t="str">
        <f>""</f>
        <v/>
      </c>
      <c r="AU1102" t="str">
        <f>""</f>
        <v/>
      </c>
      <c r="AV1102" t="str">
        <f>""</f>
        <v/>
      </c>
      <c r="AW1102" t="str">
        <f>""</f>
        <v/>
      </c>
      <c r="AX1102" t="str">
        <f>""</f>
        <v/>
      </c>
      <c r="AY1102" t="str">
        <f>""</f>
        <v/>
      </c>
      <c r="AZ1102" t="str">
        <f>""</f>
        <v/>
      </c>
      <c r="BA1102" t="str">
        <f>""</f>
        <v/>
      </c>
      <c r="BB1102" t="str">
        <f>"11/07/2023 02:19:56"</f>
        <v>11/07/2023 02:19:56</v>
      </c>
      <c r="BC1102" t="str">
        <f>""</f>
        <v/>
      </c>
      <c r="BD1102" t="str">
        <f>""</f>
        <v/>
      </c>
      <c r="BE1102" t="str">
        <f>""</f>
        <v/>
      </c>
      <c r="BF1102" t="str">
        <f t="shared" si="548"/>
        <v>A</v>
      </c>
      <c r="BG1102" t="str">
        <f>""</f>
        <v/>
      </c>
      <c r="BH1102" t="str">
        <f>""</f>
        <v/>
      </c>
      <c r="BI1102" t="str">
        <f t="shared" si="531"/>
        <v>EVENTUAL</v>
      </c>
      <c r="BJ1102" t="str">
        <f t="shared" si="549"/>
        <v>1</v>
      </c>
      <c r="BK1102" t="str">
        <f t="shared" si="550"/>
        <v>Farmacia</v>
      </c>
      <c r="BL1102" t="str">
        <f>""</f>
        <v/>
      </c>
      <c r="BM1102" t="str">
        <f>""</f>
        <v/>
      </c>
      <c r="BN1102" t="str">
        <f>""</f>
        <v/>
      </c>
      <c r="BO1102" t="str">
        <f>""</f>
        <v/>
      </c>
      <c r="BP1102" t="str">
        <f>""</f>
        <v/>
      </c>
      <c r="BQ1102" t="str">
        <f>""</f>
        <v/>
      </c>
      <c r="BR1102" t="str">
        <f>"11/07/2023"</f>
        <v>11/07/2023</v>
      </c>
      <c r="BS1102" t="str">
        <f>""</f>
        <v/>
      </c>
      <c r="BT1102" t="str">
        <f>""</f>
        <v/>
      </c>
      <c r="BU1102" t="str">
        <f>""</f>
        <v/>
      </c>
      <c r="BV1102" t="str">
        <f>""</f>
        <v/>
      </c>
      <c r="BW1102" t="str">
        <f>"7"</f>
        <v>7</v>
      </c>
    </row>
    <row r="1103" spans="1:75" x14ac:dyDescent="0.35">
      <c r="A1103">
        <v>144503</v>
      </c>
      <c r="B1103" t="str">
        <f t="shared" si="545"/>
        <v>A</v>
      </c>
      <c r="C1103" t="str">
        <f t="shared" si="546"/>
        <v>80</v>
      </c>
      <c r="D1103" t="str">
        <f t="shared" si="535"/>
        <v>11121002</v>
      </c>
      <c r="E1103" t="str">
        <f t="shared" si="536"/>
        <v>121002</v>
      </c>
      <c r="F1103" t="str">
        <f t="shared" si="537"/>
        <v>CINTHIA NORONHA</v>
      </c>
      <c r="G1103" t="str">
        <f>"12259621000254"</f>
        <v>12259621000254</v>
      </c>
      <c r="H1103" t="str">
        <f>""</f>
        <v/>
      </c>
      <c r="I1103" t="str">
        <f t="shared" si="547"/>
        <v>CONTA OPTICA</v>
      </c>
      <c r="J1103" t="str">
        <f>"RELOJOARIA E OPTICA SILVESTRI LTDA"</f>
        <v>RELOJOARIA E OPTICA SILVESTRI LTDA</v>
      </c>
      <c r="K1103" t="str">
        <f>"OPTICA FOCAL (3953)"</f>
        <v>OPTICA FOCAL (3953)</v>
      </c>
      <c r="L1103" t="str">
        <f>""</f>
        <v/>
      </c>
      <c r="M1103" t="str">
        <f>""</f>
        <v/>
      </c>
      <c r="N1103" t="str">
        <f>"optica.focal@hotmail.com"</f>
        <v>optica.focal@hotmail.com</v>
      </c>
      <c r="O1103" t="str">
        <f>""</f>
        <v/>
      </c>
      <c r="P1103" t="str">
        <f>"RUA MARCOLINO MARTINS CABRAL"</f>
        <v>RUA MARCOLINO MARTINS CABRAL</v>
      </c>
      <c r="Q1103" t="str">
        <f>"1085"</f>
        <v>1085</v>
      </c>
      <c r="R1103" t="str">
        <f>"SALA 09"</f>
        <v>SALA 09</v>
      </c>
      <c r="S1103" t="str">
        <f>""</f>
        <v/>
      </c>
      <c r="T1103" t="str">
        <f>"88701105"</f>
        <v>88701105</v>
      </c>
      <c r="U1103" t="str">
        <f>"CENTRO"</f>
        <v>CENTRO</v>
      </c>
      <c r="V1103" t="str">
        <f>"TUBARÃO"</f>
        <v>TUBARÃO</v>
      </c>
      <c r="W1103" t="str">
        <f t="shared" si="552"/>
        <v>SC</v>
      </c>
      <c r="X1103" t="str">
        <f t="shared" si="553"/>
        <v>48</v>
      </c>
      <c r="Y1103" t="str">
        <f>"30523374"</f>
        <v>30523374</v>
      </c>
      <c r="Z1103" t="str">
        <f>""</f>
        <v/>
      </c>
      <c r="AA1103" t="str">
        <f>""</f>
        <v/>
      </c>
      <c r="AB1103" t="str">
        <f>""</f>
        <v/>
      </c>
      <c r="AC1103" t="str">
        <f>""</f>
        <v/>
      </c>
      <c r="AD1103" t="str">
        <f>""</f>
        <v/>
      </c>
      <c r="AE1103" t="str">
        <f>""</f>
        <v/>
      </c>
      <c r="AF1103" t="str">
        <f>""</f>
        <v/>
      </c>
      <c r="AG1103" t="str">
        <f>""</f>
        <v/>
      </c>
      <c r="AH1103" t="str">
        <f>""</f>
        <v/>
      </c>
      <c r="AI1103" t="str">
        <f>""</f>
        <v/>
      </c>
      <c r="AJ1103" t="str">
        <f>"2"</f>
        <v>2</v>
      </c>
      <c r="AK1103" t="str">
        <f t="shared" ref="AK1103:AL1106" si="555">"0"</f>
        <v>0</v>
      </c>
      <c r="AL1103" t="str">
        <f t="shared" si="555"/>
        <v>0</v>
      </c>
      <c r="AM1103" t="str">
        <f>""</f>
        <v/>
      </c>
      <c r="AN1103" t="str">
        <f>""</f>
        <v/>
      </c>
      <c r="AO1103" t="str">
        <f>""</f>
        <v/>
      </c>
      <c r="AP1103" t="str">
        <f>""</f>
        <v/>
      </c>
      <c r="AQ1103" t="str">
        <f>""</f>
        <v/>
      </c>
      <c r="AR1103" t="str">
        <f>""</f>
        <v/>
      </c>
      <c r="AS1103" t="str">
        <f>""</f>
        <v/>
      </c>
      <c r="AT1103" t="str">
        <f>""</f>
        <v/>
      </c>
      <c r="AU1103" t="str">
        <f>""</f>
        <v/>
      </c>
      <c r="AV1103" t="str">
        <f>""</f>
        <v/>
      </c>
      <c r="AW1103" t="str">
        <f>""</f>
        <v/>
      </c>
      <c r="AX1103" t="str">
        <f>""</f>
        <v/>
      </c>
      <c r="AY1103" t="str">
        <f>""</f>
        <v/>
      </c>
      <c r="AZ1103" t="str">
        <f>""</f>
        <v/>
      </c>
      <c r="BA1103" t="str">
        <f>""</f>
        <v/>
      </c>
      <c r="BB1103" t="str">
        <f>""</f>
        <v/>
      </c>
      <c r="BC1103" t="str">
        <f>""</f>
        <v/>
      </c>
      <c r="BD1103" t="str">
        <f>""</f>
        <v/>
      </c>
      <c r="BE1103" t="str">
        <f>""</f>
        <v/>
      </c>
      <c r="BF1103" t="str">
        <f t="shared" si="548"/>
        <v>A</v>
      </c>
      <c r="BG1103" t="str">
        <f t="shared" ref="BG1103:BH1106" si="556">"0,00"</f>
        <v>0,00</v>
      </c>
      <c r="BH1103" t="str">
        <f t="shared" si="556"/>
        <v>0,00</v>
      </c>
      <c r="BI1103" t="str">
        <f t="shared" si="531"/>
        <v>EVENTUAL</v>
      </c>
      <c r="BJ1103" t="str">
        <f t="shared" si="549"/>
        <v>1</v>
      </c>
      <c r="BK1103" t="str">
        <f t="shared" si="550"/>
        <v>Farmacia</v>
      </c>
      <c r="BL1103" t="str">
        <f>""</f>
        <v/>
      </c>
      <c r="BM1103" t="str">
        <f>"VARILUX ESPECIALISTA PLATINE"</f>
        <v>VARILUX ESPECIALISTA PLATINE</v>
      </c>
      <c r="BN1103" t="str">
        <f>"NA"</f>
        <v>NA</v>
      </c>
      <c r="BO1103" t="str">
        <f>"FOCO VARILUX DIGITAL"</f>
        <v>FOCO VARILUX DIGITAL</v>
      </c>
      <c r="BP1103" t="str">
        <f>""</f>
        <v/>
      </c>
      <c r="BQ1103" t="str">
        <f>""</f>
        <v/>
      </c>
      <c r="BR1103" t="str">
        <f>""</f>
        <v/>
      </c>
      <c r="BS1103" t="str">
        <f>""</f>
        <v/>
      </c>
      <c r="BT1103" t="str">
        <f>""</f>
        <v/>
      </c>
      <c r="BU1103" t="str">
        <f>""</f>
        <v/>
      </c>
      <c r="BV1103" t="str">
        <f>"1"</f>
        <v>1</v>
      </c>
      <c r="BW1103" t="str">
        <f>"39"</f>
        <v>39</v>
      </c>
    </row>
    <row r="1104" spans="1:75" x14ac:dyDescent="0.35">
      <c r="A1104">
        <v>144331</v>
      </c>
      <c r="B1104" t="str">
        <f t="shared" si="545"/>
        <v>A</v>
      </c>
      <c r="C1104" t="str">
        <f t="shared" si="546"/>
        <v>80</v>
      </c>
      <c r="D1104" t="str">
        <f t="shared" si="535"/>
        <v>11121002</v>
      </c>
      <c r="E1104" t="str">
        <f t="shared" si="536"/>
        <v>121002</v>
      </c>
      <c r="F1104" t="str">
        <f t="shared" si="537"/>
        <v>CINTHIA NORONHA</v>
      </c>
      <c r="G1104" t="str">
        <f>"12259621000173"</f>
        <v>12259621000173</v>
      </c>
      <c r="H1104" t="str">
        <f>""</f>
        <v/>
      </c>
      <c r="I1104" t="str">
        <f t="shared" si="547"/>
        <v>CONTA OPTICA</v>
      </c>
      <c r="J1104" t="str">
        <f>"RELOJOARIA E OPTICA SILVESTRI LTDA ME"</f>
        <v>RELOJOARIA E OPTICA SILVESTRI LTDA ME</v>
      </c>
      <c r="K1104" t="str">
        <f>"OPTICA FOCAL (1771)"</f>
        <v>OPTICA FOCAL (1771)</v>
      </c>
      <c r="L1104" t="str">
        <f>""</f>
        <v/>
      </c>
      <c r="M1104" t="str">
        <f>""</f>
        <v/>
      </c>
      <c r="N1104" t="str">
        <f>"optica.focal@hotmail.com"</f>
        <v>optica.focal@hotmail.com</v>
      </c>
      <c r="O1104" t="str">
        <f>""</f>
        <v/>
      </c>
      <c r="P1104" t="str">
        <f>"RUA MARCOLINO MARTINS CABRAL"</f>
        <v>RUA MARCOLINO MARTINS CABRAL</v>
      </c>
      <c r="Q1104" t="str">
        <f>"1593"</f>
        <v>1593</v>
      </c>
      <c r="R1104" t="str">
        <f>"SALA 01"</f>
        <v>SALA 01</v>
      </c>
      <c r="S1104" t="str">
        <f>"1268"</f>
        <v>1268</v>
      </c>
      <c r="T1104" t="str">
        <f>"88705001"</f>
        <v>88705001</v>
      </c>
      <c r="U1104" t="str">
        <f>"VILA MOEMA"</f>
        <v>VILA MOEMA</v>
      </c>
      <c r="V1104" t="str">
        <f>"TUBARÃO"</f>
        <v>TUBARÃO</v>
      </c>
      <c r="W1104" t="str">
        <f t="shared" si="552"/>
        <v>SC</v>
      </c>
      <c r="X1104" t="str">
        <f t="shared" si="553"/>
        <v>48</v>
      </c>
      <c r="Y1104" t="str">
        <f>"30523373"</f>
        <v>30523373</v>
      </c>
      <c r="Z1104" t="str">
        <f>""</f>
        <v/>
      </c>
      <c r="AA1104" t="str">
        <f>""</f>
        <v/>
      </c>
      <c r="AB1104" t="str">
        <f>""</f>
        <v/>
      </c>
      <c r="AC1104" t="str">
        <f>""</f>
        <v/>
      </c>
      <c r="AD1104" t="str">
        <f>""</f>
        <v/>
      </c>
      <c r="AE1104" t="str">
        <f>""</f>
        <v/>
      </c>
      <c r="AF1104" t="str">
        <f>""</f>
        <v/>
      </c>
      <c r="AG1104" t="str">
        <f>""</f>
        <v/>
      </c>
      <c r="AH1104" t="str">
        <f>""</f>
        <v/>
      </c>
      <c r="AI1104" t="str">
        <f>""</f>
        <v/>
      </c>
      <c r="AJ1104" t="str">
        <f>"0"</f>
        <v>0</v>
      </c>
      <c r="AK1104" t="str">
        <f t="shared" si="555"/>
        <v>0</v>
      </c>
      <c r="AL1104" t="str">
        <f t="shared" si="555"/>
        <v>0</v>
      </c>
      <c r="AM1104" t="str">
        <f>""</f>
        <v/>
      </c>
      <c r="AN1104" t="str">
        <f>""</f>
        <v/>
      </c>
      <c r="AO1104" t="str">
        <f>""</f>
        <v/>
      </c>
      <c r="AP1104" t="str">
        <f>""</f>
        <v/>
      </c>
      <c r="AQ1104" t="str">
        <f>""</f>
        <v/>
      </c>
      <c r="AR1104" t="str">
        <f>""</f>
        <v/>
      </c>
      <c r="AS1104" t="str">
        <f>""</f>
        <v/>
      </c>
      <c r="AT1104" t="str">
        <f>""</f>
        <v/>
      </c>
      <c r="AU1104" t="str">
        <f>""</f>
        <v/>
      </c>
      <c r="AV1104" t="str">
        <f>""</f>
        <v/>
      </c>
      <c r="AW1104" t="str">
        <f>""</f>
        <v/>
      </c>
      <c r="AX1104" t="str">
        <f>""</f>
        <v/>
      </c>
      <c r="AY1104" t="str">
        <f>""</f>
        <v/>
      </c>
      <c r="AZ1104" t="str">
        <f>""</f>
        <v/>
      </c>
      <c r="BA1104" t="str">
        <f>""</f>
        <v/>
      </c>
      <c r="BB1104" t="str">
        <f>""</f>
        <v/>
      </c>
      <c r="BC1104" t="str">
        <f>""</f>
        <v/>
      </c>
      <c r="BD1104" t="str">
        <f>""</f>
        <v/>
      </c>
      <c r="BE1104" t="str">
        <f>""</f>
        <v/>
      </c>
      <c r="BF1104" t="str">
        <f t="shared" si="548"/>
        <v>A</v>
      </c>
      <c r="BG1104" t="str">
        <f t="shared" si="556"/>
        <v>0,00</v>
      </c>
      <c r="BH1104" t="str">
        <f t="shared" si="556"/>
        <v>0,00</v>
      </c>
      <c r="BI1104" t="str">
        <f t="shared" si="531"/>
        <v>EVENTUAL</v>
      </c>
      <c r="BJ1104" t="str">
        <f t="shared" si="549"/>
        <v>1</v>
      </c>
      <c r="BK1104" t="str">
        <f t="shared" si="550"/>
        <v>Farmacia</v>
      </c>
      <c r="BL1104" t="str">
        <f>""</f>
        <v/>
      </c>
      <c r="BM1104" t="str">
        <f>"VARILUX ESPECIALISTA PLATINE"</f>
        <v>VARILUX ESPECIALISTA PLATINE</v>
      </c>
      <c r="BN1104" t="str">
        <f>"NA"</f>
        <v>NA</v>
      </c>
      <c r="BO1104" t="str">
        <f>"FOCO VARILUX DIGITAL"</f>
        <v>FOCO VARILUX DIGITAL</v>
      </c>
      <c r="BP1104" t="str">
        <f>""</f>
        <v/>
      </c>
      <c r="BQ1104" t="str">
        <f>""</f>
        <v/>
      </c>
      <c r="BR1104" t="str">
        <f>""</f>
        <v/>
      </c>
      <c r="BS1104" t="str">
        <f>""</f>
        <v/>
      </c>
      <c r="BT1104" t="str">
        <f>""</f>
        <v/>
      </c>
      <c r="BU1104" t="str">
        <f>""</f>
        <v/>
      </c>
      <c r="BV1104" t="str">
        <f>"1"</f>
        <v>1</v>
      </c>
      <c r="BW1104" t="str">
        <f>"24"</f>
        <v>24</v>
      </c>
    </row>
    <row r="1105" spans="1:75" x14ac:dyDescent="0.35">
      <c r="A1105">
        <v>7</v>
      </c>
      <c r="B1105" t="str">
        <f t="shared" si="545"/>
        <v>A</v>
      </c>
      <c r="C1105" t="str">
        <f t="shared" si="546"/>
        <v>80</v>
      </c>
      <c r="D1105" t="str">
        <f t="shared" si="535"/>
        <v>11121002</v>
      </c>
      <c r="E1105" t="str">
        <f t="shared" si="536"/>
        <v>121002</v>
      </c>
      <c r="F1105" t="str">
        <f t="shared" si="537"/>
        <v>CINTHIA NORONHA</v>
      </c>
      <c r="G1105" t="str">
        <f>"00564865000180"</f>
        <v>00564865000180</v>
      </c>
      <c r="H1105" t="str">
        <f>""</f>
        <v/>
      </c>
      <c r="I1105" t="str">
        <f t="shared" si="547"/>
        <v>CONTA OPTICA</v>
      </c>
      <c r="J1105" t="str">
        <f>"RELOJOARIA E OTICA BONETI LTDA ME"</f>
        <v>RELOJOARIA E OTICA BONETI LTDA ME</v>
      </c>
      <c r="K1105" t="str">
        <f>"RELOJOARIA CASSIO (1792)"</f>
        <v>RELOJOARIA CASSIO (1792)</v>
      </c>
      <c r="L1105" t="str">
        <f>""</f>
        <v/>
      </c>
      <c r="M1105" t="str">
        <f>""</f>
        <v/>
      </c>
      <c r="N1105" t="str">
        <f>"relojoariacassio@hotmail.com"</f>
        <v>relojoariacassio@hotmail.com</v>
      </c>
      <c r="O1105" t="str">
        <f>""</f>
        <v/>
      </c>
      <c r="P1105" t="str">
        <f>"RUA ALTAMIRO GUIMARAES"</f>
        <v>RUA ALTAMIRO GUIMARAES</v>
      </c>
      <c r="Q1105" t="str">
        <f>"1141"</f>
        <v>1141</v>
      </c>
      <c r="R1105" t="str">
        <f>"SALA 01"</f>
        <v>SALA 01</v>
      </c>
      <c r="S1105" t="str">
        <f>"1268"</f>
        <v>1268</v>
      </c>
      <c r="T1105" t="str">
        <f>"88702100"</f>
        <v>88702100</v>
      </c>
      <c r="U1105" t="str">
        <f>"OFICINAS"</f>
        <v>OFICINAS</v>
      </c>
      <c r="V1105" t="str">
        <f>"TUBARÃO"</f>
        <v>TUBARÃO</v>
      </c>
      <c r="W1105" t="str">
        <f t="shared" si="552"/>
        <v>SC</v>
      </c>
      <c r="X1105" t="str">
        <f t="shared" si="553"/>
        <v>48</v>
      </c>
      <c r="Y1105" t="str">
        <f>"36260947"</f>
        <v>36260947</v>
      </c>
      <c r="Z1105" t="str">
        <f>""</f>
        <v/>
      </c>
      <c r="AA1105" t="str">
        <f>""</f>
        <v/>
      </c>
      <c r="AB1105" t="str">
        <f>""</f>
        <v/>
      </c>
      <c r="AC1105" t="str">
        <f>""</f>
        <v/>
      </c>
      <c r="AD1105" t="str">
        <f>""</f>
        <v/>
      </c>
      <c r="AE1105" t="str">
        <f>""</f>
        <v/>
      </c>
      <c r="AF1105" t="str">
        <f>""</f>
        <v/>
      </c>
      <c r="AG1105" t="str">
        <f>""</f>
        <v/>
      </c>
      <c r="AH1105" t="str">
        <f>""</f>
        <v/>
      </c>
      <c r="AI1105" t="str">
        <f>""</f>
        <v/>
      </c>
      <c r="AJ1105" t="str">
        <f>"0"</f>
        <v>0</v>
      </c>
      <c r="AK1105" t="str">
        <f t="shared" si="555"/>
        <v>0</v>
      </c>
      <c r="AL1105" t="str">
        <f t="shared" si="555"/>
        <v>0</v>
      </c>
      <c r="AM1105" t="str">
        <f>""</f>
        <v/>
      </c>
      <c r="AN1105" t="str">
        <f>""</f>
        <v/>
      </c>
      <c r="AO1105" t="str">
        <f>""</f>
        <v/>
      </c>
      <c r="AP1105" t="str">
        <f>""</f>
        <v/>
      </c>
      <c r="AQ1105" t="str">
        <f>""</f>
        <v/>
      </c>
      <c r="AR1105" t="str">
        <f>""</f>
        <v/>
      </c>
      <c r="AS1105" t="str">
        <f>""</f>
        <v/>
      </c>
      <c r="AT1105" t="str">
        <f>""</f>
        <v/>
      </c>
      <c r="AU1105" t="str">
        <f>""</f>
        <v/>
      </c>
      <c r="AV1105" t="str">
        <f>""</f>
        <v/>
      </c>
      <c r="AW1105" t="str">
        <f>""</f>
        <v/>
      </c>
      <c r="AX1105" t="str">
        <f>""</f>
        <v/>
      </c>
      <c r="AY1105" t="str">
        <f>""</f>
        <v/>
      </c>
      <c r="AZ1105" t="str">
        <f>""</f>
        <v/>
      </c>
      <c r="BA1105" t="str">
        <f>""</f>
        <v/>
      </c>
      <c r="BB1105" t="str">
        <f>"27/07/2018 09:25:30"</f>
        <v>27/07/2018 09:25:30</v>
      </c>
      <c r="BC1105" t="str">
        <f>""</f>
        <v/>
      </c>
      <c r="BD1105" t="str">
        <f>""</f>
        <v/>
      </c>
      <c r="BE1105" t="str">
        <f>"7"</f>
        <v>7</v>
      </c>
      <c r="BF1105" t="str">
        <f t="shared" si="548"/>
        <v>A</v>
      </c>
      <c r="BG1105" t="str">
        <f t="shared" si="556"/>
        <v>0,00</v>
      </c>
      <c r="BH1105" t="str">
        <f t="shared" si="556"/>
        <v>0,00</v>
      </c>
      <c r="BI1105" t="str">
        <f t="shared" si="531"/>
        <v>EVENTUAL</v>
      </c>
      <c r="BJ1105" t="str">
        <f t="shared" si="549"/>
        <v>1</v>
      </c>
      <c r="BK1105" t="str">
        <f t="shared" si="550"/>
        <v>Farmacia</v>
      </c>
      <c r="BL1105" t="str">
        <f>""</f>
        <v/>
      </c>
      <c r="BM1105" t="str">
        <f>"VARILUX ESPECIALISTA SELECT"</f>
        <v>VARILUX ESPECIALISTA SELECT</v>
      </c>
      <c r="BN1105" t="str">
        <f>"NA"</f>
        <v>NA</v>
      </c>
      <c r="BO1105" t="str">
        <f>"FOCO VARILUX DIGITAL"</f>
        <v>FOCO VARILUX DIGITAL</v>
      </c>
      <c r="BP1105" t="str">
        <f>""</f>
        <v/>
      </c>
      <c r="BQ1105" t="str">
        <f>""</f>
        <v/>
      </c>
      <c r="BR1105" t="str">
        <f>"27/07/2018"</f>
        <v>27/07/2018</v>
      </c>
      <c r="BS1105" t="str">
        <f>""</f>
        <v/>
      </c>
      <c r="BT1105" t="str">
        <f>""</f>
        <v/>
      </c>
      <c r="BU1105" t="str">
        <f>""</f>
        <v/>
      </c>
      <c r="BV1105" t="str">
        <f>"5"</f>
        <v>5</v>
      </c>
      <c r="BW1105" t="str">
        <f>"63"</f>
        <v>63</v>
      </c>
    </row>
    <row r="1106" spans="1:75" x14ac:dyDescent="0.35">
      <c r="A1106">
        <v>144384</v>
      </c>
      <c r="B1106" t="str">
        <f t="shared" si="545"/>
        <v>A</v>
      </c>
      <c r="C1106" t="str">
        <f t="shared" si="546"/>
        <v>80</v>
      </c>
      <c r="D1106" t="str">
        <f t="shared" si="535"/>
        <v>11121002</v>
      </c>
      <c r="E1106" t="str">
        <f t="shared" si="536"/>
        <v>121002</v>
      </c>
      <c r="F1106" t="str">
        <f t="shared" si="537"/>
        <v>CINTHIA NORONHA</v>
      </c>
      <c r="G1106" t="str">
        <f>"81768129000146"</f>
        <v>81768129000146</v>
      </c>
      <c r="H1106" t="str">
        <f>""</f>
        <v/>
      </c>
      <c r="I1106" t="str">
        <f t="shared" si="547"/>
        <v>CONTA OPTICA</v>
      </c>
      <c r="J1106" t="str">
        <f>"RELOJOARIA E OTICA CASIO LTDA ME"</f>
        <v>RELOJOARIA E OTICA CASIO LTDA ME</v>
      </c>
      <c r="K1106" t="str">
        <f>"RELOJOARIA E OTICA CASIO LTDA ME (1136)"</f>
        <v>RELOJOARIA E OTICA CASIO LTDA ME (1136)</v>
      </c>
      <c r="L1106" t="str">
        <f>""</f>
        <v/>
      </c>
      <c r="M1106" t="str">
        <f>""</f>
        <v/>
      </c>
      <c r="N1106" t="str">
        <f>"oticacasio@gmail.com"</f>
        <v>oticacasio@gmail.com</v>
      </c>
      <c r="O1106" t="str">
        <f>""</f>
        <v/>
      </c>
      <c r="P1106" t="str">
        <f>"RUA JOAO LODETI"</f>
        <v>RUA JOAO LODETI</v>
      </c>
      <c r="Q1106" t="str">
        <f>"10"</f>
        <v>10</v>
      </c>
      <c r="R1106" t="str">
        <f>"SALA 02"</f>
        <v>SALA 02</v>
      </c>
      <c r="S1106" t="str">
        <f>"1269"</f>
        <v>1269</v>
      </c>
      <c r="T1106" t="str">
        <f>"88820000"</f>
        <v>88820000</v>
      </c>
      <c r="U1106" t="str">
        <f>"CENTRO"</f>
        <v>CENTRO</v>
      </c>
      <c r="V1106" t="str">
        <f>"IÇARA"</f>
        <v>IÇARA</v>
      </c>
      <c r="W1106" t="str">
        <f t="shared" si="552"/>
        <v>SC</v>
      </c>
      <c r="X1106" t="str">
        <f t="shared" si="553"/>
        <v>48</v>
      </c>
      <c r="Y1106" t="str">
        <f>"34323071"</f>
        <v>34323071</v>
      </c>
      <c r="Z1106" t="str">
        <f>""</f>
        <v/>
      </c>
      <c r="AA1106" t="str">
        <f>""</f>
        <v/>
      </c>
      <c r="AB1106" t="str">
        <f>""</f>
        <v/>
      </c>
      <c r="AC1106" t="str">
        <f>""</f>
        <v/>
      </c>
      <c r="AD1106" t="str">
        <f>""</f>
        <v/>
      </c>
      <c r="AE1106" t="str">
        <f>""</f>
        <v/>
      </c>
      <c r="AF1106" t="str">
        <f>""</f>
        <v/>
      </c>
      <c r="AG1106" t="str">
        <f>""</f>
        <v/>
      </c>
      <c r="AH1106" t="str">
        <f>""</f>
        <v/>
      </c>
      <c r="AI1106" t="str">
        <f>""</f>
        <v/>
      </c>
      <c r="AJ1106" t="str">
        <f>"0"</f>
        <v>0</v>
      </c>
      <c r="AK1106" t="str">
        <f t="shared" si="555"/>
        <v>0</v>
      </c>
      <c r="AL1106" t="str">
        <f t="shared" si="555"/>
        <v>0</v>
      </c>
      <c r="AM1106" t="str">
        <f>""</f>
        <v/>
      </c>
      <c r="AN1106" t="str">
        <f>""</f>
        <v/>
      </c>
      <c r="AO1106" t="str">
        <f>""</f>
        <v/>
      </c>
      <c r="AP1106" t="str">
        <f>""</f>
        <v/>
      </c>
      <c r="AQ1106" t="str">
        <f>""</f>
        <v/>
      </c>
      <c r="AR1106" t="str">
        <f>""</f>
        <v/>
      </c>
      <c r="AS1106" t="str">
        <f>""</f>
        <v/>
      </c>
      <c r="AT1106" t="str">
        <f>""</f>
        <v/>
      </c>
      <c r="AU1106" t="str">
        <f>""</f>
        <v/>
      </c>
      <c r="AV1106" t="str">
        <f>""</f>
        <v/>
      </c>
      <c r="AW1106" t="str">
        <f>""</f>
        <v/>
      </c>
      <c r="AX1106" t="str">
        <f>""</f>
        <v/>
      </c>
      <c r="AY1106" t="str">
        <f>""</f>
        <v/>
      </c>
      <c r="AZ1106" t="str">
        <f>""</f>
        <v/>
      </c>
      <c r="BA1106" t="str">
        <f>""</f>
        <v/>
      </c>
      <c r="BB1106" t="str">
        <f>""</f>
        <v/>
      </c>
      <c r="BC1106" t="str">
        <f>""</f>
        <v/>
      </c>
      <c r="BD1106" t="str">
        <f>""</f>
        <v/>
      </c>
      <c r="BE1106" t="str">
        <f>""</f>
        <v/>
      </c>
      <c r="BF1106" t="str">
        <f t="shared" si="548"/>
        <v>A</v>
      </c>
      <c r="BG1106" t="str">
        <f t="shared" si="556"/>
        <v>0,00</v>
      </c>
      <c r="BH1106" t="str">
        <f t="shared" si="556"/>
        <v>0,00</v>
      </c>
      <c r="BI1106" t="str">
        <f t="shared" si="531"/>
        <v>EVENTUAL</v>
      </c>
      <c r="BJ1106" t="str">
        <f t="shared" si="549"/>
        <v>1</v>
      </c>
      <c r="BK1106" t="str">
        <f t="shared" si="550"/>
        <v>Farmacia</v>
      </c>
      <c r="BL1106" t="str">
        <f>""</f>
        <v/>
      </c>
      <c r="BM1106" t="str">
        <f>"CREDENCIADO VARILUX"</f>
        <v>CREDENCIADO VARILUX</v>
      </c>
      <c r="BN1106" t="str">
        <f>"EL360"</f>
        <v>EL360</v>
      </c>
      <c r="BO1106" t="str">
        <f>"FOCO VARILUX DIGITAL"</f>
        <v>FOCO VARILUX DIGITAL</v>
      </c>
      <c r="BP1106" t="str">
        <f>""</f>
        <v/>
      </c>
      <c r="BQ1106" t="str">
        <f>""</f>
        <v/>
      </c>
      <c r="BR1106" t="str">
        <f>""</f>
        <v/>
      </c>
      <c r="BS1106" t="str">
        <f>""</f>
        <v/>
      </c>
      <c r="BT1106" t="str">
        <f>""</f>
        <v/>
      </c>
      <c r="BU1106" t="str">
        <f>""</f>
        <v/>
      </c>
      <c r="BV1106" t="str">
        <f>"5"</f>
        <v>5</v>
      </c>
      <c r="BW1106" t="str">
        <f>"1"</f>
        <v>1</v>
      </c>
    </row>
    <row r="1107" spans="1:75" x14ac:dyDescent="0.35">
      <c r="A1107">
        <v>151920</v>
      </c>
      <c r="B1107" t="str">
        <f t="shared" si="545"/>
        <v>A</v>
      </c>
      <c r="C1107" t="str">
        <f t="shared" si="546"/>
        <v>80</v>
      </c>
      <c r="D1107" t="str">
        <f t="shared" si="535"/>
        <v>11121002</v>
      </c>
      <c r="E1107" t="str">
        <f t="shared" si="536"/>
        <v>121002</v>
      </c>
      <c r="F1107" t="str">
        <f t="shared" si="537"/>
        <v>CINTHIA NORONHA</v>
      </c>
      <c r="G1107" t="str">
        <f>"04080808000500"</f>
        <v>04080808000500</v>
      </c>
      <c r="H1107" t="str">
        <f>"0"</f>
        <v>0</v>
      </c>
      <c r="I1107" t="str">
        <f t="shared" si="547"/>
        <v>CONTA OPTICA</v>
      </c>
      <c r="J1107" t="str">
        <f>"RELOJOARIA E OTICA DEGAN LTDA"</f>
        <v>RELOJOARIA E OTICA DEGAN LTDA</v>
      </c>
      <c r="K1107" t="str">
        <f>"OTICA VINI (4650)"</f>
        <v>OTICA VINI (4650)</v>
      </c>
      <c r="L1107" t="str">
        <f>""</f>
        <v/>
      </c>
      <c r="M1107" t="str">
        <f>""</f>
        <v/>
      </c>
      <c r="N1107" t="str">
        <f>"OTICAVINI@HOTMAIL.COM"</f>
        <v>OTICAVINI@HOTMAIL.COM</v>
      </c>
      <c r="O1107" t="str">
        <f>""</f>
        <v/>
      </c>
      <c r="P1107" t="str">
        <f>"RUA ANITAPOLIS"</f>
        <v>RUA ANITAPOLIS</v>
      </c>
      <c r="Q1107" t="str">
        <f>"360"</f>
        <v>360</v>
      </c>
      <c r="R1107" t="str">
        <f>""</f>
        <v/>
      </c>
      <c r="S1107" t="str">
        <f>"1265"</f>
        <v>1265</v>
      </c>
      <c r="T1107" t="str">
        <f>"88450000"</f>
        <v>88450000</v>
      </c>
      <c r="U1107" t="str">
        <f>"CENTRO"</f>
        <v>CENTRO</v>
      </c>
      <c r="V1107" t="str">
        <f>"ALFREDO WAGNER"</f>
        <v>ALFREDO WAGNER</v>
      </c>
      <c r="W1107" t="str">
        <f t="shared" si="552"/>
        <v>SC</v>
      </c>
      <c r="X1107" t="str">
        <f>"47"</f>
        <v>47</v>
      </c>
      <c r="Y1107" t="str">
        <f>"35333232"</f>
        <v>35333232</v>
      </c>
      <c r="Z1107" t="str">
        <f>""</f>
        <v/>
      </c>
      <c r="AA1107" t="str">
        <f>""</f>
        <v/>
      </c>
      <c r="AB1107" t="str">
        <f>""</f>
        <v/>
      </c>
      <c r="AC1107" t="str">
        <f>""</f>
        <v/>
      </c>
      <c r="AD1107" t="str">
        <f>""</f>
        <v/>
      </c>
      <c r="AE1107" t="str">
        <f>""</f>
        <v/>
      </c>
      <c r="AF1107" t="str">
        <f>""</f>
        <v/>
      </c>
      <c r="AG1107" t="str">
        <f>""</f>
        <v/>
      </c>
      <c r="AH1107" t="str">
        <f>""</f>
        <v/>
      </c>
      <c r="AI1107" t="str">
        <f>""</f>
        <v/>
      </c>
      <c r="AJ1107" t="str">
        <f>""</f>
        <v/>
      </c>
      <c r="AK1107" t="str">
        <f>""</f>
        <v/>
      </c>
      <c r="AL1107" t="str">
        <f>""</f>
        <v/>
      </c>
      <c r="AM1107" t="str">
        <f>""</f>
        <v/>
      </c>
      <c r="AN1107" t="str">
        <f>""</f>
        <v/>
      </c>
      <c r="AO1107" t="str">
        <f>""</f>
        <v/>
      </c>
      <c r="AP1107" t="str">
        <f>""</f>
        <v/>
      </c>
      <c r="AQ1107" t="str">
        <f>""</f>
        <v/>
      </c>
      <c r="AR1107" t="str">
        <f>""</f>
        <v/>
      </c>
      <c r="AS1107" t="str">
        <f>""</f>
        <v/>
      </c>
      <c r="AT1107" t="str">
        <f>""</f>
        <v/>
      </c>
      <c r="AU1107" t="str">
        <f>""</f>
        <v/>
      </c>
      <c r="AV1107" t="str">
        <f>""</f>
        <v/>
      </c>
      <c r="AW1107" t="str">
        <f>""</f>
        <v/>
      </c>
      <c r="AX1107" t="str">
        <f>""</f>
        <v/>
      </c>
      <c r="AY1107" t="str">
        <f>""</f>
        <v/>
      </c>
      <c r="AZ1107" t="str">
        <f>""</f>
        <v/>
      </c>
      <c r="BA1107" t="str">
        <f>""</f>
        <v/>
      </c>
      <c r="BB1107" t="str">
        <f>"22/03/2023 17:14:02"</f>
        <v>22/03/2023 17:14:02</v>
      </c>
      <c r="BC1107" t="str">
        <f>""</f>
        <v/>
      </c>
      <c r="BD1107" t="str">
        <f>""</f>
        <v/>
      </c>
      <c r="BE1107" t="str">
        <f>""</f>
        <v/>
      </c>
      <c r="BF1107" t="str">
        <f t="shared" si="548"/>
        <v>A</v>
      </c>
      <c r="BG1107" t="str">
        <f>""</f>
        <v/>
      </c>
      <c r="BH1107" t="str">
        <f>""</f>
        <v/>
      </c>
      <c r="BI1107" t="str">
        <f t="shared" si="531"/>
        <v>EVENTUAL</v>
      </c>
      <c r="BJ1107" t="str">
        <f t="shared" si="549"/>
        <v>1</v>
      </c>
      <c r="BK1107" t="str">
        <f t="shared" si="550"/>
        <v>Farmacia</v>
      </c>
      <c r="BL1107" t="str">
        <f>""</f>
        <v/>
      </c>
      <c r="BM1107" t="str">
        <f>"NÃO É VARILUX ESPECIALISTA"</f>
        <v>NÃO É VARILUX ESPECIALISTA</v>
      </c>
      <c r="BN1107" t="str">
        <f>""</f>
        <v/>
      </c>
      <c r="BO1107" t="str">
        <f>""</f>
        <v/>
      </c>
      <c r="BP1107" t="str">
        <f>""</f>
        <v/>
      </c>
      <c r="BQ1107" t="str">
        <f>""</f>
        <v/>
      </c>
      <c r="BR1107" t="str">
        <f>"22/03/2023"</f>
        <v>22/03/2023</v>
      </c>
      <c r="BS1107" t="str">
        <f>""</f>
        <v/>
      </c>
      <c r="BT1107" t="str">
        <f>""</f>
        <v/>
      </c>
      <c r="BU1107" t="str">
        <f>""</f>
        <v/>
      </c>
      <c r="BV1107" t="str">
        <f>""</f>
        <v/>
      </c>
      <c r="BW1107" t="str">
        <f>"Não visitado"</f>
        <v>Não visitado</v>
      </c>
    </row>
    <row r="1108" spans="1:75" x14ac:dyDescent="0.35">
      <c r="A1108">
        <v>144379</v>
      </c>
      <c r="B1108" t="str">
        <f t="shared" si="545"/>
        <v>A</v>
      </c>
      <c r="C1108" t="str">
        <f t="shared" si="546"/>
        <v>80</v>
      </c>
      <c r="D1108" t="str">
        <f t="shared" si="535"/>
        <v>11121002</v>
      </c>
      <c r="E1108" t="str">
        <f t="shared" si="536"/>
        <v>121002</v>
      </c>
      <c r="F1108" t="str">
        <f t="shared" si="537"/>
        <v>CINTHIA NORONHA</v>
      </c>
      <c r="G1108" t="str">
        <f>"81016446000106"</f>
        <v>81016446000106</v>
      </c>
      <c r="H1108" t="str">
        <f>""</f>
        <v/>
      </c>
      <c r="I1108" t="str">
        <f t="shared" si="547"/>
        <v>CONTA OPTICA</v>
      </c>
      <c r="J1108" t="str">
        <f>"RELOJOARIA E OTICA DU PONT LTDA - ME"</f>
        <v>RELOJOARIA E OTICA DU PONT LTDA - ME</v>
      </c>
      <c r="K1108" t="str">
        <f>"RELOJOARIA DU PONT (771)"</f>
        <v>RELOJOARIA DU PONT (771)</v>
      </c>
      <c r="L1108" t="str">
        <f>""</f>
        <v/>
      </c>
      <c r="M1108" t="str">
        <f>""</f>
        <v/>
      </c>
      <c r="N1108" t="str">
        <f>"oticadupontfinanceiro@hotmail.com"</f>
        <v>oticadupontfinanceiro@hotmail.com</v>
      </c>
      <c r="O1108" t="str">
        <f>""</f>
        <v/>
      </c>
      <c r="P1108" t="str">
        <f>"RUA TEODORO BERNARDO SCHLICKMANN"</f>
        <v>RUA TEODORO BERNARDO SCHLICKMANN</v>
      </c>
      <c r="Q1108" t="str">
        <f>"148"</f>
        <v>148</v>
      </c>
      <c r="R1108" t="str">
        <f>""</f>
        <v/>
      </c>
      <c r="S1108" t="str">
        <f>"1268"</f>
        <v>1268</v>
      </c>
      <c r="T1108" t="str">
        <f>"88750000"</f>
        <v>88750000</v>
      </c>
      <c r="U1108" t="str">
        <f>"CENTRO"</f>
        <v>CENTRO</v>
      </c>
      <c r="V1108" t="str">
        <f>"BRAÇO DO NORTE"</f>
        <v>BRAÇO DO NORTE</v>
      </c>
      <c r="W1108" t="str">
        <f t="shared" si="552"/>
        <v>SC</v>
      </c>
      <c r="X1108" t="str">
        <f t="shared" ref="X1108:X1117" si="557">"48"</f>
        <v>48</v>
      </c>
      <c r="Y1108" t="str">
        <f>"36582902"</f>
        <v>36582902</v>
      </c>
      <c r="Z1108" t="str">
        <f>""</f>
        <v/>
      </c>
      <c r="AA1108" t="str">
        <f>""</f>
        <v/>
      </c>
      <c r="AB1108" t="str">
        <f>""</f>
        <v/>
      </c>
      <c r="AC1108" t="str">
        <f>""</f>
        <v/>
      </c>
      <c r="AD1108" t="str">
        <f>""</f>
        <v/>
      </c>
      <c r="AE1108" t="str">
        <f>""</f>
        <v/>
      </c>
      <c r="AF1108" t="str">
        <f>""</f>
        <v/>
      </c>
      <c r="AG1108" t="str">
        <f>""</f>
        <v/>
      </c>
      <c r="AH1108" t="str">
        <f>""</f>
        <v/>
      </c>
      <c r="AI1108" t="str">
        <f>""</f>
        <v/>
      </c>
      <c r="AJ1108" t="str">
        <f t="shared" ref="AJ1108:AL1112" si="558">"0"</f>
        <v>0</v>
      </c>
      <c r="AK1108" t="str">
        <f t="shared" si="558"/>
        <v>0</v>
      </c>
      <c r="AL1108" t="str">
        <f t="shared" si="558"/>
        <v>0</v>
      </c>
      <c r="AM1108" t="str">
        <f>""</f>
        <v/>
      </c>
      <c r="AN1108" t="str">
        <f>""</f>
        <v/>
      </c>
      <c r="AO1108" t="str">
        <f>""</f>
        <v/>
      </c>
      <c r="AP1108" t="str">
        <f>""</f>
        <v/>
      </c>
      <c r="AQ1108" t="str">
        <f>""</f>
        <v/>
      </c>
      <c r="AR1108" t="str">
        <f>""</f>
        <v/>
      </c>
      <c r="AS1108" t="str">
        <f>""</f>
        <v/>
      </c>
      <c r="AT1108" t="str">
        <f>""</f>
        <v/>
      </c>
      <c r="AU1108" t="str">
        <f>""</f>
        <v/>
      </c>
      <c r="AV1108" t="str">
        <f>""</f>
        <v/>
      </c>
      <c r="AW1108" t="str">
        <f>""</f>
        <v/>
      </c>
      <c r="AX1108" t="str">
        <f>""</f>
        <v/>
      </c>
      <c r="AY1108" t="str">
        <f>""</f>
        <v/>
      </c>
      <c r="AZ1108" t="str">
        <f>""</f>
        <v/>
      </c>
      <c r="BA1108" t="str">
        <f>""</f>
        <v/>
      </c>
      <c r="BB1108" t="str">
        <f>""</f>
        <v/>
      </c>
      <c r="BC1108" t="str">
        <f>""</f>
        <v/>
      </c>
      <c r="BD1108" t="str">
        <f>""</f>
        <v/>
      </c>
      <c r="BE1108" t="str">
        <f>""</f>
        <v/>
      </c>
      <c r="BF1108" t="str">
        <f t="shared" si="548"/>
        <v>A</v>
      </c>
      <c r="BG1108" t="str">
        <f t="shared" ref="BG1108:BH1112" si="559">"0,00"</f>
        <v>0,00</v>
      </c>
      <c r="BH1108" t="str">
        <f t="shared" si="559"/>
        <v>0,00</v>
      </c>
      <c r="BI1108" t="str">
        <f t="shared" si="531"/>
        <v>EVENTUAL</v>
      </c>
      <c r="BJ1108" t="str">
        <f t="shared" si="549"/>
        <v>1</v>
      </c>
      <c r="BK1108" t="str">
        <f t="shared" si="550"/>
        <v>Farmacia</v>
      </c>
      <c r="BL1108" t="str">
        <f>""</f>
        <v/>
      </c>
      <c r="BM1108" t="str">
        <f>"NÃO É VARILUX ESPECIALISTA"</f>
        <v>NÃO É VARILUX ESPECIALISTA</v>
      </c>
      <c r="BN1108" t="str">
        <f>"NA"</f>
        <v>NA</v>
      </c>
      <c r="BO1108" t="str">
        <f>"FOCO VARILUX"</f>
        <v>FOCO VARILUX</v>
      </c>
      <c r="BP1108" t="str">
        <f>""</f>
        <v/>
      </c>
      <c r="BQ1108" t="str">
        <f>""</f>
        <v/>
      </c>
      <c r="BR1108" t="str">
        <f>""</f>
        <v/>
      </c>
      <c r="BS1108" t="str">
        <f>""</f>
        <v/>
      </c>
      <c r="BT1108" t="str">
        <f>""</f>
        <v/>
      </c>
      <c r="BU1108" t="str">
        <f>""</f>
        <v/>
      </c>
      <c r="BV1108" t="str">
        <f>"9"</f>
        <v>9</v>
      </c>
      <c r="BW1108" t="str">
        <f>"1"</f>
        <v>1</v>
      </c>
    </row>
    <row r="1109" spans="1:75" x14ac:dyDescent="0.35">
      <c r="A1109">
        <v>2</v>
      </c>
      <c r="B1109" t="str">
        <f t="shared" si="545"/>
        <v>A</v>
      </c>
      <c r="C1109" t="str">
        <f t="shared" si="546"/>
        <v>80</v>
      </c>
      <c r="D1109" t="str">
        <f t="shared" si="535"/>
        <v>11121002</v>
      </c>
      <c r="E1109" t="str">
        <f t="shared" si="536"/>
        <v>121002</v>
      </c>
      <c r="F1109" t="str">
        <f t="shared" si="537"/>
        <v>CINTHIA NORONHA</v>
      </c>
      <c r="G1109" t="str">
        <f>"00146819000161"</f>
        <v>00146819000161</v>
      </c>
      <c r="H1109" t="str">
        <f>""</f>
        <v/>
      </c>
      <c r="I1109" t="str">
        <f t="shared" si="547"/>
        <v>CONTA OPTICA</v>
      </c>
      <c r="J1109" t="str">
        <f>"RELOJOARIA E OTICA FERNANDES LTDA"</f>
        <v>RELOJOARIA E OTICA FERNANDES LTDA</v>
      </c>
      <c r="K1109" t="str">
        <f>"RELOJOARIA DO TONI (359)"</f>
        <v>RELOJOARIA DO TONI (359)</v>
      </c>
      <c r="L1109" t="str">
        <f>""</f>
        <v/>
      </c>
      <c r="M1109" t="str">
        <f>""</f>
        <v/>
      </c>
      <c r="N1109" t="str">
        <f>"oticatoni@hotmail.com"</f>
        <v>oticatoni@hotmail.com</v>
      </c>
      <c r="O1109" t="str">
        <f>""</f>
        <v/>
      </c>
      <c r="P1109" t="str">
        <f>"RUA FELIPE SCHMIDT"</f>
        <v>RUA FELIPE SCHMIDT</v>
      </c>
      <c r="Q1109" t="str">
        <f>"2164"</f>
        <v>2164</v>
      </c>
      <c r="R1109" t="str">
        <f>""</f>
        <v/>
      </c>
      <c r="S1109" t="str">
        <f>"1268"</f>
        <v>1268</v>
      </c>
      <c r="T1109" t="str">
        <f>"88750000"</f>
        <v>88750000</v>
      </c>
      <c r="U1109" t="str">
        <f>"CENTRO"</f>
        <v>CENTRO</v>
      </c>
      <c r="V1109" t="str">
        <f>"BRAÇO DO NORTE"</f>
        <v>BRAÇO DO NORTE</v>
      </c>
      <c r="W1109" t="str">
        <f t="shared" si="552"/>
        <v>SC</v>
      </c>
      <c r="X1109" t="str">
        <f t="shared" si="557"/>
        <v>48</v>
      </c>
      <c r="Y1109" t="str">
        <f>"36582832"</f>
        <v>36582832</v>
      </c>
      <c r="Z1109" t="str">
        <f>""</f>
        <v/>
      </c>
      <c r="AA1109" t="str">
        <f>""</f>
        <v/>
      </c>
      <c r="AB1109" t="str">
        <f>""</f>
        <v/>
      </c>
      <c r="AC1109" t="str">
        <f>""</f>
        <v/>
      </c>
      <c r="AD1109" t="str">
        <f>""</f>
        <v/>
      </c>
      <c r="AE1109" t="str">
        <f>""</f>
        <v/>
      </c>
      <c r="AF1109" t="str">
        <f>""</f>
        <v/>
      </c>
      <c r="AG1109" t="str">
        <f>""</f>
        <v/>
      </c>
      <c r="AH1109" t="str">
        <f>""</f>
        <v/>
      </c>
      <c r="AI1109" t="str">
        <f>""</f>
        <v/>
      </c>
      <c r="AJ1109" t="str">
        <f t="shared" si="558"/>
        <v>0</v>
      </c>
      <c r="AK1109" t="str">
        <f t="shared" si="558"/>
        <v>0</v>
      </c>
      <c r="AL1109" t="str">
        <f t="shared" si="558"/>
        <v>0</v>
      </c>
      <c r="AM1109" t="str">
        <f>""</f>
        <v/>
      </c>
      <c r="AN1109" t="str">
        <f>""</f>
        <v/>
      </c>
      <c r="AO1109" t="str">
        <f>""</f>
        <v/>
      </c>
      <c r="AP1109" t="str">
        <f>""</f>
        <v/>
      </c>
      <c r="AQ1109" t="str">
        <f>""</f>
        <v/>
      </c>
      <c r="AR1109" t="str">
        <f>""</f>
        <v/>
      </c>
      <c r="AS1109" t="str">
        <f>""</f>
        <v/>
      </c>
      <c r="AT1109" t="str">
        <f>""</f>
        <v/>
      </c>
      <c r="AU1109" t="str">
        <f>""</f>
        <v/>
      </c>
      <c r="AV1109" t="str">
        <f>""</f>
        <v/>
      </c>
      <c r="AW1109" t="str">
        <f>""</f>
        <v/>
      </c>
      <c r="AX1109" t="str">
        <f>""</f>
        <v/>
      </c>
      <c r="AY1109" t="str">
        <f>""</f>
        <v/>
      </c>
      <c r="AZ1109" t="str">
        <f>""</f>
        <v/>
      </c>
      <c r="BA1109" t="str">
        <f>""</f>
        <v/>
      </c>
      <c r="BB1109" t="str">
        <f>"27/07/2018 09:25:30"</f>
        <v>27/07/2018 09:25:30</v>
      </c>
      <c r="BC1109" t="str">
        <f>""</f>
        <v/>
      </c>
      <c r="BD1109" t="str">
        <f>""</f>
        <v/>
      </c>
      <c r="BE1109" t="str">
        <f>"2"</f>
        <v>2</v>
      </c>
      <c r="BF1109" t="str">
        <f t="shared" si="548"/>
        <v>A</v>
      </c>
      <c r="BG1109" t="str">
        <f t="shared" si="559"/>
        <v>0,00</v>
      </c>
      <c r="BH1109" t="str">
        <f t="shared" si="559"/>
        <v>0,00</v>
      </c>
      <c r="BI1109" t="str">
        <f t="shared" si="531"/>
        <v>EVENTUAL</v>
      </c>
      <c r="BJ1109" t="str">
        <f t="shared" si="549"/>
        <v>1</v>
      </c>
      <c r="BK1109" t="str">
        <f t="shared" si="550"/>
        <v>Farmacia</v>
      </c>
      <c r="BL1109" t="str">
        <f>""</f>
        <v/>
      </c>
      <c r="BM1109" t="str">
        <f>"VARILUX ESPECIALISTA SELECT"</f>
        <v>VARILUX ESPECIALISTA SELECT</v>
      </c>
      <c r="BN1109" t="str">
        <f>"NA"</f>
        <v>NA</v>
      </c>
      <c r="BO1109" t="str">
        <f>"FOCO VARILUX DIGITAL"</f>
        <v>FOCO VARILUX DIGITAL</v>
      </c>
      <c r="BP1109" t="str">
        <f>""</f>
        <v/>
      </c>
      <c r="BQ1109" t="str">
        <f>""</f>
        <v/>
      </c>
      <c r="BR1109" t="str">
        <f>"27/07/2018"</f>
        <v>27/07/2018</v>
      </c>
      <c r="BS1109" t="str">
        <f>""</f>
        <v/>
      </c>
      <c r="BT1109" t="str">
        <f>""</f>
        <v/>
      </c>
      <c r="BU1109" t="str">
        <f>""</f>
        <v/>
      </c>
      <c r="BV1109" t="str">
        <f>"1"</f>
        <v>1</v>
      </c>
      <c r="BW1109" t="str">
        <f>"134"</f>
        <v>134</v>
      </c>
    </row>
    <row r="1110" spans="1:75" x14ac:dyDescent="0.35">
      <c r="A1110">
        <v>118684</v>
      </c>
      <c r="B1110" t="str">
        <f t="shared" si="545"/>
        <v>A</v>
      </c>
      <c r="C1110" t="str">
        <f t="shared" si="546"/>
        <v>80</v>
      </c>
      <c r="D1110" t="str">
        <f t="shared" si="535"/>
        <v>11121002</v>
      </c>
      <c r="E1110" t="str">
        <f t="shared" si="536"/>
        <v>121002</v>
      </c>
      <c r="F1110" t="str">
        <f t="shared" si="537"/>
        <v>CINTHIA NORONHA</v>
      </c>
      <c r="G1110" t="str">
        <f>"04292093000126"</f>
        <v>04292093000126</v>
      </c>
      <c r="H1110" t="str">
        <f>""</f>
        <v/>
      </c>
      <c r="I1110" t="str">
        <f t="shared" si="547"/>
        <v>CONTA OPTICA</v>
      </c>
      <c r="J1110" t="str">
        <f>"RELOJOARIA E OTICA FRITZEN LTDA"</f>
        <v>RELOJOARIA E OTICA FRITZEN LTDA</v>
      </c>
      <c r="K1110" t="str">
        <f>"RELOJOARIA E OTICA FRITZEN LTDA (648)"</f>
        <v>RELOJOARIA E OTICA FRITZEN LTDA (648)</v>
      </c>
      <c r="L1110" t="str">
        <f>""</f>
        <v/>
      </c>
      <c r="M1110" t="str">
        <f>""</f>
        <v/>
      </c>
      <c r="N1110" t="str">
        <f>"oticafritzen@hotmail.com"</f>
        <v>oticafritzen@hotmail.com</v>
      </c>
      <c r="O1110" t="str">
        <f>""</f>
        <v/>
      </c>
      <c r="P1110" t="str">
        <f>"AVENIDA DOUTOR POLIDORO SANTIAGO"</f>
        <v>AVENIDA DOUTOR POLIDORO SANTIAGO</v>
      </c>
      <c r="Q1110" t="str">
        <f>"342"</f>
        <v>342</v>
      </c>
      <c r="R1110" t="str">
        <f>"SALA 02"</f>
        <v>SALA 02</v>
      </c>
      <c r="S1110" t="str">
        <f t="shared" ref="S1110:S1115" si="560">"1269"</f>
        <v>1269</v>
      </c>
      <c r="T1110" t="str">
        <f>"88845000"</f>
        <v>88845000</v>
      </c>
      <c r="U1110" t="str">
        <f>"NAO INFORMADO"</f>
        <v>NAO INFORMADO</v>
      </c>
      <c r="V1110" t="str">
        <f>"COCAL DO SUL"</f>
        <v>COCAL DO SUL</v>
      </c>
      <c r="W1110" t="str">
        <f t="shared" si="552"/>
        <v>SC</v>
      </c>
      <c r="X1110" t="str">
        <f t="shared" si="557"/>
        <v>48</v>
      </c>
      <c r="Y1110" t="str">
        <f>"34470385"</f>
        <v>34470385</v>
      </c>
      <c r="Z1110" t="str">
        <f>""</f>
        <v/>
      </c>
      <c r="AA1110" t="str">
        <f>""</f>
        <v/>
      </c>
      <c r="AB1110" t="str">
        <f>""</f>
        <v/>
      </c>
      <c r="AC1110" t="str">
        <f>""</f>
        <v/>
      </c>
      <c r="AD1110" t="str">
        <f>""</f>
        <v/>
      </c>
      <c r="AE1110" t="str">
        <f>""</f>
        <v/>
      </c>
      <c r="AF1110" t="str">
        <f>""</f>
        <v/>
      </c>
      <c r="AG1110" t="str">
        <f>""</f>
        <v/>
      </c>
      <c r="AH1110" t="str">
        <f>""</f>
        <v/>
      </c>
      <c r="AI1110" t="str">
        <f>""</f>
        <v/>
      </c>
      <c r="AJ1110" t="str">
        <f t="shared" si="558"/>
        <v>0</v>
      </c>
      <c r="AK1110" t="str">
        <f t="shared" si="558"/>
        <v>0</v>
      </c>
      <c r="AL1110" t="str">
        <f t="shared" si="558"/>
        <v>0</v>
      </c>
      <c r="AM1110" t="str">
        <f>""</f>
        <v/>
      </c>
      <c r="AN1110" t="str">
        <f>""</f>
        <v/>
      </c>
      <c r="AO1110" t="str">
        <f>""</f>
        <v/>
      </c>
      <c r="AP1110" t="str">
        <f>""</f>
        <v/>
      </c>
      <c r="AQ1110" t="str">
        <f>""</f>
        <v/>
      </c>
      <c r="AR1110" t="str">
        <f>""</f>
        <v/>
      </c>
      <c r="AS1110" t="str">
        <f>""</f>
        <v/>
      </c>
      <c r="AT1110" t="str">
        <f>""</f>
        <v/>
      </c>
      <c r="AU1110" t="str">
        <f>""</f>
        <v/>
      </c>
      <c r="AV1110" t="str">
        <f>""</f>
        <v/>
      </c>
      <c r="AW1110" t="str">
        <f>""</f>
        <v/>
      </c>
      <c r="AX1110" t="str">
        <f>""</f>
        <v/>
      </c>
      <c r="AY1110" t="str">
        <f>""</f>
        <v/>
      </c>
      <c r="AZ1110" t="str">
        <f>""</f>
        <v/>
      </c>
      <c r="BA1110" t="str">
        <f>""</f>
        <v/>
      </c>
      <c r="BB1110" t="str">
        <f>""</f>
        <v/>
      </c>
      <c r="BC1110" t="str">
        <f>""</f>
        <v/>
      </c>
      <c r="BD1110" t="str">
        <f>""</f>
        <v/>
      </c>
      <c r="BE1110" t="str">
        <f>""</f>
        <v/>
      </c>
      <c r="BF1110" t="str">
        <f t="shared" si="548"/>
        <v>A</v>
      </c>
      <c r="BG1110" t="str">
        <f t="shared" si="559"/>
        <v>0,00</v>
      </c>
      <c r="BH1110" t="str">
        <f t="shared" si="559"/>
        <v>0,00</v>
      </c>
      <c r="BI1110" t="str">
        <f t="shared" si="531"/>
        <v>EVENTUAL</v>
      </c>
      <c r="BJ1110" t="str">
        <f t="shared" si="549"/>
        <v>1</v>
      </c>
      <c r="BK1110" t="str">
        <f t="shared" si="550"/>
        <v>Farmacia</v>
      </c>
      <c r="BL1110" t="str">
        <f>""</f>
        <v/>
      </c>
      <c r="BM1110" t="str">
        <f>"NÃO É VARILUX ESPECIALISTA"</f>
        <v>NÃO É VARILUX ESPECIALISTA</v>
      </c>
      <c r="BN1110" t="str">
        <f>"NA"</f>
        <v>NA</v>
      </c>
      <c r="BO1110" t="str">
        <f>"FOCO VARILUX"</f>
        <v>FOCO VARILUX</v>
      </c>
      <c r="BP1110" t="str">
        <f>""</f>
        <v/>
      </c>
      <c r="BQ1110" t="str">
        <f>""</f>
        <v/>
      </c>
      <c r="BR1110" t="str">
        <f>""</f>
        <v/>
      </c>
      <c r="BS1110" t="str">
        <f>""</f>
        <v/>
      </c>
      <c r="BT1110" t="str">
        <f>""</f>
        <v/>
      </c>
      <c r="BU1110" t="str">
        <f>""</f>
        <v/>
      </c>
      <c r="BV1110" t="str">
        <f>"9"</f>
        <v>9</v>
      </c>
      <c r="BW1110" t="str">
        <f>"Não visitado"</f>
        <v>Não visitado</v>
      </c>
    </row>
    <row r="1111" spans="1:75" x14ac:dyDescent="0.35">
      <c r="A1111">
        <v>127435</v>
      </c>
      <c r="B1111" t="str">
        <f t="shared" si="545"/>
        <v>A</v>
      </c>
      <c r="C1111" t="str">
        <f t="shared" si="546"/>
        <v>80</v>
      </c>
      <c r="D1111" t="str">
        <f t="shared" si="535"/>
        <v>11121002</v>
      </c>
      <c r="E1111" t="str">
        <f t="shared" si="536"/>
        <v>121002</v>
      </c>
      <c r="F1111" t="str">
        <f t="shared" si="537"/>
        <v>CINTHIA NORONHA</v>
      </c>
      <c r="G1111" t="str">
        <f>"01067835000121"</f>
        <v>01067835000121</v>
      </c>
      <c r="H1111" t="str">
        <f>"0"</f>
        <v>0</v>
      </c>
      <c r="I1111" t="str">
        <f t="shared" si="547"/>
        <v>CONTA OPTICA</v>
      </c>
      <c r="J1111" t="str">
        <f>"RELOJOARIA E OTICA GUZZATTI LTDA"</f>
        <v>RELOJOARIA E OTICA GUZZATTI LTDA</v>
      </c>
      <c r="K1111" t="str">
        <f>"RELOJOARIA GUZZATTI LTDA ME (1186)"</f>
        <v>RELOJOARIA GUZZATTI LTDA ME (1186)</v>
      </c>
      <c r="L1111" t="str">
        <f>""</f>
        <v/>
      </c>
      <c r="M1111" t="str">
        <f>""</f>
        <v/>
      </c>
      <c r="N1111" t="str">
        <f>"financeiroguzzatti@outlook.com"</f>
        <v>financeiroguzzatti@outlook.com</v>
      </c>
      <c r="O1111" t="str">
        <f>""</f>
        <v/>
      </c>
      <c r="P1111" t="str">
        <f>"AVENIDA CHILE"</f>
        <v>AVENIDA CHILE</v>
      </c>
      <c r="Q1111" t="str">
        <f>"1455"</f>
        <v>1455</v>
      </c>
      <c r="R1111" t="str">
        <f>"SALA 10"</f>
        <v>SALA 10</v>
      </c>
      <c r="S1111" t="str">
        <f t="shared" si="560"/>
        <v>1269</v>
      </c>
      <c r="T1111" t="str">
        <f>"88815060"</f>
        <v>88815060</v>
      </c>
      <c r="U1111" t="str">
        <f>"PROSPERA"</f>
        <v>PROSPERA</v>
      </c>
      <c r="V1111" t="str">
        <f>"CRICIÚMA"</f>
        <v>CRICIÚMA</v>
      </c>
      <c r="W1111" t="str">
        <f t="shared" si="552"/>
        <v>SC</v>
      </c>
      <c r="X1111" t="str">
        <f t="shared" si="557"/>
        <v>48</v>
      </c>
      <c r="Y1111" t="str">
        <f>"34318006"</f>
        <v>34318006</v>
      </c>
      <c r="Z1111" t="str">
        <f>""</f>
        <v/>
      </c>
      <c r="AA1111" t="str">
        <f>""</f>
        <v/>
      </c>
      <c r="AB1111" t="str">
        <f>""</f>
        <v/>
      </c>
      <c r="AC1111" t="str">
        <f>""</f>
        <v/>
      </c>
      <c r="AD1111" t="str">
        <f>""</f>
        <v/>
      </c>
      <c r="AE1111" t="str">
        <f>""</f>
        <v/>
      </c>
      <c r="AF1111" t="str">
        <f>""</f>
        <v/>
      </c>
      <c r="AG1111" t="str">
        <f>""</f>
        <v/>
      </c>
      <c r="AH1111" t="str">
        <f>""</f>
        <v/>
      </c>
      <c r="AI1111" t="str">
        <f>""</f>
        <v/>
      </c>
      <c r="AJ1111" t="str">
        <f t="shared" si="558"/>
        <v>0</v>
      </c>
      <c r="AK1111" t="str">
        <f t="shared" si="558"/>
        <v>0</v>
      </c>
      <c r="AL1111" t="str">
        <f t="shared" si="558"/>
        <v>0</v>
      </c>
      <c r="AM1111" t="str">
        <f>""</f>
        <v/>
      </c>
      <c r="AN1111" t="str">
        <f>""</f>
        <v/>
      </c>
      <c r="AO1111" t="str">
        <f>""</f>
        <v/>
      </c>
      <c r="AP1111" t="str">
        <f>""</f>
        <v/>
      </c>
      <c r="AQ1111" t="str">
        <f>""</f>
        <v/>
      </c>
      <c r="AR1111" t="str">
        <f>""</f>
        <v/>
      </c>
      <c r="AS1111" t="str">
        <f>""</f>
        <v/>
      </c>
      <c r="AT1111" t="str">
        <f>""</f>
        <v/>
      </c>
      <c r="AU1111" t="str">
        <f>""</f>
        <v/>
      </c>
      <c r="AV1111" t="str">
        <f>""</f>
        <v/>
      </c>
      <c r="AW1111" t="str">
        <f>""</f>
        <v/>
      </c>
      <c r="AX1111" t="str">
        <f>""</f>
        <v/>
      </c>
      <c r="AY1111" t="str">
        <f>""</f>
        <v/>
      </c>
      <c r="AZ1111" t="str">
        <f>""</f>
        <v/>
      </c>
      <c r="BA1111" t="str">
        <f>""</f>
        <v/>
      </c>
      <c r="BB1111" t="str">
        <f>"07/10/2020 09:08:38"</f>
        <v>07/10/2020 09:08:38</v>
      </c>
      <c r="BC1111" t="str">
        <f>""</f>
        <v/>
      </c>
      <c r="BD1111" t="str">
        <f>""</f>
        <v/>
      </c>
      <c r="BE1111" t="str">
        <f>""</f>
        <v/>
      </c>
      <c r="BF1111" t="str">
        <f t="shared" si="548"/>
        <v>A</v>
      </c>
      <c r="BG1111" t="str">
        <f t="shared" si="559"/>
        <v>0,00</v>
      </c>
      <c r="BH1111" t="str">
        <f t="shared" si="559"/>
        <v>0,00</v>
      </c>
      <c r="BI1111" t="str">
        <f t="shared" si="531"/>
        <v>EVENTUAL</v>
      </c>
      <c r="BJ1111" t="str">
        <f t="shared" si="549"/>
        <v>1</v>
      </c>
      <c r="BK1111" t="str">
        <f t="shared" si="550"/>
        <v>Farmacia</v>
      </c>
      <c r="BL1111" t="str">
        <f>""</f>
        <v/>
      </c>
      <c r="BM1111" t="str">
        <f>"VARILUX ESPECIALISTA SELECT"</f>
        <v>VARILUX ESPECIALISTA SELECT</v>
      </c>
      <c r="BN1111" t="str">
        <f>"EL360"</f>
        <v>EL360</v>
      </c>
      <c r="BO1111" t="str">
        <f>"FOCO VARILUX DIGITAL"</f>
        <v>FOCO VARILUX DIGITAL</v>
      </c>
      <c r="BP1111" t="str">
        <f>""</f>
        <v/>
      </c>
      <c r="BQ1111" t="str">
        <f>""</f>
        <v/>
      </c>
      <c r="BR1111" t="str">
        <f>"07/10/2020"</f>
        <v>07/10/2020</v>
      </c>
      <c r="BS1111" t="str">
        <f>""</f>
        <v/>
      </c>
      <c r="BT1111" t="str">
        <f>""</f>
        <v/>
      </c>
      <c r="BU1111" t="str">
        <f>""</f>
        <v/>
      </c>
      <c r="BV1111" t="str">
        <f>"1"</f>
        <v>1</v>
      </c>
      <c r="BW1111" t="str">
        <f>"133"</f>
        <v>133</v>
      </c>
    </row>
    <row r="1112" spans="1:75" x14ac:dyDescent="0.35">
      <c r="A1112">
        <v>127442</v>
      </c>
      <c r="B1112" t="str">
        <f t="shared" si="545"/>
        <v>A</v>
      </c>
      <c r="C1112" t="str">
        <f t="shared" si="546"/>
        <v>80</v>
      </c>
      <c r="D1112" t="str">
        <f t="shared" si="535"/>
        <v>11121002</v>
      </c>
      <c r="E1112" t="str">
        <f t="shared" si="536"/>
        <v>121002</v>
      </c>
      <c r="F1112" t="str">
        <f t="shared" si="537"/>
        <v>CINTHIA NORONHA</v>
      </c>
      <c r="G1112" t="str">
        <f>"05923876000204"</f>
        <v>05923876000204</v>
      </c>
      <c r="H1112" t="str">
        <f>"0"</f>
        <v>0</v>
      </c>
      <c r="I1112" t="str">
        <f t="shared" si="547"/>
        <v>CONTA OPTICA</v>
      </c>
      <c r="J1112" t="str">
        <f>"RELOJOARIA E OTICA GUZZATTI LTDA ME"</f>
        <v>RELOJOARIA E OTICA GUZZATTI LTDA ME</v>
      </c>
      <c r="K1112" t="str">
        <f>"OTICA GUZZATTI (1358)"</f>
        <v>OTICA GUZZATTI (1358)</v>
      </c>
      <c r="L1112" t="str">
        <f>""</f>
        <v/>
      </c>
      <c r="M1112" t="str">
        <f>""</f>
        <v/>
      </c>
      <c r="N1112" t="str">
        <f>"icara@guzzatti.com.br"</f>
        <v>icara@guzzatti.com.br</v>
      </c>
      <c r="O1112" t="str">
        <f>""</f>
        <v/>
      </c>
      <c r="P1112" t="str">
        <f>"RUA CEL. MARCOS ROVARIS"</f>
        <v>RUA CEL. MARCOS ROVARIS</v>
      </c>
      <c r="Q1112" t="str">
        <f>"443"</f>
        <v>443</v>
      </c>
      <c r="R1112" t="str">
        <f>"SALA 03"</f>
        <v>SALA 03</v>
      </c>
      <c r="S1112" t="str">
        <f t="shared" si="560"/>
        <v>1269</v>
      </c>
      <c r="T1112" t="str">
        <f>"88820000"</f>
        <v>88820000</v>
      </c>
      <c r="U1112" t="str">
        <f>"CENTRO"</f>
        <v>CENTRO</v>
      </c>
      <c r="V1112" t="str">
        <f>"IÇARA"</f>
        <v>IÇARA</v>
      </c>
      <c r="W1112" t="str">
        <f t="shared" si="552"/>
        <v>SC</v>
      </c>
      <c r="X1112" t="str">
        <f t="shared" si="557"/>
        <v>48</v>
      </c>
      <c r="Y1112" t="str">
        <f>"34327907"</f>
        <v>34327907</v>
      </c>
      <c r="Z1112" t="str">
        <f>""</f>
        <v/>
      </c>
      <c r="AA1112" t="str">
        <f>""</f>
        <v/>
      </c>
      <c r="AB1112" t="str">
        <f>""</f>
        <v/>
      </c>
      <c r="AC1112" t="str">
        <f>""</f>
        <v/>
      </c>
      <c r="AD1112" t="str">
        <f>""</f>
        <v/>
      </c>
      <c r="AE1112" t="str">
        <f>""</f>
        <v/>
      </c>
      <c r="AF1112" t="str">
        <f>""</f>
        <v/>
      </c>
      <c r="AG1112" t="str">
        <f>""</f>
        <v/>
      </c>
      <c r="AH1112" t="str">
        <f>""</f>
        <v/>
      </c>
      <c r="AI1112" t="str">
        <f>""</f>
        <v/>
      </c>
      <c r="AJ1112" t="str">
        <f t="shared" si="558"/>
        <v>0</v>
      </c>
      <c r="AK1112" t="str">
        <f t="shared" si="558"/>
        <v>0</v>
      </c>
      <c r="AL1112" t="str">
        <f t="shared" si="558"/>
        <v>0</v>
      </c>
      <c r="AM1112" t="str">
        <f>""</f>
        <v/>
      </c>
      <c r="AN1112" t="str">
        <f>""</f>
        <v/>
      </c>
      <c r="AO1112" t="str">
        <f>""</f>
        <v/>
      </c>
      <c r="AP1112" t="str">
        <f>""</f>
        <v/>
      </c>
      <c r="AQ1112" t="str">
        <f>""</f>
        <v/>
      </c>
      <c r="AR1112" t="str">
        <f>""</f>
        <v/>
      </c>
      <c r="AS1112" t="str">
        <f>""</f>
        <v/>
      </c>
      <c r="AT1112" t="str">
        <f>""</f>
        <v/>
      </c>
      <c r="AU1112" t="str">
        <f>""</f>
        <v/>
      </c>
      <c r="AV1112" t="str">
        <f>""</f>
        <v/>
      </c>
      <c r="AW1112" t="str">
        <f>""</f>
        <v/>
      </c>
      <c r="AX1112" t="str">
        <f>""</f>
        <v/>
      </c>
      <c r="AY1112" t="str">
        <f>""</f>
        <v/>
      </c>
      <c r="AZ1112" t="str">
        <f>""</f>
        <v/>
      </c>
      <c r="BA1112" t="str">
        <f>""</f>
        <v/>
      </c>
      <c r="BB1112" t="str">
        <f>"07/10/2020 09:08:38"</f>
        <v>07/10/2020 09:08:38</v>
      </c>
      <c r="BC1112" t="str">
        <f>""</f>
        <v/>
      </c>
      <c r="BD1112" t="str">
        <f>""</f>
        <v/>
      </c>
      <c r="BE1112" t="str">
        <f>""</f>
        <v/>
      </c>
      <c r="BF1112" t="str">
        <f t="shared" si="548"/>
        <v>A</v>
      </c>
      <c r="BG1112" t="str">
        <f t="shared" si="559"/>
        <v>0,00</v>
      </c>
      <c r="BH1112" t="str">
        <f t="shared" si="559"/>
        <v>0,00</v>
      </c>
      <c r="BI1112" t="str">
        <f t="shared" si="531"/>
        <v>EVENTUAL</v>
      </c>
      <c r="BJ1112" t="str">
        <f t="shared" si="549"/>
        <v>1</v>
      </c>
      <c r="BK1112" t="str">
        <f t="shared" si="550"/>
        <v>Farmacia</v>
      </c>
      <c r="BL1112" t="str">
        <f>""</f>
        <v/>
      </c>
      <c r="BM1112" t="str">
        <f>"VARILUX ESPECIALISTA SELECT"</f>
        <v>VARILUX ESPECIALISTA SELECT</v>
      </c>
      <c r="BN1112" t="str">
        <f>"EL360"</f>
        <v>EL360</v>
      </c>
      <c r="BO1112" t="str">
        <f>"FOCO VARILUX DIGITAL"</f>
        <v>FOCO VARILUX DIGITAL</v>
      </c>
      <c r="BP1112" t="str">
        <f>""</f>
        <v/>
      </c>
      <c r="BQ1112" t="str">
        <f>""</f>
        <v/>
      </c>
      <c r="BR1112" t="str">
        <f>"07/10/2020"</f>
        <v>07/10/2020</v>
      </c>
      <c r="BS1112" t="str">
        <f>""</f>
        <v/>
      </c>
      <c r="BT1112" t="str">
        <f>""</f>
        <v/>
      </c>
      <c r="BU1112" t="str">
        <f>""</f>
        <v/>
      </c>
      <c r="BV1112" t="str">
        <f>"5"</f>
        <v>5</v>
      </c>
      <c r="BW1112" t="str">
        <f>"133"</f>
        <v>133</v>
      </c>
    </row>
    <row r="1113" spans="1:75" x14ac:dyDescent="0.35">
      <c r="A1113">
        <v>157587</v>
      </c>
      <c r="B1113" t="str">
        <f t="shared" si="545"/>
        <v>A</v>
      </c>
      <c r="C1113" t="str">
        <f t="shared" si="546"/>
        <v>80</v>
      </c>
      <c r="D1113" t="str">
        <f t="shared" si="535"/>
        <v>11121002</v>
      </c>
      <c r="E1113" t="str">
        <f t="shared" si="536"/>
        <v>121002</v>
      </c>
      <c r="F1113" t="str">
        <f t="shared" si="537"/>
        <v>CINTHIA NORONHA</v>
      </c>
      <c r="G1113" t="str">
        <f>"05923876000123"</f>
        <v>05923876000123</v>
      </c>
      <c r="H1113" t="str">
        <f>"0"</f>
        <v>0</v>
      </c>
      <c r="I1113" t="str">
        <f t="shared" si="547"/>
        <v>CONTA OPTICA</v>
      </c>
      <c r="J1113" t="str">
        <f>"RELOJOARIA E OTICA GUZZATTI LTDA ME"</f>
        <v>RELOJOARIA E OTICA GUZZATTI LTDA ME</v>
      </c>
      <c r="K1113" t="str">
        <f>"RELOJOARIA E OTICA GUZZATTI LTDA ME (1905)"</f>
        <v>RELOJOARIA E OTICA GUZZATTI LTDA ME (1905)</v>
      </c>
      <c r="L1113" t="str">
        <f>""</f>
        <v/>
      </c>
      <c r="M1113" t="str">
        <f>""</f>
        <v/>
      </c>
      <c r="N1113" t="str">
        <f>"GUZZATTIPRESENTES@GMAIL.COM"</f>
        <v>GUZZATTIPRESENTES@GMAIL.COM</v>
      </c>
      <c r="O1113" t="str">
        <f>""</f>
        <v/>
      </c>
      <c r="P1113" t="str">
        <f>"RUA 6 DE JANEIRO"</f>
        <v>RUA 6 DE JANEIRO</v>
      </c>
      <c r="Q1113" t="str">
        <f>"59"</f>
        <v>59</v>
      </c>
      <c r="R1113" t="str">
        <f>""</f>
        <v/>
      </c>
      <c r="S1113" t="str">
        <f t="shared" si="560"/>
        <v>1269</v>
      </c>
      <c r="T1113" t="str">
        <f>"88801070"</f>
        <v>88801070</v>
      </c>
      <c r="U1113" t="str">
        <f>"CENTRO"</f>
        <v>CENTRO</v>
      </c>
      <c r="V1113" t="str">
        <f>"CRICIUMA"</f>
        <v>CRICIUMA</v>
      </c>
      <c r="W1113" t="str">
        <f t="shared" si="552"/>
        <v>SC</v>
      </c>
      <c r="X1113" t="str">
        <f t="shared" si="557"/>
        <v>48</v>
      </c>
      <c r="Y1113" t="str">
        <f>"34420511"</f>
        <v>34420511</v>
      </c>
      <c r="Z1113" t="str">
        <f>""</f>
        <v/>
      </c>
      <c r="AA1113" t="str">
        <f>""</f>
        <v/>
      </c>
      <c r="AB1113" t="str">
        <f>""</f>
        <v/>
      </c>
      <c r="AC1113" t="str">
        <f>""</f>
        <v/>
      </c>
      <c r="AD1113" t="str">
        <f>""</f>
        <v/>
      </c>
      <c r="AE1113" t="str">
        <f>""</f>
        <v/>
      </c>
      <c r="AF1113" t="str">
        <f>""</f>
        <v/>
      </c>
      <c r="AG1113" t="str">
        <f>""</f>
        <v/>
      </c>
      <c r="AH1113" t="str">
        <f>""</f>
        <v/>
      </c>
      <c r="AI1113" t="str">
        <f>""</f>
        <v/>
      </c>
      <c r="AJ1113" t="str">
        <f>""</f>
        <v/>
      </c>
      <c r="AK1113" t="str">
        <f>""</f>
        <v/>
      </c>
      <c r="AL1113" t="str">
        <f>""</f>
        <v/>
      </c>
      <c r="AM1113" t="str">
        <f>""</f>
        <v/>
      </c>
      <c r="AN1113" t="str">
        <f>""</f>
        <v/>
      </c>
      <c r="AO1113" t="str">
        <f>""</f>
        <v/>
      </c>
      <c r="AP1113" t="str">
        <f>""</f>
        <v/>
      </c>
      <c r="AQ1113" t="str">
        <f>""</f>
        <v/>
      </c>
      <c r="AR1113" t="str">
        <f>""</f>
        <v/>
      </c>
      <c r="AS1113" t="str">
        <f>""</f>
        <v/>
      </c>
      <c r="AT1113" t="str">
        <f>""</f>
        <v/>
      </c>
      <c r="AU1113" t="str">
        <f>""</f>
        <v/>
      </c>
      <c r="AV1113" t="str">
        <f>""</f>
        <v/>
      </c>
      <c r="AW1113" t="str">
        <f>""</f>
        <v/>
      </c>
      <c r="AX1113" t="str">
        <f>""</f>
        <v/>
      </c>
      <c r="AY1113" t="str">
        <f>""</f>
        <v/>
      </c>
      <c r="AZ1113" t="str">
        <f>""</f>
        <v/>
      </c>
      <c r="BA1113" t="str">
        <f>""</f>
        <v/>
      </c>
      <c r="BB1113" t="str">
        <f>"11/07/2023 02:19:56"</f>
        <v>11/07/2023 02:19:56</v>
      </c>
      <c r="BC1113" t="str">
        <f>""</f>
        <v/>
      </c>
      <c r="BD1113" t="str">
        <f>""</f>
        <v/>
      </c>
      <c r="BE1113" t="str">
        <f>""</f>
        <v/>
      </c>
      <c r="BF1113" t="str">
        <f t="shared" si="548"/>
        <v>A</v>
      </c>
      <c r="BG1113" t="str">
        <f>""</f>
        <v/>
      </c>
      <c r="BH1113" t="str">
        <f>""</f>
        <v/>
      </c>
      <c r="BI1113" t="str">
        <f t="shared" si="531"/>
        <v>EVENTUAL</v>
      </c>
      <c r="BJ1113" t="str">
        <f t="shared" si="549"/>
        <v>1</v>
      </c>
      <c r="BK1113" t="str">
        <f t="shared" si="550"/>
        <v>Farmacia</v>
      </c>
      <c r="BL1113" t="str">
        <f>""</f>
        <v/>
      </c>
      <c r="BM1113" t="str">
        <f>""</f>
        <v/>
      </c>
      <c r="BN1113" t="str">
        <f>""</f>
        <v/>
      </c>
      <c r="BO1113" t="str">
        <f>""</f>
        <v/>
      </c>
      <c r="BP1113" t="str">
        <f>""</f>
        <v/>
      </c>
      <c r="BQ1113" t="str">
        <f>""</f>
        <v/>
      </c>
      <c r="BR1113" t="str">
        <f>"11/07/2023"</f>
        <v>11/07/2023</v>
      </c>
      <c r="BS1113" t="str">
        <f>""</f>
        <v/>
      </c>
      <c r="BT1113" t="str">
        <f>""</f>
        <v/>
      </c>
      <c r="BU1113" t="str">
        <f>""</f>
        <v/>
      </c>
      <c r="BV1113" t="str">
        <f>""</f>
        <v/>
      </c>
      <c r="BW1113" t="str">
        <f>"Não visitado"</f>
        <v>Não visitado</v>
      </c>
    </row>
    <row r="1114" spans="1:75" x14ac:dyDescent="0.35">
      <c r="A1114">
        <v>58</v>
      </c>
      <c r="B1114" t="str">
        <f t="shared" si="545"/>
        <v>A</v>
      </c>
      <c r="C1114" t="str">
        <f t="shared" si="546"/>
        <v>80</v>
      </c>
      <c r="D1114" t="str">
        <f t="shared" si="535"/>
        <v>11121002</v>
      </c>
      <c r="E1114" t="str">
        <f t="shared" si="536"/>
        <v>121002</v>
      </c>
      <c r="F1114" t="str">
        <f t="shared" si="537"/>
        <v>CINTHIA NORONHA</v>
      </c>
      <c r="G1114" t="str">
        <f>"04985774000170"</f>
        <v>04985774000170</v>
      </c>
      <c r="H1114" t="str">
        <f>""</f>
        <v/>
      </c>
      <c r="I1114" t="str">
        <f t="shared" si="547"/>
        <v>CONTA OPTICA</v>
      </c>
      <c r="J1114" t="str">
        <f>"RELOJOARIA E OTICA LANCO LTDA ME"</f>
        <v>RELOJOARIA E OTICA LANCO LTDA ME</v>
      </c>
      <c r="K1114" t="str">
        <f>"RELOJOARIA E OTICA LANCO LTDA ME (134)"</f>
        <v>RELOJOARIA E OTICA LANCO LTDA ME (134)</v>
      </c>
      <c r="L1114" t="str">
        <f>""</f>
        <v/>
      </c>
      <c r="M1114" t="str">
        <f>""</f>
        <v/>
      </c>
      <c r="N1114" t="str">
        <f>"lancoicara@hotmail.com"</f>
        <v>lancoicara@hotmail.com</v>
      </c>
      <c r="O1114" t="str">
        <f>""</f>
        <v/>
      </c>
      <c r="P1114" t="str">
        <f>"RUA CORONEL MARCOS ROVARIS"</f>
        <v>RUA CORONEL MARCOS ROVARIS</v>
      </c>
      <c r="Q1114" t="str">
        <f>"447"</f>
        <v>447</v>
      </c>
      <c r="R1114" t="str">
        <f>""</f>
        <v/>
      </c>
      <c r="S1114" t="str">
        <f t="shared" si="560"/>
        <v>1269</v>
      </c>
      <c r="T1114" t="str">
        <f>"88820000"</f>
        <v>88820000</v>
      </c>
      <c r="U1114" t="str">
        <f>"CENTRO"</f>
        <v>CENTRO</v>
      </c>
      <c r="V1114" t="str">
        <f>"IÇARA"</f>
        <v>IÇARA</v>
      </c>
      <c r="W1114" t="str">
        <f t="shared" si="552"/>
        <v>SC</v>
      </c>
      <c r="X1114" t="str">
        <f t="shared" si="557"/>
        <v>48</v>
      </c>
      <c r="Y1114" t="str">
        <f>"34323073"</f>
        <v>34323073</v>
      </c>
      <c r="Z1114" t="str">
        <f>""</f>
        <v/>
      </c>
      <c r="AA1114" t="str">
        <f>""</f>
        <v/>
      </c>
      <c r="AB1114" t="str">
        <f>""</f>
        <v/>
      </c>
      <c r="AC1114" t="str">
        <f>""</f>
        <v/>
      </c>
      <c r="AD1114" t="str">
        <f>""</f>
        <v/>
      </c>
      <c r="AE1114" t="str">
        <f>""</f>
        <v/>
      </c>
      <c r="AF1114" t="str">
        <f>""</f>
        <v/>
      </c>
      <c r="AG1114" t="str">
        <f>""</f>
        <v/>
      </c>
      <c r="AH1114" t="str">
        <f>""</f>
        <v/>
      </c>
      <c r="AI1114" t="str">
        <f>""</f>
        <v/>
      </c>
      <c r="AJ1114" t="str">
        <f>"0"</f>
        <v>0</v>
      </c>
      <c r="AK1114" t="str">
        <f>"0"</f>
        <v>0</v>
      </c>
      <c r="AL1114" t="str">
        <f>"0"</f>
        <v>0</v>
      </c>
      <c r="AM1114" t="str">
        <f>""</f>
        <v/>
      </c>
      <c r="AN1114" t="str">
        <f>""</f>
        <v/>
      </c>
      <c r="AO1114" t="str">
        <f>""</f>
        <v/>
      </c>
      <c r="AP1114" t="str">
        <f>""</f>
        <v/>
      </c>
      <c r="AQ1114" t="str">
        <f>""</f>
        <v/>
      </c>
      <c r="AR1114" t="str">
        <f>""</f>
        <v/>
      </c>
      <c r="AS1114" t="str">
        <f>""</f>
        <v/>
      </c>
      <c r="AT1114" t="str">
        <f>""</f>
        <v/>
      </c>
      <c r="AU1114" t="str">
        <f>""</f>
        <v/>
      </c>
      <c r="AV1114" t="str">
        <f>""</f>
        <v/>
      </c>
      <c r="AW1114" t="str">
        <f>""</f>
        <v/>
      </c>
      <c r="AX1114" t="str">
        <f>""</f>
        <v/>
      </c>
      <c r="AY1114" t="str">
        <f>""</f>
        <v/>
      </c>
      <c r="AZ1114" t="str">
        <f>""</f>
        <v/>
      </c>
      <c r="BA1114" t="str">
        <f>""</f>
        <v/>
      </c>
      <c r="BB1114" t="str">
        <f>"27/07/2018 09:25:32"</f>
        <v>27/07/2018 09:25:32</v>
      </c>
      <c r="BC1114" t="str">
        <f>""</f>
        <v/>
      </c>
      <c r="BD1114" t="str">
        <f>""</f>
        <v/>
      </c>
      <c r="BE1114" t="str">
        <f>"58"</f>
        <v>58</v>
      </c>
      <c r="BF1114" t="str">
        <f t="shared" si="548"/>
        <v>A</v>
      </c>
      <c r="BG1114" t="str">
        <f t="shared" ref="BG1114:BH1125" si="561">"0,00"</f>
        <v>0,00</v>
      </c>
      <c r="BH1114" t="str">
        <f t="shared" si="561"/>
        <v>0,00</v>
      </c>
      <c r="BI1114" t="str">
        <f t="shared" si="531"/>
        <v>EVENTUAL</v>
      </c>
      <c r="BJ1114" t="str">
        <f t="shared" si="549"/>
        <v>1</v>
      </c>
      <c r="BK1114" t="str">
        <f t="shared" si="550"/>
        <v>Farmacia</v>
      </c>
      <c r="BL1114" t="str">
        <f>""</f>
        <v/>
      </c>
      <c r="BM1114" t="str">
        <f>"NÃO É VARILUX ESPECIALISTA"</f>
        <v>NÃO É VARILUX ESPECIALISTA</v>
      </c>
      <c r="BN1114" t="str">
        <f t="shared" ref="BN1114:BN1122" si="562">"NA"</f>
        <v>NA</v>
      </c>
      <c r="BO1114" t="str">
        <f>"FOCO VARILUX DIGITAL"</f>
        <v>FOCO VARILUX DIGITAL</v>
      </c>
      <c r="BP1114" t="str">
        <f>""</f>
        <v/>
      </c>
      <c r="BQ1114" t="str">
        <f>""</f>
        <v/>
      </c>
      <c r="BR1114" t="str">
        <f>"27/07/2018"</f>
        <v>27/07/2018</v>
      </c>
      <c r="BS1114" t="str">
        <f>""</f>
        <v/>
      </c>
      <c r="BT1114" t="str">
        <f>""</f>
        <v/>
      </c>
      <c r="BU1114" t="str">
        <f>""</f>
        <v/>
      </c>
      <c r="BV1114" t="str">
        <f>"5"</f>
        <v>5</v>
      </c>
      <c r="BW1114" t="str">
        <f>"1"</f>
        <v>1</v>
      </c>
    </row>
    <row r="1115" spans="1:75" x14ac:dyDescent="0.35">
      <c r="A1115">
        <v>144353</v>
      </c>
      <c r="B1115" t="str">
        <f t="shared" si="545"/>
        <v>A</v>
      </c>
      <c r="C1115" t="str">
        <f t="shared" si="546"/>
        <v>80</v>
      </c>
      <c r="D1115" t="str">
        <f t="shared" si="535"/>
        <v>11121002</v>
      </c>
      <c r="E1115" t="str">
        <f t="shared" si="536"/>
        <v>121002</v>
      </c>
      <c r="F1115" t="str">
        <f t="shared" si="537"/>
        <v>CINTHIA NORONHA</v>
      </c>
      <c r="G1115" t="str">
        <f>"26440307000105"</f>
        <v>26440307000105</v>
      </c>
      <c r="H1115" t="str">
        <f>""</f>
        <v/>
      </c>
      <c r="I1115" t="str">
        <f t="shared" si="547"/>
        <v>CONTA OPTICA</v>
      </c>
      <c r="J1115" t="str">
        <f>"RELOJOARIA E OTICA MARTINS EIRELI - ME"</f>
        <v>RELOJOARIA E OTICA MARTINS EIRELI - ME</v>
      </c>
      <c r="K1115" t="str">
        <f>"RELOJOARIA E OTICA ADRIANA (3820)"</f>
        <v>RELOJOARIA E OTICA ADRIANA (3820)</v>
      </c>
      <c r="L1115" t="str">
        <f>""</f>
        <v/>
      </c>
      <c r="M1115" t="str">
        <f>""</f>
        <v/>
      </c>
      <c r="N1115" t="str">
        <f>"lucianomartinslu@hotmail.com"</f>
        <v>lucianomartinslu@hotmail.com</v>
      </c>
      <c r="O1115" t="str">
        <f>""</f>
        <v/>
      </c>
      <c r="P1115" t="str">
        <f>"RUA 20 DE MAIO"</f>
        <v>RUA 20 DE MAIO</v>
      </c>
      <c r="Q1115" t="str">
        <f>"26"</f>
        <v>26</v>
      </c>
      <c r="R1115" t="str">
        <f>"SALA 01"</f>
        <v>SALA 01</v>
      </c>
      <c r="S1115" t="str">
        <f t="shared" si="560"/>
        <v>1269</v>
      </c>
      <c r="T1115" t="str">
        <f>"88830000"</f>
        <v>88830000</v>
      </c>
      <c r="U1115" t="str">
        <f>"CENTRO"</f>
        <v>CENTRO</v>
      </c>
      <c r="V1115" t="str">
        <f>"MORRO DA FUMAÇA"</f>
        <v>MORRO DA FUMAÇA</v>
      </c>
      <c r="W1115" t="str">
        <f t="shared" si="552"/>
        <v>SC</v>
      </c>
      <c r="X1115" t="str">
        <f t="shared" si="557"/>
        <v>48</v>
      </c>
      <c r="Y1115" t="str">
        <f>"34341749"</f>
        <v>34341749</v>
      </c>
      <c r="Z1115" t="str">
        <f>""</f>
        <v/>
      </c>
      <c r="AA1115" t="str">
        <f>""</f>
        <v/>
      </c>
      <c r="AB1115" t="str">
        <f>""</f>
        <v/>
      </c>
      <c r="AC1115" t="str">
        <f>""</f>
        <v/>
      </c>
      <c r="AD1115" t="str">
        <f>""</f>
        <v/>
      </c>
      <c r="AE1115" t="str">
        <f>""</f>
        <v/>
      </c>
      <c r="AF1115" t="str">
        <f>""</f>
        <v/>
      </c>
      <c r="AG1115" t="str">
        <f>""</f>
        <v/>
      </c>
      <c r="AH1115" t="str">
        <f>""</f>
        <v/>
      </c>
      <c r="AI1115" t="str">
        <f>""</f>
        <v/>
      </c>
      <c r="AJ1115" t="str">
        <f>"3"</f>
        <v>3</v>
      </c>
      <c r="AK1115" t="str">
        <f t="shared" ref="AK1115:AL1125" si="563">"0"</f>
        <v>0</v>
      </c>
      <c r="AL1115" t="str">
        <f t="shared" si="563"/>
        <v>0</v>
      </c>
      <c r="AM1115" t="str">
        <f>""</f>
        <v/>
      </c>
      <c r="AN1115" t="str">
        <f>""</f>
        <v/>
      </c>
      <c r="AO1115" t="str">
        <f>""</f>
        <v/>
      </c>
      <c r="AP1115" t="str">
        <f>""</f>
        <v/>
      </c>
      <c r="AQ1115" t="str">
        <f>""</f>
        <v/>
      </c>
      <c r="AR1115" t="str">
        <f>""</f>
        <v/>
      </c>
      <c r="AS1115" t="str">
        <f>""</f>
        <v/>
      </c>
      <c r="AT1115" t="str">
        <f>""</f>
        <v/>
      </c>
      <c r="AU1115" t="str">
        <f>""</f>
        <v/>
      </c>
      <c r="AV1115" t="str">
        <f>""</f>
        <v/>
      </c>
      <c r="AW1115" t="str">
        <f>""</f>
        <v/>
      </c>
      <c r="AX1115" t="str">
        <f>""</f>
        <v/>
      </c>
      <c r="AY1115" t="str">
        <f>""</f>
        <v/>
      </c>
      <c r="AZ1115" t="str">
        <f>""</f>
        <v/>
      </c>
      <c r="BA1115" t="str">
        <f>""</f>
        <v/>
      </c>
      <c r="BB1115" t="str">
        <f>""</f>
        <v/>
      </c>
      <c r="BC1115" t="str">
        <f>""</f>
        <v/>
      </c>
      <c r="BD1115" t="str">
        <f>""</f>
        <v/>
      </c>
      <c r="BE1115" t="str">
        <f>""</f>
        <v/>
      </c>
      <c r="BF1115" t="str">
        <f t="shared" si="548"/>
        <v>A</v>
      </c>
      <c r="BG1115" t="str">
        <f t="shared" si="561"/>
        <v>0,00</v>
      </c>
      <c r="BH1115" t="str">
        <f t="shared" si="561"/>
        <v>0,00</v>
      </c>
      <c r="BI1115" t="str">
        <f t="shared" si="531"/>
        <v>EVENTUAL</v>
      </c>
      <c r="BJ1115" t="str">
        <f t="shared" si="549"/>
        <v>1</v>
      </c>
      <c r="BK1115" t="str">
        <f t="shared" si="550"/>
        <v>Farmacia</v>
      </c>
      <c r="BL1115" t="str">
        <f>""</f>
        <v/>
      </c>
      <c r="BM1115" t="str">
        <f>"NÃO É VARILUX ESPECIALISTA"</f>
        <v>NÃO É VARILUX ESPECIALISTA</v>
      </c>
      <c r="BN1115" t="str">
        <f t="shared" si="562"/>
        <v>NA</v>
      </c>
      <c r="BO1115" t="str">
        <f>"FOCO VARILUX DIGITAL"</f>
        <v>FOCO VARILUX DIGITAL</v>
      </c>
      <c r="BP1115" t="str">
        <f>""</f>
        <v/>
      </c>
      <c r="BQ1115" t="str">
        <f>""</f>
        <v/>
      </c>
      <c r="BR1115" t="str">
        <f>""</f>
        <v/>
      </c>
      <c r="BS1115" t="str">
        <f>""</f>
        <v/>
      </c>
      <c r="BT1115" t="str">
        <f>""</f>
        <v/>
      </c>
      <c r="BU1115" t="str">
        <f>""</f>
        <v/>
      </c>
      <c r="BV1115" t="str">
        <f>"9"</f>
        <v>9</v>
      </c>
      <c r="BW1115" t="str">
        <f>"18"</f>
        <v>18</v>
      </c>
    </row>
    <row r="1116" spans="1:75" x14ac:dyDescent="0.35">
      <c r="A1116">
        <v>144401</v>
      </c>
      <c r="B1116" t="str">
        <f t="shared" si="545"/>
        <v>A</v>
      </c>
      <c r="C1116" t="str">
        <f t="shared" si="546"/>
        <v>80</v>
      </c>
      <c r="D1116" t="str">
        <f t="shared" si="535"/>
        <v>11121002</v>
      </c>
      <c r="E1116" t="str">
        <f t="shared" si="536"/>
        <v>121002</v>
      </c>
      <c r="F1116" t="str">
        <f t="shared" si="537"/>
        <v>CINTHIA NORONHA</v>
      </c>
      <c r="G1116" t="str">
        <f>"95864807000189"</f>
        <v>95864807000189</v>
      </c>
      <c r="H1116" t="str">
        <f>""</f>
        <v/>
      </c>
      <c r="I1116" t="str">
        <f t="shared" si="547"/>
        <v>CONTA OPTICA</v>
      </c>
      <c r="J1116" t="str">
        <f>"RELOJOARIA E OTICA MIRVAINE LTDA ME"</f>
        <v>RELOJOARIA E OTICA MIRVAINE LTDA ME</v>
      </c>
      <c r="K1116" t="str">
        <f>"RELOJOARIA E OTICA MIRVAINE LTDA (826)"</f>
        <v>RELOJOARIA E OTICA MIRVAINE LTDA (826)</v>
      </c>
      <c r="L1116" t="str">
        <f>""</f>
        <v/>
      </c>
      <c r="M1116" t="str">
        <f>""</f>
        <v/>
      </c>
      <c r="N1116" t="str">
        <f>"opticamirvaine@hotmail.com"</f>
        <v>opticamirvaine@hotmail.com</v>
      </c>
      <c r="O1116" t="str">
        <f>""</f>
        <v/>
      </c>
      <c r="P1116" t="str">
        <f>"RUA ALTAMIRO GUIMARAES"</f>
        <v>RUA ALTAMIRO GUIMARAES</v>
      </c>
      <c r="Q1116" t="str">
        <f>"1056"</f>
        <v>1056</v>
      </c>
      <c r="R1116" t="str">
        <f>""</f>
        <v/>
      </c>
      <c r="S1116" t="str">
        <f>"1268"</f>
        <v>1268</v>
      </c>
      <c r="T1116" t="str">
        <f>"88702100"</f>
        <v>88702100</v>
      </c>
      <c r="U1116" t="str">
        <f>"OFICINAS"</f>
        <v>OFICINAS</v>
      </c>
      <c r="V1116" t="str">
        <f>"TUBARÃO"</f>
        <v>TUBARÃO</v>
      </c>
      <c r="W1116" t="str">
        <f t="shared" si="552"/>
        <v>SC</v>
      </c>
      <c r="X1116" t="str">
        <f t="shared" si="557"/>
        <v>48</v>
      </c>
      <c r="Y1116" t="str">
        <f>"36220933"</f>
        <v>36220933</v>
      </c>
      <c r="Z1116" t="str">
        <f>""</f>
        <v/>
      </c>
      <c r="AA1116" t="str">
        <f>""</f>
        <v/>
      </c>
      <c r="AB1116" t="str">
        <f>""</f>
        <v/>
      </c>
      <c r="AC1116" t="str">
        <f>""</f>
        <v/>
      </c>
      <c r="AD1116" t="str">
        <f>""</f>
        <v/>
      </c>
      <c r="AE1116" t="str">
        <f>""</f>
        <v/>
      </c>
      <c r="AF1116" t="str">
        <f>""</f>
        <v/>
      </c>
      <c r="AG1116" t="str">
        <f>""</f>
        <v/>
      </c>
      <c r="AH1116" t="str">
        <f>""</f>
        <v/>
      </c>
      <c r="AI1116" t="str">
        <f>""</f>
        <v/>
      </c>
      <c r="AJ1116" t="str">
        <f t="shared" ref="AJ1116:AJ1125" si="564">"0"</f>
        <v>0</v>
      </c>
      <c r="AK1116" t="str">
        <f t="shared" si="563"/>
        <v>0</v>
      </c>
      <c r="AL1116" t="str">
        <f t="shared" si="563"/>
        <v>0</v>
      </c>
      <c r="AM1116" t="str">
        <f>""</f>
        <v/>
      </c>
      <c r="AN1116" t="str">
        <f>""</f>
        <v/>
      </c>
      <c r="AO1116" t="str">
        <f>""</f>
        <v/>
      </c>
      <c r="AP1116" t="str">
        <f>""</f>
        <v/>
      </c>
      <c r="AQ1116" t="str">
        <f>""</f>
        <v/>
      </c>
      <c r="AR1116" t="str">
        <f>""</f>
        <v/>
      </c>
      <c r="AS1116" t="str">
        <f>""</f>
        <v/>
      </c>
      <c r="AT1116" t="str">
        <f>""</f>
        <v/>
      </c>
      <c r="AU1116" t="str">
        <f>""</f>
        <v/>
      </c>
      <c r="AV1116" t="str">
        <f>""</f>
        <v/>
      </c>
      <c r="AW1116" t="str">
        <f>""</f>
        <v/>
      </c>
      <c r="AX1116" t="str">
        <f>""</f>
        <v/>
      </c>
      <c r="AY1116" t="str">
        <f>""</f>
        <v/>
      </c>
      <c r="AZ1116" t="str">
        <f>""</f>
        <v/>
      </c>
      <c r="BA1116" t="str">
        <f>""</f>
        <v/>
      </c>
      <c r="BB1116" t="str">
        <f>""</f>
        <v/>
      </c>
      <c r="BC1116" t="str">
        <f>""</f>
        <v/>
      </c>
      <c r="BD1116" t="str">
        <f>""</f>
        <v/>
      </c>
      <c r="BE1116" t="str">
        <f>""</f>
        <v/>
      </c>
      <c r="BF1116" t="str">
        <f t="shared" si="548"/>
        <v>A</v>
      </c>
      <c r="BG1116" t="str">
        <f t="shared" si="561"/>
        <v>0,00</v>
      </c>
      <c r="BH1116" t="str">
        <f t="shared" si="561"/>
        <v>0,00</v>
      </c>
      <c r="BI1116" t="str">
        <f t="shared" si="531"/>
        <v>EVENTUAL</v>
      </c>
      <c r="BJ1116" t="str">
        <f t="shared" si="549"/>
        <v>1</v>
      </c>
      <c r="BK1116" t="str">
        <f t="shared" si="550"/>
        <v>Farmacia</v>
      </c>
      <c r="BL1116" t="str">
        <f>""</f>
        <v/>
      </c>
      <c r="BM1116" t="str">
        <f>"VARILUX ESPECIALISTA SELECT"</f>
        <v>VARILUX ESPECIALISTA SELECT</v>
      </c>
      <c r="BN1116" t="str">
        <f t="shared" si="562"/>
        <v>NA</v>
      </c>
      <c r="BO1116" t="str">
        <f>"FOCO VARILUX DIGITAL"</f>
        <v>FOCO VARILUX DIGITAL</v>
      </c>
      <c r="BP1116" t="str">
        <f>""</f>
        <v/>
      </c>
      <c r="BQ1116" t="str">
        <f>""</f>
        <v/>
      </c>
      <c r="BR1116" t="str">
        <f>""</f>
        <v/>
      </c>
      <c r="BS1116" t="str">
        <f>""</f>
        <v/>
      </c>
      <c r="BT1116" t="str">
        <f>""</f>
        <v/>
      </c>
      <c r="BU1116" t="str">
        <f>""</f>
        <v/>
      </c>
      <c r="BV1116" t="str">
        <f>"1"</f>
        <v>1</v>
      </c>
      <c r="BW1116" t="str">
        <f>"63"</f>
        <v>63</v>
      </c>
    </row>
    <row r="1117" spans="1:75" x14ac:dyDescent="0.35">
      <c r="A1117">
        <v>144400</v>
      </c>
      <c r="B1117" t="str">
        <f t="shared" si="545"/>
        <v>A</v>
      </c>
      <c r="C1117" t="str">
        <f t="shared" si="546"/>
        <v>80</v>
      </c>
      <c r="D1117" t="str">
        <f t="shared" si="535"/>
        <v>11121002</v>
      </c>
      <c r="E1117" t="str">
        <f t="shared" si="536"/>
        <v>121002</v>
      </c>
      <c r="F1117" t="str">
        <f t="shared" si="537"/>
        <v>CINTHIA NORONHA</v>
      </c>
      <c r="G1117" t="str">
        <f>"89307953000291"</f>
        <v>89307953000291</v>
      </c>
      <c r="H1117" t="str">
        <f>""</f>
        <v/>
      </c>
      <c r="I1117" t="str">
        <f t="shared" si="547"/>
        <v>CONTA OPTICA</v>
      </c>
      <c r="J1117" t="str">
        <f>"RELOJOARIA E OTICA RYAN LTDA"</f>
        <v>RELOJOARIA E OTICA RYAN LTDA</v>
      </c>
      <c r="K1117" t="str">
        <f>"RYAN - SOMBRIO - SC (1221)"</f>
        <v>RYAN - SOMBRIO - SC (1221)</v>
      </c>
      <c r="L1117" t="str">
        <f>""</f>
        <v/>
      </c>
      <c r="M1117" t="str">
        <f>""</f>
        <v/>
      </c>
      <c r="N1117" t="str">
        <f>"zryan@terra.com.br"</f>
        <v>zryan@terra.com.br</v>
      </c>
      <c r="O1117" t="str">
        <f>""</f>
        <v/>
      </c>
      <c r="P1117" t="str">
        <f>"AVENIDA GETULIO VARGAS"</f>
        <v>AVENIDA GETULIO VARGAS</v>
      </c>
      <c r="Q1117" t="str">
        <f>"123"</f>
        <v>123</v>
      </c>
      <c r="R1117" t="str">
        <f>""</f>
        <v/>
      </c>
      <c r="S1117" t="str">
        <f>"1270"</f>
        <v>1270</v>
      </c>
      <c r="T1117" t="str">
        <f>"88960000"</f>
        <v>88960000</v>
      </c>
      <c r="U1117" t="str">
        <f>"CENTRO"</f>
        <v>CENTRO</v>
      </c>
      <c r="V1117" t="str">
        <f>"SOMBRIO"</f>
        <v>SOMBRIO</v>
      </c>
      <c r="W1117" t="str">
        <f t="shared" si="552"/>
        <v>SC</v>
      </c>
      <c r="X1117" t="str">
        <f t="shared" si="557"/>
        <v>48</v>
      </c>
      <c r="Y1117" t="str">
        <f>"35330448"</f>
        <v>35330448</v>
      </c>
      <c r="Z1117" t="str">
        <f>""</f>
        <v/>
      </c>
      <c r="AA1117" t="str">
        <f>""</f>
        <v/>
      </c>
      <c r="AB1117" t="str">
        <f>""</f>
        <v/>
      </c>
      <c r="AC1117" t="str">
        <f>""</f>
        <v/>
      </c>
      <c r="AD1117" t="str">
        <f>""</f>
        <v/>
      </c>
      <c r="AE1117" t="str">
        <f>""</f>
        <v/>
      </c>
      <c r="AF1117" t="str">
        <f>""</f>
        <v/>
      </c>
      <c r="AG1117" t="str">
        <f>""</f>
        <v/>
      </c>
      <c r="AH1117" t="str">
        <f>""</f>
        <v/>
      </c>
      <c r="AI1117" t="str">
        <f>""</f>
        <v/>
      </c>
      <c r="AJ1117" t="str">
        <f t="shared" si="564"/>
        <v>0</v>
      </c>
      <c r="AK1117" t="str">
        <f t="shared" si="563"/>
        <v>0</v>
      </c>
      <c r="AL1117" t="str">
        <f t="shared" si="563"/>
        <v>0</v>
      </c>
      <c r="AM1117" t="str">
        <f>""</f>
        <v/>
      </c>
      <c r="AN1117" t="str">
        <f>""</f>
        <v/>
      </c>
      <c r="AO1117" t="str">
        <f>""</f>
        <v/>
      </c>
      <c r="AP1117" t="str">
        <f>""</f>
        <v/>
      </c>
      <c r="AQ1117" t="str">
        <f>""</f>
        <v/>
      </c>
      <c r="AR1117" t="str">
        <f>""</f>
        <v/>
      </c>
      <c r="AS1117" t="str">
        <f>""</f>
        <v/>
      </c>
      <c r="AT1117" t="str">
        <f>""</f>
        <v/>
      </c>
      <c r="AU1117" t="str">
        <f>""</f>
        <v/>
      </c>
      <c r="AV1117" t="str">
        <f>""</f>
        <v/>
      </c>
      <c r="AW1117" t="str">
        <f>""</f>
        <v/>
      </c>
      <c r="AX1117" t="str">
        <f>""</f>
        <v/>
      </c>
      <c r="AY1117" t="str">
        <f>""</f>
        <v/>
      </c>
      <c r="AZ1117" t="str">
        <f>""</f>
        <v/>
      </c>
      <c r="BA1117" t="str">
        <f>""</f>
        <v/>
      </c>
      <c r="BB1117" t="str">
        <f>""</f>
        <v/>
      </c>
      <c r="BC1117" t="str">
        <f>""</f>
        <v/>
      </c>
      <c r="BD1117" t="str">
        <f>""</f>
        <v/>
      </c>
      <c r="BE1117" t="str">
        <f>""</f>
        <v/>
      </c>
      <c r="BF1117" t="str">
        <f t="shared" si="548"/>
        <v>A</v>
      </c>
      <c r="BG1117" t="str">
        <f t="shared" si="561"/>
        <v>0,00</v>
      </c>
      <c r="BH1117" t="str">
        <f t="shared" si="561"/>
        <v>0,00</v>
      </c>
      <c r="BI1117" t="str">
        <f t="shared" si="531"/>
        <v>EVENTUAL</v>
      </c>
      <c r="BJ1117" t="str">
        <f t="shared" si="549"/>
        <v>1</v>
      </c>
      <c r="BK1117" t="str">
        <f t="shared" si="550"/>
        <v>Farmacia</v>
      </c>
      <c r="BL1117" t="str">
        <f>""</f>
        <v/>
      </c>
      <c r="BM1117" t="str">
        <f>"NÃO É VARILUX ESPECIALISTA"</f>
        <v>NÃO É VARILUX ESPECIALISTA</v>
      </c>
      <c r="BN1117" t="str">
        <f t="shared" si="562"/>
        <v>NA</v>
      </c>
      <c r="BO1117" t="str">
        <f>"FOCO KODAK 2"</f>
        <v>FOCO KODAK 2</v>
      </c>
      <c r="BP1117" t="str">
        <f>""</f>
        <v/>
      </c>
      <c r="BQ1117" t="str">
        <f>""</f>
        <v/>
      </c>
      <c r="BR1117" t="str">
        <f>""</f>
        <v/>
      </c>
      <c r="BS1117" t="str">
        <f>""</f>
        <v/>
      </c>
      <c r="BT1117" t="str">
        <f>""</f>
        <v/>
      </c>
      <c r="BU1117" t="str">
        <f>""</f>
        <v/>
      </c>
      <c r="BV1117" t="str">
        <f>"8"</f>
        <v>8</v>
      </c>
      <c r="BW1117" t="str">
        <f>"35"</f>
        <v>35</v>
      </c>
    </row>
    <row r="1118" spans="1:75" x14ac:dyDescent="0.35">
      <c r="A1118">
        <v>144704</v>
      </c>
      <c r="B1118" t="str">
        <f t="shared" si="545"/>
        <v>A</v>
      </c>
      <c r="C1118" t="str">
        <f t="shared" si="546"/>
        <v>80</v>
      </c>
      <c r="D1118" t="str">
        <f t="shared" si="535"/>
        <v>11121002</v>
      </c>
      <c r="E1118" t="str">
        <f t="shared" si="536"/>
        <v>121002</v>
      </c>
      <c r="F1118" t="str">
        <f t="shared" si="537"/>
        <v>CINTHIA NORONHA</v>
      </c>
      <c r="G1118" t="str">
        <f>"89307953000100"</f>
        <v>89307953000100</v>
      </c>
      <c r="H1118" t="str">
        <f>""</f>
        <v/>
      </c>
      <c r="I1118" t="str">
        <f t="shared" si="547"/>
        <v>CONTA OPTICA</v>
      </c>
      <c r="J1118" t="str">
        <f>"RELOJOARIA E OTICA RYAN LTDA"</f>
        <v>RELOJOARIA E OTICA RYAN LTDA</v>
      </c>
      <c r="K1118" t="str">
        <f>"RYAN RELOJOARIA E OTICA (1760)"</f>
        <v>RYAN RELOJOARIA E OTICA (1760)</v>
      </c>
      <c r="L1118" t="str">
        <f>""</f>
        <v/>
      </c>
      <c r="M1118" t="str">
        <f>""</f>
        <v/>
      </c>
      <c r="N1118" t="str">
        <f>"zryan@terra.com.br"</f>
        <v>zryan@terra.com.br</v>
      </c>
      <c r="O1118" t="str">
        <f>""</f>
        <v/>
      </c>
      <c r="P1118" t="str">
        <f>"AVENIDA BARAO DO RIO BRANCO"</f>
        <v>AVENIDA BARAO DO RIO BRANCO</v>
      </c>
      <c r="Q1118" t="str">
        <f>"44"</f>
        <v>44</v>
      </c>
      <c r="R1118" t="str">
        <f>"CENTRO"</f>
        <v>CENTRO</v>
      </c>
      <c r="S1118" t="str">
        <f>"1336"</f>
        <v>1336</v>
      </c>
      <c r="T1118" t="str">
        <f>"95560000"</f>
        <v>95560000</v>
      </c>
      <c r="U1118" t="str">
        <f>"CENTRO"</f>
        <v>CENTRO</v>
      </c>
      <c r="V1118" t="str">
        <f>"TORRES"</f>
        <v>TORRES</v>
      </c>
      <c r="W1118" t="str">
        <f>"RS"</f>
        <v>RS</v>
      </c>
      <c r="X1118" t="str">
        <f>"51"</f>
        <v>51</v>
      </c>
      <c r="Y1118" t="str">
        <f>"36641133"</f>
        <v>36641133</v>
      </c>
      <c r="Z1118" t="str">
        <f>""</f>
        <v/>
      </c>
      <c r="AA1118" t="str">
        <f>""</f>
        <v/>
      </c>
      <c r="AB1118" t="str">
        <f>""</f>
        <v/>
      </c>
      <c r="AC1118" t="str">
        <f>""</f>
        <v/>
      </c>
      <c r="AD1118" t="str">
        <f>""</f>
        <v/>
      </c>
      <c r="AE1118" t="str">
        <f>""</f>
        <v/>
      </c>
      <c r="AF1118" t="str">
        <f>""</f>
        <v/>
      </c>
      <c r="AG1118" t="str">
        <f>""</f>
        <v/>
      </c>
      <c r="AH1118" t="str">
        <f>""</f>
        <v/>
      </c>
      <c r="AI1118" t="str">
        <f>""</f>
        <v/>
      </c>
      <c r="AJ1118" t="str">
        <f t="shared" si="564"/>
        <v>0</v>
      </c>
      <c r="AK1118" t="str">
        <f t="shared" si="563"/>
        <v>0</v>
      </c>
      <c r="AL1118" t="str">
        <f t="shared" si="563"/>
        <v>0</v>
      </c>
      <c r="AM1118" t="str">
        <f>""</f>
        <v/>
      </c>
      <c r="AN1118" t="str">
        <f>""</f>
        <v/>
      </c>
      <c r="AO1118" t="str">
        <f>""</f>
        <v/>
      </c>
      <c r="AP1118" t="str">
        <f>""</f>
        <v/>
      </c>
      <c r="AQ1118" t="str">
        <f>""</f>
        <v/>
      </c>
      <c r="AR1118" t="str">
        <f>""</f>
        <v/>
      </c>
      <c r="AS1118" t="str">
        <f>""</f>
        <v/>
      </c>
      <c r="AT1118" t="str">
        <f>""</f>
        <v/>
      </c>
      <c r="AU1118" t="str">
        <f>""</f>
        <v/>
      </c>
      <c r="AV1118" t="str">
        <f>""</f>
        <v/>
      </c>
      <c r="AW1118" t="str">
        <f>""</f>
        <v/>
      </c>
      <c r="AX1118" t="str">
        <f>""</f>
        <v/>
      </c>
      <c r="AY1118" t="str">
        <f>""</f>
        <v/>
      </c>
      <c r="AZ1118" t="str">
        <f>""</f>
        <v/>
      </c>
      <c r="BA1118" t="str">
        <f>""</f>
        <v/>
      </c>
      <c r="BB1118" t="str">
        <f>""</f>
        <v/>
      </c>
      <c r="BC1118" t="str">
        <f>""</f>
        <v/>
      </c>
      <c r="BD1118" t="str">
        <f>""</f>
        <v/>
      </c>
      <c r="BE1118" t="str">
        <f>""</f>
        <v/>
      </c>
      <c r="BF1118" t="str">
        <f t="shared" si="548"/>
        <v>A</v>
      </c>
      <c r="BG1118" t="str">
        <f t="shared" si="561"/>
        <v>0,00</v>
      </c>
      <c r="BH1118" t="str">
        <f t="shared" si="561"/>
        <v>0,00</v>
      </c>
      <c r="BI1118" t="str">
        <f t="shared" si="531"/>
        <v>EVENTUAL</v>
      </c>
      <c r="BJ1118" t="str">
        <f t="shared" si="549"/>
        <v>1</v>
      </c>
      <c r="BK1118" t="str">
        <f t="shared" si="550"/>
        <v>Farmacia</v>
      </c>
      <c r="BL1118" t="str">
        <f>""</f>
        <v/>
      </c>
      <c r="BM1118" t="str">
        <f>"VARILUX ESPECIALISTA SELECT"</f>
        <v>VARILUX ESPECIALISTA SELECT</v>
      </c>
      <c r="BN1118" t="str">
        <f t="shared" si="562"/>
        <v>NA</v>
      </c>
      <c r="BO1118" t="str">
        <f>"FOCO VARILUX DIGITAL"</f>
        <v>FOCO VARILUX DIGITAL</v>
      </c>
      <c r="BP1118" t="str">
        <f>""</f>
        <v/>
      </c>
      <c r="BQ1118" t="str">
        <f>""</f>
        <v/>
      </c>
      <c r="BR1118" t="str">
        <f>""</f>
        <v/>
      </c>
      <c r="BS1118" t="str">
        <f>""</f>
        <v/>
      </c>
      <c r="BT1118" t="str">
        <f>""</f>
        <v/>
      </c>
      <c r="BU1118" t="str">
        <f>""</f>
        <v/>
      </c>
      <c r="BV1118" t="str">
        <f>"5"</f>
        <v>5</v>
      </c>
      <c r="BW1118" t="str">
        <f>"64"</f>
        <v>64</v>
      </c>
    </row>
    <row r="1119" spans="1:75" x14ac:dyDescent="0.35">
      <c r="A1119">
        <v>144376</v>
      </c>
      <c r="B1119" t="str">
        <f t="shared" si="545"/>
        <v>A</v>
      </c>
      <c r="C1119" t="str">
        <f t="shared" si="546"/>
        <v>80</v>
      </c>
      <c r="D1119" t="str">
        <f t="shared" si="535"/>
        <v>11121002</v>
      </c>
      <c r="E1119" t="str">
        <f t="shared" si="536"/>
        <v>121002</v>
      </c>
      <c r="F1119" t="str">
        <f t="shared" si="537"/>
        <v>CINTHIA NORONHA</v>
      </c>
      <c r="G1119" t="str">
        <f>"80648785000142"</f>
        <v>80648785000142</v>
      </c>
      <c r="H1119" t="str">
        <f>""</f>
        <v/>
      </c>
      <c r="I1119" t="str">
        <f t="shared" si="547"/>
        <v>CONTA OPTICA</v>
      </c>
      <c r="J1119" t="str">
        <f>"RELOJOARIA E OTICA SUICA LTDA"</f>
        <v>RELOJOARIA E OTICA SUICA LTDA</v>
      </c>
      <c r="K1119" t="str">
        <f>"RELOJOARIA E OTICA SUICA LTDA (397)"</f>
        <v>RELOJOARIA E OTICA SUICA LTDA (397)</v>
      </c>
      <c r="L1119" t="str">
        <f>""</f>
        <v/>
      </c>
      <c r="M1119" t="str">
        <f>""</f>
        <v/>
      </c>
      <c r="N1119" t="str">
        <f>"ot.suica@mkm.net.br"</f>
        <v>ot.suica@mkm.net.br</v>
      </c>
      <c r="O1119" t="str">
        <f>""</f>
        <v/>
      </c>
      <c r="P1119" t="str">
        <f>"PRACA PADRE ROHER"</f>
        <v>PRACA PADRE ROHER</v>
      </c>
      <c r="Q1119" t="str">
        <f>"201"</f>
        <v>201</v>
      </c>
      <c r="R1119" t="str">
        <f>""</f>
        <v/>
      </c>
      <c r="S1119" t="str">
        <f>"1268"</f>
        <v>1268</v>
      </c>
      <c r="T1119" t="str">
        <f>"88750000"</f>
        <v>88750000</v>
      </c>
      <c r="U1119" t="str">
        <f>"NAO INFORMADO"</f>
        <v>NAO INFORMADO</v>
      </c>
      <c r="V1119" t="str">
        <f>"BRAÇO DO NORTE"</f>
        <v>BRAÇO DO NORTE</v>
      </c>
      <c r="W1119" t="str">
        <f t="shared" ref="W1119:W1150" si="565">"SC"</f>
        <v>SC</v>
      </c>
      <c r="X1119" t="str">
        <f t="shared" ref="X1119:X1128" si="566">"48"</f>
        <v>48</v>
      </c>
      <c r="Y1119" t="str">
        <f>"36582163"</f>
        <v>36582163</v>
      </c>
      <c r="Z1119" t="str">
        <f>""</f>
        <v/>
      </c>
      <c r="AA1119" t="str">
        <f>""</f>
        <v/>
      </c>
      <c r="AB1119" t="str">
        <f>""</f>
        <v/>
      </c>
      <c r="AC1119" t="str">
        <f>""</f>
        <v/>
      </c>
      <c r="AD1119" t="str">
        <f>""</f>
        <v/>
      </c>
      <c r="AE1119" t="str">
        <f>""</f>
        <v/>
      </c>
      <c r="AF1119" t="str">
        <f>""</f>
        <v/>
      </c>
      <c r="AG1119" t="str">
        <f>""</f>
        <v/>
      </c>
      <c r="AH1119" t="str">
        <f>""</f>
        <v/>
      </c>
      <c r="AI1119" t="str">
        <f>""</f>
        <v/>
      </c>
      <c r="AJ1119" t="str">
        <f t="shared" si="564"/>
        <v>0</v>
      </c>
      <c r="AK1119" t="str">
        <f t="shared" si="563"/>
        <v>0</v>
      </c>
      <c r="AL1119" t="str">
        <f t="shared" si="563"/>
        <v>0</v>
      </c>
      <c r="AM1119" t="str">
        <f>""</f>
        <v/>
      </c>
      <c r="AN1119" t="str">
        <f>""</f>
        <v/>
      </c>
      <c r="AO1119" t="str">
        <f>""</f>
        <v/>
      </c>
      <c r="AP1119" t="str">
        <f>""</f>
        <v/>
      </c>
      <c r="AQ1119" t="str">
        <f>""</f>
        <v/>
      </c>
      <c r="AR1119" t="str">
        <f>""</f>
        <v/>
      </c>
      <c r="AS1119" t="str">
        <f>""</f>
        <v/>
      </c>
      <c r="AT1119" t="str">
        <f>""</f>
        <v/>
      </c>
      <c r="AU1119" t="str">
        <f>""</f>
        <v/>
      </c>
      <c r="AV1119" t="str">
        <f>""</f>
        <v/>
      </c>
      <c r="AW1119" t="str">
        <f>""</f>
        <v/>
      </c>
      <c r="AX1119" t="str">
        <f>""</f>
        <v/>
      </c>
      <c r="AY1119" t="str">
        <f>""</f>
        <v/>
      </c>
      <c r="AZ1119" t="str">
        <f>""</f>
        <v/>
      </c>
      <c r="BA1119" t="str">
        <f>""</f>
        <v/>
      </c>
      <c r="BB1119" t="str">
        <f>""</f>
        <v/>
      </c>
      <c r="BC1119" t="str">
        <f>""</f>
        <v/>
      </c>
      <c r="BD1119" t="str">
        <f>""</f>
        <v/>
      </c>
      <c r="BE1119" t="str">
        <f>""</f>
        <v/>
      </c>
      <c r="BF1119" t="str">
        <f t="shared" si="548"/>
        <v>A</v>
      </c>
      <c r="BG1119" t="str">
        <f t="shared" si="561"/>
        <v>0,00</v>
      </c>
      <c r="BH1119" t="str">
        <f t="shared" si="561"/>
        <v>0,00</v>
      </c>
      <c r="BI1119" t="str">
        <f t="shared" si="531"/>
        <v>EVENTUAL</v>
      </c>
      <c r="BJ1119" t="str">
        <f t="shared" si="549"/>
        <v>1</v>
      </c>
      <c r="BK1119" t="str">
        <f t="shared" si="550"/>
        <v>Farmacia</v>
      </c>
      <c r="BL1119" t="str">
        <f>""</f>
        <v/>
      </c>
      <c r="BM1119" t="str">
        <f>"VARILUX ESPECIALISTA SELECT"</f>
        <v>VARILUX ESPECIALISTA SELECT</v>
      </c>
      <c r="BN1119" t="str">
        <f t="shared" si="562"/>
        <v>NA</v>
      </c>
      <c r="BO1119" t="str">
        <f>"FOCO VARILUX DIGITAL"</f>
        <v>FOCO VARILUX DIGITAL</v>
      </c>
      <c r="BP1119" t="str">
        <f>""</f>
        <v/>
      </c>
      <c r="BQ1119" t="str">
        <f>""</f>
        <v/>
      </c>
      <c r="BR1119" t="str">
        <f>""</f>
        <v/>
      </c>
      <c r="BS1119" t="str">
        <f>""</f>
        <v/>
      </c>
      <c r="BT1119" t="str">
        <f>""</f>
        <v/>
      </c>
      <c r="BU1119" t="str">
        <f>""</f>
        <v/>
      </c>
      <c r="BV1119" t="str">
        <f>"1"</f>
        <v>1</v>
      </c>
      <c r="BW1119" t="str">
        <f>"121"</f>
        <v>121</v>
      </c>
    </row>
    <row r="1120" spans="1:75" x14ac:dyDescent="0.35">
      <c r="A1120">
        <v>144326</v>
      </c>
      <c r="B1120" t="str">
        <f t="shared" si="545"/>
        <v>A</v>
      </c>
      <c r="C1120" t="str">
        <f t="shared" si="546"/>
        <v>80</v>
      </c>
      <c r="D1120" t="str">
        <f t="shared" si="535"/>
        <v>11121002</v>
      </c>
      <c r="E1120" t="str">
        <f t="shared" si="536"/>
        <v>121002</v>
      </c>
      <c r="F1120" t="str">
        <f t="shared" si="537"/>
        <v>CINTHIA NORONHA</v>
      </c>
      <c r="G1120" t="str">
        <f>"10500237000195"</f>
        <v>10500237000195</v>
      </c>
      <c r="H1120" t="str">
        <f>""</f>
        <v/>
      </c>
      <c r="I1120" t="str">
        <f t="shared" si="547"/>
        <v>CONTA OPTICA</v>
      </c>
      <c r="J1120" t="str">
        <f>"RELOJOARIA E OTICA TIAGO LTDA ME"</f>
        <v>RELOJOARIA E OTICA TIAGO LTDA ME</v>
      </c>
      <c r="K1120" t="str">
        <f>"RELOJOARIA E OTICA TIAGO (1818)"</f>
        <v>RELOJOARIA E OTICA TIAGO (1818)</v>
      </c>
      <c r="L1120" t="str">
        <f>""</f>
        <v/>
      </c>
      <c r="M1120" t="str">
        <f>""</f>
        <v/>
      </c>
      <c r="N1120" t="str">
        <f>"otica-tiago@hotmail.com"</f>
        <v>otica-tiago@hotmail.com</v>
      </c>
      <c r="O1120" t="str">
        <f>""</f>
        <v/>
      </c>
      <c r="P1120" t="str">
        <f>"RUA NEREU RAMOS"</f>
        <v>RUA NEREU RAMOS</v>
      </c>
      <c r="Q1120" t="str">
        <f>"935"</f>
        <v>935</v>
      </c>
      <c r="R1120" t="str">
        <f>""</f>
        <v/>
      </c>
      <c r="S1120" t="str">
        <f>"1268"</f>
        <v>1268</v>
      </c>
      <c r="T1120" t="str">
        <f>"88780000"</f>
        <v>88780000</v>
      </c>
      <c r="U1120" t="str">
        <f>"CENTRO"</f>
        <v>CENTRO</v>
      </c>
      <c r="V1120" t="str">
        <f>"IMBITUBA"</f>
        <v>IMBITUBA</v>
      </c>
      <c r="W1120" t="str">
        <f t="shared" si="565"/>
        <v>SC</v>
      </c>
      <c r="X1120" t="str">
        <f t="shared" si="566"/>
        <v>48</v>
      </c>
      <c r="Y1120" t="str">
        <f>"32557400"</f>
        <v>32557400</v>
      </c>
      <c r="Z1120" t="str">
        <f>""</f>
        <v/>
      </c>
      <c r="AA1120" t="str">
        <f>""</f>
        <v/>
      </c>
      <c r="AB1120" t="str">
        <f>""</f>
        <v/>
      </c>
      <c r="AC1120" t="str">
        <f>""</f>
        <v/>
      </c>
      <c r="AD1120" t="str">
        <f>""</f>
        <v/>
      </c>
      <c r="AE1120" t="str">
        <f>""</f>
        <v/>
      </c>
      <c r="AF1120" t="str">
        <f>""</f>
        <v/>
      </c>
      <c r="AG1120" t="str">
        <f>""</f>
        <v/>
      </c>
      <c r="AH1120" t="str">
        <f>""</f>
        <v/>
      </c>
      <c r="AI1120" t="str">
        <f>""</f>
        <v/>
      </c>
      <c r="AJ1120" t="str">
        <f t="shared" si="564"/>
        <v>0</v>
      </c>
      <c r="AK1120" t="str">
        <f t="shared" si="563"/>
        <v>0</v>
      </c>
      <c r="AL1120" t="str">
        <f t="shared" si="563"/>
        <v>0</v>
      </c>
      <c r="AM1120" t="str">
        <f>""</f>
        <v/>
      </c>
      <c r="AN1120" t="str">
        <f>""</f>
        <v/>
      </c>
      <c r="AO1120" t="str">
        <f>""</f>
        <v/>
      </c>
      <c r="AP1120" t="str">
        <f>""</f>
        <v/>
      </c>
      <c r="AQ1120" t="str">
        <f>""</f>
        <v/>
      </c>
      <c r="AR1120" t="str">
        <f>""</f>
        <v/>
      </c>
      <c r="AS1120" t="str">
        <f>""</f>
        <v/>
      </c>
      <c r="AT1120" t="str">
        <f>""</f>
        <v/>
      </c>
      <c r="AU1120" t="str">
        <f>""</f>
        <v/>
      </c>
      <c r="AV1120" t="str">
        <f>""</f>
        <v/>
      </c>
      <c r="AW1120" t="str">
        <f>""</f>
        <v/>
      </c>
      <c r="AX1120" t="str">
        <f>""</f>
        <v/>
      </c>
      <c r="AY1120" t="str">
        <f>""</f>
        <v/>
      </c>
      <c r="AZ1120" t="str">
        <f>""</f>
        <v/>
      </c>
      <c r="BA1120" t="str">
        <f>""</f>
        <v/>
      </c>
      <c r="BB1120" t="str">
        <f>""</f>
        <v/>
      </c>
      <c r="BC1120" t="str">
        <f>""</f>
        <v/>
      </c>
      <c r="BD1120" t="str">
        <f>""</f>
        <v/>
      </c>
      <c r="BE1120" t="str">
        <f>""</f>
        <v/>
      </c>
      <c r="BF1120" t="str">
        <f t="shared" si="548"/>
        <v>A</v>
      </c>
      <c r="BG1120" t="str">
        <f t="shared" si="561"/>
        <v>0,00</v>
      </c>
      <c r="BH1120" t="str">
        <f t="shared" si="561"/>
        <v>0,00</v>
      </c>
      <c r="BI1120" t="str">
        <f t="shared" ref="BI1120:BI1183" si="567">"EVENTUAL"</f>
        <v>EVENTUAL</v>
      </c>
      <c r="BJ1120" t="str">
        <f t="shared" si="549"/>
        <v>1</v>
      </c>
      <c r="BK1120" t="str">
        <f t="shared" si="550"/>
        <v>Farmacia</v>
      </c>
      <c r="BL1120" t="str">
        <f>""</f>
        <v/>
      </c>
      <c r="BM1120" t="str">
        <f>"VARILUX ESPECIALISTA SELECT"</f>
        <v>VARILUX ESPECIALISTA SELECT</v>
      </c>
      <c r="BN1120" t="str">
        <f t="shared" si="562"/>
        <v>NA</v>
      </c>
      <c r="BO1120" t="str">
        <f>"FOCO VARILUX DIGITAL"</f>
        <v>FOCO VARILUX DIGITAL</v>
      </c>
      <c r="BP1120" t="str">
        <f>""</f>
        <v/>
      </c>
      <c r="BQ1120" t="str">
        <f>""</f>
        <v/>
      </c>
      <c r="BR1120" t="str">
        <f>""</f>
        <v/>
      </c>
      <c r="BS1120" t="str">
        <f>""</f>
        <v/>
      </c>
      <c r="BT1120" t="str">
        <f>""</f>
        <v/>
      </c>
      <c r="BU1120" t="str">
        <f>""</f>
        <v/>
      </c>
      <c r="BV1120" t="str">
        <f>"1"</f>
        <v>1</v>
      </c>
      <c r="BW1120" t="str">
        <f>"10"</f>
        <v>10</v>
      </c>
    </row>
    <row r="1121" spans="1:75" x14ac:dyDescent="0.35">
      <c r="A1121">
        <v>408</v>
      </c>
      <c r="B1121" t="str">
        <f t="shared" si="545"/>
        <v>A</v>
      </c>
      <c r="C1121" t="str">
        <f t="shared" si="546"/>
        <v>80</v>
      </c>
      <c r="D1121" t="str">
        <f t="shared" si="535"/>
        <v>11121002</v>
      </c>
      <c r="E1121" t="str">
        <f t="shared" si="536"/>
        <v>121002</v>
      </c>
      <c r="F1121" t="str">
        <f t="shared" si="537"/>
        <v>CINTHIA NORONHA</v>
      </c>
      <c r="G1121" t="str">
        <f>"05937679000163"</f>
        <v>05937679000163</v>
      </c>
      <c r="H1121" t="str">
        <f>""</f>
        <v/>
      </c>
      <c r="I1121" t="str">
        <f t="shared" si="547"/>
        <v>CONTA OPTICA</v>
      </c>
      <c r="J1121" t="str">
        <f>"RELOJOARIA E OTICA TIC TAC LTDA ME"</f>
        <v>RELOJOARIA E OTICA TIC TAC LTDA ME</v>
      </c>
      <c r="K1121" t="str">
        <f>"RELOJOARIA E OTICA TIC TAC LTDA ME (476)"</f>
        <v>RELOJOARIA E OTICA TIC TAC LTDA ME (476)</v>
      </c>
      <c r="L1121" t="str">
        <f>""</f>
        <v/>
      </c>
      <c r="M1121" t="str">
        <f>""</f>
        <v/>
      </c>
      <c r="N1121" t="str">
        <f>"tictackobrasol@hotmail.com"</f>
        <v>tictackobrasol@hotmail.com</v>
      </c>
      <c r="O1121" t="str">
        <f>""</f>
        <v/>
      </c>
      <c r="P1121" t="str">
        <f>"RUA LEDIO JOAO MARTINS"</f>
        <v>RUA LEDIO JOAO MARTINS</v>
      </c>
      <c r="Q1121" t="str">
        <f>"830"</f>
        <v>830</v>
      </c>
      <c r="R1121" t="str">
        <f>"LOJA 03"</f>
        <v>LOJA 03</v>
      </c>
      <c r="S1121" t="str">
        <f>"1259"</f>
        <v>1259</v>
      </c>
      <c r="T1121" t="str">
        <f>"88101100"</f>
        <v>88101100</v>
      </c>
      <c r="U1121" t="str">
        <f>"KOBRASOL"</f>
        <v>KOBRASOL</v>
      </c>
      <c r="V1121" t="str">
        <f>"SÃO JOSÉ"</f>
        <v>SÃO JOSÉ</v>
      </c>
      <c r="W1121" t="str">
        <f t="shared" si="565"/>
        <v>SC</v>
      </c>
      <c r="X1121" t="str">
        <f t="shared" si="566"/>
        <v>48</v>
      </c>
      <c r="Y1121" t="str">
        <f>"30343653"</f>
        <v>30343653</v>
      </c>
      <c r="Z1121" t="str">
        <f>""</f>
        <v/>
      </c>
      <c r="AA1121" t="str">
        <f>""</f>
        <v/>
      </c>
      <c r="AB1121" t="str">
        <f>""</f>
        <v/>
      </c>
      <c r="AC1121" t="str">
        <f>""</f>
        <v/>
      </c>
      <c r="AD1121" t="str">
        <f>""</f>
        <v/>
      </c>
      <c r="AE1121" t="str">
        <f>""</f>
        <v/>
      </c>
      <c r="AF1121" t="str">
        <f>""</f>
        <v/>
      </c>
      <c r="AG1121" t="str">
        <f>""</f>
        <v/>
      </c>
      <c r="AH1121" t="str">
        <f>""</f>
        <v/>
      </c>
      <c r="AI1121" t="str">
        <f>""</f>
        <v/>
      </c>
      <c r="AJ1121" t="str">
        <f t="shared" si="564"/>
        <v>0</v>
      </c>
      <c r="AK1121" t="str">
        <f t="shared" si="563"/>
        <v>0</v>
      </c>
      <c r="AL1121" t="str">
        <f t="shared" si="563"/>
        <v>0</v>
      </c>
      <c r="AM1121" t="str">
        <f>""</f>
        <v/>
      </c>
      <c r="AN1121" t="str">
        <f>""</f>
        <v/>
      </c>
      <c r="AO1121" t="str">
        <f>""</f>
        <v/>
      </c>
      <c r="AP1121" t="str">
        <f>""</f>
        <v/>
      </c>
      <c r="AQ1121" t="str">
        <f>""</f>
        <v/>
      </c>
      <c r="AR1121" t="str">
        <f>""</f>
        <v/>
      </c>
      <c r="AS1121" t="str">
        <f>""</f>
        <v/>
      </c>
      <c r="AT1121" t="str">
        <f>""</f>
        <v/>
      </c>
      <c r="AU1121" t="str">
        <f>""</f>
        <v/>
      </c>
      <c r="AV1121" t="str">
        <f>""</f>
        <v/>
      </c>
      <c r="AW1121" t="str">
        <f>""</f>
        <v/>
      </c>
      <c r="AX1121" t="str">
        <f>""</f>
        <v/>
      </c>
      <c r="AY1121" t="str">
        <f>""</f>
        <v/>
      </c>
      <c r="AZ1121" t="str">
        <f>""</f>
        <v/>
      </c>
      <c r="BA1121" t="str">
        <f>""</f>
        <v/>
      </c>
      <c r="BB1121" t="str">
        <f>"27/07/2018 09:25:41"</f>
        <v>27/07/2018 09:25:41</v>
      </c>
      <c r="BC1121" t="str">
        <f>""</f>
        <v/>
      </c>
      <c r="BD1121" t="str">
        <f>""</f>
        <v/>
      </c>
      <c r="BE1121" t="str">
        <f>"408"</f>
        <v>408</v>
      </c>
      <c r="BF1121" t="str">
        <f t="shared" si="548"/>
        <v>A</v>
      </c>
      <c r="BG1121" t="str">
        <f t="shared" si="561"/>
        <v>0,00</v>
      </c>
      <c r="BH1121" t="str">
        <f t="shared" si="561"/>
        <v>0,00</v>
      </c>
      <c r="BI1121" t="str">
        <f t="shared" si="567"/>
        <v>EVENTUAL</v>
      </c>
      <c r="BJ1121" t="str">
        <f t="shared" si="549"/>
        <v>1</v>
      </c>
      <c r="BK1121" t="str">
        <f t="shared" si="550"/>
        <v>Farmacia</v>
      </c>
      <c r="BL1121" t="str">
        <f>""</f>
        <v/>
      </c>
      <c r="BM1121" t="str">
        <f>"VARILUX ESPECIALISTA SELECT"</f>
        <v>VARILUX ESPECIALISTA SELECT</v>
      </c>
      <c r="BN1121" t="str">
        <f t="shared" si="562"/>
        <v>NA</v>
      </c>
      <c r="BO1121" t="str">
        <f>"FOCO VARILUX DIGITAL"</f>
        <v>FOCO VARILUX DIGITAL</v>
      </c>
      <c r="BP1121" t="str">
        <f>""</f>
        <v/>
      </c>
      <c r="BQ1121" t="str">
        <f>""</f>
        <v/>
      </c>
      <c r="BR1121" t="str">
        <f>"27/07/2018"</f>
        <v>27/07/2018</v>
      </c>
      <c r="BS1121" t="str">
        <f>""</f>
        <v/>
      </c>
      <c r="BT1121" t="str">
        <f>""</f>
        <v/>
      </c>
      <c r="BU1121" t="str">
        <f>""</f>
        <v/>
      </c>
      <c r="BV1121" t="str">
        <f>"1"</f>
        <v>1</v>
      </c>
      <c r="BW1121" t="str">
        <f>"3"</f>
        <v>3</v>
      </c>
    </row>
    <row r="1122" spans="1:75" x14ac:dyDescent="0.35">
      <c r="A1122">
        <v>144402</v>
      </c>
      <c r="B1122" t="str">
        <f t="shared" si="545"/>
        <v>A</v>
      </c>
      <c r="C1122" t="str">
        <f t="shared" si="546"/>
        <v>80</v>
      </c>
      <c r="D1122" t="str">
        <f t="shared" si="535"/>
        <v>11121002</v>
      </c>
      <c r="E1122" t="str">
        <f t="shared" si="536"/>
        <v>121002</v>
      </c>
      <c r="F1122" t="str">
        <f t="shared" si="537"/>
        <v>CINTHIA NORONHA</v>
      </c>
      <c r="G1122" t="str">
        <f>"95871638000104"</f>
        <v>95871638000104</v>
      </c>
      <c r="H1122" t="str">
        <f>""</f>
        <v/>
      </c>
      <c r="I1122" t="str">
        <f t="shared" si="547"/>
        <v>CONTA OPTICA</v>
      </c>
      <c r="J1122" t="str">
        <f>"RELOJOARIA E OTICA TISSOT LTDA ME"</f>
        <v>RELOJOARIA E OTICA TISSOT LTDA ME</v>
      </c>
      <c r="K1122" t="str">
        <f>"RELOJOARIA E OTICA TISSOT LTDA ME (409)"</f>
        <v>RELOJOARIA E OTICA TISSOT LTDA ME (409)</v>
      </c>
      <c r="L1122" t="str">
        <f>""</f>
        <v/>
      </c>
      <c r="M1122" t="str">
        <f>""</f>
        <v/>
      </c>
      <c r="N1122" t="str">
        <f>"opticatissot@yahoo.com"</f>
        <v>opticatissot@yahoo.com</v>
      </c>
      <c r="O1122" t="str">
        <f>""</f>
        <v/>
      </c>
      <c r="P1122" t="str">
        <f>"PRACA PADRE ROHER"</f>
        <v>PRACA PADRE ROHER</v>
      </c>
      <c r="Q1122" t="str">
        <f>"164"</f>
        <v>164</v>
      </c>
      <c r="R1122" t="str">
        <f>""</f>
        <v/>
      </c>
      <c r="S1122" t="str">
        <f>"1268"</f>
        <v>1268</v>
      </c>
      <c r="T1122" t="str">
        <f>"88750000"</f>
        <v>88750000</v>
      </c>
      <c r="U1122" t="str">
        <f>"CENTRO"</f>
        <v>CENTRO</v>
      </c>
      <c r="V1122" t="str">
        <f>"BRAÇO DO NORTE"</f>
        <v>BRAÇO DO NORTE</v>
      </c>
      <c r="W1122" t="str">
        <f t="shared" si="565"/>
        <v>SC</v>
      </c>
      <c r="X1122" t="str">
        <f t="shared" si="566"/>
        <v>48</v>
      </c>
      <c r="Y1122" t="str">
        <f>"36582277"</f>
        <v>36582277</v>
      </c>
      <c r="Z1122" t="str">
        <f>""</f>
        <v/>
      </c>
      <c r="AA1122" t="str">
        <f>""</f>
        <v/>
      </c>
      <c r="AB1122" t="str">
        <f>""</f>
        <v/>
      </c>
      <c r="AC1122" t="str">
        <f>""</f>
        <v/>
      </c>
      <c r="AD1122" t="str">
        <f>""</f>
        <v/>
      </c>
      <c r="AE1122" t="str">
        <f>""</f>
        <v/>
      </c>
      <c r="AF1122" t="str">
        <f>""</f>
        <v/>
      </c>
      <c r="AG1122" t="str">
        <f>""</f>
        <v/>
      </c>
      <c r="AH1122" t="str">
        <f>""</f>
        <v/>
      </c>
      <c r="AI1122" t="str">
        <f>""</f>
        <v/>
      </c>
      <c r="AJ1122" t="str">
        <f t="shared" si="564"/>
        <v>0</v>
      </c>
      <c r="AK1122" t="str">
        <f t="shared" si="563"/>
        <v>0</v>
      </c>
      <c r="AL1122" t="str">
        <f t="shared" si="563"/>
        <v>0</v>
      </c>
      <c r="AM1122" t="str">
        <f>""</f>
        <v/>
      </c>
      <c r="AN1122" t="str">
        <f>""</f>
        <v/>
      </c>
      <c r="AO1122" t="str">
        <f>""</f>
        <v/>
      </c>
      <c r="AP1122" t="str">
        <f>""</f>
        <v/>
      </c>
      <c r="AQ1122" t="str">
        <f>""</f>
        <v/>
      </c>
      <c r="AR1122" t="str">
        <f>""</f>
        <v/>
      </c>
      <c r="AS1122" t="str">
        <f>""</f>
        <v/>
      </c>
      <c r="AT1122" t="str">
        <f>""</f>
        <v/>
      </c>
      <c r="AU1122" t="str">
        <f>""</f>
        <v/>
      </c>
      <c r="AV1122" t="str">
        <f>""</f>
        <v/>
      </c>
      <c r="AW1122" t="str">
        <f>""</f>
        <v/>
      </c>
      <c r="AX1122" t="str">
        <f>""</f>
        <v/>
      </c>
      <c r="AY1122" t="str">
        <f>""</f>
        <v/>
      </c>
      <c r="AZ1122" t="str">
        <f>""</f>
        <v/>
      </c>
      <c r="BA1122" t="str">
        <f>""</f>
        <v/>
      </c>
      <c r="BB1122" t="str">
        <f>""</f>
        <v/>
      </c>
      <c r="BC1122" t="str">
        <f>""</f>
        <v/>
      </c>
      <c r="BD1122" t="str">
        <f>""</f>
        <v/>
      </c>
      <c r="BE1122" t="str">
        <f>""</f>
        <v/>
      </c>
      <c r="BF1122" t="str">
        <f t="shared" si="548"/>
        <v>A</v>
      </c>
      <c r="BG1122" t="str">
        <f t="shared" si="561"/>
        <v>0,00</v>
      </c>
      <c r="BH1122" t="str">
        <f t="shared" si="561"/>
        <v>0,00</v>
      </c>
      <c r="BI1122" t="str">
        <f t="shared" si="567"/>
        <v>EVENTUAL</v>
      </c>
      <c r="BJ1122" t="str">
        <f t="shared" si="549"/>
        <v>1</v>
      </c>
      <c r="BK1122" t="str">
        <f t="shared" si="550"/>
        <v>Farmacia</v>
      </c>
      <c r="BL1122" t="str">
        <f>""</f>
        <v/>
      </c>
      <c r="BM1122" t="str">
        <f>"VARILUX ESPECIALISTA SELECT"</f>
        <v>VARILUX ESPECIALISTA SELECT</v>
      </c>
      <c r="BN1122" t="str">
        <f t="shared" si="562"/>
        <v>NA</v>
      </c>
      <c r="BO1122" t="str">
        <f>"FOCO VARILUX DIGITAL"</f>
        <v>FOCO VARILUX DIGITAL</v>
      </c>
      <c r="BP1122" t="str">
        <f>""</f>
        <v/>
      </c>
      <c r="BQ1122" t="str">
        <f>""</f>
        <v/>
      </c>
      <c r="BR1122" t="str">
        <f>""</f>
        <v/>
      </c>
      <c r="BS1122" t="str">
        <f>""</f>
        <v/>
      </c>
      <c r="BT1122" t="str">
        <f>""</f>
        <v/>
      </c>
      <c r="BU1122" t="str">
        <f>""</f>
        <v/>
      </c>
      <c r="BV1122" t="str">
        <f>"1"</f>
        <v>1</v>
      </c>
      <c r="BW1122" t="str">
        <f>"130"</f>
        <v>130</v>
      </c>
    </row>
    <row r="1123" spans="1:75" x14ac:dyDescent="0.35">
      <c r="A1123">
        <v>144365</v>
      </c>
      <c r="B1123" t="str">
        <f t="shared" si="545"/>
        <v>A</v>
      </c>
      <c r="C1123" t="str">
        <f t="shared" si="546"/>
        <v>80</v>
      </c>
      <c r="D1123" t="str">
        <f t="shared" si="535"/>
        <v>11121002</v>
      </c>
      <c r="E1123" t="str">
        <f t="shared" si="536"/>
        <v>121002</v>
      </c>
      <c r="F1123" t="str">
        <f t="shared" si="537"/>
        <v>CINTHIA NORONHA</v>
      </c>
      <c r="G1123" t="str">
        <f>"78854692000122"</f>
        <v>78854692000122</v>
      </c>
      <c r="H1123" t="str">
        <f>""</f>
        <v/>
      </c>
      <c r="I1123" t="str">
        <f t="shared" si="547"/>
        <v>CONTA OPTICA</v>
      </c>
      <c r="J1123" t="str">
        <f>"RELOJOARIA E OTICA TRESPACH LTDA"</f>
        <v>RELOJOARIA E OTICA TRESPACH LTDA</v>
      </c>
      <c r="K1123" t="str">
        <f>"RELOJOARIA E OTICA TRESPACH LTDA (1074)"</f>
        <v>RELOJOARIA E OTICA TRESPACH LTDA (1074)</v>
      </c>
      <c r="L1123" t="str">
        <f>""</f>
        <v/>
      </c>
      <c r="M1123" t="str">
        <f>""</f>
        <v/>
      </c>
      <c r="N1123" t="str">
        <f>"osni_trespach@hotmail.com"</f>
        <v>osni_trespach@hotmail.com</v>
      </c>
      <c r="O1123" t="str">
        <f>""</f>
        <v/>
      </c>
      <c r="P1123" t="str">
        <f>"AVENIDA GETULIO VARGAS"</f>
        <v>AVENIDA GETULIO VARGAS</v>
      </c>
      <c r="Q1123" t="str">
        <f>"222"</f>
        <v>222</v>
      </c>
      <c r="R1123" t="str">
        <f>""</f>
        <v/>
      </c>
      <c r="S1123" t="str">
        <f>"1270"</f>
        <v>1270</v>
      </c>
      <c r="T1123" t="str">
        <f>"88960000"</f>
        <v>88960000</v>
      </c>
      <c r="U1123" t="str">
        <f>"CENTRO"</f>
        <v>CENTRO</v>
      </c>
      <c r="V1123" t="str">
        <f>"SOMBRIO"</f>
        <v>SOMBRIO</v>
      </c>
      <c r="W1123" t="str">
        <f t="shared" si="565"/>
        <v>SC</v>
      </c>
      <c r="X1123" t="str">
        <f t="shared" si="566"/>
        <v>48</v>
      </c>
      <c r="Y1123" t="str">
        <f>"35330400"</f>
        <v>35330400</v>
      </c>
      <c r="Z1123" t="str">
        <f>""</f>
        <v/>
      </c>
      <c r="AA1123" t="str">
        <f>""</f>
        <v/>
      </c>
      <c r="AB1123" t="str">
        <f>""</f>
        <v/>
      </c>
      <c r="AC1123" t="str">
        <f>""</f>
        <v/>
      </c>
      <c r="AD1123" t="str">
        <f>""</f>
        <v/>
      </c>
      <c r="AE1123" t="str">
        <f>""</f>
        <v/>
      </c>
      <c r="AF1123" t="str">
        <f>""</f>
        <v/>
      </c>
      <c r="AG1123" t="str">
        <f>""</f>
        <v/>
      </c>
      <c r="AH1123" t="str">
        <f>""</f>
        <v/>
      </c>
      <c r="AI1123" t="str">
        <f>""</f>
        <v/>
      </c>
      <c r="AJ1123" t="str">
        <f t="shared" si="564"/>
        <v>0</v>
      </c>
      <c r="AK1123" t="str">
        <f t="shared" si="563"/>
        <v>0</v>
      </c>
      <c r="AL1123" t="str">
        <f t="shared" si="563"/>
        <v>0</v>
      </c>
      <c r="AM1123" t="str">
        <f>""</f>
        <v/>
      </c>
      <c r="AN1123" t="str">
        <f>""</f>
        <v/>
      </c>
      <c r="AO1123" t="str">
        <f>""</f>
        <v/>
      </c>
      <c r="AP1123" t="str">
        <f>""</f>
        <v/>
      </c>
      <c r="AQ1123" t="str">
        <f>""</f>
        <v/>
      </c>
      <c r="AR1123" t="str">
        <f>""</f>
        <v/>
      </c>
      <c r="AS1123" t="str">
        <f>""</f>
        <v/>
      </c>
      <c r="AT1123" t="str">
        <f>""</f>
        <v/>
      </c>
      <c r="AU1123" t="str">
        <f>""</f>
        <v/>
      </c>
      <c r="AV1123" t="str">
        <f>""</f>
        <v/>
      </c>
      <c r="AW1123" t="str">
        <f>""</f>
        <v/>
      </c>
      <c r="AX1123" t="str">
        <f>""</f>
        <v/>
      </c>
      <c r="AY1123" t="str">
        <f>""</f>
        <v/>
      </c>
      <c r="AZ1123" t="str">
        <f>""</f>
        <v/>
      </c>
      <c r="BA1123" t="str">
        <f>""</f>
        <v/>
      </c>
      <c r="BB1123" t="str">
        <f>""</f>
        <v/>
      </c>
      <c r="BC1123" t="str">
        <f>""</f>
        <v/>
      </c>
      <c r="BD1123" t="str">
        <f>""</f>
        <v/>
      </c>
      <c r="BE1123" t="str">
        <f>""</f>
        <v/>
      </c>
      <c r="BF1123" t="str">
        <f t="shared" si="548"/>
        <v>A</v>
      </c>
      <c r="BG1123" t="str">
        <f t="shared" si="561"/>
        <v>0,00</v>
      </c>
      <c r="BH1123" t="str">
        <f t="shared" si="561"/>
        <v>0,00</v>
      </c>
      <c r="BI1123" t="str">
        <f t="shared" si="567"/>
        <v>EVENTUAL</v>
      </c>
      <c r="BJ1123" t="str">
        <f t="shared" si="549"/>
        <v>1</v>
      </c>
      <c r="BK1123" t="str">
        <f t="shared" si="550"/>
        <v>Farmacia</v>
      </c>
      <c r="BL1123" t="str">
        <f>""</f>
        <v/>
      </c>
      <c r="BM1123" t="str">
        <f>"NÃO É VARILUX ESPECIALISTA"</f>
        <v>NÃO É VARILUX ESPECIALISTA</v>
      </c>
      <c r="BN1123" t="str">
        <f>"EL360"</f>
        <v>EL360</v>
      </c>
      <c r="BO1123" t="str">
        <f>"FOCO KODAK 2"</f>
        <v>FOCO KODAK 2</v>
      </c>
      <c r="BP1123" t="str">
        <f>""</f>
        <v/>
      </c>
      <c r="BQ1123" t="str">
        <f>""</f>
        <v/>
      </c>
      <c r="BR1123" t="str">
        <f>""</f>
        <v/>
      </c>
      <c r="BS1123" t="str">
        <f>""</f>
        <v/>
      </c>
      <c r="BT1123" t="str">
        <f>""</f>
        <v/>
      </c>
      <c r="BU1123" t="str">
        <f>""</f>
        <v/>
      </c>
      <c r="BV1123" t="str">
        <f>"6"</f>
        <v>6</v>
      </c>
      <c r="BW1123" t="str">
        <f>"Não visitado"</f>
        <v>Não visitado</v>
      </c>
    </row>
    <row r="1124" spans="1:75" x14ac:dyDescent="0.35">
      <c r="A1124">
        <v>69</v>
      </c>
      <c r="B1124" t="str">
        <f t="shared" si="545"/>
        <v>A</v>
      </c>
      <c r="C1124" t="str">
        <f t="shared" si="546"/>
        <v>80</v>
      </c>
      <c r="D1124" t="str">
        <f t="shared" si="535"/>
        <v>11121002</v>
      </c>
      <c r="E1124" t="str">
        <f t="shared" si="536"/>
        <v>121002</v>
      </c>
      <c r="F1124" t="str">
        <f t="shared" si="537"/>
        <v>CINTHIA NORONHA</v>
      </c>
      <c r="G1124" t="str">
        <f>"05702978000119"</f>
        <v>05702978000119</v>
      </c>
      <c r="H1124" t="str">
        <f>""</f>
        <v/>
      </c>
      <c r="I1124" t="str">
        <f t="shared" si="547"/>
        <v>CONTA OPTICA</v>
      </c>
      <c r="J1124" t="str">
        <f>"RELOJOARIA E OTICA VIEIRA LTDA"</f>
        <v>RELOJOARIA E OTICA VIEIRA LTDA</v>
      </c>
      <c r="K1124" t="str">
        <f>"RELOJOARIA E OTICA VIEIRA LTDA (1090)"</f>
        <v>RELOJOARIA E OTICA VIEIRA LTDA (1090)</v>
      </c>
      <c r="L1124" t="str">
        <f>""</f>
        <v/>
      </c>
      <c r="M1124" t="str">
        <f>""</f>
        <v/>
      </c>
      <c r="N1124" t="str">
        <f>"oticavieira@hotmail.com"</f>
        <v>oticavieira@hotmail.com</v>
      </c>
      <c r="O1124" t="str">
        <f>""</f>
        <v/>
      </c>
      <c r="P1124" t="str">
        <f>"RUA ALFREDO DEL PRIORI"</f>
        <v>RUA ALFREDO DEL PRIORI</v>
      </c>
      <c r="Q1124" t="str">
        <f>"37"</f>
        <v>37</v>
      </c>
      <c r="R1124" t="str">
        <f>""</f>
        <v/>
      </c>
      <c r="S1124" t="str">
        <f>"1269"</f>
        <v>1269</v>
      </c>
      <c r="T1124" t="str">
        <f>"88845000"</f>
        <v>88845000</v>
      </c>
      <c r="U1124" t="str">
        <f>"NAO INFORMADO"</f>
        <v>NAO INFORMADO</v>
      </c>
      <c r="V1124" t="str">
        <f>"COCAL DO SUL"</f>
        <v>COCAL DO SUL</v>
      </c>
      <c r="W1124" t="str">
        <f t="shared" si="565"/>
        <v>SC</v>
      </c>
      <c r="X1124" t="str">
        <f t="shared" si="566"/>
        <v>48</v>
      </c>
      <c r="Y1124" t="str">
        <f>"34476282"</f>
        <v>34476282</v>
      </c>
      <c r="Z1124" t="str">
        <f>""</f>
        <v/>
      </c>
      <c r="AA1124" t="str">
        <f>""</f>
        <v/>
      </c>
      <c r="AB1124" t="str">
        <f>""</f>
        <v/>
      </c>
      <c r="AC1124" t="str">
        <f>""</f>
        <v/>
      </c>
      <c r="AD1124" t="str">
        <f>""</f>
        <v/>
      </c>
      <c r="AE1124" t="str">
        <f>""</f>
        <v/>
      </c>
      <c r="AF1124" t="str">
        <f>""</f>
        <v/>
      </c>
      <c r="AG1124" t="str">
        <f>""</f>
        <v/>
      </c>
      <c r="AH1124" t="str">
        <f>""</f>
        <v/>
      </c>
      <c r="AI1124" t="str">
        <f>""</f>
        <v/>
      </c>
      <c r="AJ1124" t="str">
        <f t="shared" si="564"/>
        <v>0</v>
      </c>
      <c r="AK1124" t="str">
        <f t="shared" si="563"/>
        <v>0</v>
      </c>
      <c r="AL1124" t="str">
        <f t="shared" si="563"/>
        <v>0</v>
      </c>
      <c r="AM1124" t="str">
        <f>""</f>
        <v/>
      </c>
      <c r="AN1124" t="str">
        <f>""</f>
        <v/>
      </c>
      <c r="AO1124" t="str">
        <f>""</f>
        <v/>
      </c>
      <c r="AP1124" t="str">
        <f>""</f>
        <v/>
      </c>
      <c r="AQ1124" t="str">
        <f>""</f>
        <v/>
      </c>
      <c r="AR1124" t="str">
        <f>""</f>
        <v/>
      </c>
      <c r="AS1124" t="str">
        <f>""</f>
        <v/>
      </c>
      <c r="AT1124" t="str">
        <f>""</f>
        <v/>
      </c>
      <c r="AU1124" t="str">
        <f>""</f>
        <v/>
      </c>
      <c r="AV1124" t="str">
        <f>""</f>
        <v/>
      </c>
      <c r="AW1124" t="str">
        <f>""</f>
        <v/>
      </c>
      <c r="AX1124" t="str">
        <f>""</f>
        <v/>
      </c>
      <c r="AY1124" t="str">
        <f>""</f>
        <v/>
      </c>
      <c r="AZ1124" t="str">
        <f>""</f>
        <v/>
      </c>
      <c r="BA1124" t="str">
        <f>""</f>
        <v/>
      </c>
      <c r="BB1124" t="str">
        <f>"27/07/2018 09:25:32"</f>
        <v>27/07/2018 09:25:32</v>
      </c>
      <c r="BC1124" t="str">
        <f>""</f>
        <v/>
      </c>
      <c r="BD1124" t="str">
        <f>""</f>
        <v/>
      </c>
      <c r="BE1124" t="str">
        <f>"69"</f>
        <v>69</v>
      </c>
      <c r="BF1124" t="str">
        <f t="shared" si="548"/>
        <v>A</v>
      </c>
      <c r="BG1124" t="str">
        <f t="shared" si="561"/>
        <v>0,00</v>
      </c>
      <c r="BH1124" t="str">
        <f t="shared" si="561"/>
        <v>0,00</v>
      </c>
      <c r="BI1124" t="str">
        <f t="shared" si="567"/>
        <v>EVENTUAL</v>
      </c>
      <c r="BJ1124" t="str">
        <f t="shared" si="549"/>
        <v>1</v>
      </c>
      <c r="BK1124" t="str">
        <f t="shared" si="550"/>
        <v>Farmacia</v>
      </c>
      <c r="BL1124" t="str">
        <f>""</f>
        <v/>
      </c>
      <c r="BM1124" t="str">
        <f>"NÃO É VARILUX ESPECIALISTA"</f>
        <v>NÃO É VARILUX ESPECIALISTA</v>
      </c>
      <c r="BN1124" t="str">
        <f>"NA"</f>
        <v>NA</v>
      </c>
      <c r="BO1124" t="str">
        <f>"FOCO KODAK 2"</f>
        <v>FOCO KODAK 2</v>
      </c>
      <c r="BP1124" t="str">
        <f>""</f>
        <v/>
      </c>
      <c r="BQ1124" t="str">
        <f>""</f>
        <v/>
      </c>
      <c r="BR1124" t="str">
        <f>"27/07/2018"</f>
        <v>27/07/2018</v>
      </c>
      <c r="BS1124" t="str">
        <f>""</f>
        <v/>
      </c>
      <c r="BT1124" t="str">
        <f>""</f>
        <v/>
      </c>
      <c r="BU1124" t="str">
        <f>""</f>
        <v/>
      </c>
      <c r="BV1124" t="str">
        <f>"9"</f>
        <v>9</v>
      </c>
      <c r="BW1124" t="str">
        <f>"18"</f>
        <v>18</v>
      </c>
    </row>
    <row r="1125" spans="1:75" x14ac:dyDescent="0.35">
      <c r="A1125">
        <v>144527</v>
      </c>
      <c r="B1125" t="str">
        <f t="shared" si="545"/>
        <v>A</v>
      </c>
      <c r="C1125" t="str">
        <f t="shared" si="546"/>
        <v>80</v>
      </c>
      <c r="D1125" t="str">
        <f t="shared" si="535"/>
        <v>11121002</v>
      </c>
      <c r="E1125" t="str">
        <f t="shared" si="536"/>
        <v>121002</v>
      </c>
      <c r="F1125" t="str">
        <f t="shared" si="537"/>
        <v>CINTHIA NORONHA</v>
      </c>
      <c r="G1125" t="str">
        <f>"12227107000156"</f>
        <v>12227107000156</v>
      </c>
      <c r="H1125" t="str">
        <f>""</f>
        <v/>
      </c>
      <c r="I1125" t="str">
        <f t="shared" si="547"/>
        <v>CONTA OPTICA</v>
      </c>
      <c r="J1125" t="str">
        <f>"RELOJOARIA HIPOLITO LTDA ME"</f>
        <v>RELOJOARIA HIPOLITO LTDA ME</v>
      </c>
      <c r="K1125" t="str">
        <f>"RELOJOARIA SAO JOAO (1805)"</f>
        <v>RELOJOARIA SAO JOAO (1805)</v>
      </c>
      <c r="L1125" t="str">
        <f>""</f>
        <v/>
      </c>
      <c r="M1125" t="str">
        <f>""</f>
        <v/>
      </c>
      <c r="N1125" t="str">
        <f>"relojoariasaojoao@gmail.com"</f>
        <v>relojoariasaojoao@gmail.com</v>
      </c>
      <c r="O1125" t="str">
        <f>""</f>
        <v/>
      </c>
      <c r="P1125" t="str">
        <f>"RUA R. ERNANI COTRIN"</f>
        <v>RUA R. ERNANI COTRIN</v>
      </c>
      <c r="Q1125" t="str">
        <f>"58"</f>
        <v>58</v>
      </c>
      <c r="R1125" t="str">
        <f>""</f>
        <v/>
      </c>
      <c r="S1125" t="str">
        <f>"1268"</f>
        <v>1268</v>
      </c>
      <c r="T1125" t="str">
        <f>"88780000"</f>
        <v>88780000</v>
      </c>
      <c r="U1125" t="str">
        <f>"CENTRO"</f>
        <v>CENTRO</v>
      </c>
      <c r="V1125" t="str">
        <f>"IMBITUBA"</f>
        <v>IMBITUBA</v>
      </c>
      <c r="W1125" t="str">
        <f t="shared" si="565"/>
        <v>SC</v>
      </c>
      <c r="X1125" t="str">
        <f t="shared" si="566"/>
        <v>48</v>
      </c>
      <c r="Y1125" t="str">
        <f>"32550562"</f>
        <v>32550562</v>
      </c>
      <c r="Z1125" t="str">
        <f>""</f>
        <v/>
      </c>
      <c r="AA1125" t="str">
        <f>""</f>
        <v/>
      </c>
      <c r="AB1125" t="str">
        <f>""</f>
        <v/>
      </c>
      <c r="AC1125" t="str">
        <f>""</f>
        <v/>
      </c>
      <c r="AD1125" t="str">
        <f>""</f>
        <v/>
      </c>
      <c r="AE1125" t="str">
        <f>""</f>
        <v/>
      </c>
      <c r="AF1125" t="str">
        <f>""</f>
        <v/>
      </c>
      <c r="AG1125" t="str">
        <f>""</f>
        <v/>
      </c>
      <c r="AH1125" t="str">
        <f>""</f>
        <v/>
      </c>
      <c r="AI1125" t="str">
        <f>""</f>
        <v/>
      </c>
      <c r="AJ1125" t="str">
        <f t="shared" si="564"/>
        <v>0</v>
      </c>
      <c r="AK1125" t="str">
        <f t="shared" si="563"/>
        <v>0</v>
      </c>
      <c r="AL1125" t="str">
        <f t="shared" si="563"/>
        <v>0</v>
      </c>
      <c r="AM1125" t="str">
        <f>""</f>
        <v/>
      </c>
      <c r="AN1125" t="str">
        <f>""</f>
        <v/>
      </c>
      <c r="AO1125" t="str">
        <f>""</f>
        <v/>
      </c>
      <c r="AP1125" t="str">
        <f>""</f>
        <v/>
      </c>
      <c r="AQ1125" t="str">
        <f>""</f>
        <v/>
      </c>
      <c r="AR1125" t="str">
        <f>""</f>
        <v/>
      </c>
      <c r="AS1125" t="str">
        <f>""</f>
        <v/>
      </c>
      <c r="AT1125" t="str">
        <f>""</f>
        <v/>
      </c>
      <c r="AU1125" t="str">
        <f>""</f>
        <v/>
      </c>
      <c r="AV1125" t="str">
        <f>""</f>
        <v/>
      </c>
      <c r="AW1125" t="str">
        <f>""</f>
        <v/>
      </c>
      <c r="AX1125" t="str">
        <f>""</f>
        <v/>
      </c>
      <c r="AY1125" t="str">
        <f>""</f>
        <v/>
      </c>
      <c r="AZ1125" t="str">
        <f>""</f>
        <v/>
      </c>
      <c r="BA1125" t="str">
        <f>""</f>
        <v/>
      </c>
      <c r="BB1125" t="str">
        <f>""</f>
        <v/>
      </c>
      <c r="BC1125" t="str">
        <f>""</f>
        <v/>
      </c>
      <c r="BD1125" t="str">
        <f>""</f>
        <v/>
      </c>
      <c r="BE1125" t="str">
        <f>""</f>
        <v/>
      </c>
      <c r="BF1125" t="str">
        <f t="shared" si="548"/>
        <v>A</v>
      </c>
      <c r="BG1125" t="str">
        <f t="shared" si="561"/>
        <v>0,00</v>
      </c>
      <c r="BH1125" t="str">
        <f t="shared" si="561"/>
        <v>0,00</v>
      </c>
      <c r="BI1125" t="str">
        <f t="shared" si="567"/>
        <v>EVENTUAL</v>
      </c>
      <c r="BJ1125" t="str">
        <f t="shared" si="549"/>
        <v>1</v>
      </c>
      <c r="BK1125" t="str">
        <f t="shared" si="550"/>
        <v>Farmacia</v>
      </c>
      <c r="BL1125" t="str">
        <f>""</f>
        <v/>
      </c>
      <c r="BM1125" t="str">
        <f>"NÃO É VARILUX ESPECIALISTA"</f>
        <v>NÃO É VARILUX ESPECIALISTA</v>
      </c>
      <c r="BN1125" t="str">
        <f>"NA"</f>
        <v>NA</v>
      </c>
      <c r="BO1125" t="str">
        <f>"FOCO KODAK 2"</f>
        <v>FOCO KODAK 2</v>
      </c>
      <c r="BP1125" t="str">
        <f>""</f>
        <v/>
      </c>
      <c r="BQ1125" t="str">
        <f>""</f>
        <v/>
      </c>
      <c r="BR1125" t="str">
        <f>""</f>
        <v/>
      </c>
      <c r="BS1125" t="str">
        <f>""</f>
        <v/>
      </c>
      <c r="BT1125" t="str">
        <f>""</f>
        <v/>
      </c>
      <c r="BU1125" t="str">
        <f>""</f>
        <v/>
      </c>
      <c r="BV1125" t="str">
        <f>"9"</f>
        <v>9</v>
      </c>
      <c r="BW1125" t="str">
        <f>"1"</f>
        <v>1</v>
      </c>
    </row>
    <row r="1126" spans="1:75" x14ac:dyDescent="0.35">
      <c r="A1126">
        <v>156964</v>
      </c>
      <c r="B1126" t="str">
        <f t="shared" si="545"/>
        <v>A</v>
      </c>
      <c r="C1126" t="str">
        <f t="shared" si="546"/>
        <v>80</v>
      </c>
      <c r="D1126" t="str">
        <f t="shared" si="535"/>
        <v>11121002</v>
      </c>
      <c r="E1126" t="str">
        <f t="shared" si="536"/>
        <v>121002</v>
      </c>
      <c r="F1126" t="str">
        <f t="shared" si="537"/>
        <v>CINTHIA NORONHA</v>
      </c>
      <c r="G1126" t="str">
        <f>"73306748000190"</f>
        <v>73306748000190</v>
      </c>
      <c r="H1126" t="str">
        <f>"0"</f>
        <v>0</v>
      </c>
      <c r="I1126" t="str">
        <f t="shared" si="547"/>
        <v>CONTA OPTICA</v>
      </c>
      <c r="J1126" t="str">
        <f>"RELOJOARIA MAK"</f>
        <v>RELOJOARIA MAK</v>
      </c>
      <c r="K1126" t="str">
        <f>"RELOJOARIA MAK (1181)"</f>
        <v>RELOJOARIA MAK (1181)</v>
      </c>
      <c r="L1126" t="str">
        <f>""</f>
        <v/>
      </c>
      <c r="M1126" t="str">
        <f>""</f>
        <v/>
      </c>
      <c r="N1126" t="str">
        <f>"MARQUINHOS109@IBEST.COM.BR"</f>
        <v>MARQUINHOS109@IBEST.COM.BR</v>
      </c>
      <c r="O1126" t="str">
        <f>""</f>
        <v/>
      </c>
      <c r="P1126" t="str">
        <f>"RUA FELIPE SCHMIDT"</f>
        <v>RUA FELIPE SCHMIDT</v>
      </c>
      <c r="Q1126" t="str">
        <f>"51"</f>
        <v>51</v>
      </c>
      <c r="R1126" t="str">
        <f>"SALA 109"</f>
        <v>SALA 109</v>
      </c>
      <c r="S1126" t="str">
        <f>"1254"</f>
        <v>1254</v>
      </c>
      <c r="T1126" t="str">
        <f>"88010000"</f>
        <v>88010000</v>
      </c>
      <c r="U1126" t="str">
        <f>"CENTRO"</f>
        <v>CENTRO</v>
      </c>
      <c r="V1126" t="str">
        <f>"FLORIANOPOLIS"</f>
        <v>FLORIANOPOLIS</v>
      </c>
      <c r="W1126" t="str">
        <f t="shared" si="565"/>
        <v>SC</v>
      </c>
      <c r="X1126" t="str">
        <f t="shared" si="566"/>
        <v>48</v>
      </c>
      <c r="Y1126" t="str">
        <f>"32245160"</f>
        <v>32245160</v>
      </c>
      <c r="Z1126" t="str">
        <f>""</f>
        <v/>
      </c>
      <c r="AA1126" t="str">
        <f>""</f>
        <v/>
      </c>
      <c r="AB1126" t="str">
        <f>""</f>
        <v/>
      </c>
      <c r="AC1126" t="str">
        <f>""</f>
        <v/>
      </c>
      <c r="AD1126" t="str">
        <f>""</f>
        <v/>
      </c>
      <c r="AE1126" t="str">
        <f>""</f>
        <v/>
      </c>
      <c r="AF1126" t="str">
        <f>""</f>
        <v/>
      </c>
      <c r="AG1126" t="str">
        <f>""</f>
        <v/>
      </c>
      <c r="AH1126" t="str">
        <f>""</f>
        <v/>
      </c>
      <c r="AI1126" t="str">
        <f>""</f>
        <v/>
      </c>
      <c r="AJ1126" t="str">
        <f>""</f>
        <v/>
      </c>
      <c r="AK1126" t="str">
        <f>""</f>
        <v/>
      </c>
      <c r="AL1126" t="str">
        <f>""</f>
        <v/>
      </c>
      <c r="AM1126" t="str">
        <f>""</f>
        <v/>
      </c>
      <c r="AN1126" t="str">
        <f>""</f>
        <v/>
      </c>
      <c r="AO1126" t="str">
        <f>""</f>
        <v/>
      </c>
      <c r="AP1126" t="str">
        <f>""</f>
        <v/>
      </c>
      <c r="AQ1126" t="str">
        <f>""</f>
        <v/>
      </c>
      <c r="AR1126" t="str">
        <f>""</f>
        <v/>
      </c>
      <c r="AS1126" t="str">
        <f>""</f>
        <v/>
      </c>
      <c r="AT1126" t="str">
        <f>""</f>
        <v/>
      </c>
      <c r="AU1126" t="str">
        <f>""</f>
        <v/>
      </c>
      <c r="AV1126" t="str">
        <f>""</f>
        <v/>
      </c>
      <c r="AW1126" t="str">
        <f>""</f>
        <v/>
      </c>
      <c r="AX1126" t="str">
        <f>""</f>
        <v/>
      </c>
      <c r="AY1126" t="str">
        <f>""</f>
        <v/>
      </c>
      <c r="AZ1126" t="str">
        <f>""</f>
        <v/>
      </c>
      <c r="BA1126" t="str">
        <f>""</f>
        <v/>
      </c>
      <c r="BB1126" t="str">
        <f>"06/07/2023 12:07:48"</f>
        <v>06/07/2023 12:07:48</v>
      </c>
      <c r="BC1126" t="str">
        <f>""</f>
        <v/>
      </c>
      <c r="BD1126" t="str">
        <f>""</f>
        <v/>
      </c>
      <c r="BE1126" t="str">
        <f>""</f>
        <v/>
      </c>
      <c r="BF1126" t="str">
        <f t="shared" si="548"/>
        <v>A</v>
      </c>
      <c r="BG1126" t="str">
        <f>""</f>
        <v/>
      </c>
      <c r="BH1126" t="str">
        <f>""</f>
        <v/>
      </c>
      <c r="BI1126" t="str">
        <f t="shared" si="567"/>
        <v>EVENTUAL</v>
      </c>
      <c r="BJ1126" t="str">
        <f t="shared" si="549"/>
        <v>1</v>
      </c>
      <c r="BK1126" t="str">
        <f t="shared" si="550"/>
        <v>Farmacia</v>
      </c>
      <c r="BL1126" t="str">
        <f>""</f>
        <v/>
      </c>
      <c r="BM1126" t="str">
        <f>""</f>
        <v/>
      </c>
      <c r="BN1126" t="str">
        <f>""</f>
        <v/>
      </c>
      <c r="BO1126" t="str">
        <f>""</f>
        <v/>
      </c>
      <c r="BP1126" t="str">
        <f>""</f>
        <v/>
      </c>
      <c r="BQ1126" t="str">
        <f>""</f>
        <v/>
      </c>
      <c r="BR1126" t="str">
        <f>"06/07/2023"</f>
        <v>06/07/2023</v>
      </c>
      <c r="BS1126" t="str">
        <f>""</f>
        <v/>
      </c>
      <c r="BT1126" t="str">
        <f>""</f>
        <v/>
      </c>
      <c r="BU1126" t="str">
        <f>""</f>
        <v/>
      </c>
      <c r="BV1126" t="str">
        <f>""</f>
        <v/>
      </c>
      <c r="BW1126" t="str">
        <f>"Não visitado"</f>
        <v>Não visitado</v>
      </c>
    </row>
    <row r="1127" spans="1:75" x14ac:dyDescent="0.35">
      <c r="A1127">
        <v>144385</v>
      </c>
      <c r="B1127" t="str">
        <f t="shared" si="545"/>
        <v>A</v>
      </c>
      <c r="C1127" t="str">
        <f t="shared" si="546"/>
        <v>80</v>
      </c>
      <c r="D1127" t="str">
        <f t="shared" si="535"/>
        <v>11121002</v>
      </c>
      <c r="E1127" t="str">
        <f t="shared" si="536"/>
        <v>121002</v>
      </c>
      <c r="F1127" t="str">
        <f t="shared" si="537"/>
        <v>CINTHIA NORONHA</v>
      </c>
      <c r="G1127" t="str">
        <f>"81843179000140"</f>
        <v>81843179000140</v>
      </c>
      <c r="H1127" t="str">
        <f>""</f>
        <v/>
      </c>
      <c r="I1127" t="str">
        <f t="shared" si="547"/>
        <v>CONTA OPTICA</v>
      </c>
      <c r="J1127" t="str">
        <f>"RELOJOARIA SILVA LTDA ME"</f>
        <v>RELOJOARIA SILVA LTDA ME</v>
      </c>
      <c r="K1127" t="str">
        <f>"RELOJOARIA SILVA LTDA ME (938)"</f>
        <v>RELOJOARIA SILVA LTDA ME (938)</v>
      </c>
      <c r="L1127" t="str">
        <f>""</f>
        <v/>
      </c>
      <c r="M1127" t="str">
        <f>""</f>
        <v/>
      </c>
      <c r="N1127" t="str">
        <f>"relojoariaeoticasilva@hotmail.com"</f>
        <v>relojoariaeoticasilva@hotmail.com</v>
      </c>
      <c r="O1127" t="str">
        <f>""</f>
        <v/>
      </c>
      <c r="P1127" t="str">
        <f>"PRACA PADRE ROHER"</f>
        <v>PRACA PADRE ROHER</v>
      </c>
      <c r="Q1127" t="str">
        <f>"23"</f>
        <v>23</v>
      </c>
      <c r="R1127" t="str">
        <f>""</f>
        <v/>
      </c>
      <c r="S1127" t="str">
        <f>"1268"</f>
        <v>1268</v>
      </c>
      <c r="T1127" t="str">
        <f>"88750000"</f>
        <v>88750000</v>
      </c>
      <c r="U1127" t="str">
        <f>"NAO INFORMADO"</f>
        <v>NAO INFORMADO</v>
      </c>
      <c r="V1127" t="str">
        <f>"BRAÇO DO NORTE"</f>
        <v>BRAÇO DO NORTE</v>
      </c>
      <c r="W1127" t="str">
        <f t="shared" si="565"/>
        <v>SC</v>
      </c>
      <c r="X1127" t="str">
        <f t="shared" si="566"/>
        <v>48</v>
      </c>
      <c r="Y1127" t="str">
        <f>"36583021"</f>
        <v>36583021</v>
      </c>
      <c r="Z1127" t="str">
        <f>""</f>
        <v/>
      </c>
      <c r="AA1127" t="str">
        <f>""</f>
        <v/>
      </c>
      <c r="AB1127" t="str">
        <f>""</f>
        <v/>
      </c>
      <c r="AC1127" t="str">
        <f>""</f>
        <v/>
      </c>
      <c r="AD1127" t="str">
        <f>""</f>
        <v/>
      </c>
      <c r="AE1127" t="str">
        <f>""</f>
        <v/>
      </c>
      <c r="AF1127" t="str">
        <f>""</f>
        <v/>
      </c>
      <c r="AG1127" t="str">
        <f>""</f>
        <v/>
      </c>
      <c r="AH1127" t="str">
        <f>""</f>
        <v/>
      </c>
      <c r="AI1127" t="str">
        <f>""</f>
        <v/>
      </c>
      <c r="AJ1127" t="str">
        <f t="shared" ref="AJ1127:AL1129" si="568">"0"</f>
        <v>0</v>
      </c>
      <c r="AK1127" t="str">
        <f t="shared" si="568"/>
        <v>0</v>
      </c>
      <c r="AL1127" t="str">
        <f t="shared" si="568"/>
        <v>0</v>
      </c>
      <c r="AM1127" t="str">
        <f>""</f>
        <v/>
      </c>
      <c r="AN1127" t="str">
        <f>""</f>
        <v/>
      </c>
      <c r="AO1127" t="str">
        <f>""</f>
        <v/>
      </c>
      <c r="AP1127" t="str">
        <f>""</f>
        <v/>
      </c>
      <c r="AQ1127" t="str">
        <f>""</f>
        <v/>
      </c>
      <c r="AR1127" t="str">
        <f>""</f>
        <v/>
      </c>
      <c r="AS1127" t="str">
        <f>""</f>
        <v/>
      </c>
      <c r="AT1127" t="str">
        <f>""</f>
        <v/>
      </c>
      <c r="AU1127" t="str">
        <f>""</f>
        <v/>
      </c>
      <c r="AV1127" t="str">
        <f>""</f>
        <v/>
      </c>
      <c r="AW1127" t="str">
        <f>""</f>
        <v/>
      </c>
      <c r="AX1127" t="str">
        <f>""</f>
        <v/>
      </c>
      <c r="AY1127" t="str">
        <f>""</f>
        <v/>
      </c>
      <c r="AZ1127" t="str">
        <f>""</f>
        <v/>
      </c>
      <c r="BA1127" t="str">
        <f>""</f>
        <v/>
      </c>
      <c r="BB1127" t="str">
        <f>""</f>
        <v/>
      </c>
      <c r="BC1127" t="str">
        <f>""</f>
        <v/>
      </c>
      <c r="BD1127" t="str">
        <f>""</f>
        <v/>
      </c>
      <c r="BE1127" t="str">
        <f>""</f>
        <v/>
      </c>
      <c r="BF1127" t="str">
        <f t="shared" si="548"/>
        <v>A</v>
      </c>
      <c r="BG1127" t="str">
        <f t="shared" ref="BG1127:BH1129" si="569">"0,00"</f>
        <v>0,00</v>
      </c>
      <c r="BH1127" t="str">
        <f t="shared" si="569"/>
        <v>0,00</v>
      </c>
      <c r="BI1127" t="str">
        <f t="shared" si="567"/>
        <v>EVENTUAL</v>
      </c>
      <c r="BJ1127" t="str">
        <f t="shared" si="549"/>
        <v>1</v>
      </c>
      <c r="BK1127" t="str">
        <f t="shared" si="550"/>
        <v>Farmacia</v>
      </c>
      <c r="BL1127" t="str">
        <f>""</f>
        <v/>
      </c>
      <c r="BM1127" t="str">
        <f>"NÃO É VARILUX ESPECIALISTA"</f>
        <v>NÃO É VARILUX ESPECIALISTA</v>
      </c>
      <c r="BN1127" t="str">
        <f>"NA"</f>
        <v>NA</v>
      </c>
      <c r="BO1127" t="str">
        <f>"FOCO KODAK 2"</f>
        <v>FOCO KODAK 2</v>
      </c>
      <c r="BP1127" t="str">
        <f>""</f>
        <v/>
      </c>
      <c r="BQ1127" t="str">
        <f>""</f>
        <v/>
      </c>
      <c r="BR1127" t="str">
        <f>""</f>
        <v/>
      </c>
      <c r="BS1127" t="str">
        <f>""</f>
        <v/>
      </c>
      <c r="BT1127" t="str">
        <f>""</f>
        <v/>
      </c>
      <c r="BU1127" t="str">
        <f>""</f>
        <v/>
      </c>
      <c r="BV1127" t="str">
        <f>"9"</f>
        <v>9</v>
      </c>
      <c r="BW1127" t="str">
        <f>"Não visitado"</f>
        <v>Não visitado</v>
      </c>
    </row>
    <row r="1128" spans="1:75" x14ac:dyDescent="0.35">
      <c r="A1128">
        <v>118678</v>
      </c>
      <c r="B1128" t="str">
        <f t="shared" si="545"/>
        <v>A</v>
      </c>
      <c r="C1128" t="str">
        <f t="shared" si="546"/>
        <v>80</v>
      </c>
      <c r="D1128" t="str">
        <f t="shared" si="535"/>
        <v>11121002</v>
      </c>
      <c r="E1128" t="str">
        <f t="shared" si="536"/>
        <v>121002</v>
      </c>
      <c r="F1128" t="str">
        <f t="shared" si="537"/>
        <v>CINTHIA NORONHA</v>
      </c>
      <c r="G1128" t="str">
        <f>"01176860000143"</f>
        <v>01176860000143</v>
      </c>
      <c r="H1128" t="str">
        <f>""</f>
        <v/>
      </c>
      <c r="I1128" t="str">
        <f t="shared" si="547"/>
        <v>CONTA OPTICA</v>
      </c>
      <c r="J1128" t="str">
        <f>"RELOJOARIA VOLPATO LTDA ME"</f>
        <v>RELOJOARIA VOLPATO LTDA ME</v>
      </c>
      <c r="K1128" t="str">
        <f>"RELOJOARIA VOLPATO LTDA ME (55)"</f>
        <v>RELOJOARIA VOLPATO LTDA ME (55)</v>
      </c>
      <c r="L1128" t="str">
        <f>""</f>
        <v/>
      </c>
      <c r="M1128" t="str">
        <f>""</f>
        <v/>
      </c>
      <c r="N1128" t="str">
        <f>"oticavolpato@hotmail.com"</f>
        <v>oticavolpato@hotmail.com</v>
      </c>
      <c r="O1128" t="str">
        <f>""</f>
        <v/>
      </c>
      <c r="P1128" t="str">
        <f>"RUA PADRE ROHER"</f>
        <v>RUA PADRE ROHER</v>
      </c>
      <c r="Q1128" t="str">
        <f>"134"</f>
        <v>134</v>
      </c>
      <c r="R1128" t="str">
        <f>""</f>
        <v/>
      </c>
      <c r="S1128" t="str">
        <f>"1268"</f>
        <v>1268</v>
      </c>
      <c r="T1128" t="str">
        <f>"88730000"</f>
        <v>88730000</v>
      </c>
      <c r="U1128" t="str">
        <f>"CENTRO"</f>
        <v>CENTRO</v>
      </c>
      <c r="V1128" t="str">
        <f>"SÃO LUDGERO"</f>
        <v>SÃO LUDGERO</v>
      </c>
      <c r="W1128" t="str">
        <f t="shared" si="565"/>
        <v>SC</v>
      </c>
      <c r="X1128" t="str">
        <f t="shared" si="566"/>
        <v>48</v>
      </c>
      <c r="Y1128" t="str">
        <f>"36571909"</f>
        <v>36571909</v>
      </c>
      <c r="Z1128" t="str">
        <f>""</f>
        <v/>
      </c>
      <c r="AA1128" t="str">
        <f>""</f>
        <v/>
      </c>
      <c r="AB1128" t="str">
        <f>""</f>
        <v/>
      </c>
      <c r="AC1128" t="str">
        <f>""</f>
        <v/>
      </c>
      <c r="AD1128" t="str">
        <f>""</f>
        <v/>
      </c>
      <c r="AE1128" t="str">
        <f>""</f>
        <v/>
      </c>
      <c r="AF1128" t="str">
        <f>""</f>
        <v/>
      </c>
      <c r="AG1128" t="str">
        <f>""</f>
        <v/>
      </c>
      <c r="AH1128" t="str">
        <f>""</f>
        <v/>
      </c>
      <c r="AI1128" t="str">
        <f>""</f>
        <v/>
      </c>
      <c r="AJ1128" t="str">
        <f t="shared" si="568"/>
        <v>0</v>
      </c>
      <c r="AK1128" t="str">
        <f t="shared" si="568"/>
        <v>0</v>
      </c>
      <c r="AL1128" t="str">
        <f t="shared" si="568"/>
        <v>0</v>
      </c>
      <c r="AM1128" t="str">
        <f>""</f>
        <v/>
      </c>
      <c r="AN1128" t="str">
        <f>""</f>
        <v/>
      </c>
      <c r="AO1128" t="str">
        <f>""</f>
        <v/>
      </c>
      <c r="AP1128" t="str">
        <f>""</f>
        <v/>
      </c>
      <c r="AQ1128" t="str">
        <f>""</f>
        <v/>
      </c>
      <c r="AR1128" t="str">
        <f>""</f>
        <v/>
      </c>
      <c r="AS1128" t="str">
        <f>""</f>
        <v/>
      </c>
      <c r="AT1128" t="str">
        <f>""</f>
        <v/>
      </c>
      <c r="AU1128" t="str">
        <f>""</f>
        <v/>
      </c>
      <c r="AV1128" t="str">
        <f>""</f>
        <v/>
      </c>
      <c r="AW1128" t="str">
        <f>""</f>
        <v/>
      </c>
      <c r="AX1128" t="str">
        <f>""</f>
        <v/>
      </c>
      <c r="AY1128" t="str">
        <f>""</f>
        <v/>
      </c>
      <c r="AZ1128" t="str">
        <f>""</f>
        <v/>
      </c>
      <c r="BA1128" t="str">
        <f>""</f>
        <v/>
      </c>
      <c r="BB1128" t="str">
        <f>""</f>
        <v/>
      </c>
      <c r="BC1128" t="str">
        <f>""</f>
        <v/>
      </c>
      <c r="BD1128" t="str">
        <f>""</f>
        <v/>
      </c>
      <c r="BE1128" t="str">
        <f>""</f>
        <v/>
      </c>
      <c r="BF1128" t="str">
        <f t="shared" si="548"/>
        <v>A</v>
      </c>
      <c r="BG1128" t="str">
        <f t="shared" si="569"/>
        <v>0,00</v>
      </c>
      <c r="BH1128" t="str">
        <f t="shared" si="569"/>
        <v>0,00</v>
      </c>
      <c r="BI1128" t="str">
        <f t="shared" si="567"/>
        <v>EVENTUAL</v>
      </c>
      <c r="BJ1128" t="str">
        <f t="shared" si="549"/>
        <v>1</v>
      </c>
      <c r="BK1128" t="str">
        <f t="shared" si="550"/>
        <v>Farmacia</v>
      </c>
      <c r="BL1128" t="str">
        <f>""</f>
        <v/>
      </c>
      <c r="BM1128" t="str">
        <f>"NÃO É VARILUX ESPECIALISTA"</f>
        <v>NÃO É VARILUX ESPECIALISTA</v>
      </c>
      <c r="BN1128" t="str">
        <f>"NA"</f>
        <v>NA</v>
      </c>
      <c r="BO1128" t="str">
        <f>"FOCO VARILUX"</f>
        <v>FOCO VARILUX</v>
      </c>
      <c r="BP1128" t="str">
        <f>""</f>
        <v/>
      </c>
      <c r="BQ1128" t="str">
        <f>""</f>
        <v/>
      </c>
      <c r="BR1128" t="str">
        <f>""</f>
        <v/>
      </c>
      <c r="BS1128" t="str">
        <f>""</f>
        <v/>
      </c>
      <c r="BT1128" t="str">
        <f>""</f>
        <v/>
      </c>
      <c r="BU1128" t="str">
        <f>""</f>
        <v/>
      </c>
      <c r="BV1128" t="str">
        <f>"9"</f>
        <v>9</v>
      </c>
      <c r="BW1128" t="str">
        <f>"128"</f>
        <v>128</v>
      </c>
    </row>
    <row r="1129" spans="1:75" x14ac:dyDescent="0.35">
      <c r="A1129">
        <v>144354</v>
      </c>
      <c r="B1129" t="str">
        <f t="shared" si="545"/>
        <v>A</v>
      </c>
      <c r="C1129" t="str">
        <f t="shared" si="546"/>
        <v>80</v>
      </c>
      <c r="D1129" t="str">
        <f t="shared" si="535"/>
        <v>11121002</v>
      </c>
      <c r="E1129" t="str">
        <f t="shared" si="536"/>
        <v>121002</v>
      </c>
      <c r="F1129" t="str">
        <f t="shared" si="537"/>
        <v>CINTHIA NORONHA</v>
      </c>
      <c r="G1129" t="str">
        <f>"26698331000130"</f>
        <v>26698331000130</v>
      </c>
      <c r="H1129" t="str">
        <f>""</f>
        <v/>
      </c>
      <c r="I1129" t="str">
        <f t="shared" si="547"/>
        <v>CONTA OPTICA</v>
      </c>
      <c r="J1129" t="str">
        <f>"RENATA NEVES DA SILVA ABEL"</f>
        <v>RENATA NEVES DA SILVA ABEL</v>
      </c>
      <c r="K1129" t="str">
        <f>"OTICA ABEL (3872)"</f>
        <v>OTICA ABEL (3872)</v>
      </c>
      <c r="L1129" t="str">
        <f>""</f>
        <v/>
      </c>
      <c r="M1129" t="str">
        <f>""</f>
        <v/>
      </c>
      <c r="N1129" t="str">
        <f>"oticaabel@gmail.com"</f>
        <v>oticaabel@gmail.com</v>
      </c>
      <c r="O1129" t="str">
        <f>""</f>
        <v/>
      </c>
      <c r="P1129" t="str">
        <f>"RUA MAMPITUBA"</f>
        <v>RUA MAMPITUBA</v>
      </c>
      <c r="Q1129" t="str">
        <f>"158"</f>
        <v>158</v>
      </c>
      <c r="R1129" t="str">
        <f>"SL 02"</f>
        <v>SL 02</v>
      </c>
      <c r="S1129" t="str">
        <f>"1270"</f>
        <v>1270</v>
      </c>
      <c r="T1129" t="str">
        <f>"88980000"</f>
        <v>88980000</v>
      </c>
      <c r="U1129" t="str">
        <f>"CENTRO"</f>
        <v>CENTRO</v>
      </c>
      <c r="V1129" t="str">
        <f>"PASSO DE TORRES"</f>
        <v>PASSO DE TORRES</v>
      </c>
      <c r="W1129" t="str">
        <f t="shared" si="565"/>
        <v>SC</v>
      </c>
      <c r="X1129" t="str">
        <f>"51"</f>
        <v>51</v>
      </c>
      <c r="Y1129" t="str">
        <f>"92557903"</f>
        <v>92557903</v>
      </c>
      <c r="Z1129" t="str">
        <f>""</f>
        <v/>
      </c>
      <c r="AA1129" t="str">
        <f>""</f>
        <v/>
      </c>
      <c r="AB1129" t="str">
        <f>""</f>
        <v/>
      </c>
      <c r="AC1129" t="str">
        <f>""</f>
        <v/>
      </c>
      <c r="AD1129" t="str">
        <f>""</f>
        <v/>
      </c>
      <c r="AE1129" t="str">
        <f>""</f>
        <v/>
      </c>
      <c r="AF1129" t="str">
        <f>""</f>
        <v/>
      </c>
      <c r="AG1129" t="str">
        <f>""</f>
        <v/>
      </c>
      <c r="AH1129" t="str">
        <f>""</f>
        <v/>
      </c>
      <c r="AI1129" t="str">
        <f>""</f>
        <v/>
      </c>
      <c r="AJ1129" t="str">
        <f t="shared" si="568"/>
        <v>0</v>
      </c>
      <c r="AK1129" t="str">
        <f t="shared" si="568"/>
        <v>0</v>
      </c>
      <c r="AL1129" t="str">
        <f t="shared" si="568"/>
        <v>0</v>
      </c>
      <c r="AM1129" t="str">
        <f>""</f>
        <v/>
      </c>
      <c r="AN1129" t="str">
        <f>""</f>
        <v/>
      </c>
      <c r="AO1129" t="str">
        <f>""</f>
        <v/>
      </c>
      <c r="AP1129" t="str">
        <f>""</f>
        <v/>
      </c>
      <c r="AQ1129" t="str">
        <f>""</f>
        <v/>
      </c>
      <c r="AR1129" t="str">
        <f>""</f>
        <v/>
      </c>
      <c r="AS1129" t="str">
        <f>""</f>
        <v/>
      </c>
      <c r="AT1129" t="str">
        <f>""</f>
        <v/>
      </c>
      <c r="AU1129" t="str">
        <f>""</f>
        <v/>
      </c>
      <c r="AV1129" t="str">
        <f>""</f>
        <v/>
      </c>
      <c r="AW1129" t="str">
        <f>""</f>
        <v/>
      </c>
      <c r="AX1129" t="str">
        <f>""</f>
        <v/>
      </c>
      <c r="AY1129" t="str">
        <f>""</f>
        <v/>
      </c>
      <c r="AZ1129" t="str">
        <f>""</f>
        <v/>
      </c>
      <c r="BA1129" t="str">
        <f>""</f>
        <v/>
      </c>
      <c r="BB1129" t="str">
        <f>""</f>
        <v/>
      </c>
      <c r="BC1129" t="str">
        <f>""</f>
        <v/>
      </c>
      <c r="BD1129" t="str">
        <f>""</f>
        <v/>
      </c>
      <c r="BE1129" t="str">
        <f>""</f>
        <v/>
      </c>
      <c r="BF1129" t="str">
        <f t="shared" si="548"/>
        <v>A</v>
      </c>
      <c r="BG1129" t="str">
        <f t="shared" si="569"/>
        <v>0,00</v>
      </c>
      <c r="BH1129" t="str">
        <f t="shared" si="569"/>
        <v>0,00</v>
      </c>
      <c r="BI1129" t="str">
        <f t="shared" si="567"/>
        <v>EVENTUAL</v>
      </c>
      <c r="BJ1129" t="str">
        <f t="shared" si="549"/>
        <v>1</v>
      </c>
      <c r="BK1129" t="str">
        <f t="shared" si="550"/>
        <v>Farmacia</v>
      </c>
      <c r="BL1129" t="str">
        <f>""</f>
        <v/>
      </c>
      <c r="BM1129" t="str">
        <f>"NÃO É VARILUX ESPECIALISTA"</f>
        <v>NÃO É VARILUX ESPECIALISTA</v>
      </c>
      <c r="BN1129" t="str">
        <f>"NA"</f>
        <v>NA</v>
      </c>
      <c r="BO1129" t="str">
        <f>"OUTROS"</f>
        <v>OUTROS</v>
      </c>
      <c r="BP1129" t="str">
        <f>""</f>
        <v/>
      </c>
      <c r="BQ1129" t="str">
        <f>""</f>
        <v/>
      </c>
      <c r="BR1129" t="str">
        <f>""</f>
        <v/>
      </c>
      <c r="BS1129" t="str">
        <f>""</f>
        <v/>
      </c>
      <c r="BT1129" t="str">
        <f>""</f>
        <v/>
      </c>
      <c r="BU1129" t="str">
        <f>""</f>
        <v/>
      </c>
      <c r="BV1129" t="str">
        <f>"9"</f>
        <v>9</v>
      </c>
      <c r="BW1129" t="str">
        <f>"87"</f>
        <v>87</v>
      </c>
    </row>
    <row r="1130" spans="1:75" x14ac:dyDescent="0.35">
      <c r="A1130">
        <v>156917</v>
      </c>
      <c r="B1130" t="str">
        <f t="shared" si="545"/>
        <v>A</v>
      </c>
      <c r="C1130" t="str">
        <f t="shared" si="546"/>
        <v>80</v>
      </c>
      <c r="D1130" t="str">
        <f t="shared" si="535"/>
        <v>11121002</v>
      </c>
      <c r="E1130" t="str">
        <f t="shared" si="536"/>
        <v>121002</v>
      </c>
      <c r="F1130" t="str">
        <f t="shared" si="537"/>
        <v>CINTHIA NORONHA</v>
      </c>
      <c r="G1130" t="str">
        <f>"45298470000111"</f>
        <v>45298470000111</v>
      </c>
      <c r="H1130" t="str">
        <f>"0"</f>
        <v>0</v>
      </c>
      <c r="I1130" t="str">
        <f t="shared" si="547"/>
        <v>CONTA OPTICA</v>
      </c>
      <c r="J1130" t="str">
        <f>"RF JOALHERIA E OTICA LTDA"</f>
        <v>RF JOALHERIA E OTICA LTDA</v>
      </c>
      <c r="K1130" t="str">
        <f>"GISDANY (4478)"</f>
        <v>GISDANY (4478)</v>
      </c>
      <c r="L1130" t="str">
        <f>""</f>
        <v/>
      </c>
      <c r="M1130" t="str">
        <f>""</f>
        <v/>
      </c>
      <c r="N1130" t="str">
        <f>"GISDANYFILIAL@GISDANY.COM.BR"</f>
        <v>GISDANYFILIAL@GISDANY.COM.BR</v>
      </c>
      <c r="O1130" t="str">
        <f>""</f>
        <v/>
      </c>
      <c r="P1130" t="str">
        <f>"JORGE ELIAS DE LUCCA"</f>
        <v>JORGE ELIAS DE LUCCA</v>
      </c>
      <c r="Q1130" t="str">
        <f>"677"</f>
        <v>677</v>
      </c>
      <c r="R1130" t="str">
        <f>"S L97 NACOES SH"</f>
        <v>S L97 NACOES SH</v>
      </c>
      <c r="S1130" t="str">
        <f>"1269"</f>
        <v>1269</v>
      </c>
      <c r="T1130" t="str">
        <f>"88813390"</f>
        <v>88813390</v>
      </c>
      <c r="U1130" t="str">
        <f>"NOSSA SENHORA DA SALETE"</f>
        <v>NOSSA SENHORA DA SALETE</v>
      </c>
      <c r="V1130" t="str">
        <f>"CRICIUMA"</f>
        <v>CRICIUMA</v>
      </c>
      <c r="W1130" t="str">
        <f t="shared" si="565"/>
        <v>SC</v>
      </c>
      <c r="X1130" t="str">
        <f>"48"</f>
        <v>48</v>
      </c>
      <c r="Y1130" t="str">
        <f>"21018961"</f>
        <v>21018961</v>
      </c>
      <c r="Z1130" t="str">
        <f>""</f>
        <v/>
      </c>
      <c r="AA1130" t="str">
        <f>""</f>
        <v/>
      </c>
      <c r="AB1130" t="str">
        <f>""</f>
        <v/>
      </c>
      <c r="AC1130" t="str">
        <f>""</f>
        <v/>
      </c>
      <c r="AD1130" t="str">
        <f>""</f>
        <v/>
      </c>
      <c r="AE1130" t="str">
        <f>""</f>
        <v/>
      </c>
      <c r="AF1130" t="str">
        <f>""</f>
        <v/>
      </c>
      <c r="AG1130" t="str">
        <f>""</f>
        <v/>
      </c>
      <c r="AH1130" t="str">
        <f>""</f>
        <v/>
      </c>
      <c r="AI1130" t="str">
        <f>""</f>
        <v/>
      </c>
      <c r="AJ1130" t="str">
        <f>""</f>
        <v/>
      </c>
      <c r="AK1130" t="str">
        <f>""</f>
        <v/>
      </c>
      <c r="AL1130" t="str">
        <f>""</f>
        <v/>
      </c>
      <c r="AM1130" t="str">
        <f>""</f>
        <v/>
      </c>
      <c r="AN1130" t="str">
        <f>""</f>
        <v/>
      </c>
      <c r="AO1130" t="str">
        <f>""</f>
        <v/>
      </c>
      <c r="AP1130" t="str">
        <f>""</f>
        <v/>
      </c>
      <c r="AQ1130" t="str">
        <f>""</f>
        <v/>
      </c>
      <c r="AR1130" t="str">
        <f>""</f>
        <v/>
      </c>
      <c r="AS1130" t="str">
        <f>""</f>
        <v/>
      </c>
      <c r="AT1130" t="str">
        <f>""</f>
        <v/>
      </c>
      <c r="AU1130" t="str">
        <f>""</f>
        <v/>
      </c>
      <c r="AV1130" t="str">
        <f>""</f>
        <v/>
      </c>
      <c r="AW1130" t="str">
        <f>""</f>
        <v/>
      </c>
      <c r="AX1130" t="str">
        <f>""</f>
        <v/>
      </c>
      <c r="AY1130" t="str">
        <f>""</f>
        <v/>
      </c>
      <c r="AZ1130" t="str">
        <f>""</f>
        <v/>
      </c>
      <c r="BA1130" t="str">
        <f>""</f>
        <v/>
      </c>
      <c r="BB1130" t="str">
        <f>"06/07/2023 12:07:48"</f>
        <v>06/07/2023 12:07:48</v>
      </c>
      <c r="BC1130" t="str">
        <f>""</f>
        <v/>
      </c>
      <c r="BD1130" t="str">
        <f>""</f>
        <v/>
      </c>
      <c r="BE1130" t="str">
        <f>""</f>
        <v/>
      </c>
      <c r="BF1130" t="str">
        <f t="shared" si="548"/>
        <v>A</v>
      </c>
      <c r="BG1130" t="str">
        <f>""</f>
        <v/>
      </c>
      <c r="BH1130" t="str">
        <f>""</f>
        <v/>
      </c>
      <c r="BI1130" t="str">
        <f t="shared" si="567"/>
        <v>EVENTUAL</v>
      </c>
      <c r="BJ1130" t="str">
        <f t="shared" si="549"/>
        <v>1</v>
      </c>
      <c r="BK1130" t="str">
        <f t="shared" si="550"/>
        <v>Farmacia</v>
      </c>
      <c r="BL1130" t="str">
        <f>""</f>
        <v/>
      </c>
      <c r="BM1130" t="str">
        <f>""</f>
        <v/>
      </c>
      <c r="BN1130" t="str">
        <f>""</f>
        <v/>
      </c>
      <c r="BO1130" t="str">
        <f>""</f>
        <v/>
      </c>
      <c r="BP1130" t="str">
        <f>""</f>
        <v/>
      </c>
      <c r="BQ1130" t="str">
        <f>""</f>
        <v/>
      </c>
      <c r="BR1130" t="str">
        <f>"06/07/2023"</f>
        <v>06/07/2023</v>
      </c>
      <c r="BS1130" t="str">
        <f>""</f>
        <v/>
      </c>
      <c r="BT1130" t="str">
        <f>""</f>
        <v/>
      </c>
      <c r="BU1130" t="str">
        <f>""</f>
        <v/>
      </c>
      <c r="BV1130" t="str">
        <f>""</f>
        <v/>
      </c>
      <c r="BW1130" t="str">
        <f>"129"</f>
        <v>129</v>
      </c>
    </row>
    <row r="1131" spans="1:75" x14ac:dyDescent="0.35">
      <c r="A1131">
        <v>1</v>
      </c>
      <c r="B1131" t="str">
        <f t="shared" si="545"/>
        <v>A</v>
      </c>
      <c r="C1131" t="str">
        <f t="shared" si="546"/>
        <v>80</v>
      </c>
      <c r="D1131" t="str">
        <f t="shared" si="535"/>
        <v>11121002</v>
      </c>
      <c r="E1131" t="str">
        <f t="shared" si="536"/>
        <v>121002</v>
      </c>
      <c r="F1131" t="str">
        <f t="shared" si="537"/>
        <v>CINTHIA NORONHA</v>
      </c>
      <c r="G1131" t="str">
        <f>"00092465000110"</f>
        <v>00092465000110</v>
      </c>
      <c r="H1131" t="str">
        <f>""</f>
        <v/>
      </c>
      <c r="I1131" t="str">
        <f t="shared" si="547"/>
        <v>CONTA OPTICA</v>
      </c>
      <c r="J1131" t="str">
        <f>"RH COMERCIO DE JOIAS LTDA ME"</f>
        <v>RH COMERCIO DE JOIAS LTDA ME</v>
      </c>
      <c r="K1131" t="str">
        <f>"RH JOALHERIA (206)"</f>
        <v>RH JOALHERIA (206)</v>
      </c>
      <c r="L1131" t="str">
        <f>""</f>
        <v/>
      </c>
      <c r="M1131" t="str">
        <f>""</f>
        <v/>
      </c>
      <c r="N1131" t="str">
        <f>"rogerio@rhjoias.com.br"</f>
        <v>rogerio@rhjoias.com.br</v>
      </c>
      <c r="O1131" t="str">
        <f>""</f>
        <v/>
      </c>
      <c r="P1131" t="str">
        <f>"RUA ESTEVES JUNIOR"</f>
        <v>RUA ESTEVES JUNIOR</v>
      </c>
      <c r="Q1131" t="str">
        <f>"22"</f>
        <v>22</v>
      </c>
      <c r="R1131" t="str">
        <f>"L - D"</f>
        <v>L - D</v>
      </c>
      <c r="S1131" t="str">
        <f>"1268"</f>
        <v>1268</v>
      </c>
      <c r="T1131" t="str">
        <f>"88701130"</f>
        <v>88701130</v>
      </c>
      <c r="U1131" t="str">
        <f>"CENTRO"</f>
        <v>CENTRO</v>
      </c>
      <c r="V1131" t="str">
        <f>"TUBARÃO"</f>
        <v>TUBARÃO</v>
      </c>
      <c r="W1131" t="str">
        <f t="shared" si="565"/>
        <v>SC</v>
      </c>
      <c r="X1131" t="str">
        <f>"48"</f>
        <v>48</v>
      </c>
      <c r="Y1131" t="str">
        <f>"36261173"</f>
        <v>36261173</v>
      </c>
      <c r="Z1131" t="str">
        <f>""</f>
        <v/>
      </c>
      <c r="AA1131" t="str">
        <f>""</f>
        <v/>
      </c>
      <c r="AB1131" t="str">
        <f>""</f>
        <v/>
      </c>
      <c r="AC1131" t="str">
        <f>""</f>
        <v/>
      </c>
      <c r="AD1131" t="str">
        <f>""</f>
        <v/>
      </c>
      <c r="AE1131" t="str">
        <f>""</f>
        <v/>
      </c>
      <c r="AF1131" t="str">
        <f>""</f>
        <v/>
      </c>
      <c r="AG1131" t="str">
        <f>""</f>
        <v/>
      </c>
      <c r="AH1131" t="str">
        <f>""</f>
        <v/>
      </c>
      <c r="AI1131" t="str">
        <f>""</f>
        <v/>
      </c>
      <c r="AJ1131" t="str">
        <f t="shared" ref="AJ1131:AL1132" si="570">"0"</f>
        <v>0</v>
      </c>
      <c r="AK1131" t="str">
        <f t="shared" si="570"/>
        <v>0</v>
      </c>
      <c r="AL1131" t="str">
        <f t="shared" si="570"/>
        <v>0</v>
      </c>
      <c r="AM1131" t="str">
        <f>""</f>
        <v/>
      </c>
      <c r="AN1131" t="str">
        <f>""</f>
        <v/>
      </c>
      <c r="AO1131" t="str">
        <f>""</f>
        <v/>
      </c>
      <c r="AP1131" t="str">
        <f>""</f>
        <v/>
      </c>
      <c r="AQ1131" t="str">
        <f>""</f>
        <v/>
      </c>
      <c r="AR1131" t="str">
        <f>""</f>
        <v/>
      </c>
      <c r="AS1131" t="str">
        <f>""</f>
        <v/>
      </c>
      <c r="AT1131" t="str">
        <f>""</f>
        <v/>
      </c>
      <c r="AU1131" t="str">
        <f>""</f>
        <v/>
      </c>
      <c r="AV1131" t="str">
        <f>""</f>
        <v/>
      </c>
      <c r="AW1131" t="str">
        <f>""</f>
        <v/>
      </c>
      <c r="AX1131" t="str">
        <f>""</f>
        <v/>
      </c>
      <c r="AY1131" t="str">
        <f>""</f>
        <v/>
      </c>
      <c r="AZ1131" t="str">
        <f>""</f>
        <v/>
      </c>
      <c r="BA1131" t="str">
        <f>""</f>
        <v/>
      </c>
      <c r="BB1131" t="str">
        <f>"27/07/2018 09:25:30"</f>
        <v>27/07/2018 09:25:30</v>
      </c>
      <c r="BC1131" t="str">
        <f>""</f>
        <v/>
      </c>
      <c r="BD1131" t="str">
        <f>""</f>
        <v/>
      </c>
      <c r="BE1131" t="str">
        <f>"1"</f>
        <v>1</v>
      </c>
      <c r="BF1131" t="str">
        <f t="shared" si="548"/>
        <v>A</v>
      </c>
      <c r="BG1131" t="str">
        <f>"0,00"</f>
        <v>0,00</v>
      </c>
      <c r="BH1131" t="str">
        <f>"0,00"</f>
        <v>0,00</v>
      </c>
      <c r="BI1131" t="str">
        <f t="shared" si="567"/>
        <v>EVENTUAL</v>
      </c>
      <c r="BJ1131" t="str">
        <f t="shared" si="549"/>
        <v>1</v>
      </c>
      <c r="BK1131" t="str">
        <f t="shared" si="550"/>
        <v>Farmacia</v>
      </c>
      <c r="BL1131" t="str">
        <f>""</f>
        <v/>
      </c>
      <c r="BM1131" t="str">
        <f>"VARILUX ESPECIALISTA SELECT"</f>
        <v>VARILUX ESPECIALISTA SELECT</v>
      </c>
      <c r="BN1131" t="str">
        <f>"NA"</f>
        <v>NA</v>
      </c>
      <c r="BO1131" t="str">
        <f>"FOCO VARILUX DIGITAL"</f>
        <v>FOCO VARILUX DIGITAL</v>
      </c>
      <c r="BP1131" t="str">
        <f>""</f>
        <v/>
      </c>
      <c r="BQ1131" t="str">
        <f>""</f>
        <v/>
      </c>
      <c r="BR1131" t="str">
        <f>"27/07/2018"</f>
        <v>27/07/2018</v>
      </c>
      <c r="BS1131" t="str">
        <f>""</f>
        <v/>
      </c>
      <c r="BT1131" t="str">
        <f>""</f>
        <v/>
      </c>
      <c r="BU1131" t="str">
        <f>""</f>
        <v/>
      </c>
      <c r="BV1131" t="str">
        <f>"1"</f>
        <v>1</v>
      </c>
      <c r="BW1131" t="str">
        <f>"129"</f>
        <v>129</v>
      </c>
    </row>
    <row r="1132" spans="1:75" x14ac:dyDescent="0.35">
      <c r="A1132">
        <v>144506</v>
      </c>
      <c r="B1132" t="str">
        <f t="shared" si="545"/>
        <v>A</v>
      </c>
      <c r="C1132" t="str">
        <f t="shared" si="546"/>
        <v>80</v>
      </c>
      <c r="D1132" t="str">
        <f t="shared" si="535"/>
        <v>11121002</v>
      </c>
      <c r="E1132" t="str">
        <f t="shared" si="536"/>
        <v>121002</v>
      </c>
      <c r="F1132" t="str">
        <f t="shared" si="537"/>
        <v>CINTHIA NORONHA</v>
      </c>
      <c r="G1132" t="str">
        <f>"11527626000177"</f>
        <v>11527626000177</v>
      </c>
      <c r="H1132" t="str">
        <f>""</f>
        <v/>
      </c>
      <c r="I1132" t="str">
        <f t="shared" si="547"/>
        <v>CONTA OPTICA</v>
      </c>
      <c r="J1132" t="str">
        <f>"RICARDO WALTER DIB-ME"</f>
        <v>RICARDO WALTER DIB-ME</v>
      </c>
      <c r="K1132" t="str">
        <f>"RICARDO JOIAS &amp; OTICA (3934)"</f>
        <v>RICARDO JOIAS &amp; OTICA (3934)</v>
      </c>
      <c r="L1132" t="str">
        <f>""</f>
        <v/>
      </c>
      <c r="M1132" t="str">
        <f>""</f>
        <v/>
      </c>
      <c r="N1132" t="str">
        <f>"ricardo.joias@contato.net"</f>
        <v>ricardo.joias@contato.net</v>
      </c>
      <c r="O1132" t="str">
        <f>""</f>
        <v/>
      </c>
      <c r="P1132" t="str">
        <f>"RUA GETULIO VARGAS"</f>
        <v>RUA GETULIO VARGAS</v>
      </c>
      <c r="Q1132" t="str">
        <f>"200"</f>
        <v>200</v>
      </c>
      <c r="R1132" t="str">
        <f>"SALA 05"</f>
        <v>SALA 05</v>
      </c>
      <c r="S1132" t="str">
        <f>""</f>
        <v/>
      </c>
      <c r="T1132" t="str">
        <f>"88900037"</f>
        <v>88900037</v>
      </c>
      <c r="U1132" t="str">
        <f>"CENTRO"</f>
        <v>CENTRO</v>
      </c>
      <c r="V1132" t="str">
        <f>"ARARANGUÁ"</f>
        <v>ARARANGUÁ</v>
      </c>
      <c r="W1132" t="str">
        <f t="shared" si="565"/>
        <v>SC</v>
      </c>
      <c r="X1132" t="str">
        <f>"48"</f>
        <v>48</v>
      </c>
      <c r="Y1132" t="str">
        <f>"35243638"</f>
        <v>35243638</v>
      </c>
      <c r="Z1132" t="str">
        <f>""</f>
        <v/>
      </c>
      <c r="AA1132" t="str">
        <f>""</f>
        <v/>
      </c>
      <c r="AB1132" t="str">
        <f>""</f>
        <v/>
      </c>
      <c r="AC1132" t="str">
        <f>""</f>
        <v/>
      </c>
      <c r="AD1132" t="str">
        <f>""</f>
        <v/>
      </c>
      <c r="AE1132" t="str">
        <f>""</f>
        <v/>
      </c>
      <c r="AF1132" t="str">
        <f>""</f>
        <v/>
      </c>
      <c r="AG1132" t="str">
        <f>""</f>
        <v/>
      </c>
      <c r="AH1132" t="str">
        <f>""</f>
        <v/>
      </c>
      <c r="AI1132" t="str">
        <f>""</f>
        <v/>
      </c>
      <c r="AJ1132" t="str">
        <f t="shared" si="570"/>
        <v>0</v>
      </c>
      <c r="AK1132" t="str">
        <f t="shared" si="570"/>
        <v>0</v>
      </c>
      <c r="AL1132" t="str">
        <f t="shared" si="570"/>
        <v>0</v>
      </c>
      <c r="AM1132" t="str">
        <f>""</f>
        <v/>
      </c>
      <c r="AN1132" t="str">
        <f>""</f>
        <v/>
      </c>
      <c r="AO1132" t="str">
        <f>""</f>
        <v/>
      </c>
      <c r="AP1132" t="str">
        <f>""</f>
        <v/>
      </c>
      <c r="AQ1132" t="str">
        <f>""</f>
        <v/>
      </c>
      <c r="AR1132" t="str">
        <f>""</f>
        <v/>
      </c>
      <c r="AS1132" t="str">
        <f>""</f>
        <v/>
      </c>
      <c r="AT1132" t="str">
        <f>""</f>
        <v/>
      </c>
      <c r="AU1132" t="str">
        <f>""</f>
        <v/>
      </c>
      <c r="AV1132" t="str">
        <f>""</f>
        <v/>
      </c>
      <c r="AW1132" t="str">
        <f>""</f>
        <v/>
      </c>
      <c r="AX1132" t="str">
        <f>""</f>
        <v/>
      </c>
      <c r="AY1132" t="str">
        <f>""</f>
        <v/>
      </c>
      <c r="AZ1132" t="str">
        <f>""</f>
        <v/>
      </c>
      <c r="BA1132" t="str">
        <f>""</f>
        <v/>
      </c>
      <c r="BB1132" t="str">
        <f>""</f>
        <v/>
      </c>
      <c r="BC1132" t="str">
        <f>""</f>
        <v/>
      </c>
      <c r="BD1132" t="str">
        <f>""</f>
        <v/>
      </c>
      <c r="BE1132" t="str">
        <f>""</f>
        <v/>
      </c>
      <c r="BF1132" t="str">
        <f t="shared" si="548"/>
        <v>A</v>
      </c>
      <c r="BG1132" t="str">
        <f>"0,00"</f>
        <v>0,00</v>
      </c>
      <c r="BH1132" t="str">
        <f>"0,00"</f>
        <v>0,00</v>
      </c>
      <c r="BI1132" t="str">
        <f t="shared" si="567"/>
        <v>EVENTUAL</v>
      </c>
      <c r="BJ1132" t="str">
        <f t="shared" si="549"/>
        <v>1</v>
      </c>
      <c r="BK1132" t="str">
        <f t="shared" si="550"/>
        <v>Farmacia</v>
      </c>
      <c r="BL1132" t="str">
        <f>""</f>
        <v/>
      </c>
      <c r="BM1132" t="str">
        <f>"NÃO É VARILUX ESPECIALISTA"</f>
        <v>NÃO É VARILUX ESPECIALISTA</v>
      </c>
      <c r="BN1132" t="str">
        <f>"NA"</f>
        <v>NA</v>
      </c>
      <c r="BO1132" t="str">
        <f>"FOCO VARILUX DIGITAL"</f>
        <v>FOCO VARILUX DIGITAL</v>
      </c>
      <c r="BP1132" t="str">
        <f>""</f>
        <v/>
      </c>
      <c r="BQ1132" t="str">
        <f>""</f>
        <v/>
      </c>
      <c r="BR1132" t="str">
        <f>""</f>
        <v/>
      </c>
      <c r="BS1132" t="str">
        <f>""</f>
        <v/>
      </c>
      <c r="BT1132" t="str">
        <f>""</f>
        <v/>
      </c>
      <c r="BU1132" t="str">
        <f>""</f>
        <v/>
      </c>
      <c r="BV1132" t="str">
        <f>"9"</f>
        <v>9</v>
      </c>
      <c r="BW1132" t="str">
        <f>"1"</f>
        <v>1</v>
      </c>
    </row>
    <row r="1133" spans="1:75" x14ac:dyDescent="0.35">
      <c r="A1133">
        <v>156899</v>
      </c>
      <c r="B1133" t="str">
        <f t="shared" si="545"/>
        <v>A</v>
      </c>
      <c r="C1133" t="str">
        <f t="shared" si="546"/>
        <v>80</v>
      </c>
      <c r="D1133" t="str">
        <f t="shared" si="535"/>
        <v>11121002</v>
      </c>
      <c r="E1133" t="str">
        <f t="shared" si="536"/>
        <v>121002</v>
      </c>
      <c r="F1133" t="str">
        <f t="shared" si="537"/>
        <v>CINTHIA NORONHA</v>
      </c>
      <c r="G1133" t="str">
        <f>"15076513000234"</f>
        <v>15076513000234</v>
      </c>
      <c r="H1133" t="str">
        <f>"0"</f>
        <v>0</v>
      </c>
      <c r="I1133" t="str">
        <f t="shared" si="547"/>
        <v>CONTA OPTICA</v>
      </c>
      <c r="J1133" t="str">
        <f>"RK OTICA E JOALHERIA LTDA"</f>
        <v>RK OTICA E JOALHERIA LTDA</v>
      </c>
      <c r="K1133" t="str">
        <f>"MR RAY (4699)"</f>
        <v>MR RAY (4699)</v>
      </c>
      <c r="L1133" t="str">
        <f>""</f>
        <v/>
      </c>
      <c r="M1133" t="str">
        <f>""</f>
        <v/>
      </c>
      <c r="N1133" t="str">
        <f>"FINANCEIRO@OJOMRRAY.COM.BR"</f>
        <v>FINANCEIRO@OJOMRRAY.COM.BR</v>
      </c>
      <c r="O1133" t="str">
        <f>""</f>
        <v/>
      </c>
      <c r="P1133" t="str">
        <f>"ORGE ELIAS DE LUCCA"</f>
        <v>ORGE ELIAS DE LUCCA</v>
      </c>
      <c r="Q1133" t="str">
        <f>"765"</f>
        <v>765</v>
      </c>
      <c r="R1133" t="str">
        <f>"LOJA 44"</f>
        <v>LOJA 44</v>
      </c>
      <c r="S1133" t="str">
        <f>""</f>
        <v/>
      </c>
      <c r="T1133" t="str">
        <f>"88813901"</f>
        <v>88813901</v>
      </c>
      <c r="U1133" t="str">
        <f>"NOSSA SENHORA DA SALETE"</f>
        <v>NOSSA SENHORA DA SALETE</v>
      </c>
      <c r="V1133" t="str">
        <f>"CRICIUMA"</f>
        <v>CRICIUMA</v>
      </c>
      <c r="W1133" t="str">
        <f t="shared" si="565"/>
        <v>SC</v>
      </c>
      <c r="X1133" t="str">
        <f>"51"</f>
        <v>51</v>
      </c>
      <c r="Y1133" t="str">
        <f>"989138182"</f>
        <v>989138182</v>
      </c>
      <c r="Z1133" t="str">
        <f>""</f>
        <v/>
      </c>
      <c r="AA1133" t="str">
        <f>""</f>
        <v/>
      </c>
      <c r="AB1133" t="str">
        <f>""</f>
        <v/>
      </c>
      <c r="AC1133" t="str">
        <f>""</f>
        <v/>
      </c>
      <c r="AD1133" t="str">
        <f>""</f>
        <v/>
      </c>
      <c r="AE1133" t="str">
        <f>""</f>
        <v/>
      </c>
      <c r="AF1133" t="str">
        <f>""</f>
        <v/>
      </c>
      <c r="AG1133" t="str">
        <f>""</f>
        <v/>
      </c>
      <c r="AH1133" t="str">
        <f>""</f>
        <v/>
      </c>
      <c r="AI1133" t="str">
        <f>""</f>
        <v/>
      </c>
      <c r="AJ1133" t="str">
        <f>""</f>
        <v/>
      </c>
      <c r="AK1133" t="str">
        <f>""</f>
        <v/>
      </c>
      <c r="AL1133" t="str">
        <f>""</f>
        <v/>
      </c>
      <c r="AM1133" t="str">
        <f>""</f>
        <v/>
      </c>
      <c r="AN1133" t="str">
        <f>""</f>
        <v/>
      </c>
      <c r="AO1133" t="str">
        <f>""</f>
        <v/>
      </c>
      <c r="AP1133" t="str">
        <f>""</f>
        <v/>
      </c>
      <c r="AQ1133" t="str">
        <f>""</f>
        <v/>
      </c>
      <c r="AR1133" t="str">
        <f>""</f>
        <v/>
      </c>
      <c r="AS1133" t="str">
        <f>""</f>
        <v/>
      </c>
      <c r="AT1133" t="str">
        <f>""</f>
        <v/>
      </c>
      <c r="AU1133" t="str">
        <f>""</f>
        <v/>
      </c>
      <c r="AV1133" t="str">
        <f>""</f>
        <v/>
      </c>
      <c r="AW1133" t="str">
        <f>""</f>
        <v/>
      </c>
      <c r="AX1133" t="str">
        <f>""</f>
        <v/>
      </c>
      <c r="AY1133" t="str">
        <f>""</f>
        <v/>
      </c>
      <c r="AZ1133" t="str">
        <f>""</f>
        <v/>
      </c>
      <c r="BA1133" t="str">
        <f>""</f>
        <v/>
      </c>
      <c r="BB1133" t="str">
        <f>"06/07/2023 12:07:48"</f>
        <v>06/07/2023 12:07:48</v>
      </c>
      <c r="BC1133" t="str">
        <f>""</f>
        <v/>
      </c>
      <c r="BD1133" t="str">
        <f>""</f>
        <v/>
      </c>
      <c r="BE1133" t="str">
        <f>""</f>
        <v/>
      </c>
      <c r="BF1133" t="str">
        <f t="shared" si="548"/>
        <v>A</v>
      </c>
      <c r="BG1133" t="str">
        <f>""</f>
        <v/>
      </c>
      <c r="BH1133" t="str">
        <f>""</f>
        <v/>
      </c>
      <c r="BI1133" t="str">
        <f t="shared" si="567"/>
        <v>EVENTUAL</v>
      </c>
      <c r="BJ1133" t="str">
        <f t="shared" si="549"/>
        <v>1</v>
      </c>
      <c r="BK1133" t="str">
        <f t="shared" si="550"/>
        <v>Farmacia</v>
      </c>
      <c r="BL1133" t="str">
        <f>""</f>
        <v/>
      </c>
      <c r="BM1133" t="str">
        <f>""</f>
        <v/>
      </c>
      <c r="BN1133" t="str">
        <f>""</f>
        <v/>
      </c>
      <c r="BO1133" t="str">
        <f>""</f>
        <v/>
      </c>
      <c r="BP1133" t="str">
        <f>""</f>
        <v/>
      </c>
      <c r="BQ1133" t="str">
        <f>""</f>
        <v/>
      </c>
      <c r="BR1133" t="str">
        <f>"06/07/2023"</f>
        <v>06/07/2023</v>
      </c>
      <c r="BS1133" t="str">
        <f>""</f>
        <v/>
      </c>
      <c r="BT1133" t="str">
        <f>""</f>
        <v/>
      </c>
      <c r="BU1133" t="str">
        <f>""</f>
        <v/>
      </c>
      <c r="BV1133" t="str">
        <f>""</f>
        <v/>
      </c>
      <c r="BW1133" t="str">
        <f>"Não visitado"</f>
        <v>Não visitado</v>
      </c>
    </row>
    <row r="1134" spans="1:75" x14ac:dyDescent="0.35">
      <c r="A1134">
        <v>118677</v>
      </c>
      <c r="B1134" t="str">
        <f t="shared" si="545"/>
        <v>A</v>
      </c>
      <c r="C1134" t="str">
        <f t="shared" si="546"/>
        <v>80</v>
      </c>
      <c r="D1134" t="str">
        <f t="shared" si="535"/>
        <v>11121002</v>
      </c>
      <c r="E1134" t="str">
        <f t="shared" si="536"/>
        <v>121002</v>
      </c>
      <c r="F1134" t="str">
        <f t="shared" si="537"/>
        <v>CINTHIA NORONHA</v>
      </c>
      <c r="G1134" t="str">
        <f>"00811496000183"</f>
        <v>00811496000183</v>
      </c>
      <c r="H1134" t="str">
        <f>""</f>
        <v/>
      </c>
      <c r="I1134" t="str">
        <f t="shared" si="547"/>
        <v>CONTA OPTICA</v>
      </c>
      <c r="J1134" t="str">
        <f>"ROBERTO MACHADO JOIAS ME"</f>
        <v>ROBERTO MACHADO JOIAS ME</v>
      </c>
      <c r="K1134" t="str">
        <f>"OTICA ROBERTO (1733)"</f>
        <v>OTICA ROBERTO (1733)</v>
      </c>
      <c r="L1134" t="str">
        <f>""</f>
        <v/>
      </c>
      <c r="M1134" t="str">
        <f>""</f>
        <v/>
      </c>
      <c r="N1134" t="str">
        <f>"oticaroberto@terra.com.br"</f>
        <v>oticaroberto@terra.com.br</v>
      </c>
      <c r="O1134" t="str">
        <f>""</f>
        <v/>
      </c>
      <c r="P1134" t="str">
        <f>"RUA MARECHAL FLORIANO PEIXOTO"</f>
        <v>RUA MARECHAL FLORIANO PEIXOTO</v>
      </c>
      <c r="Q1134" t="str">
        <f>"121"</f>
        <v>121</v>
      </c>
      <c r="R1134" t="str">
        <f>""</f>
        <v/>
      </c>
      <c r="S1134" t="str">
        <f>"1269"</f>
        <v>1269</v>
      </c>
      <c r="T1134" t="str">
        <f>"88801040"</f>
        <v>88801040</v>
      </c>
      <c r="U1134" t="str">
        <f>"CENTRO"</f>
        <v>CENTRO</v>
      </c>
      <c r="V1134" t="str">
        <f>"CRICIÚMA"</f>
        <v>CRICIÚMA</v>
      </c>
      <c r="W1134" t="str">
        <f t="shared" si="565"/>
        <v>SC</v>
      </c>
      <c r="X1134" t="str">
        <f>"48"</f>
        <v>48</v>
      </c>
      <c r="Y1134" t="str">
        <f>"34433989"</f>
        <v>34433989</v>
      </c>
      <c r="Z1134" t="str">
        <f>""</f>
        <v/>
      </c>
      <c r="AA1134" t="str">
        <f>""</f>
        <v/>
      </c>
      <c r="AB1134" t="str">
        <f>""</f>
        <v/>
      </c>
      <c r="AC1134" t="str">
        <f>""</f>
        <v/>
      </c>
      <c r="AD1134" t="str">
        <f>""</f>
        <v/>
      </c>
      <c r="AE1134" t="str">
        <f>""</f>
        <v/>
      </c>
      <c r="AF1134" t="str">
        <f>""</f>
        <v/>
      </c>
      <c r="AG1134" t="str">
        <f>""</f>
        <v/>
      </c>
      <c r="AH1134" t="str">
        <f>""</f>
        <v/>
      </c>
      <c r="AI1134" t="str">
        <f>""</f>
        <v/>
      </c>
      <c r="AJ1134" t="str">
        <f>"0"</f>
        <v>0</v>
      </c>
      <c r="AK1134" t="str">
        <f>"0"</f>
        <v>0</v>
      </c>
      <c r="AL1134" t="str">
        <f>"0"</f>
        <v>0</v>
      </c>
      <c r="AM1134" t="str">
        <f>""</f>
        <v/>
      </c>
      <c r="AN1134" t="str">
        <f>""</f>
        <v/>
      </c>
      <c r="AO1134" t="str">
        <f>""</f>
        <v/>
      </c>
      <c r="AP1134" t="str">
        <f>""</f>
        <v/>
      </c>
      <c r="AQ1134" t="str">
        <f>""</f>
        <v/>
      </c>
      <c r="AR1134" t="str">
        <f>""</f>
        <v/>
      </c>
      <c r="AS1134" t="str">
        <f>""</f>
        <v/>
      </c>
      <c r="AT1134" t="str">
        <f>""</f>
        <v/>
      </c>
      <c r="AU1134" t="str">
        <f>""</f>
        <v/>
      </c>
      <c r="AV1134" t="str">
        <f>""</f>
        <v/>
      </c>
      <c r="AW1134" t="str">
        <f>""</f>
        <v/>
      </c>
      <c r="AX1134" t="str">
        <f>""</f>
        <v/>
      </c>
      <c r="AY1134" t="str">
        <f>""</f>
        <v/>
      </c>
      <c r="AZ1134" t="str">
        <f>""</f>
        <v/>
      </c>
      <c r="BA1134" t="str">
        <f>""</f>
        <v/>
      </c>
      <c r="BB1134" t="str">
        <f>""</f>
        <v/>
      </c>
      <c r="BC1134" t="str">
        <f>""</f>
        <v/>
      </c>
      <c r="BD1134" t="str">
        <f>""</f>
        <v/>
      </c>
      <c r="BE1134" t="str">
        <f>""</f>
        <v/>
      </c>
      <c r="BF1134" t="str">
        <f t="shared" si="548"/>
        <v>A</v>
      </c>
      <c r="BG1134" t="str">
        <f>"0,00"</f>
        <v>0,00</v>
      </c>
      <c r="BH1134" t="str">
        <f>"0,00"</f>
        <v>0,00</v>
      </c>
      <c r="BI1134" t="str">
        <f t="shared" si="567"/>
        <v>EVENTUAL</v>
      </c>
      <c r="BJ1134" t="str">
        <f t="shared" si="549"/>
        <v>1</v>
      </c>
      <c r="BK1134" t="str">
        <f t="shared" si="550"/>
        <v>Farmacia</v>
      </c>
      <c r="BL1134" t="str">
        <f>""</f>
        <v/>
      </c>
      <c r="BM1134" t="str">
        <f>"NÃO É VARILUX ESPECIALISTA"</f>
        <v>NÃO É VARILUX ESPECIALISTA</v>
      </c>
      <c r="BN1134" t="str">
        <f>"NA"</f>
        <v>NA</v>
      </c>
      <c r="BO1134" t="str">
        <f>"FOCO KODAK 2"</f>
        <v>FOCO KODAK 2</v>
      </c>
      <c r="BP1134" t="str">
        <f>""</f>
        <v/>
      </c>
      <c r="BQ1134" t="str">
        <f>""</f>
        <v/>
      </c>
      <c r="BR1134" t="str">
        <f>""</f>
        <v/>
      </c>
      <c r="BS1134" t="str">
        <f>""</f>
        <v/>
      </c>
      <c r="BT1134" t="str">
        <f>""</f>
        <v/>
      </c>
      <c r="BU1134" t="str">
        <f>""</f>
        <v/>
      </c>
      <c r="BV1134" t="str">
        <f>"9"</f>
        <v>9</v>
      </c>
      <c r="BW1134" t="str">
        <f>"64"</f>
        <v>64</v>
      </c>
    </row>
    <row r="1135" spans="1:75" x14ac:dyDescent="0.35">
      <c r="A1135">
        <v>134418</v>
      </c>
      <c r="B1135" t="str">
        <f t="shared" si="545"/>
        <v>A</v>
      </c>
      <c r="C1135" t="str">
        <f t="shared" si="546"/>
        <v>80</v>
      </c>
      <c r="D1135" t="str">
        <f t="shared" si="535"/>
        <v>11121002</v>
      </c>
      <c r="E1135" t="str">
        <f t="shared" si="536"/>
        <v>121002</v>
      </c>
      <c r="F1135" t="str">
        <f t="shared" si="537"/>
        <v>CINTHIA NORONHA</v>
      </c>
      <c r="G1135" t="str">
        <f>"35069581000100"</f>
        <v>35069581000100</v>
      </c>
      <c r="H1135" t="str">
        <f>""</f>
        <v/>
      </c>
      <c r="I1135" t="str">
        <f t="shared" si="547"/>
        <v>CONTA OPTICA</v>
      </c>
      <c r="J1135" t="str">
        <f>"ROBSONFLORIPA OTICA EIRELI"</f>
        <v>ROBSONFLORIPA OTICA EIRELI</v>
      </c>
      <c r="K1135" t="str">
        <f>"OTICA DINIZ (4079)"</f>
        <v>OTICA DINIZ (4079)</v>
      </c>
      <c r="L1135" t="str">
        <f>""</f>
        <v/>
      </c>
      <c r="M1135" t="str">
        <f>""</f>
        <v/>
      </c>
      <c r="N1135" t="str">
        <f>"controladoria.lentes01@oticadinizfloripa.com.br"</f>
        <v>controladoria.lentes01@oticadinizfloripa.com.br</v>
      </c>
      <c r="O1135" t="str">
        <f>""</f>
        <v/>
      </c>
      <c r="P1135" t="str">
        <f>"RUA JERONIMO COELHO"</f>
        <v>RUA JERONIMO COELHO</v>
      </c>
      <c r="Q1135" t="str">
        <f>"111"</f>
        <v>111</v>
      </c>
      <c r="R1135" t="str">
        <f>""</f>
        <v/>
      </c>
      <c r="S1135" t="str">
        <f>"1254"</f>
        <v>1254</v>
      </c>
      <c r="T1135" t="str">
        <f>"88010030"</f>
        <v>88010030</v>
      </c>
      <c r="U1135" t="str">
        <f>"CENTRO"</f>
        <v>CENTRO</v>
      </c>
      <c r="V1135" t="str">
        <f>"FLORIANÓPOLIS"</f>
        <v>FLORIANÓPOLIS</v>
      </c>
      <c r="W1135" t="str">
        <f t="shared" si="565"/>
        <v>SC</v>
      </c>
      <c r="X1135" t="str">
        <f>"48"</f>
        <v>48</v>
      </c>
      <c r="Y1135" t="str">
        <f>"30625125"</f>
        <v>30625125</v>
      </c>
      <c r="Z1135" t="str">
        <f>""</f>
        <v/>
      </c>
      <c r="AA1135" t="str">
        <f>""</f>
        <v/>
      </c>
      <c r="AB1135" t="str">
        <f>""</f>
        <v/>
      </c>
      <c r="AC1135" t="str">
        <f>""</f>
        <v/>
      </c>
      <c r="AD1135" t="str">
        <f>""</f>
        <v/>
      </c>
      <c r="AE1135" t="str">
        <f>""</f>
        <v/>
      </c>
      <c r="AF1135" t="str">
        <f>""</f>
        <v/>
      </c>
      <c r="AG1135" t="str">
        <f>"S"</f>
        <v>S</v>
      </c>
      <c r="AH1135" t="str">
        <f>""</f>
        <v/>
      </c>
      <c r="AI1135" t="str">
        <f>""</f>
        <v/>
      </c>
      <c r="AJ1135" t="str">
        <f>""</f>
        <v/>
      </c>
      <c r="AK1135" t="str">
        <f>""</f>
        <v/>
      </c>
      <c r="AL1135" t="str">
        <f>""</f>
        <v/>
      </c>
      <c r="AM1135" t="str">
        <f>""</f>
        <v/>
      </c>
      <c r="AN1135" t="str">
        <f>""</f>
        <v/>
      </c>
      <c r="AO1135" t="str">
        <f>""</f>
        <v/>
      </c>
      <c r="AP1135" t="str">
        <f>""</f>
        <v/>
      </c>
      <c r="AQ1135" t="str">
        <f t="shared" ref="AQ1135:AU1136" si="571">"N"</f>
        <v>N</v>
      </c>
      <c r="AR1135" t="str">
        <f t="shared" si="571"/>
        <v>N</v>
      </c>
      <c r="AS1135" t="str">
        <f t="shared" si="571"/>
        <v>N</v>
      </c>
      <c r="AT1135" t="str">
        <f t="shared" si="571"/>
        <v>N</v>
      </c>
      <c r="AU1135" t="str">
        <f t="shared" si="571"/>
        <v>N</v>
      </c>
      <c r="AV1135" t="str">
        <f>""</f>
        <v/>
      </c>
      <c r="AW1135" t="str">
        <f>""</f>
        <v/>
      </c>
      <c r="AX1135" t="str">
        <f>""</f>
        <v/>
      </c>
      <c r="AY1135" t="str">
        <f>""</f>
        <v/>
      </c>
      <c r="AZ1135" t="str">
        <f>""</f>
        <v/>
      </c>
      <c r="BA1135" t="str">
        <f>""</f>
        <v/>
      </c>
      <c r="BB1135" t="str">
        <f>""</f>
        <v/>
      </c>
      <c r="BC1135" t="str">
        <f>"16/12/2021 16:18:31"</f>
        <v>16/12/2021 16:18:31</v>
      </c>
      <c r="BD1135" t="str">
        <f>""</f>
        <v/>
      </c>
      <c r="BE1135" t="str">
        <f>""</f>
        <v/>
      </c>
      <c r="BF1135" t="str">
        <f t="shared" si="548"/>
        <v>A</v>
      </c>
      <c r="BG1135" t="str">
        <f>""</f>
        <v/>
      </c>
      <c r="BH1135" t="str">
        <f>"0,00"</f>
        <v>0,00</v>
      </c>
      <c r="BI1135" t="str">
        <f t="shared" si="567"/>
        <v>EVENTUAL</v>
      </c>
      <c r="BJ1135" t="str">
        <f t="shared" si="549"/>
        <v>1</v>
      </c>
      <c r="BK1135" t="str">
        <f t="shared" si="550"/>
        <v>Farmacia</v>
      </c>
      <c r="BL1135" t="str">
        <f>""</f>
        <v/>
      </c>
      <c r="BM1135" t="str">
        <f>"NÃO É VARILUX ESPECIALISTA"</f>
        <v>NÃO É VARILUX ESPECIALISTA</v>
      </c>
      <c r="BN1135" t="str">
        <f>"NA"</f>
        <v>NA</v>
      </c>
      <c r="BO1135" t="str">
        <f>"FOCO VARILUX"</f>
        <v>FOCO VARILUX</v>
      </c>
      <c r="BP1135" t="str">
        <f>""</f>
        <v/>
      </c>
      <c r="BQ1135" t="str">
        <f>""</f>
        <v/>
      </c>
      <c r="BR1135" t="str">
        <f>""</f>
        <v/>
      </c>
      <c r="BS1135" t="str">
        <f>"16/12/2021"</f>
        <v>16/12/2021</v>
      </c>
      <c r="BT1135" t="str">
        <f>""</f>
        <v/>
      </c>
      <c r="BU1135" t="str">
        <f>""</f>
        <v/>
      </c>
      <c r="BV1135" t="str">
        <f>"9"</f>
        <v>9</v>
      </c>
      <c r="BW1135" t="str">
        <f>"16"</f>
        <v>16</v>
      </c>
    </row>
    <row r="1136" spans="1:75" x14ac:dyDescent="0.35">
      <c r="A1136">
        <v>134419</v>
      </c>
      <c r="B1136" t="str">
        <f t="shared" si="545"/>
        <v>A</v>
      </c>
      <c r="C1136" t="str">
        <f t="shared" si="546"/>
        <v>80</v>
      </c>
      <c r="D1136" t="str">
        <f t="shared" si="535"/>
        <v>11121002</v>
      </c>
      <c r="E1136" t="str">
        <f t="shared" si="536"/>
        <v>121002</v>
      </c>
      <c r="F1136" t="str">
        <f t="shared" si="537"/>
        <v>CINTHIA NORONHA</v>
      </c>
      <c r="G1136" t="str">
        <f>"35069581000283"</f>
        <v>35069581000283</v>
      </c>
      <c r="H1136" t="str">
        <f>""</f>
        <v/>
      </c>
      <c r="I1136" t="str">
        <f t="shared" si="547"/>
        <v>CONTA OPTICA</v>
      </c>
      <c r="J1136" t="str">
        <f>"ROBSONFLORIPA OTICA EIRELI"</f>
        <v>ROBSONFLORIPA OTICA EIRELI</v>
      </c>
      <c r="K1136" t="str">
        <f>"OTICA DINIZ (4080)"</f>
        <v>OTICA DINIZ (4080)</v>
      </c>
      <c r="L1136" t="str">
        <f>""</f>
        <v/>
      </c>
      <c r="M1136" t="str">
        <f>""</f>
        <v/>
      </c>
      <c r="N1136" t="str">
        <f>"controladoria.lentes01@oticadinizfloripa.com.br"</f>
        <v>controladoria.lentes01@oticadinizfloripa.com.br</v>
      </c>
      <c r="O1136" t="str">
        <f>""</f>
        <v/>
      </c>
      <c r="P1136" t="str">
        <f>"RUA LEOBERTO LEAL"</f>
        <v>RUA LEOBERTO LEAL</v>
      </c>
      <c r="Q1136" t="str">
        <f>"694"</f>
        <v>694</v>
      </c>
      <c r="R1136" t="str">
        <f>""</f>
        <v/>
      </c>
      <c r="S1136" t="str">
        <f>"1259"</f>
        <v>1259</v>
      </c>
      <c r="T1136" t="str">
        <f>"88110001"</f>
        <v>88110001</v>
      </c>
      <c r="U1136" t="str">
        <f>"BARREIROS"</f>
        <v>BARREIROS</v>
      </c>
      <c r="V1136" t="str">
        <f>"SÃO JOSÉ"</f>
        <v>SÃO JOSÉ</v>
      </c>
      <c r="W1136" t="str">
        <f t="shared" si="565"/>
        <v>SC</v>
      </c>
      <c r="X1136" t="str">
        <f>"48"</f>
        <v>48</v>
      </c>
      <c r="Y1136" t="str">
        <f>"30625125"</f>
        <v>30625125</v>
      </c>
      <c r="Z1136" t="str">
        <f>""</f>
        <v/>
      </c>
      <c r="AA1136" t="str">
        <f>""</f>
        <v/>
      </c>
      <c r="AB1136" t="str">
        <f>""</f>
        <v/>
      </c>
      <c r="AC1136" t="str">
        <f>""</f>
        <v/>
      </c>
      <c r="AD1136" t="str">
        <f>""</f>
        <v/>
      </c>
      <c r="AE1136" t="str">
        <f>""</f>
        <v/>
      </c>
      <c r="AF1136" t="str">
        <f>""</f>
        <v/>
      </c>
      <c r="AG1136" t="str">
        <f>"S"</f>
        <v>S</v>
      </c>
      <c r="AH1136" t="str">
        <f>""</f>
        <v/>
      </c>
      <c r="AI1136" t="str">
        <f>""</f>
        <v/>
      </c>
      <c r="AJ1136" t="str">
        <f>""</f>
        <v/>
      </c>
      <c r="AK1136" t="str">
        <f>""</f>
        <v/>
      </c>
      <c r="AL1136" t="str">
        <f>""</f>
        <v/>
      </c>
      <c r="AM1136" t="str">
        <f>""</f>
        <v/>
      </c>
      <c r="AN1136" t="str">
        <f>""</f>
        <v/>
      </c>
      <c r="AO1136" t="str">
        <f>""</f>
        <v/>
      </c>
      <c r="AP1136" t="str">
        <f>""</f>
        <v/>
      </c>
      <c r="AQ1136" t="str">
        <f t="shared" si="571"/>
        <v>N</v>
      </c>
      <c r="AR1136" t="str">
        <f t="shared" si="571"/>
        <v>N</v>
      </c>
      <c r="AS1136" t="str">
        <f t="shared" si="571"/>
        <v>N</v>
      </c>
      <c r="AT1136" t="str">
        <f t="shared" si="571"/>
        <v>N</v>
      </c>
      <c r="AU1136" t="str">
        <f t="shared" si="571"/>
        <v>N</v>
      </c>
      <c r="AV1136" t="str">
        <f>""</f>
        <v/>
      </c>
      <c r="AW1136" t="str">
        <f>""</f>
        <v/>
      </c>
      <c r="AX1136" t="str">
        <f>""</f>
        <v/>
      </c>
      <c r="AY1136" t="str">
        <f>""</f>
        <v/>
      </c>
      <c r="AZ1136" t="str">
        <f>""</f>
        <v/>
      </c>
      <c r="BA1136" t="str">
        <f>""</f>
        <v/>
      </c>
      <c r="BB1136" t="str">
        <f>""</f>
        <v/>
      </c>
      <c r="BC1136" t="str">
        <f>"16/12/2021 17:23:06"</f>
        <v>16/12/2021 17:23:06</v>
      </c>
      <c r="BD1136" t="str">
        <f>""</f>
        <v/>
      </c>
      <c r="BE1136" t="str">
        <f>""</f>
        <v/>
      </c>
      <c r="BF1136" t="str">
        <f t="shared" si="548"/>
        <v>A</v>
      </c>
      <c r="BG1136" t="str">
        <f>""</f>
        <v/>
      </c>
      <c r="BH1136" t="str">
        <f>"0,00"</f>
        <v>0,00</v>
      </c>
      <c r="BI1136" t="str">
        <f t="shared" si="567"/>
        <v>EVENTUAL</v>
      </c>
      <c r="BJ1136" t="str">
        <f t="shared" si="549"/>
        <v>1</v>
      </c>
      <c r="BK1136" t="str">
        <f t="shared" si="550"/>
        <v>Farmacia</v>
      </c>
      <c r="BL1136" t="str">
        <f>""</f>
        <v/>
      </c>
      <c r="BM1136" t="str">
        <f>"NÃO É VARILUX ESPECIALISTA"</f>
        <v>NÃO É VARILUX ESPECIALISTA</v>
      </c>
      <c r="BN1136" t="str">
        <f>"NA"</f>
        <v>NA</v>
      </c>
      <c r="BO1136" t="str">
        <f>"FOCO VARILUX"</f>
        <v>FOCO VARILUX</v>
      </c>
      <c r="BP1136" t="str">
        <f>""</f>
        <v/>
      </c>
      <c r="BQ1136" t="str">
        <f>""</f>
        <v/>
      </c>
      <c r="BR1136" t="str">
        <f>""</f>
        <v/>
      </c>
      <c r="BS1136" t="str">
        <f>"16/12/2021"</f>
        <v>16/12/2021</v>
      </c>
      <c r="BT1136" t="str">
        <f>""</f>
        <v/>
      </c>
      <c r="BU1136" t="str">
        <f>""</f>
        <v/>
      </c>
      <c r="BV1136" t="str">
        <f>""</f>
        <v/>
      </c>
      <c r="BW1136" t="str">
        <f>"16"</f>
        <v>16</v>
      </c>
    </row>
    <row r="1137" spans="1:75" x14ac:dyDescent="0.35">
      <c r="A1137">
        <v>152762</v>
      </c>
      <c r="B1137" t="str">
        <f t="shared" si="545"/>
        <v>A</v>
      </c>
      <c r="C1137" t="str">
        <f t="shared" si="546"/>
        <v>80</v>
      </c>
      <c r="D1137" t="str">
        <f t="shared" si="535"/>
        <v>11121002</v>
      </c>
      <c r="E1137" t="str">
        <f t="shared" si="536"/>
        <v>121002</v>
      </c>
      <c r="F1137" t="str">
        <f t="shared" si="537"/>
        <v>CINTHIA NORONHA</v>
      </c>
      <c r="G1137" t="str">
        <f>"34373599000120"</f>
        <v>34373599000120</v>
      </c>
      <c r="H1137" t="str">
        <f>"0"</f>
        <v>0</v>
      </c>
      <c r="I1137" t="str">
        <f t="shared" si="547"/>
        <v>CONTA OPTICA</v>
      </c>
      <c r="J1137" t="str">
        <f>"RODRIGO FERNANDES DE ALMEIDA 02021449920"</f>
        <v>RODRIGO FERNANDES DE ALMEIDA 02021449920</v>
      </c>
      <c r="K1137" t="str">
        <f>"OTICA CENTRAL VISAO"</f>
        <v>OTICA CENTRAL VISAO</v>
      </c>
      <c r="L1137" t="str">
        <f>""</f>
        <v/>
      </c>
      <c r="M1137" t="str">
        <f>""</f>
        <v/>
      </c>
      <c r="N1137" t="str">
        <f>"oticacentralvisao@gmail.com"</f>
        <v>oticacentralvisao@gmail.com</v>
      </c>
      <c r="O1137" t="str">
        <f>""</f>
        <v/>
      </c>
      <c r="P1137" t="str">
        <f>"RUA ADHEMAR DA SILVA"</f>
        <v>RUA ADHEMAR DA SILVA</v>
      </c>
      <c r="Q1137" t="str">
        <f>"906"</f>
        <v>906</v>
      </c>
      <c r="R1137" t="str">
        <f>"SALA 06"</f>
        <v>SALA 06</v>
      </c>
      <c r="S1137" t="str">
        <f>"1259"</f>
        <v>1259</v>
      </c>
      <c r="T1137" t="str">
        <f>"88101091"</f>
        <v>88101091</v>
      </c>
      <c r="U1137" t="str">
        <f>"KOBRASOL"</f>
        <v>KOBRASOL</v>
      </c>
      <c r="V1137" t="str">
        <f>"SAO JOSE"</f>
        <v>SAO JOSE</v>
      </c>
      <c r="W1137" t="str">
        <f t="shared" si="565"/>
        <v>SC</v>
      </c>
      <c r="X1137" t="str">
        <f>""</f>
        <v/>
      </c>
      <c r="Y1137" t="str">
        <f>""</f>
        <v/>
      </c>
      <c r="Z1137" t="str">
        <f>""</f>
        <v/>
      </c>
      <c r="AA1137" t="str">
        <f>""</f>
        <v/>
      </c>
      <c r="AB1137" t="str">
        <f>""</f>
        <v/>
      </c>
      <c r="AC1137" t="str">
        <f>""</f>
        <v/>
      </c>
      <c r="AD1137" t="str">
        <f>""</f>
        <v/>
      </c>
      <c r="AE1137" t="str">
        <f>""</f>
        <v/>
      </c>
      <c r="AF1137" t="str">
        <f>""</f>
        <v/>
      </c>
      <c r="AG1137" t="str">
        <f>""</f>
        <v/>
      </c>
      <c r="AH1137" t="str">
        <f>""</f>
        <v/>
      </c>
      <c r="AI1137" t="str">
        <f>""</f>
        <v/>
      </c>
      <c r="AJ1137" t="str">
        <f>""</f>
        <v/>
      </c>
      <c r="AK1137" t="str">
        <f>""</f>
        <v/>
      </c>
      <c r="AL1137" t="str">
        <f>""</f>
        <v/>
      </c>
      <c r="AM1137" t="str">
        <f>""</f>
        <v/>
      </c>
      <c r="AN1137" t="str">
        <f>""</f>
        <v/>
      </c>
      <c r="AO1137" t="str">
        <f>""</f>
        <v/>
      </c>
      <c r="AP1137" t="str">
        <f>""</f>
        <v/>
      </c>
      <c r="AQ1137" t="str">
        <f>""</f>
        <v/>
      </c>
      <c r="AR1137" t="str">
        <f>""</f>
        <v/>
      </c>
      <c r="AS1137" t="str">
        <f>""</f>
        <v/>
      </c>
      <c r="AT1137" t="str">
        <f>""</f>
        <v/>
      </c>
      <c r="AU1137" t="str">
        <f>""</f>
        <v/>
      </c>
      <c r="AV1137" t="str">
        <f>""</f>
        <v/>
      </c>
      <c r="AW1137" t="str">
        <f>""</f>
        <v/>
      </c>
      <c r="AX1137" t="str">
        <f>""</f>
        <v/>
      </c>
      <c r="AY1137" t="str">
        <f>""</f>
        <v/>
      </c>
      <c r="AZ1137" t="str">
        <f>""</f>
        <v/>
      </c>
      <c r="BA1137" t="str">
        <f>""</f>
        <v/>
      </c>
      <c r="BB1137" t="str">
        <f>"03/04/2023 13:34:29"</f>
        <v>03/04/2023 13:34:29</v>
      </c>
      <c r="BC1137" t="str">
        <f>""</f>
        <v/>
      </c>
      <c r="BD1137" t="str">
        <f>""</f>
        <v/>
      </c>
      <c r="BE1137" t="str">
        <f>""</f>
        <v/>
      </c>
      <c r="BF1137" t="str">
        <f t="shared" si="548"/>
        <v>A</v>
      </c>
      <c r="BG1137" t="str">
        <f>""</f>
        <v/>
      </c>
      <c r="BH1137" t="str">
        <f>""</f>
        <v/>
      </c>
      <c r="BI1137" t="str">
        <f t="shared" si="567"/>
        <v>EVENTUAL</v>
      </c>
      <c r="BJ1137" t="str">
        <f t="shared" si="549"/>
        <v>1</v>
      </c>
      <c r="BK1137" t="str">
        <f t="shared" si="550"/>
        <v>Farmacia</v>
      </c>
      <c r="BL1137" t="str">
        <f>""</f>
        <v/>
      </c>
      <c r="BM1137" t="str">
        <f>""</f>
        <v/>
      </c>
      <c r="BN1137" t="str">
        <f>""</f>
        <v/>
      </c>
      <c r="BO1137" t="str">
        <f>""</f>
        <v/>
      </c>
      <c r="BP1137" t="str">
        <f>""</f>
        <v/>
      </c>
      <c r="BQ1137" t="str">
        <f>""</f>
        <v/>
      </c>
      <c r="BR1137" t="str">
        <f>"03/04/2023"</f>
        <v>03/04/2023</v>
      </c>
      <c r="BS1137" t="str">
        <f>""</f>
        <v/>
      </c>
      <c r="BT1137" t="str">
        <f>""</f>
        <v/>
      </c>
      <c r="BU1137" t="str">
        <f>""</f>
        <v/>
      </c>
      <c r="BV1137" t="str">
        <f>""</f>
        <v/>
      </c>
      <c r="BW1137" t="str">
        <f>"Não visitado"</f>
        <v>Não visitado</v>
      </c>
    </row>
    <row r="1138" spans="1:75" x14ac:dyDescent="0.35">
      <c r="A1138">
        <v>156910</v>
      </c>
      <c r="B1138" t="str">
        <f t="shared" si="545"/>
        <v>A</v>
      </c>
      <c r="C1138" t="str">
        <f t="shared" si="546"/>
        <v>80</v>
      </c>
      <c r="D1138" t="str">
        <f t="shared" si="535"/>
        <v>11121002</v>
      </c>
      <c r="E1138" t="str">
        <f t="shared" si="536"/>
        <v>121002</v>
      </c>
      <c r="F1138" t="str">
        <f t="shared" si="537"/>
        <v>CINTHIA NORONHA</v>
      </c>
      <c r="G1138" t="str">
        <f>"39545624000120"</f>
        <v>39545624000120</v>
      </c>
      <c r="H1138" t="str">
        <f>"0"</f>
        <v>0</v>
      </c>
      <c r="I1138" t="str">
        <f t="shared" si="547"/>
        <v>CONTA OPTICA</v>
      </c>
      <c r="J1138" t="str">
        <f>"RODRIGO TAVARES CANTO 02332061916"</f>
        <v>RODRIGO TAVARES CANTO 02332061916</v>
      </c>
      <c r="K1138" t="str">
        <f>"OTICA TAVARES (4529)"</f>
        <v>OTICA TAVARES (4529)</v>
      </c>
      <c r="L1138" t="str">
        <f>""</f>
        <v/>
      </c>
      <c r="M1138" t="str">
        <f>""</f>
        <v/>
      </c>
      <c r="N1138" t="str">
        <f>"OTICAEJOIATAVARES@GMAIL.COM"</f>
        <v>OTICAEJOIATAVARES@GMAIL.COM</v>
      </c>
      <c r="O1138" t="str">
        <f>""</f>
        <v/>
      </c>
      <c r="P1138" t="str">
        <f>"CONEGO ITAMAR LUIZ DA COSTA"</f>
        <v>CONEGO ITAMAR LUIZ DA COSTA</v>
      </c>
      <c r="Q1138" t="str">
        <f>"437"</f>
        <v>437</v>
      </c>
      <c r="R1138" t="str">
        <f>""</f>
        <v/>
      </c>
      <c r="S1138" t="str">
        <f>"1268"</f>
        <v>1268</v>
      </c>
      <c r="T1138" t="str">
        <f>"88780000"</f>
        <v>88780000</v>
      </c>
      <c r="U1138" t="str">
        <f>"NOVA BRASILIA"</f>
        <v>NOVA BRASILIA</v>
      </c>
      <c r="V1138" t="str">
        <f>"IMBITUBA"</f>
        <v>IMBITUBA</v>
      </c>
      <c r="W1138" t="str">
        <f t="shared" si="565"/>
        <v>SC</v>
      </c>
      <c r="X1138" t="str">
        <f t="shared" ref="X1138:X1143" si="572">"48"</f>
        <v>48</v>
      </c>
      <c r="Y1138" t="str">
        <f>"998137544"</f>
        <v>998137544</v>
      </c>
      <c r="Z1138" t="str">
        <f>""</f>
        <v/>
      </c>
      <c r="AA1138" t="str">
        <f>""</f>
        <v/>
      </c>
      <c r="AB1138" t="str">
        <f>""</f>
        <v/>
      </c>
      <c r="AC1138" t="str">
        <f>""</f>
        <v/>
      </c>
      <c r="AD1138" t="str">
        <f>""</f>
        <v/>
      </c>
      <c r="AE1138" t="str">
        <f>""</f>
        <v/>
      </c>
      <c r="AF1138" t="str">
        <f>""</f>
        <v/>
      </c>
      <c r="AG1138" t="str">
        <f>""</f>
        <v/>
      </c>
      <c r="AH1138" t="str">
        <f>""</f>
        <v/>
      </c>
      <c r="AI1138" t="str">
        <f>""</f>
        <v/>
      </c>
      <c r="AJ1138" t="str">
        <f>""</f>
        <v/>
      </c>
      <c r="AK1138" t="str">
        <f>""</f>
        <v/>
      </c>
      <c r="AL1138" t="str">
        <f>""</f>
        <v/>
      </c>
      <c r="AM1138" t="str">
        <f>""</f>
        <v/>
      </c>
      <c r="AN1138" t="str">
        <f>""</f>
        <v/>
      </c>
      <c r="AO1138" t="str">
        <f>""</f>
        <v/>
      </c>
      <c r="AP1138" t="str">
        <f>""</f>
        <v/>
      </c>
      <c r="AQ1138" t="str">
        <f>""</f>
        <v/>
      </c>
      <c r="AR1138" t="str">
        <f>""</f>
        <v/>
      </c>
      <c r="AS1138" t="str">
        <f>""</f>
        <v/>
      </c>
      <c r="AT1138" t="str">
        <f>""</f>
        <v/>
      </c>
      <c r="AU1138" t="str">
        <f>""</f>
        <v/>
      </c>
      <c r="AV1138" t="str">
        <f>""</f>
        <v/>
      </c>
      <c r="AW1138" t="str">
        <f>""</f>
        <v/>
      </c>
      <c r="AX1138" t="str">
        <f>""</f>
        <v/>
      </c>
      <c r="AY1138" t="str">
        <f>""</f>
        <v/>
      </c>
      <c r="AZ1138" t="str">
        <f>""</f>
        <v/>
      </c>
      <c r="BA1138" t="str">
        <f>""</f>
        <v/>
      </c>
      <c r="BB1138" t="str">
        <f>"06/07/2023 12:07:48"</f>
        <v>06/07/2023 12:07:48</v>
      </c>
      <c r="BC1138" t="str">
        <f>""</f>
        <v/>
      </c>
      <c r="BD1138" t="str">
        <f>""</f>
        <v/>
      </c>
      <c r="BE1138" t="str">
        <f>""</f>
        <v/>
      </c>
      <c r="BF1138" t="str">
        <f t="shared" si="548"/>
        <v>A</v>
      </c>
      <c r="BG1138" t="str">
        <f>""</f>
        <v/>
      </c>
      <c r="BH1138" t="str">
        <f>""</f>
        <v/>
      </c>
      <c r="BI1138" t="str">
        <f t="shared" si="567"/>
        <v>EVENTUAL</v>
      </c>
      <c r="BJ1138" t="str">
        <f t="shared" si="549"/>
        <v>1</v>
      </c>
      <c r="BK1138" t="str">
        <f t="shared" si="550"/>
        <v>Farmacia</v>
      </c>
      <c r="BL1138" t="str">
        <f>""</f>
        <v/>
      </c>
      <c r="BM1138" t="str">
        <f>""</f>
        <v/>
      </c>
      <c r="BN1138" t="str">
        <f>""</f>
        <v/>
      </c>
      <c r="BO1138" t="str">
        <f>""</f>
        <v/>
      </c>
      <c r="BP1138" t="str">
        <f>""</f>
        <v/>
      </c>
      <c r="BQ1138" t="str">
        <f>""</f>
        <v/>
      </c>
      <c r="BR1138" t="str">
        <f>"06/07/2023"</f>
        <v>06/07/2023</v>
      </c>
      <c r="BS1138" t="str">
        <f>""</f>
        <v/>
      </c>
      <c r="BT1138" t="str">
        <f>""</f>
        <v/>
      </c>
      <c r="BU1138" t="str">
        <f>""</f>
        <v/>
      </c>
      <c r="BV1138" t="str">
        <f>""</f>
        <v/>
      </c>
      <c r="BW1138" t="str">
        <f>"Não visitado"</f>
        <v>Não visitado</v>
      </c>
    </row>
    <row r="1139" spans="1:75" x14ac:dyDescent="0.35">
      <c r="A1139">
        <v>144555</v>
      </c>
      <c r="B1139" t="str">
        <f t="shared" si="545"/>
        <v>A</v>
      </c>
      <c r="C1139" t="str">
        <f t="shared" si="546"/>
        <v>80</v>
      </c>
      <c r="D1139" t="str">
        <f t="shared" si="535"/>
        <v>11121002</v>
      </c>
      <c r="E1139" t="str">
        <f t="shared" si="536"/>
        <v>121002</v>
      </c>
      <c r="F1139" t="str">
        <f t="shared" si="537"/>
        <v>CINTHIA NORONHA</v>
      </c>
      <c r="G1139" t="str">
        <f>"82962085000153"</f>
        <v>82962085000153</v>
      </c>
      <c r="H1139" t="str">
        <f>""</f>
        <v/>
      </c>
      <c r="I1139" t="str">
        <f t="shared" si="547"/>
        <v>CONTA OPTICA</v>
      </c>
      <c r="J1139" t="str">
        <f>"ROGERIO WENSING FELISBINO - ME"</f>
        <v>ROGERIO WENSING FELISBINO - ME</v>
      </c>
      <c r="K1139" t="str">
        <f>"ROGERIO JOALHERIA E OTICA (3806)"</f>
        <v>ROGERIO JOALHERIA E OTICA (3806)</v>
      </c>
      <c r="L1139" t="str">
        <f>""</f>
        <v/>
      </c>
      <c r="M1139" t="str">
        <f>""</f>
        <v/>
      </c>
      <c r="N1139" t="str">
        <f>"rogeriowf@hotmail.com"</f>
        <v>rogeriowf@hotmail.com</v>
      </c>
      <c r="O1139" t="str">
        <f>""</f>
        <v/>
      </c>
      <c r="P1139" t="str">
        <f>"RUA EMILIANO SA"</f>
        <v>RUA EMILIANO SA</v>
      </c>
      <c r="Q1139" t="str">
        <f>"688"</f>
        <v>688</v>
      </c>
      <c r="R1139" t="str">
        <f>"SALA 01"</f>
        <v>SALA 01</v>
      </c>
      <c r="S1139" t="str">
        <f>"1268"</f>
        <v>1268</v>
      </c>
      <c r="T1139" t="str">
        <f>"88740000"</f>
        <v>88740000</v>
      </c>
      <c r="U1139" t="str">
        <f>"CENTRO"</f>
        <v>CENTRO</v>
      </c>
      <c r="V1139" t="str">
        <f>"ARMAZÉM"</f>
        <v>ARMAZÉM</v>
      </c>
      <c r="W1139" t="str">
        <f t="shared" si="565"/>
        <v>SC</v>
      </c>
      <c r="X1139" t="str">
        <f t="shared" si="572"/>
        <v>48</v>
      </c>
      <c r="Y1139" t="str">
        <f>"36450078"</f>
        <v>36450078</v>
      </c>
      <c r="Z1139" t="str">
        <f>""</f>
        <v/>
      </c>
      <c r="AA1139" t="str">
        <f>""</f>
        <v/>
      </c>
      <c r="AB1139" t="str">
        <f>""</f>
        <v/>
      </c>
      <c r="AC1139" t="str">
        <f>""</f>
        <v/>
      </c>
      <c r="AD1139" t="str">
        <f>""</f>
        <v/>
      </c>
      <c r="AE1139" t="str">
        <f>""</f>
        <v/>
      </c>
      <c r="AF1139" t="str">
        <f>""</f>
        <v/>
      </c>
      <c r="AG1139" t="str">
        <f>""</f>
        <v/>
      </c>
      <c r="AH1139" t="str">
        <f>""</f>
        <v/>
      </c>
      <c r="AI1139" t="str">
        <f>""</f>
        <v/>
      </c>
      <c r="AJ1139" t="str">
        <f t="shared" ref="AJ1139:AL1141" si="573">"0"</f>
        <v>0</v>
      </c>
      <c r="AK1139" t="str">
        <f t="shared" si="573"/>
        <v>0</v>
      </c>
      <c r="AL1139" t="str">
        <f t="shared" si="573"/>
        <v>0</v>
      </c>
      <c r="AM1139" t="str">
        <f>""</f>
        <v/>
      </c>
      <c r="AN1139" t="str">
        <f>""</f>
        <v/>
      </c>
      <c r="AO1139" t="str">
        <f>""</f>
        <v/>
      </c>
      <c r="AP1139" t="str">
        <f>""</f>
        <v/>
      </c>
      <c r="AQ1139" t="str">
        <f>""</f>
        <v/>
      </c>
      <c r="AR1139" t="str">
        <f>""</f>
        <v/>
      </c>
      <c r="AS1139" t="str">
        <f>""</f>
        <v/>
      </c>
      <c r="AT1139" t="str">
        <f>""</f>
        <v/>
      </c>
      <c r="AU1139" t="str">
        <f>""</f>
        <v/>
      </c>
      <c r="AV1139" t="str">
        <f>""</f>
        <v/>
      </c>
      <c r="AW1139" t="str">
        <f>""</f>
        <v/>
      </c>
      <c r="AX1139" t="str">
        <f>""</f>
        <v/>
      </c>
      <c r="AY1139" t="str">
        <f>""</f>
        <v/>
      </c>
      <c r="AZ1139" t="str">
        <f>""</f>
        <v/>
      </c>
      <c r="BA1139" t="str">
        <f>""</f>
        <v/>
      </c>
      <c r="BB1139" t="str">
        <f>""</f>
        <v/>
      </c>
      <c r="BC1139" t="str">
        <f>""</f>
        <v/>
      </c>
      <c r="BD1139" t="str">
        <f>""</f>
        <v/>
      </c>
      <c r="BE1139" t="str">
        <f>""</f>
        <v/>
      </c>
      <c r="BF1139" t="str">
        <f t="shared" si="548"/>
        <v>A</v>
      </c>
      <c r="BG1139" t="str">
        <f t="shared" ref="BG1139:BH1141" si="574">"0,00"</f>
        <v>0,00</v>
      </c>
      <c r="BH1139" t="str">
        <f t="shared" si="574"/>
        <v>0,00</v>
      </c>
      <c r="BI1139" t="str">
        <f t="shared" si="567"/>
        <v>EVENTUAL</v>
      </c>
      <c r="BJ1139" t="str">
        <f t="shared" si="549"/>
        <v>1</v>
      </c>
      <c r="BK1139" t="str">
        <f t="shared" si="550"/>
        <v>Farmacia</v>
      </c>
      <c r="BL1139" t="str">
        <f>""</f>
        <v/>
      </c>
      <c r="BM1139" t="str">
        <f>"NÃO É VARILUX ESPECIALISTA"</f>
        <v>NÃO É VARILUX ESPECIALISTA</v>
      </c>
      <c r="BN1139" t="str">
        <f>"NA"</f>
        <v>NA</v>
      </c>
      <c r="BO1139" t="str">
        <f>"OUTROS"</f>
        <v>OUTROS</v>
      </c>
      <c r="BP1139" t="str">
        <f>""</f>
        <v/>
      </c>
      <c r="BQ1139" t="str">
        <f>""</f>
        <v/>
      </c>
      <c r="BR1139" t="str">
        <f>""</f>
        <v/>
      </c>
      <c r="BS1139" t="str">
        <f>""</f>
        <v/>
      </c>
      <c r="BT1139" t="str">
        <f>""</f>
        <v/>
      </c>
      <c r="BU1139" t="str">
        <f>""</f>
        <v/>
      </c>
      <c r="BV1139" t="str">
        <f>"9"</f>
        <v>9</v>
      </c>
      <c r="BW1139" t="str">
        <f>"31"</f>
        <v>31</v>
      </c>
    </row>
    <row r="1140" spans="1:75" x14ac:dyDescent="0.35">
      <c r="A1140">
        <v>144372</v>
      </c>
      <c r="B1140" t="str">
        <f t="shared" si="545"/>
        <v>A</v>
      </c>
      <c r="C1140" t="str">
        <f t="shared" si="546"/>
        <v>80</v>
      </c>
      <c r="D1140" t="str">
        <f t="shared" ref="D1140:D1203" si="575">"11121002"</f>
        <v>11121002</v>
      </c>
      <c r="E1140" t="str">
        <f t="shared" ref="E1140:E1203" si="576">"121002"</f>
        <v>121002</v>
      </c>
      <c r="F1140" t="str">
        <f t="shared" ref="F1140:F1203" si="577">"CINTHIA NORONHA"</f>
        <v>CINTHIA NORONHA</v>
      </c>
      <c r="G1140" t="str">
        <f>"80082795000163"</f>
        <v>80082795000163</v>
      </c>
      <c r="H1140" t="str">
        <f>""</f>
        <v/>
      </c>
      <c r="I1140" t="str">
        <f t="shared" si="547"/>
        <v>CONTA OPTICA</v>
      </c>
      <c r="J1140" t="str">
        <f>"RONALDO COSTA DORNEL ME"</f>
        <v>RONALDO COSTA DORNEL ME</v>
      </c>
      <c r="K1140" t="str">
        <f>"SAFIRA JOALHEIRIA E OTICA (162)"</f>
        <v>SAFIRA JOALHEIRIA E OTICA (162)</v>
      </c>
      <c r="L1140" t="str">
        <f>""</f>
        <v/>
      </c>
      <c r="M1140" t="str">
        <f>""</f>
        <v/>
      </c>
      <c r="N1140" t="str">
        <f>"safirafronteira@outlook.com"</f>
        <v>safirafronteira@outlook.com</v>
      </c>
      <c r="O1140" t="str">
        <f>""</f>
        <v/>
      </c>
      <c r="P1140" t="str">
        <f>"RUA DOUTOR RUPP JUNIOR"</f>
        <v>RUA DOUTOR RUPP JUNIOR</v>
      </c>
      <c r="Q1140" t="str">
        <f>"106"</f>
        <v>106</v>
      </c>
      <c r="R1140" t="str">
        <f>""</f>
        <v/>
      </c>
      <c r="S1140" t="str">
        <f>"1270"</f>
        <v>1270</v>
      </c>
      <c r="T1140" t="str">
        <f>"88920000"</f>
        <v>88920000</v>
      </c>
      <c r="U1140" t="str">
        <f>"CENTRO"</f>
        <v>CENTRO</v>
      </c>
      <c r="V1140" t="str">
        <f>"MELEIRO"</f>
        <v>MELEIRO</v>
      </c>
      <c r="W1140" t="str">
        <f t="shared" si="565"/>
        <v>SC</v>
      </c>
      <c r="X1140" t="str">
        <f t="shared" si="572"/>
        <v>48</v>
      </c>
      <c r="Y1140" t="str">
        <f>"35371210"</f>
        <v>35371210</v>
      </c>
      <c r="Z1140" t="str">
        <f>""</f>
        <v/>
      </c>
      <c r="AA1140" t="str">
        <f>""</f>
        <v/>
      </c>
      <c r="AB1140" t="str">
        <f>""</f>
        <v/>
      </c>
      <c r="AC1140" t="str">
        <f>""</f>
        <v/>
      </c>
      <c r="AD1140" t="str">
        <f>""</f>
        <v/>
      </c>
      <c r="AE1140" t="str">
        <f>""</f>
        <v/>
      </c>
      <c r="AF1140" t="str">
        <f>""</f>
        <v/>
      </c>
      <c r="AG1140" t="str">
        <f>""</f>
        <v/>
      </c>
      <c r="AH1140" t="str">
        <f>""</f>
        <v/>
      </c>
      <c r="AI1140" t="str">
        <f>""</f>
        <v/>
      </c>
      <c r="AJ1140" t="str">
        <f t="shared" si="573"/>
        <v>0</v>
      </c>
      <c r="AK1140" t="str">
        <f t="shared" si="573"/>
        <v>0</v>
      </c>
      <c r="AL1140" t="str">
        <f t="shared" si="573"/>
        <v>0</v>
      </c>
      <c r="AM1140" t="str">
        <f>""</f>
        <v/>
      </c>
      <c r="AN1140" t="str">
        <f>""</f>
        <v/>
      </c>
      <c r="AO1140" t="str">
        <f>""</f>
        <v/>
      </c>
      <c r="AP1140" t="str">
        <f>""</f>
        <v/>
      </c>
      <c r="AQ1140" t="str">
        <f>""</f>
        <v/>
      </c>
      <c r="AR1140" t="str">
        <f>""</f>
        <v/>
      </c>
      <c r="AS1140" t="str">
        <f>""</f>
        <v/>
      </c>
      <c r="AT1140" t="str">
        <f>""</f>
        <v/>
      </c>
      <c r="AU1140" t="str">
        <f>""</f>
        <v/>
      </c>
      <c r="AV1140" t="str">
        <f>""</f>
        <v/>
      </c>
      <c r="AW1140" t="str">
        <f>""</f>
        <v/>
      </c>
      <c r="AX1140" t="str">
        <f>""</f>
        <v/>
      </c>
      <c r="AY1140" t="str">
        <f>""</f>
        <v/>
      </c>
      <c r="AZ1140" t="str">
        <f>""</f>
        <v/>
      </c>
      <c r="BA1140" t="str">
        <f>""</f>
        <v/>
      </c>
      <c r="BB1140" t="str">
        <f>""</f>
        <v/>
      </c>
      <c r="BC1140" t="str">
        <f>""</f>
        <v/>
      </c>
      <c r="BD1140" t="str">
        <f>""</f>
        <v/>
      </c>
      <c r="BE1140" t="str">
        <f>""</f>
        <v/>
      </c>
      <c r="BF1140" t="str">
        <f t="shared" si="548"/>
        <v>A</v>
      </c>
      <c r="BG1140" t="str">
        <f t="shared" si="574"/>
        <v>0,00</v>
      </c>
      <c r="BH1140" t="str">
        <f t="shared" si="574"/>
        <v>0,00</v>
      </c>
      <c r="BI1140" t="str">
        <f t="shared" si="567"/>
        <v>EVENTUAL</v>
      </c>
      <c r="BJ1140" t="str">
        <f t="shared" si="549"/>
        <v>1</v>
      </c>
      <c r="BK1140" t="str">
        <f t="shared" si="550"/>
        <v>Farmacia</v>
      </c>
      <c r="BL1140" t="str">
        <f>""</f>
        <v/>
      </c>
      <c r="BM1140" t="str">
        <f>"NÃO É VARILUX ESPECIALISTA"</f>
        <v>NÃO É VARILUX ESPECIALISTA</v>
      </c>
      <c r="BN1140" t="str">
        <f>"NA"</f>
        <v>NA</v>
      </c>
      <c r="BO1140" t="str">
        <f>"FOCO KODAK 2"</f>
        <v>FOCO KODAK 2</v>
      </c>
      <c r="BP1140" t="str">
        <f>""</f>
        <v/>
      </c>
      <c r="BQ1140" t="str">
        <f>""</f>
        <v/>
      </c>
      <c r="BR1140" t="str">
        <f>""</f>
        <v/>
      </c>
      <c r="BS1140" t="str">
        <f>""</f>
        <v/>
      </c>
      <c r="BT1140" t="str">
        <f>""</f>
        <v/>
      </c>
      <c r="BU1140" t="str">
        <f>""</f>
        <v/>
      </c>
      <c r="BV1140" t="str">
        <f>"9"</f>
        <v>9</v>
      </c>
      <c r="BW1140" t="str">
        <f>"8"</f>
        <v>8</v>
      </c>
    </row>
    <row r="1141" spans="1:75" x14ac:dyDescent="0.35">
      <c r="A1141">
        <v>144348</v>
      </c>
      <c r="B1141" t="str">
        <f t="shared" si="545"/>
        <v>A</v>
      </c>
      <c r="C1141" t="str">
        <f t="shared" si="546"/>
        <v>80</v>
      </c>
      <c r="D1141" t="str">
        <f t="shared" si="575"/>
        <v>11121002</v>
      </c>
      <c r="E1141" t="str">
        <f t="shared" si="576"/>
        <v>121002</v>
      </c>
      <c r="F1141" t="str">
        <f t="shared" si="577"/>
        <v>CINTHIA NORONHA</v>
      </c>
      <c r="G1141" t="str">
        <f>"20730666000102"</f>
        <v>20730666000102</v>
      </c>
      <c r="H1141" t="str">
        <f>""</f>
        <v/>
      </c>
      <c r="I1141" t="str">
        <f t="shared" si="547"/>
        <v>CONTA OPTICA</v>
      </c>
      <c r="J1141" t="str">
        <f>"ROQUE MARTINS DA ROSA - ME"</f>
        <v>ROQUE MARTINS DA ROSA - ME</v>
      </c>
      <c r="K1141" t="str">
        <f>"FOTO, JOALHERIA E OTICA SAO ROQUE (2233)"</f>
        <v>FOTO, JOALHERIA E OTICA SAO ROQUE (2233)</v>
      </c>
      <c r="L1141" t="str">
        <f>""</f>
        <v/>
      </c>
      <c r="M1141" t="str">
        <f>""</f>
        <v/>
      </c>
      <c r="N1141" t="str">
        <f>"rosane-silva54@hotmail.com"</f>
        <v>rosane-silva54@hotmail.com</v>
      </c>
      <c r="O1141" t="str">
        <f>""</f>
        <v/>
      </c>
      <c r="P1141" t="str">
        <f>"RUA DOUTOR NEREU RAMOS"</f>
        <v>RUA DOUTOR NEREU RAMOS</v>
      </c>
      <c r="Q1141" t="str">
        <f>"170"</f>
        <v>170</v>
      </c>
      <c r="R1141" t="str">
        <f>"SALA 04"</f>
        <v>SALA 04</v>
      </c>
      <c r="S1141" t="str">
        <f>"1270"</f>
        <v>1270</v>
      </c>
      <c r="T1141" t="str">
        <f>"88950000"</f>
        <v>88950000</v>
      </c>
      <c r="U1141" t="str">
        <f>"CENTRO"</f>
        <v>CENTRO</v>
      </c>
      <c r="V1141" t="str">
        <f>"JACINTO MACHADO"</f>
        <v>JACINTO MACHADO</v>
      </c>
      <c r="W1141" t="str">
        <f t="shared" si="565"/>
        <v>SC</v>
      </c>
      <c r="X1141" t="str">
        <f t="shared" si="572"/>
        <v>48</v>
      </c>
      <c r="Y1141" t="str">
        <f>"35351473"</f>
        <v>35351473</v>
      </c>
      <c r="Z1141" t="str">
        <f>""</f>
        <v/>
      </c>
      <c r="AA1141" t="str">
        <f>""</f>
        <v/>
      </c>
      <c r="AB1141" t="str">
        <f>""</f>
        <v/>
      </c>
      <c r="AC1141" t="str">
        <f>""</f>
        <v/>
      </c>
      <c r="AD1141" t="str">
        <f>""</f>
        <v/>
      </c>
      <c r="AE1141" t="str">
        <f>""</f>
        <v/>
      </c>
      <c r="AF1141" t="str">
        <f>""</f>
        <v/>
      </c>
      <c r="AG1141" t="str">
        <f>""</f>
        <v/>
      </c>
      <c r="AH1141" t="str">
        <f>""</f>
        <v/>
      </c>
      <c r="AI1141" t="str">
        <f>""</f>
        <v/>
      </c>
      <c r="AJ1141" t="str">
        <f t="shared" si="573"/>
        <v>0</v>
      </c>
      <c r="AK1141" t="str">
        <f t="shared" si="573"/>
        <v>0</v>
      </c>
      <c r="AL1141" t="str">
        <f t="shared" si="573"/>
        <v>0</v>
      </c>
      <c r="AM1141" t="str">
        <f>""</f>
        <v/>
      </c>
      <c r="AN1141" t="str">
        <f>""</f>
        <v/>
      </c>
      <c r="AO1141" t="str">
        <f>""</f>
        <v/>
      </c>
      <c r="AP1141" t="str">
        <f>""</f>
        <v/>
      </c>
      <c r="AQ1141" t="str">
        <f>""</f>
        <v/>
      </c>
      <c r="AR1141" t="str">
        <f>""</f>
        <v/>
      </c>
      <c r="AS1141" t="str">
        <f>""</f>
        <v/>
      </c>
      <c r="AT1141" t="str">
        <f>""</f>
        <v/>
      </c>
      <c r="AU1141" t="str">
        <f>""</f>
        <v/>
      </c>
      <c r="AV1141" t="str">
        <f>""</f>
        <v/>
      </c>
      <c r="AW1141" t="str">
        <f>""</f>
        <v/>
      </c>
      <c r="AX1141" t="str">
        <f>""</f>
        <v/>
      </c>
      <c r="AY1141" t="str">
        <f>""</f>
        <v/>
      </c>
      <c r="AZ1141" t="str">
        <f>""</f>
        <v/>
      </c>
      <c r="BA1141" t="str">
        <f>""</f>
        <v/>
      </c>
      <c r="BB1141" t="str">
        <f>""</f>
        <v/>
      </c>
      <c r="BC1141" t="str">
        <f>""</f>
        <v/>
      </c>
      <c r="BD1141" t="str">
        <f>""</f>
        <v/>
      </c>
      <c r="BE1141" t="str">
        <f>""</f>
        <v/>
      </c>
      <c r="BF1141" t="str">
        <f t="shared" si="548"/>
        <v>A</v>
      </c>
      <c r="BG1141" t="str">
        <f t="shared" si="574"/>
        <v>0,00</v>
      </c>
      <c r="BH1141" t="str">
        <f t="shared" si="574"/>
        <v>0,00</v>
      </c>
      <c r="BI1141" t="str">
        <f t="shared" si="567"/>
        <v>EVENTUAL</v>
      </c>
      <c r="BJ1141" t="str">
        <f t="shared" si="549"/>
        <v>1</v>
      </c>
      <c r="BK1141" t="str">
        <f t="shared" si="550"/>
        <v>Farmacia</v>
      </c>
      <c r="BL1141" t="str">
        <f>""</f>
        <v/>
      </c>
      <c r="BM1141" t="str">
        <f>"NÃO É VARILUX ESPECIALISTA"</f>
        <v>NÃO É VARILUX ESPECIALISTA</v>
      </c>
      <c r="BN1141" t="str">
        <f>"NA"</f>
        <v>NA</v>
      </c>
      <c r="BO1141" t="str">
        <f>"FOCO KODAK 2"</f>
        <v>FOCO KODAK 2</v>
      </c>
      <c r="BP1141" t="str">
        <f>""</f>
        <v/>
      </c>
      <c r="BQ1141" t="str">
        <f>""</f>
        <v/>
      </c>
      <c r="BR1141" t="str">
        <f>""</f>
        <v/>
      </c>
      <c r="BS1141" t="str">
        <f>""</f>
        <v/>
      </c>
      <c r="BT1141" t="str">
        <f>""</f>
        <v/>
      </c>
      <c r="BU1141" t="str">
        <f>""</f>
        <v/>
      </c>
      <c r="BV1141" t="str">
        <f>"9"</f>
        <v>9</v>
      </c>
      <c r="BW1141" t="str">
        <f>"64"</f>
        <v>64</v>
      </c>
    </row>
    <row r="1142" spans="1:75" x14ac:dyDescent="0.35">
      <c r="A1142">
        <v>156956</v>
      </c>
      <c r="B1142" t="str">
        <f t="shared" si="545"/>
        <v>A</v>
      </c>
      <c r="C1142" t="str">
        <f t="shared" si="546"/>
        <v>80</v>
      </c>
      <c r="D1142" t="str">
        <f t="shared" si="575"/>
        <v>11121002</v>
      </c>
      <c r="E1142" t="str">
        <f t="shared" si="576"/>
        <v>121002</v>
      </c>
      <c r="F1142" t="str">
        <f t="shared" si="577"/>
        <v>CINTHIA NORONHA</v>
      </c>
      <c r="G1142" t="str">
        <f>"26128237000146"</f>
        <v>26128237000146</v>
      </c>
      <c r="H1142" t="str">
        <f>"0"</f>
        <v>0</v>
      </c>
      <c r="I1142" t="str">
        <f t="shared" si="547"/>
        <v>CONTA OPTICA</v>
      </c>
      <c r="J1142" t="str">
        <f>"ROSENEIDE TEIXEIRA 03059434999"</f>
        <v>ROSENEIDE TEIXEIRA 03059434999</v>
      </c>
      <c r="K1142" t="str">
        <f>"OTICA ARMACAO (3348)"</f>
        <v>OTICA ARMACAO (3348)</v>
      </c>
      <c r="L1142" t="str">
        <f>""</f>
        <v/>
      </c>
      <c r="M1142" t="str">
        <f>""</f>
        <v/>
      </c>
      <c r="N1142" t="str">
        <f>"NEIDE_BABYJU@HOTMAIL.COM"</f>
        <v>NEIDE_BABYJU@HOTMAIL.COM</v>
      </c>
      <c r="O1142" t="str">
        <f>""</f>
        <v/>
      </c>
      <c r="P1142" t="str">
        <f>"RUA GERINO BELMIRO DOS SANTOS"</f>
        <v>RUA GERINO BELMIRO DOS SANTOS</v>
      </c>
      <c r="Q1142" t="str">
        <f>"SN"</f>
        <v>SN</v>
      </c>
      <c r="R1142" t="str">
        <f>"LOJA"</f>
        <v>LOJA</v>
      </c>
      <c r="S1142" t="str">
        <f>"1259"</f>
        <v>1259</v>
      </c>
      <c r="T1142" t="str">
        <f>"88190000"</f>
        <v>88190000</v>
      </c>
      <c r="U1142" t="str">
        <f>"FAZENDA DA ARMAÇÃO"</f>
        <v>FAZENDA DA ARMAÇÃO</v>
      </c>
      <c r="V1142" t="str">
        <f>"GOVERNADOR CELSO RAMOS"</f>
        <v>GOVERNADOR CELSO RAMOS</v>
      </c>
      <c r="W1142" t="str">
        <f t="shared" si="565"/>
        <v>SC</v>
      </c>
      <c r="X1142" t="str">
        <f t="shared" si="572"/>
        <v>48</v>
      </c>
      <c r="Y1142" t="str">
        <f>"32627497"</f>
        <v>32627497</v>
      </c>
      <c r="Z1142" t="str">
        <f>""</f>
        <v/>
      </c>
      <c r="AA1142" t="str">
        <f>""</f>
        <v/>
      </c>
      <c r="AB1142" t="str">
        <f>""</f>
        <v/>
      </c>
      <c r="AC1142" t="str">
        <f>""</f>
        <v/>
      </c>
      <c r="AD1142" t="str">
        <f>""</f>
        <v/>
      </c>
      <c r="AE1142" t="str">
        <f>""</f>
        <v/>
      </c>
      <c r="AF1142" t="str">
        <f>""</f>
        <v/>
      </c>
      <c r="AG1142" t="str">
        <f>""</f>
        <v/>
      </c>
      <c r="AH1142" t="str">
        <f>""</f>
        <v/>
      </c>
      <c r="AI1142" t="str">
        <f>""</f>
        <v/>
      </c>
      <c r="AJ1142" t="str">
        <f>""</f>
        <v/>
      </c>
      <c r="AK1142" t="str">
        <f>""</f>
        <v/>
      </c>
      <c r="AL1142" t="str">
        <f>""</f>
        <v/>
      </c>
      <c r="AM1142" t="str">
        <f>""</f>
        <v/>
      </c>
      <c r="AN1142" t="str">
        <f>""</f>
        <v/>
      </c>
      <c r="AO1142" t="str">
        <f>""</f>
        <v/>
      </c>
      <c r="AP1142" t="str">
        <f>""</f>
        <v/>
      </c>
      <c r="AQ1142" t="str">
        <f>""</f>
        <v/>
      </c>
      <c r="AR1142" t="str">
        <f>""</f>
        <v/>
      </c>
      <c r="AS1142" t="str">
        <f>""</f>
        <v/>
      </c>
      <c r="AT1142" t="str">
        <f>""</f>
        <v/>
      </c>
      <c r="AU1142" t="str">
        <f>""</f>
        <v/>
      </c>
      <c r="AV1142" t="str">
        <f>""</f>
        <v/>
      </c>
      <c r="AW1142" t="str">
        <f>""</f>
        <v/>
      </c>
      <c r="AX1142" t="str">
        <f>""</f>
        <v/>
      </c>
      <c r="AY1142" t="str">
        <f>""</f>
        <v/>
      </c>
      <c r="AZ1142" t="str">
        <f>""</f>
        <v/>
      </c>
      <c r="BA1142" t="str">
        <f>""</f>
        <v/>
      </c>
      <c r="BB1142" t="str">
        <f>"06/07/2023 12:07:48"</f>
        <v>06/07/2023 12:07:48</v>
      </c>
      <c r="BC1142" t="str">
        <f>""</f>
        <v/>
      </c>
      <c r="BD1142" t="str">
        <f>""</f>
        <v/>
      </c>
      <c r="BE1142" t="str">
        <f>""</f>
        <v/>
      </c>
      <c r="BF1142" t="str">
        <f t="shared" si="548"/>
        <v>A</v>
      </c>
      <c r="BG1142" t="str">
        <f>""</f>
        <v/>
      </c>
      <c r="BH1142" t="str">
        <f>""</f>
        <v/>
      </c>
      <c r="BI1142" t="str">
        <f t="shared" si="567"/>
        <v>EVENTUAL</v>
      </c>
      <c r="BJ1142" t="str">
        <f t="shared" si="549"/>
        <v>1</v>
      </c>
      <c r="BK1142" t="str">
        <f t="shared" si="550"/>
        <v>Farmacia</v>
      </c>
      <c r="BL1142" t="str">
        <f>""</f>
        <v/>
      </c>
      <c r="BM1142" t="str">
        <f>""</f>
        <v/>
      </c>
      <c r="BN1142" t="str">
        <f>""</f>
        <v/>
      </c>
      <c r="BO1142" t="str">
        <f>""</f>
        <v/>
      </c>
      <c r="BP1142" t="str">
        <f>""</f>
        <v/>
      </c>
      <c r="BQ1142" t="str">
        <f>""</f>
        <v/>
      </c>
      <c r="BR1142" t="str">
        <f>"06/07/2023"</f>
        <v>06/07/2023</v>
      </c>
      <c r="BS1142" t="str">
        <f>""</f>
        <v/>
      </c>
      <c r="BT1142" t="str">
        <f>""</f>
        <v/>
      </c>
      <c r="BU1142" t="str">
        <f>""</f>
        <v/>
      </c>
      <c r="BV1142" t="str">
        <f>""</f>
        <v/>
      </c>
      <c r="BW1142" t="str">
        <f>"Não visitado"</f>
        <v>Não visitado</v>
      </c>
    </row>
    <row r="1143" spans="1:75" x14ac:dyDescent="0.35">
      <c r="A1143">
        <v>134543</v>
      </c>
      <c r="B1143" t="str">
        <f t="shared" si="545"/>
        <v>A</v>
      </c>
      <c r="C1143" t="str">
        <f t="shared" si="546"/>
        <v>80</v>
      </c>
      <c r="D1143" t="str">
        <f t="shared" si="575"/>
        <v>11121002</v>
      </c>
      <c r="E1143" t="str">
        <f t="shared" si="576"/>
        <v>121002</v>
      </c>
      <c r="F1143" t="str">
        <f t="shared" si="577"/>
        <v>CINTHIA NORONHA</v>
      </c>
      <c r="G1143" t="str">
        <f>"29018552000109"</f>
        <v>29018552000109</v>
      </c>
      <c r="H1143" t="str">
        <f>""</f>
        <v/>
      </c>
      <c r="I1143" t="str">
        <f t="shared" si="547"/>
        <v>CONTA OPTICA</v>
      </c>
      <c r="J1143" t="str">
        <f>"ROSSI COMERCIO DE PRODUTOS OPTICOS E ACESSORIOS LTDA"</f>
        <v>ROSSI COMERCIO DE PRODUTOS OPTICOS E ACESSORIOS LTDA</v>
      </c>
      <c r="K1143" t="str">
        <f>"OTICA CAPITAL (4202)"</f>
        <v>OTICA CAPITAL (4202)</v>
      </c>
      <c r="L1143" t="str">
        <f>""</f>
        <v/>
      </c>
      <c r="M1143" t="str">
        <f>""</f>
        <v/>
      </c>
      <c r="N1143" t="str">
        <f>"oticacapital_sc@outlook.com"</f>
        <v>oticacapital_sc@outlook.com</v>
      </c>
      <c r="O1143" t="str">
        <f>""</f>
        <v/>
      </c>
      <c r="P1143" t="str">
        <f>"RUA FELIPE SCHMIDT"</f>
        <v>RUA FELIPE SCHMIDT</v>
      </c>
      <c r="Q1143" t="str">
        <f>"186"</f>
        <v>186</v>
      </c>
      <c r="R1143" t="str">
        <f>"LOJA 06"</f>
        <v>LOJA 06</v>
      </c>
      <c r="S1143" t="str">
        <f>"1254"</f>
        <v>1254</v>
      </c>
      <c r="T1143" t="str">
        <f>"88010000"</f>
        <v>88010000</v>
      </c>
      <c r="U1143" t="str">
        <f>"CENTRO"</f>
        <v>CENTRO</v>
      </c>
      <c r="V1143" t="str">
        <f>"FLORIANÓPOLIS"</f>
        <v>FLORIANÓPOLIS</v>
      </c>
      <c r="W1143" t="str">
        <f t="shared" si="565"/>
        <v>SC</v>
      </c>
      <c r="X1143" t="str">
        <f t="shared" si="572"/>
        <v>48</v>
      </c>
      <c r="Y1143" t="str">
        <f>"30283946"</f>
        <v>30283946</v>
      </c>
      <c r="Z1143" t="str">
        <f>""</f>
        <v/>
      </c>
      <c r="AA1143" t="str">
        <f>""</f>
        <v/>
      </c>
      <c r="AB1143" t="str">
        <f>""</f>
        <v/>
      </c>
      <c r="AC1143" t="str">
        <f>""</f>
        <v/>
      </c>
      <c r="AD1143" t="str">
        <f>""</f>
        <v/>
      </c>
      <c r="AE1143" t="str">
        <f>""</f>
        <v/>
      </c>
      <c r="AF1143" t="str">
        <f>""</f>
        <v/>
      </c>
      <c r="AG1143" t="str">
        <f>"S"</f>
        <v>S</v>
      </c>
      <c r="AH1143" t="str">
        <f>""</f>
        <v/>
      </c>
      <c r="AI1143" t="str">
        <f>""</f>
        <v/>
      </c>
      <c r="AJ1143" t="str">
        <f>""</f>
        <v/>
      </c>
      <c r="AK1143" t="str">
        <f>""</f>
        <v/>
      </c>
      <c r="AL1143" t="str">
        <f>""</f>
        <v/>
      </c>
      <c r="AM1143" t="str">
        <f>""</f>
        <v/>
      </c>
      <c r="AN1143" t="str">
        <f>""</f>
        <v/>
      </c>
      <c r="AO1143" t="str">
        <f>""</f>
        <v/>
      </c>
      <c r="AP1143" t="str">
        <f>""</f>
        <v/>
      </c>
      <c r="AQ1143" t="str">
        <f>"N"</f>
        <v>N</v>
      </c>
      <c r="AR1143" t="str">
        <f>"N"</f>
        <v>N</v>
      </c>
      <c r="AS1143" t="str">
        <f>"N"</f>
        <v>N</v>
      </c>
      <c r="AT1143" t="str">
        <f>"N"</f>
        <v>N</v>
      </c>
      <c r="AU1143" t="str">
        <f>"N"</f>
        <v>N</v>
      </c>
      <c r="AV1143" t="str">
        <f>""</f>
        <v/>
      </c>
      <c r="AW1143" t="str">
        <f>""</f>
        <v/>
      </c>
      <c r="AX1143" t="str">
        <f>""</f>
        <v/>
      </c>
      <c r="AY1143" t="str">
        <f>""</f>
        <v/>
      </c>
      <c r="AZ1143" t="str">
        <f>""</f>
        <v/>
      </c>
      <c r="BA1143" t="str">
        <f>""</f>
        <v/>
      </c>
      <c r="BB1143" t="str">
        <f>""</f>
        <v/>
      </c>
      <c r="BC1143" t="str">
        <f>"10/07/2023 10:09:32"</f>
        <v>10/07/2023 10:09:32</v>
      </c>
      <c r="BD1143" t="str">
        <f>""</f>
        <v/>
      </c>
      <c r="BE1143" t="str">
        <f>""</f>
        <v/>
      </c>
      <c r="BF1143" t="str">
        <f t="shared" si="548"/>
        <v>A</v>
      </c>
      <c r="BG1143" t="str">
        <f>""</f>
        <v/>
      </c>
      <c r="BH1143" t="str">
        <f>"0,00"</f>
        <v>0,00</v>
      </c>
      <c r="BI1143" t="str">
        <f t="shared" si="567"/>
        <v>EVENTUAL</v>
      </c>
      <c r="BJ1143" t="str">
        <f t="shared" si="549"/>
        <v>1</v>
      </c>
      <c r="BK1143" t="str">
        <f t="shared" si="550"/>
        <v>Farmacia</v>
      </c>
      <c r="BL1143" t="str">
        <f>""</f>
        <v/>
      </c>
      <c r="BM1143" t="str">
        <f>"NÃO É VARILUX ESPECIALISTA"</f>
        <v>NÃO É VARILUX ESPECIALISTA</v>
      </c>
      <c r="BN1143" t="str">
        <f>"NA"</f>
        <v>NA</v>
      </c>
      <c r="BO1143" t="str">
        <f>"FOCO VARILUX DIGITAL"</f>
        <v>FOCO VARILUX DIGITAL</v>
      </c>
      <c r="BP1143" t="str">
        <f>""</f>
        <v/>
      </c>
      <c r="BQ1143" t="str">
        <f>""</f>
        <v/>
      </c>
      <c r="BR1143" t="str">
        <f>""</f>
        <v/>
      </c>
      <c r="BS1143" t="str">
        <f>"10/07/2023"</f>
        <v>10/07/2023</v>
      </c>
      <c r="BT1143" t="str">
        <f>""</f>
        <v/>
      </c>
      <c r="BU1143" t="str">
        <f>""</f>
        <v/>
      </c>
      <c r="BV1143" t="str">
        <f>""</f>
        <v/>
      </c>
      <c r="BW1143" t="str">
        <f>"137"</f>
        <v>137</v>
      </c>
    </row>
    <row r="1144" spans="1:75" x14ac:dyDescent="0.35">
      <c r="A1144">
        <v>157653</v>
      </c>
      <c r="B1144" t="str">
        <f t="shared" si="545"/>
        <v>A</v>
      </c>
      <c r="C1144" t="str">
        <f t="shared" si="546"/>
        <v>80</v>
      </c>
      <c r="D1144" t="str">
        <f t="shared" si="575"/>
        <v>11121002</v>
      </c>
      <c r="E1144" t="str">
        <f t="shared" si="576"/>
        <v>121002</v>
      </c>
      <c r="F1144" t="str">
        <f t="shared" si="577"/>
        <v>CINTHIA NORONHA</v>
      </c>
      <c r="G1144" t="str">
        <f>"07563404000132"</f>
        <v>07563404000132</v>
      </c>
      <c r="H1144" t="str">
        <f>"0"</f>
        <v>0</v>
      </c>
      <c r="I1144" t="str">
        <f t="shared" si="547"/>
        <v>CONTA OPTICA</v>
      </c>
      <c r="J1144" t="str">
        <f>"ROTARY CLUB DE CRICIUMA"</f>
        <v>ROTARY CLUB DE CRICIUMA</v>
      </c>
      <c r="K1144" t="str">
        <f>"ROTARY CLUB DE CRICIUMA (3837)"</f>
        <v>ROTARY CLUB DE CRICIUMA (3837)</v>
      </c>
      <c r="L1144" t="str">
        <f>""</f>
        <v/>
      </c>
      <c r="M1144" t="str">
        <f>""</f>
        <v/>
      </c>
      <c r="N1144" t="str">
        <f>"ROTARYCRICIUMAOESTE@HOTMAIL.COM"</f>
        <v>ROTARYCRICIUMAOESTE@HOTMAIL.COM</v>
      </c>
      <c r="O1144" t="str">
        <f>""</f>
        <v/>
      </c>
      <c r="P1144" t="str">
        <f>"RUA DESEMBARGADOR PEDRO SILVA"</f>
        <v>RUA DESEMBARGADOR PEDRO SILVA</v>
      </c>
      <c r="Q1144" t="str">
        <f>"690"</f>
        <v>690</v>
      </c>
      <c r="R1144" t="str">
        <f>""</f>
        <v/>
      </c>
      <c r="S1144" t="str">
        <f>"1269"</f>
        <v>1269</v>
      </c>
      <c r="T1144" t="str">
        <f>"88802300"</f>
        <v>88802300</v>
      </c>
      <c r="U1144" t="str">
        <f>"COMERCIARIO"</f>
        <v>COMERCIARIO</v>
      </c>
      <c r="V1144" t="str">
        <f>"CRICIUMA"</f>
        <v>CRICIUMA</v>
      </c>
      <c r="W1144" t="str">
        <f t="shared" si="565"/>
        <v>SC</v>
      </c>
      <c r="X1144" t="str">
        <f>""</f>
        <v/>
      </c>
      <c r="Y1144" t="str">
        <f>""</f>
        <v/>
      </c>
      <c r="Z1144" t="str">
        <f>""</f>
        <v/>
      </c>
      <c r="AA1144" t="str">
        <f>""</f>
        <v/>
      </c>
      <c r="AB1144" t="str">
        <f>""</f>
        <v/>
      </c>
      <c r="AC1144" t="str">
        <f>""</f>
        <v/>
      </c>
      <c r="AD1144" t="str">
        <f>""</f>
        <v/>
      </c>
      <c r="AE1144" t="str">
        <f>""</f>
        <v/>
      </c>
      <c r="AF1144" t="str">
        <f>""</f>
        <v/>
      </c>
      <c r="AG1144" t="str">
        <f>""</f>
        <v/>
      </c>
      <c r="AH1144" t="str">
        <f>""</f>
        <v/>
      </c>
      <c r="AI1144" t="str">
        <f>""</f>
        <v/>
      </c>
      <c r="AJ1144" t="str">
        <f>""</f>
        <v/>
      </c>
      <c r="AK1144" t="str">
        <f>""</f>
        <v/>
      </c>
      <c r="AL1144" t="str">
        <f>""</f>
        <v/>
      </c>
      <c r="AM1144" t="str">
        <f>""</f>
        <v/>
      </c>
      <c r="AN1144" t="str">
        <f>""</f>
        <v/>
      </c>
      <c r="AO1144" t="str">
        <f>""</f>
        <v/>
      </c>
      <c r="AP1144" t="str">
        <f>""</f>
        <v/>
      </c>
      <c r="AQ1144" t="str">
        <f>""</f>
        <v/>
      </c>
      <c r="AR1144" t="str">
        <f>""</f>
        <v/>
      </c>
      <c r="AS1144" t="str">
        <f>""</f>
        <v/>
      </c>
      <c r="AT1144" t="str">
        <f>""</f>
        <v/>
      </c>
      <c r="AU1144" t="str">
        <f>""</f>
        <v/>
      </c>
      <c r="AV1144" t="str">
        <f>""</f>
        <v/>
      </c>
      <c r="AW1144" t="str">
        <f>""</f>
        <v/>
      </c>
      <c r="AX1144" t="str">
        <f>""</f>
        <v/>
      </c>
      <c r="AY1144" t="str">
        <f>""</f>
        <v/>
      </c>
      <c r="AZ1144" t="str">
        <f>""</f>
        <v/>
      </c>
      <c r="BA1144" t="str">
        <f>""</f>
        <v/>
      </c>
      <c r="BB1144" t="str">
        <f>"11/07/2023 02:19:56"</f>
        <v>11/07/2023 02:19:56</v>
      </c>
      <c r="BC1144" t="str">
        <f>""</f>
        <v/>
      </c>
      <c r="BD1144" t="str">
        <f>""</f>
        <v/>
      </c>
      <c r="BE1144" t="str">
        <f>""</f>
        <v/>
      </c>
      <c r="BF1144" t="str">
        <f t="shared" si="548"/>
        <v>A</v>
      </c>
      <c r="BG1144" t="str">
        <f>""</f>
        <v/>
      </c>
      <c r="BH1144" t="str">
        <f>""</f>
        <v/>
      </c>
      <c r="BI1144" t="str">
        <f t="shared" si="567"/>
        <v>EVENTUAL</v>
      </c>
      <c r="BJ1144" t="str">
        <f t="shared" si="549"/>
        <v>1</v>
      </c>
      <c r="BK1144" t="str">
        <f t="shared" si="550"/>
        <v>Farmacia</v>
      </c>
      <c r="BL1144" t="str">
        <f>""</f>
        <v/>
      </c>
      <c r="BM1144" t="str">
        <f>""</f>
        <v/>
      </c>
      <c r="BN1144" t="str">
        <f>""</f>
        <v/>
      </c>
      <c r="BO1144" t="str">
        <f>""</f>
        <v/>
      </c>
      <c r="BP1144" t="str">
        <f>""</f>
        <v/>
      </c>
      <c r="BQ1144" t="str">
        <f>""</f>
        <v/>
      </c>
      <c r="BR1144" t="str">
        <f>"11/07/2023"</f>
        <v>11/07/2023</v>
      </c>
      <c r="BS1144" t="str">
        <f>""</f>
        <v/>
      </c>
      <c r="BT1144" t="str">
        <f>""</f>
        <v/>
      </c>
      <c r="BU1144" t="str">
        <f>""</f>
        <v/>
      </c>
      <c r="BV1144" t="str">
        <f>""</f>
        <v/>
      </c>
      <c r="BW1144" t="str">
        <f>"Não visitado"</f>
        <v>Não visitado</v>
      </c>
    </row>
    <row r="1145" spans="1:75" x14ac:dyDescent="0.35">
      <c r="A1145">
        <v>134313</v>
      </c>
      <c r="B1145" t="str">
        <f t="shared" si="545"/>
        <v>A</v>
      </c>
      <c r="C1145" t="str">
        <f t="shared" si="546"/>
        <v>80</v>
      </c>
      <c r="D1145" t="str">
        <f t="shared" si="575"/>
        <v>11121002</v>
      </c>
      <c r="E1145" t="str">
        <f t="shared" si="576"/>
        <v>121002</v>
      </c>
      <c r="F1145" t="str">
        <f t="shared" si="577"/>
        <v>CINTHIA NORONHA</v>
      </c>
      <c r="G1145" t="str">
        <f>"29450295000180"</f>
        <v>29450295000180</v>
      </c>
      <c r="H1145" t="str">
        <f>""</f>
        <v/>
      </c>
      <c r="I1145" t="str">
        <f t="shared" si="547"/>
        <v>CONTA OPTICA</v>
      </c>
      <c r="J1145" t="str">
        <f>"RR BRAVO RIBEIRO COMERCIO EIRELE LTDA"</f>
        <v>RR BRAVO RIBEIRO COMERCIO EIRELE LTDA</v>
      </c>
      <c r="K1145" t="str">
        <f>"CHILLI BEANS LAGOA DA CONCEICAO (3971)"</f>
        <v>CHILLI BEANS LAGOA DA CONCEICAO (3971)</v>
      </c>
      <c r="L1145" t="str">
        <f>""</f>
        <v/>
      </c>
      <c r="M1145" t="str">
        <f>""</f>
        <v/>
      </c>
      <c r="N1145" t="str">
        <f>"renatoribeiroribeiro@gmail.com"</f>
        <v>renatoribeiroribeiro@gmail.com</v>
      </c>
      <c r="O1145" t="str">
        <f>""</f>
        <v/>
      </c>
      <c r="P1145" t="str">
        <f>"RUA MANOEL SEVERINO DE OLIVEIRA"</f>
        <v>RUA MANOEL SEVERINO DE OLIVEIRA</v>
      </c>
      <c r="Q1145" t="str">
        <f>"653"</f>
        <v>653</v>
      </c>
      <c r="R1145" t="str">
        <f>"LOJA 1 IMPERIAL"</f>
        <v>LOJA 1 IMPERIAL</v>
      </c>
      <c r="S1145" t="str">
        <f>"1257"</f>
        <v>1257</v>
      </c>
      <c r="T1145" t="str">
        <f>"88062120"</f>
        <v>88062120</v>
      </c>
      <c r="U1145" t="str">
        <f>"LAGO DA CONCEICAO"</f>
        <v>LAGO DA CONCEICAO</v>
      </c>
      <c r="V1145" t="str">
        <f>"FLORIANOPOLIS"</f>
        <v>FLORIANOPOLIS</v>
      </c>
      <c r="W1145" t="str">
        <f t="shared" si="565"/>
        <v>SC</v>
      </c>
      <c r="X1145" t="str">
        <f>"48"</f>
        <v>48</v>
      </c>
      <c r="Y1145" t="str">
        <f>"32096462"</f>
        <v>32096462</v>
      </c>
      <c r="Z1145" t="str">
        <f>""</f>
        <v/>
      </c>
      <c r="AA1145" t="str">
        <f>""</f>
        <v/>
      </c>
      <c r="AB1145" t="str">
        <f>""</f>
        <v/>
      </c>
      <c r="AC1145" t="str">
        <f>""</f>
        <v/>
      </c>
      <c r="AD1145" t="str">
        <f>""</f>
        <v/>
      </c>
      <c r="AE1145" t="str">
        <f>""</f>
        <v/>
      </c>
      <c r="AF1145" t="str">
        <f>""</f>
        <v/>
      </c>
      <c r="AG1145" t="str">
        <f>""</f>
        <v/>
      </c>
      <c r="AH1145" t="str">
        <f>""</f>
        <v/>
      </c>
      <c r="AI1145" t="str">
        <f>""</f>
        <v/>
      </c>
      <c r="AJ1145" t="str">
        <f>"0"</f>
        <v>0</v>
      </c>
      <c r="AK1145" t="str">
        <f>"0"</f>
        <v>0</v>
      </c>
      <c r="AL1145" t="str">
        <f>"0"</f>
        <v>0</v>
      </c>
      <c r="AM1145" t="str">
        <f>""</f>
        <v/>
      </c>
      <c r="AN1145" t="str">
        <f>""</f>
        <v/>
      </c>
      <c r="AO1145" t="str">
        <f>""</f>
        <v/>
      </c>
      <c r="AP1145" t="str">
        <f>""</f>
        <v/>
      </c>
      <c r="AQ1145" t="str">
        <f>""</f>
        <v/>
      </c>
      <c r="AR1145" t="str">
        <f>""</f>
        <v/>
      </c>
      <c r="AS1145" t="str">
        <f>""</f>
        <v/>
      </c>
      <c r="AT1145" t="str">
        <f>""</f>
        <v/>
      </c>
      <c r="AU1145" t="str">
        <f>""</f>
        <v/>
      </c>
      <c r="AV1145" t="str">
        <f>""</f>
        <v/>
      </c>
      <c r="AW1145" t="str">
        <f>""</f>
        <v/>
      </c>
      <c r="AX1145" t="str">
        <f>""</f>
        <v/>
      </c>
      <c r="AY1145" t="str">
        <f>""</f>
        <v/>
      </c>
      <c r="AZ1145" t="str">
        <f>""</f>
        <v/>
      </c>
      <c r="BA1145" t="str">
        <f>""</f>
        <v/>
      </c>
      <c r="BB1145" t="str">
        <f>""</f>
        <v/>
      </c>
      <c r="BC1145" t="str">
        <f>""</f>
        <v/>
      </c>
      <c r="BD1145" t="str">
        <f>""</f>
        <v/>
      </c>
      <c r="BE1145" t="str">
        <f>""</f>
        <v/>
      </c>
      <c r="BF1145" t="str">
        <f t="shared" si="548"/>
        <v>A</v>
      </c>
      <c r="BG1145" t="str">
        <f>"0,00"</f>
        <v>0,00</v>
      </c>
      <c r="BH1145" t="str">
        <f>"0,00"</f>
        <v>0,00</v>
      </c>
      <c r="BI1145" t="str">
        <f t="shared" si="567"/>
        <v>EVENTUAL</v>
      </c>
      <c r="BJ1145" t="str">
        <f t="shared" si="549"/>
        <v>1</v>
      </c>
      <c r="BK1145" t="str">
        <f t="shared" si="550"/>
        <v>Farmacia</v>
      </c>
      <c r="BL1145" t="str">
        <f>""</f>
        <v/>
      </c>
      <c r="BM1145" t="str">
        <f>"NÃO É VARILUX ESPECIALISTA"</f>
        <v>NÃO É VARILUX ESPECIALISTA</v>
      </c>
      <c r="BN1145" t="str">
        <f>"NA"</f>
        <v>NA</v>
      </c>
      <c r="BO1145" t="str">
        <f>"FOCO KODAK 2"</f>
        <v>FOCO KODAK 2</v>
      </c>
      <c r="BP1145" t="str">
        <f>""</f>
        <v/>
      </c>
      <c r="BQ1145" t="str">
        <f>""</f>
        <v/>
      </c>
      <c r="BR1145" t="str">
        <f>""</f>
        <v/>
      </c>
      <c r="BS1145" t="str">
        <f>""</f>
        <v/>
      </c>
      <c r="BT1145" t="str">
        <f>""</f>
        <v/>
      </c>
      <c r="BU1145" t="str">
        <f>""</f>
        <v/>
      </c>
      <c r="BV1145" t="str">
        <f>"6"</f>
        <v>6</v>
      </c>
      <c r="BW1145" t="str">
        <f>"920"</f>
        <v>920</v>
      </c>
    </row>
    <row r="1146" spans="1:75" x14ac:dyDescent="0.35">
      <c r="A1146">
        <v>134466</v>
      </c>
      <c r="B1146" t="str">
        <f t="shared" si="545"/>
        <v>A</v>
      </c>
      <c r="C1146" t="str">
        <f t="shared" si="546"/>
        <v>80</v>
      </c>
      <c r="D1146" t="str">
        <f t="shared" si="575"/>
        <v>11121002</v>
      </c>
      <c r="E1146" t="str">
        <f t="shared" si="576"/>
        <v>121002</v>
      </c>
      <c r="F1146" t="str">
        <f t="shared" si="577"/>
        <v>CINTHIA NORONHA</v>
      </c>
      <c r="G1146" t="str">
        <f>"12940562000102"</f>
        <v>12940562000102</v>
      </c>
      <c r="H1146" t="str">
        <f>""</f>
        <v/>
      </c>
      <c r="I1146" t="str">
        <f t="shared" si="547"/>
        <v>CONTA OPTICA</v>
      </c>
      <c r="J1146" t="str">
        <f>"RUBI JOALHERIA E OTICA EIRELI EPP"</f>
        <v>RUBI JOALHERIA E OTICA EIRELI EPP</v>
      </c>
      <c r="K1146" t="str">
        <f>"QUEVEDO (1821)"</f>
        <v>QUEVEDO (1821)</v>
      </c>
      <c r="L1146" t="str">
        <f>""</f>
        <v/>
      </c>
      <c r="M1146" t="str">
        <f>""</f>
        <v/>
      </c>
      <c r="N1146" t="str">
        <f>"expediente@quevedo.com.br"</f>
        <v>expediente@quevedo.com.br</v>
      </c>
      <c r="O1146" t="str">
        <f>""</f>
        <v/>
      </c>
      <c r="P1146" t="str">
        <f>"AVENIDA PREFEITO OSMAR CUNHA"</f>
        <v>AVENIDA PREFEITO OSMAR CUNHA</v>
      </c>
      <c r="Q1146" t="str">
        <f>"183"</f>
        <v>183</v>
      </c>
      <c r="R1146" t="str">
        <f>"LOJA 09"</f>
        <v>LOJA 09</v>
      </c>
      <c r="S1146" t="str">
        <f>"1255"</f>
        <v>1255</v>
      </c>
      <c r="T1146" t="str">
        <f>"88015100"</f>
        <v>88015100</v>
      </c>
      <c r="U1146" t="str">
        <f t="shared" ref="U1146:U1151" si="578">"CENTRO"</f>
        <v>CENTRO</v>
      </c>
      <c r="V1146" t="str">
        <f>"FLORIANOPOLIS"</f>
        <v>FLORIANOPOLIS</v>
      </c>
      <c r="W1146" t="str">
        <f t="shared" si="565"/>
        <v>SC</v>
      </c>
      <c r="X1146" t="str">
        <f>"48"</f>
        <v>48</v>
      </c>
      <c r="Y1146" t="str">
        <f>"30284342"</f>
        <v>30284342</v>
      </c>
      <c r="Z1146" t="str">
        <f>""</f>
        <v/>
      </c>
      <c r="AA1146" t="str">
        <f>""</f>
        <v/>
      </c>
      <c r="AB1146" t="str">
        <f>""</f>
        <v/>
      </c>
      <c r="AC1146" t="str">
        <f>""</f>
        <v/>
      </c>
      <c r="AD1146" t="str">
        <f>""</f>
        <v/>
      </c>
      <c r="AE1146" t="str">
        <f>""</f>
        <v/>
      </c>
      <c r="AF1146" t="str">
        <f>""</f>
        <v/>
      </c>
      <c r="AG1146" t="str">
        <f>""</f>
        <v/>
      </c>
      <c r="AH1146" t="str">
        <f>""</f>
        <v/>
      </c>
      <c r="AI1146" t="str">
        <f>""</f>
        <v/>
      </c>
      <c r="AJ1146" t="str">
        <f>""</f>
        <v/>
      </c>
      <c r="AK1146" t="str">
        <f>""</f>
        <v/>
      </c>
      <c r="AL1146" t="str">
        <f>""</f>
        <v/>
      </c>
      <c r="AM1146" t="str">
        <f>""</f>
        <v/>
      </c>
      <c r="AN1146" t="str">
        <f>""</f>
        <v/>
      </c>
      <c r="AO1146" t="str">
        <f>""</f>
        <v/>
      </c>
      <c r="AP1146" t="str">
        <f>""</f>
        <v/>
      </c>
      <c r="AQ1146" t="str">
        <f>""</f>
        <v/>
      </c>
      <c r="AR1146" t="str">
        <f>""</f>
        <v/>
      </c>
      <c r="AS1146" t="str">
        <f>""</f>
        <v/>
      </c>
      <c r="AT1146" t="str">
        <f>""</f>
        <v/>
      </c>
      <c r="AU1146" t="str">
        <f>""</f>
        <v/>
      </c>
      <c r="AV1146" t="str">
        <f>""</f>
        <v/>
      </c>
      <c r="AW1146" t="str">
        <f>""</f>
        <v/>
      </c>
      <c r="AX1146" t="str">
        <f>""</f>
        <v/>
      </c>
      <c r="AY1146" t="str">
        <f>""</f>
        <v/>
      </c>
      <c r="AZ1146" t="str">
        <f>""</f>
        <v/>
      </c>
      <c r="BA1146" t="str">
        <f>""</f>
        <v/>
      </c>
      <c r="BB1146" t="str">
        <f>""</f>
        <v/>
      </c>
      <c r="BC1146" t="str">
        <f>""</f>
        <v/>
      </c>
      <c r="BD1146" t="str">
        <f>""</f>
        <v/>
      </c>
      <c r="BE1146" t="str">
        <f>""</f>
        <v/>
      </c>
      <c r="BF1146" t="str">
        <f t="shared" si="548"/>
        <v>A</v>
      </c>
      <c r="BG1146" t="str">
        <f>""</f>
        <v/>
      </c>
      <c r="BH1146" t="str">
        <f>""</f>
        <v/>
      </c>
      <c r="BI1146" t="str">
        <f t="shared" si="567"/>
        <v>EVENTUAL</v>
      </c>
      <c r="BJ1146" t="str">
        <f t="shared" si="549"/>
        <v>1</v>
      </c>
      <c r="BK1146" t="str">
        <f t="shared" si="550"/>
        <v>Farmacia</v>
      </c>
      <c r="BL1146" t="str">
        <f>""</f>
        <v/>
      </c>
      <c r="BM1146" t="str">
        <f>"NÃO É VARILUX ESPECIALISTA"</f>
        <v>NÃO É VARILUX ESPECIALISTA</v>
      </c>
      <c r="BN1146" t="str">
        <f>"NA"</f>
        <v>NA</v>
      </c>
      <c r="BO1146" t="str">
        <f>"FOCO KODAK 2"</f>
        <v>FOCO KODAK 2</v>
      </c>
      <c r="BP1146" t="str">
        <f>""</f>
        <v/>
      </c>
      <c r="BQ1146" t="str">
        <f>""</f>
        <v/>
      </c>
      <c r="BR1146" t="str">
        <f>""</f>
        <v/>
      </c>
      <c r="BS1146" t="str">
        <f>""</f>
        <v/>
      </c>
      <c r="BT1146" t="str">
        <f>""</f>
        <v/>
      </c>
      <c r="BU1146" t="str">
        <f>""</f>
        <v/>
      </c>
      <c r="BV1146" t="str">
        <f>"1"</f>
        <v>1</v>
      </c>
      <c r="BW1146" t="str">
        <f>"186"</f>
        <v>186</v>
      </c>
    </row>
    <row r="1147" spans="1:75" x14ac:dyDescent="0.35">
      <c r="A1147">
        <v>156891</v>
      </c>
      <c r="B1147" t="str">
        <f t="shared" si="545"/>
        <v>A</v>
      </c>
      <c r="C1147" t="str">
        <f t="shared" si="546"/>
        <v>80</v>
      </c>
      <c r="D1147" t="str">
        <f t="shared" si="575"/>
        <v>11121002</v>
      </c>
      <c r="E1147" t="str">
        <f t="shared" si="576"/>
        <v>121002</v>
      </c>
      <c r="F1147" t="str">
        <f t="shared" si="577"/>
        <v>CINTHIA NORONHA</v>
      </c>
      <c r="G1147" t="str">
        <f>"12940562000366"</f>
        <v>12940562000366</v>
      </c>
      <c r="H1147" t="str">
        <f>"0"</f>
        <v>0</v>
      </c>
      <c r="I1147" t="str">
        <f t="shared" si="547"/>
        <v>CONTA OPTICA</v>
      </c>
      <c r="J1147" t="str">
        <f>"RUBI JOALHERIA E OTICA EIRELI EPP"</f>
        <v>RUBI JOALHERIA E OTICA EIRELI EPP</v>
      </c>
      <c r="K1147" t="str">
        <f>"QUEVEDO (1822)"</f>
        <v>QUEVEDO (1822)</v>
      </c>
      <c r="L1147" t="str">
        <f>""</f>
        <v/>
      </c>
      <c r="M1147" t="str">
        <f>""</f>
        <v/>
      </c>
      <c r="N1147" t="str">
        <f>"ANDRE@QUEVEDO.COM.BR"</f>
        <v>ANDRE@QUEVEDO.COM.BR</v>
      </c>
      <c r="O1147" t="str">
        <f>""</f>
        <v/>
      </c>
      <c r="P1147" t="str">
        <f>"RUA 24 DE ABRIL"</f>
        <v>RUA 24 DE ABRIL</v>
      </c>
      <c r="Q1147" t="str">
        <f>"2943"</f>
        <v>2943</v>
      </c>
      <c r="R1147" t="str">
        <f>"SALA 40 FRONTAL"</f>
        <v>SALA 40 FRONTAL</v>
      </c>
      <c r="S1147" t="str">
        <f>""</f>
        <v/>
      </c>
      <c r="T1147" t="str">
        <f>"88133470"</f>
        <v>88133470</v>
      </c>
      <c r="U1147" t="str">
        <f t="shared" si="578"/>
        <v>CENTRO</v>
      </c>
      <c r="V1147" t="str">
        <f>"PALHOCA"</f>
        <v>PALHOCA</v>
      </c>
      <c r="W1147" t="str">
        <f t="shared" si="565"/>
        <v>SC</v>
      </c>
      <c r="X1147" t="str">
        <f>"48"</f>
        <v>48</v>
      </c>
      <c r="Y1147" t="str">
        <f>"30335495"</f>
        <v>30335495</v>
      </c>
      <c r="Z1147" t="str">
        <f>""</f>
        <v/>
      </c>
      <c r="AA1147" t="str">
        <f>""</f>
        <v/>
      </c>
      <c r="AB1147" t="str">
        <f>""</f>
        <v/>
      </c>
      <c r="AC1147" t="str">
        <f>""</f>
        <v/>
      </c>
      <c r="AD1147" t="str">
        <f>""</f>
        <v/>
      </c>
      <c r="AE1147" t="str">
        <f>""</f>
        <v/>
      </c>
      <c r="AF1147" t="str">
        <f>""</f>
        <v/>
      </c>
      <c r="AG1147" t="str">
        <f>""</f>
        <v/>
      </c>
      <c r="AH1147" t="str">
        <f>""</f>
        <v/>
      </c>
      <c r="AI1147" t="str">
        <f>""</f>
        <v/>
      </c>
      <c r="AJ1147" t="str">
        <f>""</f>
        <v/>
      </c>
      <c r="AK1147" t="str">
        <f>""</f>
        <v/>
      </c>
      <c r="AL1147" t="str">
        <f>""</f>
        <v/>
      </c>
      <c r="AM1147" t="str">
        <f>""</f>
        <v/>
      </c>
      <c r="AN1147" t="str">
        <f>""</f>
        <v/>
      </c>
      <c r="AO1147" t="str">
        <f>""</f>
        <v/>
      </c>
      <c r="AP1147" t="str">
        <f>""</f>
        <v/>
      </c>
      <c r="AQ1147" t="str">
        <f>""</f>
        <v/>
      </c>
      <c r="AR1147" t="str">
        <f>""</f>
        <v/>
      </c>
      <c r="AS1147" t="str">
        <f>""</f>
        <v/>
      </c>
      <c r="AT1147" t="str">
        <f>""</f>
        <v/>
      </c>
      <c r="AU1147" t="str">
        <f>""</f>
        <v/>
      </c>
      <c r="AV1147" t="str">
        <f>""</f>
        <v/>
      </c>
      <c r="AW1147" t="str">
        <f>""</f>
        <v/>
      </c>
      <c r="AX1147" t="str">
        <f>""</f>
        <v/>
      </c>
      <c r="AY1147" t="str">
        <f>""</f>
        <v/>
      </c>
      <c r="AZ1147" t="str">
        <f>""</f>
        <v/>
      </c>
      <c r="BA1147" t="str">
        <f>""</f>
        <v/>
      </c>
      <c r="BB1147" t="str">
        <f>"06/07/2023 12:07:48"</f>
        <v>06/07/2023 12:07:48</v>
      </c>
      <c r="BC1147" t="str">
        <f>""</f>
        <v/>
      </c>
      <c r="BD1147" t="str">
        <f>""</f>
        <v/>
      </c>
      <c r="BE1147" t="str">
        <f>""</f>
        <v/>
      </c>
      <c r="BF1147" t="str">
        <f t="shared" si="548"/>
        <v>A</v>
      </c>
      <c r="BG1147" t="str">
        <f>""</f>
        <v/>
      </c>
      <c r="BH1147" t="str">
        <f>""</f>
        <v/>
      </c>
      <c r="BI1147" t="str">
        <f t="shared" si="567"/>
        <v>EVENTUAL</v>
      </c>
      <c r="BJ1147" t="str">
        <f t="shared" si="549"/>
        <v>1</v>
      </c>
      <c r="BK1147" t="str">
        <f t="shared" si="550"/>
        <v>Farmacia</v>
      </c>
      <c r="BL1147" t="str">
        <f>""</f>
        <v/>
      </c>
      <c r="BM1147" t="str">
        <f>""</f>
        <v/>
      </c>
      <c r="BN1147" t="str">
        <f>""</f>
        <v/>
      </c>
      <c r="BO1147" t="str">
        <f>""</f>
        <v/>
      </c>
      <c r="BP1147" t="str">
        <f>""</f>
        <v/>
      </c>
      <c r="BQ1147" t="str">
        <f>""</f>
        <v/>
      </c>
      <c r="BR1147" t="str">
        <f>"06/07/2023"</f>
        <v>06/07/2023</v>
      </c>
      <c r="BS1147" t="str">
        <f>""</f>
        <v/>
      </c>
      <c r="BT1147" t="str">
        <f>""</f>
        <v/>
      </c>
      <c r="BU1147" t="str">
        <f>""</f>
        <v/>
      </c>
      <c r="BV1147" t="str">
        <f>""</f>
        <v/>
      </c>
      <c r="BW1147" t="str">
        <f>"Não visitado"</f>
        <v>Não visitado</v>
      </c>
    </row>
    <row r="1148" spans="1:75" x14ac:dyDescent="0.35">
      <c r="A1148">
        <v>152759</v>
      </c>
      <c r="B1148" t="str">
        <f t="shared" si="545"/>
        <v>A</v>
      </c>
      <c r="C1148" t="str">
        <f t="shared" si="546"/>
        <v>80</v>
      </c>
      <c r="D1148" t="str">
        <f t="shared" si="575"/>
        <v>11121002</v>
      </c>
      <c r="E1148" t="str">
        <f t="shared" si="576"/>
        <v>121002</v>
      </c>
      <c r="F1148" t="str">
        <f t="shared" si="577"/>
        <v>CINTHIA NORONHA</v>
      </c>
      <c r="G1148" t="str">
        <f>"29230071000405"</f>
        <v>29230071000405</v>
      </c>
      <c r="H1148" t="str">
        <f>"0"</f>
        <v>0</v>
      </c>
      <c r="I1148" t="str">
        <f t="shared" si="547"/>
        <v>CONTA OPTICA</v>
      </c>
      <c r="J1148" t="str">
        <f>"S &amp; R COMERCIO DE ARTIGOS OPTICOS LTDA"</f>
        <v>S &amp; R COMERCIO DE ARTIGOS OPTICOS LTDA</v>
      </c>
      <c r="K1148" t="str">
        <f>"OTICA VISION"</f>
        <v>OTICA VISION</v>
      </c>
      <c r="L1148" t="str">
        <f>""</f>
        <v/>
      </c>
      <c r="M1148" t="str">
        <f>""</f>
        <v/>
      </c>
      <c r="N1148" t="str">
        <f>"suellenfagioni@hotmail.com"</f>
        <v>suellenfagioni@hotmail.com</v>
      </c>
      <c r="O1148" t="str">
        <f>""</f>
        <v/>
      </c>
      <c r="P1148" t="str">
        <f>"RUA LEONARDO SELL"</f>
        <v>RUA LEONARDO SELL</v>
      </c>
      <c r="Q1148" t="str">
        <f>"98"</f>
        <v>98</v>
      </c>
      <c r="R1148" t="str">
        <f>"SALA 02"</f>
        <v>SALA 02</v>
      </c>
      <c r="S1148" t="str">
        <f>""</f>
        <v/>
      </c>
      <c r="T1148" t="str">
        <f>"88470000"</f>
        <v>88470000</v>
      </c>
      <c r="U1148" t="str">
        <f t="shared" si="578"/>
        <v>CENTRO</v>
      </c>
      <c r="V1148" t="str">
        <f>"RANCHO QUEIMADO"</f>
        <v>RANCHO QUEIMADO</v>
      </c>
      <c r="W1148" t="str">
        <f t="shared" si="565"/>
        <v>SC</v>
      </c>
      <c r="X1148" t="str">
        <f>""</f>
        <v/>
      </c>
      <c r="Y1148" t="str">
        <f>""</f>
        <v/>
      </c>
      <c r="Z1148" t="str">
        <f>""</f>
        <v/>
      </c>
      <c r="AA1148" t="str">
        <f>""</f>
        <v/>
      </c>
      <c r="AB1148" t="str">
        <f>""</f>
        <v/>
      </c>
      <c r="AC1148" t="str">
        <f>""</f>
        <v/>
      </c>
      <c r="AD1148" t="str">
        <f>""</f>
        <v/>
      </c>
      <c r="AE1148" t="str">
        <f>""</f>
        <v/>
      </c>
      <c r="AF1148" t="str">
        <f>""</f>
        <v/>
      </c>
      <c r="AG1148" t="str">
        <f>""</f>
        <v/>
      </c>
      <c r="AH1148" t="str">
        <f>""</f>
        <v/>
      </c>
      <c r="AI1148" t="str">
        <f>""</f>
        <v/>
      </c>
      <c r="AJ1148" t="str">
        <f>""</f>
        <v/>
      </c>
      <c r="AK1148" t="str">
        <f>""</f>
        <v/>
      </c>
      <c r="AL1148" t="str">
        <f>""</f>
        <v/>
      </c>
      <c r="AM1148" t="str">
        <f>""</f>
        <v/>
      </c>
      <c r="AN1148" t="str">
        <f>""</f>
        <v/>
      </c>
      <c r="AO1148" t="str">
        <f>""</f>
        <v/>
      </c>
      <c r="AP1148" t="str">
        <f>""</f>
        <v/>
      </c>
      <c r="AQ1148" t="str">
        <f>""</f>
        <v/>
      </c>
      <c r="AR1148" t="str">
        <f>""</f>
        <v/>
      </c>
      <c r="AS1148" t="str">
        <f>""</f>
        <v/>
      </c>
      <c r="AT1148" t="str">
        <f>""</f>
        <v/>
      </c>
      <c r="AU1148" t="str">
        <f>""</f>
        <v/>
      </c>
      <c r="AV1148" t="str">
        <f>""</f>
        <v/>
      </c>
      <c r="AW1148" t="str">
        <f>""</f>
        <v/>
      </c>
      <c r="AX1148" t="str">
        <f>""</f>
        <v/>
      </c>
      <c r="AY1148" t="str">
        <f>""</f>
        <v/>
      </c>
      <c r="AZ1148" t="str">
        <f>""</f>
        <v/>
      </c>
      <c r="BA1148" t="str">
        <f>""</f>
        <v/>
      </c>
      <c r="BB1148" t="str">
        <f>"03/04/2023 13:34:29"</f>
        <v>03/04/2023 13:34:29</v>
      </c>
      <c r="BC1148" t="str">
        <f>""</f>
        <v/>
      </c>
      <c r="BD1148" t="str">
        <f>""</f>
        <v/>
      </c>
      <c r="BE1148" t="str">
        <f>""</f>
        <v/>
      </c>
      <c r="BF1148" t="str">
        <f t="shared" si="548"/>
        <v>A</v>
      </c>
      <c r="BG1148" t="str">
        <f>""</f>
        <v/>
      </c>
      <c r="BH1148" t="str">
        <f>""</f>
        <v/>
      </c>
      <c r="BI1148" t="str">
        <f t="shared" si="567"/>
        <v>EVENTUAL</v>
      </c>
      <c r="BJ1148" t="str">
        <f t="shared" si="549"/>
        <v>1</v>
      </c>
      <c r="BK1148" t="str">
        <f t="shared" si="550"/>
        <v>Farmacia</v>
      </c>
      <c r="BL1148" t="str">
        <f>""</f>
        <v/>
      </c>
      <c r="BM1148" t="str">
        <f>""</f>
        <v/>
      </c>
      <c r="BN1148" t="str">
        <f>""</f>
        <v/>
      </c>
      <c r="BO1148" t="str">
        <f>""</f>
        <v/>
      </c>
      <c r="BP1148" t="str">
        <f>""</f>
        <v/>
      </c>
      <c r="BQ1148" t="str">
        <f>""</f>
        <v/>
      </c>
      <c r="BR1148" t="str">
        <f>"03/04/2023"</f>
        <v>03/04/2023</v>
      </c>
      <c r="BS1148" t="str">
        <f>""</f>
        <v/>
      </c>
      <c r="BT1148" t="str">
        <f>""</f>
        <v/>
      </c>
      <c r="BU1148" t="str">
        <f>""</f>
        <v/>
      </c>
      <c r="BV1148" t="str">
        <f>""</f>
        <v/>
      </c>
      <c r="BW1148" t="str">
        <f>"4"</f>
        <v>4</v>
      </c>
    </row>
    <row r="1149" spans="1:75" x14ac:dyDescent="0.35">
      <c r="A1149">
        <v>157712</v>
      </c>
      <c r="B1149" t="str">
        <f t="shared" si="545"/>
        <v>A</v>
      </c>
      <c r="C1149" t="str">
        <f t="shared" si="546"/>
        <v>80</v>
      </c>
      <c r="D1149" t="str">
        <f t="shared" si="575"/>
        <v>11121002</v>
      </c>
      <c r="E1149" t="str">
        <f t="shared" si="576"/>
        <v>121002</v>
      </c>
      <c r="F1149" t="str">
        <f t="shared" si="577"/>
        <v>CINTHIA NORONHA</v>
      </c>
      <c r="G1149" t="str">
        <f>"17902929000109"</f>
        <v>17902929000109</v>
      </c>
      <c r="H1149" t="str">
        <f>"0"</f>
        <v>0</v>
      </c>
      <c r="I1149" t="str">
        <f t="shared" si="547"/>
        <v>CONTA OPTICA</v>
      </c>
      <c r="J1149" t="str">
        <f>"S.S. COMERCIO DE JOIAS E RELOGIOS EIRELI ME"</f>
        <v>S.S. COMERCIO DE JOIAS E RELOGIOS EIRELI ME</v>
      </c>
      <c r="K1149" t="str">
        <f>"TIBAUX JOALHEIROS (2034)"</f>
        <v>TIBAUX JOALHEIROS (2034)</v>
      </c>
      <c r="L1149" t="str">
        <f>""</f>
        <v/>
      </c>
      <c r="M1149" t="str">
        <f>""</f>
        <v/>
      </c>
      <c r="N1149" t="str">
        <f>"TIBAUXJOALHEIROS@HOTMAIL.COM"</f>
        <v>TIBAUXJOALHEIROS@HOTMAIL.COM</v>
      </c>
      <c r="O1149" t="str">
        <f>""</f>
        <v/>
      </c>
      <c r="P1149" t="str">
        <f>"RUA BOCAIUVA"</f>
        <v>RUA BOCAIUVA</v>
      </c>
      <c r="Q1149" t="str">
        <f>"2468"</f>
        <v>2468</v>
      </c>
      <c r="R1149" t="str">
        <f>"LJ 139"</f>
        <v>LJ 139</v>
      </c>
      <c r="S1149" t="str">
        <f>"1255"</f>
        <v>1255</v>
      </c>
      <c r="T1149" t="str">
        <f>"88015530"</f>
        <v>88015530</v>
      </c>
      <c r="U1149" t="str">
        <f t="shared" si="578"/>
        <v>CENTRO</v>
      </c>
      <c r="V1149" t="str">
        <f>"FLORIANOPOLIS"</f>
        <v>FLORIANOPOLIS</v>
      </c>
      <c r="W1149" t="str">
        <f t="shared" si="565"/>
        <v>SC</v>
      </c>
      <c r="X1149" t="str">
        <f>"48"</f>
        <v>48</v>
      </c>
      <c r="Y1149" t="str">
        <f>"30256551"</f>
        <v>30256551</v>
      </c>
      <c r="Z1149" t="str">
        <f>""</f>
        <v/>
      </c>
      <c r="AA1149" t="str">
        <f>""</f>
        <v/>
      </c>
      <c r="AB1149" t="str">
        <f>""</f>
        <v/>
      </c>
      <c r="AC1149" t="str">
        <f>""</f>
        <v/>
      </c>
      <c r="AD1149" t="str">
        <f>""</f>
        <v/>
      </c>
      <c r="AE1149" t="str">
        <f>""</f>
        <v/>
      </c>
      <c r="AF1149" t="str">
        <f>""</f>
        <v/>
      </c>
      <c r="AG1149" t="str">
        <f>""</f>
        <v/>
      </c>
      <c r="AH1149" t="str">
        <f>""</f>
        <v/>
      </c>
      <c r="AI1149" t="str">
        <f>""</f>
        <v/>
      </c>
      <c r="AJ1149" t="str">
        <f>""</f>
        <v/>
      </c>
      <c r="AK1149" t="str">
        <f>""</f>
        <v/>
      </c>
      <c r="AL1149" t="str">
        <f>""</f>
        <v/>
      </c>
      <c r="AM1149" t="str">
        <f>""</f>
        <v/>
      </c>
      <c r="AN1149" t="str">
        <f>""</f>
        <v/>
      </c>
      <c r="AO1149" t="str">
        <f>""</f>
        <v/>
      </c>
      <c r="AP1149" t="str">
        <f>""</f>
        <v/>
      </c>
      <c r="AQ1149" t="str">
        <f>""</f>
        <v/>
      </c>
      <c r="AR1149" t="str">
        <f>""</f>
        <v/>
      </c>
      <c r="AS1149" t="str">
        <f>""</f>
        <v/>
      </c>
      <c r="AT1149" t="str">
        <f>""</f>
        <v/>
      </c>
      <c r="AU1149" t="str">
        <f>""</f>
        <v/>
      </c>
      <c r="AV1149" t="str">
        <f>""</f>
        <v/>
      </c>
      <c r="AW1149" t="str">
        <f>""</f>
        <v/>
      </c>
      <c r="AX1149" t="str">
        <f>""</f>
        <v/>
      </c>
      <c r="AY1149" t="str">
        <f>""</f>
        <v/>
      </c>
      <c r="AZ1149" t="str">
        <f>""</f>
        <v/>
      </c>
      <c r="BA1149" t="str">
        <f>""</f>
        <v/>
      </c>
      <c r="BB1149" t="str">
        <f>"11/07/2023 02:19:56"</f>
        <v>11/07/2023 02:19:56</v>
      </c>
      <c r="BC1149" t="str">
        <f>""</f>
        <v/>
      </c>
      <c r="BD1149" t="str">
        <f>""</f>
        <v/>
      </c>
      <c r="BE1149" t="str">
        <f>""</f>
        <v/>
      </c>
      <c r="BF1149" t="str">
        <f t="shared" si="548"/>
        <v>A</v>
      </c>
      <c r="BG1149" t="str">
        <f>""</f>
        <v/>
      </c>
      <c r="BH1149" t="str">
        <f>""</f>
        <v/>
      </c>
      <c r="BI1149" t="str">
        <f t="shared" si="567"/>
        <v>EVENTUAL</v>
      </c>
      <c r="BJ1149" t="str">
        <f t="shared" si="549"/>
        <v>1</v>
      </c>
      <c r="BK1149" t="str">
        <f t="shared" si="550"/>
        <v>Farmacia</v>
      </c>
      <c r="BL1149" t="str">
        <f>""</f>
        <v/>
      </c>
      <c r="BM1149" t="str">
        <f>""</f>
        <v/>
      </c>
      <c r="BN1149" t="str">
        <f>""</f>
        <v/>
      </c>
      <c r="BO1149" t="str">
        <f>""</f>
        <v/>
      </c>
      <c r="BP1149" t="str">
        <f>""</f>
        <v/>
      </c>
      <c r="BQ1149" t="str">
        <f>""</f>
        <v/>
      </c>
      <c r="BR1149" t="str">
        <f>"11/07/2023"</f>
        <v>11/07/2023</v>
      </c>
      <c r="BS1149" t="str">
        <f>""</f>
        <v/>
      </c>
      <c r="BT1149" t="str">
        <f>""</f>
        <v/>
      </c>
      <c r="BU1149" t="str">
        <f>""</f>
        <v/>
      </c>
      <c r="BV1149" t="str">
        <f>""</f>
        <v/>
      </c>
      <c r="BW1149" t="str">
        <f>"Não visitado"</f>
        <v>Não visitado</v>
      </c>
    </row>
    <row r="1150" spans="1:75" x14ac:dyDescent="0.35">
      <c r="A1150">
        <v>157713</v>
      </c>
      <c r="B1150" t="str">
        <f t="shared" si="545"/>
        <v>A</v>
      </c>
      <c r="C1150" t="str">
        <f t="shared" si="546"/>
        <v>80</v>
      </c>
      <c r="D1150" t="str">
        <f t="shared" si="575"/>
        <v>11121002</v>
      </c>
      <c r="E1150" t="str">
        <f t="shared" si="576"/>
        <v>121002</v>
      </c>
      <c r="F1150" t="str">
        <f t="shared" si="577"/>
        <v>CINTHIA NORONHA</v>
      </c>
      <c r="G1150" t="str">
        <f>"17902929000290"</f>
        <v>17902929000290</v>
      </c>
      <c r="H1150" t="str">
        <f>"0"</f>
        <v>0</v>
      </c>
      <c r="I1150" t="str">
        <f t="shared" si="547"/>
        <v>CONTA OPTICA</v>
      </c>
      <c r="J1150" t="str">
        <f>"S.S. COMERCIO DE JOIAS E RELOGIOS EIRELI ME"</f>
        <v>S.S. COMERCIO DE JOIAS E RELOGIOS EIRELI ME</v>
      </c>
      <c r="K1150" t="str">
        <f>"TIBAUX JOALHEIROS (2033)"</f>
        <v>TIBAUX JOALHEIROS (2033)</v>
      </c>
      <c r="L1150" t="str">
        <f>""</f>
        <v/>
      </c>
      <c r="M1150" t="str">
        <f>""</f>
        <v/>
      </c>
      <c r="N1150" t="str">
        <f>"TIBAUXJOALHEIROS@HOTMAIL.COM"</f>
        <v>TIBAUXJOALHEIROS@HOTMAIL.COM</v>
      </c>
      <c r="O1150" t="str">
        <f>""</f>
        <v/>
      </c>
      <c r="P1150" t="str">
        <f>"RUA BOCAIUVA"</f>
        <v>RUA BOCAIUVA</v>
      </c>
      <c r="Q1150" t="str">
        <f>"2468"</f>
        <v>2468</v>
      </c>
      <c r="R1150" t="str">
        <f>"LJ 139"</f>
        <v>LJ 139</v>
      </c>
      <c r="S1150" t="str">
        <f>"1255"</f>
        <v>1255</v>
      </c>
      <c r="T1150" t="str">
        <f>"88015530"</f>
        <v>88015530</v>
      </c>
      <c r="U1150" t="str">
        <f t="shared" si="578"/>
        <v>CENTRO</v>
      </c>
      <c r="V1150" t="str">
        <f>"FLORIANOPOLIS"</f>
        <v>FLORIANOPOLIS</v>
      </c>
      <c r="W1150" t="str">
        <f t="shared" si="565"/>
        <v>SC</v>
      </c>
      <c r="X1150" t="str">
        <f>"48"</f>
        <v>48</v>
      </c>
      <c r="Y1150" t="str">
        <f>"30256551"</f>
        <v>30256551</v>
      </c>
      <c r="Z1150" t="str">
        <f>""</f>
        <v/>
      </c>
      <c r="AA1150" t="str">
        <f>""</f>
        <v/>
      </c>
      <c r="AB1150" t="str">
        <f>""</f>
        <v/>
      </c>
      <c r="AC1150" t="str">
        <f>""</f>
        <v/>
      </c>
      <c r="AD1150" t="str">
        <f>""</f>
        <v/>
      </c>
      <c r="AE1150" t="str">
        <f>""</f>
        <v/>
      </c>
      <c r="AF1150" t="str">
        <f>""</f>
        <v/>
      </c>
      <c r="AG1150" t="str">
        <f>""</f>
        <v/>
      </c>
      <c r="AH1150" t="str">
        <f>""</f>
        <v/>
      </c>
      <c r="AI1150" t="str">
        <f>""</f>
        <v/>
      </c>
      <c r="AJ1150" t="str">
        <f>""</f>
        <v/>
      </c>
      <c r="AK1150" t="str">
        <f>""</f>
        <v/>
      </c>
      <c r="AL1150" t="str">
        <f>""</f>
        <v/>
      </c>
      <c r="AM1150" t="str">
        <f>""</f>
        <v/>
      </c>
      <c r="AN1150" t="str">
        <f>""</f>
        <v/>
      </c>
      <c r="AO1150" t="str">
        <f>""</f>
        <v/>
      </c>
      <c r="AP1150" t="str">
        <f>""</f>
        <v/>
      </c>
      <c r="AQ1150" t="str">
        <f>""</f>
        <v/>
      </c>
      <c r="AR1150" t="str">
        <f>""</f>
        <v/>
      </c>
      <c r="AS1150" t="str">
        <f>""</f>
        <v/>
      </c>
      <c r="AT1150" t="str">
        <f>""</f>
        <v/>
      </c>
      <c r="AU1150" t="str">
        <f>""</f>
        <v/>
      </c>
      <c r="AV1150" t="str">
        <f>""</f>
        <v/>
      </c>
      <c r="AW1150" t="str">
        <f>""</f>
        <v/>
      </c>
      <c r="AX1150" t="str">
        <f>""</f>
        <v/>
      </c>
      <c r="AY1150" t="str">
        <f>""</f>
        <v/>
      </c>
      <c r="AZ1150" t="str">
        <f>""</f>
        <v/>
      </c>
      <c r="BA1150" t="str">
        <f>""</f>
        <v/>
      </c>
      <c r="BB1150" t="str">
        <f>"11/07/2023 02:19:56"</f>
        <v>11/07/2023 02:19:56</v>
      </c>
      <c r="BC1150" t="str">
        <f>""</f>
        <v/>
      </c>
      <c r="BD1150" t="str">
        <f>""</f>
        <v/>
      </c>
      <c r="BE1150" t="str">
        <f>""</f>
        <v/>
      </c>
      <c r="BF1150" t="str">
        <f t="shared" si="548"/>
        <v>A</v>
      </c>
      <c r="BG1150" t="str">
        <f>""</f>
        <v/>
      </c>
      <c r="BH1150" t="str">
        <f>""</f>
        <v/>
      </c>
      <c r="BI1150" t="str">
        <f t="shared" si="567"/>
        <v>EVENTUAL</v>
      </c>
      <c r="BJ1150" t="str">
        <f t="shared" si="549"/>
        <v>1</v>
      </c>
      <c r="BK1150" t="str">
        <f t="shared" si="550"/>
        <v>Farmacia</v>
      </c>
      <c r="BL1150" t="str">
        <f>""</f>
        <v/>
      </c>
      <c r="BM1150" t="str">
        <f>""</f>
        <v/>
      </c>
      <c r="BN1150" t="str">
        <f>""</f>
        <v/>
      </c>
      <c r="BO1150" t="str">
        <f>""</f>
        <v/>
      </c>
      <c r="BP1150" t="str">
        <f>""</f>
        <v/>
      </c>
      <c r="BQ1150" t="str">
        <f>""</f>
        <v/>
      </c>
      <c r="BR1150" t="str">
        <f>"11/07/2023"</f>
        <v>11/07/2023</v>
      </c>
      <c r="BS1150" t="str">
        <f>""</f>
        <v/>
      </c>
      <c r="BT1150" t="str">
        <f>""</f>
        <v/>
      </c>
      <c r="BU1150" t="str">
        <f>""</f>
        <v/>
      </c>
      <c r="BV1150" t="str">
        <f>""</f>
        <v/>
      </c>
      <c r="BW1150" t="str">
        <f>"Não visitado"</f>
        <v>Não visitado</v>
      </c>
    </row>
    <row r="1151" spans="1:75" x14ac:dyDescent="0.35">
      <c r="A1151">
        <v>134262</v>
      </c>
      <c r="B1151" t="str">
        <f t="shared" si="545"/>
        <v>A</v>
      </c>
      <c r="C1151" t="str">
        <f t="shared" si="546"/>
        <v>80</v>
      </c>
      <c r="D1151" t="str">
        <f t="shared" si="575"/>
        <v>11121002</v>
      </c>
      <c r="E1151" t="str">
        <f t="shared" si="576"/>
        <v>121002</v>
      </c>
      <c r="F1151" t="str">
        <f t="shared" si="577"/>
        <v>CINTHIA NORONHA</v>
      </c>
      <c r="G1151" t="str">
        <f>"25230873000111"</f>
        <v>25230873000111</v>
      </c>
      <c r="H1151" t="str">
        <f>""</f>
        <v/>
      </c>
      <c r="I1151" t="str">
        <f t="shared" si="547"/>
        <v>CONTA OPTICA</v>
      </c>
      <c r="J1151" t="str">
        <f>"SABRINA OTICA EIRELI - EPP"</f>
        <v>SABRINA OTICA EIRELI - EPP</v>
      </c>
      <c r="K1151" t="str">
        <f>"SA OTICA ATELIER (3338)"</f>
        <v>SA OTICA ATELIER (3338)</v>
      </c>
      <c r="L1151" t="str">
        <f>""</f>
        <v/>
      </c>
      <c r="M1151" t="str">
        <f>""</f>
        <v/>
      </c>
      <c r="N1151" t="str">
        <f>"saoticaatelier@gmail.com"</f>
        <v>saoticaatelier@gmail.com</v>
      </c>
      <c r="O1151" t="str">
        <f>""</f>
        <v/>
      </c>
      <c r="P1151" t="str">
        <f>"AVENIDA RIO BRANCO"</f>
        <v>AVENIDA RIO BRANCO</v>
      </c>
      <c r="Q1151" t="str">
        <f>"583"</f>
        <v>583</v>
      </c>
      <c r="R1151" t="str">
        <f>""</f>
        <v/>
      </c>
      <c r="S1151" t="str">
        <f>"1255"</f>
        <v>1255</v>
      </c>
      <c r="T1151" t="str">
        <f>"88015100"</f>
        <v>88015100</v>
      </c>
      <c r="U1151" t="str">
        <f t="shared" si="578"/>
        <v>CENTRO</v>
      </c>
      <c r="V1151" t="str">
        <f>"FLORIANÓPOLIS"</f>
        <v>FLORIANÓPOLIS</v>
      </c>
      <c r="W1151" t="str">
        <f t="shared" ref="W1151:W1182" si="579">"SC"</f>
        <v>SC</v>
      </c>
      <c r="X1151" t="str">
        <f>"48"</f>
        <v>48</v>
      </c>
      <c r="Y1151" t="str">
        <f>"33042750"</f>
        <v>33042750</v>
      </c>
      <c r="Z1151" t="str">
        <f>""</f>
        <v/>
      </c>
      <c r="AA1151" t="str">
        <f>""</f>
        <v/>
      </c>
      <c r="AB1151" t="str">
        <f>""</f>
        <v/>
      </c>
      <c r="AC1151" t="str">
        <f>""</f>
        <v/>
      </c>
      <c r="AD1151" t="str">
        <f>""</f>
        <v/>
      </c>
      <c r="AE1151" t="str">
        <f>""</f>
        <v/>
      </c>
      <c r="AF1151" t="str">
        <f>""</f>
        <v/>
      </c>
      <c r="AG1151" t="str">
        <f>"S"</f>
        <v>S</v>
      </c>
      <c r="AH1151" t="str">
        <f>""</f>
        <v/>
      </c>
      <c r="AI1151" t="str">
        <f>""</f>
        <v/>
      </c>
      <c r="AJ1151" t="str">
        <f t="shared" ref="AJ1151:AL1152" si="580">"0"</f>
        <v>0</v>
      </c>
      <c r="AK1151" t="str">
        <f t="shared" si="580"/>
        <v>0</v>
      </c>
      <c r="AL1151" t="str">
        <f t="shared" si="580"/>
        <v>0</v>
      </c>
      <c r="AM1151" t="str">
        <f>""</f>
        <v/>
      </c>
      <c r="AN1151" t="str">
        <f>""</f>
        <v/>
      </c>
      <c r="AO1151" t="str">
        <f>""</f>
        <v/>
      </c>
      <c r="AP1151" t="str">
        <f>""</f>
        <v/>
      </c>
      <c r="AQ1151" t="str">
        <f>"N"</f>
        <v>N</v>
      </c>
      <c r="AR1151" t="str">
        <f>"N"</f>
        <v>N</v>
      </c>
      <c r="AS1151" t="str">
        <f>"N"</f>
        <v>N</v>
      </c>
      <c r="AT1151" t="str">
        <f>"N"</f>
        <v>N</v>
      </c>
      <c r="AU1151" t="str">
        <f>"N"</f>
        <v>N</v>
      </c>
      <c r="AV1151" t="str">
        <f>""</f>
        <v/>
      </c>
      <c r="AW1151" t="str">
        <f>""</f>
        <v/>
      </c>
      <c r="AX1151" t="str">
        <f>""</f>
        <v/>
      </c>
      <c r="AY1151" t="str">
        <f>""</f>
        <v/>
      </c>
      <c r="AZ1151" t="str">
        <f>""</f>
        <v/>
      </c>
      <c r="BA1151" t="str">
        <f>""</f>
        <v/>
      </c>
      <c r="BB1151" t="str">
        <f>""</f>
        <v/>
      </c>
      <c r="BC1151" t="str">
        <f>"13/09/2021 16:15:24"</f>
        <v>13/09/2021 16:15:24</v>
      </c>
      <c r="BD1151" t="str">
        <f>""</f>
        <v/>
      </c>
      <c r="BE1151" t="str">
        <f>""</f>
        <v/>
      </c>
      <c r="BF1151" t="str">
        <f t="shared" si="548"/>
        <v>A</v>
      </c>
      <c r="BG1151" t="str">
        <f>"0,00"</f>
        <v>0,00</v>
      </c>
      <c r="BH1151" t="str">
        <f>"0,00"</f>
        <v>0,00</v>
      </c>
      <c r="BI1151" t="str">
        <f t="shared" si="567"/>
        <v>EVENTUAL</v>
      </c>
      <c r="BJ1151" t="str">
        <f t="shared" si="549"/>
        <v>1</v>
      </c>
      <c r="BK1151" t="str">
        <f t="shared" si="550"/>
        <v>Farmacia</v>
      </c>
      <c r="BL1151" t="str">
        <f>""</f>
        <v/>
      </c>
      <c r="BM1151" t="str">
        <f>"VARILUX ESPECIALISTA PLATINE"</f>
        <v>VARILUX ESPECIALISTA PLATINE</v>
      </c>
      <c r="BN1151" t="str">
        <f>"NA"</f>
        <v>NA</v>
      </c>
      <c r="BO1151" t="str">
        <f>"FOCO VARILUX DIGITAL"</f>
        <v>FOCO VARILUX DIGITAL</v>
      </c>
      <c r="BP1151" t="str">
        <f>""</f>
        <v/>
      </c>
      <c r="BQ1151" t="str">
        <f>""</f>
        <v/>
      </c>
      <c r="BR1151" t="str">
        <f>""</f>
        <v/>
      </c>
      <c r="BS1151" t="str">
        <f>"13/09/2021"</f>
        <v>13/09/2021</v>
      </c>
      <c r="BT1151" t="str">
        <f>""</f>
        <v/>
      </c>
      <c r="BU1151" t="str">
        <f>""</f>
        <v/>
      </c>
      <c r="BV1151" t="str">
        <f>"1"</f>
        <v>1</v>
      </c>
      <c r="BW1151" t="str">
        <f>"31"</f>
        <v>31</v>
      </c>
    </row>
    <row r="1152" spans="1:75" x14ac:dyDescent="0.35">
      <c r="A1152">
        <v>134256</v>
      </c>
      <c r="B1152" t="str">
        <f t="shared" si="545"/>
        <v>A</v>
      </c>
      <c r="C1152" t="str">
        <f t="shared" si="546"/>
        <v>80</v>
      </c>
      <c r="D1152" t="str">
        <f t="shared" si="575"/>
        <v>11121002</v>
      </c>
      <c r="E1152" t="str">
        <f t="shared" si="576"/>
        <v>121002</v>
      </c>
      <c r="F1152" t="str">
        <f t="shared" si="577"/>
        <v>CINTHIA NORONHA</v>
      </c>
      <c r="G1152" t="str">
        <f>"21214632000128"</f>
        <v>21214632000128</v>
      </c>
      <c r="H1152" t="str">
        <f>""</f>
        <v/>
      </c>
      <c r="I1152" t="str">
        <f t="shared" si="547"/>
        <v>CONTA OPTICA</v>
      </c>
      <c r="J1152" t="str">
        <f>"SANDRA HELENA DE PELEGRINI ME"</f>
        <v>SANDRA HELENA DE PELEGRINI ME</v>
      </c>
      <c r="K1152" t="str">
        <f>"JOALHERIA E OTICA EDUARDO (2203)"</f>
        <v>JOALHERIA E OTICA EDUARDO (2203)</v>
      </c>
      <c r="L1152" t="str">
        <f>""</f>
        <v/>
      </c>
      <c r="M1152" t="str">
        <f>""</f>
        <v/>
      </c>
      <c r="N1152" t="str">
        <f>"vvinicius_silvaa@hotmail.com"</f>
        <v>vvinicius_silvaa@hotmail.com</v>
      </c>
      <c r="O1152" t="str">
        <f>""</f>
        <v/>
      </c>
      <c r="P1152" t="str">
        <f>"RUA MADRE BENVENUTA"</f>
        <v>RUA MADRE BENVENUTA</v>
      </c>
      <c r="Q1152" t="str">
        <f>"687"</f>
        <v>687</v>
      </c>
      <c r="R1152" t="str">
        <f>"LOJA 217"</f>
        <v>LOJA 217</v>
      </c>
      <c r="S1152" t="str">
        <f>"1257"</f>
        <v>1257</v>
      </c>
      <c r="T1152" t="str">
        <f>"88035000"</f>
        <v>88035000</v>
      </c>
      <c r="U1152" t="str">
        <f>"SANTA MONICA"</f>
        <v>SANTA MONICA</v>
      </c>
      <c r="V1152" t="str">
        <f>"FLORIANOPOLIS"</f>
        <v>FLORIANOPOLIS</v>
      </c>
      <c r="W1152" t="str">
        <f t="shared" si="579"/>
        <v>SC</v>
      </c>
      <c r="X1152" t="str">
        <f>"48"</f>
        <v>48</v>
      </c>
      <c r="Y1152" t="str">
        <f>"30283090"</f>
        <v>30283090</v>
      </c>
      <c r="Z1152" t="str">
        <f>""</f>
        <v/>
      </c>
      <c r="AA1152" t="str">
        <f>""</f>
        <v/>
      </c>
      <c r="AB1152" t="str">
        <f>""</f>
        <v/>
      </c>
      <c r="AC1152" t="str">
        <f>""</f>
        <v/>
      </c>
      <c r="AD1152" t="str">
        <f>""</f>
        <v/>
      </c>
      <c r="AE1152" t="str">
        <f>""</f>
        <v/>
      </c>
      <c r="AF1152" t="str">
        <f>""</f>
        <v/>
      </c>
      <c r="AG1152" t="str">
        <f>""</f>
        <v/>
      </c>
      <c r="AH1152" t="str">
        <f>""</f>
        <v/>
      </c>
      <c r="AI1152" t="str">
        <f>""</f>
        <v/>
      </c>
      <c r="AJ1152" t="str">
        <f t="shared" si="580"/>
        <v>0</v>
      </c>
      <c r="AK1152" t="str">
        <f t="shared" si="580"/>
        <v>0</v>
      </c>
      <c r="AL1152" t="str">
        <f t="shared" si="580"/>
        <v>0</v>
      </c>
      <c r="AM1152" t="str">
        <f>""</f>
        <v/>
      </c>
      <c r="AN1152" t="str">
        <f>""</f>
        <v/>
      </c>
      <c r="AO1152" t="str">
        <f>""</f>
        <v/>
      </c>
      <c r="AP1152" t="str">
        <f>""</f>
        <v/>
      </c>
      <c r="AQ1152" t="str">
        <f>""</f>
        <v/>
      </c>
      <c r="AR1152" t="str">
        <f>""</f>
        <v/>
      </c>
      <c r="AS1152" t="str">
        <f>""</f>
        <v/>
      </c>
      <c r="AT1152" t="str">
        <f>""</f>
        <v/>
      </c>
      <c r="AU1152" t="str">
        <f>""</f>
        <v/>
      </c>
      <c r="AV1152" t="str">
        <f>""</f>
        <v/>
      </c>
      <c r="AW1152" t="str">
        <f>""</f>
        <v/>
      </c>
      <c r="AX1152" t="str">
        <f>""</f>
        <v/>
      </c>
      <c r="AY1152" t="str">
        <f>""</f>
        <v/>
      </c>
      <c r="AZ1152" t="str">
        <f>""</f>
        <v/>
      </c>
      <c r="BA1152" t="str">
        <f>""</f>
        <v/>
      </c>
      <c r="BB1152" t="str">
        <f>""</f>
        <v/>
      </c>
      <c r="BC1152" t="str">
        <f>""</f>
        <v/>
      </c>
      <c r="BD1152" t="str">
        <f>""</f>
        <v/>
      </c>
      <c r="BE1152" t="str">
        <f>""</f>
        <v/>
      </c>
      <c r="BF1152" t="str">
        <f t="shared" si="548"/>
        <v>A</v>
      </c>
      <c r="BG1152" t="str">
        <f>"0,00"</f>
        <v>0,00</v>
      </c>
      <c r="BH1152" t="str">
        <f>"0,00"</f>
        <v>0,00</v>
      </c>
      <c r="BI1152" t="str">
        <f t="shared" si="567"/>
        <v>EVENTUAL</v>
      </c>
      <c r="BJ1152" t="str">
        <f t="shared" si="549"/>
        <v>1</v>
      </c>
      <c r="BK1152" t="str">
        <f t="shared" si="550"/>
        <v>Farmacia</v>
      </c>
      <c r="BL1152" t="str">
        <f>""</f>
        <v/>
      </c>
      <c r="BM1152" t="str">
        <f>"VARILUX ESPECIALISTA PLATINE"</f>
        <v>VARILUX ESPECIALISTA PLATINE</v>
      </c>
      <c r="BN1152" t="str">
        <f>"NA"</f>
        <v>NA</v>
      </c>
      <c r="BO1152" t="str">
        <f>"FOCO VARILUX DIGITAL"</f>
        <v>FOCO VARILUX DIGITAL</v>
      </c>
      <c r="BP1152" t="str">
        <f>""</f>
        <v/>
      </c>
      <c r="BQ1152" t="str">
        <f>""</f>
        <v/>
      </c>
      <c r="BR1152" t="str">
        <f>""</f>
        <v/>
      </c>
      <c r="BS1152" t="str">
        <f>""</f>
        <v/>
      </c>
      <c r="BT1152" t="str">
        <f>""</f>
        <v/>
      </c>
      <c r="BU1152" t="str">
        <f>""</f>
        <v/>
      </c>
      <c r="BV1152" t="str">
        <f>"1"</f>
        <v>1</v>
      </c>
      <c r="BW1152" t="str">
        <f>"541"</f>
        <v>541</v>
      </c>
    </row>
    <row r="1153" spans="1:75" x14ac:dyDescent="0.35">
      <c r="A1153">
        <v>134558</v>
      </c>
      <c r="B1153" t="str">
        <f t="shared" si="545"/>
        <v>A</v>
      </c>
      <c r="C1153" t="str">
        <f t="shared" si="546"/>
        <v>80</v>
      </c>
      <c r="D1153" t="str">
        <f t="shared" si="575"/>
        <v>11121002</v>
      </c>
      <c r="E1153" t="str">
        <f t="shared" si="576"/>
        <v>121002</v>
      </c>
      <c r="F1153" t="str">
        <f t="shared" si="577"/>
        <v>CINTHIA NORONHA</v>
      </c>
      <c r="G1153" t="str">
        <f>"30358362000110"</f>
        <v>30358362000110</v>
      </c>
      <c r="H1153" t="str">
        <f>""</f>
        <v/>
      </c>
      <c r="I1153" t="str">
        <f t="shared" si="547"/>
        <v>CONTA OPTICA</v>
      </c>
      <c r="J1153" t="str">
        <f>"SANDRA HENRIQUE SILVA CASCAES"</f>
        <v>SANDRA HENRIQUE SILVA CASCAES</v>
      </c>
      <c r="K1153" t="str">
        <f>"CENTRO OTICO DA VISAO (4250)"</f>
        <v>CENTRO OTICO DA VISAO (4250)</v>
      </c>
      <c r="L1153" t="str">
        <f>""</f>
        <v/>
      </c>
      <c r="M1153" t="str">
        <f>""</f>
        <v/>
      </c>
      <c r="N1153" t="str">
        <f>"sandrahcascaes@gmail.com"</f>
        <v>sandrahcascaes@gmail.com</v>
      </c>
      <c r="O1153" t="str">
        <f>""</f>
        <v/>
      </c>
      <c r="P1153" t="str">
        <f>"RUA 6 DE NOVEMBRO"</f>
        <v>RUA 6 DE NOVEMBRO</v>
      </c>
      <c r="Q1153" t="str">
        <f>"84"</f>
        <v>84</v>
      </c>
      <c r="R1153" t="str">
        <f>"SALA 02"</f>
        <v>SALA 02</v>
      </c>
      <c r="S1153" t="str">
        <f>"1259"</f>
        <v>1259</v>
      </c>
      <c r="T1153" t="str">
        <f>"88180000"</f>
        <v>88180000</v>
      </c>
      <c r="U1153" t="str">
        <f>"CENTRO"</f>
        <v>CENTRO</v>
      </c>
      <c r="V1153" t="str">
        <f>"ANTÔNIO CARLOS"</f>
        <v>ANTÔNIO CARLOS</v>
      </c>
      <c r="W1153" t="str">
        <f t="shared" si="579"/>
        <v>SC</v>
      </c>
      <c r="X1153" t="str">
        <f>"48"</f>
        <v>48</v>
      </c>
      <c r="Y1153" t="str">
        <f>"991154285"</f>
        <v>991154285</v>
      </c>
      <c r="Z1153" t="str">
        <f>""</f>
        <v/>
      </c>
      <c r="AA1153" t="str">
        <f>""</f>
        <v/>
      </c>
      <c r="AB1153" t="str">
        <f>""</f>
        <v/>
      </c>
      <c r="AC1153" t="str">
        <f>""</f>
        <v/>
      </c>
      <c r="AD1153" t="str">
        <f>""</f>
        <v/>
      </c>
      <c r="AE1153" t="str">
        <f>""</f>
        <v/>
      </c>
      <c r="AF1153" t="str">
        <f>""</f>
        <v/>
      </c>
      <c r="AG1153" t="str">
        <f>"S"</f>
        <v>S</v>
      </c>
      <c r="AH1153" t="str">
        <f>""</f>
        <v/>
      </c>
      <c r="AI1153" t="str">
        <f>""</f>
        <v/>
      </c>
      <c r="AJ1153" t="str">
        <f>""</f>
        <v/>
      </c>
      <c r="AK1153" t="str">
        <f>""</f>
        <v/>
      </c>
      <c r="AL1153" t="str">
        <f>""</f>
        <v/>
      </c>
      <c r="AM1153" t="str">
        <f>""</f>
        <v/>
      </c>
      <c r="AN1153" t="str">
        <f>""</f>
        <v/>
      </c>
      <c r="AO1153" t="str">
        <f>""</f>
        <v/>
      </c>
      <c r="AP1153" t="str">
        <f>""</f>
        <v/>
      </c>
      <c r="AQ1153" t="str">
        <f>"N"</f>
        <v>N</v>
      </c>
      <c r="AR1153" t="str">
        <f>"N"</f>
        <v>N</v>
      </c>
      <c r="AS1153" t="str">
        <f>"N"</f>
        <v>N</v>
      </c>
      <c r="AT1153" t="str">
        <f>"N"</f>
        <v>N</v>
      </c>
      <c r="AU1153" t="str">
        <f>"N"</f>
        <v>N</v>
      </c>
      <c r="AV1153" t="str">
        <f>""</f>
        <v/>
      </c>
      <c r="AW1153" t="str">
        <f>""</f>
        <v/>
      </c>
      <c r="AX1153" t="str">
        <f>""</f>
        <v/>
      </c>
      <c r="AY1153" t="str">
        <f>""</f>
        <v/>
      </c>
      <c r="AZ1153" t="str">
        <f>""</f>
        <v/>
      </c>
      <c r="BA1153" t="str">
        <f>""</f>
        <v/>
      </c>
      <c r="BB1153" t="str">
        <f>""</f>
        <v/>
      </c>
      <c r="BC1153" t="str">
        <f>"05/04/2022 11:04:34"</f>
        <v>05/04/2022 11:04:34</v>
      </c>
      <c r="BD1153" t="str">
        <f>""</f>
        <v/>
      </c>
      <c r="BE1153" t="str">
        <f>""</f>
        <v/>
      </c>
      <c r="BF1153" t="str">
        <f t="shared" si="548"/>
        <v>A</v>
      </c>
      <c r="BG1153" t="str">
        <f>""</f>
        <v/>
      </c>
      <c r="BH1153" t="str">
        <f>"0,00"</f>
        <v>0,00</v>
      </c>
      <c r="BI1153" t="str">
        <f t="shared" si="567"/>
        <v>EVENTUAL</v>
      </c>
      <c r="BJ1153" t="str">
        <f t="shared" si="549"/>
        <v>1</v>
      </c>
      <c r="BK1153" t="str">
        <f t="shared" si="550"/>
        <v>Farmacia</v>
      </c>
      <c r="BL1153" t="str">
        <f>""</f>
        <v/>
      </c>
      <c r="BM1153" t="str">
        <f>"NÃO É VARILUX ESPECIALISTA"</f>
        <v>NÃO É VARILUX ESPECIALISTA</v>
      </c>
      <c r="BN1153" t="str">
        <f>"NA"</f>
        <v>NA</v>
      </c>
      <c r="BO1153" t="str">
        <f>"FOCO KODAK 1"</f>
        <v>FOCO KODAK 1</v>
      </c>
      <c r="BP1153" t="str">
        <f>""</f>
        <v/>
      </c>
      <c r="BQ1153" t="str">
        <f>""</f>
        <v/>
      </c>
      <c r="BR1153" t="str">
        <f>""</f>
        <v/>
      </c>
      <c r="BS1153" t="str">
        <f>"05/04/2022"</f>
        <v>05/04/2022</v>
      </c>
      <c r="BT1153" t="str">
        <f>""</f>
        <v/>
      </c>
      <c r="BU1153" t="str">
        <f>""</f>
        <v/>
      </c>
      <c r="BV1153" t="str">
        <f>""</f>
        <v/>
      </c>
      <c r="BW1153" t="str">
        <f>"8"</f>
        <v>8</v>
      </c>
    </row>
    <row r="1154" spans="1:75" x14ac:dyDescent="0.35">
      <c r="A1154">
        <v>152757</v>
      </c>
      <c r="B1154" t="str">
        <f t="shared" ref="B1154:B1217" si="581">"A"</f>
        <v>A</v>
      </c>
      <c r="C1154" t="str">
        <f t="shared" ref="C1154:C1217" si="582">"80"</f>
        <v>80</v>
      </c>
      <c r="D1154" t="str">
        <f t="shared" si="575"/>
        <v>11121002</v>
      </c>
      <c r="E1154" t="str">
        <f t="shared" si="576"/>
        <v>121002</v>
      </c>
      <c r="F1154" t="str">
        <f t="shared" si="577"/>
        <v>CINTHIA NORONHA</v>
      </c>
      <c r="G1154" t="str">
        <f>"44209893000155"</f>
        <v>44209893000155</v>
      </c>
      <c r="H1154" t="str">
        <f>"0"</f>
        <v>0</v>
      </c>
      <c r="I1154" t="str">
        <f t="shared" ref="I1154:I1217" si="583">"CONTA OPTICA"</f>
        <v>CONTA OPTICA</v>
      </c>
      <c r="J1154" t="str">
        <f>"SANTA MONICA OTICA RIO BRANCO LTDA"</f>
        <v>SANTA MONICA OTICA RIO BRANCO LTDA</v>
      </c>
      <c r="K1154" t="str">
        <f>"OTICA RIO BRANCO SANTA MONICA"</f>
        <v>OTICA RIO BRANCO SANTA MONICA</v>
      </c>
      <c r="L1154" t="str">
        <f>""</f>
        <v/>
      </c>
      <c r="M1154" t="str">
        <f>""</f>
        <v/>
      </c>
      <c r="N1154" t="str">
        <f>"financeiro@oticariobranco.com.br"</f>
        <v>financeiro@oticariobranco.com.br</v>
      </c>
      <c r="O1154" t="str">
        <f>""</f>
        <v/>
      </c>
      <c r="P1154" t="str">
        <f>"AVENIDA MADRE BENVENUTA"</f>
        <v>AVENIDA MADRE BENVENUTA</v>
      </c>
      <c r="Q1154" t="str">
        <f>"919"</f>
        <v>919</v>
      </c>
      <c r="R1154" t="str">
        <f>"SALA 002 FUNDOS"</f>
        <v>SALA 002 FUNDOS</v>
      </c>
      <c r="S1154" t="str">
        <f>"1257"</f>
        <v>1257</v>
      </c>
      <c r="T1154" t="str">
        <f>"88035000"</f>
        <v>88035000</v>
      </c>
      <c r="U1154" t="str">
        <f>"SANTA MONICA"</f>
        <v>SANTA MONICA</v>
      </c>
      <c r="V1154" t="str">
        <f>"FLORIANOPOLIS"</f>
        <v>FLORIANOPOLIS</v>
      </c>
      <c r="W1154" t="str">
        <f t="shared" si="579"/>
        <v>SC</v>
      </c>
      <c r="X1154" t="str">
        <f>""</f>
        <v/>
      </c>
      <c r="Y1154" t="str">
        <f>""</f>
        <v/>
      </c>
      <c r="Z1154" t="str">
        <f>""</f>
        <v/>
      </c>
      <c r="AA1154" t="str">
        <f>""</f>
        <v/>
      </c>
      <c r="AB1154" t="str">
        <f>""</f>
        <v/>
      </c>
      <c r="AC1154" t="str">
        <f>""</f>
        <v/>
      </c>
      <c r="AD1154" t="str">
        <f>""</f>
        <v/>
      </c>
      <c r="AE1154" t="str">
        <f>""</f>
        <v/>
      </c>
      <c r="AF1154" t="str">
        <f>""</f>
        <v/>
      </c>
      <c r="AG1154" t="str">
        <f>""</f>
        <v/>
      </c>
      <c r="AH1154" t="str">
        <f>""</f>
        <v/>
      </c>
      <c r="AI1154" t="str">
        <f>""</f>
        <v/>
      </c>
      <c r="AJ1154" t="str">
        <f>""</f>
        <v/>
      </c>
      <c r="AK1154" t="str">
        <f>""</f>
        <v/>
      </c>
      <c r="AL1154" t="str">
        <f>""</f>
        <v/>
      </c>
      <c r="AM1154" t="str">
        <f>""</f>
        <v/>
      </c>
      <c r="AN1154" t="str">
        <f>""</f>
        <v/>
      </c>
      <c r="AO1154" t="str">
        <f>""</f>
        <v/>
      </c>
      <c r="AP1154" t="str">
        <f>""</f>
        <v/>
      </c>
      <c r="AQ1154" t="str">
        <f>""</f>
        <v/>
      </c>
      <c r="AR1154" t="str">
        <f>""</f>
        <v/>
      </c>
      <c r="AS1154" t="str">
        <f>""</f>
        <v/>
      </c>
      <c r="AT1154" t="str">
        <f>""</f>
        <v/>
      </c>
      <c r="AU1154" t="str">
        <f>""</f>
        <v/>
      </c>
      <c r="AV1154" t="str">
        <f>""</f>
        <v/>
      </c>
      <c r="AW1154" t="str">
        <f>""</f>
        <v/>
      </c>
      <c r="AX1154" t="str">
        <f>""</f>
        <v/>
      </c>
      <c r="AY1154" t="str">
        <f>""</f>
        <v/>
      </c>
      <c r="AZ1154" t="str">
        <f>""</f>
        <v/>
      </c>
      <c r="BA1154" t="str">
        <f>""</f>
        <v/>
      </c>
      <c r="BB1154" t="str">
        <f>"03/04/2023 13:34:29"</f>
        <v>03/04/2023 13:34:29</v>
      </c>
      <c r="BC1154" t="str">
        <f>""</f>
        <v/>
      </c>
      <c r="BD1154" t="str">
        <f>""</f>
        <v/>
      </c>
      <c r="BE1154" t="str">
        <f>""</f>
        <v/>
      </c>
      <c r="BF1154" t="str">
        <f t="shared" ref="BF1154:BF1217" si="584">"A"</f>
        <v>A</v>
      </c>
      <c r="BG1154" t="str">
        <f>""</f>
        <v/>
      </c>
      <c r="BH1154" t="str">
        <f>""</f>
        <v/>
      </c>
      <c r="BI1154" t="str">
        <f t="shared" si="567"/>
        <v>EVENTUAL</v>
      </c>
      <c r="BJ1154" t="str">
        <f t="shared" ref="BJ1154:BJ1217" si="585">"1"</f>
        <v>1</v>
      </c>
      <c r="BK1154" t="str">
        <f t="shared" ref="BK1154:BK1217" si="586">"Farmacia"</f>
        <v>Farmacia</v>
      </c>
      <c r="BL1154" t="str">
        <f>""</f>
        <v/>
      </c>
      <c r="BM1154" t="str">
        <f>""</f>
        <v/>
      </c>
      <c r="BN1154" t="str">
        <f>""</f>
        <v/>
      </c>
      <c r="BO1154" t="str">
        <f>""</f>
        <v/>
      </c>
      <c r="BP1154" t="str">
        <f>""</f>
        <v/>
      </c>
      <c r="BQ1154" t="str">
        <f>""</f>
        <v/>
      </c>
      <c r="BR1154" t="str">
        <f>"03/04/2023"</f>
        <v>03/04/2023</v>
      </c>
      <c r="BS1154" t="str">
        <f>""</f>
        <v/>
      </c>
      <c r="BT1154" t="str">
        <f>""</f>
        <v/>
      </c>
      <c r="BU1154" t="str">
        <f>""</f>
        <v/>
      </c>
      <c r="BV1154" t="str">
        <f>""</f>
        <v/>
      </c>
      <c r="BW1154" t="str">
        <f>"Não visitado"</f>
        <v>Não visitado</v>
      </c>
    </row>
    <row r="1155" spans="1:75" x14ac:dyDescent="0.35">
      <c r="A1155">
        <v>156880</v>
      </c>
      <c r="B1155" t="str">
        <f t="shared" si="581"/>
        <v>A</v>
      </c>
      <c r="C1155" t="str">
        <f t="shared" si="582"/>
        <v>80</v>
      </c>
      <c r="D1155" t="str">
        <f t="shared" si="575"/>
        <v>11121002</v>
      </c>
      <c r="E1155" t="str">
        <f t="shared" si="576"/>
        <v>121002</v>
      </c>
      <c r="F1155" t="str">
        <f t="shared" si="577"/>
        <v>CINTHIA NORONHA</v>
      </c>
      <c r="G1155" t="str">
        <f>"31553093000105"</f>
        <v>31553093000105</v>
      </c>
      <c r="H1155" t="str">
        <f>"0"</f>
        <v>0</v>
      </c>
      <c r="I1155" t="str">
        <f t="shared" si="583"/>
        <v>CONTA OPTICA</v>
      </c>
      <c r="J1155" t="str">
        <f>"SANTA VISTA COMERCIO DE PRODUTOS OPTICOS LTDA"</f>
        <v>SANTA VISTA COMERCIO DE PRODUTOS OPTICOS LTDA</v>
      </c>
      <c r="K1155" t="str">
        <f>"OTICA SANTA VISTA (4258)"</f>
        <v>OTICA SANTA VISTA (4258)</v>
      </c>
      <c r="L1155" t="str">
        <f>""</f>
        <v/>
      </c>
      <c r="M1155" t="str">
        <f>""</f>
        <v/>
      </c>
      <c r="N1155" t="str">
        <f>"ASSISTENCIA@OPTICAJUNG.COM.BR"</f>
        <v>ASSISTENCIA@OPTICAJUNG.COM.BR</v>
      </c>
      <c r="O1155" t="str">
        <f>""</f>
        <v/>
      </c>
      <c r="P1155" t="str">
        <f>"RUA ZECA NEVES"</f>
        <v>RUA ZECA NEVES</v>
      </c>
      <c r="Q1155" t="str">
        <f>"160"</f>
        <v>160</v>
      </c>
      <c r="R1155" t="str">
        <f>""</f>
        <v/>
      </c>
      <c r="S1155" t="str">
        <f>""</f>
        <v/>
      </c>
      <c r="T1155" t="str">
        <f>"88502225"</f>
        <v>88502225</v>
      </c>
      <c r="U1155" t="str">
        <f>"CENTRO"</f>
        <v>CENTRO</v>
      </c>
      <c r="V1155" t="str">
        <f>"LAGES"</f>
        <v>LAGES</v>
      </c>
      <c r="W1155" t="str">
        <f t="shared" si="579"/>
        <v>SC</v>
      </c>
      <c r="X1155" t="str">
        <f>"49"</f>
        <v>49</v>
      </c>
      <c r="Y1155" t="str">
        <f>"35120159"</f>
        <v>35120159</v>
      </c>
      <c r="Z1155" t="str">
        <f>""</f>
        <v/>
      </c>
      <c r="AA1155" t="str">
        <f>""</f>
        <v/>
      </c>
      <c r="AB1155" t="str">
        <f>""</f>
        <v/>
      </c>
      <c r="AC1155" t="str">
        <f>""</f>
        <v/>
      </c>
      <c r="AD1155" t="str">
        <f>""</f>
        <v/>
      </c>
      <c r="AE1155" t="str">
        <f>""</f>
        <v/>
      </c>
      <c r="AF1155" t="str">
        <f>""</f>
        <v/>
      </c>
      <c r="AG1155" t="str">
        <f>""</f>
        <v/>
      </c>
      <c r="AH1155" t="str">
        <f>""</f>
        <v/>
      </c>
      <c r="AI1155" t="str">
        <f>""</f>
        <v/>
      </c>
      <c r="AJ1155" t="str">
        <f>""</f>
        <v/>
      </c>
      <c r="AK1155" t="str">
        <f>""</f>
        <v/>
      </c>
      <c r="AL1155" t="str">
        <f>""</f>
        <v/>
      </c>
      <c r="AM1155" t="str">
        <f>""</f>
        <v/>
      </c>
      <c r="AN1155" t="str">
        <f>""</f>
        <v/>
      </c>
      <c r="AO1155" t="str">
        <f>""</f>
        <v/>
      </c>
      <c r="AP1155" t="str">
        <f>""</f>
        <v/>
      </c>
      <c r="AQ1155" t="str">
        <f>""</f>
        <v/>
      </c>
      <c r="AR1155" t="str">
        <f>""</f>
        <v/>
      </c>
      <c r="AS1155" t="str">
        <f>""</f>
        <v/>
      </c>
      <c r="AT1155" t="str">
        <f>""</f>
        <v/>
      </c>
      <c r="AU1155" t="str">
        <f>""</f>
        <v/>
      </c>
      <c r="AV1155" t="str">
        <f>""</f>
        <v/>
      </c>
      <c r="AW1155" t="str">
        <f>""</f>
        <v/>
      </c>
      <c r="AX1155" t="str">
        <f>""</f>
        <v/>
      </c>
      <c r="AY1155" t="str">
        <f>""</f>
        <v/>
      </c>
      <c r="AZ1155" t="str">
        <f>""</f>
        <v/>
      </c>
      <c r="BA1155" t="str">
        <f>""</f>
        <v/>
      </c>
      <c r="BB1155" t="str">
        <f>"06/07/2023 12:07:48"</f>
        <v>06/07/2023 12:07:48</v>
      </c>
      <c r="BC1155" t="str">
        <f>""</f>
        <v/>
      </c>
      <c r="BD1155" t="str">
        <f>""</f>
        <v/>
      </c>
      <c r="BE1155" t="str">
        <f>""</f>
        <v/>
      </c>
      <c r="BF1155" t="str">
        <f t="shared" si="584"/>
        <v>A</v>
      </c>
      <c r="BG1155" t="str">
        <f>""</f>
        <v/>
      </c>
      <c r="BH1155" t="str">
        <f>""</f>
        <v/>
      </c>
      <c r="BI1155" t="str">
        <f t="shared" si="567"/>
        <v>EVENTUAL</v>
      </c>
      <c r="BJ1155" t="str">
        <f t="shared" si="585"/>
        <v>1</v>
      </c>
      <c r="BK1155" t="str">
        <f t="shared" si="586"/>
        <v>Farmacia</v>
      </c>
      <c r="BL1155" t="str">
        <f>""</f>
        <v/>
      </c>
      <c r="BM1155" t="str">
        <f>""</f>
        <v/>
      </c>
      <c r="BN1155" t="str">
        <f>""</f>
        <v/>
      </c>
      <c r="BO1155" t="str">
        <f>""</f>
        <v/>
      </c>
      <c r="BP1155" t="str">
        <f>""</f>
        <v/>
      </c>
      <c r="BQ1155" t="str">
        <f>""</f>
        <v/>
      </c>
      <c r="BR1155" t="str">
        <f>"06/07/2023"</f>
        <v>06/07/2023</v>
      </c>
      <c r="BS1155" t="str">
        <f>""</f>
        <v/>
      </c>
      <c r="BT1155" t="str">
        <f>""</f>
        <v/>
      </c>
      <c r="BU1155" t="str">
        <f>""</f>
        <v/>
      </c>
      <c r="BV1155" t="str">
        <f>""</f>
        <v/>
      </c>
      <c r="BW1155" t="str">
        <f>"Não visitado"</f>
        <v>Não visitado</v>
      </c>
    </row>
    <row r="1156" spans="1:75" x14ac:dyDescent="0.35">
      <c r="A1156">
        <v>157667</v>
      </c>
      <c r="B1156" t="str">
        <f t="shared" si="581"/>
        <v>A</v>
      </c>
      <c r="C1156" t="str">
        <f t="shared" si="582"/>
        <v>80</v>
      </c>
      <c r="D1156" t="str">
        <f t="shared" si="575"/>
        <v>11121002</v>
      </c>
      <c r="E1156" t="str">
        <f t="shared" si="576"/>
        <v>121002</v>
      </c>
      <c r="F1156" t="str">
        <f t="shared" si="577"/>
        <v>CINTHIA NORONHA</v>
      </c>
      <c r="G1156" t="str">
        <f>"11930162000145"</f>
        <v>11930162000145</v>
      </c>
      <c r="H1156" t="str">
        <f>"0"</f>
        <v>0</v>
      </c>
      <c r="I1156" t="str">
        <f t="shared" si="583"/>
        <v>CONTA OPTICA</v>
      </c>
      <c r="J1156" t="str">
        <f>"SANTANA E FIGUEREDO COM. VAREJISTA LTDA"</f>
        <v>SANTANA E FIGUEREDO COM. VAREJISTA LTDA</v>
      </c>
      <c r="K1156" t="str">
        <f>"OTICA SANTANA (1737)"</f>
        <v>OTICA SANTANA (1737)</v>
      </c>
      <c r="L1156" t="str">
        <f>""</f>
        <v/>
      </c>
      <c r="M1156" t="str">
        <f>""</f>
        <v/>
      </c>
      <c r="N1156" t="str">
        <f>"Otica.santana.s@gmail.com"</f>
        <v>Otica.santana.s@gmail.com</v>
      </c>
      <c r="O1156" t="str">
        <f>""</f>
        <v/>
      </c>
      <c r="P1156" t="str">
        <f>"GETULIO VARGAS"</f>
        <v>GETULIO VARGAS</v>
      </c>
      <c r="Q1156" t="str">
        <f>"200"</f>
        <v>200</v>
      </c>
      <c r="R1156" t="str">
        <f>"SL 13"</f>
        <v>SL 13</v>
      </c>
      <c r="S1156" t="str">
        <f>"1270"</f>
        <v>1270</v>
      </c>
      <c r="T1156" t="str">
        <f>"88900035"</f>
        <v>88900035</v>
      </c>
      <c r="U1156" t="str">
        <f>"CENTRO"</f>
        <v>CENTRO</v>
      </c>
      <c r="V1156" t="str">
        <f>"ARARANGUA"</f>
        <v>ARARANGUA</v>
      </c>
      <c r="W1156" t="str">
        <f t="shared" si="579"/>
        <v>SC</v>
      </c>
      <c r="X1156" t="str">
        <f t="shared" ref="X1156:X1177" si="587">"48"</f>
        <v>48</v>
      </c>
      <c r="Y1156" t="str">
        <f>"35270164"</f>
        <v>35270164</v>
      </c>
      <c r="Z1156" t="str">
        <f>""</f>
        <v/>
      </c>
      <c r="AA1156" t="str">
        <f>""</f>
        <v/>
      </c>
      <c r="AB1156" t="str">
        <f>""</f>
        <v/>
      </c>
      <c r="AC1156" t="str">
        <f>""</f>
        <v/>
      </c>
      <c r="AD1156" t="str">
        <f>""</f>
        <v/>
      </c>
      <c r="AE1156" t="str">
        <f>""</f>
        <v/>
      </c>
      <c r="AF1156" t="str">
        <f>""</f>
        <v/>
      </c>
      <c r="AG1156" t="str">
        <f>""</f>
        <v/>
      </c>
      <c r="AH1156" t="str">
        <f>""</f>
        <v/>
      </c>
      <c r="AI1156" t="str">
        <f>""</f>
        <v/>
      </c>
      <c r="AJ1156" t="str">
        <f>""</f>
        <v/>
      </c>
      <c r="AK1156" t="str">
        <f>""</f>
        <v/>
      </c>
      <c r="AL1156" t="str">
        <f>""</f>
        <v/>
      </c>
      <c r="AM1156" t="str">
        <f>""</f>
        <v/>
      </c>
      <c r="AN1156" t="str">
        <f>""</f>
        <v/>
      </c>
      <c r="AO1156" t="str">
        <f>""</f>
        <v/>
      </c>
      <c r="AP1156" t="str">
        <f>""</f>
        <v/>
      </c>
      <c r="AQ1156" t="str">
        <f>""</f>
        <v/>
      </c>
      <c r="AR1156" t="str">
        <f>""</f>
        <v/>
      </c>
      <c r="AS1156" t="str">
        <f>""</f>
        <v/>
      </c>
      <c r="AT1156" t="str">
        <f>""</f>
        <v/>
      </c>
      <c r="AU1156" t="str">
        <f>""</f>
        <v/>
      </c>
      <c r="AV1156" t="str">
        <f>""</f>
        <v/>
      </c>
      <c r="AW1156" t="str">
        <f>""</f>
        <v/>
      </c>
      <c r="AX1156" t="str">
        <f>""</f>
        <v/>
      </c>
      <c r="AY1156" t="str">
        <f>""</f>
        <v/>
      </c>
      <c r="AZ1156" t="str">
        <f>""</f>
        <v/>
      </c>
      <c r="BA1156" t="str">
        <f>""</f>
        <v/>
      </c>
      <c r="BB1156" t="str">
        <f>"11/07/2023 02:19:56"</f>
        <v>11/07/2023 02:19:56</v>
      </c>
      <c r="BC1156" t="str">
        <f>""</f>
        <v/>
      </c>
      <c r="BD1156" t="str">
        <f>""</f>
        <v/>
      </c>
      <c r="BE1156" t="str">
        <f>""</f>
        <v/>
      </c>
      <c r="BF1156" t="str">
        <f t="shared" si="584"/>
        <v>A</v>
      </c>
      <c r="BG1156" t="str">
        <f>""</f>
        <v/>
      </c>
      <c r="BH1156" t="str">
        <f>""</f>
        <v/>
      </c>
      <c r="BI1156" t="str">
        <f t="shared" si="567"/>
        <v>EVENTUAL</v>
      </c>
      <c r="BJ1156" t="str">
        <f t="shared" si="585"/>
        <v>1</v>
      </c>
      <c r="BK1156" t="str">
        <f t="shared" si="586"/>
        <v>Farmacia</v>
      </c>
      <c r="BL1156" t="str">
        <f>""</f>
        <v/>
      </c>
      <c r="BM1156" t="str">
        <f>""</f>
        <v/>
      </c>
      <c r="BN1156" t="str">
        <f>""</f>
        <v/>
      </c>
      <c r="BO1156" t="str">
        <f>""</f>
        <v/>
      </c>
      <c r="BP1156" t="str">
        <f>""</f>
        <v/>
      </c>
      <c r="BQ1156" t="str">
        <f>""</f>
        <v/>
      </c>
      <c r="BR1156" t="str">
        <f>"11/07/2023"</f>
        <v>11/07/2023</v>
      </c>
      <c r="BS1156" t="str">
        <f>""</f>
        <v/>
      </c>
      <c r="BT1156" t="str">
        <f>""</f>
        <v/>
      </c>
      <c r="BU1156" t="str">
        <f>""</f>
        <v/>
      </c>
      <c r="BV1156" t="str">
        <f>""</f>
        <v/>
      </c>
      <c r="BW1156" t="str">
        <f>"Não visitado"</f>
        <v>Não visitado</v>
      </c>
    </row>
    <row r="1157" spans="1:75" x14ac:dyDescent="0.35">
      <c r="A1157">
        <v>605</v>
      </c>
      <c r="B1157" t="str">
        <f t="shared" si="581"/>
        <v>A</v>
      </c>
      <c r="C1157" t="str">
        <f t="shared" si="582"/>
        <v>80</v>
      </c>
      <c r="D1157" t="str">
        <f t="shared" si="575"/>
        <v>11121002</v>
      </c>
      <c r="E1157" t="str">
        <f t="shared" si="576"/>
        <v>121002</v>
      </c>
      <c r="F1157" t="str">
        <f t="shared" si="577"/>
        <v>CINTHIA NORONHA</v>
      </c>
      <c r="G1157" t="str">
        <f>"18616583000145"</f>
        <v>18616583000145</v>
      </c>
      <c r="H1157" t="str">
        <f>""</f>
        <v/>
      </c>
      <c r="I1157" t="str">
        <f t="shared" si="583"/>
        <v>CONTA OPTICA</v>
      </c>
      <c r="J1157" t="str">
        <f>"SANTIAGO COMERCIO DE PRODUTOS OTICOS LTDA"</f>
        <v>SANTIAGO COMERCIO DE PRODUTOS OTICOS LTDA</v>
      </c>
      <c r="K1157" t="str">
        <f>"OTICA SANTIAGO (2030)"</f>
        <v>OTICA SANTIAGO (2030)</v>
      </c>
      <c r="L1157" t="str">
        <f>""</f>
        <v/>
      </c>
      <c r="M1157" t="str">
        <f>""</f>
        <v/>
      </c>
      <c r="N1157" t="str">
        <f>"contato.oticasantiago@hotmail.com"</f>
        <v>contato.oticasantiago@hotmail.com</v>
      </c>
      <c r="O1157" t="str">
        <f>""</f>
        <v/>
      </c>
      <c r="P1157" t="str">
        <f>"RUA FELIPE SCHMIDT"</f>
        <v>RUA FELIPE SCHMIDT</v>
      </c>
      <c r="Q1157" t="str">
        <f>"636"</f>
        <v>636</v>
      </c>
      <c r="R1157" t="str">
        <f>"LOJA 07"</f>
        <v>LOJA 07</v>
      </c>
      <c r="S1157" t="str">
        <f>"1254"</f>
        <v>1254</v>
      </c>
      <c r="T1157" t="str">
        <f>"88010001"</f>
        <v>88010001</v>
      </c>
      <c r="U1157" t="str">
        <f>"CENTRO"</f>
        <v>CENTRO</v>
      </c>
      <c r="V1157" t="str">
        <f>"FLORIANÓPOLIS"</f>
        <v>FLORIANÓPOLIS</v>
      </c>
      <c r="W1157" t="str">
        <f t="shared" si="579"/>
        <v>SC</v>
      </c>
      <c r="X1157" t="str">
        <f t="shared" si="587"/>
        <v>48</v>
      </c>
      <c r="Y1157" t="str">
        <f>"30247123"</f>
        <v>30247123</v>
      </c>
      <c r="Z1157" t="str">
        <f>""</f>
        <v/>
      </c>
      <c r="AA1157" t="str">
        <f>""</f>
        <v/>
      </c>
      <c r="AB1157" t="str">
        <f>""</f>
        <v/>
      </c>
      <c r="AC1157" t="str">
        <f>""</f>
        <v/>
      </c>
      <c r="AD1157" t="str">
        <f>""</f>
        <v/>
      </c>
      <c r="AE1157" t="str">
        <f>""</f>
        <v/>
      </c>
      <c r="AF1157" t="str">
        <f>""</f>
        <v/>
      </c>
      <c r="AG1157" t="str">
        <f>"S"</f>
        <v>S</v>
      </c>
      <c r="AH1157" t="str">
        <f>""</f>
        <v/>
      </c>
      <c r="AI1157" t="str">
        <f>""</f>
        <v/>
      </c>
      <c r="AJ1157" t="str">
        <f t="shared" ref="AJ1157:AL1158" si="588">"0"</f>
        <v>0</v>
      </c>
      <c r="AK1157" t="str">
        <f t="shared" si="588"/>
        <v>0</v>
      </c>
      <c r="AL1157" t="str">
        <f t="shared" si="588"/>
        <v>0</v>
      </c>
      <c r="AM1157" t="str">
        <f>""</f>
        <v/>
      </c>
      <c r="AN1157" t="str">
        <f>""</f>
        <v/>
      </c>
      <c r="AO1157" t="str">
        <f>""</f>
        <v/>
      </c>
      <c r="AP1157" t="str">
        <f>""</f>
        <v/>
      </c>
      <c r="AQ1157" t="str">
        <f t="shared" ref="AQ1157:AU1159" si="589">"N"</f>
        <v>N</v>
      </c>
      <c r="AR1157" t="str">
        <f t="shared" si="589"/>
        <v>N</v>
      </c>
      <c r="AS1157" t="str">
        <f t="shared" si="589"/>
        <v>N</v>
      </c>
      <c r="AT1157" t="str">
        <f t="shared" si="589"/>
        <v>N</v>
      </c>
      <c r="AU1157" t="str">
        <f t="shared" si="589"/>
        <v>N</v>
      </c>
      <c r="AV1157" t="str">
        <f>""</f>
        <v/>
      </c>
      <c r="AW1157" t="str">
        <f>""</f>
        <v/>
      </c>
      <c r="AX1157" t="str">
        <f>""</f>
        <v/>
      </c>
      <c r="AY1157" t="str">
        <f>""</f>
        <v/>
      </c>
      <c r="AZ1157" t="str">
        <f>""</f>
        <v/>
      </c>
      <c r="BA1157" t="str">
        <f>""</f>
        <v/>
      </c>
      <c r="BB1157" t="str">
        <f>"27/07/2018 09:25:47"</f>
        <v>27/07/2018 09:25:47</v>
      </c>
      <c r="BC1157" t="str">
        <f>"07/07/2023 17:30:55"</f>
        <v>07/07/2023 17:30:55</v>
      </c>
      <c r="BD1157" t="str">
        <f>""</f>
        <v/>
      </c>
      <c r="BE1157" t="str">
        <f>"605"</f>
        <v>605</v>
      </c>
      <c r="BF1157" t="str">
        <f t="shared" si="584"/>
        <v>A</v>
      </c>
      <c r="BG1157" t="str">
        <f>"0,00"</f>
        <v>0,00</v>
      </c>
      <c r="BH1157" t="str">
        <f>"0,00"</f>
        <v>0,00</v>
      </c>
      <c r="BI1157" t="str">
        <f t="shared" si="567"/>
        <v>EVENTUAL</v>
      </c>
      <c r="BJ1157" t="str">
        <f t="shared" si="585"/>
        <v>1</v>
      </c>
      <c r="BK1157" t="str">
        <f t="shared" si="586"/>
        <v>Farmacia</v>
      </c>
      <c r="BL1157" t="str">
        <f>""</f>
        <v/>
      </c>
      <c r="BM1157" t="str">
        <f>"NÃO É VARILUX ESPECIALISTA"</f>
        <v>NÃO É VARILUX ESPECIALISTA</v>
      </c>
      <c r="BN1157" t="str">
        <f>"NA"</f>
        <v>NA</v>
      </c>
      <c r="BO1157" t="str">
        <f>"OUTROS"</f>
        <v>OUTROS</v>
      </c>
      <c r="BP1157" t="str">
        <f>""</f>
        <v/>
      </c>
      <c r="BQ1157" t="str">
        <f>""</f>
        <v/>
      </c>
      <c r="BR1157" t="str">
        <f>"27/07/2018"</f>
        <v>27/07/2018</v>
      </c>
      <c r="BS1157" t="str">
        <f>"07/07/2023"</f>
        <v>07/07/2023</v>
      </c>
      <c r="BT1157" t="str">
        <f>""</f>
        <v/>
      </c>
      <c r="BU1157" t="str">
        <f>""</f>
        <v/>
      </c>
      <c r="BV1157" t="str">
        <f>"9"</f>
        <v>9</v>
      </c>
      <c r="BW1157" t="str">
        <f>"2"</f>
        <v>2</v>
      </c>
    </row>
    <row r="1158" spans="1:75" x14ac:dyDescent="0.35">
      <c r="A1158">
        <v>134253</v>
      </c>
      <c r="B1158" t="str">
        <f t="shared" si="581"/>
        <v>A</v>
      </c>
      <c r="C1158" t="str">
        <f t="shared" si="582"/>
        <v>80</v>
      </c>
      <c r="D1158" t="str">
        <f t="shared" si="575"/>
        <v>11121002</v>
      </c>
      <c r="E1158" t="str">
        <f t="shared" si="576"/>
        <v>121002</v>
      </c>
      <c r="F1158" t="str">
        <f t="shared" si="577"/>
        <v>CINTHIA NORONHA</v>
      </c>
      <c r="G1158" t="str">
        <f>"17987609000107"</f>
        <v>17987609000107</v>
      </c>
      <c r="H1158" t="str">
        <f>""</f>
        <v/>
      </c>
      <c r="I1158" t="str">
        <f t="shared" si="583"/>
        <v>CONTA OPTICA</v>
      </c>
      <c r="J1158" t="str">
        <f>"SARA DE OLIVEIRA CARDOSO 06880190995"</f>
        <v>SARA DE OLIVEIRA CARDOSO 06880190995</v>
      </c>
      <c r="K1158" t="str">
        <f>"RELOJOARIA BEATRIZ (2072)"</f>
        <v>RELOJOARIA BEATRIZ (2072)</v>
      </c>
      <c r="L1158" t="str">
        <f>""</f>
        <v/>
      </c>
      <c r="M1158" t="str">
        <f>""</f>
        <v/>
      </c>
      <c r="N1158" t="str">
        <f>"oticabeatriz_@hotmail.com"</f>
        <v>oticabeatriz_@hotmail.com</v>
      </c>
      <c r="O1158" t="str">
        <f>""</f>
        <v/>
      </c>
      <c r="P1158" t="str">
        <f>"RUA HERCILIO LUZ"</f>
        <v>RUA HERCILIO LUZ</v>
      </c>
      <c r="Q1158" t="str">
        <f>"110"</f>
        <v>110</v>
      </c>
      <c r="R1158" t="str">
        <f>""</f>
        <v/>
      </c>
      <c r="S1158" t="str">
        <f>"1265"</f>
        <v>1265</v>
      </c>
      <c r="T1158" t="str">
        <f>"88450000"</f>
        <v>88450000</v>
      </c>
      <c r="U1158" t="str">
        <f>"CENTRO"</f>
        <v>CENTRO</v>
      </c>
      <c r="V1158" t="str">
        <f>"ALFREDO WAGNER"</f>
        <v>ALFREDO WAGNER</v>
      </c>
      <c r="W1158" t="str">
        <f t="shared" si="579"/>
        <v>SC</v>
      </c>
      <c r="X1158" t="str">
        <f t="shared" si="587"/>
        <v>48</v>
      </c>
      <c r="Y1158" t="str">
        <f>"32761536"</f>
        <v>32761536</v>
      </c>
      <c r="Z1158" t="str">
        <f>""</f>
        <v/>
      </c>
      <c r="AA1158" t="str">
        <f>""</f>
        <v/>
      </c>
      <c r="AB1158" t="str">
        <f>""</f>
        <v/>
      </c>
      <c r="AC1158" t="str">
        <f>""</f>
        <v/>
      </c>
      <c r="AD1158" t="str">
        <f>""</f>
        <v/>
      </c>
      <c r="AE1158" t="str">
        <f>""</f>
        <v/>
      </c>
      <c r="AF1158" t="str">
        <f>""</f>
        <v/>
      </c>
      <c r="AG1158" t="str">
        <f>"S"</f>
        <v>S</v>
      </c>
      <c r="AH1158" t="str">
        <f>""</f>
        <v/>
      </c>
      <c r="AI1158" t="str">
        <f>""</f>
        <v/>
      </c>
      <c r="AJ1158" t="str">
        <f t="shared" si="588"/>
        <v>0</v>
      </c>
      <c r="AK1158" t="str">
        <f t="shared" si="588"/>
        <v>0</v>
      </c>
      <c r="AL1158" t="str">
        <f t="shared" si="588"/>
        <v>0</v>
      </c>
      <c r="AM1158" t="str">
        <f>""</f>
        <v/>
      </c>
      <c r="AN1158" t="str">
        <f>""</f>
        <v/>
      </c>
      <c r="AO1158" t="str">
        <f>""</f>
        <v/>
      </c>
      <c r="AP1158" t="str">
        <f>""</f>
        <v/>
      </c>
      <c r="AQ1158" t="str">
        <f t="shared" si="589"/>
        <v>N</v>
      </c>
      <c r="AR1158" t="str">
        <f t="shared" si="589"/>
        <v>N</v>
      </c>
      <c r="AS1158" t="str">
        <f t="shared" si="589"/>
        <v>N</v>
      </c>
      <c r="AT1158" t="str">
        <f t="shared" si="589"/>
        <v>N</v>
      </c>
      <c r="AU1158" t="str">
        <f t="shared" si="589"/>
        <v>N</v>
      </c>
      <c r="AV1158" t="str">
        <f>""</f>
        <v/>
      </c>
      <c r="AW1158" t="str">
        <f>""</f>
        <v/>
      </c>
      <c r="AX1158" t="str">
        <f>""</f>
        <v/>
      </c>
      <c r="AY1158" t="str">
        <f>""</f>
        <v/>
      </c>
      <c r="AZ1158" t="str">
        <f>""</f>
        <v/>
      </c>
      <c r="BA1158" t="str">
        <f>""</f>
        <v/>
      </c>
      <c r="BB1158" t="str">
        <f>""</f>
        <v/>
      </c>
      <c r="BC1158" t="str">
        <f>"23/01/2023 14:56:40"</f>
        <v>23/01/2023 14:56:40</v>
      </c>
      <c r="BD1158" t="str">
        <f>""</f>
        <v/>
      </c>
      <c r="BE1158" t="str">
        <f>""</f>
        <v/>
      </c>
      <c r="BF1158" t="str">
        <f t="shared" si="584"/>
        <v>A</v>
      </c>
      <c r="BG1158" t="str">
        <f>"0,00"</f>
        <v>0,00</v>
      </c>
      <c r="BH1158" t="str">
        <f>"0,00"</f>
        <v>0,00</v>
      </c>
      <c r="BI1158" t="str">
        <f t="shared" si="567"/>
        <v>EVENTUAL</v>
      </c>
      <c r="BJ1158" t="str">
        <f t="shared" si="585"/>
        <v>1</v>
      </c>
      <c r="BK1158" t="str">
        <f t="shared" si="586"/>
        <v>Farmacia</v>
      </c>
      <c r="BL1158" t="str">
        <f>""</f>
        <v/>
      </c>
      <c r="BM1158" t="str">
        <f>"NÃO É VARILUX ESPECIALISTA"</f>
        <v>NÃO É VARILUX ESPECIALISTA</v>
      </c>
      <c r="BN1158" t="str">
        <f>"NA"</f>
        <v>NA</v>
      </c>
      <c r="BO1158" t="str">
        <f>"OUTROS"</f>
        <v>OUTROS</v>
      </c>
      <c r="BP1158" t="str">
        <f>""</f>
        <v/>
      </c>
      <c r="BQ1158" t="str">
        <f>""</f>
        <v/>
      </c>
      <c r="BR1158" t="str">
        <f>""</f>
        <v/>
      </c>
      <c r="BS1158" t="str">
        <f>"23/01/2023"</f>
        <v>23/01/2023</v>
      </c>
      <c r="BT1158" t="str">
        <f>""</f>
        <v/>
      </c>
      <c r="BU1158" t="str">
        <f>""</f>
        <v/>
      </c>
      <c r="BV1158" t="str">
        <f>"9"</f>
        <v>9</v>
      </c>
      <c r="BW1158" t="str">
        <f>"2"</f>
        <v>2</v>
      </c>
    </row>
    <row r="1159" spans="1:75" x14ac:dyDescent="0.35">
      <c r="A1159">
        <v>143859</v>
      </c>
      <c r="B1159" t="str">
        <f t="shared" si="581"/>
        <v>A</v>
      </c>
      <c r="C1159" t="str">
        <f t="shared" si="582"/>
        <v>80</v>
      </c>
      <c r="D1159" t="str">
        <f t="shared" si="575"/>
        <v>11121002</v>
      </c>
      <c r="E1159" t="str">
        <f t="shared" si="576"/>
        <v>121002</v>
      </c>
      <c r="F1159" t="str">
        <f t="shared" si="577"/>
        <v>CINTHIA NORONHA</v>
      </c>
      <c r="G1159" t="str">
        <f>"41388569000153"</f>
        <v>41388569000153</v>
      </c>
      <c r="H1159" t="str">
        <f>"0"</f>
        <v>0</v>
      </c>
      <c r="I1159" t="str">
        <f t="shared" si="583"/>
        <v>CONTA OPTICA</v>
      </c>
      <c r="J1159" t="str">
        <f>"SAUDE VISUAL SANTA CATARINA LTDA"</f>
        <v>SAUDE VISUAL SANTA CATARINA LTDA</v>
      </c>
      <c r="K1159" t="str">
        <f>"EMPORIO VISUAL (4407)"</f>
        <v>EMPORIO VISUAL (4407)</v>
      </c>
      <c r="L1159" t="str">
        <f>""</f>
        <v/>
      </c>
      <c r="M1159" t="str">
        <f>""</f>
        <v/>
      </c>
      <c r="N1159" t="str">
        <f>"renanmacielfinanceiro@outlook.com"</f>
        <v>renanmacielfinanceiro@outlook.com</v>
      </c>
      <c r="O1159" t="str">
        <f>""</f>
        <v/>
      </c>
      <c r="P1159" t="str">
        <f>"AVENIDA OSNI JOAO VIEIRA"</f>
        <v>AVENIDA OSNI JOAO VIEIRA</v>
      </c>
      <c r="Q1159" t="str">
        <f>"307"</f>
        <v>307</v>
      </c>
      <c r="R1159" t="str">
        <f>"SALA 05"</f>
        <v>SALA 05</v>
      </c>
      <c r="S1159" t="str">
        <f>"1259"</f>
        <v>1259</v>
      </c>
      <c r="T1159" t="str">
        <f>"88101270"</f>
        <v>88101270</v>
      </c>
      <c r="U1159" t="str">
        <f>"CAMPINAS"</f>
        <v>CAMPINAS</v>
      </c>
      <c r="V1159" t="str">
        <f>"SÃO JOSÉ"</f>
        <v>SÃO JOSÉ</v>
      </c>
      <c r="W1159" t="str">
        <f t="shared" si="579"/>
        <v>SC</v>
      </c>
      <c r="X1159" t="str">
        <f t="shared" si="587"/>
        <v>48</v>
      </c>
      <c r="Y1159" t="str">
        <f>"30667999"</f>
        <v>30667999</v>
      </c>
      <c r="Z1159" t="str">
        <f>""</f>
        <v/>
      </c>
      <c r="AA1159" t="str">
        <f>""</f>
        <v/>
      </c>
      <c r="AB1159" t="str">
        <f>""</f>
        <v/>
      </c>
      <c r="AC1159" t="str">
        <f>""</f>
        <v/>
      </c>
      <c r="AD1159" t="str">
        <f>""</f>
        <v/>
      </c>
      <c r="AE1159" t="str">
        <f>""</f>
        <v/>
      </c>
      <c r="AF1159" t="str">
        <f>""</f>
        <v/>
      </c>
      <c r="AG1159" t="str">
        <f>"S"</f>
        <v>S</v>
      </c>
      <c r="AH1159" t="str">
        <f>""</f>
        <v/>
      </c>
      <c r="AI1159" t="str">
        <f>""</f>
        <v/>
      </c>
      <c r="AJ1159" t="str">
        <f>""</f>
        <v/>
      </c>
      <c r="AK1159" t="str">
        <f>""</f>
        <v/>
      </c>
      <c r="AL1159" t="str">
        <f>""</f>
        <v/>
      </c>
      <c r="AM1159" t="str">
        <f>""</f>
        <v/>
      </c>
      <c r="AN1159" t="str">
        <f>""</f>
        <v/>
      </c>
      <c r="AO1159" t="str">
        <f>""</f>
        <v/>
      </c>
      <c r="AP1159" t="str">
        <f>""</f>
        <v/>
      </c>
      <c r="AQ1159" t="str">
        <f t="shared" si="589"/>
        <v>N</v>
      </c>
      <c r="AR1159" t="str">
        <f t="shared" si="589"/>
        <v>N</v>
      </c>
      <c r="AS1159" t="str">
        <f t="shared" si="589"/>
        <v>N</v>
      </c>
      <c r="AT1159" t="str">
        <f t="shared" si="589"/>
        <v>N</v>
      </c>
      <c r="AU1159" t="str">
        <f t="shared" si="589"/>
        <v>N</v>
      </c>
      <c r="AV1159" t="str">
        <f>""</f>
        <v/>
      </c>
      <c r="AW1159" t="str">
        <f>""</f>
        <v/>
      </c>
      <c r="AX1159" t="str">
        <f>""</f>
        <v/>
      </c>
      <c r="AY1159" t="str">
        <f>""</f>
        <v/>
      </c>
      <c r="AZ1159" t="str">
        <f>""</f>
        <v/>
      </c>
      <c r="BA1159" t="str">
        <f>""</f>
        <v/>
      </c>
      <c r="BB1159" t="str">
        <f>"12/11/2021 13:54:22"</f>
        <v>12/11/2021 13:54:22</v>
      </c>
      <c r="BC1159" t="str">
        <f>"07/07/2023 10:59:14"</f>
        <v>07/07/2023 10:59:14</v>
      </c>
      <c r="BD1159" t="str">
        <f>""</f>
        <v/>
      </c>
      <c r="BE1159" t="str">
        <f>""</f>
        <v/>
      </c>
      <c r="BF1159" t="str">
        <f t="shared" si="584"/>
        <v>A</v>
      </c>
      <c r="BG1159" t="str">
        <f>""</f>
        <v/>
      </c>
      <c r="BH1159" t="str">
        <f>"0,00"</f>
        <v>0,00</v>
      </c>
      <c r="BI1159" t="str">
        <f t="shared" si="567"/>
        <v>EVENTUAL</v>
      </c>
      <c r="BJ1159" t="str">
        <f t="shared" si="585"/>
        <v>1</v>
      </c>
      <c r="BK1159" t="str">
        <f t="shared" si="586"/>
        <v>Farmacia</v>
      </c>
      <c r="BL1159" t="str">
        <f>""</f>
        <v/>
      </c>
      <c r="BM1159" t="str">
        <f>""</f>
        <v/>
      </c>
      <c r="BN1159" t="str">
        <f>""</f>
        <v/>
      </c>
      <c r="BO1159" t="str">
        <f>"OUTROS"</f>
        <v>OUTROS</v>
      </c>
      <c r="BP1159" t="str">
        <f>""</f>
        <v/>
      </c>
      <c r="BQ1159" t="str">
        <f>""</f>
        <v/>
      </c>
      <c r="BR1159" t="str">
        <f>"12/11/2021"</f>
        <v>12/11/2021</v>
      </c>
      <c r="BS1159" t="str">
        <f>"07/07/2023"</f>
        <v>07/07/2023</v>
      </c>
      <c r="BT1159" t="str">
        <f>""</f>
        <v/>
      </c>
      <c r="BU1159" t="str">
        <f>""</f>
        <v/>
      </c>
      <c r="BV1159" t="str">
        <f>""</f>
        <v/>
      </c>
      <c r="BW1159" t="str">
        <f>"4"</f>
        <v>4</v>
      </c>
    </row>
    <row r="1160" spans="1:75" x14ac:dyDescent="0.35">
      <c r="A1160">
        <v>157735</v>
      </c>
      <c r="B1160" t="str">
        <f t="shared" si="581"/>
        <v>A</v>
      </c>
      <c r="C1160" t="str">
        <f t="shared" si="582"/>
        <v>80</v>
      </c>
      <c r="D1160" t="str">
        <f t="shared" si="575"/>
        <v>11121002</v>
      </c>
      <c r="E1160" t="str">
        <f t="shared" si="576"/>
        <v>121002</v>
      </c>
      <c r="F1160" t="str">
        <f t="shared" si="577"/>
        <v>CINTHIA NORONHA</v>
      </c>
      <c r="G1160" t="str">
        <f>"00559703000154"</f>
        <v>00559703000154</v>
      </c>
      <c r="H1160" t="str">
        <f>"0"</f>
        <v>0</v>
      </c>
      <c r="I1160" t="str">
        <f t="shared" si="583"/>
        <v>CONTA OPTICA</v>
      </c>
      <c r="J1160" t="str">
        <f>"SCHAPPO &amp; KREBS LTDA"</f>
        <v>SCHAPPO &amp; KREBS LTDA</v>
      </c>
      <c r="K1160" t="str">
        <f>"MARIO JOALHEIRO (228)"</f>
        <v>MARIO JOALHEIRO (228)</v>
      </c>
      <c r="L1160" t="str">
        <f>""</f>
        <v/>
      </c>
      <c r="M1160" t="str">
        <f>""</f>
        <v/>
      </c>
      <c r="N1160" t="str">
        <f>""</f>
        <v/>
      </c>
      <c r="O1160" t="str">
        <f>""</f>
        <v/>
      </c>
      <c r="P1160" t="str">
        <f>"RUA FELIPE SCHMIDT"</f>
        <v>RUA FELIPE SCHMIDT</v>
      </c>
      <c r="Q1160" t="str">
        <f>"249"</f>
        <v>249</v>
      </c>
      <c r="R1160" t="str">
        <f>"ARS LOJA 01"</f>
        <v>ARS LOJA 01</v>
      </c>
      <c r="S1160" t="str">
        <f>"1254"</f>
        <v>1254</v>
      </c>
      <c r="T1160" t="str">
        <f>"88010000"</f>
        <v>88010000</v>
      </c>
      <c r="U1160" t="str">
        <f>"CENTRO"</f>
        <v>CENTRO</v>
      </c>
      <c r="V1160" t="str">
        <f>"FLORIANOPOLIS"</f>
        <v>FLORIANOPOLIS</v>
      </c>
      <c r="W1160" t="str">
        <f t="shared" si="579"/>
        <v>SC</v>
      </c>
      <c r="X1160" t="str">
        <f t="shared" si="587"/>
        <v>48</v>
      </c>
      <c r="Y1160" t="str">
        <f>"32228352"</f>
        <v>32228352</v>
      </c>
      <c r="Z1160" t="str">
        <f>""</f>
        <v/>
      </c>
      <c r="AA1160" t="str">
        <f>""</f>
        <v/>
      </c>
      <c r="AB1160" t="str">
        <f>""</f>
        <v/>
      </c>
      <c r="AC1160" t="str">
        <f>""</f>
        <v/>
      </c>
      <c r="AD1160" t="str">
        <f>""</f>
        <v/>
      </c>
      <c r="AE1160" t="str">
        <f>""</f>
        <v/>
      </c>
      <c r="AF1160" t="str">
        <f>""</f>
        <v/>
      </c>
      <c r="AG1160" t="str">
        <f>""</f>
        <v/>
      </c>
      <c r="AH1160" t="str">
        <f>""</f>
        <v/>
      </c>
      <c r="AI1160" t="str">
        <f>""</f>
        <v/>
      </c>
      <c r="AJ1160" t="str">
        <f>""</f>
        <v/>
      </c>
      <c r="AK1160" t="str">
        <f>""</f>
        <v/>
      </c>
      <c r="AL1160" t="str">
        <f>""</f>
        <v/>
      </c>
      <c r="AM1160" t="str">
        <f>""</f>
        <v/>
      </c>
      <c r="AN1160" t="str">
        <f>""</f>
        <v/>
      </c>
      <c r="AO1160" t="str">
        <f>""</f>
        <v/>
      </c>
      <c r="AP1160" t="str">
        <f>""</f>
        <v/>
      </c>
      <c r="AQ1160" t="str">
        <f>""</f>
        <v/>
      </c>
      <c r="AR1160" t="str">
        <f>""</f>
        <v/>
      </c>
      <c r="AS1160" t="str">
        <f>""</f>
        <v/>
      </c>
      <c r="AT1160" t="str">
        <f>""</f>
        <v/>
      </c>
      <c r="AU1160" t="str">
        <f>""</f>
        <v/>
      </c>
      <c r="AV1160" t="str">
        <f>""</f>
        <v/>
      </c>
      <c r="AW1160" t="str">
        <f>""</f>
        <v/>
      </c>
      <c r="AX1160" t="str">
        <f>""</f>
        <v/>
      </c>
      <c r="AY1160" t="str">
        <f>""</f>
        <v/>
      </c>
      <c r="AZ1160" t="str">
        <f>""</f>
        <v/>
      </c>
      <c r="BA1160" t="str">
        <f>""</f>
        <v/>
      </c>
      <c r="BB1160" t="str">
        <f>"11/07/2023 02:19:56"</f>
        <v>11/07/2023 02:19:56</v>
      </c>
      <c r="BC1160" t="str">
        <f>""</f>
        <v/>
      </c>
      <c r="BD1160" t="str">
        <f>""</f>
        <v/>
      </c>
      <c r="BE1160" t="str">
        <f>""</f>
        <v/>
      </c>
      <c r="BF1160" t="str">
        <f t="shared" si="584"/>
        <v>A</v>
      </c>
      <c r="BG1160" t="str">
        <f>""</f>
        <v/>
      </c>
      <c r="BH1160" t="str">
        <f>""</f>
        <v/>
      </c>
      <c r="BI1160" t="str">
        <f t="shared" si="567"/>
        <v>EVENTUAL</v>
      </c>
      <c r="BJ1160" t="str">
        <f t="shared" si="585"/>
        <v>1</v>
      </c>
      <c r="BK1160" t="str">
        <f t="shared" si="586"/>
        <v>Farmacia</v>
      </c>
      <c r="BL1160" t="str">
        <f>""</f>
        <v/>
      </c>
      <c r="BM1160" t="str">
        <f>""</f>
        <v/>
      </c>
      <c r="BN1160" t="str">
        <f>""</f>
        <v/>
      </c>
      <c r="BO1160" t="str">
        <f>""</f>
        <v/>
      </c>
      <c r="BP1160" t="str">
        <f>""</f>
        <v/>
      </c>
      <c r="BQ1160" t="str">
        <f>""</f>
        <v/>
      </c>
      <c r="BR1160" t="str">
        <f>"11/07/2023"</f>
        <v>11/07/2023</v>
      </c>
      <c r="BS1160" t="str">
        <f>""</f>
        <v/>
      </c>
      <c r="BT1160" t="str">
        <f>""</f>
        <v/>
      </c>
      <c r="BU1160" t="str">
        <f>""</f>
        <v/>
      </c>
      <c r="BV1160" t="str">
        <f>""</f>
        <v/>
      </c>
      <c r="BW1160" t="str">
        <f>"Não visitado"</f>
        <v>Não visitado</v>
      </c>
    </row>
    <row r="1161" spans="1:75" x14ac:dyDescent="0.35">
      <c r="A1161">
        <v>157652</v>
      </c>
      <c r="B1161" t="str">
        <f t="shared" si="581"/>
        <v>A</v>
      </c>
      <c r="C1161" t="str">
        <f t="shared" si="582"/>
        <v>80</v>
      </c>
      <c r="D1161" t="str">
        <f t="shared" si="575"/>
        <v>11121002</v>
      </c>
      <c r="E1161" t="str">
        <f t="shared" si="576"/>
        <v>121002</v>
      </c>
      <c r="F1161" t="str">
        <f t="shared" si="577"/>
        <v>CINTHIA NORONHA</v>
      </c>
      <c r="G1161" t="str">
        <f>"28981932000181"</f>
        <v>28981932000181</v>
      </c>
      <c r="H1161" t="str">
        <f>"0"</f>
        <v>0</v>
      </c>
      <c r="I1161" t="str">
        <f t="shared" si="583"/>
        <v>CONTA OPTICA</v>
      </c>
      <c r="J1161" t="str">
        <f>"SCHAYANE DA SILVA LEMOS 07628365981"</f>
        <v>SCHAYANE DA SILVA LEMOS 07628365981</v>
      </c>
      <c r="K1161" t="str">
        <f>"REAL RELOJOARIA E OPTICA (3842)"</f>
        <v>REAL RELOJOARIA E OPTICA (3842)</v>
      </c>
      <c r="L1161" t="str">
        <f>""</f>
        <v/>
      </c>
      <c r="M1161" t="str">
        <f>""</f>
        <v/>
      </c>
      <c r="N1161" t="str">
        <f>"REALOPTICA.SCHAY@GMAIL.COM"</f>
        <v>REALOPTICA.SCHAY@GMAIL.COM</v>
      </c>
      <c r="O1161" t="str">
        <f>""</f>
        <v/>
      </c>
      <c r="P1161" t="str">
        <f>"RUA SAO JOAO BATISTA"</f>
        <v>RUA SAO JOAO BATISTA</v>
      </c>
      <c r="Q1161" t="str">
        <f>"490"</f>
        <v>490</v>
      </c>
      <c r="R1161" t="str">
        <f>""</f>
        <v/>
      </c>
      <c r="S1161" t="str">
        <f>"1268"</f>
        <v>1268</v>
      </c>
      <c r="T1161" t="str">
        <f>"88717000"</f>
        <v>88717000</v>
      </c>
      <c r="U1161" t="str">
        <f>"MORRO GRANDE"</f>
        <v>MORRO GRANDE</v>
      </c>
      <c r="V1161" t="str">
        <f>"SANGAO"</f>
        <v>SANGAO</v>
      </c>
      <c r="W1161" t="str">
        <f t="shared" si="579"/>
        <v>SC</v>
      </c>
      <c r="X1161" t="str">
        <f t="shared" si="587"/>
        <v>48</v>
      </c>
      <c r="Y1161" t="str">
        <f>"988041396"</f>
        <v>988041396</v>
      </c>
      <c r="Z1161" t="str">
        <f>""</f>
        <v/>
      </c>
      <c r="AA1161" t="str">
        <f>""</f>
        <v/>
      </c>
      <c r="AB1161" t="str">
        <f>""</f>
        <v/>
      </c>
      <c r="AC1161" t="str">
        <f>""</f>
        <v/>
      </c>
      <c r="AD1161" t="str">
        <f>""</f>
        <v/>
      </c>
      <c r="AE1161" t="str">
        <f>""</f>
        <v/>
      </c>
      <c r="AF1161" t="str">
        <f>""</f>
        <v/>
      </c>
      <c r="AG1161" t="str">
        <f>""</f>
        <v/>
      </c>
      <c r="AH1161" t="str">
        <f>""</f>
        <v/>
      </c>
      <c r="AI1161" t="str">
        <f>""</f>
        <v/>
      </c>
      <c r="AJ1161" t="str">
        <f>""</f>
        <v/>
      </c>
      <c r="AK1161" t="str">
        <f>""</f>
        <v/>
      </c>
      <c r="AL1161" t="str">
        <f>""</f>
        <v/>
      </c>
      <c r="AM1161" t="str">
        <f>""</f>
        <v/>
      </c>
      <c r="AN1161" t="str">
        <f>""</f>
        <v/>
      </c>
      <c r="AO1161" t="str">
        <f>""</f>
        <v/>
      </c>
      <c r="AP1161" t="str">
        <f>""</f>
        <v/>
      </c>
      <c r="AQ1161" t="str">
        <f>""</f>
        <v/>
      </c>
      <c r="AR1161" t="str">
        <f>""</f>
        <v/>
      </c>
      <c r="AS1161" t="str">
        <f>""</f>
        <v/>
      </c>
      <c r="AT1161" t="str">
        <f>""</f>
        <v/>
      </c>
      <c r="AU1161" t="str">
        <f>""</f>
        <v/>
      </c>
      <c r="AV1161" t="str">
        <f>""</f>
        <v/>
      </c>
      <c r="AW1161" t="str">
        <f>""</f>
        <v/>
      </c>
      <c r="AX1161" t="str">
        <f>""</f>
        <v/>
      </c>
      <c r="AY1161" t="str">
        <f>""</f>
        <v/>
      </c>
      <c r="AZ1161" t="str">
        <f>""</f>
        <v/>
      </c>
      <c r="BA1161" t="str">
        <f>""</f>
        <v/>
      </c>
      <c r="BB1161" t="str">
        <f>"11/07/2023 02:19:56"</f>
        <v>11/07/2023 02:19:56</v>
      </c>
      <c r="BC1161" t="str">
        <f>""</f>
        <v/>
      </c>
      <c r="BD1161" t="str">
        <f>""</f>
        <v/>
      </c>
      <c r="BE1161" t="str">
        <f>""</f>
        <v/>
      </c>
      <c r="BF1161" t="str">
        <f t="shared" si="584"/>
        <v>A</v>
      </c>
      <c r="BG1161" t="str">
        <f>""</f>
        <v/>
      </c>
      <c r="BH1161" t="str">
        <f>""</f>
        <v/>
      </c>
      <c r="BI1161" t="str">
        <f t="shared" si="567"/>
        <v>EVENTUAL</v>
      </c>
      <c r="BJ1161" t="str">
        <f t="shared" si="585"/>
        <v>1</v>
      </c>
      <c r="BK1161" t="str">
        <f t="shared" si="586"/>
        <v>Farmacia</v>
      </c>
      <c r="BL1161" t="str">
        <f>""</f>
        <v/>
      </c>
      <c r="BM1161" t="str">
        <f>""</f>
        <v/>
      </c>
      <c r="BN1161" t="str">
        <f>""</f>
        <v/>
      </c>
      <c r="BO1161" t="str">
        <f>""</f>
        <v/>
      </c>
      <c r="BP1161" t="str">
        <f>""</f>
        <v/>
      </c>
      <c r="BQ1161" t="str">
        <f>""</f>
        <v/>
      </c>
      <c r="BR1161" t="str">
        <f>"11/07/2023"</f>
        <v>11/07/2023</v>
      </c>
      <c r="BS1161" t="str">
        <f>""</f>
        <v/>
      </c>
      <c r="BT1161" t="str">
        <f>""</f>
        <v/>
      </c>
      <c r="BU1161" t="str">
        <f>""</f>
        <v/>
      </c>
      <c r="BV1161" t="str">
        <f>""</f>
        <v/>
      </c>
      <c r="BW1161" t="str">
        <f>"86"</f>
        <v>86</v>
      </c>
    </row>
    <row r="1162" spans="1:75" x14ac:dyDescent="0.35">
      <c r="A1162">
        <v>157602</v>
      </c>
      <c r="B1162" t="str">
        <f t="shared" si="581"/>
        <v>A</v>
      </c>
      <c r="C1162" t="str">
        <f t="shared" si="582"/>
        <v>80</v>
      </c>
      <c r="D1162" t="str">
        <f t="shared" si="575"/>
        <v>11121002</v>
      </c>
      <c r="E1162" t="str">
        <f t="shared" si="576"/>
        <v>121002</v>
      </c>
      <c r="F1162" t="str">
        <f t="shared" si="577"/>
        <v>CINTHIA NORONHA</v>
      </c>
      <c r="G1162" t="str">
        <f>"05068500000189"</f>
        <v>05068500000189</v>
      </c>
      <c r="H1162" t="str">
        <f>"0"</f>
        <v>0</v>
      </c>
      <c r="I1162" t="str">
        <f t="shared" si="583"/>
        <v>CONTA OPTICA</v>
      </c>
      <c r="J1162" t="str">
        <f>"SERGIO PAULO KUHN ME"</f>
        <v>SERGIO PAULO KUHN ME</v>
      </c>
      <c r="K1162" t="str">
        <f>"LUX MAX RELOJOARIA, JOALHERIA E OTICA (232)"</f>
        <v>LUX MAX RELOJOARIA, JOALHERIA E OTICA (232)</v>
      </c>
      <c r="L1162" t="str">
        <f>""</f>
        <v/>
      </c>
      <c r="M1162" t="str">
        <f>""</f>
        <v/>
      </c>
      <c r="N1162" t="str">
        <f>"spksergio@hotmail.com"</f>
        <v>spksergio@hotmail.com</v>
      </c>
      <c r="O1162" t="str">
        <f>""</f>
        <v/>
      </c>
      <c r="P1162" t="str">
        <f>"RUA ESTEVES JUNIOR"</f>
        <v>RUA ESTEVES JUNIOR</v>
      </c>
      <c r="Q1162" t="str">
        <f>"50"</f>
        <v>50</v>
      </c>
      <c r="R1162" t="str">
        <f>"LJ7 TOP TOWER"</f>
        <v>LJ7 TOP TOWER</v>
      </c>
      <c r="S1162" t="str">
        <f>"1255"</f>
        <v>1255</v>
      </c>
      <c r="T1162" t="str">
        <f>"88015130"</f>
        <v>88015130</v>
      </c>
      <c r="U1162" t="str">
        <f>"CENTRO"</f>
        <v>CENTRO</v>
      </c>
      <c r="V1162" t="str">
        <f>"FLORIANOPOLIS"</f>
        <v>FLORIANOPOLIS</v>
      </c>
      <c r="W1162" t="str">
        <f t="shared" si="579"/>
        <v>SC</v>
      </c>
      <c r="X1162" t="str">
        <f t="shared" si="587"/>
        <v>48</v>
      </c>
      <c r="Y1162" t="str">
        <f>"30253038"</f>
        <v>30253038</v>
      </c>
      <c r="Z1162" t="str">
        <f>""</f>
        <v/>
      </c>
      <c r="AA1162" t="str">
        <f>""</f>
        <v/>
      </c>
      <c r="AB1162" t="str">
        <f>""</f>
        <v/>
      </c>
      <c r="AC1162" t="str">
        <f>""</f>
        <v/>
      </c>
      <c r="AD1162" t="str">
        <f>""</f>
        <v/>
      </c>
      <c r="AE1162" t="str">
        <f>""</f>
        <v/>
      </c>
      <c r="AF1162" t="str">
        <f>""</f>
        <v/>
      </c>
      <c r="AG1162" t="str">
        <f>""</f>
        <v/>
      </c>
      <c r="AH1162" t="str">
        <f>""</f>
        <v/>
      </c>
      <c r="AI1162" t="str">
        <f>""</f>
        <v/>
      </c>
      <c r="AJ1162" t="str">
        <f>""</f>
        <v/>
      </c>
      <c r="AK1162" t="str">
        <f>""</f>
        <v/>
      </c>
      <c r="AL1162" t="str">
        <f>""</f>
        <v/>
      </c>
      <c r="AM1162" t="str">
        <f>""</f>
        <v/>
      </c>
      <c r="AN1162" t="str">
        <f>""</f>
        <v/>
      </c>
      <c r="AO1162" t="str">
        <f>""</f>
        <v/>
      </c>
      <c r="AP1162" t="str">
        <f>""</f>
        <v/>
      </c>
      <c r="AQ1162" t="str">
        <f>""</f>
        <v/>
      </c>
      <c r="AR1162" t="str">
        <f>""</f>
        <v/>
      </c>
      <c r="AS1162" t="str">
        <f>""</f>
        <v/>
      </c>
      <c r="AT1162" t="str">
        <f>""</f>
        <v/>
      </c>
      <c r="AU1162" t="str">
        <f>""</f>
        <v/>
      </c>
      <c r="AV1162" t="str">
        <f>""</f>
        <v/>
      </c>
      <c r="AW1162" t="str">
        <f>""</f>
        <v/>
      </c>
      <c r="AX1162" t="str">
        <f>""</f>
        <v/>
      </c>
      <c r="AY1162" t="str">
        <f>""</f>
        <v/>
      </c>
      <c r="AZ1162" t="str">
        <f>""</f>
        <v/>
      </c>
      <c r="BA1162" t="str">
        <f>""</f>
        <v/>
      </c>
      <c r="BB1162" t="str">
        <f>"11/07/2023 02:19:56"</f>
        <v>11/07/2023 02:19:56</v>
      </c>
      <c r="BC1162" t="str">
        <f>""</f>
        <v/>
      </c>
      <c r="BD1162" t="str">
        <f>""</f>
        <v/>
      </c>
      <c r="BE1162" t="str">
        <f>""</f>
        <v/>
      </c>
      <c r="BF1162" t="str">
        <f t="shared" si="584"/>
        <v>A</v>
      </c>
      <c r="BG1162" t="str">
        <f>""</f>
        <v/>
      </c>
      <c r="BH1162" t="str">
        <f>""</f>
        <v/>
      </c>
      <c r="BI1162" t="str">
        <f t="shared" si="567"/>
        <v>EVENTUAL</v>
      </c>
      <c r="BJ1162" t="str">
        <f t="shared" si="585"/>
        <v>1</v>
      </c>
      <c r="BK1162" t="str">
        <f t="shared" si="586"/>
        <v>Farmacia</v>
      </c>
      <c r="BL1162" t="str">
        <f>""</f>
        <v/>
      </c>
      <c r="BM1162" t="str">
        <f>""</f>
        <v/>
      </c>
      <c r="BN1162" t="str">
        <f>""</f>
        <v/>
      </c>
      <c r="BO1162" t="str">
        <f>""</f>
        <v/>
      </c>
      <c r="BP1162" t="str">
        <f>""</f>
        <v/>
      </c>
      <c r="BQ1162" t="str">
        <f>""</f>
        <v/>
      </c>
      <c r="BR1162" t="str">
        <f>"11/07/2023"</f>
        <v>11/07/2023</v>
      </c>
      <c r="BS1162" t="str">
        <f>""</f>
        <v/>
      </c>
      <c r="BT1162" t="str">
        <f>""</f>
        <v/>
      </c>
      <c r="BU1162" t="str">
        <f>""</f>
        <v/>
      </c>
      <c r="BV1162" t="str">
        <f>""</f>
        <v/>
      </c>
      <c r="BW1162" t="str">
        <f>"Não visitado"</f>
        <v>Não visitado</v>
      </c>
    </row>
    <row r="1163" spans="1:75" x14ac:dyDescent="0.35">
      <c r="A1163">
        <v>158697</v>
      </c>
      <c r="B1163" t="str">
        <f t="shared" si="581"/>
        <v>A</v>
      </c>
      <c r="C1163" t="str">
        <f t="shared" si="582"/>
        <v>80</v>
      </c>
      <c r="D1163" t="str">
        <f t="shared" si="575"/>
        <v>11121002</v>
      </c>
      <c r="E1163" t="str">
        <f t="shared" si="576"/>
        <v>121002</v>
      </c>
      <c r="F1163" t="str">
        <f t="shared" si="577"/>
        <v>CINTHIA NORONHA</v>
      </c>
      <c r="G1163" t="str">
        <f>"45788822000117"</f>
        <v>45788822000117</v>
      </c>
      <c r="H1163" t="str">
        <f>""</f>
        <v/>
      </c>
      <c r="I1163" t="str">
        <f t="shared" si="583"/>
        <v>CONTA OPTICA</v>
      </c>
      <c r="J1163" t="str">
        <f>"SHEILA SEDREZ ROCKEMBACH"</f>
        <v>SHEILA SEDREZ ROCKEMBACH</v>
      </c>
      <c r="K1163" t="str">
        <f>"OTICAS SEDREZ (4749)"</f>
        <v>OTICAS SEDREZ (4749)</v>
      </c>
      <c r="L1163" t="str">
        <f>""</f>
        <v/>
      </c>
      <c r="M1163" t="str">
        <f>""</f>
        <v/>
      </c>
      <c r="N1163" t="str">
        <f>"OTICASSEDREZ@GMAIL.COM"</f>
        <v>OTICASSEDREZ@GMAIL.COM</v>
      </c>
      <c r="O1163" t="str">
        <f>""</f>
        <v/>
      </c>
      <c r="P1163" t="str">
        <f>"RUA INTENDENTE JOAO NUNES VIEIRA"</f>
        <v>RUA INTENDENTE JOAO NUNES VIEIRA</v>
      </c>
      <c r="Q1163" t="str">
        <f>"1446"</f>
        <v>1446</v>
      </c>
      <c r="R1163" t="str">
        <f>"SALA 06"</f>
        <v>SALA 06</v>
      </c>
      <c r="S1163" t="str">
        <f>"1257"</f>
        <v>1257</v>
      </c>
      <c r="T1163" t="str">
        <f>"88058100"</f>
        <v>88058100</v>
      </c>
      <c r="U1163" t="str">
        <f>"INGLESES DO RIO VERMELHO"</f>
        <v>INGLESES DO RIO VERMELHO</v>
      </c>
      <c r="V1163" t="str">
        <f>"FLORIANOPOLIS"</f>
        <v>FLORIANOPOLIS</v>
      </c>
      <c r="W1163" t="str">
        <f t="shared" si="579"/>
        <v>SC</v>
      </c>
      <c r="X1163" t="str">
        <f t="shared" si="587"/>
        <v>48</v>
      </c>
      <c r="Y1163" t="str">
        <f>"30910208"</f>
        <v>30910208</v>
      </c>
      <c r="Z1163" t="str">
        <f>""</f>
        <v/>
      </c>
      <c r="AA1163" t="str">
        <f>""</f>
        <v/>
      </c>
      <c r="AB1163" t="str">
        <f>""</f>
        <v/>
      </c>
      <c r="AC1163" t="str">
        <f>""</f>
        <v/>
      </c>
      <c r="AD1163" t="str">
        <f>""</f>
        <v/>
      </c>
      <c r="AE1163" t="str">
        <f>""</f>
        <v/>
      </c>
      <c r="AF1163" t="str">
        <f>""</f>
        <v/>
      </c>
      <c r="AG1163" t="str">
        <f>""</f>
        <v/>
      </c>
      <c r="AH1163" t="str">
        <f>""</f>
        <v/>
      </c>
      <c r="AI1163" t="str">
        <f>""</f>
        <v/>
      </c>
      <c r="AJ1163" t="str">
        <f>""</f>
        <v/>
      </c>
      <c r="AK1163" t="str">
        <f>""</f>
        <v/>
      </c>
      <c r="AL1163" t="str">
        <f>""</f>
        <v/>
      </c>
      <c r="AM1163" t="str">
        <f>""</f>
        <v/>
      </c>
      <c r="AN1163" t="str">
        <f>""</f>
        <v/>
      </c>
      <c r="AO1163" t="str">
        <f>""</f>
        <v/>
      </c>
      <c r="AP1163" t="str">
        <f>""</f>
        <v/>
      </c>
      <c r="AQ1163" t="str">
        <f>""</f>
        <v/>
      </c>
      <c r="AR1163" t="str">
        <f>""</f>
        <v/>
      </c>
      <c r="AS1163" t="str">
        <f>""</f>
        <v/>
      </c>
      <c r="AT1163" t="str">
        <f>""</f>
        <v/>
      </c>
      <c r="AU1163" t="str">
        <f>""</f>
        <v/>
      </c>
      <c r="AV1163" t="str">
        <f>""</f>
        <v/>
      </c>
      <c r="AW1163" t="str">
        <f>""</f>
        <v/>
      </c>
      <c r="AX1163" t="str">
        <f>""</f>
        <v/>
      </c>
      <c r="AY1163" t="str">
        <f>""</f>
        <v/>
      </c>
      <c r="AZ1163" t="str">
        <f>""</f>
        <v/>
      </c>
      <c r="BA1163" t="str">
        <f>""</f>
        <v/>
      </c>
      <c r="BB1163" t="str">
        <f>"17/08/2023 16:48:06"</f>
        <v>17/08/2023 16:48:06</v>
      </c>
      <c r="BC1163" t="str">
        <f>""</f>
        <v/>
      </c>
      <c r="BD1163" t="str">
        <f>""</f>
        <v/>
      </c>
      <c r="BE1163" t="str">
        <f>""</f>
        <v/>
      </c>
      <c r="BF1163" t="str">
        <f t="shared" si="584"/>
        <v>A</v>
      </c>
      <c r="BG1163" t="str">
        <f>""</f>
        <v/>
      </c>
      <c r="BH1163" t="str">
        <f>""</f>
        <v/>
      </c>
      <c r="BI1163" t="str">
        <f t="shared" si="567"/>
        <v>EVENTUAL</v>
      </c>
      <c r="BJ1163" t="str">
        <f t="shared" si="585"/>
        <v>1</v>
      </c>
      <c r="BK1163" t="str">
        <f t="shared" si="586"/>
        <v>Farmacia</v>
      </c>
      <c r="BL1163" t="str">
        <f>""</f>
        <v/>
      </c>
      <c r="BM1163" t="str">
        <f>""</f>
        <v/>
      </c>
      <c r="BN1163" t="str">
        <f>""</f>
        <v/>
      </c>
      <c r="BO1163" t="str">
        <f>""</f>
        <v/>
      </c>
      <c r="BP1163" t="str">
        <f>""</f>
        <v/>
      </c>
      <c r="BQ1163" t="str">
        <f>""</f>
        <v/>
      </c>
      <c r="BR1163" t="str">
        <f>"17/08/2023"</f>
        <v>17/08/2023</v>
      </c>
      <c r="BS1163" t="str">
        <f>""</f>
        <v/>
      </c>
      <c r="BT1163" t="str">
        <f>""</f>
        <v/>
      </c>
      <c r="BU1163" t="str">
        <f>""</f>
        <v/>
      </c>
      <c r="BV1163" t="str">
        <f>""</f>
        <v/>
      </c>
      <c r="BW1163" t="str">
        <f>"11"</f>
        <v>11</v>
      </c>
    </row>
    <row r="1164" spans="1:75" x14ac:dyDescent="0.35">
      <c r="A1164">
        <v>134242</v>
      </c>
      <c r="B1164" t="str">
        <f t="shared" si="581"/>
        <v>A</v>
      </c>
      <c r="C1164" t="str">
        <f t="shared" si="582"/>
        <v>80</v>
      </c>
      <c r="D1164" t="str">
        <f t="shared" si="575"/>
        <v>11121002</v>
      </c>
      <c r="E1164" t="str">
        <f t="shared" si="576"/>
        <v>121002</v>
      </c>
      <c r="F1164" t="str">
        <f t="shared" si="577"/>
        <v>CINTHIA NORONHA</v>
      </c>
      <c r="G1164" t="str">
        <f>"14441069000246"</f>
        <v>14441069000246</v>
      </c>
      <c r="H1164" t="str">
        <f>""</f>
        <v/>
      </c>
      <c r="I1164" t="str">
        <f t="shared" si="583"/>
        <v>CONTA OPTICA</v>
      </c>
      <c r="J1164" t="str">
        <f>"SILVA DALMOLIN JOIAS RELOGIOS OTICA LTDA"</f>
        <v>SILVA DALMOLIN JOIAS RELOGIOS OTICA LTDA</v>
      </c>
      <c r="K1164" t="str">
        <f>"DALMOLIN JOIAS RELOGIOS OTICA (3883)"</f>
        <v>DALMOLIN JOIAS RELOGIOS OTICA (3883)</v>
      </c>
      <c r="L1164" t="str">
        <f>""</f>
        <v/>
      </c>
      <c r="M1164" t="str">
        <f>""</f>
        <v/>
      </c>
      <c r="N1164" t="str">
        <f>"marcelodalmolin@ig.com.br"</f>
        <v>marcelodalmolin@ig.com.br</v>
      </c>
      <c r="O1164" t="str">
        <f>""</f>
        <v/>
      </c>
      <c r="P1164" t="str">
        <f>"RUA ATILIO PEDRO PAGANI"</f>
        <v>RUA ATILIO PEDRO PAGANI</v>
      </c>
      <c r="Q1164" t="str">
        <f>"170"</f>
        <v>170</v>
      </c>
      <c r="R1164" t="str">
        <f>""</f>
        <v/>
      </c>
      <c r="S1164" t="str">
        <f>"1259"</f>
        <v>1259</v>
      </c>
      <c r="T1164" t="str">
        <f>"88132149"</f>
        <v>88132149</v>
      </c>
      <c r="U1164" t="str">
        <f>"PASSA VINTE"</f>
        <v>PASSA VINTE</v>
      </c>
      <c r="V1164" t="str">
        <f>"PALHOÇA"</f>
        <v>PALHOÇA</v>
      </c>
      <c r="W1164" t="str">
        <f t="shared" si="579"/>
        <v>SC</v>
      </c>
      <c r="X1164" t="str">
        <f t="shared" si="587"/>
        <v>48</v>
      </c>
      <c r="Y1164" t="str">
        <f>"30337165"</f>
        <v>30337165</v>
      </c>
      <c r="Z1164" t="str">
        <f>""</f>
        <v/>
      </c>
      <c r="AA1164" t="str">
        <f>""</f>
        <v/>
      </c>
      <c r="AB1164" t="str">
        <f>""</f>
        <v/>
      </c>
      <c r="AC1164" t="str">
        <f>""</f>
        <v/>
      </c>
      <c r="AD1164" t="str">
        <f>""</f>
        <v/>
      </c>
      <c r="AE1164" t="str">
        <f>""</f>
        <v/>
      </c>
      <c r="AF1164" t="str">
        <f>""</f>
        <v/>
      </c>
      <c r="AG1164" t="str">
        <f>"S"</f>
        <v>S</v>
      </c>
      <c r="AH1164" t="str">
        <f>""</f>
        <v/>
      </c>
      <c r="AI1164" t="str">
        <f>""</f>
        <v/>
      </c>
      <c r="AJ1164" t="str">
        <f t="shared" ref="AJ1164:AL1167" si="590">"0"</f>
        <v>0</v>
      </c>
      <c r="AK1164" t="str">
        <f t="shared" si="590"/>
        <v>0</v>
      </c>
      <c r="AL1164" t="str">
        <f t="shared" si="590"/>
        <v>0</v>
      </c>
      <c r="AM1164" t="str">
        <f>""</f>
        <v/>
      </c>
      <c r="AN1164" t="str">
        <f>""</f>
        <v/>
      </c>
      <c r="AO1164" t="str">
        <f>""</f>
        <v/>
      </c>
      <c r="AP1164" t="str">
        <f>""</f>
        <v/>
      </c>
      <c r="AQ1164" t="str">
        <f t="shared" ref="AQ1164:AU1165" si="591">"N"</f>
        <v>N</v>
      </c>
      <c r="AR1164" t="str">
        <f t="shared" si="591"/>
        <v>N</v>
      </c>
      <c r="AS1164" t="str">
        <f t="shared" si="591"/>
        <v>N</v>
      </c>
      <c r="AT1164" t="str">
        <f t="shared" si="591"/>
        <v>N</v>
      </c>
      <c r="AU1164" t="str">
        <f t="shared" si="591"/>
        <v>N</v>
      </c>
      <c r="AV1164" t="str">
        <f>""</f>
        <v/>
      </c>
      <c r="AW1164" t="str">
        <f>""</f>
        <v/>
      </c>
      <c r="AX1164" t="str">
        <f>""</f>
        <v/>
      </c>
      <c r="AY1164" t="str">
        <f>""</f>
        <v/>
      </c>
      <c r="AZ1164" t="str">
        <f>""</f>
        <v/>
      </c>
      <c r="BA1164" t="str">
        <f>""</f>
        <v/>
      </c>
      <c r="BB1164" t="str">
        <f>""</f>
        <v/>
      </c>
      <c r="BC1164" t="str">
        <f>"10/07/2023 14:35:08"</f>
        <v>10/07/2023 14:35:08</v>
      </c>
      <c r="BD1164" t="str">
        <f>""</f>
        <v/>
      </c>
      <c r="BE1164" t="str">
        <f>""</f>
        <v/>
      </c>
      <c r="BF1164" t="str">
        <f t="shared" si="584"/>
        <v>A</v>
      </c>
      <c r="BG1164" t="str">
        <f t="shared" ref="BG1164:BH1167" si="592">"0,00"</f>
        <v>0,00</v>
      </c>
      <c r="BH1164" t="str">
        <f t="shared" si="592"/>
        <v>0,00</v>
      </c>
      <c r="BI1164" t="str">
        <f t="shared" si="567"/>
        <v>EVENTUAL</v>
      </c>
      <c r="BJ1164" t="str">
        <f t="shared" si="585"/>
        <v>1</v>
      </c>
      <c r="BK1164" t="str">
        <f t="shared" si="586"/>
        <v>Farmacia</v>
      </c>
      <c r="BL1164" t="str">
        <f>""</f>
        <v/>
      </c>
      <c r="BM1164" t="str">
        <f>"NÃO É VARILUX ESPECIALISTA"</f>
        <v>NÃO É VARILUX ESPECIALISTA</v>
      </c>
      <c r="BN1164" t="str">
        <f>"NA"</f>
        <v>NA</v>
      </c>
      <c r="BO1164" t="str">
        <f>"OUTROS"</f>
        <v>OUTROS</v>
      </c>
      <c r="BP1164" t="str">
        <f>""</f>
        <v/>
      </c>
      <c r="BQ1164" t="str">
        <f>""</f>
        <v/>
      </c>
      <c r="BR1164" t="str">
        <f>""</f>
        <v/>
      </c>
      <c r="BS1164" t="str">
        <f>"10/07/2023"</f>
        <v>10/07/2023</v>
      </c>
      <c r="BT1164" t="str">
        <f>""</f>
        <v/>
      </c>
      <c r="BU1164" t="str">
        <f>""</f>
        <v/>
      </c>
      <c r="BV1164" t="str">
        <f>"9"</f>
        <v>9</v>
      </c>
      <c r="BW1164" t="str">
        <f>"7"</f>
        <v>7</v>
      </c>
    </row>
    <row r="1165" spans="1:75" x14ac:dyDescent="0.35">
      <c r="A1165">
        <v>134241</v>
      </c>
      <c r="B1165" t="str">
        <f t="shared" si="581"/>
        <v>A</v>
      </c>
      <c r="C1165" t="str">
        <f t="shared" si="582"/>
        <v>80</v>
      </c>
      <c r="D1165" t="str">
        <f t="shared" si="575"/>
        <v>11121002</v>
      </c>
      <c r="E1165" t="str">
        <f t="shared" si="576"/>
        <v>121002</v>
      </c>
      <c r="F1165" t="str">
        <f t="shared" si="577"/>
        <v>CINTHIA NORONHA</v>
      </c>
      <c r="G1165" t="str">
        <f>"14441069000165"</f>
        <v>14441069000165</v>
      </c>
      <c r="H1165" t="str">
        <f>""</f>
        <v/>
      </c>
      <c r="I1165" t="str">
        <f t="shared" si="583"/>
        <v>CONTA OPTICA</v>
      </c>
      <c r="J1165" t="str">
        <f>"SILVA DALMOLIN JOIAS RELOGIOS OTICA LTDA - ME"</f>
        <v>SILVA DALMOLIN JOIAS RELOGIOS OTICA LTDA - ME</v>
      </c>
      <c r="K1165" t="str">
        <f>"DALMOLIN JOIAS RELOGIOS OTICA (3814)"</f>
        <v>DALMOLIN JOIAS RELOGIOS OTICA (3814)</v>
      </c>
      <c r="L1165" t="str">
        <f>""</f>
        <v/>
      </c>
      <c r="M1165" t="str">
        <f>""</f>
        <v/>
      </c>
      <c r="N1165" t="str">
        <f>"marcelodalmolin@ig.com.br"</f>
        <v>marcelodalmolin@ig.com.br</v>
      </c>
      <c r="O1165" t="str">
        <f>""</f>
        <v/>
      </c>
      <c r="P1165" t="str">
        <f>"RUA ALVARO MEDEIROS SANTIAGO"</f>
        <v>RUA ALVARO MEDEIROS SANTIAGO</v>
      </c>
      <c r="Q1165" t="str">
        <f>"301"</f>
        <v>301</v>
      </c>
      <c r="R1165" t="str">
        <f>"SALA 203"</f>
        <v>SALA 203</v>
      </c>
      <c r="S1165" t="str">
        <f>"1259"</f>
        <v>1259</v>
      </c>
      <c r="T1165" t="str">
        <f>"88113600"</f>
        <v>88113600</v>
      </c>
      <c r="U1165" t="str">
        <f>"AREIAS"</f>
        <v>AREIAS</v>
      </c>
      <c r="V1165" t="str">
        <f>"SÃO JOSÉ"</f>
        <v>SÃO JOSÉ</v>
      </c>
      <c r="W1165" t="str">
        <f t="shared" si="579"/>
        <v>SC</v>
      </c>
      <c r="X1165" t="str">
        <f t="shared" si="587"/>
        <v>48</v>
      </c>
      <c r="Y1165" t="str">
        <f>"30661241"</f>
        <v>30661241</v>
      </c>
      <c r="Z1165" t="str">
        <f>""</f>
        <v/>
      </c>
      <c r="AA1165" t="str">
        <f>""</f>
        <v/>
      </c>
      <c r="AB1165" t="str">
        <f>""</f>
        <v/>
      </c>
      <c r="AC1165" t="str">
        <f>""</f>
        <v/>
      </c>
      <c r="AD1165" t="str">
        <f>""</f>
        <v/>
      </c>
      <c r="AE1165" t="str">
        <f>""</f>
        <v/>
      </c>
      <c r="AF1165" t="str">
        <f>""</f>
        <v/>
      </c>
      <c r="AG1165" t="str">
        <f>"S"</f>
        <v>S</v>
      </c>
      <c r="AH1165" t="str">
        <f>""</f>
        <v/>
      </c>
      <c r="AI1165" t="str">
        <f>""</f>
        <v/>
      </c>
      <c r="AJ1165" t="str">
        <f t="shared" si="590"/>
        <v>0</v>
      </c>
      <c r="AK1165" t="str">
        <f t="shared" si="590"/>
        <v>0</v>
      </c>
      <c r="AL1165" t="str">
        <f t="shared" si="590"/>
        <v>0</v>
      </c>
      <c r="AM1165" t="str">
        <f>""</f>
        <v/>
      </c>
      <c r="AN1165" t="str">
        <f>""</f>
        <v/>
      </c>
      <c r="AO1165" t="str">
        <f>""</f>
        <v/>
      </c>
      <c r="AP1165" t="str">
        <f>""</f>
        <v/>
      </c>
      <c r="AQ1165" t="str">
        <f t="shared" si="591"/>
        <v>N</v>
      </c>
      <c r="AR1165" t="str">
        <f t="shared" si="591"/>
        <v>N</v>
      </c>
      <c r="AS1165" t="str">
        <f t="shared" si="591"/>
        <v>N</v>
      </c>
      <c r="AT1165" t="str">
        <f t="shared" si="591"/>
        <v>N</v>
      </c>
      <c r="AU1165" t="str">
        <f t="shared" si="591"/>
        <v>N</v>
      </c>
      <c r="AV1165" t="str">
        <f>""</f>
        <v/>
      </c>
      <c r="AW1165" t="str">
        <f>""</f>
        <v/>
      </c>
      <c r="AX1165" t="str">
        <f>""</f>
        <v/>
      </c>
      <c r="AY1165" t="str">
        <f>""</f>
        <v/>
      </c>
      <c r="AZ1165" t="str">
        <f>""</f>
        <v/>
      </c>
      <c r="BA1165" t="str">
        <f>""</f>
        <v/>
      </c>
      <c r="BB1165" t="str">
        <f>""</f>
        <v/>
      </c>
      <c r="BC1165" t="str">
        <f>"07/07/2023 17:25:29"</f>
        <v>07/07/2023 17:25:29</v>
      </c>
      <c r="BD1165" t="str">
        <f>""</f>
        <v/>
      </c>
      <c r="BE1165" t="str">
        <f>""</f>
        <v/>
      </c>
      <c r="BF1165" t="str">
        <f t="shared" si="584"/>
        <v>A</v>
      </c>
      <c r="BG1165" t="str">
        <f t="shared" si="592"/>
        <v>0,00</v>
      </c>
      <c r="BH1165" t="str">
        <f t="shared" si="592"/>
        <v>0,00</v>
      </c>
      <c r="BI1165" t="str">
        <f t="shared" si="567"/>
        <v>EVENTUAL</v>
      </c>
      <c r="BJ1165" t="str">
        <f t="shared" si="585"/>
        <v>1</v>
      </c>
      <c r="BK1165" t="str">
        <f t="shared" si="586"/>
        <v>Farmacia</v>
      </c>
      <c r="BL1165" t="str">
        <f>""</f>
        <v/>
      </c>
      <c r="BM1165" t="str">
        <f>"NÃO É VARILUX ESPECIALISTA"</f>
        <v>NÃO É VARILUX ESPECIALISTA</v>
      </c>
      <c r="BN1165" t="str">
        <f>"EL360"</f>
        <v>EL360</v>
      </c>
      <c r="BO1165" t="str">
        <f>"FOCO VARILUX DIGITAL"</f>
        <v>FOCO VARILUX DIGITAL</v>
      </c>
      <c r="BP1165" t="str">
        <f>""</f>
        <v/>
      </c>
      <c r="BQ1165" t="str">
        <f>""</f>
        <v/>
      </c>
      <c r="BR1165" t="str">
        <f>""</f>
        <v/>
      </c>
      <c r="BS1165" t="str">
        <f>"07/07/2023"</f>
        <v>07/07/2023</v>
      </c>
      <c r="BT1165" t="str">
        <f>""</f>
        <v/>
      </c>
      <c r="BU1165" t="str">
        <f>""</f>
        <v/>
      </c>
      <c r="BV1165" t="str">
        <f>"1"</f>
        <v>1</v>
      </c>
      <c r="BW1165" t="str">
        <f>"7"</f>
        <v>7</v>
      </c>
    </row>
    <row r="1166" spans="1:75" x14ac:dyDescent="0.35">
      <c r="A1166">
        <v>144396</v>
      </c>
      <c r="B1166" t="str">
        <f t="shared" si="581"/>
        <v>A</v>
      </c>
      <c r="C1166" t="str">
        <f t="shared" si="582"/>
        <v>80</v>
      </c>
      <c r="D1166" t="str">
        <f t="shared" si="575"/>
        <v>11121002</v>
      </c>
      <c r="E1166" t="str">
        <f t="shared" si="576"/>
        <v>121002</v>
      </c>
      <c r="F1166" t="str">
        <f t="shared" si="577"/>
        <v>CINTHIA NORONHA</v>
      </c>
      <c r="G1166" t="str">
        <f>"86309192000138"</f>
        <v>86309192000138</v>
      </c>
      <c r="H1166" t="str">
        <f>""</f>
        <v/>
      </c>
      <c r="I1166" t="str">
        <f t="shared" si="583"/>
        <v>CONTA OPTICA</v>
      </c>
      <c r="J1166" t="str">
        <f>"SILVA E BORBA LTDA ME"</f>
        <v>SILVA E BORBA LTDA ME</v>
      </c>
      <c r="K1166" t="str">
        <f>"RELOJOARIA E OTICA SAFIRA (415)"</f>
        <v>RELOJOARIA E OTICA SAFIRA (415)</v>
      </c>
      <c r="L1166" t="str">
        <f>""</f>
        <v/>
      </c>
      <c r="M1166" t="str">
        <f>""</f>
        <v/>
      </c>
      <c r="N1166" t="str">
        <f>"gabi_sombrio@hotmail.com"</f>
        <v>gabi_sombrio@hotmail.com</v>
      </c>
      <c r="O1166" t="str">
        <f>""</f>
        <v/>
      </c>
      <c r="P1166" t="str">
        <f>"AVENIDA NEREU RAMOS"</f>
        <v>AVENIDA NEREU RAMOS</v>
      </c>
      <c r="Q1166" t="str">
        <f>"359"</f>
        <v>359</v>
      </c>
      <c r="R1166" t="str">
        <f>""</f>
        <v/>
      </c>
      <c r="S1166" t="str">
        <f>"1270"</f>
        <v>1270</v>
      </c>
      <c r="T1166" t="str">
        <f>"88960000"</f>
        <v>88960000</v>
      </c>
      <c r="U1166" t="str">
        <f>"CENTRO"</f>
        <v>CENTRO</v>
      </c>
      <c r="V1166" t="str">
        <f>"SOMBRIO"</f>
        <v>SOMBRIO</v>
      </c>
      <c r="W1166" t="str">
        <f t="shared" si="579"/>
        <v>SC</v>
      </c>
      <c r="X1166" t="str">
        <f t="shared" si="587"/>
        <v>48</v>
      </c>
      <c r="Y1166" t="str">
        <f>"35330136"</f>
        <v>35330136</v>
      </c>
      <c r="Z1166" t="str">
        <f>""</f>
        <v/>
      </c>
      <c r="AA1166" t="str">
        <f>""</f>
        <v/>
      </c>
      <c r="AB1166" t="str">
        <f>""</f>
        <v/>
      </c>
      <c r="AC1166" t="str">
        <f>""</f>
        <v/>
      </c>
      <c r="AD1166" t="str">
        <f>""</f>
        <v/>
      </c>
      <c r="AE1166" t="str">
        <f>""</f>
        <v/>
      </c>
      <c r="AF1166" t="str">
        <f>""</f>
        <v/>
      </c>
      <c r="AG1166" t="str">
        <f>""</f>
        <v/>
      </c>
      <c r="AH1166" t="str">
        <f>""</f>
        <v/>
      </c>
      <c r="AI1166" t="str">
        <f>""</f>
        <v/>
      </c>
      <c r="AJ1166" t="str">
        <f t="shared" si="590"/>
        <v>0</v>
      </c>
      <c r="AK1166" t="str">
        <f t="shared" si="590"/>
        <v>0</v>
      </c>
      <c r="AL1166" t="str">
        <f t="shared" si="590"/>
        <v>0</v>
      </c>
      <c r="AM1166" t="str">
        <f>""</f>
        <v/>
      </c>
      <c r="AN1166" t="str">
        <f>""</f>
        <v/>
      </c>
      <c r="AO1166" t="str">
        <f>""</f>
        <v/>
      </c>
      <c r="AP1166" t="str">
        <f>""</f>
        <v/>
      </c>
      <c r="AQ1166" t="str">
        <f>""</f>
        <v/>
      </c>
      <c r="AR1166" t="str">
        <f>""</f>
        <v/>
      </c>
      <c r="AS1166" t="str">
        <f>""</f>
        <v/>
      </c>
      <c r="AT1166" t="str">
        <f>""</f>
        <v/>
      </c>
      <c r="AU1166" t="str">
        <f>""</f>
        <v/>
      </c>
      <c r="AV1166" t="str">
        <f>""</f>
        <v/>
      </c>
      <c r="AW1166" t="str">
        <f>""</f>
        <v/>
      </c>
      <c r="AX1166" t="str">
        <f>""</f>
        <v/>
      </c>
      <c r="AY1166" t="str">
        <f>""</f>
        <v/>
      </c>
      <c r="AZ1166" t="str">
        <f>""</f>
        <v/>
      </c>
      <c r="BA1166" t="str">
        <f>""</f>
        <v/>
      </c>
      <c r="BB1166" t="str">
        <f>""</f>
        <v/>
      </c>
      <c r="BC1166" t="str">
        <f>""</f>
        <v/>
      </c>
      <c r="BD1166" t="str">
        <f>""</f>
        <v/>
      </c>
      <c r="BE1166" t="str">
        <f>""</f>
        <v/>
      </c>
      <c r="BF1166" t="str">
        <f t="shared" si="584"/>
        <v>A</v>
      </c>
      <c r="BG1166" t="str">
        <f t="shared" si="592"/>
        <v>0,00</v>
      </c>
      <c r="BH1166" t="str">
        <f t="shared" si="592"/>
        <v>0,00</v>
      </c>
      <c r="BI1166" t="str">
        <f t="shared" si="567"/>
        <v>EVENTUAL</v>
      </c>
      <c r="BJ1166" t="str">
        <f t="shared" si="585"/>
        <v>1</v>
      </c>
      <c r="BK1166" t="str">
        <f t="shared" si="586"/>
        <v>Farmacia</v>
      </c>
      <c r="BL1166" t="str">
        <f>""</f>
        <v/>
      </c>
      <c r="BM1166" t="str">
        <f>"NÃO É VARILUX ESPECIALISTA"</f>
        <v>NÃO É VARILUX ESPECIALISTA</v>
      </c>
      <c r="BN1166" t="str">
        <f>"EL360"</f>
        <v>EL360</v>
      </c>
      <c r="BO1166" t="str">
        <f>"FOCO KODAK 2"</f>
        <v>FOCO KODAK 2</v>
      </c>
      <c r="BP1166" t="str">
        <f>""</f>
        <v/>
      </c>
      <c r="BQ1166" t="str">
        <f>""</f>
        <v/>
      </c>
      <c r="BR1166" t="str">
        <f>""</f>
        <v/>
      </c>
      <c r="BS1166" t="str">
        <f>""</f>
        <v/>
      </c>
      <c r="BT1166" t="str">
        <f>""</f>
        <v/>
      </c>
      <c r="BU1166" t="str">
        <f>""</f>
        <v/>
      </c>
      <c r="BV1166" t="str">
        <f>"6"</f>
        <v>6</v>
      </c>
      <c r="BW1166" t="str">
        <f>"133"</f>
        <v>133</v>
      </c>
    </row>
    <row r="1167" spans="1:75" x14ac:dyDescent="0.35">
      <c r="A1167">
        <v>144389</v>
      </c>
      <c r="B1167" t="str">
        <f t="shared" si="581"/>
        <v>A</v>
      </c>
      <c r="C1167" t="str">
        <f t="shared" si="582"/>
        <v>80</v>
      </c>
      <c r="D1167" t="str">
        <f t="shared" si="575"/>
        <v>11121002</v>
      </c>
      <c r="E1167" t="str">
        <f t="shared" si="576"/>
        <v>121002</v>
      </c>
      <c r="F1167" t="str">
        <f t="shared" si="577"/>
        <v>CINTHIA NORONHA</v>
      </c>
      <c r="G1167" t="str">
        <f>"83647669000105"</f>
        <v>83647669000105</v>
      </c>
      <c r="H1167" t="str">
        <f>""</f>
        <v/>
      </c>
      <c r="I1167" t="str">
        <f t="shared" si="583"/>
        <v>CONTA OPTICA</v>
      </c>
      <c r="J1167" t="str">
        <f>"SILVESTRE CIA LTDA  ME"</f>
        <v>SILVESTRE CIA LTDA  ME</v>
      </c>
      <c r="K1167" t="str">
        <f>"OTICA SILVESTRE (442)"</f>
        <v>OTICA SILVESTRE (442)</v>
      </c>
      <c r="L1167" t="str">
        <f>""</f>
        <v/>
      </c>
      <c r="M1167" t="str">
        <f>""</f>
        <v/>
      </c>
      <c r="N1167" t="str">
        <f>"oticasilvestre@terra.com.br"</f>
        <v>oticasilvestre@terra.com.br</v>
      </c>
      <c r="O1167" t="str">
        <f>""</f>
        <v/>
      </c>
      <c r="P1167" t="str">
        <f>"PRACA NEREU RAMOS"</f>
        <v>PRACA NEREU RAMOS</v>
      </c>
      <c r="Q1167" t="str">
        <f>"250"</f>
        <v>250</v>
      </c>
      <c r="R1167" t="str">
        <f>"SALA 11"</f>
        <v>SALA 11</v>
      </c>
      <c r="S1167" t="str">
        <f>"1269"</f>
        <v>1269</v>
      </c>
      <c r="T1167" t="str">
        <f>"88801500"</f>
        <v>88801500</v>
      </c>
      <c r="U1167" t="str">
        <f>"CENTRO"</f>
        <v>CENTRO</v>
      </c>
      <c r="V1167" t="str">
        <f>"CRICIÚMA"</f>
        <v>CRICIÚMA</v>
      </c>
      <c r="W1167" t="str">
        <f t="shared" si="579"/>
        <v>SC</v>
      </c>
      <c r="X1167" t="str">
        <f t="shared" si="587"/>
        <v>48</v>
      </c>
      <c r="Y1167" t="str">
        <f>"34332702"</f>
        <v>34332702</v>
      </c>
      <c r="Z1167" t="str">
        <f>""</f>
        <v/>
      </c>
      <c r="AA1167" t="str">
        <f>""</f>
        <v/>
      </c>
      <c r="AB1167" t="str">
        <f>""</f>
        <v/>
      </c>
      <c r="AC1167" t="str">
        <f>""</f>
        <v/>
      </c>
      <c r="AD1167" t="str">
        <f>""</f>
        <v/>
      </c>
      <c r="AE1167" t="str">
        <f>""</f>
        <v/>
      </c>
      <c r="AF1167" t="str">
        <f>""</f>
        <v/>
      </c>
      <c r="AG1167" t="str">
        <f>""</f>
        <v/>
      </c>
      <c r="AH1167" t="str">
        <f>""</f>
        <v/>
      </c>
      <c r="AI1167" t="str">
        <f>""</f>
        <v/>
      </c>
      <c r="AJ1167" t="str">
        <f t="shared" si="590"/>
        <v>0</v>
      </c>
      <c r="AK1167" t="str">
        <f t="shared" si="590"/>
        <v>0</v>
      </c>
      <c r="AL1167" t="str">
        <f t="shared" si="590"/>
        <v>0</v>
      </c>
      <c r="AM1167" t="str">
        <f>""</f>
        <v/>
      </c>
      <c r="AN1167" t="str">
        <f>""</f>
        <v/>
      </c>
      <c r="AO1167" t="str">
        <f>""</f>
        <v/>
      </c>
      <c r="AP1167" t="str">
        <f>""</f>
        <v/>
      </c>
      <c r="AQ1167" t="str">
        <f>""</f>
        <v/>
      </c>
      <c r="AR1167" t="str">
        <f>""</f>
        <v/>
      </c>
      <c r="AS1167" t="str">
        <f>""</f>
        <v/>
      </c>
      <c r="AT1167" t="str">
        <f>""</f>
        <v/>
      </c>
      <c r="AU1167" t="str">
        <f>""</f>
        <v/>
      </c>
      <c r="AV1167" t="str">
        <f>""</f>
        <v/>
      </c>
      <c r="AW1167" t="str">
        <f>""</f>
        <v/>
      </c>
      <c r="AX1167" t="str">
        <f>""</f>
        <v/>
      </c>
      <c r="AY1167" t="str">
        <f>""</f>
        <v/>
      </c>
      <c r="AZ1167" t="str">
        <f>""</f>
        <v/>
      </c>
      <c r="BA1167" t="str">
        <f>""</f>
        <v/>
      </c>
      <c r="BB1167" t="str">
        <f>""</f>
        <v/>
      </c>
      <c r="BC1167" t="str">
        <f>""</f>
        <v/>
      </c>
      <c r="BD1167" t="str">
        <f>""</f>
        <v/>
      </c>
      <c r="BE1167" t="str">
        <f>""</f>
        <v/>
      </c>
      <c r="BF1167" t="str">
        <f t="shared" si="584"/>
        <v>A</v>
      </c>
      <c r="BG1167" t="str">
        <f t="shared" si="592"/>
        <v>0,00</v>
      </c>
      <c r="BH1167" t="str">
        <f t="shared" si="592"/>
        <v>0,00</v>
      </c>
      <c r="BI1167" t="str">
        <f t="shared" si="567"/>
        <v>EVENTUAL</v>
      </c>
      <c r="BJ1167" t="str">
        <f t="shared" si="585"/>
        <v>1</v>
      </c>
      <c r="BK1167" t="str">
        <f t="shared" si="586"/>
        <v>Farmacia</v>
      </c>
      <c r="BL1167" t="str">
        <f>""</f>
        <v/>
      </c>
      <c r="BM1167" t="str">
        <f>"NÃO É VARILUX ESPECIALISTA"</f>
        <v>NÃO É VARILUX ESPECIALISTA</v>
      </c>
      <c r="BN1167" t="str">
        <f>"NA"</f>
        <v>NA</v>
      </c>
      <c r="BO1167" t="str">
        <f>"FOCO VARILUX"</f>
        <v>FOCO VARILUX</v>
      </c>
      <c r="BP1167" t="str">
        <f>""</f>
        <v/>
      </c>
      <c r="BQ1167" t="str">
        <f>""</f>
        <v/>
      </c>
      <c r="BR1167" t="str">
        <f>""</f>
        <v/>
      </c>
      <c r="BS1167" t="str">
        <f>""</f>
        <v/>
      </c>
      <c r="BT1167" t="str">
        <f>""</f>
        <v/>
      </c>
      <c r="BU1167" t="str">
        <f>""</f>
        <v/>
      </c>
      <c r="BV1167" t="str">
        <f>"7"</f>
        <v>7</v>
      </c>
      <c r="BW1167" t="str">
        <f>"10"</f>
        <v>10</v>
      </c>
    </row>
    <row r="1168" spans="1:75" x14ac:dyDescent="0.35">
      <c r="A1168">
        <v>157674</v>
      </c>
      <c r="B1168" t="str">
        <f t="shared" si="581"/>
        <v>A</v>
      </c>
      <c r="C1168" t="str">
        <f t="shared" si="582"/>
        <v>80</v>
      </c>
      <c r="D1168" t="str">
        <f t="shared" si="575"/>
        <v>11121002</v>
      </c>
      <c r="E1168" t="str">
        <f t="shared" si="576"/>
        <v>121002</v>
      </c>
      <c r="F1168" t="str">
        <f t="shared" si="577"/>
        <v>CINTHIA NORONHA</v>
      </c>
      <c r="G1168" t="str">
        <f>"73709560000193"</f>
        <v>73709560000193</v>
      </c>
      <c r="H1168" t="str">
        <f>"0"</f>
        <v>0</v>
      </c>
      <c r="I1168" t="str">
        <f t="shared" si="583"/>
        <v>CONTA OPTICA</v>
      </c>
      <c r="J1168" t="str">
        <f>"SILVESTRE GARCIA LTDA ME"</f>
        <v>SILVESTRE GARCIA LTDA ME</v>
      </c>
      <c r="K1168" t="str">
        <f>"SILVESTRE GARCIA LTDA ME (989)"</f>
        <v>SILVESTRE GARCIA LTDA ME (989)</v>
      </c>
      <c r="L1168" t="str">
        <f>""</f>
        <v/>
      </c>
      <c r="M1168" t="str">
        <f>""</f>
        <v/>
      </c>
      <c r="N1168" t="str">
        <f>""</f>
        <v/>
      </c>
      <c r="O1168" t="str">
        <f>""</f>
        <v/>
      </c>
      <c r="P1168" t="str">
        <f>"RUA DUQUE DE CAXIAS"</f>
        <v>RUA DUQUE DE CAXIAS</v>
      </c>
      <c r="Q1168" t="str">
        <f>"551"</f>
        <v>551</v>
      </c>
      <c r="R1168" t="str">
        <f>""</f>
        <v/>
      </c>
      <c r="S1168" t="str">
        <f>"1268"</f>
        <v>1268</v>
      </c>
      <c r="T1168" t="str">
        <f>"88715000"</f>
        <v>88715000</v>
      </c>
      <c r="U1168" t="str">
        <f>"NAO INFORMADO"</f>
        <v>NAO INFORMADO</v>
      </c>
      <c r="V1168" t="str">
        <f>"JAGUARUNA"</f>
        <v>JAGUARUNA</v>
      </c>
      <c r="W1168" t="str">
        <f t="shared" si="579"/>
        <v>SC</v>
      </c>
      <c r="X1168" t="str">
        <f t="shared" si="587"/>
        <v>48</v>
      </c>
      <c r="Y1168" t="str">
        <f>"36240599"</f>
        <v>36240599</v>
      </c>
      <c r="Z1168" t="str">
        <f>""</f>
        <v/>
      </c>
      <c r="AA1168" t="str">
        <f>""</f>
        <v/>
      </c>
      <c r="AB1168" t="str">
        <f>""</f>
        <v/>
      </c>
      <c r="AC1168" t="str">
        <f>""</f>
        <v/>
      </c>
      <c r="AD1168" t="str">
        <f>""</f>
        <v/>
      </c>
      <c r="AE1168" t="str">
        <f>""</f>
        <v/>
      </c>
      <c r="AF1168" t="str">
        <f>""</f>
        <v/>
      </c>
      <c r="AG1168" t="str">
        <f>""</f>
        <v/>
      </c>
      <c r="AH1168" t="str">
        <f>""</f>
        <v/>
      </c>
      <c r="AI1168" t="str">
        <f>""</f>
        <v/>
      </c>
      <c r="AJ1168" t="str">
        <f>""</f>
        <v/>
      </c>
      <c r="AK1168" t="str">
        <f>""</f>
        <v/>
      </c>
      <c r="AL1168" t="str">
        <f>""</f>
        <v/>
      </c>
      <c r="AM1168" t="str">
        <f>""</f>
        <v/>
      </c>
      <c r="AN1168" t="str">
        <f>""</f>
        <v/>
      </c>
      <c r="AO1168" t="str">
        <f>""</f>
        <v/>
      </c>
      <c r="AP1168" t="str">
        <f>""</f>
        <v/>
      </c>
      <c r="AQ1168" t="str">
        <f>""</f>
        <v/>
      </c>
      <c r="AR1168" t="str">
        <f>""</f>
        <v/>
      </c>
      <c r="AS1168" t="str">
        <f>""</f>
        <v/>
      </c>
      <c r="AT1168" t="str">
        <f>""</f>
        <v/>
      </c>
      <c r="AU1168" t="str">
        <f>""</f>
        <v/>
      </c>
      <c r="AV1168" t="str">
        <f>""</f>
        <v/>
      </c>
      <c r="AW1168" t="str">
        <f>""</f>
        <v/>
      </c>
      <c r="AX1168" t="str">
        <f>""</f>
        <v/>
      </c>
      <c r="AY1168" t="str">
        <f>""</f>
        <v/>
      </c>
      <c r="AZ1168" t="str">
        <f>""</f>
        <v/>
      </c>
      <c r="BA1168" t="str">
        <f>""</f>
        <v/>
      </c>
      <c r="BB1168" t="str">
        <f>"11/07/2023 02:19:56"</f>
        <v>11/07/2023 02:19:56</v>
      </c>
      <c r="BC1168" t="str">
        <f>""</f>
        <v/>
      </c>
      <c r="BD1168" t="str">
        <f>""</f>
        <v/>
      </c>
      <c r="BE1168" t="str">
        <f>""</f>
        <v/>
      </c>
      <c r="BF1168" t="str">
        <f t="shared" si="584"/>
        <v>A</v>
      </c>
      <c r="BG1168" t="str">
        <f>""</f>
        <v/>
      </c>
      <c r="BH1168" t="str">
        <f>""</f>
        <v/>
      </c>
      <c r="BI1168" t="str">
        <f t="shared" si="567"/>
        <v>EVENTUAL</v>
      </c>
      <c r="BJ1168" t="str">
        <f t="shared" si="585"/>
        <v>1</v>
      </c>
      <c r="BK1168" t="str">
        <f t="shared" si="586"/>
        <v>Farmacia</v>
      </c>
      <c r="BL1168" t="str">
        <f>""</f>
        <v/>
      </c>
      <c r="BM1168" t="str">
        <f>""</f>
        <v/>
      </c>
      <c r="BN1168" t="str">
        <f>""</f>
        <v/>
      </c>
      <c r="BO1168" t="str">
        <f>""</f>
        <v/>
      </c>
      <c r="BP1168" t="str">
        <f>""</f>
        <v/>
      </c>
      <c r="BQ1168" t="str">
        <f>""</f>
        <v/>
      </c>
      <c r="BR1168" t="str">
        <f>"11/07/2023"</f>
        <v>11/07/2023</v>
      </c>
      <c r="BS1168" t="str">
        <f>""</f>
        <v/>
      </c>
      <c r="BT1168" t="str">
        <f>""</f>
        <v/>
      </c>
      <c r="BU1168" t="str">
        <f>""</f>
        <v/>
      </c>
      <c r="BV1168" t="str">
        <f>""</f>
        <v/>
      </c>
      <c r="BW1168" t="str">
        <f>"Não visitado"</f>
        <v>Não visitado</v>
      </c>
    </row>
    <row r="1169" spans="1:75" x14ac:dyDescent="0.35">
      <c r="A1169">
        <v>157613</v>
      </c>
      <c r="B1169" t="str">
        <f t="shared" si="581"/>
        <v>A</v>
      </c>
      <c r="C1169" t="str">
        <f t="shared" si="582"/>
        <v>80</v>
      </c>
      <c r="D1169" t="str">
        <f t="shared" si="575"/>
        <v>11121002</v>
      </c>
      <c r="E1169" t="str">
        <f t="shared" si="576"/>
        <v>121002</v>
      </c>
      <c r="F1169" t="str">
        <f t="shared" si="577"/>
        <v>CINTHIA NORONHA</v>
      </c>
      <c r="G1169" t="str">
        <f>"32628495000275"</f>
        <v>32628495000275</v>
      </c>
      <c r="H1169" t="str">
        <f>"0"</f>
        <v>0</v>
      </c>
      <c r="I1169" t="str">
        <f t="shared" si="583"/>
        <v>CONTA OPTICA</v>
      </c>
      <c r="J1169" t="str">
        <f>"SLQ COMERCIO DE JOIAS E OTICA LTDA"</f>
        <v>SLQ COMERCIO DE JOIAS E OTICA LTDA</v>
      </c>
      <c r="K1169" t="str">
        <f>"SLQ COMERCIO DE JOIAS E OTICA LTDA (3997)"</f>
        <v>SLQ COMERCIO DE JOIAS E OTICA LTDA (3997)</v>
      </c>
      <c r="L1169" t="str">
        <f>""</f>
        <v/>
      </c>
      <c r="M1169" t="str">
        <f>""</f>
        <v/>
      </c>
      <c r="N1169" t="str">
        <f>"ANDRE@QUEVEDO.COM.BR"</f>
        <v>ANDRE@QUEVEDO.COM.BR</v>
      </c>
      <c r="O1169" t="str">
        <f>""</f>
        <v/>
      </c>
      <c r="P1169" t="str">
        <f>"RUA RUA GENERAL LIBERATO BITTENCOURT"</f>
        <v>RUA RUA GENERAL LIBERATO BITTENCOURT</v>
      </c>
      <c r="Q1169" t="str">
        <f>"1885"</f>
        <v>1885</v>
      </c>
      <c r="R1169" t="str">
        <f>"SALA 010"</f>
        <v>SALA 010</v>
      </c>
      <c r="S1169" t="str">
        <f>"1258"</f>
        <v>1258</v>
      </c>
      <c r="T1169" t="str">
        <f>"88070800"</f>
        <v>88070800</v>
      </c>
      <c r="U1169" t="str">
        <f>"ESTRETO"</f>
        <v>ESTRETO</v>
      </c>
      <c r="V1169" t="str">
        <f>"FLORIANOPOLIS"</f>
        <v>FLORIANOPOLIS</v>
      </c>
      <c r="W1169" t="str">
        <f t="shared" si="579"/>
        <v>SC</v>
      </c>
      <c r="X1169" t="str">
        <f t="shared" si="587"/>
        <v>48</v>
      </c>
      <c r="Y1169" t="str">
        <f>"30913101"</f>
        <v>30913101</v>
      </c>
      <c r="Z1169" t="str">
        <f>""</f>
        <v/>
      </c>
      <c r="AA1169" t="str">
        <f>""</f>
        <v/>
      </c>
      <c r="AB1169" t="str">
        <f>""</f>
        <v/>
      </c>
      <c r="AC1169" t="str">
        <f>""</f>
        <v/>
      </c>
      <c r="AD1169" t="str">
        <f>""</f>
        <v/>
      </c>
      <c r="AE1169" t="str">
        <f>""</f>
        <v/>
      </c>
      <c r="AF1169" t="str">
        <f>""</f>
        <v/>
      </c>
      <c r="AG1169" t="str">
        <f>""</f>
        <v/>
      </c>
      <c r="AH1169" t="str">
        <f>""</f>
        <v/>
      </c>
      <c r="AI1169" t="str">
        <f>""</f>
        <v/>
      </c>
      <c r="AJ1169" t="str">
        <f>""</f>
        <v/>
      </c>
      <c r="AK1169" t="str">
        <f>""</f>
        <v/>
      </c>
      <c r="AL1169" t="str">
        <f>""</f>
        <v/>
      </c>
      <c r="AM1169" t="str">
        <f>""</f>
        <v/>
      </c>
      <c r="AN1169" t="str">
        <f>""</f>
        <v/>
      </c>
      <c r="AO1169" t="str">
        <f>""</f>
        <v/>
      </c>
      <c r="AP1169" t="str">
        <f>""</f>
        <v/>
      </c>
      <c r="AQ1169" t="str">
        <f>""</f>
        <v/>
      </c>
      <c r="AR1169" t="str">
        <f>""</f>
        <v/>
      </c>
      <c r="AS1169" t="str">
        <f>""</f>
        <v/>
      </c>
      <c r="AT1169" t="str">
        <f>""</f>
        <v/>
      </c>
      <c r="AU1169" t="str">
        <f>""</f>
        <v/>
      </c>
      <c r="AV1169" t="str">
        <f>""</f>
        <v/>
      </c>
      <c r="AW1169" t="str">
        <f>""</f>
        <v/>
      </c>
      <c r="AX1169" t="str">
        <f>""</f>
        <v/>
      </c>
      <c r="AY1169" t="str">
        <f>""</f>
        <v/>
      </c>
      <c r="AZ1169" t="str">
        <f>""</f>
        <v/>
      </c>
      <c r="BA1169" t="str">
        <f>""</f>
        <v/>
      </c>
      <c r="BB1169" t="str">
        <f>"11/07/2023 02:19:56"</f>
        <v>11/07/2023 02:19:56</v>
      </c>
      <c r="BC1169" t="str">
        <f>""</f>
        <v/>
      </c>
      <c r="BD1169" t="str">
        <f>""</f>
        <v/>
      </c>
      <c r="BE1169" t="str">
        <f>""</f>
        <v/>
      </c>
      <c r="BF1169" t="str">
        <f t="shared" si="584"/>
        <v>A</v>
      </c>
      <c r="BG1169" t="str">
        <f>""</f>
        <v/>
      </c>
      <c r="BH1169" t="str">
        <f>""</f>
        <v/>
      </c>
      <c r="BI1169" t="str">
        <f t="shared" si="567"/>
        <v>EVENTUAL</v>
      </c>
      <c r="BJ1169" t="str">
        <f t="shared" si="585"/>
        <v>1</v>
      </c>
      <c r="BK1169" t="str">
        <f t="shared" si="586"/>
        <v>Farmacia</v>
      </c>
      <c r="BL1169" t="str">
        <f>""</f>
        <v/>
      </c>
      <c r="BM1169" t="str">
        <f>""</f>
        <v/>
      </c>
      <c r="BN1169" t="str">
        <f>""</f>
        <v/>
      </c>
      <c r="BO1169" t="str">
        <f>""</f>
        <v/>
      </c>
      <c r="BP1169" t="str">
        <f>""</f>
        <v/>
      </c>
      <c r="BQ1169" t="str">
        <f>""</f>
        <v/>
      </c>
      <c r="BR1169" t="str">
        <f>"11/07/2023"</f>
        <v>11/07/2023</v>
      </c>
      <c r="BS1169" t="str">
        <f>""</f>
        <v/>
      </c>
      <c r="BT1169" t="str">
        <f>""</f>
        <v/>
      </c>
      <c r="BU1169" t="str">
        <f>""</f>
        <v/>
      </c>
      <c r="BV1169" t="str">
        <f>""</f>
        <v/>
      </c>
      <c r="BW1169" t="str">
        <f>"Não visitado"</f>
        <v>Não visitado</v>
      </c>
    </row>
    <row r="1170" spans="1:75" x14ac:dyDescent="0.35">
      <c r="A1170">
        <v>134319</v>
      </c>
      <c r="B1170" t="str">
        <f t="shared" si="581"/>
        <v>A</v>
      </c>
      <c r="C1170" t="str">
        <f t="shared" si="582"/>
        <v>80</v>
      </c>
      <c r="D1170" t="str">
        <f t="shared" si="575"/>
        <v>11121002</v>
      </c>
      <c r="E1170" t="str">
        <f t="shared" si="576"/>
        <v>121002</v>
      </c>
      <c r="F1170" t="str">
        <f t="shared" si="577"/>
        <v>CINTHIA NORONHA</v>
      </c>
      <c r="G1170" t="str">
        <f>"32628495000194"</f>
        <v>32628495000194</v>
      </c>
      <c r="H1170" t="str">
        <f>""</f>
        <v/>
      </c>
      <c r="I1170" t="str">
        <f t="shared" si="583"/>
        <v>CONTA OPTICA</v>
      </c>
      <c r="J1170" t="str">
        <f>"SLQ COMERCIO DE JOIAS E OTICA LTDA"</f>
        <v>SLQ COMERCIO DE JOIAS E OTICA LTDA</v>
      </c>
      <c r="K1170" t="str">
        <f>"SLQ COMERCIO DE JOIAS E OTICA LTDA (3998)"</f>
        <v>SLQ COMERCIO DE JOIAS E OTICA LTDA (3998)</v>
      </c>
      <c r="L1170" t="str">
        <f>""</f>
        <v/>
      </c>
      <c r="M1170" t="str">
        <f>""</f>
        <v/>
      </c>
      <c r="N1170" t="str">
        <f>"andre@quevedo.com.br"</f>
        <v>andre@quevedo.com.br</v>
      </c>
      <c r="O1170" t="str">
        <f>""</f>
        <v/>
      </c>
      <c r="P1170" t="str">
        <f>"RUA RUA CORONEL TEIXEIRA OLIVEIRA"</f>
        <v>RUA RUA CORONEL TEIXEIRA OLIVEIRA</v>
      </c>
      <c r="Q1170" t="str">
        <f>"68"</f>
        <v>68</v>
      </c>
      <c r="R1170" t="str">
        <f>"LJ 05 BOULEVARD"</f>
        <v>LJ 05 BOULEVARD</v>
      </c>
      <c r="S1170" t="str">
        <f>"1259"</f>
        <v>1259</v>
      </c>
      <c r="T1170" t="str">
        <f>"88160130"</f>
        <v>88160130</v>
      </c>
      <c r="U1170" t="str">
        <f>"CENTRO"</f>
        <v>CENTRO</v>
      </c>
      <c r="V1170" t="str">
        <f>"BIGUACU"</f>
        <v>BIGUACU</v>
      </c>
      <c r="W1170" t="str">
        <f t="shared" si="579"/>
        <v>SC</v>
      </c>
      <c r="X1170" t="str">
        <f t="shared" si="587"/>
        <v>48</v>
      </c>
      <c r="Y1170" t="str">
        <f>"32247135"</f>
        <v>32247135</v>
      </c>
      <c r="Z1170" t="str">
        <f>""</f>
        <v/>
      </c>
      <c r="AA1170" t="str">
        <f>""</f>
        <v/>
      </c>
      <c r="AB1170" t="str">
        <f>""</f>
        <v/>
      </c>
      <c r="AC1170" t="str">
        <f>""</f>
        <v/>
      </c>
      <c r="AD1170" t="str">
        <f>""</f>
        <v/>
      </c>
      <c r="AE1170" t="str">
        <f>""</f>
        <v/>
      </c>
      <c r="AF1170" t="str">
        <f>""</f>
        <v/>
      </c>
      <c r="AG1170" t="str">
        <f>""</f>
        <v/>
      </c>
      <c r="AH1170" t="str">
        <f>""</f>
        <v/>
      </c>
      <c r="AI1170" t="str">
        <f>""</f>
        <v/>
      </c>
      <c r="AJ1170" t="str">
        <f t="shared" ref="AJ1170:AL1175" si="593">"0"</f>
        <v>0</v>
      </c>
      <c r="AK1170" t="str">
        <f t="shared" si="593"/>
        <v>0</v>
      </c>
      <c r="AL1170" t="str">
        <f t="shared" si="593"/>
        <v>0</v>
      </c>
      <c r="AM1170" t="str">
        <f>""</f>
        <v/>
      </c>
      <c r="AN1170" t="str">
        <f>""</f>
        <v/>
      </c>
      <c r="AO1170" t="str">
        <f>""</f>
        <v/>
      </c>
      <c r="AP1170" t="str">
        <f>""</f>
        <v/>
      </c>
      <c r="AQ1170" t="str">
        <f>""</f>
        <v/>
      </c>
      <c r="AR1170" t="str">
        <f>""</f>
        <v/>
      </c>
      <c r="AS1170" t="str">
        <f>""</f>
        <v/>
      </c>
      <c r="AT1170" t="str">
        <f>""</f>
        <v/>
      </c>
      <c r="AU1170" t="str">
        <f>""</f>
        <v/>
      </c>
      <c r="AV1170" t="str">
        <f>""</f>
        <v/>
      </c>
      <c r="AW1170" t="str">
        <f>""</f>
        <v/>
      </c>
      <c r="AX1170" t="str">
        <f>""</f>
        <v/>
      </c>
      <c r="AY1170" t="str">
        <f>""</f>
        <v/>
      </c>
      <c r="AZ1170" t="str">
        <f>""</f>
        <v/>
      </c>
      <c r="BA1170" t="str">
        <f>""</f>
        <v/>
      </c>
      <c r="BB1170" t="str">
        <f>""</f>
        <v/>
      </c>
      <c r="BC1170" t="str">
        <f>""</f>
        <v/>
      </c>
      <c r="BD1170" t="str">
        <f>""</f>
        <v/>
      </c>
      <c r="BE1170" t="str">
        <f>""</f>
        <v/>
      </c>
      <c r="BF1170" t="str">
        <f t="shared" si="584"/>
        <v>A</v>
      </c>
      <c r="BG1170" t="str">
        <f t="shared" ref="BG1170:BH1175" si="594">"0,00"</f>
        <v>0,00</v>
      </c>
      <c r="BH1170" t="str">
        <f t="shared" si="594"/>
        <v>0,00</v>
      </c>
      <c r="BI1170" t="str">
        <f t="shared" si="567"/>
        <v>EVENTUAL</v>
      </c>
      <c r="BJ1170" t="str">
        <f t="shared" si="585"/>
        <v>1</v>
      </c>
      <c r="BK1170" t="str">
        <f t="shared" si="586"/>
        <v>Farmacia</v>
      </c>
      <c r="BL1170" t="str">
        <f>""</f>
        <v/>
      </c>
      <c r="BM1170" t="str">
        <f>"NÃO É VARILUX ESPECIALISTA"</f>
        <v>NÃO É VARILUX ESPECIALISTA</v>
      </c>
      <c r="BN1170" t="str">
        <f t="shared" ref="BN1170:BN1177" si="595">"NA"</f>
        <v>NA</v>
      </c>
      <c r="BO1170" t="str">
        <f>"OUTROS"</f>
        <v>OUTROS</v>
      </c>
      <c r="BP1170" t="str">
        <f>""</f>
        <v/>
      </c>
      <c r="BQ1170" t="str">
        <f>""</f>
        <v/>
      </c>
      <c r="BR1170" t="str">
        <f>""</f>
        <v/>
      </c>
      <c r="BS1170" t="str">
        <f>""</f>
        <v/>
      </c>
      <c r="BT1170" t="str">
        <f>""</f>
        <v/>
      </c>
      <c r="BU1170" t="str">
        <f>""</f>
        <v/>
      </c>
      <c r="BV1170" t="str">
        <f>"9"</f>
        <v>9</v>
      </c>
      <c r="BW1170" t="str">
        <f>"Não visitado"</f>
        <v>Não visitado</v>
      </c>
    </row>
    <row r="1171" spans="1:75" x14ac:dyDescent="0.35">
      <c r="A1171">
        <v>144798</v>
      </c>
      <c r="B1171" t="str">
        <f t="shared" si="581"/>
        <v>A</v>
      </c>
      <c r="C1171" t="str">
        <f t="shared" si="582"/>
        <v>80</v>
      </c>
      <c r="D1171" t="str">
        <f t="shared" si="575"/>
        <v>11121002</v>
      </c>
      <c r="E1171" t="str">
        <f t="shared" si="576"/>
        <v>121002</v>
      </c>
      <c r="F1171" t="str">
        <f t="shared" si="577"/>
        <v>CINTHIA NORONHA</v>
      </c>
      <c r="G1171" t="str">
        <f>"38046749000142"</f>
        <v>38046749000142</v>
      </c>
      <c r="H1171" t="str">
        <f>""</f>
        <v/>
      </c>
      <c r="I1171" t="str">
        <f t="shared" si="583"/>
        <v>CONTA OPTICA</v>
      </c>
      <c r="J1171" t="str">
        <f>"SOUL JOALHERIA E OTICA LTDA"</f>
        <v>SOUL JOALHERIA E OTICA LTDA</v>
      </c>
      <c r="K1171" t="str">
        <f>"QUEVEDO JOALHERIA E OTICA (4245)"</f>
        <v>QUEVEDO JOALHERIA E OTICA (4245)</v>
      </c>
      <c r="L1171" t="str">
        <f>""</f>
        <v/>
      </c>
      <c r="M1171" t="str">
        <f>""</f>
        <v/>
      </c>
      <c r="N1171" t="str">
        <f>"quevedogaropaba@gmail.com"</f>
        <v>quevedogaropaba@gmail.com</v>
      </c>
      <c r="O1171" t="str">
        <f>""</f>
        <v/>
      </c>
      <c r="P1171" t="str">
        <f>"RUA PREFEITO JOAO ORESTES DE ARAUJO"</f>
        <v>RUA PREFEITO JOAO ORESTES DE ARAUJO</v>
      </c>
      <c r="Q1171" t="str">
        <f>"515"</f>
        <v>515</v>
      </c>
      <c r="R1171" t="str">
        <f>"SALA 01"</f>
        <v>SALA 01</v>
      </c>
      <c r="S1171" t="str">
        <f>"1265"</f>
        <v>1265</v>
      </c>
      <c r="T1171" t="str">
        <f>"88495000"</f>
        <v>88495000</v>
      </c>
      <c r="U1171" t="str">
        <f>"CENTRO"</f>
        <v>CENTRO</v>
      </c>
      <c r="V1171" t="str">
        <f>"GAROPABA"</f>
        <v>GAROPABA</v>
      </c>
      <c r="W1171" t="str">
        <f t="shared" si="579"/>
        <v>SC</v>
      </c>
      <c r="X1171" t="str">
        <f t="shared" si="587"/>
        <v>48</v>
      </c>
      <c r="Y1171" t="str">
        <f>"32541876"</f>
        <v>32541876</v>
      </c>
      <c r="Z1171" t="str">
        <f>""</f>
        <v/>
      </c>
      <c r="AA1171" t="str">
        <f>""</f>
        <v/>
      </c>
      <c r="AB1171" t="str">
        <f>""</f>
        <v/>
      </c>
      <c r="AC1171" t="str">
        <f>""</f>
        <v/>
      </c>
      <c r="AD1171" t="str">
        <f>""</f>
        <v/>
      </c>
      <c r="AE1171" t="str">
        <f>""</f>
        <v/>
      </c>
      <c r="AF1171" t="str">
        <f>""</f>
        <v/>
      </c>
      <c r="AG1171" t="str">
        <f>""</f>
        <v/>
      </c>
      <c r="AH1171" t="str">
        <f>""</f>
        <v/>
      </c>
      <c r="AI1171" t="str">
        <f>""</f>
        <v/>
      </c>
      <c r="AJ1171" t="str">
        <f t="shared" si="593"/>
        <v>0</v>
      </c>
      <c r="AK1171" t="str">
        <f t="shared" si="593"/>
        <v>0</v>
      </c>
      <c r="AL1171" t="str">
        <f t="shared" si="593"/>
        <v>0</v>
      </c>
      <c r="AM1171" t="str">
        <f>""</f>
        <v/>
      </c>
      <c r="AN1171" t="str">
        <f>""</f>
        <v/>
      </c>
      <c r="AO1171" t="str">
        <f>""</f>
        <v/>
      </c>
      <c r="AP1171" t="str">
        <f>""</f>
        <v/>
      </c>
      <c r="AQ1171" t="str">
        <f>""</f>
        <v/>
      </c>
      <c r="AR1171" t="str">
        <f>""</f>
        <v/>
      </c>
      <c r="AS1171" t="str">
        <f>""</f>
        <v/>
      </c>
      <c r="AT1171" t="str">
        <f>""</f>
        <v/>
      </c>
      <c r="AU1171" t="str">
        <f>""</f>
        <v/>
      </c>
      <c r="AV1171" t="str">
        <f>""</f>
        <v/>
      </c>
      <c r="AW1171" t="str">
        <f>""</f>
        <v/>
      </c>
      <c r="AX1171" t="str">
        <f>""</f>
        <v/>
      </c>
      <c r="AY1171" t="str">
        <f>""</f>
        <v/>
      </c>
      <c r="AZ1171" t="str">
        <f>""</f>
        <v/>
      </c>
      <c r="BA1171" t="str">
        <f>""</f>
        <v/>
      </c>
      <c r="BB1171" t="str">
        <f>""</f>
        <v/>
      </c>
      <c r="BC1171" t="str">
        <f>""</f>
        <v/>
      </c>
      <c r="BD1171" t="str">
        <f>""</f>
        <v/>
      </c>
      <c r="BE1171" t="str">
        <f>""</f>
        <v/>
      </c>
      <c r="BF1171" t="str">
        <f t="shared" si="584"/>
        <v>A</v>
      </c>
      <c r="BG1171" t="str">
        <f t="shared" si="594"/>
        <v>0,00</v>
      </c>
      <c r="BH1171" t="str">
        <f t="shared" si="594"/>
        <v>0,00</v>
      </c>
      <c r="BI1171" t="str">
        <f t="shared" si="567"/>
        <v>EVENTUAL</v>
      </c>
      <c r="BJ1171" t="str">
        <f t="shared" si="585"/>
        <v>1</v>
      </c>
      <c r="BK1171" t="str">
        <f t="shared" si="586"/>
        <v>Farmacia</v>
      </c>
      <c r="BL1171" t="str">
        <f>""</f>
        <v/>
      </c>
      <c r="BM1171" t="str">
        <f>"NÃO É VARILUX ESPECIALISTA"</f>
        <v>NÃO É VARILUX ESPECIALISTA</v>
      </c>
      <c r="BN1171" t="str">
        <f t="shared" si="595"/>
        <v>NA</v>
      </c>
      <c r="BO1171" t="str">
        <f>"FOCO VARILUX DIGITAL"</f>
        <v>FOCO VARILUX DIGITAL</v>
      </c>
      <c r="BP1171" t="str">
        <f>""</f>
        <v/>
      </c>
      <c r="BQ1171" t="str">
        <f>""</f>
        <v/>
      </c>
      <c r="BR1171" t="str">
        <f>""</f>
        <v/>
      </c>
      <c r="BS1171" t="str">
        <f>""</f>
        <v/>
      </c>
      <c r="BT1171" t="str">
        <f>""</f>
        <v/>
      </c>
      <c r="BU1171" t="str">
        <f>""</f>
        <v/>
      </c>
      <c r="BV1171" t="str">
        <f>"9"</f>
        <v>9</v>
      </c>
      <c r="BW1171" t="str">
        <f>"116"</f>
        <v>116</v>
      </c>
    </row>
    <row r="1172" spans="1:75" x14ac:dyDescent="0.35">
      <c r="A1172">
        <v>134229</v>
      </c>
      <c r="B1172" t="str">
        <f t="shared" si="581"/>
        <v>A</v>
      </c>
      <c r="C1172" t="str">
        <f t="shared" si="582"/>
        <v>80</v>
      </c>
      <c r="D1172" t="str">
        <f t="shared" si="575"/>
        <v>11121002</v>
      </c>
      <c r="E1172" t="str">
        <f t="shared" si="576"/>
        <v>121002</v>
      </c>
      <c r="F1172" t="str">
        <f t="shared" si="577"/>
        <v>CINTHIA NORONHA</v>
      </c>
      <c r="G1172" t="str">
        <f>"11490667000136"</f>
        <v>11490667000136</v>
      </c>
      <c r="H1172" t="str">
        <f>""</f>
        <v/>
      </c>
      <c r="I1172" t="str">
        <f t="shared" si="583"/>
        <v>CONTA OPTICA</v>
      </c>
      <c r="J1172" t="str">
        <f>"SOUZA ABREU JOALHERIA E OTICA LTDA ME"</f>
        <v>SOUZA ABREU JOALHERIA E OTICA LTDA ME</v>
      </c>
      <c r="K1172" t="str">
        <f>"EDNA OTICA (1707)"</f>
        <v>EDNA OTICA (1707)</v>
      </c>
      <c r="L1172" t="str">
        <f>""</f>
        <v/>
      </c>
      <c r="M1172" t="str">
        <f>""</f>
        <v/>
      </c>
      <c r="N1172" t="str">
        <f>"ednaotica.palhoca@gmail.com"</f>
        <v>ednaotica.palhoca@gmail.com</v>
      </c>
      <c r="O1172" t="str">
        <f>""</f>
        <v/>
      </c>
      <c r="P1172" t="str">
        <f>"RUA CAETANO SILVEIRA DE MATOS"</f>
        <v>RUA CAETANO SILVEIRA DE MATOS</v>
      </c>
      <c r="Q1172" t="str">
        <f>"2620"</f>
        <v>2620</v>
      </c>
      <c r="R1172" t="str">
        <f>""</f>
        <v/>
      </c>
      <c r="S1172" t="str">
        <f>"1259"</f>
        <v>1259</v>
      </c>
      <c r="T1172" t="str">
        <f>"88130005"</f>
        <v>88130005</v>
      </c>
      <c r="U1172" t="str">
        <f>"CENTRO"</f>
        <v>CENTRO</v>
      </c>
      <c r="V1172" t="str">
        <f>"PALHOÇA"</f>
        <v>PALHOÇA</v>
      </c>
      <c r="W1172" t="str">
        <f t="shared" si="579"/>
        <v>SC</v>
      </c>
      <c r="X1172" t="str">
        <f t="shared" si="587"/>
        <v>48</v>
      </c>
      <c r="Y1172" t="str">
        <f>"33467669"</f>
        <v>33467669</v>
      </c>
      <c r="Z1172" t="str">
        <f>""</f>
        <v/>
      </c>
      <c r="AA1172" t="str">
        <f>""</f>
        <v/>
      </c>
      <c r="AB1172" t="str">
        <f>""</f>
        <v/>
      </c>
      <c r="AC1172" t="str">
        <f>""</f>
        <v/>
      </c>
      <c r="AD1172" t="str">
        <f>""</f>
        <v/>
      </c>
      <c r="AE1172" t="str">
        <f>""</f>
        <v/>
      </c>
      <c r="AF1172" t="str">
        <f>""</f>
        <v/>
      </c>
      <c r="AG1172" t="str">
        <f>"S"</f>
        <v>S</v>
      </c>
      <c r="AH1172" t="str">
        <f>""</f>
        <v/>
      </c>
      <c r="AI1172" t="str">
        <f>""</f>
        <v/>
      </c>
      <c r="AJ1172" t="str">
        <f t="shared" si="593"/>
        <v>0</v>
      </c>
      <c r="AK1172" t="str">
        <f t="shared" si="593"/>
        <v>0</v>
      </c>
      <c r="AL1172" t="str">
        <f t="shared" si="593"/>
        <v>0</v>
      </c>
      <c r="AM1172" t="str">
        <f>""</f>
        <v/>
      </c>
      <c r="AN1172" t="str">
        <f>""</f>
        <v/>
      </c>
      <c r="AO1172" t="str">
        <f>""</f>
        <v/>
      </c>
      <c r="AP1172" t="str">
        <f>""</f>
        <v/>
      </c>
      <c r="AQ1172" t="str">
        <f t="shared" ref="AQ1172:AU1173" si="596">"N"</f>
        <v>N</v>
      </c>
      <c r="AR1172" t="str">
        <f t="shared" si="596"/>
        <v>N</v>
      </c>
      <c r="AS1172" t="str">
        <f t="shared" si="596"/>
        <v>N</v>
      </c>
      <c r="AT1172" t="str">
        <f t="shared" si="596"/>
        <v>N</v>
      </c>
      <c r="AU1172" t="str">
        <f t="shared" si="596"/>
        <v>N</v>
      </c>
      <c r="AV1172" t="str">
        <f>""</f>
        <v/>
      </c>
      <c r="AW1172" t="str">
        <f>""</f>
        <v/>
      </c>
      <c r="AX1172" t="str">
        <f>""</f>
        <v/>
      </c>
      <c r="AY1172" t="str">
        <f>""</f>
        <v/>
      </c>
      <c r="AZ1172" t="str">
        <f>""</f>
        <v/>
      </c>
      <c r="BA1172" t="str">
        <f>""</f>
        <v/>
      </c>
      <c r="BB1172" t="str">
        <f>""</f>
        <v/>
      </c>
      <c r="BC1172" t="str">
        <f>"11/02/2022 09:03:21"</f>
        <v>11/02/2022 09:03:21</v>
      </c>
      <c r="BD1172" t="str">
        <f>""</f>
        <v/>
      </c>
      <c r="BE1172" t="str">
        <f>""</f>
        <v/>
      </c>
      <c r="BF1172" t="str">
        <f t="shared" si="584"/>
        <v>A</v>
      </c>
      <c r="BG1172" t="str">
        <f t="shared" si="594"/>
        <v>0,00</v>
      </c>
      <c r="BH1172" t="str">
        <f t="shared" si="594"/>
        <v>0,00</v>
      </c>
      <c r="BI1172" t="str">
        <f t="shared" si="567"/>
        <v>EVENTUAL</v>
      </c>
      <c r="BJ1172" t="str">
        <f t="shared" si="585"/>
        <v>1</v>
      </c>
      <c r="BK1172" t="str">
        <f t="shared" si="586"/>
        <v>Farmacia</v>
      </c>
      <c r="BL1172" t="str">
        <f>""</f>
        <v/>
      </c>
      <c r="BM1172" t="str">
        <f>"VARILUX ESPECIALISTA SELECT"</f>
        <v>VARILUX ESPECIALISTA SELECT</v>
      </c>
      <c r="BN1172" t="str">
        <f t="shared" si="595"/>
        <v>NA</v>
      </c>
      <c r="BO1172" t="str">
        <f>"FOCO VARILUX DIGITAL"</f>
        <v>FOCO VARILUX DIGITAL</v>
      </c>
      <c r="BP1172" t="str">
        <f>""</f>
        <v/>
      </c>
      <c r="BQ1172" t="str">
        <f>""</f>
        <v/>
      </c>
      <c r="BR1172" t="str">
        <f>""</f>
        <v/>
      </c>
      <c r="BS1172" t="str">
        <f>"11/02/2022"</f>
        <v>11/02/2022</v>
      </c>
      <c r="BT1172" t="str">
        <f>""</f>
        <v/>
      </c>
      <c r="BU1172" t="str">
        <f>""</f>
        <v/>
      </c>
      <c r="BV1172" t="str">
        <f>"5"</f>
        <v>5</v>
      </c>
      <c r="BW1172" t="str">
        <f>"38"</f>
        <v>38</v>
      </c>
    </row>
    <row r="1173" spans="1:75" x14ac:dyDescent="0.35">
      <c r="A1173">
        <v>134230</v>
      </c>
      <c r="B1173" t="str">
        <f t="shared" si="581"/>
        <v>A</v>
      </c>
      <c r="C1173" t="str">
        <f t="shared" si="582"/>
        <v>80</v>
      </c>
      <c r="D1173" t="str">
        <f t="shared" si="575"/>
        <v>11121002</v>
      </c>
      <c r="E1173" t="str">
        <f t="shared" si="576"/>
        <v>121002</v>
      </c>
      <c r="F1173" t="str">
        <f t="shared" si="577"/>
        <v>CINTHIA NORONHA</v>
      </c>
      <c r="G1173" t="str">
        <f>"11490667000217"</f>
        <v>11490667000217</v>
      </c>
      <c r="H1173" t="str">
        <f>""</f>
        <v/>
      </c>
      <c r="I1173" t="str">
        <f t="shared" si="583"/>
        <v>CONTA OPTICA</v>
      </c>
      <c r="J1173" t="str">
        <f>"SOUZA ABREU JOALHERIA E OTICA LTDA ME"</f>
        <v>SOUZA ABREU JOALHERIA E OTICA LTDA ME</v>
      </c>
      <c r="K1173" t="str">
        <f>"EDNA  OTICA (2048)"</f>
        <v>EDNA  OTICA (2048)</v>
      </c>
      <c r="L1173" t="str">
        <f>""</f>
        <v/>
      </c>
      <c r="M1173" t="str">
        <f>""</f>
        <v/>
      </c>
      <c r="N1173" t="str">
        <f>"ednaotica.kobrasol@gmail.com"</f>
        <v>ednaotica.kobrasol@gmail.com</v>
      </c>
      <c r="O1173" t="str">
        <f>""</f>
        <v/>
      </c>
      <c r="P1173" t="str">
        <f>"AVENIDA LEDIO JOAO MARTINS"</f>
        <v>AVENIDA LEDIO JOAO MARTINS</v>
      </c>
      <c r="Q1173" t="str">
        <f>"434"</f>
        <v>434</v>
      </c>
      <c r="R1173" t="str">
        <f>"LOJA 2"</f>
        <v>LOJA 2</v>
      </c>
      <c r="S1173" t="str">
        <f>"1259"</f>
        <v>1259</v>
      </c>
      <c r="T1173" t="str">
        <f>"88101100"</f>
        <v>88101100</v>
      </c>
      <c r="U1173" t="str">
        <f>"KOBRASOL"</f>
        <v>KOBRASOL</v>
      </c>
      <c r="V1173" t="str">
        <f>"SÃO JOSÉ"</f>
        <v>SÃO JOSÉ</v>
      </c>
      <c r="W1173" t="str">
        <f t="shared" si="579"/>
        <v>SC</v>
      </c>
      <c r="X1173" t="str">
        <f t="shared" si="587"/>
        <v>48</v>
      </c>
      <c r="Y1173" t="str">
        <f>"30357669"</f>
        <v>30357669</v>
      </c>
      <c r="Z1173" t="str">
        <f>""</f>
        <v/>
      </c>
      <c r="AA1173" t="str">
        <f>""</f>
        <v/>
      </c>
      <c r="AB1173" t="str">
        <f>""</f>
        <v/>
      </c>
      <c r="AC1173" t="str">
        <f>""</f>
        <v/>
      </c>
      <c r="AD1173" t="str">
        <f>""</f>
        <v/>
      </c>
      <c r="AE1173" t="str">
        <f>""</f>
        <v/>
      </c>
      <c r="AF1173" t="str">
        <f>""</f>
        <v/>
      </c>
      <c r="AG1173" t="str">
        <f>"S"</f>
        <v>S</v>
      </c>
      <c r="AH1173" t="str">
        <f>""</f>
        <v/>
      </c>
      <c r="AI1173" t="str">
        <f>""</f>
        <v/>
      </c>
      <c r="AJ1173" t="str">
        <f t="shared" si="593"/>
        <v>0</v>
      </c>
      <c r="AK1173" t="str">
        <f t="shared" si="593"/>
        <v>0</v>
      </c>
      <c r="AL1173" t="str">
        <f t="shared" si="593"/>
        <v>0</v>
      </c>
      <c r="AM1173" t="str">
        <f>""</f>
        <v/>
      </c>
      <c r="AN1173" t="str">
        <f>""</f>
        <v/>
      </c>
      <c r="AO1173" t="str">
        <f>""</f>
        <v/>
      </c>
      <c r="AP1173" t="str">
        <f>""</f>
        <v/>
      </c>
      <c r="AQ1173" t="str">
        <f t="shared" si="596"/>
        <v>N</v>
      </c>
      <c r="AR1173" t="str">
        <f t="shared" si="596"/>
        <v>N</v>
      </c>
      <c r="AS1173" t="str">
        <f t="shared" si="596"/>
        <v>N</v>
      </c>
      <c r="AT1173" t="str">
        <f t="shared" si="596"/>
        <v>N</v>
      </c>
      <c r="AU1173" t="str">
        <f t="shared" si="596"/>
        <v>N</v>
      </c>
      <c r="AV1173" t="str">
        <f>""</f>
        <v/>
      </c>
      <c r="AW1173" t="str">
        <f>""</f>
        <v/>
      </c>
      <c r="AX1173" t="str">
        <f>""</f>
        <v/>
      </c>
      <c r="AY1173" t="str">
        <f>""</f>
        <v/>
      </c>
      <c r="AZ1173" t="str">
        <f>""</f>
        <v/>
      </c>
      <c r="BA1173" t="str">
        <f>""</f>
        <v/>
      </c>
      <c r="BB1173" t="str">
        <f>""</f>
        <v/>
      </c>
      <c r="BC1173" t="str">
        <f>"14/02/2022 15:16:47"</f>
        <v>14/02/2022 15:16:47</v>
      </c>
      <c r="BD1173" t="str">
        <f>""</f>
        <v/>
      </c>
      <c r="BE1173" t="str">
        <f>""</f>
        <v/>
      </c>
      <c r="BF1173" t="str">
        <f t="shared" si="584"/>
        <v>A</v>
      </c>
      <c r="BG1173" t="str">
        <f t="shared" si="594"/>
        <v>0,00</v>
      </c>
      <c r="BH1173" t="str">
        <f t="shared" si="594"/>
        <v>0,00</v>
      </c>
      <c r="BI1173" t="str">
        <f t="shared" si="567"/>
        <v>EVENTUAL</v>
      </c>
      <c r="BJ1173" t="str">
        <f t="shared" si="585"/>
        <v>1</v>
      </c>
      <c r="BK1173" t="str">
        <f t="shared" si="586"/>
        <v>Farmacia</v>
      </c>
      <c r="BL1173" t="str">
        <f>""</f>
        <v/>
      </c>
      <c r="BM1173" t="str">
        <f>"VARILUX ESPECIALISTA SELECT"</f>
        <v>VARILUX ESPECIALISTA SELECT</v>
      </c>
      <c r="BN1173" t="str">
        <f t="shared" si="595"/>
        <v>NA</v>
      </c>
      <c r="BO1173" t="str">
        <f>"FOCO VARILUX DIGITAL"</f>
        <v>FOCO VARILUX DIGITAL</v>
      </c>
      <c r="BP1173" t="str">
        <f>""</f>
        <v/>
      </c>
      <c r="BQ1173" t="str">
        <f>""</f>
        <v/>
      </c>
      <c r="BR1173" t="str">
        <f>""</f>
        <v/>
      </c>
      <c r="BS1173" t="str">
        <f>"14/02/2022"</f>
        <v>14/02/2022</v>
      </c>
      <c r="BT1173" t="str">
        <f>""</f>
        <v/>
      </c>
      <c r="BU1173" t="str">
        <f>""</f>
        <v/>
      </c>
      <c r="BV1173" t="str">
        <f>"5"</f>
        <v>5</v>
      </c>
      <c r="BW1173" t="str">
        <f>"39"</f>
        <v>39</v>
      </c>
    </row>
    <row r="1174" spans="1:75" x14ac:dyDescent="0.35">
      <c r="A1174">
        <v>60</v>
      </c>
      <c r="B1174" t="str">
        <f t="shared" si="581"/>
        <v>A</v>
      </c>
      <c r="C1174" t="str">
        <f t="shared" si="582"/>
        <v>80</v>
      </c>
      <c r="D1174" t="str">
        <f t="shared" si="575"/>
        <v>11121002</v>
      </c>
      <c r="E1174" t="str">
        <f t="shared" si="576"/>
        <v>121002</v>
      </c>
      <c r="F1174" t="str">
        <f t="shared" si="577"/>
        <v>CINTHIA NORONHA</v>
      </c>
      <c r="G1174" t="str">
        <f>"05070338000133"</f>
        <v>05070338000133</v>
      </c>
      <c r="H1174" t="str">
        <f>""</f>
        <v/>
      </c>
      <c r="I1174" t="str">
        <f t="shared" si="583"/>
        <v>CONTA OPTICA</v>
      </c>
      <c r="J1174" t="str">
        <f>"SOUZA E COMIN RELOJOARIA E OTICA LTDA  ME"</f>
        <v>SOUZA E COMIN RELOJOARIA E OTICA LTDA  ME</v>
      </c>
      <c r="K1174" t="str">
        <f>"OTICA ATUAL (267)"</f>
        <v>OTICA ATUAL (267)</v>
      </c>
      <c r="L1174" t="str">
        <f>""</f>
        <v/>
      </c>
      <c r="M1174" t="str">
        <f>""</f>
        <v/>
      </c>
      <c r="N1174" t="str">
        <f>"otica_atual@terra.com.br"</f>
        <v>otica_atual@terra.com.br</v>
      </c>
      <c r="O1174" t="str">
        <f>""</f>
        <v/>
      </c>
      <c r="P1174" t="str">
        <f>"RUA 20 DE MAIO"</f>
        <v>RUA 20 DE MAIO</v>
      </c>
      <c r="Q1174" t="str">
        <f>"252"</f>
        <v>252</v>
      </c>
      <c r="R1174" t="str">
        <f>""</f>
        <v/>
      </c>
      <c r="S1174" t="str">
        <f>"1269"</f>
        <v>1269</v>
      </c>
      <c r="T1174" t="str">
        <f>"88830000"</f>
        <v>88830000</v>
      </c>
      <c r="U1174" t="str">
        <f>"NAO INFORMADO"</f>
        <v>NAO INFORMADO</v>
      </c>
      <c r="V1174" t="str">
        <f>"MORRO DA FUMAÇA"</f>
        <v>MORRO DA FUMAÇA</v>
      </c>
      <c r="W1174" t="str">
        <f t="shared" si="579"/>
        <v>SC</v>
      </c>
      <c r="X1174" t="str">
        <f t="shared" si="587"/>
        <v>48</v>
      </c>
      <c r="Y1174" t="str">
        <f>"34344848"</f>
        <v>34344848</v>
      </c>
      <c r="Z1174" t="str">
        <f>""</f>
        <v/>
      </c>
      <c r="AA1174" t="str">
        <f>""</f>
        <v/>
      </c>
      <c r="AB1174" t="str">
        <f>""</f>
        <v/>
      </c>
      <c r="AC1174" t="str">
        <f>""</f>
        <v/>
      </c>
      <c r="AD1174" t="str">
        <f>""</f>
        <v/>
      </c>
      <c r="AE1174" t="str">
        <f>""</f>
        <v/>
      </c>
      <c r="AF1174" t="str">
        <f>""</f>
        <v/>
      </c>
      <c r="AG1174" t="str">
        <f>""</f>
        <v/>
      </c>
      <c r="AH1174" t="str">
        <f>""</f>
        <v/>
      </c>
      <c r="AI1174" t="str">
        <f>""</f>
        <v/>
      </c>
      <c r="AJ1174" t="str">
        <f t="shared" si="593"/>
        <v>0</v>
      </c>
      <c r="AK1174" t="str">
        <f t="shared" si="593"/>
        <v>0</v>
      </c>
      <c r="AL1174" t="str">
        <f t="shared" si="593"/>
        <v>0</v>
      </c>
      <c r="AM1174" t="str">
        <f>""</f>
        <v/>
      </c>
      <c r="AN1174" t="str">
        <f>""</f>
        <v/>
      </c>
      <c r="AO1174" t="str">
        <f>""</f>
        <v/>
      </c>
      <c r="AP1174" t="str">
        <f>""</f>
        <v/>
      </c>
      <c r="AQ1174" t="str">
        <f>""</f>
        <v/>
      </c>
      <c r="AR1174" t="str">
        <f>""</f>
        <v/>
      </c>
      <c r="AS1174" t="str">
        <f>""</f>
        <v/>
      </c>
      <c r="AT1174" t="str">
        <f>""</f>
        <v/>
      </c>
      <c r="AU1174" t="str">
        <f>""</f>
        <v/>
      </c>
      <c r="AV1174" t="str">
        <f>""</f>
        <v/>
      </c>
      <c r="AW1174" t="str">
        <f>""</f>
        <v/>
      </c>
      <c r="AX1174" t="str">
        <f>""</f>
        <v/>
      </c>
      <c r="AY1174" t="str">
        <f>""</f>
        <v/>
      </c>
      <c r="AZ1174" t="str">
        <f>""</f>
        <v/>
      </c>
      <c r="BA1174" t="str">
        <f>""</f>
        <v/>
      </c>
      <c r="BB1174" t="str">
        <f>"27/07/2018 09:25:32"</f>
        <v>27/07/2018 09:25:32</v>
      </c>
      <c r="BC1174" t="str">
        <f>""</f>
        <v/>
      </c>
      <c r="BD1174" t="str">
        <f>""</f>
        <v/>
      </c>
      <c r="BE1174" t="str">
        <f>"60"</f>
        <v>60</v>
      </c>
      <c r="BF1174" t="str">
        <f t="shared" si="584"/>
        <v>A</v>
      </c>
      <c r="BG1174" t="str">
        <f t="shared" si="594"/>
        <v>0,00</v>
      </c>
      <c r="BH1174" t="str">
        <f t="shared" si="594"/>
        <v>0,00</v>
      </c>
      <c r="BI1174" t="str">
        <f t="shared" si="567"/>
        <v>EVENTUAL</v>
      </c>
      <c r="BJ1174" t="str">
        <f t="shared" si="585"/>
        <v>1</v>
      </c>
      <c r="BK1174" t="str">
        <f t="shared" si="586"/>
        <v>Farmacia</v>
      </c>
      <c r="BL1174" t="str">
        <f>""</f>
        <v/>
      </c>
      <c r="BM1174" t="str">
        <f>"NÃO É VARILUX ESPECIALISTA"</f>
        <v>NÃO É VARILUX ESPECIALISTA</v>
      </c>
      <c r="BN1174" t="str">
        <f t="shared" si="595"/>
        <v>NA</v>
      </c>
      <c r="BO1174" t="str">
        <f>"OUTROS"</f>
        <v>OUTROS</v>
      </c>
      <c r="BP1174" t="str">
        <f>""</f>
        <v/>
      </c>
      <c r="BQ1174" t="str">
        <f>""</f>
        <v/>
      </c>
      <c r="BR1174" t="str">
        <f>"27/07/2018"</f>
        <v>27/07/2018</v>
      </c>
      <c r="BS1174" t="str">
        <f>""</f>
        <v/>
      </c>
      <c r="BT1174" t="str">
        <f>""</f>
        <v/>
      </c>
      <c r="BU1174" t="str">
        <f>""</f>
        <v/>
      </c>
      <c r="BV1174" t="str">
        <f>"9"</f>
        <v>9</v>
      </c>
      <c r="BW1174" t="str">
        <f>"133"</f>
        <v>133</v>
      </c>
    </row>
    <row r="1175" spans="1:75" x14ac:dyDescent="0.35">
      <c r="A1175">
        <v>24</v>
      </c>
      <c r="B1175" t="str">
        <f t="shared" si="581"/>
        <v>A</v>
      </c>
      <c r="C1175" t="str">
        <f t="shared" si="582"/>
        <v>80</v>
      </c>
      <c r="D1175" t="str">
        <f t="shared" si="575"/>
        <v>11121002</v>
      </c>
      <c r="E1175" t="str">
        <f t="shared" si="576"/>
        <v>121002</v>
      </c>
      <c r="F1175" t="str">
        <f t="shared" si="577"/>
        <v>CINTHIA NORONHA</v>
      </c>
      <c r="G1175" t="str">
        <f>"02147813000134"</f>
        <v>02147813000134</v>
      </c>
      <c r="H1175" t="str">
        <f>""</f>
        <v/>
      </c>
      <c r="I1175" t="str">
        <f t="shared" si="583"/>
        <v>CONTA OPTICA</v>
      </c>
      <c r="J1175" t="str">
        <f>"SUELI EBSEN HELINSKI ME"</f>
        <v>SUELI EBSEN HELINSKI ME</v>
      </c>
      <c r="K1175" t="str">
        <f>"SUELI EBSEN HELINSKI ME (183)"</f>
        <v>SUELI EBSEN HELINSKI ME (183)</v>
      </c>
      <c r="L1175" t="str">
        <f>""</f>
        <v/>
      </c>
      <c r="M1175" t="str">
        <f>""</f>
        <v/>
      </c>
      <c r="N1175" t="str">
        <f>"fiodeouropraiagrande@gmail.com"</f>
        <v>fiodeouropraiagrande@gmail.com</v>
      </c>
      <c r="O1175" t="str">
        <f>""</f>
        <v/>
      </c>
      <c r="P1175" t="str">
        <f>"RUA RUA 19 DE JULHO"</f>
        <v>RUA RUA 19 DE JULHO</v>
      </c>
      <c r="Q1175" t="str">
        <f>"17"</f>
        <v>17</v>
      </c>
      <c r="R1175" t="str">
        <f>""</f>
        <v/>
      </c>
      <c r="S1175" t="str">
        <f>"1270"</f>
        <v>1270</v>
      </c>
      <c r="T1175" t="str">
        <f>"88990000"</f>
        <v>88990000</v>
      </c>
      <c r="U1175" t="str">
        <f>"NAO INFORMADO"</f>
        <v>NAO INFORMADO</v>
      </c>
      <c r="V1175" t="str">
        <f>"PRAIA GRANDE"</f>
        <v>PRAIA GRANDE</v>
      </c>
      <c r="W1175" t="str">
        <f t="shared" si="579"/>
        <v>SC</v>
      </c>
      <c r="X1175" t="str">
        <f t="shared" si="587"/>
        <v>48</v>
      </c>
      <c r="Y1175" t="str">
        <f>"35320261"</f>
        <v>35320261</v>
      </c>
      <c r="Z1175" t="str">
        <f>""</f>
        <v/>
      </c>
      <c r="AA1175" t="str">
        <f>""</f>
        <v/>
      </c>
      <c r="AB1175" t="str">
        <f>""</f>
        <v/>
      </c>
      <c r="AC1175" t="str">
        <f>""</f>
        <v/>
      </c>
      <c r="AD1175" t="str">
        <f>""</f>
        <v/>
      </c>
      <c r="AE1175" t="str">
        <f>""</f>
        <v/>
      </c>
      <c r="AF1175" t="str">
        <f>""</f>
        <v/>
      </c>
      <c r="AG1175" t="str">
        <f>""</f>
        <v/>
      </c>
      <c r="AH1175" t="str">
        <f>""</f>
        <v/>
      </c>
      <c r="AI1175" t="str">
        <f>""</f>
        <v/>
      </c>
      <c r="AJ1175" t="str">
        <f t="shared" si="593"/>
        <v>0</v>
      </c>
      <c r="AK1175" t="str">
        <f t="shared" si="593"/>
        <v>0</v>
      </c>
      <c r="AL1175" t="str">
        <f t="shared" si="593"/>
        <v>0</v>
      </c>
      <c r="AM1175" t="str">
        <f>""</f>
        <v/>
      </c>
      <c r="AN1175" t="str">
        <f>""</f>
        <v/>
      </c>
      <c r="AO1175" t="str">
        <f>""</f>
        <v/>
      </c>
      <c r="AP1175" t="str">
        <f>""</f>
        <v/>
      </c>
      <c r="AQ1175" t="str">
        <f>""</f>
        <v/>
      </c>
      <c r="AR1175" t="str">
        <f>""</f>
        <v/>
      </c>
      <c r="AS1175" t="str">
        <f>""</f>
        <v/>
      </c>
      <c r="AT1175" t="str">
        <f>""</f>
        <v/>
      </c>
      <c r="AU1175" t="str">
        <f>""</f>
        <v/>
      </c>
      <c r="AV1175" t="str">
        <f>""</f>
        <v/>
      </c>
      <c r="AW1175" t="str">
        <f>""</f>
        <v/>
      </c>
      <c r="AX1175" t="str">
        <f>""</f>
        <v/>
      </c>
      <c r="AY1175" t="str">
        <f>""</f>
        <v/>
      </c>
      <c r="AZ1175" t="str">
        <f>""</f>
        <v/>
      </c>
      <c r="BA1175" t="str">
        <f>""</f>
        <v/>
      </c>
      <c r="BB1175" t="str">
        <f>"27/07/2018 09:25:31"</f>
        <v>27/07/2018 09:25:31</v>
      </c>
      <c r="BC1175" t="str">
        <f>""</f>
        <v/>
      </c>
      <c r="BD1175" t="str">
        <f>""</f>
        <v/>
      </c>
      <c r="BE1175" t="str">
        <f>"24"</f>
        <v>24</v>
      </c>
      <c r="BF1175" t="str">
        <f t="shared" si="584"/>
        <v>A</v>
      </c>
      <c r="BG1175" t="str">
        <f t="shared" si="594"/>
        <v>0,00</v>
      </c>
      <c r="BH1175" t="str">
        <f t="shared" si="594"/>
        <v>0,00</v>
      </c>
      <c r="BI1175" t="str">
        <f t="shared" si="567"/>
        <v>EVENTUAL</v>
      </c>
      <c r="BJ1175" t="str">
        <f t="shared" si="585"/>
        <v>1</v>
      </c>
      <c r="BK1175" t="str">
        <f t="shared" si="586"/>
        <v>Farmacia</v>
      </c>
      <c r="BL1175" t="str">
        <f>""</f>
        <v/>
      </c>
      <c r="BM1175" t="str">
        <f>"NÃO É VARILUX ESPECIALISTA"</f>
        <v>NÃO É VARILUX ESPECIALISTA</v>
      </c>
      <c r="BN1175" t="str">
        <f t="shared" si="595"/>
        <v>NA</v>
      </c>
      <c r="BO1175" t="str">
        <f>"FOCO VARILUX"</f>
        <v>FOCO VARILUX</v>
      </c>
      <c r="BP1175" t="str">
        <f>""</f>
        <v/>
      </c>
      <c r="BQ1175" t="str">
        <f>""</f>
        <v/>
      </c>
      <c r="BR1175" t="str">
        <f>"27/07/2018"</f>
        <v>27/07/2018</v>
      </c>
      <c r="BS1175" t="str">
        <f>""</f>
        <v/>
      </c>
      <c r="BT1175" t="str">
        <f>""</f>
        <v/>
      </c>
      <c r="BU1175" t="str">
        <f>""</f>
        <v/>
      </c>
      <c r="BV1175" t="str">
        <f>"9"</f>
        <v>9</v>
      </c>
      <c r="BW1175" t="str">
        <f>"106"</f>
        <v>106</v>
      </c>
    </row>
    <row r="1176" spans="1:75" x14ac:dyDescent="0.35">
      <c r="A1176">
        <v>134559</v>
      </c>
      <c r="B1176" t="str">
        <f t="shared" si="581"/>
        <v>A</v>
      </c>
      <c r="C1176" t="str">
        <f t="shared" si="582"/>
        <v>80</v>
      </c>
      <c r="D1176" t="str">
        <f t="shared" si="575"/>
        <v>11121002</v>
      </c>
      <c r="E1176" t="str">
        <f t="shared" si="576"/>
        <v>121002</v>
      </c>
      <c r="F1176" t="str">
        <f t="shared" si="577"/>
        <v>CINTHIA NORONHA</v>
      </c>
      <c r="G1176" t="str">
        <f>"29230071000324"</f>
        <v>29230071000324</v>
      </c>
      <c r="H1176" t="str">
        <f>""</f>
        <v/>
      </c>
      <c r="I1176" t="str">
        <f t="shared" si="583"/>
        <v>CONTA OPTICA</v>
      </c>
      <c r="J1176" t="str">
        <f>"SUELLEN FAGIONI DE SOUZA"</f>
        <v>SUELLEN FAGIONI DE SOUZA</v>
      </c>
      <c r="K1176" t="str">
        <f>"OTICA VISION (4251)"</f>
        <v>OTICA VISION (4251)</v>
      </c>
      <c r="L1176" t="str">
        <f>""</f>
        <v/>
      </c>
      <c r="M1176" t="str">
        <f>""</f>
        <v/>
      </c>
      <c r="N1176" t="str">
        <f>"suellenfagioni@hotmail.com"</f>
        <v>suellenfagioni@hotmail.com</v>
      </c>
      <c r="O1176" t="str">
        <f>""</f>
        <v/>
      </c>
      <c r="P1176" t="str">
        <f>"RUA AUGUSTO DESCHAMPS"</f>
        <v>RUA AUGUSTO DESCHAMPS</v>
      </c>
      <c r="Q1176" t="str">
        <f>"83"</f>
        <v>83</v>
      </c>
      <c r="R1176" t="str">
        <f>"SALA 02"</f>
        <v>SALA 02</v>
      </c>
      <c r="S1176" t="str">
        <f>"1259"</f>
        <v>1259</v>
      </c>
      <c r="T1176" t="str">
        <f>"88125000"</f>
        <v>88125000</v>
      </c>
      <c r="U1176" t="str">
        <f>"CENTRO"</f>
        <v>CENTRO</v>
      </c>
      <c r="V1176" t="str">
        <f>"SÃO PEDRO DE ALCÂNTARA"</f>
        <v>SÃO PEDRO DE ALCÂNTARA</v>
      </c>
      <c r="W1176" t="str">
        <f t="shared" si="579"/>
        <v>SC</v>
      </c>
      <c r="X1176" t="str">
        <f t="shared" si="587"/>
        <v>48</v>
      </c>
      <c r="Y1176" t="str">
        <f>"996758770"</f>
        <v>996758770</v>
      </c>
      <c r="Z1176" t="str">
        <f>""</f>
        <v/>
      </c>
      <c r="AA1176" t="str">
        <f>""</f>
        <v/>
      </c>
      <c r="AB1176" t="str">
        <f>""</f>
        <v/>
      </c>
      <c r="AC1176" t="str">
        <f>""</f>
        <v/>
      </c>
      <c r="AD1176" t="str">
        <f>""</f>
        <v/>
      </c>
      <c r="AE1176" t="str">
        <f>""</f>
        <v/>
      </c>
      <c r="AF1176" t="str">
        <f>""</f>
        <v/>
      </c>
      <c r="AG1176" t="str">
        <f>"S"</f>
        <v>S</v>
      </c>
      <c r="AH1176" t="str">
        <f>""</f>
        <v/>
      </c>
      <c r="AI1176" t="str">
        <f>""</f>
        <v/>
      </c>
      <c r="AJ1176" t="str">
        <f>""</f>
        <v/>
      </c>
      <c r="AK1176" t="str">
        <f>""</f>
        <v/>
      </c>
      <c r="AL1176" t="str">
        <f>""</f>
        <v/>
      </c>
      <c r="AM1176" t="str">
        <f>""</f>
        <v/>
      </c>
      <c r="AN1176" t="str">
        <f>""</f>
        <v/>
      </c>
      <c r="AO1176" t="str">
        <f>""</f>
        <v/>
      </c>
      <c r="AP1176" t="str">
        <f>""</f>
        <v/>
      </c>
      <c r="AQ1176" t="str">
        <f t="shared" ref="AQ1176:AU1177" si="597">"N"</f>
        <v>N</v>
      </c>
      <c r="AR1176" t="str">
        <f t="shared" si="597"/>
        <v>N</v>
      </c>
      <c r="AS1176" t="str">
        <f t="shared" si="597"/>
        <v>N</v>
      </c>
      <c r="AT1176" t="str">
        <f t="shared" si="597"/>
        <v>N</v>
      </c>
      <c r="AU1176" t="str">
        <f t="shared" si="597"/>
        <v>N</v>
      </c>
      <c r="AV1176" t="str">
        <f>""</f>
        <v/>
      </c>
      <c r="AW1176" t="str">
        <f>""</f>
        <v/>
      </c>
      <c r="AX1176" t="str">
        <f>""</f>
        <v/>
      </c>
      <c r="AY1176" t="str">
        <f>""</f>
        <v/>
      </c>
      <c r="AZ1176" t="str">
        <f>""</f>
        <v/>
      </c>
      <c r="BA1176" t="str">
        <f>""</f>
        <v/>
      </c>
      <c r="BB1176" t="str">
        <f>""</f>
        <v/>
      </c>
      <c r="BC1176" t="str">
        <f>"02/05/2022 17:47:23"</f>
        <v>02/05/2022 17:47:23</v>
      </c>
      <c r="BD1176" t="str">
        <f>""</f>
        <v/>
      </c>
      <c r="BE1176" t="str">
        <f>""</f>
        <v/>
      </c>
      <c r="BF1176" t="str">
        <f t="shared" si="584"/>
        <v>A</v>
      </c>
      <c r="BG1176" t="str">
        <f>""</f>
        <v/>
      </c>
      <c r="BH1176" t="str">
        <f>"0,00"</f>
        <v>0,00</v>
      </c>
      <c r="BI1176" t="str">
        <f t="shared" si="567"/>
        <v>EVENTUAL</v>
      </c>
      <c r="BJ1176" t="str">
        <f t="shared" si="585"/>
        <v>1</v>
      </c>
      <c r="BK1176" t="str">
        <f t="shared" si="586"/>
        <v>Farmacia</v>
      </c>
      <c r="BL1176" t="str">
        <f>""</f>
        <v/>
      </c>
      <c r="BM1176" t="str">
        <f>"NÃO É VARILUX ESPECIALISTA"</f>
        <v>NÃO É VARILUX ESPECIALISTA</v>
      </c>
      <c r="BN1176" t="str">
        <f t="shared" si="595"/>
        <v>NA</v>
      </c>
      <c r="BO1176" t="str">
        <f>"OUTROS"</f>
        <v>OUTROS</v>
      </c>
      <c r="BP1176" t="str">
        <f>""</f>
        <v/>
      </c>
      <c r="BQ1176" t="str">
        <f>""</f>
        <v/>
      </c>
      <c r="BR1176" t="str">
        <f>""</f>
        <v/>
      </c>
      <c r="BS1176" t="str">
        <f>"02/05/2022"</f>
        <v>02/05/2022</v>
      </c>
      <c r="BT1176" t="str">
        <f>""</f>
        <v/>
      </c>
      <c r="BU1176" t="str">
        <f>""</f>
        <v/>
      </c>
      <c r="BV1176" t="str">
        <f>""</f>
        <v/>
      </c>
      <c r="BW1176" t="str">
        <f>"2"</f>
        <v>2</v>
      </c>
    </row>
    <row r="1177" spans="1:75" x14ac:dyDescent="0.35">
      <c r="A1177">
        <v>135366</v>
      </c>
      <c r="B1177" t="str">
        <f t="shared" si="581"/>
        <v>A</v>
      </c>
      <c r="C1177" t="str">
        <f t="shared" si="582"/>
        <v>80</v>
      </c>
      <c r="D1177" t="str">
        <f t="shared" si="575"/>
        <v>11121002</v>
      </c>
      <c r="E1177" t="str">
        <f t="shared" si="576"/>
        <v>121002</v>
      </c>
      <c r="F1177" t="str">
        <f t="shared" si="577"/>
        <v>CINTHIA NORONHA</v>
      </c>
      <c r="G1177" t="str">
        <f>"29230071000162"</f>
        <v>29230071000162</v>
      </c>
      <c r="H1177" t="str">
        <f>""</f>
        <v/>
      </c>
      <c r="I1177" t="str">
        <f t="shared" si="583"/>
        <v>CONTA OPTICA</v>
      </c>
      <c r="J1177" t="str">
        <f>"SUELLEN FAGIONI DE SOUZA"</f>
        <v>SUELLEN FAGIONI DE SOUZA</v>
      </c>
      <c r="K1177" t="str">
        <f>"OTICA VISION (4113)"</f>
        <v>OTICA VISION (4113)</v>
      </c>
      <c r="L1177" t="str">
        <f>""</f>
        <v/>
      </c>
      <c r="M1177" t="str">
        <f>""</f>
        <v/>
      </c>
      <c r="N1177" t="str">
        <f>"suellenfagioni@hotmail.com"</f>
        <v>suellenfagioni@hotmail.com</v>
      </c>
      <c r="O1177" t="str">
        <f>""</f>
        <v/>
      </c>
      <c r="P1177" t="str">
        <f>"RUA JOSE PEREIRA DA SILVA"</f>
        <v>RUA JOSE PEREIRA DA SILVA</v>
      </c>
      <c r="Q1177" t="str">
        <f>"135"</f>
        <v>135</v>
      </c>
      <c r="R1177" t="str">
        <f>""</f>
        <v/>
      </c>
      <c r="S1177" t="str">
        <f>"1265"</f>
        <v>1265</v>
      </c>
      <c r="T1177" t="str">
        <f>"88490000"</f>
        <v>88490000</v>
      </c>
      <c r="U1177" t="str">
        <f>"CENTRO"</f>
        <v>CENTRO</v>
      </c>
      <c r="V1177" t="str">
        <f>"PAULO LOPES"</f>
        <v>PAULO LOPES</v>
      </c>
      <c r="W1177" t="str">
        <f t="shared" si="579"/>
        <v>SC</v>
      </c>
      <c r="X1177" t="str">
        <f t="shared" si="587"/>
        <v>48</v>
      </c>
      <c r="Y1177" t="str">
        <f>"996758770"</f>
        <v>996758770</v>
      </c>
      <c r="Z1177" t="str">
        <f>""</f>
        <v/>
      </c>
      <c r="AA1177" t="str">
        <f>""</f>
        <v/>
      </c>
      <c r="AB1177" t="str">
        <f>""</f>
        <v/>
      </c>
      <c r="AC1177" t="str">
        <f>""</f>
        <v/>
      </c>
      <c r="AD1177" t="str">
        <f>""</f>
        <v/>
      </c>
      <c r="AE1177" t="str">
        <f>""</f>
        <v/>
      </c>
      <c r="AF1177" t="str">
        <f>""</f>
        <v/>
      </c>
      <c r="AG1177" t="str">
        <f>"S"</f>
        <v>S</v>
      </c>
      <c r="AH1177" t="str">
        <f>""</f>
        <v/>
      </c>
      <c r="AI1177" t="str">
        <f>""</f>
        <v/>
      </c>
      <c r="AJ1177" t="str">
        <f>"0"</f>
        <v>0</v>
      </c>
      <c r="AK1177" t="str">
        <f>"0"</f>
        <v>0</v>
      </c>
      <c r="AL1177" t="str">
        <f>"0"</f>
        <v>0</v>
      </c>
      <c r="AM1177" t="str">
        <f>""</f>
        <v/>
      </c>
      <c r="AN1177" t="str">
        <f>""</f>
        <v/>
      </c>
      <c r="AO1177" t="str">
        <f>""</f>
        <v/>
      </c>
      <c r="AP1177" t="str">
        <f>""</f>
        <v/>
      </c>
      <c r="AQ1177" t="str">
        <f t="shared" si="597"/>
        <v>N</v>
      </c>
      <c r="AR1177" t="str">
        <f t="shared" si="597"/>
        <v>N</v>
      </c>
      <c r="AS1177" t="str">
        <f t="shared" si="597"/>
        <v>N</v>
      </c>
      <c r="AT1177" t="str">
        <f t="shared" si="597"/>
        <v>N</v>
      </c>
      <c r="AU1177" t="str">
        <f t="shared" si="597"/>
        <v>N</v>
      </c>
      <c r="AV1177" t="str">
        <f>""</f>
        <v/>
      </c>
      <c r="AW1177" t="str">
        <f>""</f>
        <v/>
      </c>
      <c r="AX1177" t="str">
        <f>""</f>
        <v/>
      </c>
      <c r="AY1177" t="str">
        <f>""</f>
        <v/>
      </c>
      <c r="AZ1177" t="str">
        <f>""</f>
        <v/>
      </c>
      <c r="BA1177" t="str">
        <f>""</f>
        <v/>
      </c>
      <c r="BB1177" t="str">
        <f>""</f>
        <v/>
      </c>
      <c r="BC1177" t="str">
        <f>"27/04/2022 17:18:41"</f>
        <v>27/04/2022 17:18:41</v>
      </c>
      <c r="BD1177" t="str">
        <f>""</f>
        <v/>
      </c>
      <c r="BE1177" t="str">
        <f>""</f>
        <v/>
      </c>
      <c r="BF1177" t="str">
        <f t="shared" si="584"/>
        <v>A</v>
      </c>
      <c r="BG1177" t="str">
        <f>"0,00"</f>
        <v>0,00</v>
      </c>
      <c r="BH1177" t="str">
        <f>"0,00"</f>
        <v>0,00</v>
      </c>
      <c r="BI1177" t="str">
        <f t="shared" si="567"/>
        <v>EVENTUAL</v>
      </c>
      <c r="BJ1177" t="str">
        <f t="shared" si="585"/>
        <v>1</v>
      </c>
      <c r="BK1177" t="str">
        <f t="shared" si="586"/>
        <v>Farmacia</v>
      </c>
      <c r="BL1177" t="str">
        <f>""</f>
        <v/>
      </c>
      <c r="BM1177" t="str">
        <f>"NÃO É VARILUX ESPECIALISTA"</f>
        <v>NÃO É VARILUX ESPECIALISTA</v>
      </c>
      <c r="BN1177" t="str">
        <f t="shared" si="595"/>
        <v>NA</v>
      </c>
      <c r="BO1177" t="str">
        <f>"OUTROS"</f>
        <v>OUTROS</v>
      </c>
      <c r="BP1177" t="str">
        <f>""</f>
        <v/>
      </c>
      <c r="BQ1177" t="str">
        <f>""</f>
        <v/>
      </c>
      <c r="BR1177" t="str">
        <f>""</f>
        <v/>
      </c>
      <c r="BS1177" t="str">
        <f>"27/04/2022"</f>
        <v>27/04/2022</v>
      </c>
      <c r="BT1177" t="str">
        <f>""</f>
        <v/>
      </c>
      <c r="BU1177" t="str">
        <f>""</f>
        <v/>
      </c>
      <c r="BV1177" t="str">
        <f>"9"</f>
        <v>9</v>
      </c>
      <c r="BW1177" t="str">
        <f>"2"</f>
        <v>2</v>
      </c>
    </row>
    <row r="1178" spans="1:75" x14ac:dyDescent="0.35">
      <c r="A1178">
        <v>157603</v>
      </c>
      <c r="B1178" t="str">
        <f t="shared" si="581"/>
        <v>A</v>
      </c>
      <c r="C1178" t="str">
        <f t="shared" si="582"/>
        <v>80</v>
      </c>
      <c r="D1178" t="str">
        <f t="shared" si="575"/>
        <v>11121002</v>
      </c>
      <c r="E1178" t="str">
        <f t="shared" si="576"/>
        <v>121002</v>
      </c>
      <c r="F1178" t="str">
        <f t="shared" si="577"/>
        <v>CINTHIA NORONHA</v>
      </c>
      <c r="G1178" t="str">
        <f>"32558976000170"</f>
        <v>32558976000170</v>
      </c>
      <c r="H1178" t="str">
        <f>"0"</f>
        <v>0</v>
      </c>
      <c r="I1178" t="str">
        <f t="shared" si="583"/>
        <v>CONTA OPTICA</v>
      </c>
      <c r="J1178" t="str">
        <f>"SUNGLASS COMERCIO DE OCULOS E ACESSORIOS LTDA"</f>
        <v>SUNGLASS COMERCIO DE OCULOS E ACESSORIOS LTDA</v>
      </c>
      <c r="K1178" t="str">
        <f>"ESQUADRA (4670)"</f>
        <v>ESQUADRA (4670)</v>
      </c>
      <c r="L1178" t="str">
        <f>""</f>
        <v/>
      </c>
      <c r="M1178" t="str">
        <f>""</f>
        <v/>
      </c>
      <c r="N1178" t="str">
        <f>"ESQUADRA.OCULOS@GMAIL.COM"</f>
        <v>ESQUADRA.OCULOS@GMAIL.COM</v>
      </c>
      <c r="O1178" t="str">
        <f>""</f>
        <v/>
      </c>
      <c r="P1178" t="str">
        <f>"RUA LUIZ DE CAMOES"</f>
        <v>RUA LUIZ DE CAMOES</v>
      </c>
      <c r="Q1178" t="str">
        <f>"209"</f>
        <v>209</v>
      </c>
      <c r="R1178" t="str">
        <f>"TERREO"</f>
        <v>TERREO</v>
      </c>
      <c r="S1178" t="str">
        <f>"1266"</f>
        <v>1266</v>
      </c>
      <c r="T1178" t="str">
        <f>"88523000"</f>
        <v>88523000</v>
      </c>
      <c r="U1178" t="str">
        <f>"CORAL"</f>
        <v>CORAL</v>
      </c>
      <c r="V1178" t="str">
        <f>"LAGES"</f>
        <v>LAGES</v>
      </c>
      <c r="W1178" t="str">
        <f t="shared" si="579"/>
        <v>SC</v>
      </c>
      <c r="X1178" t="str">
        <f>"49"</f>
        <v>49</v>
      </c>
      <c r="Y1178" t="str">
        <f>"32238941"</f>
        <v>32238941</v>
      </c>
      <c r="Z1178" t="str">
        <f>""</f>
        <v/>
      </c>
      <c r="AA1178" t="str">
        <f>""</f>
        <v/>
      </c>
      <c r="AB1178" t="str">
        <f>""</f>
        <v/>
      </c>
      <c r="AC1178" t="str">
        <f>""</f>
        <v/>
      </c>
      <c r="AD1178" t="str">
        <f>""</f>
        <v/>
      </c>
      <c r="AE1178" t="str">
        <f>""</f>
        <v/>
      </c>
      <c r="AF1178" t="str">
        <f>""</f>
        <v/>
      </c>
      <c r="AG1178" t="str">
        <f>""</f>
        <v/>
      </c>
      <c r="AH1178" t="str">
        <f>""</f>
        <v/>
      </c>
      <c r="AI1178" t="str">
        <f>""</f>
        <v/>
      </c>
      <c r="AJ1178" t="str">
        <f>""</f>
        <v/>
      </c>
      <c r="AK1178" t="str">
        <f>""</f>
        <v/>
      </c>
      <c r="AL1178" t="str">
        <f>""</f>
        <v/>
      </c>
      <c r="AM1178" t="str">
        <f>""</f>
        <v/>
      </c>
      <c r="AN1178" t="str">
        <f>""</f>
        <v/>
      </c>
      <c r="AO1178" t="str">
        <f>""</f>
        <v/>
      </c>
      <c r="AP1178" t="str">
        <f>""</f>
        <v/>
      </c>
      <c r="AQ1178" t="str">
        <f>""</f>
        <v/>
      </c>
      <c r="AR1178" t="str">
        <f>""</f>
        <v/>
      </c>
      <c r="AS1178" t="str">
        <f>""</f>
        <v/>
      </c>
      <c r="AT1178" t="str">
        <f>""</f>
        <v/>
      </c>
      <c r="AU1178" t="str">
        <f>""</f>
        <v/>
      </c>
      <c r="AV1178" t="str">
        <f>""</f>
        <v/>
      </c>
      <c r="AW1178" t="str">
        <f>""</f>
        <v/>
      </c>
      <c r="AX1178" t="str">
        <f>""</f>
        <v/>
      </c>
      <c r="AY1178" t="str">
        <f>""</f>
        <v/>
      </c>
      <c r="AZ1178" t="str">
        <f>""</f>
        <v/>
      </c>
      <c r="BA1178" t="str">
        <f>""</f>
        <v/>
      </c>
      <c r="BB1178" t="str">
        <f>"11/07/2023 02:19:56"</f>
        <v>11/07/2023 02:19:56</v>
      </c>
      <c r="BC1178" t="str">
        <f>""</f>
        <v/>
      </c>
      <c r="BD1178" t="str">
        <f>""</f>
        <v/>
      </c>
      <c r="BE1178" t="str">
        <f>""</f>
        <v/>
      </c>
      <c r="BF1178" t="str">
        <f t="shared" si="584"/>
        <v>A</v>
      </c>
      <c r="BG1178" t="str">
        <f>""</f>
        <v/>
      </c>
      <c r="BH1178" t="str">
        <f>""</f>
        <v/>
      </c>
      <c r="BI1178" t="str">
        <f t="shared" si="567"/>
        <v>EVENTUAL</v>
      </c>
      <c r="BJ1178" t="str">
        <f t="shared" si="585"/>
        <v>1</v>
      </c>
      <c r="BK1178" t="str">
        <f t="shared" si="586"/>
        <v>Farmacia</v>
      </c>
      <c r="BL1178" t="str">
        <f>""</f>
        <v/>
      </c>
      <c r="BM1178" t="str">
        <f>""</f>
        <v/>
      </c>
      <c r="BN1178" t="str">
        <f>""</f>
        <v/>
      </c>
      <c r="BO1178" t="str">
        <f>""</f>
        <v/>
      </c>
      <c r="BP1178" t="str">
        <f>""</f>
        <v/>
      </c>
      <c r="BQ1178" t="str">
        <f>""</f>
        <v/>
      </c>
      <c r="BR1178" t="str">
        <f>"11/07/2023"</f>
        <v>11/07/2023</v>
      </c>
      <c r="BS1178" t="str">
        <f>""</f>
        <v/>
      </c>
      <c r="BT1178" t="str">
        <f>""</f>
        <v/>
      </c>
      <c r="BU1178" t="str">
        <f>""</f>
        <v/>
      </c>
      <c r="BV1178" t="str">
        <f>""</f>
        <v/>
      </c>
      <c r="BW1178" t="str">
        <f>"Não visitado"</f>
        <v>Não visitado</v>
      </c>
    </row>
    <row r="1179" spans="1:75" x14ac:dyDescent="0.35">
      <c r="A1179">
        <v>488</v>
      </c>
      <c r="B1179" t="str">
        <f t="shared" si="581"/>
        <v>A</v>
      </c>
      <c r="C1179" t="str">
        <f t="shared" si="582"/>
        <v>80</v>
      </c>
      <c r="D1179" t="str">
        <f t="shared" si="575"/>
        <v>11121002</v>
      </c>
      <c r="E1179" t="str">
        <f t="shared" si="576"/>
        <v>121002</v>
      </c>
      <c r="F1179" t="str">
        <f t="shared" si="577"/>
        <v>CINTHIA NORONHA</v>
      </c>
      <c r="G1179" t="str">
        <f>"09006536000199"</f>
        <v>09006536000199</v>
      </c>
      <c r="H1179" t="str">
        <f>""</f>
        <v/>
      </c>
      <c r="I1179" t="str">
        <f t="shared" si="583"/>
        <v>CONTA OPTICA</v>
      </c>
      <c r="J1179" t="str">
        <f>"SURF GRANDES MARES LTDA"</f>
        <v>SURF GRANDES MARES LTDA</v>
      </c>
      <c r="K1179" t="str">
        <f>"MARIO JOALHEIROS (1718)"</f>
        <v>MARIO JOALHEIROS (1718)</v>
      </c>
      <c r="L1179" t="str">
        <f>""</f>
        <v/>
      </c>
      <c r="M1179" t="str">
        <f>""</f>
        <v/>
      </c>
      <c r="N1179" t="str">
        <f>"pedidosmariojoalheiro@outlook.com"</f>
        <v>pedidosmariojoalheiro@outlook.com</v>
      </c>
      <c r="O1179" t="str">
        <f>""</f>
        <v/>
      </c>
      <c r="P1179" t="str">
        <f>"RUA FELIPE SCHMIDT"</f>
        <v>RUA FELIPE SCHMIDT</v>
      </c>
      <c r="Q1179" t="str">
        <f>"249"</f>
        <v>249</v>
      </c>
      <c r="R1179" t="str">
        <f>"LJ 101/103"</f>
        <v>LJ 101/103</v>
      </c>
      <c r="S1179" t="str">
        <f>"1254"</f>
        <v>1254</v>
      </c>
      <c r="T1179" t="str">
        <f>"88010000"</f>
        <v>88010000</v>
      </c>
      <c r="U1179" t="str">
        <f>"CENTRO"</f>
        <v>CENTRO</v>
      </c>
      <c r="V1179" t="str">
        <f>"FLORIANÓPOLIS"</f>
        <v>FLORIANÓPOLIS</v>
      </c>
      <c r="W1179" t="str">
        <f t="shared" si="579"/>
        <v>SC</v>
      </c>
      <c r="X1179" t="str">
        <f t="shared" ref="X1179:X1197" si="598">"48"</f>
        <v>48</v>
      </c>
      <c r="Y1179" t="str">
        <f>"32228352"</f>
        <v>32228352</v>
      </c>
      <c r="Z1179" t="str">
        <f>""</f>
        <v/>
      </c>
      <c r="AA1179" t="str">
        <f>""</f>
        <v/>
      </c>
      <c r="AB1179" t="str">
        <f>""</f>
        <v/>
      </c>
      <c r="AC1179" t="str">
        <f>""</f>
        <v/>
      </c>
      <c r="AD1179" t="str">
        <f>""</f>
        <v/>
      </c>
      <c r="AE1179" t="str">
        <f>""</f>
        <v/>
      </c>
      <c r="AF1179" t="str">
        <f>""</f>
        <v/>
      </c>
      <c r="AG1179" t="str">
        <f>""</f>
        <v/>
      </c>
      <c r="AH1179" t="str">
        <f>""</f>
        <v/>
      </c>
      <c r="AI1179" t="str">
        <f>""</f>
        <v/>
      </c>
      <c r="AJ1179" t="str">
        <f t="shared" ref="AJ1179:AL1180" si="599">"0"</f>
        <v>0</v>
      </c>
      <c r="AK1179" t="str">
        <f t="shared" si="599"/>
        <v>0</v>
      </c>
      <c r="AL1179" t="str">
        <f t="shared" si="599"/>
        <v>0</v>
      </c>
      <c r="AM1179" t="str">
        <f>""</f>
        <v/>
      </c>
      <c r="AN1179" t="str">
        <f>""</f>
        <v/>
      </c>
      <c r="AO1179" t="str">
        <f>""</f>
        <v/>
      </c>
      <c r="AP1179" t="str">
        <f>""</f>
        <v/>
      </c>
      <c r="AQ1179" t="str">
        <f>""</f>
        <v/>
      </c>
      <c r="AR1179" t="str">
        <f>""</f>
        <v/>
      </c>
      <c r="AS1179" t="str">
        <f>""</f>
        <v/>
      </c>
      <c r="AT1179" t="str">
        <f>""</f>
        <v/>
      </c>
      <c r="AU1179" t="str">
        <f>""</f>
        <v/>
      </c>
      <c r="AV1179" t="str">
        <f>""</f>
        <v/>
      </c>
      <c r="AW1179" t="str">
        <f>""</f>
        <v/>
      </c>
      <c r="AX1179" t="str">
        <f>""</f>
        <v/>
      </c>
      <c r="AY1179" t="str">
        <f>""</f>
        <v/>
      </c>
      <c r="AZ1179" t="str">
        <f>""</f>
        <v/>
      </c>
      <c r="BA1179" t="str">
        <f>""</f>
        <v/>
      </c>
      <c r="BB1179" t="str">
        <f>"27/07/2018 09:25:44"</f>
        <v>27/07/2018 09:25:44</v>
      </c>
      <c r="BC1179" t="str">
        <f>""</f>
        <v/>
      </c>
      <c r="BD1179" t="str">
        <f>""</f>
        <v/>
      </c>
      <c r="BE1179" t="str">
        <f>"488"</f>
        <v>488</v>
      </c>
      <c r="BF1179" t="str">
        <f t="shared" si="584"/>
        <v>A</v>
      </c>
      <c r="BG1179" t="str">
        <f>"0,00"</f>
        <v>0,00</v>
      </c>
      <c r="BH1179" t="str">
        <f>"0,00"</f>
        <v>0,00</v>
      </c>
      <c r="BI1179" t="str">
        <f t="shared" si="567"/>
        <v>EVENTUAL</v>
      </c>
      <c r="BJ1179" t="str">
        <f t="shared" si="585"/>
        <v>1</v>
      </c>
      <c r="BK1179" t="str">
        <f t="shared" si="586"/>
        <v>Farmacia</v>
      </c>
      <c r="BL1179" t="str">
        <f>""</f>
        <v/>
      </c>
      <c r="BM1179" t="str">
        <f>"NÃO É VARILUX ESPECIALISTA"</f>
        <v>NÃO É VARILUX ESPECIALISTA</v>
      </c>
      <c r="BN1179" t="str">
        <f>"NA"</f>
        <v>NA</v>
      </c>
      <c r="BO1179" t="str">
        <f>"FOCO VARILUX"</f>
        <v>FOCO VARILUX</v>
      </c>
      <c r="BP1179" t="str">
        <f>""</f>
        <v/>
      </c>
      <c r="BQ1179" t="str">
        <f>""</f>
        <v/>
      </c>
      <c r="BR1179" t="str">
        <f>"27/07/2018"</f>
        <v>27/07/2018</v>
      </c>
      <c r="BS1179" t="str">
        <f>""</f>
        <v/>
      </c>
      <c r="BT1179" t="str">
        <f>""</f>
        <v/>
      </c>
      <c r="BU1179" t="str">
        <f>""</f>
        <v/>
      </c>
      <c r="BV1179" t="str">
        <f>"5"</f>
        <v>5</v>
      </c>
      <c r="BW1179" t="str">
        <f>"Não visitado"</f>
        <v>Não visitado</v>
      </c>
    </row>
    <row r="1180" spans="1:75" x14ac:dyDescent="0.35">
      <c r="A1180">
        <v>134231</v>
      </c>
      <c r="B1180" t="str">
        <f t="shared" si="581"/>
        <v>A</v>
      </c>
      <c r="C1180" t="str">
        <f t="shared" si="582"/>
        <v>80</v>
      </c>
      <c r="D1180" t="str">
        <f t="shared" si="575"/>
        <v>11121002</v>
      </c>
      <c r="E1180" t="str">
        <f t="shared" si="576"/>
        <v>121002</v>
      </c>
      <c r="F1180" t="str">
        <f t="shared" si="577"/>
        <v>CINTHIA NORONHA</v>
      </c>
      <c r="G1180" t="str">
        <f>"12058861000100"</f>
        <v>12058861000100</v>
      </c>
      <c r="H1180" t="str">
        <f>""</f>
        <v/>
      </c>
      <c r="I1180" t="str">
        <f t="shared" si="583"/>
        <v>CONTA OPTICA</v>
      </c>
      <c r="J1180" t="str">
        <f>"SYRIACO ATHERINO SZPOGANICZ - EPP"</f>
        <v>SYRIACO ATHERINO SZPOGANICZ - EPP</v>
      </c>
      <c r="K1180" t="str">
        <f>"TIBAUX JOALHEIROS (3832)"</f>
        <v>TIBAUX JOALHEIROS (3832)</v>
      </c>
      <c r="L1180" t="str">
        <f>""</f>
        <v/>
      </c>
      <c r="M1180" t="str">
        <f>""</f>
        <v/>
      </c>
      <c r="N1180" t="str">
        <f>"tibauxjoalheiros@hotmail.com"</f>
        <v>tibauxjoalheiros@hotmail.com</v>
      </c>
      <c r="O1180" t="str">
        <f>""</f>
        <v/>
      </c>
      <c r="P1180" t="str">
        <f>"RUA BOCAIUVA"</f>
        <v>RUA BOCAIUVA</v>
      </c>
      <c r="Q1180" t="str">
        <f>"2468"</f>
        <v>2468</v>
      </c>
      <c r="R1180" t="str">
        <f>"LJ 139"</f>
        <v>LJ 139</v>
      </c>
      <c r="S1180" t="str">
        <f>"1255"</f>
        <v>1255</v>
      </c>
      <c r="T1180" t="str">
        <f>"88015530"</f>
        <v>88015530</v>
      </c>
      <c r="U1180" t="str">
        <f>"CENTRO"</f>
        <v>CENTRO</v>
      </c>
      <c r="V1180" t="str">
        <f>"FLORIANÓPOLIS"</f>
        <v>FLORIANÓPOLIS</v>
      </c>
      <c r="W1180" t="str">
        <f t="shared" si="579"/>
        <v>SC</v>
      </c>
      <c r="X1180" t="str">
        <f t="shared" si="598"/>
        <v>48</v>
      </c>
      <c r="Y1180" t="str">
        <f>"30256551"</f>
        <v>30256551</v>
      </c>
      <c r="Z1180" t="str">
        <f>""</f>
        <v/>
      </c>
      <c r="AA1180" t="str">
        <f>""</f>
        <v/>
      </c>
      <c r="AB1180" t="str">
        <f>""</f>
        <v/>
      </c>
      <c r="AC1180" t="str">
        <f>""</f>
        <v/>
      </c>
      <c r="AD1180" t="str">
        <f>""</f>
        <v/>
      </c>
      <c r="AE1180" t="str">
        <f>""</f>
        <v/>
      </c>
      <c r="AF1180" t="str">
        <f>""</f>
        <v/>
      </c>
      <c r="AG1180" t="str">
        <f>"S"</f>
        <v>S</v>
      </c>
      <c r="AH1180" t="str">
        <f>""</f>
        <v/>
      </c>
      <c r="AI1180" t="str">
        <f>""</f>
        <v/>
      </c>
      <c r="AJ1180" t="str">
        <f t="shared" si="599"/>
        <v>0</v>
      </c>
      <c r="AK1180" t="str">
        <f t="shared" si="599"/>
        <v>0</v>
      </c>
      <c r="AL1180" t="str">
        <f t="shared" si="599"/>
        <v>0</v>
      </c>
      <c r="AM1180" t="str">
        <f>""</f>
        <v/>
      </c>
      <c r="AN1180" t="str">
        <f>""</f>
        <v/>
      </c>
      <c r="AO1180" t="str">
        <f>""</f>
        <v/>
      </c>
      <c r="AP1180" t="str">
        <f>""</f>
        <v/>
      </c>
      <c r="AQ1180" t="str">
        <f>"N"</f>
        <v>N</v>
      </c>
      <c r="AR1180" t="str">
        <f>"N"</f>
        <v>N</v>
      </c>
      <c r="AS1180" t="str">
        <f>"N"</f>
        <v>N</v>
      </c>
      <c r="AT1180" t="str">
        <f>"N"</f>
        <v>N</v>
      </c>
      <c r="AU1180" t="str">
        <f>"N"</f>
        <v>N</v>
      </c>
      <c r="AV1180" t="str">
        <f>""</f>
        <v/>
      </c>
      <c r="AW1180" t="str">
        <f>""</f>
        <v/>
      </c>
      <c r="AX1180" t="str">
        <f>""</f>
        <v/>
      </c>
      <c r="AY1180" t="str">
        <f>""</f>
        <v/>
      </c>
      <c r="AZ1180" t="str">
        <f>""</f>
        <v/>
      </c>
      <c r="BA1180" t="str">
        <f>""</f>
        <v/>
      </c>
      <c r="BB1180" t="str">
        <f>""</f>
        <v/>
      </c>
      <c r="BC1180" t="str">
        <f>"18/04/2022 15:46:24"</f>
        <v>18/04/2022 15:46:24</v>
      </c>
      <c r="BD1180" t="str">
        <f>""</f>
        <v/>
      </c>
      <c r="BE1180" t="str">
        <f>""</f>
        <v/>
      </c>
      <c r="BF1180" t="str">
        <f t="shared" si="584"/>
        <v>A</v>
      </c>
      <c r="BG1180" t="str">
        <f>"0,00"</f>
        <v>0,00</v>
      </c>
      <c r="BH1180" t="str">
        <f>"0,00"</f>
        <v>0,00</v>
      </c>
      <c r="BI1180" t="str">
        <f t="shared" si="567"/>
        <v>EVENTUAL</v>
      </c>
      <c r="BJ1180" t="str">
        <f t="shared" si="585"/>
        <v>1</v>
      </c>
      <c r="BK1180" t="str">
        <f t="shared" si="586"/>
        <v>Farmacia</v>
      </c>
      <c r="BL1180" t="str">
        <f>""</f>
        <v/>
      </c>
      <c r="BM1180" t="str">
        <f>"NÃO É VARILUX ESPECIALISTA"</f>
        <v>NÃO É VARILUX ESPECIALISTA</v>
      </c>
      <c r="BN1180" t="str">
        <f>"NA"</f>
        <v>NA</v>
      </c>
      <c r="BO1180" t="str">
        <f>"FOCO VARILUX DIGITAL"</f>
        <v>FOCO VARILUX DIGITAL</v>
      </c>
      <c r="BP1180" t="str">
        <f>""</f>
        <v/>
      </c>
      <c r="BQ1180" t="str">
        <f>""</f>
        <v/>
      </c>
      <c r="BR1180" t="str">
        <f>""</f>
        <v/>
      </c>
      <c r="BS1180" t="str">
        <f>"18/04/2022"</f>
        <v>18/04/2022</v>
      </c>
      <c r="BT1180" t="str">
        <f>""</f>
        <v/>
      </c>
      <c r="BU1180" t="str">
        <f>""</f>
        <v/>
      </c>
      <c r="BV1180" t="str">
        <f>"9"</f>
        <v>9</v>
      </c>
      <c r="BW1180" t="str">
        <f>"203"</f>
        <v>203</v>
      </c>
    </row>
    <row r="1181" spans="1:75" x14ac:dyDescent="0.35">
      <c r="A1181">
        <v>157639</v>
      </c>
      <c r="B1181" t="str">
        <f t="shared" si="581"/>
        <v>A</v>
      </c>
      <c r="C1181" t="str">
        <f t="shared" si="582"/>
        <v>80</v>
      </c>
      <c r="D1181" t="str">
        <f t="shared" si="575"/>
        <v>11121002</v>
      </c>
      <c r="E1181" t="str">
        <f t="shared" si="576"/>
        <v>121002</v>
      </c>
      <c r="F1181" t="str">
        <f t="shared" si="577"/>
        <v>CINTHIA NORONHA</v>
      </c>
      <c r="G1181" t="str">
        <f>"23058188000639"</f>
        <v>23058188000639</v>
      </c>
      <c r="H1181" t="str">
        <f>"0"</f>
        <v>0</v>
      </c>
      <c r="I1181" t="str">
        <f t="shared" si="583"/>
        <v>CONTA OPTICA</v>
      </c>
      <c r="J1181" t="str">
        <f>"T &amp; D RELOJOARIA E OTICA LTDA"</f>
        <v>T &amp; D RELOJOARIA E OTICA LTDA</v>
      </c>
      <c r="K1181" t="str">
        <f>"OTICAS MONDO (4504)"</f>
        <v>OTICAS MONDO (4504)</v>
      </c>
      <c r="L1181" t="str">
        <f>""</f>
        <v/>
      </c>
      <c r="M1181" t="str">
        <f>""</f>
        <v/>
      </c>
      <c r="N1181" t="str">
        <f>"FINANCEIRO@OTICASMONDO.COM.BR"</f>
        <v>FINANCEIRO@OTICASMONDO.COM.BR</v>
      </c>
      <c r="O1181" t="str">
        <f>""</f>
        <v/>
      </c>
      <c r="P1181" t="str">
        <f>"RUA VIVIL KOZUSCHOVSKI"</f>
        <v>RUA VIVIL KOZUSCHOVSKI</v>
      </c>
      <c r="Q1181" t="str">
        <f>"978"</f>
        <v>978</v>
      </c>
      <c r="R1181" t="str">
        <f>"APT 102"</f>
        <v>APT 102</v>
      </c>
      <c r="S1181" t="str">
        <f>"1270"</f>
        <v>1270</v>
      </c>
      <c r="T1181" t="str">
        <f>"88960000"</f>
        <v>88960000</v>
      </c>
      <c r="U1181" t="str">
        <f>"NOVA BRASILIA"</f>
        <v>NOVA BRASILIA</v>
      </c>
      <c r="V1181" t="str">
        <f>"SOMBRIO"</f>
        <v>SOMBRIO</v>
      </c>
      <c r="W1181" t="str">
        <f t="shared" si="579"/>
        <v>SC</v>
      </c>
      <c r="X1181" t="str">
        <f t="shared" si="598"/>
        <v>48</v>
      </c>
      <c r="Y1181" t="str">
        <f>"988610400"</f>
        <v>988610400</v>
      </c>
      <c r="Z1181" t="str">
        <f>""</f>
        <v/>
      </c>
      <c r="AA1181" t="str">
        <f>""</f>
        <v/>
      </c>
      <c r="AB1181" t="str">
        <f>""</f>
        <v/>
      </c>
      <c r="AC1181" t="str">
        <f>""</f>
        <v/>
      </c>
      <c r="AD1181" t="str">
        <f>""</f>
        <v/>
      </c>
      <c r="AE1181" t="str">
        <f>""</f>
        <v/>
      </c>
      <c r="AF1181" t="str">
        <f>""</f>
        <v/>
      </c>
      <c r="AG1181" t="str">
        <f>""</f>
        <v/>
      </c>
      <c r="AH1181" t="str">
        <f>""</f>
        <v/>
      </c>
      <c r="AI1181" t="str">
        <f>""</f>
        <v/>
      </c>
      <c r="AJ1181" t="str">
        <f>""</f>
        <v/>
      </c>
      <c r="AK1181" t="str">
        <f>""</f>
        <v/>
      </c>
      <c r="AL1181" t="str">
        <f>""</f>
        <v/>
      </c>
      <c r="AM1181" t="str">
        <f>""</f>
        <v/>
      </c>
      <c r="AN1181" t="str">
        <f>""</f>
        <v/>
      </c>
      <c r="AO1181" t="str">
        <f>""</f>
        <v/>
      </c>
      <c r="AP1181" t="str">
        <f>""</f>
        <v/>
      </c>
      <c r="AQ1181" t="str">
        <f>""</f>
        <v/>
      </c>
      <c r="AR1181" t="str">
        <f>""</f>
        <v/>
      </c>
      <c r="AS1181" t="str">
        <f>""</f>
        <v/>
      </c>
      <c r="AT1181" t="str">
        <f>""</f>
        <v/>
      </c>
      <c r="AU1181" t="str">
        <f>""</f>
        <v/>
      </c>
      <c r="AV1181" t="str">
        <f>""</f>
        <v/>
      </c>
      <c r="AW1181" t="str">
        <f>""</f>
        <v/>
      </c>
      <c r="AX1181" t="str">
        <f>""</f>
        <v/>
      </c>
      <c r="AY1181" t="str">
        <f>""</f>
        <v/>
      </c>
      <c r="AZ1181" t="str">
        <f>""</f>
        <v/>
      </c>
      <c r="BA1181" t="str">
        <f>""</f>
        <v/>
      </c>
      <c r="BB1181" t="str">
        <f>"11/07/2023 02:19:56"</f>
        <v>11/07/2023 02:19:56</v>
      </c>
      <c r="BC1181" t="str">
        <f>""</f>
        <v/>
      </c>
      <c r="BD1181" t="str">
        <f>""</f>
        <v/>
      </c>
      <c r="BE1181" t="str">
        <f>""</f>
        <v/>
      </c>
      <c r="BF1181" t="str">
        <f t="shared" si="584"/>
        <v>A</v>
      </c>
      <c r="BG1181" t="str">
        <f>""</f>
        <v/>
      </c>
      <c r="BH1181" t="str">
        <f>""</f>
        <v/>
      </c>
      <c r="BI1181" t="str">
        <f t="shared" si="567"/>
        <v>EVENTUAL</v>
      </c>
      <c r="BJ1181" t="str">
        <f t="shared" si="585"/>
        <v>1</v>
      </c>
      <c r="BK1181" t="str">
        <f t="shared" si="586"/>
        <v>Farmacia</v>
      </c>
      <c r="BL1181" t="str">
        <f>""</f>
        <v/>
      </c>
      <c r="BM1181" t="str">
        <f>""</f>
        <v/>
      </c>
      <c r="BN1181" t="str">
        <f>""</f>
        <v/>
      </c>
      <c r="BO1181" t="str">
        <f>""</f>
        <v/>
      </c>
      <c r="BP1181" t="str">
        <f>""</f>
        <v/>
      </c>
      <c r="BQ1181" t="str">
        <f>""</f>
        <v/>
      </c>
      <c r="BR1181" t="str">
        <f>"11/07/2023"</f>
        <v>11/07/2023</v>
      </c>
      <c r="BS1181" t="str">
        <f>""</f>
        <v/>
      </c>
      <c r="BT1181" t="str">
        <f>""</f>
        <v/>
      </c>
      <c r="BU1181" t="str">
        <f>""</f>
        <v/>
      </c>
      <c r="BV1181" t="str">
        <f>""</f>
        <v/>
      </c>
      <c r="BW1181" t="str">
        <f>"133"</f>
        <v>133</v>
      </c>
    </row>
    <row r="1182" spans="1:75" x14ac:dyDescent="0.35">
      <c r="A1182">
        <v>144629</v>
      </c>
      <c r="B1182" t="str">
        <f t="shared" si="581"/>
        <v>A</v>
      </c>
      <c r="C1182" t="str">
        <f t="shared" si="582"/>
        <v>80</v>
      </c>
      <c r="D1182" t="str">
        <f t="shared" si="575"/>
        <v>11121002</v>
      </c>
      <c r="E1182" t="str">
        <f t="shared" si="576"/>
        <v>121002</v>
      </c>
      <c r="F1182" t="str">
        <f t="shared" si="577"/>
        <v>CINTHIA NORONHA</v>
      </c>
      <c r="G1182" t="str">
        <f>"23058188000558"</f>
        <v>23058188000558</v>
      </c>
      <c r="H1182" t="str">
        <f>""</f>
        <v/>
      </c>
      <c r="I1182" t="str">
        <f t="shared" si="583"/>
        <v>CONTA OPTICA</v>
      </c>
      <c r="J1182" t="str">
        <f>"T &amp; D RELOJOARIA E OTICA LTDA"</f>
        <v>T &amp; D RELOJOARIA E OTICA LTDA</v>
      </c>
      <c r="K1182" t="str">
        <f>"OTICAS MONDO (4175)"</f>
        <v>OTICAS MONDO (4175)</v>
      </c>
      <c r="L1182" t="str">
        <f>""</f>
        <v/>
      </c>
      <c r="M1182" t="str">
        <f>""</f>
        <v/>
      </c>
      <c r="N1182" t="str">
        <f>"esm@oticasmondo.com.br"</f>
        <v>esm@oticasmondo.com.br</v>
      </c>
      <c r="O1182" t="str">
        <f>""</f>
        <v/>
      </c>
      <c r="P1182" t="str">
        <f>"RODOVIA V LATERAL BR 101 PREFEITO SANTELMO BORBA"</f>
        <v>RODOVIA V LATERAL BR 101 PREFEITO SANTELMO BORBA</v>
      </c>
      <c r="Q1182" t="str">
        <f>"720"</f>
        <v>720</v>
      </c>
      <c r="R1182" t="str">
        <f>"BOX 1 BL D"</f>
        <v>BOX 1 BL D</v>
      </c>
      <c r="S1182" t="str">
        <f>"1270"</f>
        <v>1270</v>
      </c>
      <c r="T1182" t="str">
        <f>"88960000"</f>
        <v>88960000</v>
      </c>
      <c r="U1182" t="str">
        <f>"CENTRO"</f>
        <v>CENTRO</v>
      </c>
      <c r="V1182" t="str">
        <f>"SOMBRIO"</f>
        <v>SOMBRIO</v>
      </c>
      <c r="W1182" t="str">
        <f t="shared" si="579"/>
        <v>SC</v>
      </c>
      <c r="X1182" t="str">
        <f t="shared" si="598"/>
        <v>48</v>
      </c>
      <c r="Y1182" t="str">
        <f>"98423126"</f>
        <v>98423126</v>
      </c>
      <c r="Z1182" t="str">
        <f>""</f>
        <v/>
      </c>
      <c r="AA1182" t="str">
        <f>""</f>
        <v/>
      </c>
      <c r="AB1182" t="str">
        <f>""</f>
        <v/>
      </c>
      <c r="AC1182" t="str">
        <f>""</f>
        <v/>
      </c>
      <c r="AD1182" t="str">
        <f>""</f>
        <v/>
      </c>
      <c r="AE1182" t="str">
        <f>""</f>
        <v/>
      </c>
      <c r="AF1182" t="str">
        <f>""</f>
        <v/>
      </c>
      <c r="AG1182" t="str">
        <f>""</f>
        <v/>
      </c>
      <c r="AH1182" t="str">
        <f>""</f>
        <v/>
      </c>
      <c r="AI1182" t="str">
        <f>""</f>
        <v/>
      </c>
      <c r="AJ1182" t="str">
        <f>"0"</f>
        <v>0</v>
      </c>
      <c r="AK1182" t="str">
        <f>"0"</f>
        <v>0</v>
      </c>
      <c r="AL1182" t="str">
        <f>"0"</f>
        <v>0</v>
      </c>
      <c r="AM1182" t="str">
        <f>""</f>
        <v/>
      </c>
      <c r="AN1182" t="str">
        <f>""</f>
        <v/>
      </c>
      <c r="AO1182" t="str">
        <f>""</f>
        <v/>
      </c>
      <c r="AP1182" t="str">
        <f>""</f>
        <v/>
      </c>
      <c r="AQ1182" t="str">
        <f>""</f>
        <v/>
      </c>
      <c r="AR1182" t="str">
        <f>""</f>
        <v/>
      </c>
      <c r="AS1182" t="str">
        <f>""</f>
        <v/>
      </c>
      <c r="AT1182" t="str">
        <f>""</f>
        <v/>
      </c>
      <c r="AU1182" t="str">
        <f>""</f>
        <v/>
      </c>
      <c r="AV1182" t="str">
        <f>""</f>
        <v/>
      </c>
      <c r="AW1182" t="str">
        <f>""</f>
        <v/>
      </c>
      <c r="AX1182" t="str">
        <f>""</f>
        <v/>
      </c>
      <c r="AY1182" t="str">
        <f>""</f>
        <v/>
      </c>
      <c r="AZ1182" t="str">
        <f>""</f>
        <v/>
      </c>
      <c r="BA1182" t="str">
        <f>""</f>
        <v/>
      </c>
      <c r="BB1182" t="str">
        <f>""</f>
        <v/>
      </c>
      <c r="BC1182" t="str">
        <f>""</f>
        <v/>
      </c>
      <c r="BD1182" t="str">
        <f>""</f>
        <v/>
      </c>
      <c r="BE1182" t="str">
        <f>""</f>
        <v/>
      </c>
      <c r="BF1182" t="str">
        <f t="shared" si="584"/>
        <v>A</v>
      </c>
      <c r="BG1182" t="str">
        <f>"0,00"</f>
        <v>0,00</v>
      </c>
      <c r="BH1182" t="str">
        <f>"0,00"</f>
        <v>0,00</v>
      </c>
      <c r="BI1182" t="str">
        <f t="shared" si="567"/>
        <v>EVENTUAL</v>
      </c>
      <c r="BJ1182" t="str">
        <f t="shared" si="585"/>
        <v>1</v>
      </c>
      <c r="BK1182" t="str">
        <f t="shared" si="586"/>
        <v>Farmacia</v>
      </c>
      <c r="BL1182" t="str">
        <f>""</f>
        <v/>
      </c>
      <c r="BM1182" t="str">
        <f>"NÃO É VARILUX ESPECIALISTA"</f>
        <v>NÃO É VARILUX ESPECIALISTA</v>
      </c>
      <c r="BN1182" t="str">
        <f>"NA"</f>
        <v>NA</v>
      </c>
      <c r="BO1182" t="str">
        <f>"FOCO KODAK 1"</f>
        <v>FOCO KODAK 1</v>
      </c>
      <c r="BP1182" t="str">
        <f>""</f>
        <v/>
      </c>
      <c r="BQ1182" t="str">
        <f>""</f>
        <v/>
      </c>
      <c r="BR1182" t="str">
        <f>""</f>
        <v/>
      </c>
      <c r="BS1182" t="str">
        <f>""</f>
        <v/>
      </c>
      <c r="BT1182" t="str">
        <f>""</f>
        <v/>
      </c>
      <c r="BU1182" t="str">
        <f>""</f>
        <v/>
      </c>
      <c r="BV1182" t="str">
        <f>"9"</f>
        <v>9</v>
      </c>
      <c r="BW1182" t="str">
        <f>"64"</f>
        <v>64</v>
      </c>
    </row>
    <row r="1183" spans="1:75" x14ac:dyDescent="0.35">
      <c r="A1183">
        <v>156916</v>
      </c>
      <c r="B1183" t="str">
        <f t="shared" si="581"/>
        <v>A</v>
      </c>
      <c r="C1183" t="str">
        <f t="shared" si="582"/>
        <v>80</v>
      </c>
      <c r="D1183" t="str">
        <f t="shared" si="575"/>
        <v>11121002</v>
      </c>
      <c r="E1183" t="str">
        <f t="shared" si="576"/>
        <v>121002</v>
      </c>
      <c r="F1183" t="str">
        <f t="shared" si="577"/>
        <v>CINTHIA NORONHA</v>
      </c>
      <c r="G1183" t="str">
        <f>"23058188000710"</f>
        <v>23058188000710</v>
      </c>
      <c r="H1183" t="str">
        <f>"0"</f>
        <v>0</v>
      </c>
      <c r="I1183" t="str">
        <f t="shared" si="583"/>
        <v>CONTA OPTICA</v>
      </c>
      <c r="J1183" t="str">
        <f>"T &amp; D RELOJOARIA E OTICA LTDA"</f>
        <v>T &amp; D RELOJOARIA E OTICA LTDA</v>
      </c>
      <c r="K1183" t="str">
        <f>"ÓTICAS MONDO (4491)"</f>
        <v>ÓTICAS MONDO (4491)</v>
      </c>
      <c r="L1183" t="str">
        <f>""</f>
        <v/>
      </c>
      <c r="M1183" t="str">
        <f>""</f>
        <v/>
      </c>
      <c r="N1183" t="str">
        <f>"FINANCEIRO@OTICASMONDO.COM.BR"</f>
        <v>FINANCEIRO@OTICASMONDO.COM.BR</v>
      </c>
      <c r="O1183" t="str">
        <f>""</f>
        <v/>
      </c>
      <c r="P1183" t="str">
        <f>"SETE DE SETEMBRO"</f>
        <v>SETE DE SETEMBRO</v>
      </c>
      <c r="Q1183" t="str">
        <f>"705"</f>
        <v>705</v>
      </c>
      <c r="R1183" t="str">
        <f>"SALA 72"</f>
        <v>SALA 72</v>
      </c>
      <c r="S1183" t="str">
        <f>""</f>
        <v/>
      </c>
      <c r="T1183" t="str">
        <f>"88901004"</f>
        <v>88901004</v>
      </c>
      <c r="U1183" t="str">
        <f>"CIDADE ALTA"</f>
        <v>CIDADE ALTA</v>
      </c>
      <c r="V1183" t="str">
        <f>"ARARANGUA"</f>
        <v>ARARANGUA</v>
      </c>
      <c r="W1183" t="str">
        <f t="shared" ref="W1183:W1198" si="600">"SC"</f>
        <v>SC</v>
      </c>
      <c r="X1183" t="str">
        <f t="shared" si="598"/>
        <v>48</v>
      </c>
      <c r="Y1183" t="str">
        <f>"988610400"</f>
        <v>988610400</v>
      </c>
      <c r="Z1183" t="str">
        <f>""</f>
        <v/>
      </c>
      <c r="AA1183" t="str">
        <f>""</f>
        <v/>
      </c>
      <c r="AB1183" t="str">
        <f>""</f>
        <v/>
      </c>
      <c r="AC1183" t="str">
        <f>""</f>
        <v/>
      </c>
      <c r="AD1183" t="str">
        <f>""</f>
        <v/>
      </c>
      <c r="AE1183" t="str">
        <f>""</f>
        <v/>
      </c>
      <c r="AF1183" t="str">
        <f>""</f>
        <v/>
      </c>
      <c r="AG1183" t="str">
        <f>""</f>
        <v/>
      </c>
      <c r="AH1183" t="str">
        <f>""</f>
        <v/>
      </c>
      <c r="AI1183" t="str">
        <f>""</f>
        <v/>
      </c>
      <c r="AJ1183" t="str">
        <f>""</f>
        <v/>
      </c>
      <c r="AK1183" t="str">
        <f>""</f>
        <v/>
      </c>
      <c r="AL1183" t="str">
        <f>""</f>
        <v/>
      </c>
      <c r="AM1183" t="str">
        <f>""</f>
        <v/>
      </c>
      <c r="AN1183" t="str">
        <f>""</f>
        <v/>
      </c>
      <c r="AO1183" t="str">
        <f>""</f>
        <v/>
      </c>
      <c r="AP1183" t="str">
        <f>""</f>
        <v/>
      </c>
      <c r="AQ1183" t="str">
        <f>""</f>
        <v/>
      </c>
      <c r="AR1183" t="str">
        <f>""</f>
        <v/>
      </c>
      <c r="AS1183" t="str">
        <f>""</f>
        <v/>
      </c>
      <c r="AT1183" t="str">
        <f>""</f>
        <v/>
      </c>
      <c r="AU1183" t="str">
        <f>""</f>
        <v/>
      </c>
      <c r="AV1183" t="str">
        <f>""</f>
        <v/>
      </c>
      <c r="AW1183" t="str">
        <f>""</f>
        <v/>
      </c>
      <c r="AX1183" t="str">
        <f>""</f>
        <v/>
      </c>
      <c r="AY1183" t="str">
        <f>""</f>
        <v/>
      </c>
      <c r="AZ1183" t="str">
        <f>""</f>
        <v/>
      </c>
      <c r="BA1183" t="str">
        <f>""</f>
        <v/>
      </c>
      <c r="BB1183" t="str">
        <f>"06/07/2023 12:07:48"</f>
        <v>06/07/2023 12:07:48</v>
      </c>
      <c r="BC1183" t="str">
        <f>""</f>
        <v/>
      </c>
      <c r="BD1183" t="str">
        <f>""</f>
        <v/>
      </c>
      <c r="BE1183" t="str">
        <f>""</f>
        <v/>
      </c>
      <c r="BF1183" t="str">
        <f t="shared" si="584"/>
        <v>A</v>
      </c>
      <c r="BG1183" t="str">
        <f>""</f>
        <v/>
      </c>
      <c r="BH1183" t="str">
        <f>""</f>
        <v/>
      </c>
      <c r="BI1183" t="str">
        <f t="shared" si="567"/>
        <v>EVENTUAL</v>
      </c>
      <c r="BJ1183" t="str">
        <f t="shared" si="585"/>
        <v>1</v>
      </c>
      <c r="BK1183" t="str">
        <f t="shared" si="586"/>
        <v>Farmacia</v>
      </c>
      <c r="BL1183" t="str">
        <f>""</f>
        <v/>
      </c>
      <c r="BM1183" t="str">
        <f>""</f>
        <v/>
      </c>
      <c r="BN1183" t="str">
        <f>""</f>
        <v/>
      </c>
      <c r="BO1183" t="str">
        <f>""</f>
        <v/>
      </c>
      <c r="BP1183" t="str">
        <f>""</f>
        <v/>
      </c>
      <c r="BQ1183" t="str">
        <f>""</f>
        <v/>
      </c>
      <c r="BR1183" t="str">
        <f>"06/07/2023"</f>
        <v>06/07/2023</v>
      </c>
      <c r="BS1183" t="str">
        <f>""</f>
        <v/>
      </c>
      <c r="BT1183" t="str">
        <f>""</f>
        <v/>
      </c>
      <c r="BU1183" t="str">
        <f>""</f>
        <v/>
      </c>
      <c r="BV1183" t="str">
        <f>""</f>
        <v/>
      </c>
      <c r="BW1183" t="str">
        <f>"129"</f>
        <v>129</v>
      </c>
    </row>
    <row r="1184" spans="1:75" x14ac:dyDescent="0.35">
      <c r="A1184">
        <v>144349</v>
      </c>
      <c r="B1184" t="str">
        <f t="shared" si="581"/>
        <v>A</v>
      </c>
      <c r="C1184" t="str">
        <f t="shared" si="582"/>
        <v>80</v>
      </c>
      <c r="D1184" t="str">
        <f t="shared" si="575"/>
        <v>11121002</v>
      </c>
      <c r="E1184" t="str">
        <f t="shared" si="576"/>
        <v>121002</v>
      </c>
      <c r="F1184" t="str">
        <f t="shared" si="577"/>
        <v>CINTHIA NORONHA</v>
      </c>
      <c r="G1184" t="str">
        <f>"23058188000124"</f>
        <v>23058188000124</v>
      </c>
      <c r="H1184" t="str">
        <f>""</f>
        <v/>
      </c>
      <c r="I1184" t="str">
        <f t="shared" si="583"/>
        <v>CONTA OPTICA</v>
      </c>
      <c r="J1184" t="str">
        <f>"T E D RELOJOARIA E OTICA LTDA"</f>
        <v>T E D RELOJOARIA E OTICA LTDA</v>
      </c>
      <c r="K1184" t="str">
        <f>"MONDO RELOJOARIA E OTICA (2248)"</f>
        <v>MONDO RELOJOARIA E OTICA (2248)</v>
      </c>
      <c r="L1184" t="str">
        <f>""</f>
        <v/>
      </c>
      <c r="M1184" t="str">
        <f>""</f>
        <v/>
      </c>
      <c r="N1184" t="str">
        <f>"oticasmondo@outlook.com"</f>
        <v>oticasmondo@outlook.com</v>
      </c>
      <c r="O1184" t="str">
        <f>""</f>
        <v/>
      </c>
      <c r="P1184" t="str">
        <f>"RUA MARGINAL BR 101 PREF. SANTELMO BORBA"</f>
        <v>RUA MARGINAL BR 101 PREF. SANTELMO BORBA</v>
      </c>
      <c r="Q1184" t="str">
        <f>"1110"</f>
        <v>1110</v>
      </c>
      <c r="R1184" t="str">
        <f>"SALA 33"</f>
        <v>SALA 33</v>
      </c>
      <c r="S1184" t="str">
        <f>"1270"</f>
        <v>1270</v>
      </c>
      <c r="T1184" t="str">
        <f>"88960000"</f>
        <v>88960000</v>
      </c>
      <c r="U1184" t="str">
        <f>"CENTRO"</f>
        <v>CENTRO</v>
      </c>
      <c r="V1184" t="str">
        <f>"SOMBRIO"</f>
        <v>SOMBRIO</v>
      </c>
      <c r="W1184" t="str">
        <f t="shared" si="600"/>
        <v>SC</v>
      </c>
      <c r="X1184" t="str">
        <f t="shared" si="598"/>
        <v>48</v>
      </c>
      <c r="Y1184" t="str">
        <f>"35335133"</f>
        <v>35335133</v>
      </c>
      <c r="Z1184" t="str">
        <f>""</f>
        <v/>
      </c>
      <c r="AA1184" t="str">
        <f>""</f>
        <v/>
      </c>
      <c r="AB1184" t="str">
        <f>""</f>
        <v/>
      </c>
      <c r="AC1184" t="str">
        <f>""</f>
        <v/>
      </c>
      <c r="AD1184" t="str">
        <f>""</f>
        <v/>
      </c>
      <c r="AE1184" t="str">
        <f>""</f>
        <v/>
      </c>
      <c r="AF1184" t="str">
        <f>""</f>
        <v/>
      </c>
      <c r="AG1184" t="str">
        <f>""</f>
        <v/>
      </c>
      <c r="AH1184" t="str">
        <f>""</f>
        <v/>
      </c>
      <c r="AI1184" t="str">
        <f>""</f>
        <v/>
      </c>
      <c r="AJ1184" t="str">
        <f t="shared" ref="AJ1184:AL1187" si="601">"0"</f>
        <v>0</v>
      </c>
      <c r="AK1184" t="str">
        <f t="shared" si="601"/>
        <v>0</v>
      </c>
      <c r="AL1184" t="str">
        <f t="shared" si="601"/>
        <v>0</v>
      </c>
      <c r="AM1184" t="str">
        <f>""</f>
        <v/>
      </c>
      <c r="AN1184" t="str">
        <f>""</f>
        <v/>
      </c>
      <c r="AO1184" t="str">
        <f>""</f>
        <v/>
      </c>
      <c r="AP1184" t="str">
        <f>""</f>
        <v/>
      </c>
      <c r="AQ1184" t="str">
        <f>""</f>
        <v/>
      </c>
      <c r="AR1184" t="str">
        <f>""</f>
        <v/>
      </c>
      <c r="AS1184" t="str">
        <f>""</f>
        <v/>
      </c>
      <c r="AT1184" t="str">
        <f>""</f>
        <v/>
      </c>
      <c r="AU1184" t="str">
        <f>""</f>
        <v/>
      </c>
      <c r="AV1184" t="str">
        <f>""</f>
        <v/>
      </c>
      <c r="AW1184" t="str">
        <f>""</f>
        <v/>
      </c>
      <c r="AX1184" t="str">
        <f>""</f>
        <v/>
      </c>
      <c r="AY1184" t="str">
        <f>""</f>
        <v/>
      </c>
      <c r="AZ1184" t="str">
        <f>""</f>
        <v/>
      </c>
      <c r="BA1184" t="str">
        <f>""</f>
        <v/>
      </c>
      <c r="BB1184" t="str">
        <f>""</f>
        <v/>
      </c>
      <c r="BC1184" t="str">
        <f>""</f>
        <v/>
      </c>
      <c r="BD1184" t="str">
        <f>""</f>
        <v/>
      </c>
      <c r="BE1184" t="str">
        <f>""</f>
        <v/>
      </c>
      <c r="BF1184" t="str">
        <f t="shared" si="584"/>
        <v>A</v>
      </c>
      <c r="BG1184" t="str">
        <f t="shared" ref="BG1184:BH1187" si="602">"0,00"</f>
        <v>0,00</v>
      </c>
      <c r="BH1184" t="str">
        <f t="shared" si="602"/>
        <v>0,00</v>
      </c>
      <c r="BI1184" t="str">
        <f t="shared" ref="BI1184:BI1247" si="603">"EVENTUAL"</f>
        <v>EVENTUAL</v>
      </c>
      <c r="BJ1184" t="str">
        <f t="shared" si="585"/>
        <v>1</v>
      </c>
      <c r="BK1184" t="str">
        <f t="shared" si="586"/>
        <v>Farmacia</v>
      </c>
      <c r="BL1184" t="str">
        <f>""</f>
        <v/>
      </c>
      <c r="BM1184" t="str">
        <f t="shared" ref="BM1184:BM1189" si="604">"NÃO É VARILUX ESPECIALISTA"</f>
        <v>NÃO É VARILUX ESPECIALISTA</v>
      </c>
      <c r="BN1184" t="str">
        <f>"EL360"</f>
        <v>EL360</v>
      </c>
      <c r="BO1184" t="str">
        <f>"FOCO VARILUX"</f>
        <v>FOCO VARILUX</v>
      </c>
      <c r="BP1184" t="str">
        <f>""</f>
        <v/>
      </c>
      <c r="BQ1184" t="str">
        <f>""</f>
        <v/>
      </c>
      <c r="BR1184" t="str">
        <f>""</f>
        <v/>
      </c>
      <c r="BS1184" t="str">
        <f>""</f>
        <v/>
      </c>
      <c r="BT1184" t="str">
        <f>""</f>
        <v/>
      </c>
      <c r="BU1184" t="str">
        <f>""</f>
        <v/>
      </c>
      <c r="BV1184" t="str">
        <f>"9"</f>
        <v>9</v>
      </c>
      <c r="BW1184" t="str">
        <f>"182"</f>
        <v>182</v>
      </c>
    </row>
    <row r="1185" spans="1:75" x14ac:dyDescent="0.35">
      <c r="A1185">
        <v>144350</v>
      </c>
      <c r="B1185" t="str">
        <f t="shared" si="581"/>
        <v>A</v>
      </c>
      <c r="C1185" t="str">
        <f t="shared" si="582"/>
        <v>80</v>
      </c>
      <c r="D1185" t="str">
        <f t="shared" si="575"/>
        <v>11121002</v>
      </c>
      <c r="E1185" t="str">
        <f t="shared" si="576"/>
        <v>121002</v>
      </c>
      <c r="F1185" t="str">
        <f t="shared" si="577"/>
        <v>CINTHIA NORONHA</v>
      </c>
      <c r="G1185" t="str">
        <f>"23058188000205"</f>
        <v>23058188000205</v>
      </c>
      <c r="H1185" t="str">
        <f>""</f>
        <v/>
      </c>
      <c r="I1185" t="str">
        <f t="shared" si="583"/>
        <v>CONTA OPTICA</v>
      </c>
      <c r="J1185" t="str">
        <f>"T E D RELOJOARIA E OTICA LTDA"</f>
        <v>T E D RELOJOARIA E OTICA LTDA</v>
      </c>
      <c r="K1185" t="str">
        <f>"OTICAS MONDO (3859)"</f>
        <v>OTICAS MONDO (3859)</v>
      </c>
      <c r="L1185" t="str">
        <f>""</f>
        <v/>
      </c>
      <c r="M1185" t="str">
        <f>""</f>
        <v/>
      </c>
      <c r="N1185" t="str">
        <f>"oticasmondo@outlook.com"</f>
        <v>oticasmondo@outlook.com</v>
      </c>
      <c r="O1185" t="str">
        <f>""</f>
        <v/>
      </c>
      <c r="P1185" t="str">
        <f>"RUA MARECHAL FLORIANO PEIXOTO"</f>
        <v>RUA MARECHAL FLORIANO PEIXOTO</v>
      </c>
      <c r="Q1185" t="str">
        <f>"134"</f>
        <v>134</v>
      </c>
      <c r="R1185" t="str">
        <f>"SALA 01-12-13"</f>
        <v>SALA 01-12-13</v>
      </c>
      <c r="S1185" t="str">
        <f>"1269"</f>
        <v>1269</v>
      </c>
      <c r="T1185" t="str">
        <f>"88801040"</f>
        <v>88801040</v>
      </c>
      <c r="U1185" t="str">
        <f>"CENTRO"</f>
        <v>CENTRO</v>
      </c>
      <c r="V1185" t="str">
        <f>"CRICIÚMA"</f>
        <v>CRICIÚMA</v>
      </c>
      <c r="W1185" t="str">
        <f t="shared" si="600"/>
        <v>SC</v>
      </c>
      <c r="X1185" t="str">
        <f t="shared" si="598"/>
        <v>48</v>
      </c>
      <c r="Y1185" t="str">
        <f>"34339231"</f>
        <v>34339231</v>
      </c>
      <c r="Z1185" t="str">
        <f>""</f>
        <v/>
      </c>
      <c r="AA1185" t="str">
        <f>""</f>
        <v/>
      </c>
      <c r="AB1185" t="str">
        <f>""</f>
        <v/>
      </c>
      <c r="AC1185" t="str">
        <f>""</f>
        <v/>
      </c>
      <c r="AD1185" t="str">
        <f>""</f>
        <v/>
      </c>
      <c r="AE1185" t="str">
        <f>""</f>
        <v/>
      </c>
      <c r="AF1185" t="str">
        <f>""</f>
        <v/>
      </c>
      <c r="AG1185" t="str">
        <f>""</f>
        <v/>
      </c>
      <c r="AH1185" t="str">
        <f>""</f>
        <v/>
      </c>
      <c r="AI1185" t="str">
        <f>""</f>
        <v/>
      </c>
      <c r="AJ1185" t="str">
        <f t="shared" si="601"/>
        <v>0</v>
      </c>
      <c r="AK1185" t="str">
        <f t="shared" si="601"/>
        <v>0</v>
      </c>
      <c r="AL1185" t="str">
        <f t="shared" si="601"/>
        <v>0</v>
      </c>
      <c r="AM1185" t="str">
        <f>""</f>
        <v/>
      </c>
      <c r="AN1185" t="str">
        <f>""</f>
        <v/>
      </c>
      <c r="AO1185" t="str">
        <f>""</f>
        <v/>
      </c>
      <c r="AP1185" t="str">
        <f>""</f>
        <v/>
      </c>
      <c r="AQ1185" t="str">
        <f>""</f>
        <v/>
      </c>
      <c r="AR1185" t="str">
        <f>""</f>
        <v/>
      </c>
      <c r="AS1185" t="str">
        <f>""</f>
        <v/>
      </c>
      <c r="AT1185" t="str">
        <f>""</f>
        <v/>
      </c>
      <c r="AU1185" t="str">
        <f>""</f>
        <v/>
      </c>
      <c r="AV1185" t="str">
        <f>""</f>
        <v/>
      </c>
      <c r="AW1185" t="str">
        <f>""</f>
        <v/>
      </c>
      <c r="AX1185" t="str">
        <f>""</f>
        <v/>
      </c>
      <c r="AY1185" t="str">
        <f>""</f>
        <v/>
      </c>
      <c r="AZ1185" t="str">
        <f>""</f>
        <v/>
      </c>
      <c r="BA1185" t="str">
        <f>""</f>
        <v/>
      </c>
      <c r="BB1185" t="str">
        <f>""</f>
        <v/>
      </c>
      <c r="BC1185" t="str">
        <f>""</f>
        <v/>
      </c>
      <c r="BD1185" t="str">
        <f>""</f>
        <v/>
      </c>
      <c r="BE1185" t="str">
        <f>""</f>
        <v/>
      </c>
      <c r="BF1185" t="str">
        <f t="shared" si="584"/>
        <v>A</v>
      </c>
      <c r="BG1185" t="str">
        <f t="shared" si="602"/>
        <v>0,00</v>
      </c>
      <c r="BH1185" t="str">
        <f t="shared" si="602"/>
        <v>0,00</v>
      </c>
      <c r="BI1185" t="str">
        <f t="shared" si="603"/>
        <v>EVENTUAL</v>
      </c>
      <c r="BJ1185" t="str">
        <f t="shared" si="585"/>
        <v>1</v>
      </c>
      <c r="BK1185" t="str">
        <f t="shared" si="586"/>
        <v>Farmacia</v>
      </c>
      <c r="BL1185" t="str">
        <f>""</f>
        <v/>
      </c>
      <c r="BM1185" t="str">
        <f t="shared" si="604"/>
        <v>NÃO É VARILUX ESPECIALISTA</v>
      </c>
      <c r="BN1185" t="str">
        <f>"NA"</f>
        <v>NA</v>
      </c>
      <c r="BO1185" t="str">
        <f>"FOCO VARILUX"</f>
        <v>FOCO VARILUX</v>
      </c>
      <c r="BP1185" t="str">
        <f>""</f>
        <v/>
      </c>
      <c r="BQ1185" t="str">
        <f>""</f>
        <v/>
      </c>
      <c r="BR1185" t="str">
        <f>""</f>
        <v/>
      </c>
      <c r="BS1185" t="str">
        <f>""</f>
        <v/>
      </c>
      <c r="BT1185" t="str">
        <f>""</f>
        <v/>
      </c>
      <c r="BU1185" t="str">
        <f>""</f>
        <v/>
      </c>
      <c r="BV1185" t="str">
        <f>"9"</f>
        <v>9</v>
      </c>
      <c r="BW1185" t="str">
        <f>"129"</f>
        <v>129</v>
      </c>
    </row>
    <row r="1186" spans="1:75" x14ac:dyDescent="0.35">
      <c r="A1186">
        <v>144525</v>
      </c>
      <c r="B1186" t="str">
        <f t="shared" si="581"/>
        <v>A</v>
      </c>
      <c r="C1186" t="str">
        <f t="shared" si="582"/>
        <v>80</v>
      </c>
      <c r="D1186" t="str">
        <f t="shared" si="575"/>
        <v>11121002</v>
      </c>
      <c r="E1186" t="str">
        <f t="shared" si="576"/>
        <v>121002</v>
      </c>
      <c r="F1186" t="str">
        <f t="shared" si="577"/>
        <v>CINTHIA NORONHA</v>
      </c>
      <c r="G1186" t="str">
        <f>"23058188000396"</f>
        <v>23058188000396</v>
      </c>
      <c r="H1186" t="str">
        <f>""</f>
        <v/>
      </c>
      <c r="I1186" t="str">
        <f t="shared" si="583"/>
        <v>CONTA OPTICA</v>
      </c>
      <c r="J1186" t="str">
        <f>"T E D RELOJOARIA E OTICA LTDA"</f>
        <v>T E D RELOJOARIA E OTICA LTDA</v>
      </c>
      <c r="K1186" t="str">
        <f>"OTICAS MONDO (4090)"</f>
        <v>OTICAS MONDO (4090)</v>
      </c>
      <c r="L1186" t="str">
        <f>""</f>
        <v/>
      </c>
      <c r="M1186" t="str">
        <f>""</f>
        <v/>
      </c>
      <c r="N1186" t="str">
        <f>"deposito@compredeboa.com"</f>
        <v>deposito@compredeboa.com</v>
      </c>
      <c r="O1186" t="str">
        <f>""</f>
        <v/>
      </c>
      <c r="P1186" t="str">
        <f>"RUA IMIGRANTES"</f>
        <v>RUA IMIGRANTES</v>
      </c>
      <c r="Q1186" t="str">
        <f>"343"</f>
        <v>343</v>
      </c>
      <c r="R1186" t="str">
        <f>"SALA 1"</f>
        <v>SALA 1</v>
      </c>
      <c r="S1186" t="str">
        <f>"1270"</f>
        <v>1270</v>
      </c>
      <c r="T1186" t="str">
        <f>"88955000"</f>
        <v>88955000</v>
      </c>
      <c r="U1186" t="str">
        <f>"LOTEAMENTO ITAPUA"</f>
        <v>LOTEAMENTO ITAPUA</v>
      </c>
      <c r="V1186" t="str">
        <f>"BALNEÁRIO GAIVOTA"</f>
        <v>BALNEÁRIO GAIVOTA</v>
      </c>
      <c r="W1186" t="str">
        <f t="shared" si="600"/>
        <v>SC</v>
      </c>
      <c r="X1186" t="str">
        <f t="shared" si="598"/>
        <v>48</v>
      </c>
      <c r="Y1186" t="str">
        <f>"35830221"</f>
        <v>35830221</v>
      </c>
      <c r="Z1186" t="str">
        <f>""</f>
        <v/>
      </c>
      <c r="AA1186" t="str">
        <f>""</f>
        <v/>
      </c>
      <c r="AB1186" t="str">
        <f>""</f>
        <v/>
      </c>
      <c r="AC1186" t="str">
        <f>""</f>
        <v/>
      </c>
      <c r="AD1186" t="str">
        <f>""</f>
        <v/>
      </c>
      <c r="AE1186" t="str">
        <f>""</f>
        <v/>
      </c>
      <c r="AF1186" t="str">
        <f>""</f>
        <v/>
      </c>
      <c r="AG1186" t="str">
        <f>""</f>
        <v/>
      </c>
      <c r="AH1186" t="str">
        <f>""</f>
        <v/>
      </c>
      <c r="AI1186" t="str">
        <f>""</f>
        <v/>
      </c>
      <c r="AJ1186" t="str">
        <f t="shared" si="601"/>
        <v>0</v>
      </c>
      <c r="AK1186" t="str">
        <f t="shared" si="601"/>
        <v>0</v>
      </c>
      <c r="AL1186" t="str">
        <f t="shared" si="601"/>
        <v>0</v>
      </c>
      <c r="AM1186" t="str">
        <f>""</f>
        <v/>
      </c>
      <c r="AN1186" t="str">
        <f>""</f>
        <v/>
      </c>
      <c r="AO1186" t="str">
        <f>""</f>
        <v/>
      </c>
      <c r="AP1186" t="str">
        <f>""</f>
        <v/>
      </c>
      <c r="AQ1186" t="str">
        <f>""</f>
        <v/>
      </c>
      <c r="AR1186" t="str">
        <f>""</f>
        <v/>
      </c>
      <c r="AS1186" t="str">
        <f>""</f>
        <v/>
      </c>
      <c r="AT1186" t="str">
        <f>""</f>
        <v/>
      </c>
      <c r="AU1186" t="str">
        <f>""</f>
        <v/>
      </c>
      <c r="AV1186" t="str">
        <f>""</f>
        <v/>
      </c>
      <c r="AW1186" t="str">
        <f>""</f>
        <v/>
      </c>
      <c r="AX1186" t="str">
        <f>""</f>
        <v/>
      </c>
      <c r="AY1186" t="str">
        <f>""</f>
        <v/>
      </c>
      <c r="AZ1186" t="str">
        <f>""</f>
        <v/>
      </c>
      <c r="BA1186" t="str">
        <f>""</f>
        <v/>
      </c>
      <c r="BB1186" t="str">
        <f>""</f>
        <v/>
      </c>
      <c r="BC1186" t="str">
        <f>""</f>
        <v/>
      </c>
      <c r="BD1186" t="str">
        <f>""</f>
        <v/>
      </c>
      <c r="BE1186" t="str">
        <f>""</f>
        <v/>
      </c>
      <c r="BF1186" t="str">
        <f t="shared" si="584"/>
        <v>A</v>
      </c>
      <c r="BG1186" t="str">
        <f t="shared" si="602"/>
        <v>0,00</v>
      </c>
      <c r="BH1186" t="str">
        <f t="shared" si="602"/>
        <v>0,00</v>
      </c>
      <c r="BI1186" t="str">
        <f t="shared" si="603"/>
        <v>EVENTUAL</v>
      </c>
      <c r="BJ1186" t="str">
        <f t="shared" si="585"/>
        <v>1</v>
      </c>
      <c r="BK1186" t="str">
        <f t="shared" si="586"/>
        <v>Farmacia</v>
      </c>
      <c r="BL1186" t="str">
        <f>""</f>
        <v/>
      </c>
      <c r="BM1186" t="str">
        <f t="shared" si="604"/>
        <v>NÃO É VARILUX ESPECIALISTA</v>
      </c>
      <c r="BN1186" t="str">
        <f>"NA"</f>
        <v>NA</v>
      </c>
      <c r="BO1186" t="str">
        <f>"FOCO VARILUX"</f>
        <v>FOCO VARILUX</v>
      </c>
      <c r="BP1186" t="str">
        <f>""</f>
        <v/>
      </c>
      <c r="BQ1186" t="str">
        <f>""</f>
        <v/>
      </c>
      <c r="BR1186" t="str">
        <f>""</f>
        <v/>
      </c>
      <c r="BS1186" t="str">
        <f>""</f>
        <v/>
      </c>
      <c r="BT1186" t="str">
        <f>""</f>
        <v/>
      </c>
      <c r="BU1186" t="str">
        <f>""</f>
        <v/>
      </c>
      <c r="BV1186" t="str">
        <f>"9"</f>
        <v>9</v>
      </c>
      <c r="BW1186" t="str">
        <f>"129"</f>
        <v>129</v>
      </c>
    </row>
    <row r="1187" spans="1:75" x14ac:dyDescent="0.35">
      <c r="A1187">
        <v>144628</v>
      </c>
      <c r="B1187" t="str">
        <f t="shared" si="581"/>
        <v>A</v>
      </c>
      <c r="C1187" t="str">
        <f t="shared" si="582"/>
        <v>80</v>
      </c>
      <c r="D1187" t="str">
        <f t="shared" si="575"/>
        <v>11121002</v>
      </c>
      <c r="E1187" t="str">
        <f t="shared" si="576"/>
        <v>121002</v>
      </c>
      <c r="F1187" t="str">
        <f t="shared" si="577"/>
        <v>CINTHIA NORONHA</v>
      </c>
      <c r="G1187" t="str">
        <f>"23058188000477"</f>
        <v>23058188000477</v>
      </c>
      <c r="H1187" t="str">
        <f>""</f>
        <v/>
      </c>
      <c r="I1187" t="str">
        <f t="shared" si="583"/>
        <v>CONTA OPTICA</v>
      </c>
      <c r="J1187" t="str">
        <f>"T E D REOLOJOARIA E OPTICA"</f>
        <v>T E D REOLOJOARIA E OPTICA</v>
      </c>
      <c r="K1187" t="str">
        <f>"OTICAS MONDO (4089)"</f>
        <v>OTICAS MONDO (4089)</v>
      </c>
      <c r="L1187" t="str">
        <f>""</f>
        <v/>
      </c>
      <c r="M1187" t="str">
        <f>""</f>
        <v/>
      </c>
      <c r="N1187" t="str">
        <f>"deposito@compredeboa.com"</f>
        <v>deposito@compredeboa.com</v>
      </c>
      <c r="O1187" t="str">
        <f>""</f>
        <v/>
      </c>
      <c r="P1187" t="str">
        <f>"RUA LUIZ JOAO BATISTA"</f>
        <v>RUA LUIZ JOAO BATISTA</v>
      </c>
      <c r="Q1187" t="str">
        <f>"471"</f>
        <v>471</v>
      </c>
      <c r="R1187" t="str">
        <f>""</f>
        <v/>
      </c>
      <c r="S1187" t="str">
        <f>"1270"</f>
        <v>1270</v>
      </c>
      <c r="T1187" t="str">
        <f>"88980000"</f>
        <v>88980000</v>
      </c>
      <c r="U1187" t="str">
        <f>"CENTRO"</f>
        <v>CENTRO</v>
      </c>
      <c r="V1187" t="str">
        <f>"PASSO DE TORRES"</f>
        <v>PASSO DE TORRES</v>
      </c>
      <c r="W1187" t="str">
        <f t="shared" si="600"/>
        <v>SC</v>
      </c>
      <c r="X1187" t="str">
        <f t="shared" si="598"/>
        <v>48</v>
      </c>
      <c r="Y1187" t="str">
        <f>"35330410"</f>
        <v>35330410</v>
      </c>
      <c r="Z1187" t="str">
        <f>""</f>
        <v/>
      </c>
      <c r="AA1187" t="str">
        <f>""</f>
        <v/>
      </c>
      <c r="AB1187" t="str">
        <f>""</f>
        <v/>
      </c>
      <c r="AC1187" t="str">
        <f>""</f>
        <v/>
      </c>
      <c r="AD1187" t="str">
        <f>""</f>
        <v/>
      </c>
      <c r="AE1187" t="str">
        <f>""</f>
        <v/>
      </c>
      <c r="AF1187" t="str">
        <f>""</f>
        <v/>
      </c>
      <c r="AG1187" t="str">
        <f>""</f>
        <v/>
      </c>
      <c r="AH1187" t="str">
        <f>""</f>
        <v/>
      </c>
      <c r="AI1187" t="str">
        <f>""</f>
        <v/>
      </c>
      <c r="AJ1187" t="str">
        <f t="shared" si="601"/>
        <v>0</v>
      </c>
      <c r="AK1187" t="str">
        <f t="shared" si="601"/>
        <v>0</v>
      </c>
      <c r="AL1187" t="str">
        <f t="shared" si="601"/>
        <v>0</v>
      </c>
      <c r="AM1187" t="str">
        <f>""</f>
        <v/>
      </c>
      <c r="AN1187" t="str">
        <f>""</f>
        <v/>
      </c>
      <c r="AO1187" t="str">
        <f>""</f>
        <v/>
      </c>
      <c r="AP1187" t="str">
        <f>""</f>
        <v/>
      </c>
      <c r="AQ1187" t="str">
        <f>""</f>
        <v/>
      </c>
      <c r="AR1187" t="str">
        <f>""</f>
        <v/>
      </c>
      <c r="AS1187" t="str">
        <f>""</f>
        <v/>
      </c>
      <c r="AT1187" t="str">
        <f>""</f>
        <v/>
      </c>
      <c r="AU1187" t="str">
        <f>""</f>
        <v/>
      </c>
      <c r="AV1187" t="str">
        <f>""</f>
        <v/>
      </c>
      <c r="AW1187" t="str">
        <f>""</f>
        <v/>
      </c>
      <c r="AX1187" t="str">
        <f>""</f>
        <v/>
      </c>
      <c r="AY1187" t="str">
        <f>""</f>
        <v/>
      </c>
      <c r="AZ1187" t="str">
        <f>""</f>
        <v/>
      </c>
      <c r="BA1187" t="str">
        <f>""</f>
        <v/>
      </c>
      <c r="BB1187" t="str">
        <f>""</f>
        <v/>
      </c>
      <c r="BC1187" t="str">
        <f>""</f>
        <v/>
      </c>
      <c r="BD1187" t="str">
        <f>""</f>
        <v/>
      </c>
      <c r="BE1187" t="str">
        <f>""</f>
        <v/>
      </c>
      <c r="BF1187" t="str">
        <f t="shared" si="584"/>
        <v>A</v>
      </c>
      <c r="BG1187" t="str">
        <f t="shared" si="602"/>
        <v>0,00</v>
      </c>
      <c r="BH1187" t="str">
        <f t="shared" si="602"/>
        <v>0,00</v>
      </c>
      <c r="BI1187" t="str">
        <f t="shared" si="603"/>
        <v>EVENTUAL</v>
      </c>
      <c r="BJ1187" t="str">
        <f t="shared" si="585"/>
        <v>1</v>
      </c>
      <c r="BK1187" t="str">
        <f t="shared" si="586"/>
        <v>Farmacia</v>
      </c>
      <c r="BL1187" t="str">
        <f>""</f>
        <v/>
      </c>
      <c r="BM1187" t="str">
        <f t="shared" si="604"/>
        <v>NÃO É VARILUX ESPECIALISTA</v>
      </c>
      <c r="BN1187" t="str">
        <f>"NA"</f>
        <v>NA</v>
      </c>
      <c r="BO1187" t="str">
        <f>"FOCO VARILUX"</f>
        <v>FOCO VARILUX</v>
      </c>
      <c r="BP1187" t="str">
        <f>""</f>
        <v/>
      </c>
      <c r="BQ1187" t="str">
        <f>""</f>
        <v/>
      </c>
      <c r="BR1187" t="str">
        <f>""</f>
        <v/>
      </c>
      <c r="BS1187" t="str">
        <f>""</f>
        <v/>
      </c>
      <c r="BT1187" t="str">
        <f>""</f>
        <v/>
      </c>
      <c r="BU1187" t="str">
        <f>""</f>
        <v/>
      </c>
      <c r="BV1187" t="str">
        <f>"9"</f>
        <v>9</v>
      </c>
      <c r="BW1187" t="str">
        <f>"133"</f>
        <v>133</v>
      </c>
    </row>
    <row r="1188" spans="1:75" x14ac:dyDescent="0.35">
      <c r="A1188">
        <v>134703</v>
      </c>
      <c r="B1188" t="str">
        <f t="shared" si="581"/>
        <v>A</v>
      </c>
      <c r="C1188" t="str">
        <f t="shared" si="582"/>
        <v>80</v>
      </c>
      <c r="D1188" t="str">
        <f t="shared" si="575"/>
        <v>11121002</v>
      </c>
      <c r="E1188" t="str">
        <f t="shared" si="576"/>
        <v>121002</v>
      </c>
      <c r="F1188" t="str">
        <f t="shared" si="577"/>
        <v>CINTHIA NORONHA</v>
      </c>
      <c r="G1188" t="str">
        <f>"22359213000147"</f>
        <v>22359213000147</v>
      </c>
      <c r="H1188" t="str">
        <f>"0"</f>
        <v>0</v>
      </c>
      <c r="I1188" t="str">
        <f t="shared" si="583"/>
        <v>CONTA OPTICA</v>
      </c>
      <c r="J1188" t="str">
        <f>"TAIRONE &amp; CARVALHO COMERCIO DE ARTIGOS DE OTICA LTDA"</f>
        <v>TAIRONE &amp; CARVALHO COMERCIO DE ARTIGOS DE OTICA LTDA</v>
      </c>
      <c r="K1188" t="str">
        <f>"OTICA CRIS (4278)"</f>
        <v>OTICA CRIS (4278)</v>
      </c>
      <c r="L1188" t="str">
        <f>""</f>
        <v/>
      </c>
      <c r="M1188" t="str">
        <f>""</f>
        <v/>
      </c>
      <c r="N1188" t="str">
        <f>"CRISJOIASEOTICA@GMAIL.COM"</f>
        <v>CRISJOIASEOTICA@GMAIL.COM</v>
      </c>
      <c r="O1188" t="str">
        <f>""</f>
        <v/>
      </c>
      <c r="P1188" t="str">
        <f>"RUA ALMISCAR"</f>
        <v>RUA ALMISCAR</v>
      </c>
      <c r="Q1188" t="str">
        <f>"632"</f>
        <v>632</v>
      </c>
      <c r="R1188" t="str">
        <f>""</f>
        <v/>
      </c>
      <c r="S1188" t="str">
        <f>""</f>
        <v/>
      </c>
      <c r="T1188" t="str">
        <f>"88032300"</f>
        <v>88032300</v>
      </c>
      <c r="U1188" t="str">
        <f>"MONTE VERDE"</f>
        <v>MONTE VERDE</v>
      </c>
      <c r="V1188" t="str">
        <f>"FLORIANÓPOLIS"</f>
        <v>FLORIANÓPOLIS</v>
      </c>
      <c r="W1188" t="str">
        <f t="shared" si="600"/>
        <v>SC</v>
      </c>
      <c r="X1188" t="str">
        <f t="shared" si="598"/>
        <v>48</v>
      </c>
      <c r="Y1188" t="str">
        <f>"30122019"</f>
        <v>30122019</v>
      </c>
      <c r="Z1188" t="str">
        <f>""</f>
        <v/>
      </c>
      <c r="AA1188" t="str">
        <f>""</f>
        <v/>
      </c>
      <c r="AB1188" t="str">
        <f>""</f>
        <v/>
      </c>
      <c r="AC1188" t="str">
        <f>""</f>
        <v/>
      </c>
      <c r="AD1188" t="str">
        <f>""</f>
        <v/>
      </c>
      <c r="AE1188" t="str">
        <f>""</f>
        <v/>
      </c>
      <c r="AF1188" t="str">
        <f>""</f>
        <v/>
      </c>
      <c r="AG1188" t="str">
        <f>"S"</f>
        <v>S</v>
      </c>
      <c r="AH1188" t="str">
        <f>""</f>
        <v/>
      </c>
      <c r="AI1188" t="str">
        <f>""</f>
        <v/>
      </c>
      <c r="AJ1188" t="str">
        <f>""</f>
        <v/>
      </c>
      <c r="AK1188" t="str">
        <f>""</f>
        <v/>
      </c>
      <c r="AL1188" t="str">
        <f>""</f>
        <v/>
      </c>
      <c r="AM1188" t="str">
        <f>""</f>
        <v/>
      </c>
      <c r="AN1188" t="str">
        <f>""</f>
        <v/>
      </c>
      <c r="AO1188" t="str">
        <f>""</f>
        <v/>
      </c>
      <c r="AP1188" t="str">
        <f>""</f>
        <v/>
      </c>
      <c r="AQ1188" t="str">
        <f t="shared" ref="AQ1188:AU1189" si="605">"N"</f>
        <v>N</v>
      </c>
      <c r="AR1188" t="str">
        <f t="shared" si="605"/>
        <v>N</v>
      </c>
      <c r="AS1188" t="str">
        <f t="shared" si="605"/>
        <v>N</v>
      </c>
      <c r="AT1188" t="str">
        <f t="shared" si="605"/>
        <v>N</v>
      </c>
      <c r="AU1188" t="str">
        <f t="shared" si="605"/>
        <v>N</v>
      </c>
      <c r="AV1188" t="str">
        <f>""</f>
        <v/>
      </c>
      <c r="AW1188" t="str">
        <f>""</f>
        <v/>
      </c>
      <c r="AX1188" t="str">
        <f>""</f>
        <v/>
      </c>
      <c r="AY1188" t="str">
        <f>""</f>
        <v/>
      </c>
      <c r="AZ1188" t="str">
        <f>""</f>
        <v/>
      </c>
      <c r="BA1188" t="str">
        <f>""</f>
        <v/>
      </c>
      <c r="BB1188" t="str">
        <f>"16/03/2021 12:51:14"</f>
        <v>16/03/2021 12:51:14</v>
      </c>
      <c r="BC1188" t="str">
        <f>"11/07/2022 15:49:05"</f>
        <v>11/07/2022 15:49:05</v>
      </c>
      <c r="BD1188" t="str">
        <f>""</f>
        <v/>
      </c>
      <c r="BE1188" t="str">
        <f>""</f>
        <v/>
      </c>
      <c r="BF1188" t="str">
        <f t="shared" si="584"/>
        <v>A</v>
      </c>
      <c r="BG1188" t="str">
        <f>""</f>
        <v/>
      </c>
      <c r="BH1188" t="str">
        <f>"0,00"</f>
        <v>0,00</v>
      </c>
      <c r="BI1188" t="str">
        <f t="shared" si="603"/>
        <v>EVENTUAL</v>
      </c>
      <c r="BJ1188" t="str">
        <f t="shared" si="585"/>
        <v>1</v>
      </c>
      <c r="BK1188" t="str">
        <f t="shared" si="586"/>
        <v>Farmacia</v>
      </c>
      <c r="BL1188" t="str">
        <f>""</f>
        <v/>
      </c>
      <c r="BM1188" t="str">
        <f t="shared" si="604"/>
        <v>NÃO É VARILUX ESPECIALISTA</v>
      </c>
      <c r="BN1188" t="str">
        <f>"NA"</f>
        <v>NA</v>
      </c>
      <c r="BO1188" t="str">
        <f>""</f>
        <v/>
      </c>
      <c r="BP1188" t="str">
        <f>""</f>
        <v/>
      </c>
      <c r="BQ1188" t="str">
        <f>""</f>
        <v/>
      </c>
      <c r="BR1188" t="str">
        <f>"16/03/2021"</f>
        <v>16/03/2021</v>
      </c>
      <c r="BS1188" t="str">
        <f>"11/07/2022"</f>
        <v>11/07/2022</v>
      </c>
      <c r="BT1188" t="str">
        <f>""</f>
        <v/>
      </c>
      <c r="BU1188" t="str">
        <f>""</f>
        <v/>
      </c>
      <c r="BV1188" t="str">
        <f>""</f>
        <v/>
      </c>
      <c r="BW1188" t="str">
        <f>"16"</f>
        <v>16</v>
      </c>
    </row>
    <row r="1189" spans="1:75" x14ac:dyDescent="0.35">
      <c r="A1189">
        <v>134462</v>
      </c>
      <c r="B1189" t="str">
        <f t="shared" si="581"/>
        <v>A</v>
      </c>
      <c r="C1189" t="str">
        <f t="shared" si="582"/>
        <v>80</v>
      </c>
      <c r="D1189" t="str">
        <f t="shared" si="575"/>
        <v>11121002</v>
      </c>
      <c r="E1189" t="str">
        <f t="shared" si="576"/>
        <v>121002</v>
      </c>
      <c r="F1189" t="str">
        <f t="shared" si="577"/>
        <v>CINTHIA NORONHA</v>
      </c>
      <c r="G1189" t="str">
        <f>"10765368000102"</f>
        <v>10765368000102</v>
      </c>
      <c r="H1189" t="str">
        <f>""</f>
        <v/>
      </c>
      <c r="I1189" t="str">
        <f t="shared" si="583"/>
        <v>CONTA OPTICA</v>
      </c>
      <c r="J1189" t="str">
        <f>"TAIS RAMOS SANTAROSA ME"</f>
        <v>TAIS RAMOS SANTAROSA ME</v>
      </c>
      <c r="K1189" t="str">
        <f>"ARTE DO OLHAR (1706)"</f>
        <v>ARTE DO OLHAR (1706)</v>
      </c>
      <c r="L1189" t="str">
        <f>""</f>
        <v/>
      </c>
      <c r="M1189" t="str">
        <f>""</f>
        <v/>
      </c>
      <c r="N1189" t="str">
        <f>"artedoolhar@hotmail.com"</f>
        <v>artedoolhar@hotmail.com</v>
      </c>
      <c r="O1189" t="str">
        <f>""</f>
        <v/>
      </c>
      <c r="P1189" t="str">
        <f>"RUA LEDIO JOAO MARTINS"</f>
        <v>RUA LEDIO JOAO MARTINS</v>
      </c>
      <c r="Q1189" t="str">
        <f>"209"</f>
        <v>209</v>
      </c>
      <c r="R1189" t="str">
        <f>"SALA 12"</f>
        <v>SALA 12</v>
      </c>
      <c r="S1189" t="str">
        <f>"1259"</f>
        <v>1259</v>
      </c>
      <c r="T1189" t="str">
        <f>"88101100"</f>
        <v>88101100</v>
      </c>
      <c r="U1189" t="str">
        <f>"KOBRASSOL"</f>
        <v>KOBRASSOL</v>
      </c>
      <c r="V1189" t="str">
        <f>"SÃO JOSÉ"</f>
        <v>SÃO JOSÉ</v>
      </c>
      <c r="W1189" t="str">
        <f t="shared" si="600"/>
        <v>SC</v>
      </c>
      <c r="X1189" t="str">
        <f t="shared" si="598"/>
        <v>48</v>
      </c>
      <c r="Y1189" t="str">
        <f>"30352635"</f>
        <v>30352635</v>
      </c>
      <c r="Z1189" t="str">
        <f>""</f>
        <v/>
      </c>
      <c r="AA1189" t="str">
        <f>""</f>
        <v/>
      </c>
      <c r="AB1189" t="str">
        <f>""</f>
        <v/>
      </c>
      <c r="AC1189" t="str">
        <f>""</f>
        <v/>
      </c>
      <c r="AD1189" t="str">
        <f>""</f>
        <v/>
      </c>
      <c r="AE1189" t="str">
        <f>""</f>
        <v/>
      </c>
      <c r="AF1189" t="str">
        <f>""</f>
        <v/>
      </c>
      <c r="AG1189" t="str">
        <f>"S"</f>
        <v>S</v>
      </c>
      <c r="AH1189" t="str">
        <f>""</f>
        <v/>
      </c>
      <c r="AI1189" t="str">
        <f>""</f>
        <v/>
      </c>
      <c r="AJ1189" t="str">
        <f>""</f>
        <v/>
      </c>
      <c r="AK1189" t="str">
        <f>""</f>
        <v/>
      </c>
      <c r="AL1189" t="str">
        <f>""</f>
        <v/>
      </c>
      <c r="AM1189" t="str">
        <f>""</f>
        <v/>
      </c>
      <c r="AN1189" t="str">
        <f>""</f>
        <v/>
      </c>
      <c r="AO1189" t="str">
        <f>""</f>
        <v/>
      </c>
      <c r="AP1189" t="str">
        <f>""</f>
        <v/>
      </c>
      <c r="AQ1189" t="str">
        <f t="shared" si="605"/>
        <v>N</v>
      </c>
      <c r="AR1189" t="str">
        <f t="shared" si="605"/>
        <v>N</v>
      </c>
      <c r="AS1189" t="str">
        <f t="shared" si="605"/>
        <v>N</v>
      </c>
      <c r="AT1189" t="str">
        <f t="shared" si="605"/>
        <v>N</v>
      </c>
      <c r="AU1189" t="str">
        <f t="shared" si="605"/>
        <v>N</v>
      </c>
      <c r="AV1189" t="str">
        <f>""</f>
        <v/>
      </c>
      <c r="AW1189" t="str">
        <f>""</f>
        <v/>
      </c>
      <c r="AX1189" t="str">
        <f>""</f>
        <v/>
      </c>
      <c r="AY1189" t="str">
        <f>""</f>
        <v/>
      </c>
      <c r="AZ1189" t="str">
        <f>""</f>
        <v/>
      </c>
      <c r="BA1189" t="str">
        <f>""</f>
        <v/>
      </c>
      <c r="BB1189" t="str">
        <f>""</f>
        <v/>
      </c>
      <c r="BC1189" t="str">
        <f>"11/07/2022 13:25:04"</f>
        <v>11/07/2022 13:25:04</v>
      </c>
      <c r="BD1189" t="str">
        <f>""</f>
        <v/>
      </c>
      <c r="BE1189" t="str">
        <f>""</f>
        <v/>
      </c>
      <c r="BF1189" t="str">
        <f t="shared" si="584"/>
        <v>A</v>
      </c>
      <c r="BG1189" t="str">
        <f>""</f>
        <v/>
      </c>
      <c r="BH1189" t="str">
        <f>"0,00"</f>
        <v>0,00</v>
      </c>
      <c r="BI1189" t="str">
        <f t="shared" si="603"/>
        <v>EVENTUAL</v>
      </c>
      <c r="BJ1189" t="str">
        <f t="shared" si="585"/>
        <v>1</v>
      </c>
      <c r="BK1189" t="str">
        <f t="shared" si="586"/>
        <v>Farmacia</v>
      </c>
      <c r="BL1189" t="str">
        <f>""</f>
        <v/>
      </c>
      <c r="BM1189" t="str">
        <f t="shared" si="604"/>
        <v>NÃO É VARILUX ESPECIALISTA</v>
      </c>
      <c r="BN1189" t="str">
        <f>"NA"</f>
        <v>NA</v>
      </c>
      <c r="BO1189" t="str">
        <f>"OUTROS"</f>
        <v>OUTROS</v>
      </c>
      <c r="BP1189" t="str">
        <f>""</f>
        <v/>
      </c>
      <c r="BQ1189" t="str">
        <f>""</f>
        <v/>
      </c>
      <c r="BR1189" t="str">
        <f>""</f>
        <v/>
      </c>
      <c r="BS1189" t="str">
        <f>"11/07/2022"</f>
        <v>11/07/2022</v>
      </c>
      <c r="BT1189" t="str">
        <f>""</f>
        <v/>
      </c>
      <c r="BU1189" t="str">
        <f>""</f>
        <v/>
      </c>
      <c r="BV1189" t="str">
        <f>"9"</f>
        <v>9</v>
      </c>
      <c r="BW1189" t="str">
        <f>"155"</f>
        <v>155</v>
      </c>
    </row>
    <row r="1190" spans="1:75" x14ac:dyDescent="0.35">
      <c r="A1190">
        <v>156929</v>
      </c>
      <c r="B1190" t="str">
        <f t="shared" si="581"/>
        <v>A</v>
      </c>
      <c r="C1190" t="str">
        <f t="shared" si="582"/>
        <v>80</v>
      </c>
      <c r="D1190" t="str">
        <f t="shared" si="575"/>
        <v>11121002</v>
      </c>
      <c r="E1190" t="str">
        <f t="shared" si="576"/>
        <v>121002</v>
      </c>
      <c r="F1190" t="str">
        <f t="shared" si="577"/>
        <v>CINTHIA NORONHA</v>
      </c>
      <c r="G1190" t="str">
        <f>"25451803000193"</f>
        <v>25451803000193</v>
      </c>
      <c r="H1190" t="str">
        <f>"0"</f>
        <v>0</v>
      </c>
      <c r="I1190" t="str">
        <f t="shared" si="583"/>
        <v>CONTA OPTICA</v>
      </c>
      <c r="J1190" t="str">
        <f>"TAISI PEREIRA ROCHA PERRARO - ME"</f>
        <v>TAISI PEREIRA ROCHA PERRARO - ME</v>
      </c>
      <c r="K1190" t="str">
        <f>"MERCADÃO DOS ÓCULOS (3363)"</f>
        <v>MERCADÃO DOS ÓCULOS (3363)</v>
      </c>
      <c r="L1190" t="str">
        <f>""</f>
        <v/>
      </c>
      <c r="M1190" t="str">
        <f>""</f>
        <v/>
      </c>
      <c r="N1190" t="str">
        <f>"ELOSGERENTE@GMAIL.COM"</f>
        <v>ELOSGERENTE@GMAIL.COM</v>
      </c>
      <c r="O1190" t="str">
        <f>""</f>
        <v/>
      </c>
      <c r="P1190" t="str">
        <f>"GETULIO VARGAS"</f>
        <v>GETULIO VARGAS</v>
      </c>
      <c r="Q1190" t="str">
        <f>"15"</f>
        <v>15</v>
      </c>
      <c r="R1190" t="str">
        <f>"SALA 03"</f>
        <v>SALA 03</v>
      </c>
      <c r="S1190" t="str">
        <f>"1270"</f>
        <v>1270</v>
      </c>
      <c r="T1190" t="str">
        <f>"88960000"</f>
        <v>88960000</v>
      </c>
      <c r="U1190" t="str">
        <f>"CENTRO"</f>
        <v>CENTRO</v>
      </c>
      <c r="V1190" t="str">
        <f>"SOMBRIO"</f>
        <v>SOMBRIO</v>
      </c>
      <c r="W1190" t="str">
        <f t="shared" si="600"/>
        <v>SC</v>
      </c>
      <c r="X1190" t="str">
        <f t="shared" si="598"/>
        <v>48</v>
      </c>
      <c r="Y1190" t="str">
        <f>"35333292"</f>
        <v>35333292</v>
      </c>
      <c r="Z1190" t="str">
        <f>""</f>
        <v/>
      </c>
      <c r="AA1190" t="str">
        <f>""</f>
        <v/>
      </c>
      <c r="AB1190" t="str">
        <f>""</f>
        <v/>
      </c>
      <c r="AC1190" t="str">
        <f>""</f>
        <v/>
      </c>
      <c r="AD1190" t="str">
        <f>""</f>
        <v/>
      </c>
      <c r="AE1190" t="str">
        <f>""</f>
        <v/>
      </c>
      <c r="AF1190" t="str">
        <f>""</f>
        <v/>
      </c>
      <c r="AG1190" t="str">
        <f>""</f>
        <v/>
      </c>
      <c r="AH1190" t="str">
        <f>""</f>
        <v/>
      </c>
      <c r="AI1190" t="str">
        <f>""</f>
        <v/>
      </c>
      <c r="AJ1190" t="str">
        <f>""</f>
        <v/>
      </c>
      <c r="AK1190" t="str">
        <f>""</f>
        <v/>
      </c>
      <c r="AL1190" t="str">
        <f>""</f>
        <v/>
      </c>
      <c r="AM1190" t="str">
        <f>""</f>
        <v/>
      </c>
      <c r="AN1190" t="str">
        <f>""</f>
        <v/>
      </c>
      <c r="AO1190" t="str">
        <f>""</f>
        <v/>
      </c>
      <c r="AP1190" t="str">
        <f>""</f>
        <v/>
      </c>
      <c r="AQ1190" t="str">
        <f>""</f>
        <v/>
      </c>
      <c r="AR1190" t="str">
        <f>""</f>
        <v/>
      </c>
      <c r="AS1190" t="str">
        <f>""</f>
        <v/>
      </c>
      <c r="AT1190" t="str">
        <f>""</f>
        <v/>
      </c>
      <c r="AU1190" t="str">
        <f>""</f>
        <v/>
      </c>
      <c r="AV1190" t="str">
        <f>""</f>
        <v/>
      </c>
      <c r="AW1190" t="str">
        <f>""</f>
        <v/>
      </c>
      <c r="AX1190" t="str">
        <f>""</f>
        <v/>
      </c>
      <c r="AY1190" t="str">
        <f>""</f>
        <v/>
      </c>
      <c r="AZ1190" t="str">
        <f>""</f>
        <v/>
      </c>
      <c r="BA1190" t="str">
        <f>""</f>
        <v/>
      </c>
      <c r="BB1190" t="str">
        <f>"06/07/2023 12:07:48"</f>
        <v>06/07/2023 12:07:48</v>
      </c>
      <c r="BC1190" t="str">
        <f>""</f>
        <v/>
      </c>
      <c r="BD1190" t="str">
        <f>""</f>
        <v/>
      </c>
      <c r="BE1190" t="str">
        <f>""</f>
        <v/>
      </c>
      <c r="BF1190" t="str">
        <f t="shared" si="584"/>
        <v>A</v>
      </c>
      <c r="BG1190" t="str">
        <f>""</f>
        <v/>
      </c>
      <c r="BH1190" t="str">
        <f>""</f>
        <v/>
      </c>
      <c r="BI1190" t="str">
        <f t="shared" si="603"/>
        <v>EVENTUAL</v>
      </c>
      <c r="BJ1190" t="str">
        <f t="shared" si="585"/>
        <v>1</v>
      </c>
      <c r="BK1190" t="str">
        <f t="shared" si="586"/>
        <v>Farmacia</v>
      </c>
      <c r="BL1190" t="str">
        <f>""</f>
        <v/>
      </c>
      <c r="BM1190" t="str">
        <f>""</f>
        <v/>
      </c>
      <c r="BN1190" t="str">
        <f>""</f>
        <v/>
      </c>
      <c r="BO1190" t="str">
        <f>""</f>
        <v/>
      </c>
      <c r="BP1190" t="str">
        <f>""</f>
        <v/>
      </c>
      <c r="BQ1190" t="str">
        <f>""</f>
        <v/>
      </c>
      <c r="BR1190" t="str">
        <f>"06/07/2023"</f>
        <v>06/07/2023</v>
      </c>
      <c r="BS1190" t="str">
        <f>""</f>
        <v/>
      </c>
      <c r="BT1190" t="str">
        <f>""</f>
        <v/>
      </c>
      <c r="BU1190" t="str">
        <f>""</f>
        <v/>
      </c>
      <c r="BV1190" t="str">
        <f>""</f>
        <v/>
      </c>
      <c r="BW1190" t="str">
        <f>"Não visitado"</f>
        <v>Não visitado</v>
      </c>
    </row>
    <row r="1191" spans="1:75" x14ac:dyDescent="0.35">
      <c r="A1191">
        <v>157663</v>
      </c>
      <c r="B1191" t="str">
        <f t="shared" si="581"/>
        <v>A</v>
      </c>
      <c r="C1191" t="str">
        <f t="shared" si="582"/>
        <v>80</v>
      </c>
      <c r="D1191" t="str">
        <f t="shared" si="575"/>
        <v>11121002</v>
      </c>
      <c r="E1191" t="str">
        <f t="shared" si="576"/>
        <v>121002</v>
      </c>
      <c r="F1191" t="str">
        <f t="shared" si="577"/>
        <v>CINTHIA NORONHA</v>
      </c>
      <c r="G1191" t="str">
        <f>"18813792000189"</f>
        <v>18813792000189</v>
      </c>
      <c r="H1191" t="str">
        <f>"0"</f>
        <v>0</v>
      </c>
      <c r="I1191" t="str">
        <f t="shared" si="583"/>
        <v>CONTA OPTICA</v>
      </c>
      <c r="J1191" t="str">
        <f>"TATIANA PERES 76619141072"</f>
        <v>TATIANA PERES 76619141072</v>
      </c>
      <c r="K1191" t="str">
        <f>"LIONS VISION (2052)"</f>
        <v>LIONS VISION (2052)</v>
      </c>
      <c r="L1191" t="str">
        <f>""</f>
        <v/>
      </c>
      <c r="M1191" t="str">
        <f>""</f>
        <v/>
      </c>
      <c r="N1191" t="str">
        <f>"OTICALIONSVISION@YAHOO.COM.BR"</f>
        <v>OTICALIONSVISION@YAHOO.COM.BR</v>
      </c>
      <c r="O1191" t="str">
        <f>""</f>
        <v/>
      </c>
      <c r="P1191" t="str">
        <f>"RUA SC 434 KM 11 AVENIDA PERIMETRAL"</f>
        <v>RUA SC 434 KM 11 AVENIDA PERIMETRAL</v>
      </c>
      <c r="Q1191" t="str">
        <f>"#VALUE!"</f>
        <v>#VALUE!</v>
      </c>
      <c r="R1191" t="str">
        <f>""</f>
        <v/>
      </c>
      <c r="S1191" t="str">
        <f>"1265"</f>
        <v>1265</v>
      </c>
      <c r="T1191" t="str">
        <f>"88495000"</f>
        <v>88495000</v>
      </c>
      <c r="U1191" t="str">
        <f>"CAMPO DUNA"</f>
        <v>CAMPO DUNA</v>
      </c>
      <c r="V1191" t="str">
        <f>"GAROPABA"</f>
        <v>GAROPABA</v>
      </c>
      <c r="W1191" t="str">
        <f t="shared" si="600"/>
        <v>SC</v>
      </c>
      <c r="X1191" t="str">
        <f t="shared" si="598"/>
        <v>48</v>
      </c>
      <c r="Y1191" t="str">
        <f>""</f>
        <v/>
      </c>
      <c r="Z1191" t="str">
        <f>""</f>
        <v/>
      </c>
      <c r="AA1191" t="str">
        <f>""</f>
        <v/>
      </c>
      <c r="AB1191" t="str">
        <f>""</f>
        <v/>
      </c>
      <c r="AC1191" t="str">
        <f>""</f>
        <v/>
      </c>
      <c r="AD1191" t="str">
        <f>""</f>
        <v/>
      </c>
      <c r="AE1191" t="str">
        <f>""</f>
        <v/>
      </c>
      <c r="AF1191" t="str">
        <f>""</f>
        <v/>
      </c>
      <c r="AG1191" t="str">
        <f>""</f>
        <v/>
      </c>
      <c r="AH1191" t="str">
        <f>""</f>
        <v/>
      </c>
      <c r="AI1191" t="str">
        <f>""</f>
        <v/>
      </c>
      <c r="AJ1191" t="str">
        <f>""</f>
        <v/>
      </c>
      <c r="AK1191" t="str">
        <f>""</f>
        <v/>
      </c>
      <c r="AL1191" t="str">
        <f>""</f>
        <v/>
      </c>
      <c r="AM1191" t="str">
        <f>""</f>
        <v/>
      </c>
      <c r="AN1191" t="str">
        <f>""</f>
        <v/>
      </c>
      <c r="AO1191" t="str">
        <f>""</f>
        <v/>
      </c>
      <c r="AP1191" t="str">
        <f>""</f>
        <v/>
      </c>
      <c r="AQ1191" t="str">
        <f>""</f>
        <v/>
      </c>
      <c r="AR1191" t="str">
        <f>""</f>
        <v/>
      </c>
      <c r="AS1191" t="str">
        <f>""</f>
        <v/>
      </c>
      <c r="AT1191" t="str">
        <f>""</f>
        <v/>
      </c>
      <c r="AU1191" t="str">
        <f>""</f>
        <v/>
      </c>
      <c r="AV1191" t="str">
        <f>""</f>
        <v/>
      </c>
      <c r="AW1191" t="str">
        <f>""</f>
        <v/>
      </c>
      <c r="AX1191" t="str">
        <f>""</f>
        <v/>
      </c>
      <c r="AY1191" t="str">
        <f>""</f>
        <v/>
      </c>
      <c r="AZ1191" t="str">
        <f>""</f>
        <v/>
      </c>
      <c r="BA1191" t="str">
        <f>""</f>
        <v/>
      </c>
      <c r="BB1191" t="str">
        <f>"11/07/2023 02:19:56"</f>
        <v>11/07/2023 02:19:56</v>
      </c>
      <c r="BC1191" t="str">
        <f>""</f>
        <v/>
      </c>
      <c r="BD1191" t="str">
        <f>""</f>
        <v/>
      </c>
      <c r="BE1191" t="str">
        <f>""</f>
        <v/>
      </c>
      <c r="BF1191" t="str">
        <f t="shared" si="584"/>
        <v>A</v>
      </c>
      <c r="BG1191" t="str">
        <f>""</f>
        <v/>
      </c>
      <c r="BH1191" t="str">
        <f>""</f>
        <v/>
      </c>
      <c r="BI1191" t="str">
        <f t="shared" si="603"/>
        <v>EVENTUAL</v>
      </c>
      <c r="BJ1191" t="str">
        <f t="shared" si="585"/>
        <v>1</v>
      </c>
      <c r="BK1191" t="str">
        <f t="shared" si="586"/>
        <v>Farmacia</v>
      </c>
      <c r="BL1191" t="str">
        <f>""</f>
        <v/>
      </c>
      <c r="BM1191" t="str">
        <f>""</f>
        <v/>
      </c>
      <c r="BN1191" t="str">
        <f>""</f>
        <v/>
      </c>
      <c r="BO1191" t="str">
        <f>""</f>
        <v/>
      </c>
      <c r="BP1191" t="str">
        <f>""</f>
        <v/>
      </c>
      <c r="BQ1191" t="str">
        <f>""</f>
        <v/>
      </c>
      <c r="BR1191" t="str">
        <f>"11/07/2023"</f>
        <v>11/07/2023</v>
      </c>
      <c r="BS1191" t="str">
        <f>""</f>
        <v/>
      </c>
      <c r="BT1191" t="str">
        <f>""</f>
        <v/>
      </c>
      <c r="BU1191" t="str">
        <f>""</f>
        <v/>
      </c>
      <c r="BV1191" t="str">
        <f>""</f>
        <v/>
      </c>
      <c r="BW1191" t="str">
        <f>"Não visitado"</f>
        <v>Não visitado</v>
      </c>
    </row>
    <row r="1192" spans="1:75" x14ac:dyDescent="0.35">
      <c r="A1192">
        <v>157711</v>
      </c>
      <c r="B1192" t="str">
        <f t="shared" si="581"/>
        <v>A</v>
      </c>
      <c r="C1192" t="str">
        <f t="shared" si="582"/>
        <v>80</v>
      </c>
      <c r="D1192" t="str">
        <f t="shared" si="575"/>
        <v>11121002</v>
      </c>
      <c r="E1192" t="str">
        <f t="shared" si="576"/>
        <v>121002</v>
      </c>
      <c r="F1192" t="str">
        <f t="shared" si="577"/>
        <v>CINTHIA NORONHA</v>
      </c>
      <c r="G1192" t="str">
        <f>"18794793000123"</f>
        <v>18794793000123</v>
      </c>
      <c r="H1192" t="str">
        <f>"0"</f>
        <v>0</v>
      </c>
      <c r="I1192" t="str">
        <f t="shared" si="583"/>
        <v>CONTA OPTICA</v>
      </c>
      <c r="J1192" t="str">
        <f>"TATIANE CRISTINE WIPPRICH EIRELI ME"</f>
        <v>TATIANE CRISTINE WIPPRICH EIRELI ME</v>
      </c>
      <c r="K1192" t="str">
        <f>"ÓTICA MODELO (2049)"</f>
        <v>ÓTICA MODELO (2049)</v>
      </c>
      <c r="L1192" t="str">
        <f>""</f>
        <v/>
      </c>
      <c r="M1192" t="str">
        <f>""</f>
        <v/>
      </c>
      <c r="N1192" t="str">
        <f>"TATIANEWIPPRICH@HOTMAIL.COM"</f>
        <v>TATIANEWIPPRICH@HOTMAIL.COM</v>
      </c>
      <c r="O1192" t="str">
        <f>""</f>
        <v/>
      </c>
      <c r="P1192" t="str">
        <f>"RUA JERONIMO COELHO"</f>
        <v>RUA JERONIMO COELHO</v>
      </c>
      <c r="Q1192" t="str">
        <f>"325"</f>
        <v>325</v>
      </c>
      <c r="R1192" t="str">
        <f>"SALA 1"</f>
        <v>SALA 1</v>
      </c>
      <c r="S1192" t="str">
        <f>"1254"</f>
        <v>1254</v>
      </c>
      <c r="T1192" t="str">
        <f>"88010030"</f>
        <v>88010030</v>
      </c>
      <c r="U1192" t="str">
        <f>"CENTRO"</f>
        <v>CENTRO</v>
      </c>
      <c r="V1192" t="str">
        <f>"FLORIANOPOLIS"</f>
        <v>FLORIANOPOLIS</v>
      </c>
      <c r="W1192" t="str">
        <f t="shared" si="600"/>
        <v>SC</v>
      </c>
      <c r="X1192" t="str">
        <f t="shared" si="598"/>
        <v>48</v>
      </c>
      <c r="Y1192" t="str">
        <f>"33649500"</f>
        <v>33649500</v>
      </c>
      <c r="Z1192" t="str">
        <f>""</f>
        <v/>
      </c>
      <c r="AA1192" t="str">
        <f>""</f>
        <v/>
      </c>
      <c r="AB1192" t="str">
        <f>""</f>
        <v/>
      </c>
      <c r="AC1192" t="str">
        <f>""</f>
        <v/>
      </c>
      <c r="AD1192" t="str">
        <f>""</f>
        <v/>
      </c>
      <c r="AE1192" t="str">
        <f>""</f>
        <v/>
      </c>
      <c r="AF1192" t="str">
        <f>""</f>
        <v/>
      </c>
      <c r="AG1192" t="str">
        <f>""</f>
        <v/>
      </c>
      <c r="AH1192" t="str">
        <f>""</f>
        <v/>
      </c>
      <c r="AI1192" t="str">
        <f>""</f>
        <v/>
      </c>
      <c r="AJ1192" t="str">
        <f>""</f>
        <v/>
      </c>
      <c r="AK1192" t="str">
        <f>""</f>
        <v/>
      </c>
      <c r="AL1192" t="str">
        <f>""</f>
        <v/>
      </c>
      <c r="AM1192" t="str">
        <f>""</f>
        <v/>
      </c>
      <c r="AN1192" t="str">
        <f>""</f>
        <v/>
      </c>
      <c r="AO1192" t="str">
        <f>""</f>
        <v/>
      </c>
      <c r="AP1192" t="str">
        <f>""</f>
        <v/>
      </c>
      <c r="AQ1192" t="str">
        <f>""</f>
        <v/>
      </c>
      <c r="AR1192" t="str">
        <f>""</f>
        <v/>
      </c>
      <c r="AS1192" t="str">
        <f>""</f>
        <v/>
      </c>
      <c r="AT1192" t="str">
        <f>""</f>
        <v/>
      </c>
      <c r="AU1192" t="str">
        <f>""</f>
        <v/>
      </c>
      <c r="AV1192" t="str">
        <f>""</f>
        <v/>
      </c>
      <c r="AW1192" t="str">
        <f>""</f>
        <v/>
      </c>
      <c r="AX1192" t="str">
        <f>""</f>
        <v/>
      </c>
      <c r="AY1192" t="str">
        <f>""</f>
        <v/>
      </c>
      <c r="AZ1192" t="str">
        <f>""</f>
        <v/>
      </c>
      <c r="BA1192" t="str">
        <f>""</f>
        <v/>
      </c>
      <c r="BB1192" t="str">
        <f>"11/07/2023 02:19:56"</f>
        <v>11/07/2023 02:19:56</v>
      </c>
      <c r="BC1192" t="str">
        <f>""</f>
        <v/>
      </c>
      <c r="BD1192" t="str">
        <f>""</f>
        <v/>
      </c>
      <c r="BE1192" t="str">
        <f>""</f>
        <v/>
      </c>
      <c r="BF1192" t="str">
        <f t="shared" si="584"/>
        <v>A</v>
      </c>
      <c r="BG1192" t="str">
        <f>""</f>
        <v/>
      </c>
      <c r="BH1192" t="str">
        <f>""</f>
        <v/>
      </c>
      <c r="BI1192" t="str">
        <f t="shared" si="603"/>
        <v>EVENTUAL</v>
      </c>
      <c r="BJ1192" t="str">
        <f t="shared" si="585"/>
        <v>1</v>
      </c>
      <c r="BK1192" t="str">
        <f t="shared" si="586"/>
        <v>Farmacia</v>
      </c>
      <c r="BL1192" t="str">
        <f>""</f>
        <v/>
      </c>
      <c r="BM1192" t="str">
        <f>""</f>
        <v/>
      </c>
      <c r="BN1192" t="str">
        <f>""</f>
        <v/>
      </c>
      <c r="BO1192" t="str">
        <f>""</f>
        <v/>
      </c>
      <c r="BP1192" t="str">
        <f>""</f>
        <v/>
      </c>
      <c r="BQ1192" t="str">
        <f>""</f>
        <v/>
      </c>
      <c r="BR1192" t="str">
        <f>"11/07/2023"</f>
        <v>11/07/2023</v>
      </c>
      <c r="BS1192" t="str">
        <f>""</f>
        <v/>
      </c>
      <c r="BT1192" t="str">
        <f>""</f>
        <v/>
      </c>
      <c r="BU1192" t="str">
        <f>""</f>
        <v/>
      </c>
      <c r="BV1192" t="str">
        <f>""</f>
        <v/>
      </c>
      <c r="BW1192" t="str">
        <f>"Não visitado"</f>
        <v>Não visitado</v>
      </c>
    </row>
    <row r="1193" spans="1:75" x14ac:dyDescent="0.35">
      <c r="A1193">
        <v>157611</v>
      </c>
      <c r="B1193" t="str">
        <f t="shared" si="581"/>
        <v>A</v>
      </c>
      <c r="C1193" t="str">
        <f t="shared" si="582"/>
        <v>80</v>
      </c>
      <c r="D1193" t="str">
        <f t="shared" si="575"/>
        <v>11121002</v>
      </c>
      <c r="E1193" t="str">
        <f t="shared" si="576"/>
        <v>121002</v>
      </c>
      <c r="F1193" t="str">
        <f t="shared" si="577"/>
        <v>CINTHIA NORONHA</v>
      </c>
      <c r="G1193" t="str">
        <f>"18513389000134"</f>
        <v>18513389000134</v>
      </c>
      <c r="H1193" t="str">
        <f>"0"</f>
        <v>0</v>
      </c>
      <c r="I1193" t="str">
        <f t="shared" si="583"/>
        <v>CONTA OPTICA</v>
      </c>
      <c r="J1193" t="str">
        <f>"TATIG COMERCIO DE PRODUTOS OPTICOS EIRELE"</f>
        <v>TATIG COMERCIO DE PRODUTOS OPTICOS EIRELE</v>
      </c>
      <c r="K1193" t="str">
        <f>"OTICAS CAROL (4042)"</f>
        <v>OTICAS CAROL (4042)</v>
      </c>
      <c r="L1193" t="str">
        <f>""</f>
        <v/>
      </c>
      <c r="M1193" t="str">
        <f>""</f>
        <v/>
      </c>
      <c r="N1193" t="str">
        <f>"CONTROLADORIA.FLORIPA@OTICASCAROL.COM.BR"</f>
        <v>CONTROLADORIA.FLORIPA@OTICASCAROL.COM.BR</v>
      </c>
      <c r="O1193" t="str">
        <f>""</f>
        <v/>
      </c>
      <c r="P1193" t="str">
        <f>"RUA FELIPE SCHMIDT"</f>
        <v>RUA FELIPE SCHMIDT</v>
      </c>
      <c r="Q1193" t="str">
        <f>"249"</f>
        <v>249</v>
      </c>
      <c r="R1193" t="str">
        <f>"SL01 ARS"</f>
        <v>SL01 ARS</v>
      </c>
      <c r="S1193" t="str">
        <f>"1254"</f>
        <v>1254</v>
      </c>
      <c r="T1193" t="str">
        <f>"88010000"</f>
        <v>88010000</v>
      </c>
      <c r="U1193" t="str">
        <f>"CENTRO"</f>
        <v>CENTRO</v>
      </c>
      <c r="V1193" t="str">
        <f>"FLORIANOPOLIS"</f>
        <v>FLORIANOPOLIS</v>
      </c>
      <c r="W1193" t="str">
        <f t="shared" si="600"/>
        <v>SC</v>
      </c>
      <c r="X1193" t="str">
        <f t="shared" si="598"/>
        <v>48</v>
      </c>
      <c r="Y1193" t="str">
        <f>"37712230"</f>
        <v>37712230</v>
      </c>
      <c r="Z1193" t="str">
        <f>""</f>
        <v/>
      </c>
      <c r="AA1193" t="str">
        <f>""</f>
        <v/>
      </c>
      <c r="AB1193" t="str">
        <f>""</f>
        <v/>
      </c>
      <c r="AC1193" t="str">
        <f>""</f>
        <v/>
      </c>
      <c r="AD1193" t="str">
        <f>""</f>
        <v/>
      </c>
      <c r="AE1193" t="str">
        <f>""</f>
        <v/>
      </c>
      <c r="AF1193" t="str">
        <f>""</f>
        <v/>
      </c>
      <c r="AG1193" t="str">
        <f>""</f>
        <v/>
      </c>
      <c r="AH1193" t="str">
        <f>""</f>
        <v/>
      </c>
      <c r="AI1193" t="str">
        <f>""</f>
        <v/>
      </c>
      <c r="AJ1193" t="str">
        <f>""</f>
        <v/>
      </c>
      <c r="AK1193" t="str">
        <f>""</f>
        <v/>
      </c>
      <c r="AL1193" t="str">
        <f>""</f>
        <v/>
      </c>
      <c r="AM1193" t="str">
        <f>""</f>
        <v/>
      </c>
      <c r="AN1193" t="str">
        <f>""</f>
        <v/>
      </c>
      <c r="AO1193" t="str">
        <f>""</f>
        <v/>
      </c>
      <c r="AP1193" t="str">
        <f>""</f>
        <v/>
      </c>
      <c r="AQ1193" t="str">
        <f>""</f>
        <v/>
      </c>
      <c r="AR1193" t="str">
        <f>""</f>
        <v/>
      </c>
      <c r="AS1193" t="str">
        <f>""</f>
        <v/>
      </c>
      <c r="AT1193" t="str">
        <f>""</f>
        <v/>
      </c>
      <c r="AU1193" t="str">
        <f>""</f>
        <v/>
      </c>
      <c r="AV1193" t="str">
        <f>""</f>
        <v/>
      </c>
      <c r="AW1193" t="str">
        <f>""</f>
        <v/>
      </c>
      <c r="AX1193" t="str">
        <f>""</f>
        <v/>
      </c>
      <c r="AY1193" t="str">
        <f>""</f>
        <v/>
      </c>
      <c r="AZ1193" t="str">
        <f>""</f>
        <v/>
      </c>
      <c r="BA1193" t="str">
        <f>""</f>
        <v/>
      </c>
      <c r="BB1193" t="str">
        <f>"11/07/2023 02:19:56"</f>
        <v>11/07/2023 02:19:56</v>
      </c>
      <c r="BC1193" t="str">
        <f>""</f>
        <v/>
      </c>
      <c r="BD1193" t="str">
        <f>""</f>
        <v/>
      </c>
      <c r="BE1193" t="str">
        <f>""</f>
        <v/>
      </c>
      <c r="BF1193" t="str">
        <f t="shared" si="584"/>
        <v>A</v>
      </c>
      <c r="BG1193" t="str">
        <f>""</f>
        <v/>
      </c>
      <c r="BH1193" t="str">
        <f>""</f>
        <v/>
      </c>
      <c r="BI1193" t="str">
        <f t="shared" si="603"/>
        <v>EVENTUAL</v>
      </c>
      <c r="BJ1193" t="str">
        <f t="shared" si="585"/>
        <v>1</v>
      </c>
      <c r="BK1193" t="str">
        <f t="shared" si="586"/>
        <v>Farmacia</v>
      </c>
      <c r="BL1193" t="str">
        <f>""</f>
        <v/>
      </c>
      <c r="BM1193" t="str">
        <f>""</f>
        <v/>
      </c>
      <c r="BN1193" t="str">
        <f>""</f>
        <v/>
      </c>
      <c r="BO1193" t="str">
        <f>""</f>
        <v/>
      </c>
      <c r="BP1193" t="str">
        <f>""</f>
        <v/>
      </c>
      <c r="BQ1193" t="str">
        <f>""</f>
        <v/>
      </c>
      <c r="BR1193" t="str">
        <f>"11/07/2023"</f>
        <v>11/07/2023</v>
      </c>
      <c r="BS1193" t="str">
        <f>""</f>
        <v/>
      </c>
      <c r="BT1193" t="str">
        <f>""</f>
        <v/>
      </c>
      <c r="BU1193" t="str">
        <f>""</f>
        <v/>
      </c>
      <c r="BV1193" t="str">
        <f>""</f>
        <v/>
      </c>
      <c r="BW1193" t="str">
        <f>"38"</f>
        <v>38</v>
      </c>
    </row>
    <row r="1194" spans="1:75" x14ac:dyDescent="0.35">
      <c r="A1194">
        <v>127738</v>
      </c>
      <c r="B1194" t="str">
        <f t="shared" si="581"/>
        <v>A</v>
      </c>
      <c r="C1194" t="str">
        <f t="shared" si="582"/>
        <v>80</v>
      </c>
      <c r="D1194" t="str">
        <f t="shared" si="575"/>
        <v>11121002</v>
      </c>
      <c r="E1194" t="str">
        <f t="shared" si="576"/>
        <v>121002</v>
      </c>
      <c r="F1194" t="str">
        <f t="shared" si="577"/>
        <v>CINTHIA NORONHA</v>
      </c>
      <c r="G1194" t="str">
        <f>"06063988000114"</f>
        <v>06063988000114</v>
      </c>
      <c r="H1194" t="str">
        <f>"0"</f>
        <v>0</v>
      </c>
      <c r="I1194" t="str">
        <f t="shared" si="583"/>
        <v>CONTA OPTICA</v>
      </c>
      <c r="J1194" t="str">
        <f>"TESSARO JOIAS LTDA ME"</f>
        <v>TESSARO JOIAS LTDA ME</v>
      </c>
      <c r="K1194" t="str">
        <f>"BRUNA TESSARO JOIAS (1978)"</f>
        <v>BRUNA TESSARO JOIAS (1978)</v>
      </c>
      <c r="L1194" t="str">
        <f>""</f>
        <v/>
      </c>
      <c r="M1194" t="str">
        <f>""</f>
        <v/>
      </c>
      <c r="N1194" t="str">
        <f>"marciaabm@brunatessaro.com.br"</f>
        <v>marciaabm@brunatessaro.com.br</v>
      </c>
      <c r="O1194" t="str">
        <f>""</f>
        <v/>
      </c>
      <c r="P1194" t="str">
        <f>"AVENIDA ATILIO PAGANI"</f>
        <v>AVENIDA ATILIO PAGANI</v>
      </c>
      <c r="Q1194" t="str">
        <f>"270"</f>
        <v>270</v>
      </c>
      <c r="R1194" t="str">
        <f>"SALA 233"</f>
        <v>SALA 233</v>
      </c>
      <c r="S1194" t="str">
        <f>"1259"</f>
        <v>1259</v>
      </c>
      <c r="T1194" t="str">
        <f>"88132149"</f>
        <v>88132149</v>
      </c>
      <c r="U1194" t="str">
        <f>"PASSA VINTE"</f>
        <v>PASSA VINTE</v>
      </c>
      <c r="V1194" t="str">
        <f>"PALHOÇA"</f>
        <v>PALHOÇA</v>
      </c>
      <c r="W1194" t="str">
        <f t="shared" si="600"/>
        <v>SC</v>
      </c>
      <c r="X1194" t="str">
        <f t="shared" si="598"/>
        <v>48</v>
      </c>
      <c r="Y1194" t="str">
        <f>"30869233"</f>
        <v>30869233</v>
      </c>
      <c r="Z1194" t="str">
        <f>""</f>
        <v/>
      </c>
      <c r="AA1194" t="str">
        <f>""</f>
        <v/>
      </c>
      <c r="AB1194" t="str">
        <f>""</f>
        <v/>
      </c>
      <c r="AC1194" t="str">
        <f>""</f>
        <v/>
      </c>
      <c r="AD1194" t="str">
        <f>""</f>
        <v/>
      </c>
      <c r="AE1194" t="str">
        <f>""</f>
        <v/>
      </c>
      <c r="AF1194" t="str">
        <f>""</f>
        <v/>
      </c>
      <c r="AG1194" t="str">
        <f>""</f>
        <v/>
      </c>
      <c r="AH1194" t="str">
        <f>""</f>
        <v/>
      </c>
      <c r="AI1194" t="str">
        <f>""</f>
        <v/>
      </c>
      <c r="AJ1194" t="str">
        <f t="shared" ref="AJ1194:AL1195" si="606">"0"</f>
        <v>0</v>
      </c>
      <c r="AK1194" t="str">
        <f t="shared" si="606"/>
        <v>0</v>
      </c>
      <c r="AL1194" t="str">
        <f t="shared" si="606"/>
        <v>0</v>
      </c>
      <c r="AM1194" t="str">
        <f>""</f>
        <v/>
      </c>
      <c r="AN1194" t="str">
        <f>""</f>
        <v/>
      </c>
      <c r="AO1194" t="str">
        <f>""</f>
        <v/>
      </c>
      <c r="AP1194" t="str">
        <f>""</f>
        <v/>
      </c>
      <c r="AQ1194" t="str">
        <f>""</f>
        <v/>
      </c>
      <c r="AR1194" t="str">
        <f>""</f>
        <v/>
      </c>
      <c r="AS1194" t="str">
        <f>""</f>
        <v/>
      </c>
      <c r="AT1194" t="str">
        <f>""</f>
        <v/>
      </c>
      <c r="AU1194" t="str">
        <f>""</f>
        <v/>
      </c>
      <c r="AV1194" t="str">
        <f>""</f>
        <v/>
      </c>
      <c r="AW1194" t="str">
        <f>""</f>
        <v/>
      </c>
      <c r="AX1194" t="str">
        <f>""</f>
        <v/>
      </c>
      <c r="AY1194" t="str">
        <f>""</f>
        <v/>
      </c>
      <c r="AZ1194" t="str">
        <f>""</f>
        <v/>
      </c>
      <c r="BA1194" t="str">
        <f>""</f>
        <v/>
      </c>
      <c r="BB1194" t="str">
        <f>"07/10/2020 09:08:38"</f>
        <v>07/10/2020 09:08:38</v>
      </c>
      <c r="BC1194" t="str">
        <f>""</f>
        <v/>
      </c>
      <c r="BD1194" t="str">
        <f>""</f>
        <v/>
      </c>
      <c r="BE1194" t="str">
        <f>""</f>
        <v/>
      </c>
      <c r="BF1194" t="str">
        <f t="shared" si="584"/>
        <v>A</v>
      </c>
      <c r="BG1194" t="str">
        <f>"0,00"</f>
        <v>0,00</v>
      </c>
      <c r="BH1194" t="str">
        <f>"0,00"</f>
        <v>0,00</v>
      </c>
      <c r="BI1194" t="str">
        <f t="shared" si="603"/>
        <v>EVENTUAL</v>
      </c>
      <c r="BJ1194" t="str">
        <f t="shared" si="585"/>
        <v>1</v>
      </c>
      <c r="BK1194" t="str">
        <f t="shared" si="586"/>
        <v>Farmacia</v>
      </c>
      <c r="BL1194" t="str">
        <f>""</f>
        <v/>
      </c>
      <c r="BM1194" t="str">
        <f>"NÃO É VARILUX ESPECIALISTA"</f>
        <v>NÃO É VARILUX ESPECIALISTA</v>
      </c>
      <c r="BN1194" t="str">
        <f>"NA"</f>
        <v>NA</v>
      </c>
      <c r="BO1194" t="str">
        <f>"OUTROS"</f>
        <v>OUTROS</v>
      </c>
      <c r="BP1194" t="str">
        <f>""</f>
        <v/>
      </c>
      <c r="BQ1194" t="str">
        <f>""</f>
        <v/>
      </c>
      <c r="BR1194" t="str">
        <f>"07/10/2020"</f>
        <v>07/10/2020</v>
      </c>
      <c r="BS1194" t="str">
        <f>""</f>
        <v/>
      </c>
      <c r="BT1194" t="str">
        <f>""</f>
        <v/>
      </c>
      <c r="BU1194" t="str">
        <f>""</f>
        <v/>
      </c>
      <c r="BV1194" t="str">
        <f>"9"</f>
        <v>9</v>
      </c>
      <c r="BW1194" t="str">
        <f>"Não visitado"</f>
        <v>Não visitado</v>
      </c>
    </row>
    <row r="1195" spans="1:75" x14ac:dyDescent="0.35">
      <c r="A1195">
        <v>144691</v>
      </c>
      <c r="B1195" t="str">
        <f t="shared" si="581"/>
        <v>A</v>
      </c>
      <c r="C1195" t="str">
        <f t="shared" si="582"/>
        <v>80</v>
      </c>
      <c r="D1195" t="str">
        <f t="shared" si="575"/>
        <v>11121002</v>
      </c>
      <c r="E1195" t="str">
        <f t="shared" si="576"/>
        <v>121002</v>
      </c>
      <c r="F1195" t="str">
        <f t="shared" si="577"/>
        <v>CINTHIA NORONHA</v>
      </c>
      <c r="G1195" t="str">
        <f>"24264978000129"</f>
        <v>24264978000129</v>
      </c>
      <c r="H1195" t="str">
        <f>""</f>
        <v/>
      </c>
      <c r="I1195" t="str">
        <f t="shared" si="583"/>
        <v>CONTA OPTICA</v>
      </c>
      <c r="J1195" t="str">
        <f>"THG OTICA E RELOGIOS LTDA"</f>
        <v>THG OTICA E RELOGIOS LTDA</v>
      </c>
      <c r="K1195" t="str">
        <f>"GUZZATTI (3301)"</f>
        <v>GUZZATTI (3301)</v>
      </c>
      <c r="L1195" t="str">
        <f>""</f>
        <v/>
      </c>
      <c r="M1195" t="str">
        <f>""</f>
        <v/>
      </c>
      <c r="N1195" t="str">
        <f>"guzzattinacoes@gmail.com"</f>
        <v>guzzattinacoes@gmail.com</v>
      </c>
      <c r="O1195" t="str">
        <f>""</f>
        <v/>
      </c>
      <c r="P1195" t="str">
        <f>"RUA JORGE ELIAS DE LUCCA"</f>
        <v>RUA JORGE ELIAS DE LUCCA</v>
      </c>
      <c r="Q1195" t="str">
        <f>"677"</f>
        <v>677</v>
      </c>
      <c r="R1195" t="str">
        <f>"LOJA 152"</f>
        <v>LOJA 152</v>
      </c>
      <c r="S1195" t="str">
        <f>"1269"</f>
        <v>1269</v>
      </c>
      <c r="T1195" t="str">
        <f>"88813390"</f>
        <v>88813390</v>
      </c>
      <c r="U1195" t="str">
        <f>"NOSSA SENHORA DA SALETE"</f>
        <v>NOSSA SENHORA DA SALETE</v>
      </c>
      <c r="V1195" t="str">
        <f>"CRICIÚMA"</f>
        <v>CRICIÚMA</v>
      </c>
      <c r="W1195" t="str">
        <f t="shared" si="600"/>
        <v>SC</v>
      </c>
      <c r="X1195" t="str">
        <f t="shared" si="598"/>
        <v>48</v>
      </c>
      <c r="Y1195" t="str">
        <f>"21018960"</f>
        <v>21018960</v>
      </c>
      <c r="Z1195" t="str">
        <f>""</f>
        <v/>
      </c>
      <c r="AA1195" t="str">
        <f>""</f>
        <v/>
      </c>
      <c r="AB1195" t="str">
        <f>""</f>
        <v/>
      </c>
      <c r="AC1195" t="str">
        <f>""</f>
        <v/>
      </c>
      <c r="AD1195" t="str">
        <f>""</f>
        <v/>
      </c>
      <c r="AE1195" t="str">
        <f>""</f>
        <v/>
      </c>
      <c r="AF1195" t="str">
        <f>""</f>
        <v/>
      </c>
      <c r="AG1195" t="str">
        <f>""</f>
        <v/>
      </c>
      <c r="AH1195" t="str">
        <f>""</f>
        <v/>
      </c>
      <c r="AI1195" t="str">
        <f>""</f>
        <v/>
      </c>
      <c r="AJ1195" t="str">
        <f t="shared" si="606"/>
        <v>0</v>
      </c>
      <c r="AK1195" t="str">
        <f t="shared" si="606"/>
        <v>0</v>
      </c>
      <c r="AL1195" t="str">
        <f t="shared" si="606"/>
        <v>0</v>
      </c>
      <c r="AM1195" t="str">
        <f>""</f>
        <v/>
      </c>
      <c r="AN1195" t="str">
        <f>""</f>
        <v/>
      </c>
      <c r="AO1195" t="str">
        <f>""</f>
        <v/>
      </c>
      <c r="AP1195" t="str">
        <f>""</f>
        <v/>
      </c>
      <c r="AQ1195" t="str">
        <f>""</f>
        <v/>
      </c>
      <c r="AR1195" t="str">
        <f>""</f>
        <v/>
      </c>
      <c r="AS1195" t="str">
        <f>""</f>
        <v/>
      </c>
      <c r="AT1195" t="str">
        <f>""</f>
        <v/>
      </c>
      <c r="AU1195" t="str">
        <f>""</f>
        <v/>
      </c>
      <c r="AV1195" t="str">
        <f>""</f>
        <v/>
      </c>
      <c r="AW1195" t="str">
        <f>""</f>
        <v/>
      </c>
      <c r="AX1195" t="str">
        <f>""</f>
        <v/>
      </c>
      <c r="AY1195" t="str">
        <f>""</f>
        <v/>
      </c>
      <c r="AZ1195" t="str">
        <f>""</f>
        <v/>
      </c>
      <c r="BA1195" t="str">
        <f>""</f>
        <v/>
      </c>
      <c r="BB1195" t="str">
        <f>""</f>
        <v/>
      </c>
      <c r="BC1195" t="str">
        <f>""</f>
        <v/>
      </c>
      <c r="BD1195" t="str">
        <f>""</f>
        <v/>
      </c>
      <c r="BE1195" t="str">
        <f>""</f>
        <v/>
      </c>
      <c r="BF1195" t="str">
        <f t="shared" si="584"/>
        <v>A</v>
      </c>
      <c r="BG1195" t="str">
        <f>"0,00"</f>
        <v>0,00</v>
      </c>
      <c r="BH1195" t="str">
        <f>"0,00"</f>
        <v>0,00</v>
      </c>
      <c r="BI1195" t="str">
        <f t="shared" si="603"/>
        <v>EVENTUAL</v>
      </c>
      <c r="BJ1195" t="str">
        <f t="shared" si="585"/>
        <v>1</v>
      </c>
      <c r="BK1195" t="str">
        <f t="shared" si="586"/>
        <v>Farmacia</v>
      </c>
      <c r="BL1195" t="str">
        <f>""</f>
        <v/>
      </c>
      <c r="BM1195" t="str">
        <f>"VARILUX ESPECIALISTA SELECT"</f>
        <v>VARILUX ESPECIALISTA SELECT</v>
      </c>
      <c r="BN1195" t="str">
        <f>"NA"</f>
        <v>NA</v>
      </c>
      <c r="BO1195" t="str">
        <f>"FOCO VARILUX DIGITAL"</f>
        <v>FOCO VARILUX DIGITAL</v>
      </c>
      <c r="BP1195" t="str">
        <f>""</f>
        <v/>
      </c>
      <c r="BQ1195" t="str">
        <f>""</f>
        <v/>
      </c>
      <c r="BR1195" t="str">
        <f>""</f>
        <v/>
      </c>
      <c r="BS1195" t="str">
        <f>""</f>
        <v/>
      </c>
      <c r="BT1195" t="str">
        <f>""</f>
        <v/>
      </c>
      <c r="BU1195" t="str">
        <f>""</f>
        <v/>
      </c>
      <c r="BV1195" t="str">
        <f>"1"</f>
        <v>1</v>
      </c>
      <c r="BW1195" t="str">
        <f>"Não visitado"</f>
        <v>Não visitado</v>
      </c>
    </row>
    <row r="1196" spans="1:75" x14ac:dyDescent="0.35">
      <c r="A1196">
        <v>156950</v>
      </c>
      <c r="B1196" t="str">
        <f t="shared" si="581"/>
        <v>A</v>
      </c>
      <c r="C1196" t="str">
        <f t="shared" si="582"/>
        <v>80</v>
      </c>
      <c r="D1196" t="str">
        <f t="shared" si="575"/>
        <v>11121002</v>
      </c>
      <c r="E1196" t="str">
        <f t="shared" si="576"/>
        <v>121002</v>
      </c>
      <c r="F1196" t="str">
        <f t="shared" si="577"/>
        <v>CINTHIA NORONHA</v>
      </c>
      <c r="G1196" t="str">
        <f>"28222192000280"</f>
        <v>28222192000280</v>
      </c>
      <c r="H1196" t="str">
        <f>"0"</f>
        <v>0</v>
      </c>
      <c r="I1196" t="str">
        <f t="shared" si="583"/>
        <v>CONTA OPTICA</v>
      </c>
      <c r="J1196" t="str">
        <f>"THIAGO E ALINE COMERCIO DE BIJUTERIAS E OTICA LTDA"</f>
        <v>THIAGO E ALINE COMERCIO DE BIJUTERIAS E OTICA LTDA</v>
      </c>
      <c r="K1196" t="str">
        <f>"MARQUES JOIAS (4583)"</f>
        <v>MARQUES JOIAS (4583)</v>
      </c>
      <c r="L1196" t="str">
        <f>""</f>
        <v/>
      </c>
      <c r="M1196" t="str">
        <f>""</f>
        <v/>
      </c>
      <c r="N1196" t="str">
        <f>"MARQUESJOIASEOTICA@GMAIL.COM"</f>
        <v>MARQUESJOIASEOTICA@GMAIL.COM</v>
      </c>
      <c r="O1196" t="str">
        <f>""</f>
        <v/>
      </c>
      <c r="P1196" t="str">
        <f>"RUA GERINO BELMIRO DOS SANTOS"</f>
        <v>RUA GERINO BELMIRO DOS SANTOS</v>
      </c>
      <c r="Q1196" t="str">
        <f>"692"</f>
        <v>692</v>
      </c>
      <c r="R1196" t="str">
        <f>""</f>
        <v/>
      </c>
      <c r="S1196" t="str">
        <f>"1259"</f>
        <v>1259</v>
      </c>
      <c r="T1196" t="str">
        <f>"88190000"</f>
        <v>88190000</v>
      </c>
      <c r="U1196" t="str">
        <f>"FAZENDA DA ARMACAO"</f>
        <v>FAZENDA DA ARMACAO</v>
      </c>
      <c r="V1196" t="str">
        <f>"GOVERNADOR CELSO RAMOS"</f>
        <v>GOVERNADOR CELSO RAMOS</v>
      </c>
      <c r="W1196" t="str">
        <f t="shared" si="600"/>
        <v>SC</v>
      </c>
      <c r="X1196" t="str">
        <f t="shared" si="598"/>
        <v>48</v>
      </c>
      <c r="Y1196" t="str">
        <f>"32621129"</f>
        <v>32621129</v>
      </c>
      <c r="Z1196" t="str">
        <f>""</f>
        <v/>
      </c>
      <c r="AA1196" t="str">
        <f>""</f>
        <v/>
      </c>
      <c r="AB1196" t="str">
        <f>""</f>
        <v/>
      </c>
      <c r="AC1196" t="str">
        <f>""</f>
        <v/>
      </c>
      <c r="AD1196" t="str">
        <f>""</f>
        <v/>
      </c>
      <c r="AE1196" t="str">
        <f>""</f>
        <v/>
      </c>
      <c r="AF1196" t="str">
        <f>""</f>
        <v/>
      </c>
      <c r="AG1196" t="str">
        <f>"S"</f>
        <v>S</v>
      </c>
      <c r="AH1196" t="str">
        <f>""</f>
        <v/>
      </c>
      <c r="AI1196" t="str">
        <f>""</f>
        <v/>
      </c>
      <c r="AJ1196" t="str">
        <f>""</f>
        <v/>
      </c>
      <c r="AK1196" t="str">
        <f>""</f>
        <v/>
      </c>
      <c r="AL1196" t="str">
        <f>""</f>
        <v/>
      </c>
      <c r="AM1196" t="str">
        <f>""</f>
        <v/>
      </c>
      <c r="AN1196" t="str">
        <f>""</f>
        <v/>
      </c>
      <c r="AO1196" t="str">
        <f>""</f>
        <v/>
      </c>
      <c r="AP1196" t="str">
        <f>""</f>
        <v/>
      </c>
      <c r="AQ1196" t="str">
        <f t="shared" ref="AQ1196:AU1197" si="607">"N"</f>
        <v>N</v>
      </c>
      <c r="AR1196" t="str">
        <f t="shared" si="607"/>
        <v>N</v>
      </c>
      <c r="AS1196" t="str">
        <f t="shared" si="607"/>
        <v>N</v>
      </c>
      <c r="AT1196" t="str">
        <f t="shared" si="607"/>
        <v>N</v>
      </c>
      <c r="AU1196" t="str">
        <f t="shared" si="607"/>
        <v>N</v>
      </c>
      <c r="AV1196" t="str">
        <f>""</f>
        <v/>
      </c>
      <c r="AW1196" t="str">
        <f>""</f>
        <v/>
      </c>
      <c r="AX1196" t="str">
        <f>""</f>
        <v/>
      </c>
      <c r="AY1196" t="str">
        <f>""</f>
        <v/>
      </c>
      <c r="AZ1196" t="str">
        <f>""</f>
        <v/>
      </c>
      <c r="BA1196" t="str">
        <f>""</f>
        <v/>
      </c>
      <c r="BB1196" t="str">
        <f>"06/07/2023 12:07:48"</f>
        <v>06/07/2023 12:07:48</v>
      </c>
      <c r="BC1196" t="str">
        <f>"10/07/2023 10:54:48"</f>
        <v>10/07/2023 10:54:48</v>
      </c>
      <c r="BD1196" t="str">
        <f>""</f>
        <v/>
      </c>
      <c r="BE1196" t="str">
        <f>""</f>
        <v/>
      </c>
      <c r="BF1196" t="str">
        <f t="shared" si="584"/>
        <v>A</v>
      </c>
      <c r="BG1196" t="str">
        <f>""</f>
        <v/>
      </c>
      <c r="BH1196" t="str">
        <f>"0,00"</f>
        <v>0,00</v>
      </c>
      <c r="BI1196" t="str">
        <f t="shared" si="603"/>
        <v>EVENTUAL</v>
      </c>
      <c r="BJ1196" t="str">
        <f t="shared" si="585"/>
        <v>1</v>
      </c>
      <c r="BK1196" t="str">
        <f t="shared" si="586"/>
        <v>Farmacia</v>
      </c>
      <c r="BL1196" t="str">
        <f>""</f>
        <v/>
      </c>
      <c r="BM1196" t="str">
        <f>""</f>
        <v/>
      </c>
      <c r="BN1196" t="str">
        <f>""</f>
        <v/>
      </c>
      <c r="BO1196" t="str">
        <f>""</f>
        <v/>
      </c>
      <c r="BP1196" t="str">
        <f>""</f>
        <v/>
      </c>
      <c r="BQ1196" t="str">
        <f>""</f>
        <v/>
      </c>
      <c r="BR1196" t="str">
        <f>"06/07/2023"</f>
        <v>06/07/2023</v>
      </c>
      <c r="BS1196" t="str">
        <f>"10/07/2023"</f>
        <v>10/07/2023</v>
      </c>
      <c r="BT1196" t="str">
        <f>""</f>
        <v/>
      </c>
      <c r="BU1196" t="str">
        <f>""</f>
        <v/>
      </c>
      <c r="BV1196" t="str">
        <f>""</f>
        <v/>
      </c>
      <c r="BW1196" t="str">
        <f>"7"</f>
        <v>7</v>
      </c>
    </row>
    <row r="1197" spans="1:75" x14ac:dyDescent="0.35">
      <c r="A1197">
        <v>137932</v>
      </c>
      <c r="B1197" t="str">
        <f t="shared" si="581"/>
        <v>A</v>
      </c>
      <c r="C1197" t="str">
        <f t="shared" si="582"/>
        <v>80</v>
      </c>
      <c r="D1197" t="str">
        <f t="shared" si="575"/>
        <v>11121002</v>
      </c>
      <c r="E1197" t="str">
        <f t="shared" si="576"/>
        <v>121002</v>
      </c>
      <c r="F1197" t="str">
        <f t="shared" si="577"/>
        <v>CINTHIA NORONHA</v>
      </c>
      <c r="G1197" t="str">
        <f>"28222192000108"</f>
        <v>28222192000108</v>
      </c>
      <c r="H1197" t="str">
        <f>"0"</f>
        <v>0</v>
      </c>
      <c r="I1197" t="str">
        <f t="shared" si="583"/>
        <v>CONTA OPTICA</v>
      </c>
      <c r="J1197" t="str">
        <f>"THIAGO E ALINE COMERCIO DE BIJUTERIAS E OTICA LTDA - ME"</f>
        <v>THIAGO E ALINE COMERCIO DE BIJUTERIAS E OTICA LTDA - ME</v>
      </c>
      <c r="K1197" t="str">
        <f>"OTICA MARQUES (3821)"</f>
        <v>OTICA MARQUES (3821)</v>
      </c>
      <c r="L1197" t="str">
        <f>""</f>
        <v/>
      </c>
      <c r="M1197" t="str">
        <f>""</f>
        <v/>
      </c>
      <c r="N1197" t="str">
        <f>"marquesjoiaseotica@gmail.com"</f>
        <v>marquesjoiaseotica@gmail.com</v>
      </c>
      <c r="O1197" t="str">
        <f>""</f>
        <v/>
      </c>
      <c r="P1197" t="str">
        <f>"RUA GANCHOS"</f>
        <v>RUA GANCHOS</v>
      </c>
      <c r="Q1197" t="str">
        <f>"643"</f>
        <v>643</v>
      </c>
      <c r="R1197" t="str">
        <f>"TERREOSALA 1"</f>
        <v>TERREOSALA 1</v>
      </c>
      <c r="S1197" t="str">
        <f>"1259"</f>
        <v>1259</v>
      </c>
      <c r="T1197" t="str">
        <f>"88190000"</f>
        <v>88190000</v>
      </c>
      <c r="U1197" t="str">
        <f>"GANCHOS DO MEIO"</f>
        <v>GANCHOS DO MEIO</v>
      </c>
      <c r="V1197" t="str">
        <f>"GOVERNADOR CELSO RAMOS"</f>
        <v>GOVERNADOR CELSO RAMOS</v>
      </c>
      <c r="W1197" t="str">
        <f t="shared" si="600"/>
        <v>SC</v>
      </c>
      <c r="X1197" t="str">
        <f t="shared" si="598"/>
        <v>48</v>
      </c>
      <c r="Y1197" t="str">
        <f>"32621129"</f>
        <v>32621129</v>
      </c>
      <c r="Z1197" t="str">
        <f>""</f>
        <v/>
      </c>
      <c r="AA1197" t="str">
        <f>""</f>
        <v/>
      </c>
      <c r="AB1197" t="str">
        <f>""</f>
        <v/>
      </c>
      <c r="AC1197" t="str">
        <f>""</f>
        <v/>
      </c>
      <c r="AD1197" t="str">
        <f>""</f>
        <v/>
      </c>
      <c r="AE1197" t="str">
        <f>""</f>
        <v/>
      </c>
      <c r="AF1197" t="str">
        <f>""</f>
        <v/>
      </c>
      <c r="AG1197" t="str">
        <f>"S"</f>
        <v>S</v>
      </c>
      <c r="AH1197" t="str">
        <f>""</f>
        <v/>
      </c>
      <c r="AI1197" t="str">
        <f>""</f>
        <v/>
      </c>
      <c r="AJ1197" t="str">
        <f>""</f>
        <v/>
      </c>
      <c r="AK1197" t="str">
        <f>""</f>
        <v/>
      </c>
      <c r="AL1197" t="str">
        <f>""</f>
        <v/>
      </c>
      <c r="AM1197" t="str">
        <f>""</f>
        <v/>
      </c>
      <c r="AN1197" t="str">
        <f>""</f>
        <v/>
      </c>
      <c r="AO1197" t="str">
        <f>""</f>
        <v/>
      </c>
      <c r="AP1197" t="str">
        <f>""</f>
        <v/>
      </c>
      <c r="AQ1197" t="str">
        <f t="shared" si="607"/>
        <v>N</v>
      </c>
      <c r="AR1197" t="str">
        <f t="shared" si="607"/>
        <v>N</v>
      </c>
      <c r="AS1197" t="str">
        <f t="shared" si="607"/>
        <v>N</v>
      </c>
      <c r="AT1197" t="str">
        <f t="shared" si="607"/>
        <v>N</v>
      </c>
      <c r="AU1197" t="str">
        <f t="shared" si="607"/>
        <v>N</v>
      </c>
      <c r="AV1197" t="str">
        <f>""</f>
        <v/>
      </c>
      <c r="AW1197" t="str">
        <f>""</f>
        <v/>
      </c>
      <c r="AX1197" t="str">
        <f>""</f>
        <v/>
      </c>
      <c r="AY1197" t="str">
        <f>""</f>
        <v/>
      </c>
      <c r="AZ1197" t="str">
        <f>""</f>
        <v/>
      </c>
      <c r="BA1197" t="str">
        <f>""</f>
        <v/>
      </c>
      <c r="BB1197" t="str">
        <f>"01/07/2021 13:53:04"</f>
        <v>01/07/2021 13:53:04</v>
      </c>
      <c r="BC1197" t="str">
        <f>"22/02/2022 15:40:22"</f>
        <v>22/02/2022 15:40:22</v>
      </c>
      <c r="BD1197" t="str">
        <f>""</f>
        <v/>
      </c>
      <c r="BE1197" t="str">
        <f>""</f>
        <v/>
      </c>
      <c r="BF1197" t="str">
        <f t="shared" si="584"/>
        <v>A</v>
      </c>
      <c r="BG1197" t="str">
        <f>""</f>
        <v/>
      </c>
      <c r="BH1197" t="str">
        <f>"0,00"</f>
        <v>0,00</v>
      </c>
      <c r="BI1197" t="str">
        <f t="shared" si="603"/>
        <v>EVENTUAL</v>
      </c>
      <c r="BJ1197" t="str">
        <f t="shared" si="585"/>
        <v>1</v>
      </c>
      <c r="BK1197" t="str">
        <f t="shared" si="586"/>
        <v>Farmacia</v>
      </c>
      <c r="BL1197" t="str">
        <f>""</f>
        <v/>
      </c>
      <c r="BM1197" t="str">
        <f>"NÃO É VARILUX ESPECIALISTA"</f>
        <v>NÃO É VARILUX ESPECIALISTA</v>
      </c>
      <c r="BN1197" t="str">
        <f>"EL360"</f>
        <v>EL360</v>
      </c>
      <c r="BO1197" t="str">
        <f>""</f>
        <v/>
      </c>
      <c r="BP1197" t="str">
        <f>""</f>
        <v/>
      </c>
      <c r="BQ1197" t="str">
        <f>""</f>
        <v/>
      </c>
      <c r="BR1197" t="str">
        <f>"01/07/2021"</f>
        <v>01/07/2021</v>
      </c>
      <c r="BS1197" t="str">
        <f>"22/02/2022"</f>
        <v>22/02/2022</v>
      </c>
      <c r="BT1197" t="str">
        <f>""</f>
        <v/>
      </c>
      <c r="BU1197" t="str">
        <f>""</f>
        <v/>
      </c>
      <c r="BV1197" t="str">
        <f>""</f>
        <v/>
      </c>
      <c r="BW1197" t="str">
        <f>"7"</f>
        <v>7</v>
      </c>
    </row>
    <row r="1198" spans="1:75" x14ac:dyDescent="0.35">
      <c r="A1198">
        <v>152765</v>
      </c>
      <c r="B1198" t="str">
        <f t="shared" si="581"/>
        <v>A</v>
      </c>
      <c r="C1198" t="str">
        <f t="shared" si="582"/>
        <v>80</v>
      </c>
      <c r="D1198" t="str">
        <f t="shared" si="575"/>
        <v>11121002</v>
      </c>
      <c r="E1198" t="str">
        <f t="shared" si="576"/>
        <v>121002</v>
      </c>
      <c r="F1198" t="str">
        <f t="shared" si="577"/>
        <v>CINTHIA NORONHA</v>
      </c>
      <c r="G1198" t="str">
        <f>"28222192000361"</f>
        <v>28222192000361</v>
      </c>
      <c r="H1198" t="str">
        <f>"0"</f>
        <v>0</v>
      </c>
      <c r="I1198" t="str">
        <f t="shared" si="583"/>
        <v>CONTA OPTICA</v>
      </c>
      <c r="J1198" t="str">
        <f>"THIAGO E ALINE COMO DE BIJUTERIAS E OTICA LTDA"</f>
        <v>THIAGO E ALINE COMO DE BIJUTERIAS E OTICA LTDA</v>
      </c>
      <c r="K1198" t="str">
        <f>"MARQUES JOIAS E OTICA"</f>
        <v>MARQUES JOIAS E OTICA</v>
      </c>
      <c r="L1198" t="str">
        <f>""</f>
        <v/>
      </c>
      <c r="M1198" t="str">
        <f>""</f>
        <v/>
      </c>
      <c r="N1198" t="str">
        <f>"marquesjoiaseotica@gmail.com"</f>
        <v>marquesjoiaseotica@gmail.com</v>
      </c>
      <c r="O1198" t="str">
        <f>""</f>
        <v/>
      </c>
      <c r="P1198" t="str">
        <f>"RUA ROSENDO JOAQUIM SAGAS"</f>
        <v>RUA ROSENDO JOAQUIM SAGAS</v>
      </c>
      <c r="Q1198" t="str">
        <f>"1164"</f>
        <v>1164</v>
      </c>
      <c r="R1198" t="str">
        <f>"SALA 04"</f>
        <v>SALA 04</v>
      </c>
      <c r="S1198" t="str">
        <f>"1259"</f>
        <v>1259</v>
      </c>
      <c r="T1198" t="str">
        <f>"88190000"</f>
        <v>88190000</v>
      </c>
      <c r="U1198" t="str">
        <f>"PALMAS"</f>
        <v>PALMAS</v>
      </c>
      <c r="V1198" t="str">
        <f>"GOVERNADOR CELSO RAMOS"</f>
        <v>GOVERNADOR CELSO RAMOS</v>
      </c>
      <c r="W1198" t="str">
        <f t="shared" si="600"/>
        <v>SC</v>
      </c>
      <c r="X1198" t="str">
        <f>""</f>
        <v/>
      </c>
      <c r="Y1198" t="str">
        <f>""</f>
        <v/>
      </c>
      <c r="Z1198" t="str">
        <f>""</f>
        <v/>
      </c>
      <c r="AA1198" t="str">
        <f>""</f>
        <v/>
      </c>
      <c r="AB1198" t="str">
        <f>""</f>
        <v/>
      </c>
      <c r="AC1198" t="str">
        <f>""</f>
        <v/>
      </c>
      <c r="AD1198" t="str">
        <f>""</f>
        <v/>
      </c>
      <c r="AE1198" t="str">
        <f>""</f>
        <v/>
      </c>
      <c r="AF1198" t="str">
        <f>""</f>
        <v/>
      </c>
      <c r="AG1198" t="str">
        <f>""</f>
        <v/>
      </c>
      <c r="AH1198" t="str">
        <f>""</f>
        <v/>
      </c>
      <c r="AI1198" t="str">
        <f>""</f>
        <v/>
      </c>
      <c r="AJ1198" t="str">
        <f>""</f>
        <v/>
      </c>
      <c r="AK1198" t="str">
        <f>""</f>
        <v/>
      </c>
      <c r="AL1198" t="str">
        <f>""</f>
        <v/>
      </c>
      <c r="AM1198" t="str">
        <f>""</f>
        <v/>
      </c>
      <c r="AN1198" t="str">
        <f>""</f>
        <v/>
      </c>
      <c r="AO1198" t="str">
        <f>""</f>
        <v/>
      </c>
      <c r="AP1198" t="str">
        <f>""</f>
        <v/>
      </c>
      <c r="AQ1198" t="str">
        <f>""</f>
        <v/>
      </c>
      <c r="AR1198" t="str">
        <f>""</f>
        <v/>
      </c>
      <c r="AS1198" t="str">
        <f>""</f>
        <v/>
      </c>
      <c r="AT1198" t="str">
        <f>""</f>
        <v/>
      </c>
      <c r="AU1198" t="str">
        <f>""</f>
        <v/>
      </c>
      <c r="AV1198" t="str">
        <f>""</f>
        <v/>
      </c>
      <c r="AW1198" t="str">
        <f>""</f>
        <v/>
      </c>
      <c r="AX1198" t="str">
        <f>""</f>
        <v/>
      </c>
      <c r="AY1198" t="str">
        <f>""</f>
        <v/>
      </c>
      <c r="AZ1198" t="str">
        <f>""</f>
        <v/>
      </c>
      <c r="BA1198" t="str">
        <f>""</f>
        <v/>
      </c>
      <c r="BB1198" t="str">
        <f>"03/04/2023 13:34:29"</f>
        <v>03/04/2023 13:34:29</v>
      </c>
      <c r="BC1198" t="str">
        <f>""</f>
        <v/>
      </c>
      <c r="BD1198" t="str">
        <f>""</f>
        <v/>
      </c>
      <c r="BE1198" t="str">
        <f>""</f>
        <v/>
      </c>
      <c r="BF1198" t="str">
        <f t="shared" si="584"/>
        <v>A</v>
      </c>
      <c r="BG1198" t="str">
        <f>""</f>
        <v/>
      </c>
      <c r="BH1198" t="str">
        <f>""</f>
        <v/>
      </c>
      <c r="BI1198" t="str">
        <f t="shared" si="603"/>
        <v>EVENTUAL</v>
      </c>
      <c r="BJ1198" t="str">
        <f t="shared" si="585"/>
        <v>1</v>
      </c>
      <c r="BK1198" t="str">
        <f t="shared" si="586"/>
        <v>Farmacia</v>
      </c>
      <c r="BL1198" t="str">
        <f>""</f>
        <v/>
      </c>
      <c r="BM1198" t="str">
        <f>""</f>
        <v/>
      </c>
      <c r="BN1198" t="str">
        <f>""</f>
        <v/>
      </c>
      <c r="BO1198" t="str">
        <f>""</f>
        <v/>
      </c>
      <c r="BP1198" t="str">
        <f>""</f>
        <v/>
      </c>
      <c r="BQ1198" t="str">
        <f>""</f>
        <v/>
      </c>
      <c r="BR1198" t="str">
        <f>"03/04/2023"</f>
        <v>03/04/2023</v>
      </c>
      <c r="BS1198" t="str">
        <f>""</f>
        <v/>
      </c>
      <c r="BT1198" t="str">
        <f>""</f>
        <v/>
      </c>
      <c r="BU1198" t="str">
        <f>""</f>
        <v/>
      </c>
      <c r="BV1198" t="str">
        <f>""</f>
        <v/>
      </c>
      <c r="BW1198" t="str">
        <f>"Não visitado"</f>
        <v>Não visitado</v>
      </c>
    </row>
    <row r="1199" spans="1:75" x14ac:dyDescent="0.35">
      <c r="A1199">
        <v>144707</v>
      </c>
      <c r="B1199" t="str">
        <f t="shared" si="581"/>
        <v>A</v>
      </c>
      <c r="C1199" t="str">
        <f t="shared" si="582"/>
        <v>80</v>
      </c>
      <c r="D1199" t="str">
        <f t="shared" si="575"/>
        <v>11121002</v>
      </c>
      <c r="E1199" t="str">
        <f t="shared" si="576"/>
        <v>121002</v>
      </c>
      <c r="F1199" t="str">
        <f t="shared" si="577"/>
        <v>CINTHIA NORONHA</v>
      </c>
      <c r="G1199" t="str">
        <f>"97955249000192"</f>
        <v>97955249000192</v>
      </c>
      <c r="H1199" t="str">
        <f>""</f>
        <v/>
      </c>
      <c r="I1199" t="str">
        <f t="shared" si="583"/>
        <v>CONTA OPTICA</v>
      </c>
      <c r="J1199" t="str">
        <f>"THOME VITORETI"</f>
        <v>THOME VITORETI</v>
      </c>
      <c r="K1199" t="str">
        <f>"OTICA E RELOJOARIA VITORIA (1477)"</f>
        <v>OTICA E RELOJOARIA VITORIA (1477)</v>
      </c>
      <c r="L1199" t="str">
        <f>""</f>
        <v/>
      </c>
      <c r="M1199" t="str">
        <f>""</f>
        <v/>
      </c>
      <c r="N1199" t="str">
        <f>"reloticavitoria@hotmail.com"</f>
        <v>reloticavitoria@hotmail.com</v>
      </c>
      <c r="O1199" t="str">
        <f>""</f>
        <v/>
      </c>
      <c r="P1199" t="str">
        <f>"PRACA XV DE NOVEMBRO"</f>
        <v>PRACA XV DE NOVEMBRO</v>
      </c>
      <c r="Q1199" t="str">
        <f>"16"</f>
        <v>16</v>
      </c>
      <c r="R1199" t="str">
        <f>""</f>
        <v/>
      </c>
      <c r="S1199" t="str">
        <f>"1336"</f>
        <v>1336</v>
      </c>
      <c r="T1199" t="str">
        <f>"95560000"</f>
        <v>95560000</v>
      </c>
      <c r="U1199" t="str">
        <f>"NAO INFORMADO"</f>
        <v>NAO INFORMADO</v>
      </c>
      <c r="V1199" t="str">
        <f>"TORRES"</f>
        <v>TORRES</v>
      </c>
      <c r="W1199" t="str">
        <f>"RS"</f>
        <v>RS</v>
      </c>
      <c r="X1199" t="str">
        <f>"51"</f>
        <v>51</v>
      </c>
      <c r="Y1199" t="str">
        <f>"36641776"</f>
        <v>36641776</v>
      </c>
      <c r="Z1199" t="str">
        <f>""</f>
        <v/>
      </c>
      <c r="AA1199" t="str">
        <f>""</f>
        <v/>
      </c>
      <c r="AB1199" t="str">
        <f>""</f>
        <v/>
      </c>
      <c r="AC1199" t="str">
        <f>""</f>
        <v/>
      </c>
      <c r="AD1199" t="str">
        <f>""</f>
        <v/>
      </c>
      <c r="AE1199" t="str">
        <f>""</f>
        <v/>
      </c>
      <c r="AF1199" t="str">
        <f>""</f>
        <v/>
      </c>
      <c r="AG1199" t="str">
        <f>""</f>
        <v/>
      </c>
      <c r="AH1199" t="str">
        <f>""</f>
        <v/>
      </c>
      <c r="AI1199" t="str">
        <f>""</f>
        <v/>
      </c>
      <c r="AJ1199" t="str">
        <f>"0"</f>
        <v>0</v>
      </c>
      <c r="AK1199" t="str">
        <f>"0"</f>
        <v>0</v>
      </c>
      <c r="AL1199" t="str">
        <f>"0"</f>
        <v>0</v>
      </c>
      <c r="AM1199" t="str">
        <f>""</f>
        <v/>
      </c>
      <c r="AN1199" t="str">
        <f>""</f>
        <v/>
      </c>
      <c r="AO1199" t="str">
        <f>""</f>
        <v/>
      </c>
      <c r="AP1199" t="str">
        <f>""</f>
        <v/>
      </c>
      <c r="AQ1199" t="str">
        <f>""</f>
        <v/>
      </c>
      <c r="AR1199" t="str">
        <f>""</f>
        <v/>
      </c>
      <c r="AS1199" t="str">
        <f>""</f>
        <v/>
      </c>
      <c r="AT1199" t="str">
        <f>""</f>
        <v/>
      </c>
      <c r="AU1199" t="str">
        <f>""</f>
        <v/>
      </c>
      <c r="AV1199" t="str">
        <f>""</f>
        <v/>
      </c>
      <c r="AW1199" t="str">
        <f>""</f>
        <v/>
      </c>
      <c r="AX1199" t="str">
        <f>""</f>
        <v/>
      </c>
      <c r="AY1199" t="str">
        <f>""</f>
        <v/>
      </c>
      <c r="AZ1199" t="str">
        <f>""</f>
        <v/>
      </c>
      <c r="BA1199" t="str">
        <f>""</f>
        <v/>
      </c>
      <c r="BB1199" t="str">
        <f>""</f>
        <v/>
      </c>
      <c r="BC1199" t="str">
        <f>""</f>
        <v/>
      </c>
      <c r="BD1199" t="str">
        <f>""</f>
        <v/>
      </c>
      <c r="BE1199" t="str">
        <f>""</f>
        <v/>
      </c>
      <c r="BF1199" t="str">
        <f t="shared" si="584"/>
        <v>A</v>
      </c>
      <c r="BG1199" t="str">
        <f>"0,00"</f>
        <v>0,00</v>
      </c>
      <c r="BH1199" t="str">
        <f>"0,00"</f>
        <v>0,00</v>
      </c>
      <c r="BI1199" t="str">
        <f t="shared" si="603"/>
        <v>EVENTUAL</v>
      </c>
      <c r="BJ1199" t="str">
        <f t="shared" si="585"/>
        <v>1</v>
      </c>
      <c r="BK1199" t="str">
        <f t="shared" si="586"/>
        <v>Farmacia</v>
      </c>
      <c r="BL1199" t="str">
        <f>""</f>
        <v/>
      </c>
      <c r="BM1199" t="str">
        <f>"NÃO É VARILUX ESPECIALISTA"</f>
        <v>NÃO É VARILUX ESPECIALISTA</v>
      </c>
      <c r="BN1199" t="str">
        <f>"EL360"</f>
        <v>EL360</v>
      </c>
      <c r="BO1199" t="str">
        <f>"FOCO KODAK 2"</f>
        <v>FOCO KODAK 2</v>
      </c>
      <c r="BP1199" t="str">
        <f>""</f>
        <v/>
      </c>
      <c r="BQ1199" t="str">
        <f>""</f>
        <v/>
      </c>
      <c r="BR1199" t="str">
        <f>""</f>
        <v/>
      </c>
      <c r="BS1199" t="str">
        <f>""</f>
        <v/>
      </c>
      <c r="BT1199" t="str">
        <f>""</f>
        <v/>
      </c>
      <c r="BU1199" t="str">
        <f>""</f>
        <v/>
      </c>
      <c r="BV1199" t="str">
        <f>"6"</f>
        <v>6</v>
      </c>
      <c r="BW1199" t="str">
        <f>"171"</f>
        <v>171</v>
      </c>
    </row>
    <row r="1200" spans="1:75" x14ac:dyDescent="0.35">
      <c r="A1200">
        <v>157725</v>
      </c>
      <c r="B1200" t="str">
        <f t="shared" si="581"/>
        <v>A</v>
      </c>
      <c r="C1200" t="str">
        <f t="shared" si="582"/>
        <v>80</v>
      </c>
      <c r="D1200" t="str">
        <f t="shared" si="575"/>
        <v>11121002</v>
      </c>
      <c r="E1200" t="str">
        <f t="shared" si="576"/>
        <v>121002</v>
      </c>
      <c r="F1200" t="str">
        <f t="shared" si="577"/>
        <v>CINTHIA NORONHA</v>
      </c>
      <c r="G1200" t="str">
        <f>"73711947000346"</f>
        <v>73711947000346</v>
      </c>
      <c r="H1200" t="str">
        <f>"0"</f>
        <v>0</v>
      </c>
      <c r="I1200" t="str">
        <f t="shared" si="583"/>
        <v>CONTA OPTICA</v>
      </c>
      <c r="J1200" t="str">
        <f>"TIBAUX JOALHEIROS-COM DE JOIAS E REL. LTDA"</f>
        <v>TIBAUX JOALHEIROS-COM DE JOIAS E REL. LTDA</v>
      </c>
      <c r="K1200" t="str">
        <f>"TIBAUX ITAGUAÇU (1438)"</f>
        <v>TIBAUX ITAGUAÇU (1438)</v>
      </c>
      <c r="L1200" t="str">
        <f>""</f>
        <v/>
      </c>
      <c r="M1200" t="str">
        <f>""</f>
        <v/>
      </c>
      <c r="N1200" t="str">
        <f>"tibauxjoalheiros@hotmail.com"</f>
        <v>tibauxjoalheiros@hotmail.com</v>
      </c>
      <c r="O1200" t="str">
        <f>""</f>
        <v/>
      </c>
      <c r="P1200" t="str">
        <f>"RUA GERONCIO THIVES"</f>
        <v>RUA GERONCIO THIVES</v>
      </c>
      <c r="Q1200" t="str">
        <f>"1079"</f>
        <v>1079</v>
      </c>
      <c r="R1200" t="str">
        <f>"LJ 15"</f>
        <v>LJ 15</v>
      </c>
      <c r="S1200" t="str">
        <f>"1259"</f>
        <v>1259</v>
      </c>
      <c r="T1200" t="str">
        <f>"88117900"</f>
        <v>88117900</v>
      </c>
      <c r="U1200" t="str">
        <f>"BARREIROS"</f>
        <v>BARREIROS</v>
      </c>
      <c r="V1200" t="str">
        <f>"FLORIANOPOLIS"</f>
        <v>FLORIANOPOLIS</v>
      </c>
      <c r="W1200" t="str">
        <f t="shared" ref="W1200:W1263" si="608">"SC"</f>
        <v>SC</v>
      </c>
      <c r="X1200" t="str">
        <f t="shared" ref="X1200:X1215" si="609">"48"</f>
        <v>48</v>
      </c>
      <c r="Y1200" t="str">
        <f>"30355730"</f>
        <v>30355730</v>
      </c>
      <c r="Z1200" t="str">
        <f>""</f>
        <v/>
      </c>
      <c r="AA1200" t="str">
        <f>""</f>
        <v/>
      </c>
      <c r="AB1200" t="str">
        <f>""</f>
        <v/>
      </c>
      <c r="AC1200" t="str">
        <f>""</f>
        <v/>
      </c>
      <c r="AD1200" t="str">
        <f>""</f>
        <v/>
      </c>
      <c r="AE1200" t="str">
        <f>""</f>
        <v/>
      </c>
      <c r="AF1200" t="str">
        <f>""</f>
        <v/>
      </c>
      <c r="AG1200" t="str">
        <f>""</f>
        <v/>
      </c>
      <c r="AH1200" t="str">
        <f>""</f>
        <v/>
      </c>
      <c r="AI1200" t="str">
        <f>""</f>
        <v/>
      </c>
      <c r="AJ1200" t="str">
        <f>""</f>
        <v/>
      </c>
      <c r="AK1200" t="str">
        <f>""</f>
        <v/>
      </c>
      <c r="AL1200" t="str">
        <f>""</f>
        <v/>
      </c>
      <c r="AM1200" t="str">
        <f>""</f>
        <v/>
      </c>
      <c r="AN1200" t="str">
        <f>""</f>
        <v/>
      </c>
      <c r="AO1200" t="str">
        <f>""</f>
        <v/>
      </c>
      <c r="AP1200" t="str">
        <f>""</f>
        <v/>
      </c>
      <c r="AQ1200" t="str">
        <f>""</f>
        <v/>
      </c>
      <c r="AR1200" t="str">
        <f>""</f>
        <v/>
      </c>
      <c r="AS1200" t="str">
        <f>""</f>
        <v/>
      </c>
      <c r="AT1200" t="str">
        <f>""</f>
        <v/>
      </c>
      <c r="AU1200" t="str">
        <f>""</f>
        <v/>
      </c>
      <c r="AV1200" t="str">
        <f>""</f>
        <v/>
      </c>
      <c r="AW1200" t="str">
        <f>""</f>
        <v/>
      </c>
      <c r="AX1200" t="str">
        <f>""</f>
        <v/>
      </c>
      <c r="AY1200" t="str">
        <f>""</f>
        <v/>
      </c>
      <c r="AZ1200" t="str">
        <f>""</f>
        <v/>
      </c>
      <c r="BA1200" t="str">
        <f>""</f>
        <v/>
      </c>
      <c r="BB1200" t="str">
        <f>"11/07/2023 02:19:56"</f>
        <v>11/07/2023 02:19:56</v>
      </c>
      <c r="BC1200" t="str">
        <f>""</f>
        <v/>
      </c>
      <c r="BD1200" t="str">
        <f>""</f>
        <v/>
      </c>
      <c r="BE1200" t="str">
        <f>""</f>
        <v/>
      </c>
      <c r="BF1200" t="str">
        <f t="shared" si="584"/>
        <v>A</v>
      </c>
      <c r="BG1200" t="str">
        <f>""</f>
        <v/>
      </c>
      <c r="BH1200" t="str">
        <f>""</f>
        <v/>
      </c>
      <c r="BI1200" t="str">
        <f t="shared" si="603"/>
        <v>EVENTUAL</v>
      </c>
      <c r="BJ1200" t="str">
        <f t="shared" si="585"/>
        <v>1</v>
      </c>
      <c r="BK1200" t="str">
        <f t="shared" si="586"/>
        <v>Farmacia</v>
      </c>
      <c r="BL1200" t="str">
        <f>""</f>
        <v/>
      </c>
      <c r="BM1200" t="str">
        <f>""</f>
        <v/>
      </c>
      <c r="BN1200" t="str">
        <f>""</f>
        <v/>
      </c>
      <c r="BO1200" t="str">
        <f>""</f>
        <v/>
      </c>
      <c r="BP1200" t="str">
        <f>""</f>
        <v/>
      </c>
      <c r="BQ1200" t="str">
        <f>""</f>
        <v/>
      </c>
      <c r="BR1200" t="str">
        <f>"11/07/2023"</f>
        <v>11/07/2023</v>
      </c>
      <c r="BS1200" t="str">
        <f>""</f>
        <v/>
      </c>
      <c r="BT1200" t="str">
        <f>""</f>
        <v/>
      </c>
      <c r="BU1200" t="str">
        <f>""</f>
        <v/>
      </c>
      <c r="BV1200" t="str">
        <f>""</f>
        <v/>
      </c>
      <c r="BW1200" t="str">
        <f>"Não visitado"</f>
        <v>Não visitado</v>
      </c>
    </row>
    <row r="1201" spans="1:75" x14ac:dyDescent="0.35">
      <c r="A1201">
        <v>144345</v>
      </c>
      <c r="B1201" t="str">
        <f t="shared" si="581"/>
        <v>A</v>
      </c>
      <c r="C1201" t="str">
        <f t="shared" si="582"/>
        <v>80</v>
      </c>
      <c r="D1201" t="str">
        <f t="shared" si="575"/>
        <v>11121002</v>
      </c>
      <c r="E1201" t="str">
        <f t="shared" si="576"/>
        <v>121002</v>
      </c>
      <c r="F1201" t="str">
        <f t="shared" si="577"/>
        <v>CINTHIA NORONHA</v>
      </c>
      <c r="G1201" t="str">
        <f>"20403483000182"</f>
        <v>20403483000182</v>
      </c>
      <c r="H1201" t="str">
        <f>""</f>
        <v/>
      </c>
      <c r="I1201" t="str">
        <f t="shared" si="583"/>
        <v>CONTA OPTICA</v>
      </c>
      <c r="J1201" t="str">
        <f>"TMR OPTICA E JOALHERIA LTDA ME"</f>
        <v>TMR OPTICA E JOALHERIA LTDA ME</v>
      </c>
      <c r="K1201" t="str">
        <f>"OTICA RODRIGUES (2154)"</f>
        <v>OTICA RODRIGUES (2154)</v>
      </c>
      <c r="L1201" t="str">
        <f>""</f>
        <v/>
      </c>
      <c r="M1201" t="str">
        <f>""</f>
        <v/>
      </c>
      <c r="N1201" t="str">
        <f>"oticarodrigues@hotmail.com"</f>
        <v>oticarodrigues@hotmail.com</v>
      </c>
      <c r="O1201" t="str">
        <f>""</f>
        <v/>
      </c>
      <c r="P1201" t="str">
        <f>"AVENIDA SETE DE SETEMBRO"</f>
        <v>AVENIDA SETE DE SETEMBRO</v>
      </c>
      <c r="Q1201" t="str">
        <f>"1959"</f>
        <v>1959</v>
      </c>
      <c r="R1201" t="str">
        <f>""</f>
        <v/>
      </c>
      <c r="S1201" t="str">
        <f>"1270"</f>
        <v>1270</v>
      </c>
      <c r="T1201" t="str">
        <f>"88900040"</f>
        <v>88900040</v>
      </c>
      <c r="U1201" t="str">
        <f>"CENTRO"</f>
        <v>CENTRO</v>
      </c>
      <c r="V1201" t="str">
        <f>"ARARANGUA"</f>
        <v>ARARANGUA</v>
      </c>
      <c r="W1201" t="str">
        <f t="shared" si="608"/>
        <v>SC</v>
      </c>
      <c r="X1201" t="str">
        <f t="shared" si="609"/>
        <v>48</v>
      </c>
      <c r="Y1201" t="str">
        <f>"35243778"</f>
        <v>35243778</v>
      </c>
      <c r="Z1201" t="str">
        <f>""</f>
        <v/>
      </c>
      <c r="AA1201" t="str">
        <f>""</f>
        <v/>
      </c>
      <c r="AB1201" t="str">
        <f>""</f>
        <v/>
      </c>
      <c r="AC1201" t="str">
        <f>""</f>
        <v/>
      </c>
      <c r="AD1201" t="str">
        <f>""</f>
        <v/>
      </c>
      <c r="AE1201" t="str">
        <f>""</f>
        <v/>
      </c>
      <c r="AF1201" t="str">
        <f>""</f>
        <v/>
      </c>
      <c r="AG1201" t="str">
        <f>""</f>
        <v/>
      </c>
      <c r="AH1201" t="str">
        <f>""</f>
        <v/>
      </c>
      <c r="AI1201" t="str">
        <f>""</f>
        <v/>
      </c>
      <c r="AJ1201" t="str">
        <f>"0"</f>
        <v>0</v>
      </c>
      <c r="AK1201" t="str">
        <f>"0"</f>
        <v>0</v>
      </c>
      <c r="AL1201" t="str">
        <f>"0"</f>
        <v>0</v>
      </c>
      <c r="AM1201" t="str">
        <f>""</f>
        <v/>
      </c>
      <c r="AN1201" t="str">
        <f>""</f>
        <v/>
      </c>
      <c r="AO1201" t="str">
        <f>""</f>
        <v/>
      </c>
      <c r="AP1201" t="str">
        <f>""</f>
        <v/>
      </c>
      <c r="AQ1201" t="str">
        <f>""</f>
        <v/>
      </c>
      <c r="AR1201" t="str">
        <f>""</f>
        <v/>
      </c>
      <c r="AS1201" t="str">
        <f>""</f>
        <v/>
      </c>
      <c r="AT1201" t="str">
        <f>""</f>
        <v/>
      </c>
      <c r="AU1201" t="str">
        <f>""</f>
        <v/>
      </c>
      <c r="AV1201" t="str">
        <f>""</f>
        <v/>
      </c>
      <c r="AW1201" t="str">
        <f>""</f>
        <v/>
      </c>
      <c r="AX1201" t="str">
        <f>""</f>
        <v/>
      </c>
      <c r="AY1201" t="str">
        <f>""</f>
        <v/>
      </c>
      <c r="AZ1201" t="str">
        <f>""</f>
        <v/>
      </c>
      <c r="BA1201" t="str">
        <f>""</f>
        <v/>
      </c>
      <c r="BB1201" t="str">
        <f>""</f>
        <v/>
      </c>
      <c r="BC1201" t="str">
        <f>""</f>
        <v/>
      </c>
      <c r="BD1201" t="str">
        <f>""</f>
        <v/>
      </c>
      <c r="BE1201" t="str">
        <f>""</f>
        <v/>
      </c>
      <c r="BF1201" t="str">
        <f t="shared" si="584"/>
        <v>A</v>
      </c>
      <c r="BG1201" t="str">
        <f>"0,00"</f>
        <v>0,00</v>
      </c>
      <c r="BH1201" t="str">
        <f>"0,00"</f>
        <v>0,00</v>
      </c>
      <c r="BI1201" t="str">
        <f t="shared" si="603"/>
        <v>EVENTUAL</v>
      </c>
      <c r="BJ1201" t="str">
        <f t="shared" si="585"/>
        <v>1</v>
      </c>
      <c r="BK1201" t="str">
        <f t="shared" si="586"/>
        <v>Farmacia</v>
      </c>
      <c r="BL1201" t="str">
        <f>""</f>
        <v/>
      </c>
      <c r="BM1201" t="str">
        <f>"VARILUX ESPECIALISTA PLATINE"</f>
        <v>VARILUX ESPECIALISTA PLATINE</v>
      </c>
      <c r="BN1201" t="str">
        <f>"NA"</f>
        <v>NA</v>
      </c>
      <c r="BO1201" t="str">
        <f>"FOCO VARILUX DIGITAL"</f>
        <v>FOCO VARILUX DIGITAL</v>
      </c>
      <c r="BP1201" t="str">
        <f>""</f>
        <v/>
      </c>
      <c r="BQ1201" t="str">
        <f>""</f>
        <v/>
      </c>
      <c r="BR1201" t="str">
        <f>""</f>
        <v/>
      </c>
      <c r="BS1201" t="str">
        <f>""</f>
        <v/>
      </c>
      <c r="BT1201" t="str">
        <f>""</f>
        <v/>
      </c>
      <c r="BU1201" t="str">
        <f>""</f>
        <v/>
      </c>
      <c r="BV1201" t="str">
        <f>"1"</f>
        <v>1</v>
      </c>
      <c r="BW1201" t="str">
        <f>"130"</f>
        <v>130</v>
      </c>
    </row>
    <row r="1202" spans="1:75" x14ac:dyDescent="0.35">
      <c r="A1202">
        <v>157626</v>
      </c>
      <c r="B1202" t="str">
        <f t="shared" si="581"/>
        <v>A</v>
      </c>
      <c r="C1202" t="str">
        <f t="shared" si="582"/>
        <v>80</v>
      </c>
      <c r="D1202" t="str">
        <f t="shared" si="575"/>
        <v>11121002</v>
      </c>
      <c r="E1202" t="str">
        <f t="shared" si="576"/>
        <v>121002</v>
      </c>
      <c r="F1202" t="str">
        <f t="shared" si="577"/>
        <v>CINTHIA NORONHA</v>
      </c>
      <c r="G1202" t="str">
        <f>"09188147000121"</f>
        <v>09188147000121</v>
      </c>
      <c r="H1202" t="str">
        <f>"0"</f>
        <v>0</v>
      </c>
      <c r="I1202" t="str">
        <f t="shared" si="583"/>
        <v>CONTA OPTICA</v>
      </c>
      <c r="J1202" t="str">
        <f>"TOLENTINO COM. DE ARTIGOS OPTICOS LTDA"</f>
        <v>TOLENTINO COM. DE ARTIGOS OPTICOS LTDA</v>
      </c>
      <c r="K1202" t="str">
        <f>"OTICA SOUZA LTDA (1388)"</f>
        <v>OTICA SOUZA LTDA (1388)</v>
      </c>
      <c r="L1202" t="str">
        <f>""</f>
        <v/>
      </c>
      <c r="M1202" t="str">
        <f>""</f>
        <v/>
      </c>
      <c r="N1202" t="str">
        <f>"TOLENTINOCOMERCIODEARTIGOSOPTICOSLTDA@HOTMAIL.COM"</f>
        <v>TOLENTINOCOMERCIODEARTIGOSOPTICOSLTDA@HOTMAIL.COM</v>
      </c>
      <c r="O1202" t="str">
        <f>""</f>
        <v/>
      </c>
      <c r="P1202" t="str">
        <f>"RUA CAETANO SILVEIRA DE MATOS"</f>
        <v>RUA CAETANO SILVEIRA DE MATOS</v>
      </c>
      <c r="Q1202" t="str">
        <f>"2610"</f>
        <v>2610</v>
      </c>
      <c r="R1202" t="str">
        <f>"SL 1"</f>
        <v>SL 1</v>
      </c>
      <c r="S1202" t="str">
        <f>"1259"</f>
        <v>1259</v>
      </c>
      <c r="T1202" t="str">
        <f>"88130005"</f>
        <v>88130005</v>
      </c>
      <c r="U1202" t="str">
        <f>"CENTRO"</f>
        <v>CENTRO</v>
      </c>
      <c r="V1202" t="str">
        <f>"PALHOCA"</f>
        <v>PALHOCA</v>
      </c>
      <c r="W1202" t="str">
        <f t="shared" si="608"/>
        <v>SC</v>
      </c>
      <c r="X1202" t="str">
        <f t="shared" si="609"/>
        <v>48</v>
      </c>
      <c r="Y1202" t="str">
        <f>"30332160"</f>
        <v>30332160</v>
      </c>
      <c r="Z1202" t="str">
        <f>""</f>
        <v/>
      </c>
      <c r="AA1202" t="str">
        <f>""</f>
        <v/>
      </c>
      <c r="AB1202" t="str">
        <f>""</f>
        <v/>
      </c>
      <c r="AC1202" t="str">
        <f>""</f>
        <v/>
      </c>
      <c r="AD1202" t="str">
        <f>""</f>
        <v/>
      </c>
      <c r="AE1202" t="str">
        <f>""</f>
        <v/>
      </c>
      <c r="AF1202" t="str">
        <f>""</f>
        <v/>
      </c>
      <c r="AG1202" t="str">
        <f>""</f>
        <v/>
      </c>
      <c r="AH1202" t="str">
        <f>""</f>
        <v/>
      </c>
      <c r="AI1202" t="str">
        <f>""</f>
        <v/>
      </c>
      <c r="AJ1202" t="str">
        <f>""</f>
        <v/>
      </c>
      <c r="AK1202" t="str">
        <f>""</f>
        <v/>
      </c>
      <c r="AL1202" t="str">
        <f>""</f>
        <v/>
      </c>
      <c r="AM1202" t="str">
        <f>""</f>
        <v/>
      </c>
      <c r="AN1202" t="str">
        <f>""</f>
        <v/>
      </c>
      <c r="AO1202" t="str">
        <f>""</f>
        <v/>
      </c>
      <c r="AP1202" t="str">
        <f>""</f>
        <v/>
      </c>
      <c r="AQ1202" t="str">
        <f>""</f>
        <v/>
      </c>
      <c r="AR1202" t="str">
        <f>""</f>
        <v/>
      </c>
      <c r="AS1202" t="str">
        <f>""</f>
        <v/>
      </c>
      <c r="AT1202" t="str">
        <f>""</f>
        <v/>
      </c>
      <c r="AU1202" t="str">
        <f>""</f>
        <v/>
      </c>
      <c r="AV1202" t="str">
        <f>""</f>
        <v/>
      </c>
      <c r="AW1202" t="str">
        <f>""</f>
        <v/>
      </c>
      <c r="AX1202" t="str">
        <f>""</f>
        <v/>
      </c>
      <c r="AY1202" t="str">
        <f>""</f>
        <v/>
      </c>
      <c r="AZ1202" t="str">
        <f>""</f>
        <v/>
      </c>
      <c r="BA1202" t="str">
        <f>""</f>
        <v/>
      </c>
      <c r="BB1202" t="str">
        <f>"11/07/2023 02:19:56"</f>
        <v>11/07/2023 02:19:56</v>
      </c>
      <c r="BC1202" t="str">
        <f>""</f>
        <v/>
      </c>
      <c r="BD1202" t="str">
        <f>""</f>
        <v/>
      </c>
      <c r="BE1202" t="str">
        <f>""</f>
        <v/>
      </c>
      <c r="BF1202" t="str">
        <f t="shared" si="584"/>
        <v>A</v>
      </c>
      <c r="BG1202" t="str">
        <f>""</f>
        <v/>
      </c>
      <c r="BH1202" t="str">
        <f>""</f>
        <v/>
      </c>
      <c r="BI1202" t="str">
        <f t="shared" si="603"/>
        <v>EVENTUAL</v>
      </c>
      <c r="BJ1202" t="str">
        <f t="shared" si="585"/>
        <v>1</v>
      </c>
      <c r="BK1202" t="str">
        <f t="shared" si="586"/>
        <v>Farmacia</v>
      </c>
      <c r="BL1202" t="str">
        <f>""</f>
        <v/>
      </c>
      <c r="BM1202" t="str">
        <f>""</f>
        <v/>
      </c>
      <c r="BN1202" t="str">
        <f>""</f>
        <v/>
      </c>
      <c r="BO1202" t="str">
        <f>""</f>
        <v/>
      </c>
      <c r="BP1202" t="str">
        <f>""</f>
        <v/>
      </c>
      <c r="BQ1202" t="str">
        <f>""</f>
        <v/>
      </c>
      <c r="BR1202" t="str">
        <f>"11/07/2023"</f>
        <v>11/07/2023</v>
      </c>
      <c r="BS1202" t="str">
        <f>""</f>
        <v/>
      </c>
      <c r="BT1202" t="str">
        <f>""</f>
        <v/>
      </c>
      <c r="BU1202" t="str">
        <f>""</f>
        <v/>
      </c>
      <c r="BV1202" t="str">
        <f>""</f>
        <v/>
      </c>
      <c r="BW1202" t="str">
        <f t="shared" ref="BW1202:BW1207" si="610">"Não visitado"</f>
        <v>Não visitado</v>
      </c>
    </row>
    <row r="1203" spans="1:75" x14ac:dyDescent="0.35">
      <c r="A1203">
        <v>157610</v>
      </c>
      <c r="B1203" t="str">
        <f t="shared" si="581"/>
        <v>A</v>
      </c>
      <c r="C1203" t="str">
        <f t="shared" si="582"/>
        <v>80</v>
      </c>
      <c r="D1203" t="str">
        <f t="shared" si="575"/>
        <v>11121002</v>
      </c>
      <c r="E1203" t="str">
        <f t="shared" si="576"/>
        <v>121002</v>
      </c>
      <c r="F1203" t="str">
        <f t="shared" si="577"/>
        <v>CINTHIA NORONHA</v>
      </c>
      <c r="G1203" t="str">
        <f>"35273892000189"</f>
        <v>35273892000189</v>
      </c>
      <c r="H1203" t="str">
        <f>"0"</f>
        <v>0</v>
      </c>
      <c r="I1203" t="str">
        <f t="shared" si="583"/>
        <v>CONTA OPTICA</v>
      </c>
      <c r="J1203" t="str">
        <f>"TOP AERO ACESSORIOS DE MODA LTDA"</f>
        <v>TOP AERO ACESSORIOS DE MODA LTDA</v>
      </c>
      <c r="K1203" t="str">
        <f>"CHILLI BEANS (4092)"</f>
        <v>CHILLI BEANS (4092)</v>
      </c>
      <c r="L1203" t="str">
        <f>""</f>
        <v/>
      </c>
      <c r="M1203" t="str">
        <f>""</f>
        <v/>
      </c>
      <c r="N1203" t="str">
        <f>"MARIANE.MOSENA@CHILLISC.COM.BR"</f>
        <v>MARIANE.MOSENA@CHILLISC.COM.BR</v>
      </c>
      <c r="O1203" t="str">
        <f>""</f>
        <v/>
      </c>
      <c r="P1203" t="str">
        <f>"DEPUTADO DIOMÍCIO FREITAS"</f>
        <v>DEPUTADO DIOMÍCIO FREITAS</v>
      </c>
      <c r="Q1203" t="str">
        <f>"3393"</f>
        <v>3393</v>
      </c>
      <c r="R1203" t="str">
        <f>"1° PAV AEROPORT"</f>
        <v>1° PAV AEROPORT</v>
      </c>
      <c r="S1203" t="str">
        <f>""</f>
        <v/>
      </c>
      <c r="T1203" t="str">
        <f>"88047900"</f>
        <v>88047900</v>
      </c>
      <c r="U1203" t="str">
        <f>"CARIANOS"</f>
        <v>CARIANOS</v>
      </c>
      <c r="V1203" t="str">
        <f>"FLORIANOPOLIS"</f>
        <v>FLORIANOPOLIS</v>
      </c>
      <c r="W1203" t="str">
        <f t="shared" si="608"/>
        <v>SC</v>
      </c>
      <c r="X1203" t="str">
        <f t="shared" si="609"/>
        <v>48</v>
      </c>
      <c r="Y1203" t="str">
        <f>"30374788"</f>
        <v>30374788</v>
      </c>
      <c r="Z1203" t="str">
        <f>""</f>
        <v/>
      </c>
      <c r="AA1203" t="str">
        <f>""</f>
        <v/>
      </c>
      <c r="AB1203" t="str">
        <f>""</f>
        <v/>
      </c>
      <c r="AC1203" t="str">
        <f>""</f>
        <v/>
      </c>
      <c r="AD1203" t="str">
        <f>""</f>
        <v/>
      </c>
      <c r="AE1203" t="str">
        <f>""</f>
        <v/>
      </c>
      <c r="AF1203" t="str">
        <f>""</f>
        <v/>
      </c>
      <c r="AG1203" t="str">
        <f>""</f>
        <v/>
      </c>
      <c r="AH1203" t="str">
        <f>""</f>
        <v/>
      </c>
      <c r="AI1203" t="str">
        <f>""</f>
        <v/>
      </c>
      <c r="AJ1203" t="str">
        <f>""</f>
        <v/>
      </c>
      <c r="AK1203" t="str">
        <f>""</f>
        <v/>
      </c>
      <c r="AL1203" t="str">
        <f>""</f>
        <v/>
      </c>
      <c r="AM1203" t="str">
        <f>""</f>
        <v/>
      </c>
      <c r="AN1203" t="str">
        <f>""</f>
        <v/>
      </c>
      <c r="AO1203" t="str">
        <f>""</f>
        <v/>
      </c>
      <c r="AP1203" t="str">
        <f>""</f>
        <v/>
      </c>
      <c r="AQ1203" t="str">
        <f>""</f>
        <v/>
      </c>
      <c r="AR1203" t="str">
        <f>""</f>
        <v/>
      </c>
      <c r="AS1203" t="str">
        <f>""</f>
        <v/>
      </c>
      <c r="AT1203" t="str">
        <f>""</f>
        <v/>
      </c>
      <c r="AU1203" t="str">
        <f>""</f>
        <v/>
      </c>
      <c r="AV1203" t="str">
        <f>""</f>
        <v/>
      </c>
      <c r="AW1203" t="str">
        <f>""</f>
        <v/>
      </c>
      <c r="AX1203" t="str">
        <f>""</f>
        <v/>
      </c>
      <c r="AY1203" t="str">
        <f>""</f>
        <v/>
      </c>
      <c r="AZ1203" t="str">
        <f>""</f>
        <v/>
      </c>
      <c r="BA1203" t="str">
        <f>""</f>
        <v/>
      </c>
      <c r="BB1203" t="str">
        <f>"11/07/2023 02:19:56"</f>
        <v>11/07/2023 02:19:56</v>
      </c>
      <c r="BC1203" t="str">
        <f>""</f>
        <v/>
      </c>
      <c r="BD1203" t="str">
        <f>""</f>
        <v/>
      </c>
      <c r="BE1203" t="str">
        <f>""</f>
        <v/>
      </c>
      <c r="BF1203" t="str">
        <f t="shared" si="584"/>
        <v>A</v>
      </c>
      <c r="BG1203" t="str">
        <f>""</f>
        <v/>
      </c>
      <c r="BH1203" t="str">
        <f>""</f>
        <v/>
      </c>
      <c r="BI1203" t="str">
        <f t="shared" si="603"/>
        <v>EVENTUAL</v>
      </c>
      <c r="BJ1203" t="str">
        <f t="shared" si="585"/>
        <v>1</v>
      </c>
      <c r="BK1203" t="str">
        <f t="shared" si="586"/>
        <v>Farmacia</v>
      </c>
      <c r="BL1203" t="str">
        <f>""</f>
        <v/>
      </c>
      <c r="BM1203" t="str">
        <f>""</f>
        <v/>
      </c>
      <c r="BN1203" t="str">
        <f>""</f>
        <v/>
      </c>
      <c r="BO1203" t="str">
        <f>""</f>
        <v/>
      </c>
      <c r="BP1203" t="str">
        <f>""</f>
        <v/>
      </c>
      <c r="BQ1203" t="str">
        <f>""</f>
        <v/>
      </c>
      <c r="BR1203" t="str">
        <f>"11/07/2023"</f>
        <v>11/07/2023</v>
      </c>
      <c r="BS1203" t="str">
        <f>""</f>
        <v/>
      </c>
      <c r="BT1203" t="str">
        <f>""</f>
        <v/>
      </c>
      <c r="BU1203" t="str">
        <f>""</f>
        <v/>
      </c>
      <c r="BV1203" t="str">
        <f>""</f>
        <v/>
      </c>
      <c r="BW1203" t="str">
        <f t="shared" si="610"/>
        <v>Não visitado</v>
      </c>
    </row>
    <row r="1204" spans="1:75" x14ac:dyDescent="0.35">
      <c r="A1204">
        <v>144688</v>
      </c>
      <c r="B1204" t="str">
        <f t="shared" si="581"/>
        <v>A</v>
      </c>
      <c r="C1204" t="str">
        <f t="shared" si="582"/>
        <v>80</v>
      </c>
      <c r="D1204" t="str">
        <f t="shared" ref="D1204:D1266" si="611">"11121002"</f>
        <v>11121002</v>
      </c>
      <c r="E1204" t="str">
        <f t="shared" ref="E1204:E1266" si="612">"121002"</f>
        <v>121002</v>
      </c>
      <c r="F1204" t="str">
        <f t="shared" ref="F1204:F1266" si="613">"CINTHIA NORONHA"</f>
        <v>CINTHIA NORONHA</v>
      </c>
      <c r="G1204" t="str">
        <f>"23315448000108"</f>
        <v>23315448000108</v>
      </c>
      <c r="H1204" t="str">
        <f>""</f>
        <v/>
      </c>
      <c r="I1204" t="str">
        <f t="shared" si="583"/>
        <v>CONTA OPTICA</v>
      </c>
      <c r="J1204" t="str">
        <f>"TOP SUL ACESSORIOS DE MODA LTDA EPP"</f>
        <v>TOP SUL ACESSORIOS DE MODA LTDA EPP</v>
      </c>
      <c r="K1204" t="str">
        <f>"CHILLI BEANS (3306)"</f>
        <v>CHILLI BEANS (3306)</v>
      </c>
      <c r="L1204" t="str">
        <f>""</f>
        <v/>
      </c>
      <c r="M1204" t="str">
        <f>""</f>
        <v/>
      </c>
      <c r="N1204" t="str">
        <f>"mariane.mosena@chillisc.com.br"</f>
        <v>mariane.mosena@chillisc.com.br</v>
      </c>
      <c r="O1204" t="str">
        <f>""</f>
        <v/>
      </c>
      <c r="P1204" t="str">
        <f>"RUA JORGE ELIAS DE LUCCA"</f>
        <v>RUA JORGE ELIAS DE LUCCA</v>
      </c>
      <c r="Q1204" t="str">
        <f>"677"</f>
        <v>677</v>
      </c>
      <c r="R1204" t="str">
        <f>"LOJA 27"</f>
        <v>LOJA 27</v>
      </c>
      <c r="S1204" t="str">
        <f>"1269"</f>
        <v>1269</v>
      </c>
      <c r="T1204" t="str">
        <f>"88813390"</f>
        <v>88813390</v>
      </c>
      <c r="U1204" t="str">
        <f>"NOSSA SENHORA DA SALETE"</f>
        <v>NOSSA SENHORA DA SALETE</v>
      </c>
      <c r="V1204" t="str">
        <f>"CRICIÚMA"</f>
        <v>CRICIÚMA</v>
      </c>
      <c r="W1204" t="str">
        <f t="shared" si="608"/>
        <v>SC</v>
      </c>
      <c r="X1204" t="str">
        <f t="shared" si="609"/>
        <v>48</v>
      </c>
      <c r="Y1204" t="str">
        <f>"21018990"</f>
        <v>21018990</v>
      </c>
      <c r="Z1204" t="str">
        <f>""</f>
        <v/>
      </c>
      <c r="AA1204" t="str">
        <f>""</f>
        <v/>
      </c>
      <c r="AB1204" t="str">
        <f>""</f>
        <v/>
      </c>
      <c r="AC1204" t="str">
        <f>""</f>
        <v/>
      </c>
      <c r="AD1204" t="str">
        <f>""</f>
        <v/>
      </c>
      <c r="AE1204" t="str">
        <f>""</f>
        <v/>
      </c>
      <c r="AF1204" t="str">
        <f>""</f>
        <v/>
      </c>
      <c r="AG1204" t="str">
        <f>""</f>
        <v/>
      </c>
      <c r="AH1204" t="str">
        <f>""</f>
        <v/>
      </c>
      <c r="AI1204" t="str">
        <f>""</f>
        <v/>
      </c>
      <c r="AJ1204" t="str">
        <f>"0"</f>
        <v>0</v>
      </c>
      <c r="AK1204" t="str">
        <f>"0"</f>
        <v>0</v>
      </c>
      <c r="AL1204" t="str">
        <f>"0"</f>
        <v>0</v>
      </c>
      <c r="AM1204" t="str">
        <f>""</f>
        <v/>
      </c>
      <c r="AN1204" t="str">
        <f>""</f>
        <v/>
      </c>
      <c r="AO1204" t="str">
        <f>""</f>
        <v/>
      </c>
      <c r="AP1204" t="str">
        <f>""</f>
        <v/>
      </c>
      <c r="AQ1204" t="str">
        <f>""</f>
        <v/>
      </c>
      <c r="AR1204" t="str">
        <f>""</f>
        <v/>
      </c>
      <c r="AS1204" t="str">
        <f>""</f>
        <v/>
      </c>
      <c r="AT1204" t="str">
        <f>""</f>
        <v/>
      </c>
      <c r="AU1204" t="str">
        <f>""</f>
        <v/>
      </c>
      <c r="AV1204" t="str">
        <f>""</f>
        <v/>
      </c>
      <c r="AW1204" t="str">
        <f>""</f>
        <v/>
      </c>
      <c r="AX1204" t="str">
        <f>""</f>
        <v/>
      </c>
      <c r="AY1204" t="str">
        <f>""</f>
        <v/>
      </c>
      <c r="AZ1204" t="str">
        <f>""</f>
        <v/>
      </c>
      <c r="BA1204" t="str">
        <f>""</f>
        <v/>
      </c>
      <c r="BB1204" t="str">
        <f>""</f>
        <v/>
      </c>
      <c r="BC1204" t="str">
        <f>""</f>
        <v/>
      </c>
      <c r="BD1204" t="str">
        <f>""</f>
        <v/>
      </c>
      <c r="BE1204" t="str">
        <f>""</f>
        <v/>
      </c>
      <c r="BF1204" t="str">
        <f t="shared" si="584"/>
        <v>A</v>
      </c>
      <c r="BG1204" t="str">
        <f>"0,00"</f>
        <v>0,00</v>
      </c>
      <c r="BH1204" t="str">
        <f>"0,00"</f>
        <v>0,00</v>
      </c>
      <c r="BI1204" t="str">
        <f t="shared" si="603"/>
        <v>EVENTUAL</v>
      </c>
      <c r="BJ1204" t="str">
        <f t="shared" si="585"/>
        <v>1</v>
      </c>
      <c r="BK1204" t="str">
        <f t="shared" si="586"/>
        <v>Farmacia</v>
      </c>
      <c r="BL1204" t="str">
        <f>""</f>
        <v/>
      </c>
      <c r="BM1204" t="str">
        <f>"NÃO É VARILUX ESPECIALISTA"</f>
        <v>NÃO É VARILUX ESPECIALISTA</v>
      </c>
      <c r="BN1204" t="str">
        <f>"NA"</f>
        <v>NA</v>
      </c>
      <c r="BO1204" t="str">
        <f>"FOCO KODAK 1"</f>
        <v>FOCO KODAK 1</v>
      </c>
      <c r="BP1204" t="str">
        <f>""</f>
        <v/>
      </c>
      <c r="BQ1204" t="str">
        <f>""</f>
        <v/>
      </c>
      <c r="BR1204" t="str">
        <f>""</f>
        <v/>
      </c>
      <c r="BS1204" t="str">
        <f>""</f>
        <v/>
      </c>
      <c r="BT1204" t="str">
        <f>""</f>
        <v/>
      </c>
      <c r="BU1204" t="str">
        <f>""</f>
        <v/>
      </c>
      <c r="BV1204" t="str">
        <f>"9"</f>
        <v>9</v>
      </c>
      <c r="BW1204" t="str">
        <f t="shared" si="610"/>
        <v>Não visitado</v>
      </c>
    </row>
    <row r="1205" spans="1:75" x14ac:dyDescent="0.35">
      <c r="A1205">
        <v>156890</v>
      </c>
      <c r="B1205" t="str">
        <f t="shared" si="581"/>
        <v>A</v>
      </c>
      <c r="C1205" t="str">
        <f t="shared" si="582"/>
        <v>80</v>
      </c>
      <c r="D1205" t="str">
        <f t="shared" si="611"/>
        <v>11121002</v>
      </c>
      <c r="E1205" t="str">
        <f t="shared" si="612"/>
        <v>121002</v>
      </c>
      <c r="F1205" t="str">
        <f t="shared" si="613"/>
        <v>CINTHIA NORONHA</v>
      </c>
      <c r="G1205" t="str">
        <f>"15737105000103"</f>
        <v>15737105000103</v>
      </c>
      <c r="H1205" t="str">
        <f>"0"</f>
        <v>0</v>
      </c>
      <c r="I1205" t="str">
        <f t="shared" si="583"/>
        <v>CONTA OPTICA</v>
      </c>
      <c r="J1205" t="str">
        <f>"TOPAZIO JOALHERIA E OTICA EIRELI EPP"</f>
        <v>TOPAZIO JOALHERIA E OTICA EIRELI EPP</v>
      </c>
      <c r="K1205" t="str">
        <f>"OTICA QUEVEDO (1990)"</f>
        <v>OTICA QUEVEDO (1990)</v>
      </c>
      <c r="L1205" t="str">
        <f>""</f>
        <v/>
      </c>
      <c r="M1205" t="str">
        <f>""</f>
        <v/>
      </c>
      <c r="N1205" t="str">
        <f>"ANDRE@QUEVEDO.COM.BR"</f>
        <v>ANDRE@QUEVEDO.COM.BR</v>
      </c>
      <c r="O1205" t="str">
        <f>""</f>
        <v/>
      </c>
      <c r="P1205" t="str">
        <f>"LEDIO JOAO MARTINS"</f>
        <v>LEDIO JOAO MARTINS</v>
      </c>
      <c r="Q1205" t="str">
        <f>"649"</f>
        <v>649</v>
      </c>
      <c r="R1205" t="str">
        <f>"LOJA 1"</f>
        <v>LOJA 1</v>
      </c>
      <c r="S1205" t="str">
        <f>"1259"</f>
        <v>1259</v>
      </c>
      <c r="T1205" t="str">
        <f>"88102000"</f>
        <v>88102000</v>
      </c>
      <c r="U1205" t="str">
        <f>"KOBRASOL"</f>
        <v>KOBRASOL</v>
      </c>
      <c r="V1205" t="str">
        <f>"SAO JOSE"</f>
        <v>SAO JOSE</v>
      </c>
      <c r="W1205" t="str">
        <f t="shared" si="608"/>
        <v>SC</v>
      </c>
      <c r="X1205" t="str">
        <f t="shared" si="609"/>
        <v>48</v>
      </c>
      <c r="Y1205" t="str">
        <f>"32247135"</f>
        <v>32247135</v>
      </c>
      <c r="Z1205" t="str">
        <f>""</f>
        <v/>
      </c>
      <c r="AA1205" t="str">
        <f>""</f>
        <v/>
      </c>
      <c r="AB1205" t="str">
        <f>""</f>
        <v/>
      </c>
      <c r="AC1205" t="str">
        <f>""</f>
        <v/>
      </c>
      <c r="AD1205" t="str">
        <f>""</f>
        <v/>
      </c>
      <c r="AE1205" t="str">
        <f>""</f>
        <v/>
      </c>
      <c r="AF1205" t="str">
        <f>""</f>
        <v/>
      </c>
      <c r="AG1205" t="str">
        <f>""</f>
        <v/>
      </c>
      <c r="AH1205" t="str">
        <f>""</f>
        <v/>
      </c>
      <c r="AI1205" t="str">
        <f>""</f>
        <v/>
      </c>
      <c r="AJ1205" t="str">
        <f>""</f>
        <v/>
      </c>
      <c r="AK1205" t="str">
        <f>""</f>
        <v/>
      </c>
      <c r="AL1205" t="str">
        <f>""</f>
        <v/>
      </c>
      <c r="AM1205" t="str">
        <f>""</f>
        <v/>
      </c>
      <c r="AN1205" t="str">
        <f>""</f>
        <v/>
      </c>
      <c r="AO1205" t="str">
        <f>""</f>
        <v/>
      </c>
      <c r="AP1205" t="str">
        <f>""</f>
        <v/>
      </c>
      <c r="AQ1205" t="str">
        <f>""</f>
        <v/>
      </c>
      <c r="AR1205" t="str">
        <f>""</f>
        <v/>
      </c>
      <c r="AS1205" t="str">
        <f>""</f>
        <v/>
      </c>
      <c r="AT1205" t="str">
        <f>""</f>
        <v/>
      </c>
      <c r="AU1205" t="str">
        <f>""</f>
        <v/>
      </c>
      <c r="AV1205" t="str">
        <f>""</f>
        <v/>
      </c>
      <c r="AW1205" t="str">
        <f>""</f>
        <v/>
      </c>
      <c r="AX1205" t="str">
        <f>""</f>
        <v/>
      </c>
      <c r="AY1205" t="str">
        <f>""</f>
        <v/>
      </c>
      <c r="AZ1205" t="str">
        <f>""</f>
        <v/>
      </c>
      <c r="BA1205" t="str">
        <f>""</f>
        <v/>
      </c>
      <c r="BB1205" t="str">
        <f>"06/07/2023 12:07:48"</f>
        <v>06/07/2023 12:07:48</v>
      </c>
      <c r="BC1205" t="str">
        <f>""</f>
        <v/>
      </c>
      <c r="BD1205" t="str">
        <f>""</f>
        <v/>
      </c>
      <c r="BE1205" t="str">
        <f>""</f>
        <v/>
      </c>
      <c r="BF1205" t="str">
        <f t="shared" si="584"/>
        <v>A</v>
      </c>
      <c r="BG1205" t="str">
        <f>""</f>
        <v/>
      </c>
      <c r="BH1205" t="str">
        <f>""</f>
        <v/>
      </c>
      <c r="BI1205" t="str">
        <f t="shared" si="603"/>
        <v>EVENTUAL</v>
      </c>
      <c r="BJ1205" t="str">
        <f t="shared" si="585"/>
        <v>1</v>
      </c>
      <c r="BK1205" t="str">
        <f t="shared" si="586"/>
        <v>Farmacia</v>
      </c>
      <c r="BL1205" t="str">
        <f>""</f>
        <v/>
      </c>
      <c r="BM1205" t="str">
        <f>""</f>
        <v/>
      </c>
      <c r="BN1205" t="str">
        <f>""</f>
        <v/>
      </c>
      <c r="BO1205" t="str">
        <f>""</f>
        <v/>
      </c>
      <c r="BP1205" t="str">
        <f>""</f>
        <v/>
      </c>
      <c r="BQ1205" t="str">
        <f>""</f>
        <v/>
      </c>
      <c r="BR1205" t="str">
        <f>"06/07/2023"</f>
        <v>06/07/2023</v>
      </c>
      <c r="BS1205" t="str">
        <f>""</f>
        <v/>
      </c>
      <c r="BT1205" t="str">
        <f>""</f>
        <v/>
      </c>
      <c r="BU1205" t="str">
        <f>""</f>
        <v/>
      </c>
      <c r="BV1205" t="str">
        <f>""</f>
        <v/>
      </c>
      <c r="BW1205" t="str">
        <f t="shared" si="610"/>
        <v>Não visitado</v>
      </c>
    </row>
    <row r="1206" spans="1:75" x14ac:dyDescent="0.35">
      <c r="A1206">
        <v>156933</v>
      </c>
      <c r="B1206" t="str">
        <f t="shared" si="581"/>
        <v>A</v>
      </c>
      <c r="C1206" t="str">
        <f t="shared" si="582"/>
        <v>80</v>
      </c>
      <c r="D1206" t="str">
        <f t="shared" si="611"/>
        <v>11121002</v>
      </c>
      <c r="E1206" t="str">
        <f t="shared" si="612"/>
        <v>121002</v>
      </c>
      <c r="F1206" t="str">
        <f t="shared" si="613"/>
        <v>CINTHIA NORONHA</v>
      </c>
      <c r="G1206" t="str">
        <f>"15737105000286"</f>
        <v>15737105000286</v>
      </c>
      <c r="H1206" t="str">
        <f>"0"</f>
        <v>0</v>
      </c>
      <c r="I1206" t="str">
        <f t="shared" si="583"/>
        <v>CONTA OPTICA</v>
      </c>
      <c r="J1206" t="str">
        <f>"TOPAZIO JOALHERIA E OTICA EIRELLI EPP"</f>
        <v>TOPAZIO JOALHERIA E OTICA EIRELLI EPP</v>
      </c>
      <c r="K1206" t="str">
        <f>"QUEVEDO JOALHERIA E OTICA  (2164)"</f>
        <v>QUEVEDO JOALHERIA E OTICA  (2164)</v>
      </c>
      <c r="L1206" t="str">
        <f>""</f>
        <v/>
      </c>
      <c r="M1206" t="str">
        <f>""</f>
        <v/>
      </c>
      <c r="N1206" t="str">
        <f>"ANDRE@QUEVEDO.COM.BR"</f>
        <v>ANDRE@QUEVEDO.COM.BR</v>
      </c>
      <c r="O1206" t="str">
        <f>""</f>
        <v/>
      </c>
      <c r="P1206" t="str">
        <f>"MARCOLINO MARTINS CABRAL"</f>
        <v>MARCOLINO MARTINS CABRAL</v>
      </c>
      <c r="Q1206" t="str">
        <f>"2525"</f>
        <v>2525</v>
      </c>
      <c r="R1206" t="str">
        <f>"LOJA 90"</f>
        <v>LOJA 90</v>
      </c>
      <c r="S1206" t="str">
        <f>"1268"</f>
        <v>1268</v>
      </c>
      <c r="T1206" t="str">
        <f>"88705003"</f>
        <v>88705003</v>
      </c>
      <c r="U1206" t="str">
        <f>"AEROPORTO"</f>
        <v>AEROPORTO</v>
      </c>
      <c r="V1206" t="str">
        <f>"TUBARAO"</f>
        <v>TUBARAO</v>
      </c>
      <c r="W1206" t="str">
        <f t="shared" si="608"/>
        <v>SC</v>
      </c>
      <c r="X1206" t="str">
        <f t="shared" si="609"/>
        <v>48</v>
      </c>
      <c r="Y1206" t="str">
        <f>"30523181"</f>
        <v>30523181</v>
      </c>
      <c r="Z1206" t="str">
        <f>""</f>
        <v/>
      </c>
      <c r="AA1206" t="str">
        <f>""</f>
        <v/>
      </c>
      <c r="AB1206" t="str">
        <f>""</f>
        <v/>
      </c>
      <c r="AC1206" t="str">
        <f>""</f>
        <v/>
      </c>
      <c r="AD1206" t="str">
        <f>""</f>
        <v/>
      </c>
      <c r="AE1206" t="str">
        <f>""</f>
        <v/>
      </c>
      <c r="AF1206" t="str">
        <f>""</f>
        <v/>
      </c>
      <c r="AG1206" t="str">
        <f>""</f>
        <v/>
      </c>
      <c r="AH1206" t="str">
        <f>""</f>
        <v/>
      </c>
      <c r="AI1206" t="str">
        <f>""</f>
        <v/>
      </c>
      <c r="AJ1206" t="str">
        <f>""</f>
        <v/>
      </c>
      <c r="AK1206" t="str">
        <f>""</f>
        <v/>
      </c>
      <c r="AL1206" t="str">
        <f>""</f>
        <v/>
      </c>
      <c r="AM1206" t="str">
        <f>""</f>
        <v/>
      </c>
      <c r="AN1206" t="str">
        <f>""</f>
        <v/>
      </c>
      <c r="AO1206" t="str">
        <f>""</f>
        <v/>
      </c>
      <c r="AP1206" t="str">
        <f>""</f>
        <v/>
      </c>
      <c r="AQ1206" t="str">
        <f>""</f>
        <v/>
      </c>
      <c r="AR1206" t="str">
        <f>""</f>
        <v/>
      </c>
      <c r="AS1206" t="str">
        <f>""</f>
        <v/>
      </c>
      <c r="AT1206" t="str">
        <f>""</f>
        <v/>
      </c>
      <c r="AU1206" t="str">
        <f>""</f>
        <v/>
      </c>
      <c r="AV1206" t="str">
        <f>""</f>
        <v/>
      </c>
      <c r="AW1206" t="str">
        <f>""</f>
        <v/>
      </c>
      <c r="AX1206" t="str">
        <f>""</f>
        <v/>
      </c>
      <c r="AY1206" t="str">
        <f>""</f>
        <v/>
      </c>
      <c r="AZ1206" t="str">
        <f>""</f>
        <v/>
      </c>
      <c r="BA1206" t="str">
        <f>""</f>
        <v/>
      </c>
      <c r="BB1206" t="str">
        <f>"06/07/2023 12:07:48"</f>
        <v>06/07/2023 12:07:48</v>
      </c>
      <c r="BC1206" t="str">
        <f>""</f>
        <v/>
      </c>
      <c r="BD1206" t="str">
        <f>""</f>
        <v/>
      </c>
      <c r="BE1206" t="str">
        <f>""</f>
        <v/>
      </c>
      <c r="BF1206" t="str">
        <f t="shared" si="584"/>
        <v>A</v>
      </c>
      <c r="BG1206" t="str">
        <f>""</f>
        <v/>
      </c>
      <c r="BH1206" t="str">
        <f>""</f>
        <v/>
      </c>
      <c r="BI1206" t="str">
        <f t="shared" si="603"/>
        <v>EVENTUAL</v>
      </c>
      <c r="BJ1206" t="str">
        <f t="shared" si="585"/>
        <v>1</v>
      </c>
      <c r="BK1206" t="str">
        <f t="shared" si="586"/>
        <v>Farmacia</v>
      </c>
      <c r="BL1206" t="str">
        <f>""</f>
        <v/>
      </c>
      <c r="BM1206" t="str">
        <f>""</f>
        <v/>
      </c>
      <c r="BN1206" t="str">
        <f>""</f>
        <v/>
      </c>
      <c r="BO1206" t="str">
        <f>""</f>
        <v/>
      </c>
      <c r="BP1206" t="str">
        <f>""</f>
        <v/>
      </c>
      <c r="BQ1206" t="str">
        <f>""</f>
        <v/>
      </c>
      <c r="BR1206" t="str">
        <f>"06/07/2023"</f>
        <v>06/07/2023</v>
      </c>
      <c r="BS1206" t="str">
        <f>""</f>
        <v/>
      </c>
      <c r="BT1206" t="str">
        <f>""</f>
        <v/>
      </c>
      <c r="BU1206" t="str">
        <f>""</f>
        <v/>
      </c>
      <c r="BV1206" t="str">
        <f>""</f>
        <v/>
      </c>
      <c r="BW1206" t="str">
        <f t="shared" si="610"/>
        <v>Não visitado</v>
      </c>
    </row>
    <row r="1207" spans="1:75" x14ac:dyDescent="0.35">
      <c r="A1207">
        <v>54</v>
      </c>
      <c r="B1207" t="str">
        <f t="shared" si="581"/>
        <v>A</v>
      </c>
      <c r="C1207" t="str">
        <f t="shared" si="582"/>
        <v>80</v>
      </c>
      <c r="D1207" t="str">
        <f t="shared" si="611"/>
        <v>11121002</v>
      </c>
      <c r="E1207" t="str">
        <f t="shared" si="612"/>
        <v>121002</v>
      </c>
      <c r="F1207" t="str">
        <f t="shared" si="613"/>
        <v>CINTHIA NORONHA</v>
      </c>
      <c r="G1207" t="str">
        <f>"04669929000169"</f>
        <v>04669929000169</v>
      </c>
      <c r="H1207" t="str">
        <f>""</f>
        <v/>
      </c>
      <c r="I1207" t="str">
        <f t="shared" si="583"/>
        <v>CONTA OPTICA</v>
      </c>
      <c r="J1207" t="str">
        <f>"TRAJANO E ROSA LTDA"</f>
        <v>TRAJANO E ROSA LTDA</v>
      </c>
      <c r="K1207" t="str">
        <f>"ALCIDINO JOALHERIA E OTICA (127)"</f>
        <v>ALCIDINO JOALHERIA E OTICA (127)</v>
      </c>
      <c r="L1207" t="str">
        <f>""</f>
        <v/>
      </c>
      <c r="M1207" t="str">
        <f>""</f>
        <v/>
      </c>
      <c r="N1207" t="str">
        <f>"financeiro_alcidino@yahoo.com.br"</f>
        <v>financeiro_alcidino@yahoo.com.br</v>
      </c>
      <c r="O1207" t="str">
        <f>""</f>
        <v/>
      </c>
      <c r="P1207" t="str">
        <f>"RUA CONSELHEIRO JOAO ZANETTE"</f>
        <v>RUA CONSELHEIRO JOAO ZANETTE</v>
      </c>
      <c r="Q1207" t="str">
        <f>"100"</f>
        <v>100</v>
      </c>
      <c r="R1207" t="str">
        <f>""</f>
        <v/>
      </c>
      <c r="S1207" t="str">
        <f>"1269"</f>
        <v>1269</v>
      </c>
      <c r="T1207" t="str">
        <f>"88801050"</f>
        <v>88801050</v>
      </c>
      <c r="U1207" t="str">
        <f>"CENTRO"</f>
        <v>CENTRO</v>
      </c>
      <c r="V1207" t="str">
        <f>"CRICIÚMA"</f>
        <v>CRICIÚMA</v>
      </c>
      <c r="W1207" t="str">
        <f t="shared" si="608"/>
        <v>SC</v>
      </c>
      <c r="X1207" t="str">
        <f t="shared" si="609"/>
        <v>48</v>
      </c>
      <c r="Y1207" t="str">
        <f>"34330526"</f>
        <v>34330526</v>
      </c>
      <c r="Z1207" t="str">
        <f>""</f>
        <v/>
      </c>
      <c r="AA1207" t="str">
        <f>""</f>
        <v/>
      </c>
      <c r="AB1207" t="str">
        <f>""</f>
        <v/>
      </c>
      <c r="AC1207" t="str">
        <f>""</f>
        <v/>
      </c>
      <c r="AD1207" t="str">
        <f>""</f>
        <v/>
      </c>
      <c r="AE1207" t="str">
        <f>""</f>
        <v/>
      </c>
      <c r="AF1207" t="str">
        <f>""</f>
        <v/>
      </c>
      <c r="AG1207" t="str">
        <f>""</f>
        <v/>
      </c>
      <c r="AH1207" t="str">
        <f>""</f>
        <v/>
      </c>
      <c r="AI1207" t="str">
        <f>""</f>
        <v/>
      </c>
      <c r="AJ1207" t="str">
        <f>"0"</f>
        <v>0</v>
      </c>
      <c r="AK1207" t="str">
        <f>"0"</f>
        <v>0</v>
      </c>
      <c r="AL1207" t="str">
        <f>"0"</f>
        <v>0</v>
      </c>
      <c r="AM1207" t="str">
        <f>""</f>
        <v/>
      </c>
      <c r="AN1207" t="str">
        <f>""</f>
        <v/>
      </c>
      <c r="AO1207" t="str">
        <f>""</f>
        <v/>
      </c>
      <c r="AP1207" t="str">
        <f>""</f>
        <v/>
      </c>
      <c r="AQ1207" t="str">
        <f>""</f>
        <v/>
      </c>
      <c r="AR1207" t="str">
        <f>""</f>
        <v/>
      </c>
      <c r="AS1207" t="str">
        <f>""</f>
        <v/>
      </c>
      <c r="AT1207" t="str">
        <f>""</f>
        <v/>
      </c>
      <c r="AU1207" t="str">
        <f>""</f>
        <v/>
      </c>
      <c r="AV1207" t="str">
        <f>""</f>
        <v/>
      </c>
      <c r="AW1207" t="str">
        <f>""</f>
        <v/>
      </c>
      <c r="AX1207" t="str">
        <f>""</f>
        <v/>
      </c>
      <c r="AY1207" t="str">
        <f>""</f>
        <v/>
      </c>
      <c r="AZ1207" t="str">
        <f>""</f>
        <v/>
      </c>
      <c r="BA1207" t="str">
        <f>""</f>
        <v/>
      </c>
      <c r="BB1207" t="str">
        <f>"27/07/2018 09:25:32"</f>
        <v>27/07/2018 09:25:32</v>
      </c>
      <c r="BC1207" t="str">
        <f>""</f>
        <v/>
      </c>
      <c r="BD1207" t="str">
        <f>""</f>
        <v/>
      </c>
      <c r="BE1207" t="str">
        <f>"54"</f>
        <v>54</v>
      </c>
      <c r="BF1207" t="str">
        <f t="shared" si="584"/>
        <v>A</v>
      </c>
      <c r="BG1207" t="str">
        <f>"0,00"</f>
        <v>0,00</v>
      </c>
      <c r="BH1207" t="str">
        <f>"0,00"</f>
        <v>0,00</v>
      </c>
      <c r="BI1207" t="str">
        <f t="shared" si="603"/>
        <v>EVENTUAL</v>
      </c>
      <c r="BJ1207" t="str">
        <f t="shared" si="585"/>
        <v>1</v>
      </c>
      <c r="BK1207" t="str">
        <f t="shared" si="586"/>
        <v>Farmacia</v>
      </c>
      <c r="BL1207" t="str">
        <f>""</f>
        <v/>
      </c>
      <c r="BM1207" t="str">
        <f>"VARILUX ESPECIALISTA SELECT"</f>
        <v>VARILUX ESPECIALISTA SELECT</v>
      </c>
      <c r="BN1207" t="str">
        <f t="shared" ref="BN1207:BN1219" si="614">"NA"</f>
        <v>NA</v>
      </c>
      <c r="BO1207" t="str">
        <f>"FOCO VARILUX DIGITAL"</f>
        <v>FOCO VARILUX DIGITAL</v>
      </c>
      <c r="BP1207" t="str">
        <f>""</f>
        <v/>
      </c>
      <c r="BQ1207" t="str">
        <f>""</f>
        <v/>
      </c>
      <c r="BR1207" t="str">
        <f>"27/07/2018"</f>
        <v>27/07/2018</v>
      </c>
      <c r="BS1207" t="str">
        <f>""</f>
        <v/>
      </c>
      <c r="BT1207" t="str">
        <f>""</f>
        <v/>
      </c>
      <c r="BU1207" t="str">
        <f>""</f>
        <v/>
      </c>
      <c r="BV1207" t="str">
        <f>"9"</f>
        <v>9</v>
      </c>
      <c r="BW1207" t="str">
        <f t="shared" si="610"/>
        <v>Não visitado</v>
      </c>
    </row>
    <row r="1208" spans="1:75" x14ac:dyDescent="0.35">
      <c r="A1208">
        <v>134513</v>
      </c>
      <c r="B1208" t="str">
        <f t="shared" si="581"/>
        <v>A</v>
      </c>
      <c r="C1208" t="str">
        <f t="shared" si="582"/>
        <v>80</v>
      </c>
      <c r="D1208" t="str">
        <f t="shared" si="611"/>
        <v>11121002</v>
      </c>
      <c r="E1208" t="str">
        <f t="shared" si="612"/>
        <v>121002</v>
      </c>
      <c r="F1208" t="str">
        <f t="shared" si="613"/>
        <v>CINTHIA NORONHA</v>
      </c>
      <c r="G1208" t="str">
        <f>"31435210000136"</f>
        <v>31435210000136</v>
      </c>
      <c r="H1208" t="str">
        <f>""</f>
        <v/>
      </c>
      <c r="I1208" t="str">
        <f t="shared" si="583"/>
        <v>CONTA OPTICA</v>
      </c>
      <c r="J1208" t="str">
        <f>"TRIND COMERCIO DE PRODUTOS OPTICOS EIRELI"</f>
        <v>TRIND COMERCIO DE PRODUTOS OPTICOS EIRELI</v>
      </c>
      <c r="K1208" t="str">
        <f>"OTICAS CAROL (3922)"</f>
        <v>OTICAS CAROL (3922)</v>
      </c>
      <c r="L1208" t="str">
        <f>""</f>
        <v/>
      </c>
      <c r="M1208" t="str">
        <f>""</f>
        <v/>
      </c>
      <c r="N1208" t="str">
        <f>"adm.sc@oticascarol.com.br"</f>
        <v>adm.sc@oticascarol.com.br</v>
      </c>
      <c r="O1208" t="str">
        <f>""</f>
        <v/>
      </c>
      <c r="P1208" t="str">
        <f>"RUA VIRGILIO VARZEA"</f>
        <v>RUA VIRGILIO VARZEA</v>
      </c>
      <c r="Q1208" t="str">
        <f>"587"</f>
        <v>587</v>
      </c>
      <c r="R1208" t="str">
        <f>"LJ230/0231 SPL2"</f>
        <v>LJ230/0231 SPL2</v>
      </c>
      <c r="S1208" t="str">
        <f>"1257"</f>
        <v>1257</v>
      </c>
      <c r="T1208" t="str">
        <f>"88032000"</f>
        <v>88032000</v>
      </c>
      <c r="U1208" t="str">
        <f>"MONTE VERDE"</f>
        <v>MONTE VERDE</v>
      </c>
      <c r="V1208" t="str">
        <f>"FLORIANÓPOLIS"</f>
        <v>FLORIANÓPOLIS</v>
      </c>
      <c r="W1208" t="str">
        <f t="shared" si="608"/>
        <v>SC</v>
      </c>
      <c r="X1208" t="str">
        <f t="shared" si="609"/>
        <v>48</v>
      </c>
      <c r="Y1208" t="str">
        <f>"32344552"</f>
        <v>32344552</v>
      </c>
      <c r="Z1208" t="str">
        <f>""</f>
        <v/>
      </c>
      <c r="AA1208" t="str">
        <f>""</f>
        <v/>
      </c>
      <c r="AB1208" t="str">
        <f>""</f>
        <v/>
      </c>
      <c r="AC1208" t="str">
        <f>""</f>
        <v/>
      </c>
      <c r="AD1208" t="str">
        <f>""</f>
        <v/>
      </c>
      <c r="AE1208" t="str">
        <f>""</f>
        <v/>
      </c>
      <c r="AF1208" t="str">
        <f>""</f>
        <v/>
      </c>
      <c r="AG1208" t="str">
        <f>"S"</f>
        <v>S</v>
      </c>
      <c r="AH1208" t="str">
        <f>""</f>
        <v/>
      </c>
      <c r="AI1208" t="str">
        <f>""</f>
        <v/>
      </c>
      <c r="AJ1208" t="str">
        <f>""</f>
        <v/>
      </c>
      <c r="AK1208" t="str">
        <f>""</f>
        <v/>
      </c>
      <c r="AL1208" t="str">
        <f>""</f>
        <v/>
      </c>
      <c r="AM1208" t="str">
        <f>""</f>
        <v/>
      </c>
      <c r="AN1208" t="str">
        <f>""</f>
        <v/>
      </c>
      <c r="AO1208" t="str">
        <f>""</f>
        <v/>
      </c>
      <c r="AP1208" t="str">
        <f>""</f>
        <v/>
      </c>
      <c r="AQ1208" t="str">
        <f>"N"</f>
        <v>N</v>
      </c>
      <c r="AR1208" t="str">
        <f>"N"</f>
        <v>N</v>
      </c>
      <c r="AS1208" t="str">
        <f>"N"</f>
        <v>N</v>
      </c>
      <c r="AT1208" t="str">
        <f>"N"</f>
        <v>N</v>
      </c>
      <c r="AU1208" t="str">
        <f>"N"</f>
        <v>N</v>
      </c>
      <c r="AV1208" t="str">
        <f>""</f>
        <v/>
      </c>
      <c r="AW1208" t="str">
        <f>""</f>
        <v/>
      </c>
      <c r="AX1208" t="str">
        <f>""</f>
        <v/>
      </c>
      <c r="AY1208" t="str">
        <f>""</f>
        <v/>
      </c>
      <c r="AZ1208" t="str">
        <f>""</f>
        <v/>
      </c>
      <c r="BA1208" t="str">
        <f>""</f>
        <v/>
      </c>
      <c r="BB1208" t="str">
        <f>""</f>
        <v/>
      </c>
      <c r="BC1208" t="str">
        <f>"07/07/2023 16:47:19"</f>
        <v>07/07/2023 16:47:19</v>
      </c>
      <c r="BD1208" t="str">
        <f>""</f>
        <v/>
      </c>
      <c r="BE1208" t="str">
        <f>""</f>
        <v/>
      </c>
      <c r="BF1208" t="str">
        <f t="shared" si="584"/>
        <v>A</v>
      </c>
      <c r="BG1208" t="str">
        <f>""</f>
        <v/>
      </c>
      <c r="BH1208" t="str">
        <f>"0,00"</f>
        <v>0,00</v>
      </c>
      <c r="BI1208" t="str">
        <f t="shared" si="603"/>
        <v>EVENTUAL</v>
      </c>
      <c r="BJ1208" t="str">
        <f t="shared" si="585"/>
        <v>1</v>
      </c>
      <c r="BK1208" t="str">
        <f t="shared" si="586"/>
        <v>Farmacia</v>
      </c>
      <c r="BL1208" t="str">
        <f>""</f>
        <v/>
      </c>
      <c r="BM1208" t="str">
        <f>"VARILUX ESPECIALISTA PLATINE"</f>
        <v>VARILUX ESPECIALISTA PLATINE</v>
      </c>
      <c r="BN1208" t="str">
        <f t="shared" si="614"/>
        <v>NA</v>
      </c>
      <c r="BO1208" t="str">
        <f>"FOCO VARILUX DIGITAL"</f>
        <v>FOCO VARILUX DIGITAL</v>
      </c>
      <c r="BP1208" t="str">
        <f>""</f>
        <v/>
      </c>
      <c r="BQ1208" t="str">
        <f>""</f>
        <v/>
      </c>
      <c r="BR1208" t="str">
        <f>""</f>
        <v/>
      </c>
      <c r="BS1208" t="str">
        <f>"07/07/2023"</f>
        <v>07/07/2023</v>
      </c>
      <c r="BT1208" t="str">
        <f>""</f>
        <v/>
      </c>
      <c r="BU1208" t="str">
        <f>""</f>
        <v/>
      </c>
      <c r="BV1208" t="str">
        <f>"1"</f>
        <v>1</v>
      </c>
      <c r="BW1208" t="str">
        <f>"690"</f>
        <v>690</v>
      </c>
    </row>
    <row r="1209" spans="1:75" x14ac:dyDescent="0.35">
      <c r="A1209">
        <v>134399</v>
      </c>
      <c r="B1209" t="str">
        <f t="shared" si="581"/>
        <v>A</v>
      </c>
      <c r="C1209" t="str">
        <f t="shared" si="582"/>
        <v>80</v>
      </c>
      <c r="D1209" t="str">
        <f t="shared" si="611"/>
        <v>11121002</v>
      </c>
      <c r="E1209" t="str">
        <f t="shared" si="612"/>
        <v>121002</v>
      </c>
      <c r="F1209" t="str">
        <f t="shared" si="613"/>
        <v>CINTHIA NORONHA</v>
      </c>
      <c r="G1209" t="str">
        <f>"31435210000217"</f>
        <v>31435210000217</v>
      </c>
      <c r="H1209" t="str">
        <f>""</f>
        <v/>
      </c>
      <c r="I1209" t="str">
        <f t="shared" si="583"/>
        <v>CONTA OPTICA</v>
      </c>
      <c r="J1209" t="str">
        <f>"TRIND COMERCIO DE PRODUTOS OPTICOS EIRELI"</f>
        <v>TRIND COMERCIO DE PRODUTOS OPTICOS EIRELI</v>
      </c>
      <c r="K1209" t="str">
        <f>"OTICAS CAROL (3973)"</f>
        <v>OTICAS CAROL (3973)</v>
      </c>
      <c r="L1209" t="str">
        <f>""</f>
        <v/>
      </c>
      <c r="M1209" t="str">
        <f>""</f>
        <v/>
      </c>
      <c r="N1209" t="str">
        <f>"oticascarolfloripa@gmail.com"</f>
        <v>oticascarolfloripa@gmail.com</v>
      </c>
      <c r="O1209" t="str">
        <f>""</f>
        <v/>
      </c>
      <c r="P1209" t="str">
        <f>"RUA LAURO LINHARES"</f>
        <v>RUA LAURO LINHARES</v>
      </c>
      <c r="Q1209" t="str">
        <f>"2010"</f>
        <v>2010</v>
      </c>
      <c r="R1209" t="str">
        <f>"LOJA 08"</f>
        <v>LOJA 08</v>
      </c>
      <c r="S1209" t="str">
        <f>"1257"</f>
        <v>1257</v>
      </c>
      <c r="T1209" t="str">
        <f>"88036002"</f>
        <v>88036002</v>
      </c>
      <c r="U1209" t="str">
        <f>"TRINDADE"</f>
        <v>TRINDADE</v>
      </c>
      <c r="V1209" t="str">
        <f>"FLORIANOPOLIS"</f>
        <v>FLORIANOPOLIS</v>
      </c>
      <c r="W1209" t="str">
        <f t="shared" si="608"/>
        <v>SC</v>
      </c>
      <c r="X1209" t="str">
        <f t="shared" si="609"/>
        <v>48</v>
      </c>
      <c r="Y1209" t="str">
        <f>"33651974"</f>
        <v>33651974</v>
      </c>
      <c r="Z1209" t="str">
        <f>""</f>
        <v/>
      </c>
      <c r="AA1209" t="str">
        <f>""</f>
        <v/>
      </c>
      <c r="AB1209" t="str">
        <f>""</f>
        <v/>
      </c>
      <c r="AC1209" t="str">
        <f>""</f>
        <v/>
      </c>
      <c r="AD1209" t="str">
        <f>""</f>
        <v/>
      </c>
      <c r="AE1209" t="str">
        <f>""</f>
        <v/>
      </c>
      <c r="AF1209" t="str">
        <f>""</f>
        <v/>
      </c>
      <c r="AG1209" t="str">
        <f>""</f>
        <v/>
      </c>
      <c r="AH1209" t="str">
        <f>""</f>
        <v/>
      </c>
      <c r="AI1209" t="str">
        <f>""</f>
        <v/>
      </c>
      <c r="AJ1209" t="str">
        <f>""</f>
        <v/>
      </c>
      <c r="AK1209" t="str">
        <f>""</f>
        <v/>
      </c>
      <c r="AL1209" t="str">
        <f>""</f>
        <v/>
      </c>
      <c r="AM1209" t="str">
        <f>""</f>
        <v/>
      </c>
      <c r="AN1209" t="str">
        <f>""</f>
        <v/>
      </c>
      <c r="AO1209" t="str">
        <f>""</f>
        <v/>
      </c>
      <c r="AP1209" t="str">
        <f>""</f>
        <v/>
      </c>
      <c r="AQ1209" t="str">
        <f>""</f>
        <v/>
      </c>
      <c r="AR1209" t="str">
        <f>""</f>
        <v/>
      </c>
      <c r="AS1209" t="str">
        <f>""</f>
        <v/>
      </c>
      <c r="AT1209" t="str">
        <f>""</f>
        <v/>
      </c>
      <c r="AU1209" t="str">
        <f>""</f>
        <v/>
      </c>
      <c r="AV1209" t="str">
        <f>""</f>
        <v/>
      </c>
      <c r="AW1209" t="str">
        <f>""</f>
        <v/>
      </c>
      <c r="AX1209" t="str">
        <f>""</f>
        <v/>
      </c>
      <c r="AY1209" t="str">
        <f>""</f>
        <v/>
      </c>
      <c r="AZ1209" t="str">
        <f>""</f>
        <v/>
      </c>
      <c r="BA1209" t="str">
        <f>""</f>
        <v/>
      </c>
      <c r="BB1209" t="str">
        <f>""</f>
        <v/>
      </c>
      <c r="BC1209" t="str">
        <f>""</f>
        <v/>
      </c>
      <c r="BD1209" t="str">
        <f>""</f>
        <v/>
      </c>
      <c r="BE1209" t="str">
        <f>""</f>
        <v/>
      </c>
      <c r="BF1209" t="str">
        <f t="shared" si="584"/>
        <v>A</v>
      </c>
      <c r="BG1209" t="str">
        <f>""</f>
        <v/>
      </c>
      <c r="BH1209" t="str">
        <f>""</f>
        <v/>
      </c>
      <c r="BI1209" t="str">
        <f t="shared" si="603"/>
        <v>EVENTUAL</v>
      </c>
      <c r="BJ1209" t="str">
        <f t="shared" si="585"/>
        <v>1</v>
      </c>
      <c r="BK1209" t="str">
        <f t="shared" si="586"/>
        <v>Farmacia</v>
      </c>
      <c r="BL1209" t="str">
        <f>""</f>
        <v/>
      </c>
      <c r="BM1209" t="str">
        <f>"VARILUX ESPECIALISTA PLATINE"</f>
        <v>VARILUX ESPECIALISTA PLATINE</v>
      </c>
      <c r="BN1209" t="str">
        <f t="shared" si="614"/>
        <v>NA</v>
      </c>
      <c r="BO1209" t="str">
        <f>"FOCO VARILUX DIGITAL"</f>
        <v>FOCO VARILUX DIGITAL</v>
      </c>
      <c r="BP1209" t="str">
        <f>""</f>
        <v/>
      </c>
      <c r="BQ1209" t="str">
        <f>""</f>
        <v/>
      </c>
      <c r="BR1209" t="str">
        <f>""</f>
        <v/>
      </c>
      <c r="BS1209" t="str">
        <f>""</f>
        <v/>
      </c>
      <c r="BT1209" t="str">
        <f>""</f>
        <v/>
      </c>
      <c r="BU1209" t="str">
        <f>""</f>
        <v/>
      </c>
      <c r="BV1209" t="str">
        <f>"1"</f>
        <v>1</v>
      </c>
      <c r="BW1209" t="str">
        <f>"126"</f>
        <v>126</v>
      </c>
    </row>
    <row r="1210" spans="1:75" x14ac:dyDescent="0.35">
      <c r="A1210">
        <v>144822</v>
      </c>
      <c r="B1210" t="str">
        <f t="shared" si="581"/>
        <v>A</v>
      </c>
      <c r="C1210" t="str">
        <f t="shared" si="582"/>
        <v>80</v>
      </c>
      <c r="D1210" t="str">
        <f t="shared" si="611"/>
        <v>11121002</v>
      </c>
      <c r="E1210" t="str">
        <f t="shared" si="612"/>
        <v>121002</v>
      </c>
      <c r="F1210" t="str">
        <f t="shared" si="613"/>
        <v>CINTHIA NORONHA</v>
      </c>
      <c r="G1210" t="str">
        <f>"42038130000163"</f>
        <v>42038130000163</v>
      </c>
      <c r="H1210" t="str">
        <f>""</f>
        <v/>
      </c>
      <c r="I1210" t="str">
        <f t="shared" si="583"/>
        <v>CONTA OPTICA</v>
      </c>
      <c r="J1210" t="str">
        <f>"TURCATTI RELOJOARIA JOALHERIA E OTICA LTDA"</f>
        <v>TURCATTI RELOJOARIA JOALHERIA E OTICA LTDA</v>
      </c>
      <c r="K1210" t="str">
        <f>"OTICA TURCATTI (4355)"</f>
        <v>OTICA TURCATTI (4355)</v>
      </c>
      <c r="L1210" t="str">
        <f>""</f>
        <v/>
      </c>
      <c r="M1210" t="str">
        <f>""</f>
        <v/>
      </c>
      <c r="N1210" t="str">
        <f>"oticaturcatti@gmail.com"</f>
        <v>oticaturcatti@gmail.com</v>
      </c>
      <c r="O1210" t="str">
        <f>""</f>
        <v/>
      </c>
      <c r="P1210" t="str">
        <f>"RUA SEIS DE JANEIRO"</f>
        <v>RUA SEIS DE JANEIRO</v>
      </c>
      <c r="Q1210" t="str">
        <f>"56"</f>
        <v>56</v>
      </c>
      <c r="R1210" t="str">
        <f>"SALA 3"</f>
        <v>SALA 3</v>
      </c>
      <c r="S1210" t="str">
        <f>"1269"</f>
        <v>1269</v>
      </c>
      <c r="T1210" t="str">
        <f>"88801055"</f>
        <v>88801055</v>
      </c>
      <c r="U1210" t="str">
        <f>"CENTRO"</f>
        <v>CENTRO</v>
      </c>
      <c r="V1210" t="str">
        <f>"CRICIÚMA"</f>
        <v>CRICIÚMA</v>
      </c>
      <c r="W1210" t="str">
        <f t="shared" si="608"/>
        <v>SC</v>
      </c>
      <c r="X1210" t="str">
        <f t="shared" si="609"/>
        <v>48</v>
      </c>
      <c r="Y1210" t="str">
        <f>"34393158"</f>
        <v>34393158</v>
      </c>
      <c r="Z1210" t="str">
        <f>""</f>
        <v/>
      </c>
      <c r="AA1210" t="str">
        <f>""</f>
        <v/>
      </c>
      <c r="AB1210" t="str">
        <f>""</f>
        <v/>
      </c>
      <c r="AC1210" t="str">
        <f>""</f>
        <v/>
      </c>
      <c r="AD1210" t="str">
        <f>""</f>
        <v/>
      </c>
      <c r="AE1210" t="str">
        <f>""</f>
        <v/>
      </c>
      <c r="AF1210" t="str">
        <f>""</f>
        <v/>
      </c>
      <c r="AG1210" t="str">
        <f>""</f>
        <v/>
      </c>
      <c r="AH1210" t="str">
        <f>""</f>
        <v/>
      </c>
      <c r="AI1210" t="str">
        <f>""</f>
        <v/>
      </c>
      <c r="AJ1210" t="str">
        <f>"0"</f>
        <v>0</v>
      </c>
      <c r="AK1210" t="str">
        <f>"0"</f>
        <v>0</v>
      </c>
      <c r="AL1210" t="str">
        <f>"0"</f>
        <v>0</v>
      </c>
      <c r="AM1210" t="str">
        <f>""</f>
        <v/>
      </c>
      <c r="AN1210" t="str">
        <f>""</f>
        <v/>
      </c>
      <c r="AO1210" t="str">
        <f>""</f>
        <v/>
      </c>
      <c r="AP1210" t="str">
        <f>""</f>
        <v/>
      </c>
      <c r="AQ1210" t="str">
        <f>""</f>
        <v/>
      </c>
      <c r="AR1210" t="str">
        <f>""</f>
        <v/>
      </c>
      <c r="AS1210" t="str">
        <f>""</f>
        <v/>
      </c>
      <c r="AT1210" t="str">
        <f>""</f>
        <v/>
      </c>
      <c r="AU1210" t="str">
        <f>""</f>
        <v/>
      </c>
      <c r="AV1210" t="str">
        <f>""</f>
        <v/>
      </c>
      <c r="AW1210" t="str">
        <f>""</f>
        <v/>
      </c>
      <c r="AX1210" t="str">
        <f>""</f>
        <v/>
      </c>
      <c r="AY1210" t="str">
        <f>""</f>
        <v/>
      </c>
      <c r="AZ1210" t="str">
        <f>""</f>
        <v/>
      </c>
      <c r="BA1210" t="str">
        <f>""</f>
        <v/>
      </c>
      <c r="BB1210" t="str">
        <f>""</f>
        <v/>
      </c>
      <c r="BC1210" t="str">
        <f>""</f>
        <v/>
      </c>
      <c r="BD1210" t="str">
        <f>""</f>
        <v/>
      </c>
      <c r="BE1210" t="str">
        <f>""</f>
        <v/>
      </c>
      <c r="BF1210" t="str">
        <f t="shared" si="584"/>
        <v>A</v>
      </c>
      <c r="BG1210" t="str">
        <f>"0,00"</f>
        <v>0,00</v>
      </c>
      <c r="BH1210" t="str">
        <f>"0,00"</f>
        <v>0,00</v>
      </c>
      <c r="BI1210" t="str">
        <f t="shared" si="603"/>
        <v>EVENTUAL</v>
      </c>
      <c r="BJ1210" t="str">
        <f t="shared" si="585"/>
        <v>1</v>
      </c>
      <c r="BK1210" t="str">
        <f t="shared" si="586"/>
        <v>Farmacia</v>
      </c>
      <c r="BL1210" t="str">
        <f>""</f>
        <v/>
      </c>
      <c r="BM1210" t="str">
        <f>"NÃO É VARILUX ESPECIALISTA"</f>
        <v>NÃO É VARILUX ESPECIALISTA</v>
      </c>
      <c r="BN1210" t="str">
        <f t="shared" si="614"/>
        <v>NA</v>
      </c>
      <c r="BO1210" t="str">
        <f>"FOCO VARILUX"</f>
        <v>FOCO VARILUX</v>
      </c>
      <c r="BP1210" t="str">
        <f>""</f>
        <v/>
      </c>
      <c r="BQ1210" t="str">
        <f>""</f>
        <v/>
      </c>
      <c r="BR1210" t="str">
        <f>""</f>
        <v/>
      </c>
      <c r="BS1210" t="str">
        <f>""</f>
        <v/>
      </c>
      <c r="BT1210" t="str">
        <f>""</f>
        <v/>
      </c>
      <c r="BU1210" t="str">
        <f>""</f>
        <v/>
      </c>
      <c r="BV1210" t="str">
        <f>""</f>
        <v/>
      </c>
      <c r="BW1210" t="str">
        <f>"311"</f>
        <v>311</v>
      </c>
    </row>
    <row r="1211" spans="1:75" x14ac:dyDescent="0.35">
      <c r="A1211">
        <v>134485</v>
      </c>
      <c r="B1211" t="str">
        <f t="shared" si="581"/>
        <v>A</v>
      </c>
      <c r="C1211" t="str">
        <f t="shared" si="582"/>
        <v>80</v>
      </c>
      <c r="D1211" t="str">
        <f t="shared" si="611"/>
        <v>11121002</v>
      </c>
      <c r="E1211" t="str">
        <f t="shared" si="612"/>
        <v>121002</v>
      </c>
      <c r="F1211" t="str">
        <f t="shared" si="613"/>
        <v>CINTHIA NORONHA</v>
      </c>
      <c r="G1211" t="str">
        <f>"19962780000189"</f>
        <v>19962780000189</v>
      </c>
      <c r="H1211" t="str">
        <f>""</f>
        <v/>
      </c>
      <c r="I1211" t="str">
        <f t="shared" si="583"/>
        <v>CONTA OPTICA</v>
      </c>
      <c r="J1211" t="str">
        <f>"TURQUESA JOALHERIA E OTICA EIREI EPP"</f>
        <v>TURQUESA JOALHERIA E OTICA EIREI EPP</v>
      </c>
      <c r="K1211" t="str">
        <f>"QUEVEDO (2165)"</f>
        <v>QUEVEDO (2165)</v>
      </c>
      <c r="L1211" t="str">
        <f>""</f>
        <v/>
      </c>
      <c r="M1211" t="str">
        <f>""</f>
        <v/>
      </c>
      <c r="N1211" t="str">
        <f>"expediente@quevedo.com.br"</f>
        <v>expediente@quevedo.com.br</v>
      </c>
      <c r="O1211" t="str">
        <f>""</f>
        <v/>
      </c>
      <c r="P1211" t="str">
        <f>"RUA GERONCIO THIVES"</f>
        <v>RUA GERONCIO THIVES</v>
      </c>
      <c r="Q1211" t="str">
        <f>"1079"</f>
        <v>1079</v>
      </c>
      <c r="R1211" t="str">
        <f>"LOJA 305"</f>
        <v>LOJA 305</v>
      </c>
      <c r="S1211" t="str">
        <f>"1259"</f>
        <v>1259</v>
      </c>
      <c r="T1211" t="str">
        <f>"88117900"</f>
        <v>88117900</v>
      </c>
      <c r="U1211" t="str">
        <f>"BARREIROS"</f>
        <v>BARREIROS</v>
      </c>
      <c r="V1211" t="str">
        <f>"SAO JOSE"</f>
        <v>SAO JOSE</v>
      </c>
      <c r="W1211" t="str">
        <f t="shared" si="608"/>
        <v>SC</v>
      </c>
      <c r="X1211" t="str">
        <f t="shared" si="609"/>
        <v>48</v>
      </c>
      <c r="Y1211" t="str">
        <f>"30354085"</f>
        <v>30354085</v>
      </c>
      <c r="Z1211" t="str">
        <f>""</f>
        <v/>
      </c>
      <c r="AA1211" t="str">
        <f>""</f>
        <v/>
      </c>
      <c r="AB1211" t="str">
        <f>""</f>
        <v/>
      </c>
      <c r="AC1211" t="str">
        <f>""</f>
        <v/>
      </c>
      <c r="AD1211" t="str">
        <f>""</f>
        <v/>
      </c>
      <c r="AE1211" t="str">
        <f>""</f>
        <v/>
      </c>
      <c r="AF1211" t="str">
        <f>""</f>
        <v/>
      </c>
      <c r="AG1211" t="str">
        <f>""</f>
        <v/>
      </c>
      <c r="AH1211" t="str">
        <f>""</f>
        <v/>
      </c>
      <c r="AI1211" t="str">
        <f>""</f>
        <v/>
      </c>
      <c r="AJ1211" t="str">
        <f>""</f>
        <v/>
      </c>
      <c r="AK1211" t="str">
        <f>""</f>
        <v/>
      </c>
      <c r="AL1211" t="str">
        <f>""</f>
        <v/>
      </c>
      <c r="AM1211" t="str">
        <f>""</f>
        <v/>
      </c>
      <c r="AN1211" t="str">
        <f>""</f>
        <v/>
      </c>
      <c r="AO1211" t="str">
        <f>""</f>
        <v/>
      </c>
      <c r="AP1211" t="str">
        <f>""</f>
        <v/>
      </c>
      <c r="AQ1211" t="str">
        <f>""</f>
        <v/>
      </c>
      <c r="AR1211" t="str">
        <f>""</f>
        <v/>
      </c>
      <c r="AS1211" t="str">
        <f>""</f>
        <v/>
      </c>
      <c r="AT1211" t="str">
        <f>""</f>
        <v/>
      </c>
      <c r="AU1211" t="str">
        <f>""</f>
        <v/>
      </c>
      <c r="AV1211" t="str">
        <f>""</f>
        <v/>
      </c>
      <c r="AW1211" t="str">
        <f>""</f>
        <v/>
      </c>
      <c r="AX1211" t="str">
        <f>""</f>
        <v/>
      </c>
      <c r="AY1211" t="str">
        <f>""</f>
        <v/>
      </c>
      <c r="AZ1211" t="str">
        <f>""</f>
        <v/>
      </c>
      <c r="BA1211" t="str">
        <f>""</f>
        <v/>
      </c>
      <c r="BB1211" t="str">
        <f>""</f>
        <v/>
      </c>
      <c r="BC1211" t="str">
        <f>""</f>
        <v/>
      </c>
      <c r="BD1211" t="str">
        <f>""</f>
        <v/>
      </c>
      <c r="BE1211" t="str">
        <f>""</f>
        <v/>
      </c>
      <c r="BF1211" t="str">
        <f t="shared" si="584"/>
        <v>A</v>
      </c>
      <c r="BG1211" t="str">
        <f>""</f>
        <v/>
      </c>
      <c r="BH1211" t="str">
        <f>""</f>
        <v/>
      </c>
      <c r="BI1211" t="str">
        <f t="shared" si="603"/>
        <v>EVENTUAL</v>
      </c>
      <c r="BJ1211" t="str">
        <f t="shared" si="585"/>
        <v>1</v>
      </c>
      <c r="BK1211" t="str">
        <f t="shared" si="586"/>
        <v>Farmacia</v>
      </c>
      <c r="BL1211" t="str">
        <f>""</f>
        <v/>
      </c>
      <c r="BM1211" t="str">
        <f>"NÃO É VARILUX ESPECIALISTA"</f>
        <v>NÃO É VARILUX ESPECIALISTA</v>
      </c>
      <c r="BN1211" t="str">
        <f t="shared" si="614"/>
        <v>NA</v>
      </c>
      <c r="BO1211" t="str">
        <f>"FOCO KODAK 2"</f>
        <v>FOCO KODAK 2</v>
      </c>
      <c r="BP1211" t="str">
        <f>""</f>
        <v/>
      </c>
      <c r="BQ1211" t="str">
        <f>""</f>
        <v/>
      </c>
      <c r="BR1211" t="str">
        <f>""</f>
        <v/>
      </c>
      <c r="BS1211" t="str">
        <f>""</f>
        <v/>
      </c>
      <c r="BT1211" t="str">
        <f>""</f>
        <v/>
      </c>
      <c r="BU1211" t="str">
        <f>""</f>
        <v/>
      </c>
      <c r="BV1211" t="str">
        <f>"3"</f>
        <v>3</v>
      </c>
      <c r="BW1211" t="str">
        <f>"Não visitado"</f>
        <v>Não visitado</v>
      </c>
    </row>
    <row r="1212" spans="1:75" x14ac:dyDescent="0.35">
      <c r="A1212">
        <v>134467</v>
      </c>
      <c r="B1212" t="str">
        <f t="shared" si="581"/>
        <v>A</v>
      </c>
      <c r="C1212" t="str">
        <f t="shared" si="582"/>
        <v>80</v>
      </c>
      <c r="D1212" t="str">
        <f t="shared" si="611"/>
        <v>11121002</v>
      </c>
      <c r="E1212" t="str">
        <f t="shared" si="612"/>
        <v>121002</v>
      </c>
      <c r="F1212" t="str">
        <f t="shared" si="613"/>
        <v>CINTHIA NORONHA</v>
      </c>
      <c r="G1212" t="str">
        <f>"12985702000150"</f>
        <v>12985702000150</v>
      </c>
      <c r="H1212" t="str">
        <f>""</f>
        <v/>
      </c>
      <c r="I1212" t="str">
        <f t="shared" si="583"/>
        <v>CONTA OPTICA</v>
      </c>
      <c r="J1212" t="str">
        <f>"ULTRA CENTRAL ACESSORIOS DE MODA LTDA EPP"</f>
        <v>ULTRA CENTRAL ACESSORIOS DE MODA LTDA EPP</v>
      </c>
      <c r="K1212" t="str">
        <f>"CHILLI BEANS (2055)"</f>
        <v>CHILLI BEANS (2055)</v>
      </c>
      <c r="L1212" t="str">
        <f>""</f>
        <v/>
      </c>
      <c r="M1212" t="str">
        <f>""</f>
        <v/>
      </c>
      <c r="N1212" t="str">
        <f t="shared" ref="N1212:N1217" si="615">"mariane.mosena@chillisc.com.br"</f>
        <v>mariane.mosena@chillisc.com.br</v>
      </c>
      <c r="O1212" t="str">
        <f>""</f>
        <v/>
      </c>
      <c r="P1212" t="str">
        <f>"RUA TENENTE SILVEIRA"</f>
        <v>RUA TENENTE SILVEIRA</v>
      </c>
      <c r="Q1212" t="str">
        <f>"85"</f>
        <v>85</v>
      </c>
      <c r="R1212" t="str">
        <f>"LOJA E"</f>
        <v>LOJA E</v>
      </c>
      <c r="S1212" t="str">
        <f>"1254"</f>
        <v>1254</v>
      </c>
      <c r="T1212" t="str">
        <f>"88010300"</f>
        <v>88010300</v>
      </c>
      <c r="U1212" t="str">
        <f>"CENTRO"</f>
        <v>CENTRO</v>
      </c>
      <c r="V1212" t="str">
        <f>"FLORIANÓPOLIS"</f>
        <v>FLORIANÓPOLIS</v>
      </c>
      <c r="W1212" t="str">
        <f t="shared" si="608"/>
        <v>SC</v>
      </c>
      <c r="X1212" t="str">
        <f t="shared" si="609"/>
        <v>48</v>
      </c>
      <c r="Y1212" t="str">
        <f>"33331932"</f>
        <v>33331932</v>
      </c>
      <c r="Z1212" t="str">
        <f>""</f>
        <v/>
      </c>
      <c r="AA1212" t="str">
        <f>""</f>
        <v/>
      </c>
      <c r="AB1212" t="str">
        <f>""</f>
        <v/>
      </c>
      <c r="AC1212" t="str">
        <f>""</f>
        <v/>
      </c>
      <c r="AD1212" t="str">
        <f>""</f>
        <v/>
      </c>
      <c r="AE1212" t="str">
        <f>""</f>
        <v/>
      </c>
      <c r="AF1212" t="str">
        <f>""</f>
        <v/>
      </c>
      <c r="AG1212" t="str">
        <f>"S"</f>
        <v>S</v>
      </c>
      <c r="AH1212" t="str">
        <f>""</f>
        <v/>
      </c>
      <c r="AI1212" t="str">
        <f>""</f>
        <v/>
      </c>
      <c r="AJ1212" t="str">
        <f>""</f>
        <v/>
      </c>
      <c r="AK1212" t="str">
        <f>""</f>
        <v/>
      </c>
      <c r="AL1212" t="str">
        <f>""</f>
        <v/>
      </c>
      <c r="AM1212" t="str">
        <f>""</f>
        <v/>
      </c>
      <c r="AN1212" t="str">
        <f>""</f>
        <v/>
      </c>
      <c r="AO1212" t="str">
        <f>""</f>
        <v/>
      </c>
      <c r="AP1212" t="str">
        <f>""</f>
        <v/>
      </c>
      <c r="AQ1212" t="str">
        <f t="shared" ref="AQ1212:AU1213" si="616">"N"</f>
        <v>N</v>
      </c>
      <c r="AR1212" t="str">
        <f t="shared" si="616"/>
        <v>N</v>
      </c>
      <c r="AS1212" t="str">
        <f t="shared" si="616"/>
        <v>N</v>
      </c>
      <c r="AT1212" t="str">
        <f t="shared" si="616"/>
        <v>N</v>
      </c>
      <c r="AU1212" t="str">
        <f t="shared" si="616"/>
        <v>N</v>
      </c>
      <c r="AV1212" t="str">
        <f>""</f>
        <v/>
      </c>
      <c r="AW1212" t="str">
        <f>""</f>
        <v/>
      </c>
      <c r="AX1212" t="str">
        <f>""</f>
        <v/>
      </c>
      <c r="AY1212" t="str">
        <f>""</f>
        <v/>
      </c>
      <c r="AZ1212" t="str">
        <f>""</f>
        <v/>
      </c>
      <c r="BA1212" t="str">
        <f>""</f>
        <v/>
      </c>
      <c r="BB1212" t="str">
        <f>""</f>
        <v/>
      </c>
      <c r="BC1212" t="str">
        <f>"10/09/2021 17:40:39"</f>
        <v>10/09/2021 17:40:39</v>
      </c>
      <c r="BD1212" t="str">
        <f>""</f>
        <v/>
      </c>
      <c r="BE1212" t="str">
        <f>""</f>
        <v/>
      </c>
      <c r="BF1212" t="str">
        <f t="shared" si="584"/>
        <v>A</v>
      </c>
      <c r="BG1212" t="str">
        <f>""</f>
        <v/>
      </c>
      <c r="BH1212" t="str">
        <f t="shared" ref="BH1212:BH1219" si="617">"0,00"</f>
        <v>0,00</v>
      </c>
      <c r="BI1212" t="str">
        <f t="shared" si="603"/>
        <v>EVENTUAL</v>
      </c>
      <c r="BJ1212" t="str">
        <f t="shared" si="585"/>
        <v>1</v>
      </c>
      <c r="BK1212" t="str">
        <f t="shared" si="586"/>
        <v>Farmacia</v>
      </c>
      <c r="BL1212" t="str">
        <f>""</f>
        <v/>
      </c>
      <c r="BM1212" t="str">
        <f>"NÃO É VARILUX ESPECIALISTA"</f>
        <v>NÃO É VARILUX ESPECIALISTA</v>
      </c>
      <c r="BN1212" t="str">
        <f t="shared" si="614"/>
        <v>NA</v>
      </c>
      <c r="BO1212" t="str">
        <f>"FOCO VARILUX"</f>
        <v>FOCO VARILUX</v>
      </c>
      <c r="BP1212" t="str">
        <f>""</f>
        <v/>
      </c>
      <c r="BQ1212" t="str">
        <f>""</f>
        <v/>
      </c>
      <c r="BR1212" t="str">
        <f>""</f>
        <v/>
      </c>
      <c r="BS1212" t="str">
        <f>"10/09/2021"</f>
        <v>10/09/2021</v>
      </c>
      <c r="BT1212" t="str">
        <f>""</f>
        <v/>
      </c>
      <c r="BU1212" t="str">
        <f>""</f>
        <v/>
      </c>
      <c r="BV1212" t="str">
        <f>"1"</f>
        <v>1</v>
      </c>
      <c r="BW1212" t="str">
        <f>"337"</f>
        <v>337</v>
      </c>
    </row>
    <row r="1213" spans="1:75" x14ac:dyDescent="0.35">
      <c r="A1213">
        <v>134246</v>
      </c>
      <c r="B1213" t="str">
        <f t="shared" si="581"/>
        <v>A</v>
      </c>
      <c r="C1213" t="str">
        <f t="shared" si="582"/>
        <v>80</v>
      </c>
      <c r="D1213" t="str">
        <f t="shared" si="611"/>
        <v>11121002</v>
      </c>
      <c r="E1213" t="str">
        <f t="shared" si="612"/>
        <v>121002</v>
      </c>
      <c r="F1213" t="str">
        <f t="shared" si="613"/>
        <v>CINTHIA NORONHA</v>
      </c>
      <c r="G1213" t="str">
        <f>"15833712000169"</f>
        <v>15833712000169</v>
      </c>
      <c r="H1213" t="str">
        <f>""</f>
        <v/>
      </c>
      <c r="I1213" t="str">
        <f t="shared" si="583"/>
        <v>CONTA OPTICA</v>
      </c>
      <c r="J1213" t="str">
        <f>"ULTRA CONTINENTE ACESSORIOS DE MODA LTDA ME"</f>
        <v>ULTRA CONTINENTE ACESSORIOS DE MODA LTDA ME</v>
      </c>
      <c r="K1213" t="str">
        <f>"CHILLI BEANS (2238)"</f>
        <v>CHILLI BEANS (2238)</v>
      </c>
      <c r="L1213" t="str">
        <f>""</f>
        <v/>
      </c>
      <c r="M1213" t="str">
        <f>""</f>
        <v/>
      </c>
      <c r="N1213" t="str">
        <f t="shared" si="615"/>
        <v>mariane.mosena@chillisc.com.br</v>
      </c>
      <c r="O1213" t="str">
        <f>""</f>
        <v/>
      </c>
      <c r="P1213" t="str">
        <f>"RUA BR-101"</f>
        <v>RUA BR-101</v>
      </c>
      <c r="Q1213" t="str">
        <f>"211"</f>
        <v>211</v>
      </c>
      <c r="R1213" t="str">
        <f>"SALA 140 SHOP C"</f>
        <v>SALA 140 SHOP C</v>
      </c>
      <c r="S1213" t="str">
        <f>"1259"</f>
        <v>1259</v>
      </c>
      <c r="T1213" t="str">
        <f>"88104801"</f>
        <v>88104801</v>
      </c>
      <c r="U1213" t="str">
        <f>"DISTRITO INDUSTRIAL"</f>
        <v>DISTRITO INDUSTRIAL</v>
      </c>
      <c r="V1213" t="str">
        <f>"SÃO JOSÉ"</f>
        <v>SÃO JOSÉ</v>
      </c>
      <c r="W1213" t="str">
        <f t="shared" si="608"/>
        <v>SC</v>
      </c>
      <c r="X1213" t="str">
        <f t="shared" si="609"/>
        <v>48</v>
      </c>
      <c r="Y1213" t="str">
        <f>"30949033"</f>
        <v>30949033</v>
      </c>
      <c r="Z1213" t="str">
        <f>""</f>
        <v/>
      </c>
      <c r="AA1213" t="str">
        <f>""</f>
        <v/>
      </c>
      <c r="AB1213" t="str">
        <f>""</f>
        <v/>
      </c>
      <c r="AC1213" t="str">
        <f>""</f>
        <v/>
      </c>
      <c r="AD1213" t="str">
        <f>""</f>
        <v/>
      </c>
      <c r="AE1213" t="str">
        <f>""</f>
        <v/>
      </c>
      <c r="AF1213" t="str">
        <f>""</f>
        <v/>
      </c>
      <c r="AG1213" t="str">
        <f>"S"</f>
        <v>S</v>
      </c>
      <c r="AH1213" t="str">
        <f>""</f>
        <v/>
      </c>
      <c r="AI1213" t="str">
        <f>""</f>
        <v/>
      </c>
      <c r="AJ1213" t="str">
        <f t="shared" ref="AJ1213:AL1214" si="618">"0"</f>
        <v>0</v>
      </c>
      <c r="AK1213" t="str">
        <f t="shared" si="618"/>
        <v>0</v>
      </c>
      <c r="AL1213" t="str">
        <f t="shared" si="618"/>
        <v>0</v>
      </c>
      <c r="AM1213" t="str">
        <f>""</f>
        <v/>
      </c>
      <c r="AN1213" t="str">
        <f>""</f>
        <v/>
      </c>
      <c r="AO1213" t="str">
        <f>""</f>
        <v/>
      </c>
      <c r="AP1213" t="str">
        <f>""</f>
        <v/>
      </c>
      <c r="AQ1213" t="str">
        <f t="shared" si="616"/>
        <v>N</v>
      </c>
      <c r="AR1213" t="str">
        <f t="shared" si="616"/>
        <v>N</v>
      </c>
      <c r="AS1213" t="str">
        <f t="shared" si="616"/>
        <v>N</v>
      </c>
      <c r="AT1213" t="str">
        <f t="shared" si="616"/>
        <v>N</v>
      </c>
      <c r="AU1213" t="str">
        <f t="shared" si="616"/>
        <v>N</v>
      </c>
      <c r="AV1213" t="str">
        <f>""</f>
        <v/>
      </c>
      <c r="AW1213" t="str">
        <f>""</f>
        <v/>
      </c>
      <c r="AX1213" t="str">
        <f>""</f>
        <v/>
      </c>
      <c r="AY1213" t="str">
        <f>""</f>
        <v/>
      </c>
      <c r="AZ1213" t="str">
        <f>""</f>
        <v/>
      </c>
      <c r="BA1213" t="str">
        <f>""</f>
        <v/>
      </c>
      <c r="BB1213" t="str">
        <f>""</f>
        <v/>
      </c>
      <c r="BC1213" t="str">
        <f>"11/04/2022 11:10:18"</f>
        <v>11/04/2022 11:10:18</v>
      </c>
      <c r="BD1213" t="str">
        <f>""</f>
        <v/>
      </c>
      <c r="BE1213" t="str">
        <f>""</f>
        <v/>
      </c>
      <c r="BF1213" t="str">
        <f t="shared" si="584"/>
        <v>A</v>
      </c>
      <c r="BG1213" t="str">
        <f>"0,00"</f>
        <v>0,00</v>
      </c>
      <c r="BH1213" t="str">
        <f t="shared" si="617"/>
        <v>0,00</v>
      </c>
      <c r="BI1213" t="str">
        <f t="shared" si="603"/>
        <v>EVENTUAL</v>
      </c>
      <c r="BJ1213" t="str">
        <f t="shared" si="585"/>
        <v>1</v>
      </c>
      <c r="BK1213" t="str">
        <f t="shared" si="586"/>
        <v>Farmacia</v>
      </c>
      <c r="BL1213" t="str">
        <f>""</f>
        <v/>
      </c>
      <c r="BM1213" t="str">
        <f>"VARILUX ESPECIALISTA SELECT"</f>
        <v>VARILUX ESPECIALISTA SELECT</v>
      </c>
      <c r="BN1213" t="str">
        <f t="shared" si="614"/>
        <v>NA</v>
      </c>
      <c r="BO1213" t="str">
        <f>"FOCO VARILUX DIGITAL"</f>
        <v>FOCO VARILUX DIGITAL</v>
      </c>
      <c r="BP1213" t="str">
        <f>""</f>
        <v/>
      </c>
      <c r="BQ1213" t="str">
        <f>""</f>
        <v/>
      </c>
      <c r="BR1213" t="str">
        <f>""</f>
        <v/>
      </c>
      <c r="BS1213" t="str">
        <f>"11/04/2022"</f>
        <v>11/04/2022</v>
      </c>
      <c r="BT1213" t="str">
        <f>""</f>
        <v/>
      </c>
      <c r="BU1213" t="str">
        <f>""</f>
        <v/>
      </c>
      <c r="BV1213" t="str">
        <f>"1"</f>
        <v>1</v>
      </c>
      <c r="BW1213" t="str">
        <f>"85"</f>
        <v>85</v>
      </c>
    </row>
    <row r="1214" spans="1:75" x14ac:dyDescent="0.35">
      <c r="A1214">
        <v>144687</v>
      </c>
      <c r="B1214" t="str">
        <f t="shared" si="581"/>
        <v>A</v>
      </c>
      <c r="C1214" t="str">
        <f t="shared" si="582"/>
        <v>80</v>
      </c>
      <c r="D1214" t="str">
        <f t="shared" si="611"/>
        <v>11121002</v>
      </c>
      <c r="E1214" t="str">
        <f t="shared" si="612"/>
        <v>121002</v>
      </c>
      <c r="F1214" t="str">
        <f t="shared" si="613"/>
        <v>CINTHIA NORONHA</v>
      </c>
      <c r="G1214" t="str">
        <f>"17897611000187"</f>
        <v>17897611000187</v>
      </c>
      <c r="H1214" t="str">
        <f>""</f>
        <v/>
      </c>
      <c r="I1214" t="str">
        <f t="shared" si="583"/>
        <v>CONTA OPTICA</v>
      </c>
      <c r="J1214" t="str">
        <f>"ULTRA ILUMINADA ACESSORIOS DE MODA LTDA EPP"</f>
        <v>ULTRA ILUMINADA ACESSORIOS DE MODA LTDA EPP</v>
      </c>
      <c r="K1214" t="str">
        <f>"CHILLI BEANS (2147)"</f>
        <v>CHILLI BEANS (2147)</v>
      </c>
      <c r="L1214" t="str">
        <f>""</f>
        <v/>
      </c>
      <c r="M1214" t="str">
        <f>""</f>
        <v/>
      </c>
      <c r="N1214" t="str">
        <f t="shared" si="615"/>
        <v>mariane.mosena@chillisc.com.br</v>
      </c>
      <c r="O1214" t="str">
        <f>""</f>
        <v/>
      </c>
      <c r="P1214" t="str">
        <f>"AVENIDA MARCOLINO MARTINS CABRAL"</f>
        <v>AVENIDA MARCOLINO MARTINS CABRAL</v>
      </c>
      <c r="Q1214" t="str">
        <f>"2525"</f>
        <v>2525</v>
      </c>
      <c r="R1214" t="str">
        <f>"FAROL SHOPPING"</f>
        <v>FAROL SHOPPING</v>
      </c>
      <c r="S1214" t="str">
        <f>"1268"</f>
        <v>1268</v>
      </c>
      <c r="T1214" t="str">
        <f>"88705003"</f>
        <v>88705003</v>
      </c>
      <c r="U1214" t="str">
        <f>"AEROPORTO"</f>
        <v>AEROPORTO</v>
      </c>
      <c r="V1214" t="str">
        <f>"TUBARÃO"</f>
        <v>TUBARÃO</v>
      </c>
      <c r="W1214" t="str">
        <f t="shared" si="608"/>
        <v>SC</v>
      </c>
      <c r="X1214" t="str">
        <f t="shared" si="609"/>
        <v>48</v>
      </c>
      <c r="Y1214" t="str">
        <f>"999982150"</f>
        <v>999982150</v>
      </c>
      <c r="Z1214" t="str">
        <f>""</f>
        <v/>
      </c>
      <c r="AA1214" t="str">
        <f>""</f>
        <v/>
      </c>
      <c r="AB1214" t="str">
        <f>""</f>
        <v/>
      </c>
      <c r="AC1214" t="str">
        <f>""</f>
        <v/>
      </c>
      <c r="AD1214" t="str">
        <f>""</f>
        <v/>
      </c>
      <c r="AE1214" t="str">
        <f>""</f>
        <v/>
      </c>
      <c r="AF1214" t="str">
        <f>""</f>
        <v/>
      </c>
      <c r="AG1214" t="str">
        <f>""</f>
        <v/>
      </c>
      <c r="AH1214" t="str">
        <f>""</f>
        <v/>
      </c>
      <c r="AI1214" t="str">
        <f>""</f>
        <v/>
      </c>
      <c r="AJ1214" t="str">
        <f t="shared" si="618"/>
        <v>0</v>
      </c>
      <c r="AK1214" t="str">
        <f t="shared" si="618"/>
        <v>0</v>
      </c>
      <c r="AL1214" t="str">
        <f t="shared" si="618"/>
        <v>0</v>
      </c>
      <c r="AM1214" t="str">
        <f>""</f>
        <v/>
      </c>
      <c r="AN1214" t="str">
        <f>""</f>
        <v/>
      </c>
      <c r="AO1214" t="str">
        <f>""</f>
        <v/>
      </c>
      <c r="AP1214" t="str">
        <f>""</f>
        <v/>
      </c>
      <c r="AQ1214" t="str">
        <f>""</f>
        <v/>
      </c>
      <c r="AR1214" t="str">
        <f>""</f>
        <v/>
      </c>
      <c r="AS1214" t="str">
        <f>""</f>
        <v/>
      </c>
      <c r="AT1214" t="str">
        <f>""</f>
        <v/>
      </c>
      <c r="AU1214" t="str">
        <f>""</f>
        <v/>
      </c>
      <c r="AV1214" t="str">
        <f>""</f>
        <v/>
      </c>
      <c r="AW1214" t="str">
        <f>""</f>
        <v/>
      </c>
      <c r="AX1214" t="str">
        <f>""</f>
        <v/>
      </c>
      <c r="AY1214" t="str">
        <f>""</f>
        <v/>
      </c>
      <c r="AZ1214" t="str">
        <f>""</f>
        <v/>
      </c>
      <c r="BA1214" t="str">
        <f>""</f>
        <v/>
      </c>
      <c r="BB1214" t="str">
        <f>""</f>
        <v/>
      </c>
      <c r="BC1214" t="str">
        <f>""</f>
        <v/>
      </c>
      <c r="BD1214" t="str">
        <f>""</f>
        <v/>
      </c>
      <c r="BE1214" t="str">
        <f>""</f>
        <v/>
      </c>
      <c r="BF1214" t="str">
        <f t="shared" si="584"/>
        <v>A</v>
      </c>
      <c r="BG1214" t="str">
        <f>"0,00"</f>
        <v>0,00</v>
      </c>
      <c r="BH1214" t="str">
        <f t="shared" si="617"/>
        <v>0,00</v>
      </c>
      <c r="BI1214" t="str">
        <f t="shared" si="603"/>
        <v>EVENTUAL</v>
      </c>
      <c r="BJ1214" t="str">
        <f t="shared" si="585"/>
        <v>1</v>
      </c>
      <c r="BK1214" t="str">
        <f t="shared" si="586"/>
        <v>Farmacia</v>
      </c>
      <c r="BL1214" t="str">
        <f>""</f>
        <v/>
      </c>
      <c r="BM1214" t="str">
        <f>"NÃO É VARILUX ESPECIALISTA"</f>
        <v>NÃO É VARILUX ESPECIALISTA</v>
      </c>
      <c r="BN1214" t="str">
        <f t="shared" si="614"/>
        <v>NA</v>
      </c>
      <c r="BO1214" t="str">
        <f>"FOCO KODAK 2"</f>
        <v>FOCO KODAK 2</v>
      </c>
      <c r="BP1214" t="str">
        <f>""</f>
        <v/>
      </c>
      <c r="BQ1214" t="str">
        <f>""</f>
        <v/>
      </c>
      <c r="BR1214" t="str">
        <f>""</f>
        <v/>
      </c>
      <c r="BS1214" t="str">
        <f>""</f>
        <v/>
      </c>
      <c r="BT1214" t="str">
        <f>""</f>
        <v/>
      </c>
      <c r="BU1214" t="str">
        <f>""</f>
        <v/>
      </c>
      <c r="BV1214" t="str">
        <f>"6"</f>
        <v>6</v>
      </c>
      <c r="BW1214" t="str">
        <f>"Não visitado"</f>
        <v>Não visitado</v>
      </c>
    </row>
    <row r="1215" spans="1:75" x14ac:dyDescent="0.35">
      <c r="A1215">
        <v>134507</v>
      </c>
      <c r="B1215" t="str">
        <f t="shared" si="581"/>
        <v>A</v>
      </c>
      <c r="C1215" t="str">
        <f t="shared" si="582"/>
        <v>80</v>
      </c>
      <c r="D1215" t="str">
        <f t="shared" si="611"/>
        <v>11121002</v>
      </c>
      <c r="E1215" t="str">
        <f t="shared" si="612"/>
        <v>121002</v>
      </c>
      <c r="F1215" t="str">
        <f t="shared" si="613"/>
        <v>CINTHIA NORONHA</v>
      </c>
      <c r="G1215" t="str">
        <f>"17903025000106"</f>
        <v>17903025000106</v>
      </c>
      <c r="H1215" t="str">
        <f>""</f>
        <v/>
      </c>
      <c r="I1215" t="str">
        <f t="shared" si="583"/>
        <v>CONTA OPTICA</v>
      </c>
      <c r="J1215" t="str">
        <f>"ULTRA NOVA ACESSORIOS DE MODA LTDA - EPP"</f>
        <v>ULTRA NOVA ACESSORIOS DE MODA LTDA - EPP</v>
      </c>
      <c r="K1215" t="str">
        <f>"CHILLI BEANS (2267)"</f>
        <v>CHILLI BEANS (2267)</v>
      </c>
      <c r="L1215" t="str">
        <f>""</f>
        <v/>
      </c>
      <c r="M1215" t="str">
        <f>""</f>
        <v/>
      </c>
      <c r="N1215" t="str">
        <f t="shared" si="615"/>
        <v>mariane.mosena@chillisc.com.br</v>
      </c>
      <c r="O1215" t="str">
        <f>""</f>
        <v/>
      </c>
      <c r="P1215" t="str">
        <f>"RUA JOSE CARLOS DAUX"</f>
        <v>RUA JOSE CARLOS DAUX</v>
      </c>
      <c r="Q1215" t="str">
        <f>"3116"</f>
        <v>3116</v>
      </c>
      <c r="R1215" t="str">
        <f>"LC144 FLORIPA S"</f>
        <v>LC144 FLORIPA S</v>
      </c>
      <c r="S1215" t="str">
        <f>"1257"</f>
        <v>1257</v>
      </c>
      <c r="T1215" t="str">
        <f>"88030000"</f>
        <v>88030000</v>
      </c>
      <c r="U1215" t="str">
        <f>"JOAO PAULO"</f>
        <v>JOAO PAULO</v>
      </c>
      <c r="V1215" t="str">
        <f>"FLORIANÓPOLIS"</f>
        <v>FLORIANÓPOLIS</v>
      </c>
      <c r="W1215" t="str">
        <f t="shared" si="608"/>
        <v>SC</v>
      </c>
      <c r="X1215" t="str">
        <f t="shared" si="609"/>
        <v>48</v>
      </c>
      <c r="Y1215" t="str">
        <f>"32077675"</f>
        <v>32077675</v>
      </c>
      <c r="Z1215" t="str">
        <f>""</f>
        <v/>
      </c>
      <c r="AA1215" t="str">
        <f>""</f>
        <v/>
      </c>
      <c r="AB1215" t="str">
        <f>""</f>
        <v/>
      </c>
      <c r="AC1215" t="str">
        <f>""</f>
        <v/>
      </c>
      <c r="AD1215" t="str">
        <f>""</f>
        <v/>
      </c>
      <c r="AE1215" t="str">
        <f>""</f>
        <v/>
      </c>
      <c r="AF1215" t="str">
        <f>""</f>
        <v/>
      </c>
      <c r="AG1215" t="str">
        <f>"S"</f>
        <v>S</v>
      </c>
      <c r="AH1215" t="str">
        <f>""</f>
        <v/>
      </c>
      <c r="AI1215" t="str">
        <f>""</f>
        <v/>
      </c>
      <c r="AJ1215" t="str">
        <f>""</f>
        <v/>
      </c>
      <c r="AK1215" t="str">
        <f>""</f>
        <v/>
      </c>
      <c r="AL1215" t="str">
        <f>""</f>
        <v/>
      </c>
      <c r="AM1215" t="str">
        <f>""</f>
        <v/>
      </c>
      <c r="AN1215" t="str">
        <f>""</f>
        <v/>
      </c>
      <c r="AO1215" t="str">
        <f>""</f>
        <v/>
      </c>
      <c r="AP1215" t="str">
        <f>""</f>
        <v/>
      </c>
      <c r="AQ1215" t="str">
        <f>"N"</f>
        <v>N</v>
      </c>
      <c r="AR1215" t="str">
        <f>"N"</f>
        <v>N</v>
      </c>
      <c r="AS1215" t="str">
        <f>"N"</f>
        <v>N</v>
      </c>
      <c r="AT1215" t="str">
        <f>"N"</f>
        <v>N</v>
      </c>
      <c r="AU1215" t="str">
        <f>"N"</f>
        <v>N</v>
      </c>
      <c r="AV1215" t="str">
        <f>""</f>
        <v/>
      </c>
      <c r="AW1215" t="str">
        <f>""</f>
        <v/>
      </c>
      <c r="AX1215" t="str">
        <f>""</f>
        <v/>
      </c>
      <c r="AY1215" t="str">
        <f>""</f>
        <v/>
      </c>
      <c r="AZ1215" t="str">
        <f>""</f>
        <v/>
      </c>
      <c r="BA1215" t="str">
        <f>""</f>
        <v/>
      </c>
      <c r="BB1215" t="str">
        <f>""</f>
        <v/>
      </c>
      <c r="BC1215" t="str">
        <f>"06/04/2022 10:47:09"</f>
        <v>06/04/2022 10:47:09</v>
      </c>
      <c r="BD1215" t="str">
        <f>""</f>
        <v/>
      </c>
      <c r="BE1215" t="str">
        <f>""</f>
        <v/>
      </c>
      <c r="BF1215" t="str">
        <f t="shared" si="584"/>
        <v>A</v>
      </c>
      <c r="BG1215" t="str">
        <f>""</f>
        <v/>
      </c>
      <c r="BH1215" t="str">
        <f t="shared" si="617"/>
        <v>0,00</v>
      </c>
      <c r="BI1215" t="str">
        <f t="shared" si="603"/>
        <v>EVENTUAL</v>
      </c>
      <c r="BJ1215" t="str">
        <f t="shared" si="585"/>
        <v>1</v>
      </c>
      <c r="BK1215" t="str">
        <f t="shared" si="586"/>
        <v>Farmacia</v>
      </c>
      <c r="BL1215" t="str">
        <f>""</f>
        <v/>
      </c>
      <c r="BM1215" t="str">
        <f>"VARILUX ESPECIALISTA SELECT"</f>
        <v>VARILUX ESPECIALISTA SELECT</v>
      </c>
      <c r="BN1215" t="str">
        <f t="shared" si="614"/>
        <v>NA</v>
      </c>
      <c r="BO1215" t="str">
        <f>"FOCO VARILUX DIGITAL"</f>
        <v>FOCO VARILUX DIGITAL</v>
      </c>
      <c r="BP1215" t="str">
        <f>""</f>
        <v/>
      </c>
      <c r="BQ1215" t="str">
        <f>""</f>
        <v/>
      </c>
      <c r="BR1215" t="str">
        <f>""</f>
        <v/>
      </c>
      <c r="BS1215" t="str">
        <f>"06/04/2022"</f>
        <v>06/04/2022</v>
      </c>
      <c r="BT1215" t="str">
        <f>""</f>
        <v/>
      </c>
      <c r="BU1215" t="str">
        <f>""</f>
        <v/>
      </c>
      <c r="BV1215" t="str">
        <f>"9"</f>
        <v>9</v>
      </c>
      <c r="BW1215" t="str">
        <f>"484"</f>
        <v>484</v>
      </c>
    </row>
    <row r="1216" spans="1:75" x14ac:dyDescent="0.35">
      <c r="A1216">
        <v>144808</v>
      </c>
      <c r="B1216" t="str">
        <f t="shared" si="581"/>
        <v>A</v>
      </c>
      <c r="C1216" t="str">
        <f t="shared" si="582"/>
        <v>80</v>
      </c>
      <c r="D1216" t="str">
        <f t="shared" si="611"/>
        <v>11121002</v>
      </c>
      <c r="E1216" t="str">
        <f t="shared" si="612"/>
        <v>121002</v>
      </c>
      <c r="F1216" t="str">
        <f t="shared" si="613"/>
        <v>CINTHIA NORONHA</v>
      </c>
      <c r="G1216" t="str">
        <f>"13013334000141"</f>
        <v>13013334000141</v>
      </c>
      <c r="H1216" t="str">
        <f>""</f>
        <v/>
      </c>
      <c r="I1216" t="str">
        <f t="shared" si="583"/>
        <v>CONTA OPTICA</v>
      </c>
      <c r="J1216" t="str">
        <f>"ULTRA SUL ACESSORIOS DE MODA LTDA"</f>
        <v>ULTRA SUL ACESSORIOS DE MODA LTDA</v>
      </c>
      <c r="K1216" t="str">
        <f>"CHILLI BEANS (4300)"</f>
        <v>CHILLI BEANS (4300)</v>
      </c>
      <c r="L1216" t="str">
        <f>""</f>
        <v/>
      </c>
      <c r="M1216" t="str">
        <f>""</f>
        <v/>
      </c>
      <c r="N1216" t="str">
        <f t="shared" si="615"/>
        <v>mariane.mosena@chillisc.com.br</v>
      </c>
      <c r="O1216" t="str">
        <f>""</f>
        <v/>
      </c>
      <c r="P1216" t="str">
        <f>"PRAÇA DR. NEREU RAMOS"</f>
        <v>PRAÇA DR. NEREU RAMOS</v>
      </c>
      <c r="Q1216" t="str">
        <f>"364"</f>
        <v>364</v>
      </c>
      <c r="R1216" t="str">
        <f>"L 7 SH CENTER D"</f>
        <v>L 7 SH CENTER D</v>
      </c>
      <c r="S1216" t="str">
        <f>"1269"</f>
        <v>1269</v>
      </c>
      <c r="T1216" t="str">
        <f>"88801505"</f>
        <v>88801505</v>
      </c>
      <c r="U1216" t="str">
        <f>"CENTRO"</f>
        <v>CENTRO</v>
      </c>
      <c r="V1216" t="str">
        <f>"CRICIÚMA"</f>
        <v>CRICIÚMA</v>
      </c>
      <c r="W1216" t="str">
        <f t="shared" si="608"/>
        <v>SC</v>
      </c>
      <c r="X1216" t="str">
        <f>"47"</f>
        <v>47</v>
      </c>
      <c r="Y1216" t="str">
        <f>"30374788"</f>
        <v>30374788</v>
      </c>
      <c r="Z1216" t="str">
        <f>""</f>
        <v/>
      </c>
      <c r="AA1216" t="str">
        <f>""</f>
        <v/>
      </c>
      <c r="AB1216" t="str">
        <f>""</f>
        <v/>
      </c>
      <c r="AC1216" t="str">
        <f>""</f>
        <v/>
      </c>
      <c r="AD1216" t="str">
        <f>""</f>
        <v/>
      </c>
      <c r="AE1216" t="str">
        <f>""</f>
        <v/>
      </c>
      <c r="AF1216" t="str">
        <f>""</f>
        <v/>
      </c>
      <c r="AG1216" t="str">
        <f>""</f>
        <v/>
      </c>
      <c r="AH1216" t="str">
        <f>""</f>
        <v/>
      </c>
      <c r="AI1216" t="str">
        <f>""</f>
        <v/>
      </c>
      <c r="AJ1216" t="str">
        <f t="shared" ref="AJ1216:AL1217" si="619">"0"</f>
        <v>0</v>
      </c>
      <c r="AK1216" t="str">
        <f t="shared" si="619"/>
        <v>0</v>
      </c>
      <c r="AL1216" t="str">
        <f t="shared" si="619"/>
        <v>0</v>
      </c>
      <c r="AM1216" t="str">
        <f>""</f>
        <v/>
      </c>
      <c r="AN1216" t="str">
        <f>""</f>
        <v/>
      </c>
      <c r="AO1216" t="str">
        <f>""</f>
        <v/>
      </c>
      <c r="AP1216" t="str">
        <f>""</f>
        <v/>
      </c>
      <c r="AQ1216" t="str">
        <f>""</f>
        <v/>
      </c>
      <c r="AR1216" t="str">
        <f>""</f>
        <v/>
      </c>
      <c r="AS1216" t="str">
        <f>""</f>
        <v/>
      </c>
      <c r="AT1216" t="str">
        <f>""</f>
        <v/>
      </c>
      <c r="AU1216" t="str">
        <f>""</f>
        <v/>
      </c>
      <c r="AV1216" t="str">
        <f>""</f>
        <v/>
      </c>
      <c r="AW1216" t="str">
        <f>""</f>
        <v/>
      </c>
      <c r="AX1216" t="str">
        <f>""</f>
        <v/>
      </c>
      <c r="AY1216" t="str">
        <f>""</f>
        <v/>
      </c>
      <c r="AZ1216" t="str">
        <f>""</f>
        <v/>
      </c>
      <c r="BA1216" t="str">
        <f>""</f>
        <v/>
      </c>
      <c r="BB1216" t="str">
        <f>""</f>
        <v/>
      </c>
      <c r="BC1216" t="str">
        <f>""</f>
        <v/>
      </c>
      <c r="BD1216" t="str">
        <f>""</f>
        <v/>
      </c>
      <c r="BE1216" t="str">
        <f>""</f>
        <v/>
      </c>
      <c r="BF1216" t="str">
        <f t="shared" si="584"/>
        <v>A</v>
      </c>
      <c r="BG1216" t="str">
        <f>"0,00"</f>
        <v>0,00</v>
      </c>
      <c r="BH1216" t="str">
        <f t="shared" si="617"/>
        <v>0,00</v>
      </c>
      <c r="BI1216" t="str">
        <f t="shared" si="603"/>
        <v>EVENTUAL</v>
      </c>
      <c r="BJ1216" t="str">
        <f t="shared" si="585"/>
        <v>1</v>
      </c>
      <c r="BK1216" t="str">
        <f t="shared" si="586"/>
        <v>Farmacia</v>
      </c>
      <c r="BL1216" t="str">
        <f>""</f>
        <v/>
      </c>
      <c r="BM1216" t="str">
        <f>"NÃO É VARILUX ESPECIALISTA"</f>
        <v>NÃO É VARILUX ESPECIALISTA</v>
      </c>
      <c r="BN1216" t="str">
        <f t="shared" si="614"/>
        <v>NA</v>
      </c>
      <c r="BO1216" t="str">
        <f>"FOCO VARILUX"</f>
        <v>FOCO VARILUX</v>
      </c>
      <c r="BP1216" t="str">
        <f>""</f>
        <v/>
      </c>
      <c r="BQ1216" t="str">
        <f>""</f>
        <v/>
      </c>
      <c r="BR1216" t="str">
        <f>""</f>
        <v/>
      </c>
      <c r="BS1216" t="str">
        <f>""</f>
        <v/>
      </c>
      <c r="BT1216" t="str">
        <f>""</f>
        <v/>
      </c>
      <c r="BU1216" t="str">
        <f>""</f>
        <v/>
      </c>
      <c r="BV1216" t="str">
        <f>""</f>
        <v/>
      </c>
      <c r="BW1216" t="str">
        <f>"Não visitado"</f>
        <v>Não visitado</v>
      </c>
    </row>
    <row r="1217" spans="1:75" x14ac:dyDescent="0.35">
      <c r="A1217">
        <v>144680</v>
      </c>
      <c r="B1217" t="str">
        <f t="shared" si="581"/>
        <v>A</v>
      </c>
      <c r="C1217" t="str">
        <f t="shared" si="582"/>
        <v>80</v>
      </c>
      <c r="D1217" t="str">
        <f t="shared" si="611"/>
        <v>11121002</v>
      </c>
      <c r="E1217" t="str">
        <f t="shared" si="612"/>
        <v>121002</v>
      </c>
      <c r="F1217" t="str">
        <f t="shared" si="613"/>
        <v>CINTHIA NORONHA</v>
      </c>
      <c r="G1217" t="str">
        <f>"13013334000303"</f>
        <v>13013334000303</v>
      </c>
      <c r="H1217" t="str">
        <f>""</f>
        <v/>
      </c>
      <c r="I1217" t="str">
        <f t="shared" si="583"/>
        <v>CONTA OPTICA</v>
      </c>
      <c r="J1217" t="str">
        <f>"ULTRA SUL ACESSORIOS DE MODA LTDA - EPP"</f>
        <v>ULTRA SUL ACESSORIOS DE MODA LTDA - EPP</v>
      </c>
      <c r="K1217" t="str">
        <f>"CHILLI BEANS (3815)"</f>
        <v>CHILLI BEANS (3815)</v>
      </c>
      <c r="L1217" t="str">
        <f>""</f>
        <v/>
      </c>
      <c r="M1217" t="str">
        <f>""</f>
        <v/>
      </c>
      <c r="N1217" t="str">
        <f t="shared" si="615"/>
        <v>mariane.mosena@chillisc.com.br</v>
      </c>
      <c r="O1217" t="str">
        <f>""</f>
        <v/>
      </c>
      <c r="P1217" t="str">
        <f>"RUA GABRIEL ZANETTE"</f>
        <v>RUA GABRIEL ZANETTE</v>
      </c>
      <c r="Q1217" t="str">
        <f>"1455"</f>
        <v>1455</v>
      </c>
      <c r="R1217" t="str">
        <f>"SALA 134"</f>
        <v>SALA 134</v>
      </c>
      <c r="S1217" t="str">
        <f>"1269"</f>
        <v>1269</v>
      </c>
      <c r="T1217" t="str">
        <f>"88815060"</f>
        <v>88815060</v>
      </c>
      <c r="U1217" t="str">
        <f>"PROSPERA"</f>
        <v>PROSPERA</v>
      </c>
      <c r="V1217" t="str">
        <f>"CRICIÚMA"</f>
        <v>CRICIÚMA</v>
      </c>
      <c r="W1217" t="str">
        <f t="shared" si="608"/>
        <v>SC</v>
      </c>
      <c r="X1217" t="str">
        <f>"48"</f>
        <v>48</v>
      </c>
      <c r="Y1217" t="str">
        <f>"34433605"</f>
        <v>34433605</v>
      </c>
      <c r="Z1217" t="str">
        <f>""</f>
        <v/>
      </c>
      <c r="AA1217" t="str">
        <f>""</f>
        <v/>
      </c>
      <c r="AB1217" t="str">
        <f>""</f>
        <v/>
      </c>
      <c r="AC1217" t="str">
        <f>""</f>
        <v/>
      </c>
      <c r="AD1217" t="str">
        <f>""</f>
        <v/>
      </c>
      <c r="AE1217" t="str">
        <f>""</f>
        <v/>
      </c>
      <c r="AF1217" t="str">
        <f>""</f>
        <v/>
      </c>
      <c r="AG1217" t="str">
        <f>""</f>
        <v/>
      </c>
      <c r="AH1217" t="str">
        <f>""</f>
        <v/>
      </c>
      <c r="AI1217" t="str">
        <f>""</f>
        <v/>
      </c>
      <c r="AJ1217" t="str">
        <f t="shared" si="619"/>
        <v>0</v>
      </c>
      <c r="AK1217" t="str">
        <f t="shared" si="619"/>
        <v>0</v>
      </c>
      <c r="AL1217" t="str">
        <f t="shared" si="619"/>
        <v>0</v>
      </c>
      <c r="AM1217" t="str">
        <f>""</f>
        <v/>
      </c>
      <c r="AN1217" t="str">
        <f>""</f>
        <v/>
      </c>
      <c r="AO1217" t="str">
        <f>""</f>
        <v/>
      </c>
      <c r="AP1217" t="str">
        <f>""</f>
        <v/>
      </c>
      <c r="AQ1217" t="str">
        <f>""</f>
        <v/>
      </c>
      <c r="AR1217" t="str">
        <f>""</f>
        <v/>
      </c>
      <c r="AS1217" t="str">
        <f>""</f>
        <v/>
      </c>
      <c r="AT1217" t="str">
        <f>""</f>
        <v/>
      </c>
      <c r="AU1217" t="str">
        <f>""</f>
        <v/>
      </c>
      <c r="AV1217" t="str">
        <f>""</f>
        <v/>
      </c>
      <c r="AW1217" t="str">
        <f>""</f>
        <v/>
      </c>
      <c r="AX1217" t="str">
        <f>""</f>
        <v/>
      </c>
      <c r="AY1217" t="str">
        <f>""</f>
        <v/>
      </c>
      <c r="AZ1217" t="str">
        <f>""</f>
        <v/>
      </c>
      <c r="BA1217" t="str">
        <f>""</f>
        <v/>
      </c>
      <c r="BB1217" t="str">
        <f>""</f>
        <v/>
      </c>
      <c r="BC1217" t="str">
        <f>""</f>
        <v/>
      </c>
      <c r="BD1217" t="str">
        <f>""</f>
        <v/>
      </c>
      <c r="BE1217" t="str">
        <f>""</f>
        <v/>
      </c>
      <c r="BF1217" t="str">
        <f t="shared" si="584"/>
        <v>A</v>
      </c>
      <c r="BG1217" t="str">
        <f>"0,00"</f>
        <v>0,00</v>
      </c>
      <c r="BH1217" t="str">
        <f t="shared" si="617"/>
        <v>0,00</v>
      </c>
      <c r="BI1217" t="str">
        <f t="shared" si="603"/>
        <v>EVENTUAL</v>
      </c>
      <c r="BJ1217" t="str">
        <f t="shared" si="585"/>
        <v>1</v>
      </c>
      <c r="BK1217" t="str">
        <f t="shared" si="586"/>
        <v>Farmacia</v>
      </c>
      <c r="BL1217" t="str">
        <f>""</f>
        <v/>
      </c>
      <c r="BM1217" t="str">
        <f>"NÃO É VARILUX ESPECIALISTA"</f>
        <v>NÃO É VARILUX ESPECIALISTA</v>
      </c>
      <c r="BN1217" t="str">
        <f t="shared" si="614"/>
        <v>NA</v>
      </c>
      <c r="BO1217" t="str">
        <f>"OUTROS"</f>
        <v>OUTROS</v>
      </c>
      <c r="BP1217" t="str">
        <f>""</f>
        <v/>
      </c>
      <c r="BQ1217" t="str">
        <f>""</f>
        <v/>
      </c>
      <c r="BR1217" t="str">
        <f>""</f>
        <v/>
      </c>
      <c r="BS1217" t="str">
        <f>""</f>
        <v/>
      </c>
      <c r="BT1217" t="str">
        <f>""</f>
        <v/>
      </c>
      <c r="BU1217" t="str">
        <f>""</f>
        <v/>
      </c>
      <c r="BV1217" t="str">
        <f>"2"</f>
        <v>2</v>
      </c>
      <c r="BW1217" t="str">
        <f>"Não visitado"</f>
        <v>Não visitado</v>
      </c>
    </row>
    <row r="1218" spans="1:75" x14ac:dyDescent="0.35">
      <c r="A1218">
        <v>134307</v>
      </c>
      <c r="B1218" t="str">
        <f t="shared" ref="B1218:B1281" si="620">"A"</f>
        <v>A</v>
      </c>
      <c r="C1218" t="str">
        <f t="shared" ref="C1218:C1281" si="621">"80"</f>
        <v>80</v>
      </c>
      <c r="D1218" t="str">
        <f t="shared" si="611"/>
        <v>11121002</v>
      </c>
      <c r="E1218" t="str">
        <f t="shared" si="612"/>
        <v>121002</v>
      </c>
      <c r="F1218" t="str">
        <f t="shared" si="613"/>
        <v>CINTHIA NORONHA</v>
      </c>
      <c r="G1218" t="str">
        <f>"19199618000231"</f>
        <v>19199618000231</v>
      </c>
      <c r="H1218" t="str">
        <f>""</f>
        <v/>
      </c>
      <c r="I1218" t="str">
        <f t="shared" ref="I1218:I1281" si="622">"CONTA OPTICA"</f>
        <v>CONTA OPTICA</v>
      </c>
      <c r="J1218" t="str">
        <f>"ULTRA T SHIRT ACESSORIOS DE MODA LTDA"</f>
        <v>ULTRA T SHIRT ACESSORIOS DE MODA LTDA</v>
      </c>
      <c r="K1218" t="str">
        <f>"CHILLI BEANS (3913)"</f>
        <v>CHILLI BEANS (3913)</v>
      </c>
      <c r="L1218" t="str">
        <f>""</f>
        <v/>
      </c>
      <c r="M1218" t="str">
        <f>""</f>
        <v/>
      </c>
      <c r="N1218" t="str">
        <f>"lages.garden@chillisc.com.br"</f>
        <v>lages.garden@chillisc.com.br</v>
      </c>
      <c r="O1218" t="str">
        <f>""</f>
        <v/>
      </c>
      <c r="P1218" t="str">
        <f>"RUA CORONEL CORDOVA"</f>
        <v>RUA CORONEL CORDOVA</v>
      </c>
      <c r="Q1218" t="str">
        <f>"85"</f>
        <v>85</v>
      </c>
      <c r="R1218" t="str">
        <f>""</f>
        <v/>
      </c>
      <c r="S1218" t="str">
        <f>"1266"</f>
        <v>1266</v>
      </c>
      <c r="T1218" t="str">
        <f>"88502000"</f>
        <v>88502000</v>
      </c>
      <c r="U1218" t="str">
        <f>"CENTRO"</f>
        <v>CENTRO</v>
      </c>
      <c r="V1218" t="str">
        <f>"LAGES"</f>
        <v>LAGES</v>
      </c>
      <c r="W1218" t="str">
        <f t="shared" si="608"/>
        <v>SC</v>
      </c>
      <c r="X1218" t="str">
        <f>"49"</f>
        <v>49</v>
      </c>
      <c r="Y1218" t="str">
        <f>"33804098"</f>
        <v>33804098</v>
      </c>
      <c r="Z1218" t="str">
        <f>""</f>
        <v/>
      </c>
      <c r="AA1218" t="str">
        <f>""</f>
        <v/>
      </c>
      <c r="AB1218" t="str">
        <f>""</f>
        <v/>
      </c>
      <c r="AC1218" t="str">
        <f>""</f>
        <v/>
      </c>
      <c r="AD1218" t="str">
        <f>""</f>
        <v/>
      </c>
      <c r="AE1218" t="str">
        <f>""</f>
        <v/>
      </c>
      <c r="AF1218" t="str">
        <f>""</f>
        <v/>
      </c>
      <c r="AG1218" t="str">
        <f>"S"</f>
        <v>S</v>
      </c>
      <c r="AH1218" t="str">
        <f>""</f>
        <v/>
      </c>
      <c r="AI1218" t="str">
        <f>""</f>
        <v/>
      </c>
      <c r="AJ1218" t="str">
        <f>""</f>
        <v/>
      </c>
      <c r="AK1218" t="str">
        <f>""</f>
        <v/>
      </c>
      <c r="AL1218" t="str">
        <f>""</f>
        <v/>
      </c>
      <c r="AM1218" t="str">
        <f>""</f>
        <v/>
      </c>
      <c r="AN1218" t="str">
        <f>""</f>
        <v/>
      </c>
      <c r="AO1218" t="str">
        <f>""</f>
        <v/>
      </c>
      <c r="AP1218" t="str">
        <f>""</f>
        <v/>
      </c>
      <c r="AQ1218" t="str">
        <f t="shared" ref="AQ1218:AU1219" si="623">"N"</f>
        <v>N</v>
      </c>
      <c r="AR1218" t="str">
        <f t="shared" si="623"/>
        <v>N</v>
      </c>
      <c r="AS1218" t="str">
        <f t="shared" si="623"/>
        <v>N</v>
      </c>
      <c r="AT1218" t="str">
        <f t="shared" si="623"/>
        <v>N</v>
      </c>
      <c r="AU1218" t="str">
        <f t="shared" si="623"/>
        <v>N</v>
      </c>
      <c r="AV1218" t="str">
        <f>""</f>
        <v/>
      </c>
      <c r="AW1218" t="str">
        <f>""</f>
        <v/>
      </c>
      <c r="AX1218" t="str">
        <f>""</f>
        <v/>
      </c>
      <c r="AY1218" t="str">
        <f>""</f>
        <v/>
      </c>
      <c r="AZ1218" t="str">
        <f>""</f>
        <v/>
      </c>
      <c r="BA1218" t="str">
        <f>""</f>
        <v/>
      </c>
      <c r="BB1218" t="str">
        <f>""</f>
        <v/>
      </c>
      <c r="BC1218" t="str">
        <f>"27/04/2022 14:30:58"</f>
        <v>27/04/2022 14:30:58</v>
      </c>
      <c r="BD1218" t="str">
        <f>""</f>
        <v/>
      </c>
      <c r="BE1218" t="str">
        <f>""</f>
        <v/>
      </c>
      <c r="BF1218" t="str">
        <f t="shared" ref="BF1218:BF1281" si="624">"A"</f>
        <v>A</v>
      </c>
      <c r="BG1218" t="str">
        <f>""</f>
        <v/>
      </c>
      <c r="BH1218" t="str">
        <f t="shared" si="617"/>
        <v>0,00</v>
      </c>
      <c r="BI1218" t="str">
        <f t="shared" si="603"/>
        <v>EVENTUAL</v>
      </c>
      <c r="BJ1218" t="str">
        <f t="shared" ref="BJ1218:BJ1281" si="625">"1"</f>
        <v>1</v>
      </c>
      <c r="BK1218" t="str">
        <f t="shared" ref="BK1218:BK1281" si="626">"Farmacia"</f>
        <v>Farmacia</v>
      </c>
      <c r="BL1218" t="str">
        <f>""</f>
        <v/>
      </c>
      <c r="BM1218" t="str">
        <f>"NÃO É VARILUX ESPECIALISTA"</f>
        <v>NÃO É VARILUX ESPECIALISTA</v>
      </c>
      <c r="BN1218" t="str">
        <f t="shared" si="614"/>
        <v>NA</v>
      </c>
      <c r="BO1218" t="str">
        <f>"FOCO VARILUX DIGITAL"</f>
        <v>FOCO VARILUX DIGITAL</v>
      </c>
      <c r="BP1218" t="str">
        <f>""</f>
        <v/>
      </c>
      <c r="BQ1218" t="str">
        <f>""</f>
        <v/>
      </c>
      <c r="BR1218" t="str">
        <f>""</f>
        <v/>
      </c>
      <c r="BS1218" t="str">
        <f>"27/04/2022"</f>
        <v>27/04/2022</v>
      </c>
      <c r="BT1218" t="str">
        <f>""</f>
        <v/>
      </c>
      <c r="BU1218" t="str">
        <f>""</f>
        <v/>
      </c>
      <c r="BV1218" t="str">
        <f>"5"</f>
        <v>5</v>
      </c>
      <c r="BW1218" t="str">
        <f>"94"</f>
        <v>94</v>
      </c>
    </row>
    <row r="1219" spans="1:75" x14ac:dyDescent="0.35">
      <c r="A1219">
        <v>134508</v>
      </c>
      <c r="B1219" t="str">
        <f t="shared" si="620"/>
        <v>A</v>
      </c>
      <c r="C1219" t="str">
        <f t="shared" si="621"/>
        <v>80</v>
      </c>
      <c r="D1219" t="str">
        <f t="shared" si="611"/>
        <v>11121002</v>
      </c>
      <c r="E1219" t="str">
        <f t="shared" si="612"/>
        <v>121002</v>
      </c>
      <c r="F1219" t="str">
        <f t="shared" si="613"/>
        <v>CINTHIA NORONHA</v>
      </c>
      <c r="G1219" t="str">
        <f>"19199618000150"</f>
        <v>19199618000150</v>
      </c>
      <c r="H1219" t="str">
        <f>""</f>
        <v/>
      </c>
      <c r="I1219" t="str">
        <f t="shared" si="622"/>
        <v>CONTA OPTICA</v>
      </c>
      <c r="J1219" t="str">
        <f>"ULTRA T SHIRT ACESSORIOS DE MODA LTDA - EPP"</f>
        <v>ULTRA T SHIRT ACESSORIOS DE MODA LTDA - EPP</v>
      </c>
      <c r="K1219" t="str">
        <f>"CHILLI BEANS (3350)"</f>
        <v>CHILLI BEANS (3350)</v>
      </c>
      <c r="L1219" t="str">
        <f>""</f>
        <v/>
      </c>
      <c r="M1219" t="str">
        <f>""</f>
        <v/>
      </c>
      <c r="N1219" t="str">
        <f>"vinicius@microlages.com.br"</f>
        <v>vinicius@microlages.com.br</v>
      </c>
      <c r="O1219" t="str">
        <f>""</f>
        <v/>
      </c>
      <c r="P1219" t="str">
        <f>"RODOVIA BR 282"</f>
        <v>RODOVIA BR 282</v>
      </c>
      <c r="Q1219" t="str">
        <f>"1015"</f>
        <v>1015</v>
      </c>
      <c r="R1219" t="str">
        <f>"LAGES GARD SHOP"</f>
        <v>LAGES GARD SHOP</v>
      </c>
      <c r="S1219" t="str">
        <f>"1266"</f>
        <v>1266</v>
      </c>
      <c r="T1219" t="str">
        <f>"88524900"</f>
        <v>88524900</v>
      </c>
      <c r="U1219" t="str">
        <f>"BATES"</f>
        <v>BATES</v>
      </c>
      <c r="V1219" t="str">
        <f>"LAGES"</f>
        <v>LAGES</v>
      </c>
      <c r="W1219" t="str">
        <f t="shared" si="608"/>
        <v>SC</v>
      </c>
      <c r="X1219" t="str">
        <f>"49"</f>
        <v>49</v>
      </c>
      <c r="Y1219" t="str">
        <f>"999444639"</f>
        <v>999444639</v>
      </c>
      <c r="Z1219" t="str">
        <f>""</f>
        <v/>
      </c>
      <c r="AA1219" t="str">
        <f>""</f>
        <v/>
      </c>
      <c r="AB1219" t="str">
        <f>""</f>
        <v/>
      </c>
      <c r="AC1219" t="str">
        <f>""</f>
        <v/>
      </c>
      <c r="AD1219" t="str">
        <f>""</f>
        <v/>
      </c>
      <c r="AE1219" t="str">
        <f>""</f>
        <v/>
      </c>
      <c r="AF1219" t="str">
        <f>""</f>
        <v/>
      </c>
      <c r="AG1219" t="str">
        <f>"S"</f>
        <v>S</v>
      </c>
      <c r="AH1219" t="str">
        <f>""</f>
        <v/>
      </c>
      <c r="AI1219" t="str">
        <f>""</f>
        <v/>
      </c>
      <c r="AJ1219" t="str">
        <f>""</f>
        <v/>
      </c>
      <c r="AK1219" t="str">
        <f>""</f>
        <v/>
      </c>
      <c r="AL1219" t="str">
        <f>""</f>
        <v/>
      </c>
      <c r="AM1219" t="str">
        <f>""</f>
        <v/>
      </c>
      <c r="AN1219" t="str">
        <f>""</f>
        <v/>
      </c>
      <c r="AO1219" t="str">
        <f>""</f>
        <v/>
      </c>
      <c r="AP1219" t="str">
        <f>""</f>
        <v/>
      </c>
      <c r="AQ1219" t="str">
        <f t="shared" si="623"/>
        <v>N</v>
      </c>
      <c r="AR1219" t="str">
        <f t="shared" si="623"/>
        <v>N</v>
      </c>
      <c r="AS1219" t="str">
        <f t="shared" si="623"/>
        <v>N</v>
      </c>
      <c r="AT1219" t="str">
        <f t="shared" si="623"/>
        <v>N</v>
      </c>
      <c r="AU1219" t="str">
        <f t="shared" si="623"/>
        <v>N</v>
      </c>
      <c r="AV1219" t="str">
        <f>""</f>
        <v/>
      </c>
      <c r="AW1219" t="str">
        <f>""</f>
        <v/>
      </c>
      <c r="AX1219" t="str">
        <f>""</f>
        <v/>
      </c>
      <c r="AY1219" t="str">
        <f>""</f>
        <v/>
      </c>
      <c r="AZ1219" t="str">
        <f>""</f>
        <v/>
      </c>
      <c r="BA1219" t="str">
        <f>""</f>
        <v/>
      </c>
      <c r="BB1219" t="str">
        <f>""</f>
        <v/>
      </c>
      <c r="BC1219" t="str">
        <f>"01/09/2021 17:47:17"</f>
        <v>01/09/2021 17:47:17</v>
      </c>
      <c r="BD1219" t="str">
        <f>""</f>
        <v/>
      </c>
      <c r="BE1219" t="str">
        <f>""</f>
        <v/>
      </c>
      <c r="BF1219" t="str">
        <f t="shared" si="624"/>
        <v>A</v>
      </c>
      <c r="BG1219" t="str">
        <f>""</f>
        <v/>
      </c>
      <c r="BH1219" t="str">
        <f t="shared" si="617"/>
        <v>0,00</v>
      </c>
      <c r="BI1219" t="str">
        <f t="shared" si="603"/>
        <v>EVENTUAL</v>
      </c>
      <c r="BJ1219" t="str">
        <f t="shared" si="625"/>
        <v>1</v>
      </c>
      <c r="BK1219" t="str">
        <f t="shared" si="626"/>
        <v>Farmacia</v>
      </c>
      <c r="BL1219" t="str">
        <f>""</f>
        <v/>
      </c>
      <c r="BM1219" t="str">
        <f>"NÃO É VARILUX ESPECIALISTA"</f>
        <v>NÃO É VARILUX ESPECIALISTA</v>
      </c>
      <c r="BN1219" t="str">
        <f t="shared" si="614"/>
        <v>NA</v>
      </c>
      <c r="BO1219" t="str">
        <f>"FOCO VARILUX DIGITAL"</f>
        <v>FOCO VARILUX DIGITAL</v>
      </c>
      <c r="BP1219" t="str">
        <f>""</f>
        <v/>
      </c>
      <c r="BQ1219" t="str">
        <f>""</f>
        <v/>
      </c>
      <c r="BR1219" t="str">
        <f>""</f>
        <v/>
      </c>
      <c r="BS1219" t="str">
        <f>"01/09/2021"</f>
        <v>01/09/2021</v>
      </c>
      <c r="BT1219" t="str">
        <f>""</f>
        <v/>
      </c>
      <c r="BU1219" t="str">
        <f>""</f>
        <v/>
      </c>
      <c r="BV1219" t="str">
        <f>"1"</f>
        <v>1</v>
      </c>
      <c r="BW1219" t="str">
        <f>"85"</f>
        <v>85</v>
      </c>
    </row>
    <row r="1220" spans="1:75" x14ac:dyDescent="0.35">
      <c r="A1220">
        <v>157605</v>
      </c>
      <c r="B1220" t="str">
        <f t="shared" si="620"/>
        <v>A</v>
      </c>
      <c r="C1220" t="str">
        <f t="shared" si="621"/>
        <v>80</v>
      </c>
      <c r="D1220" t="str">
        <f t="shared" si="611"/>
        <v>11121002</v>
      </c>
      <c r="E1220" t="str">
        <f t="shared" si="612"/>
        <v>121002</v>
      </c>
      <c r="F1220" t="str">
        <f t="shared" si="613"/>
        <v>CINTHIA NORONHA</v>
      </c>
      <c r="G1220" t="str">
        <f>"10558119000308"</f>
        <v>10558119000308</v>
      </c>
      <c r="H1220" t="str">
        <f>"0"</f>
        <v>0</v>
      </c>
      <c r="I1220" t="str">
        <f t="shared" si="622"/>
        <v>CONTA OPTICA</v>
      </c>
      <c r="J1220" t="str">
        <f>"ULTRA VIOLETA ACESSORIOS DE MODA LTDA"</f>
        <v>ULTRA VIOLETA ACESSORIOS DE MODA LTDA</v>
      </c>
      <c r="K1220" t="str">
        <f>"CHILLI BEANS (4606)"</f>
        <v>CHILLI BEANS (4606)</v>
      </c>
      <c r="L1220" t="str">
        <f>""</f>
        <v/>
      </c>
      <c r="M1220" t="str">
        <f>""</f>
        <v/>
      </c>
      <c r="N1220" t="str">
        <f>"FINANCEIRO3.ESTRELA@GMAIL.COM"</f>
        <v>FINANCEIRO3.ESTRELA@GMAIL.COM</v>
      </c>
      <c r="O1220" t="str">
        <f>""</f>
        <v/>
      </c>
      <c r="P1220" t="str">
        <f>"MADRE BENVENUTA"</f>
        <v>MADRE BENVENUTA</v>
      </c>
      <c r="Q1220" t="str">
        <f>"687"</f>
        <v>687</v>
      </c>
      <c r="R1220" t="str">
        <f>"PISO L2"</f>
        <v>PISO L2</v>
      </c>
      <c r="S1220" t="str">
        <f>"1257"</f>
        <v>1257</v>
      </c>
      <c r="T1220" t="str">
        <f>"88035000"</f>
        <v>88035000</v>
      </c>
      <c r="U1220" t="str">
        <f>"SANTA MONICA"</f>
        <v>SANTA MONICA</v>
      </c>
      <c r="V1220" t="str">
        <f>"FLORIANOPOLIS"</f>
        <v>FLORIANOPOLIS</v>
      </c>
      <c r="W1220" t="str">
        <f t="shared" si="608"/>
        <v>SC</v>
      </c>
      <c r="X1220" t="str">
        <f t="shared" ref="X1220:X1226" si="627">"48"</f>
        <v>48</v>
      </c>
      <c r="Y1220" t="str">
        <f>"998358386"</f>
        <v>998358386</v>
      </c>
      <c r="Z1220" t="str">
        <f>""</f>
        <v/>
      </c>
      <c r="AA1220" t="str">
        <f>""</f>
        <v/>
      </c>
      <c r="AB1220" t="str">
        <f>""</f>
        <v/>
      </c>
      <c r="AC1220" t="str">
        <f>""</f>
        <v/>
      </c>
      <c r="AD1220" t="str">
        <f>""</f>
        <v/>
      </c>
      <c r="AE1220" t="str">
        <f>""</f>
        <v/>
      </c>
      <c r="AF1220" t="str">
        <f>""</f>
        <v/>
      </c>
      <c r="AG1220" t="str">
        <f>""</f>
        <v/>
      </c>
      <c r="AH1220" t="str">
        <f>""</f>
        <v/>
      </c>
      <c r="AI1220" t="str">
        <f>""</f>
        <v/>
      </c>
      <c r="AJ1220" t="str">
        <f>""</f>
        <v/>
      </c>
      <c r="AK1220" t="str">
        <f>""</f>
        <v/>
      </c>
      <c r="AL1220" t="str">
        <f>""</f>
        <v/>
      </c>
      <c r="AM1220" t="str">
        <f>""</f>
        <v/>
      </c>
      <c r="AN1220" t="str">
        <f>""</f>
        <v/>
      </c>
      <c r="AO1220" t="str">
        <f>""</f>
        <v/>
      </c>
      <c r="AP1220" t="str">
        <f>""</f>
        <v/>
      </c>
      <c r="AQ1220" t="str">
        <f>""</f>
        <v/>
      </c>
      <c r="AR1220" t="str">
        <f>""</f>
        <v/>
      </c>
      <c r="AS1220" t="str">
        <f>""</f>
        <v/>
      </c>
      <c r="AT1220" t="str">
        <f>""</f>
        <v/>
      </c>
      <c r="AU1220" t="str">
        <f>""</f>
        <v/>
      </c>
      <c r="AV1220" t="str">
        <f>""</f>
        <v/>
      </c>
      <c r="AW1220" t="str">
        <f>""</f>
        <v/>
      </c>
      <c r="AX1220" t="str">
        <f>""</f>
        <v/>
      </c>
      <c r="AY1220" t="str">
        <f>""</f>
        <v/>
      </c>
      <c r="AZ1220" t="str">
        <f>""</f>
        <v/>
      </c>
      <c r="BA1220" t="str">
        <f>""</f>
        <v/>
      </c>
      <c r="BB1220" t="str">
        <f>"11/07/2023 02:19:56"</f>
        <v>11/07/2023 02:19:56</v>
      </c>
      <c r="BC1220" t="str">
        <f>""</f>
        <v/>
      </c>
      <c r="BD1220" t="str">
        <f>""</f>
        <v/>
      </c>
      <c r="BE1220" t="str">
        <f>""</f>
        <v/>
      </c>
      <c r="BF1220" t="str">
        <f t="shared" si="624"/>
        <v>A</v>
      </c>
      <c r="BG1220" t="str">
        <f>""</f>
        <v/>
      </c>
      <c r="BH1220" t="str">
        <f>""</f>
        <v/>
      </c>
      <c r="BI1220" t="str">
        <f t="shared" si="603"/>
        <v>EVENTUAL</v>
      </c>
      <c r="BJ1220" t="str">
        <f t="shared" si="625"/>
        <v>1</v>
      </c>
      <c r="BK1220" t="str">
        <f t="shared" si="626"/>
        <v>Farmacia</v>
      </c>
      <c r="BL1220" t="str">
        <f>""</f>
        <v/>
      </c>
      <c r="BM1220" t="str">
        <f>""</f>
        <v/>
      </c>
      <c r="BN1220" t="str">
        <f>""</f>
        <v/>
      </c>
      <c r="BO1220" t="str">
        <f>""</f>
        <v/>
      </c>
      <c r="BP1220" t="str">
        <f>""</f>
        <v/>
      </c>
      <c r="BQ1220" t="str">
        <f>""</f>
        <v/>
      </c>
      <c r="BR1220" t="str">
        <f>"11/07/2023"</f>
        <v>11/07/2023</v>
      </c>
      <c r="BS1220" t="str">
        <f>""</f>
        <v/>
      </c>
      <c r="BT1220" t="str">
        <f>""</f>
        <v/>
      </c>
      <c r="BU1220" t="str">
        <f>""</f>
        <v/>
      </c>
      <c r="BV1220" t="str">
        <f>""</f>
        <v/>
      </c>
      <c r="BW1220" t="str">
        <f>"Não visitado"</f>
        <v>Não visitado</v>
      </c>
    </row>
    <row r="1221" spans="1:75" x14ac:dyDescent="0.35">
      <c r="A1221">
        <v>134460</v>
      </c>
      <c r="B1221" t="str">
        <f t="shared" si="620"/>
        <v>A</v>
      </c>
      <c r="C1221" t="str">
        <f t="shared" si="621"/>
        <v>80</v>
      </c>
      <c r="D1221" t="str">
        <f t="shared" si="611"/>
        <v>11121002</v>
      </c>
      <c r="E1221" t="str">
        <f t="shared" si="612"/>
        <v>121002</v>
      </c>
      <c r="F1221" t="str">
        <f t="shared" si="613"/>
        <v>CINTHIA NORONHA</v>
      </c>
      <c r="G1221" t="str">
        <f>"10558119000138"</f>
        <v>10558119000138</v>
      </c>
      <c r="H1221" t="str">
        <f>""</f>
        <v/>
      </c>
      <c r="I1221" t="str">
        <f t="shared" si="622"/>
        <v>CONTA OPTICA</v>
      </c>
      <c r="J1221" t="str">
        <f>"ULTRA VIOLETA ACESSORIOS DE MODA LTDA EPP"</f>
        <v>ULTRA VIOLETA ACESSORIOS DE MODA LTDA EPP</v>
      </c>
      <c r="K1221" t="str">
        <f>"CHILLI BEANS (2146)"</f>
        <v>CHILLI BEANS (2146)</v>
      </c>
      <c r="L1221" t="str">
        <f>""</f>
        <v/>
      </c>
      <c r="M1221" t="str">
        <f>""</f>
        <v/>
      </c>
      <c r="N1221" t="str">
        <f>"mariane.mosena@chillisc.com.br"</f>
        <v>mariane.mosena@chillisc.com.br</v>
      </c>
      <c r="O1221" t="str">
        <f>""</f>
        <v/>
      </c>
      <c r="P1221" t="str">
        <f>"RUA MADRE BENVENUTA"</f>
        <v>RUA MADRE BENVENUTA</v>
      </c>
      <c r="Q1221" t="str">
        <f>"687"</f>
        <v>687</v>
      </c>
      <c r="R1221" t="str">
        <f>"LJ 324 IGUATEMI"</f>
        <v>LJ 324 IGUATEMI</v>
      </c>
      <c r="S1221" t="str">
        <f>"1257"</f>
        <v>1257</v>
      </c>
      <c r="T1221" t="str">
        <f>"88036500"</f>
        <v>88036500</v>
      </c>
      <c r="U1221" t="str">
        <f>"TRINDADE"</f>
        <v>TRINDADE</v>
      </c>
      <c r="V1221" t="str">
        <f>"FLORIANOPOLIS"</f>
        <v>FLORIANOPOLIS</v>
      </c>
      <c r="W1221" t="str">
        <f t="shared" si="608"/>
        <v>SC</v>
      </c>
      <c r="X1221" t="str">
        <f t="shared" si="627"/>
        <v>48</v>
      </c>
      <c r="Y1221" t="str">
        <f>"32262518"</f>
        <v>32262518</v>
      </c>
      <c r="Z1221" t="str">
        <f>""</f>
        <v/>
      </c>
      <c r="AA1221" t="str">
        <f>""</f>
        <v/>
      </c>
      <c r="AB1221" t="str">
        <f>""</f>
        <v/>
      </c>
      <c r="AC1221" t="str">
        <f>""</f>
        <v/>
      </c>
      <c r="AD1221" t="str">
        <f>""</f>
        <v/>
      </c>
      <c r="AE1221" t="str">
        <f>""</f>
        <v/>
      </c>
      <c r="AF1221" t="str">
        <f>""</f>
        <v/>
      </c>
      <c r="AG1221" t="str">
        <f>""</f>
        <v/>
      </c>
      <c r="AH1221" t="str">
        <f>""</f>
        <v/>
      </c>
      <c r="AI1221" t="str">
        <f>""</f>
        <v/>
      </c>
      <c r="AJ1221" t="str">
        <f>""</f>
        <v/>
      </c>
      <c r="AK1221" t="str">
        <f>""</f>
        <v/>
      </c>
      <c r="AL1221" t="str">
        <f>""</f>
        <v/>
      </c>
      <c r="AM1221" t="str">
        <f>""</f>
        <v/>
      </c>
      <c r="AN1221" t="str">
        <f>""</f>
        <v/>
      </c>
      <c r="AO1221" t="str">
        <f>""</f>
        <v/>
      </c>
      <c r="AP1221" t="str">
        <f>""</f>
        <v/>
      </c>
      <c r="AQ1221" t="str">
        <f>""</f>
        <v/>
      </c>
      <c r="AR1221" t="str">
        <f>""</f>
        <v/>
      </c>
      <c r="AS1221" t="str">
        <f>""</f>
        <v/>
      </c>
      <c r="AT1221" t="str">
        <f>""</f>
        <v/>
      </c>
      <c r="AU1221" t="str">
        <f>""</f>
        <v/>
      </c>
      <c r="AV1221" t="str">
        <f>""</f>
        <v/>
      </c>
      <c r="AW1221" t="str">
        <f>""</f>
        <v/>
      </c>
      <c r="AX1221" t="str">
        <f>""</f>
        <v/>
      </c>
      <c r="AY1221" t="str">
        <f>""</f>
        <v/>
      </c>
      <c r="AZ1221" t="str">
        <f>""</f>
        <v/>
      </c>
      <c r="BA1221" t="str">
        <f>""</f>
        <v/>
      </c>
      <c r="BB1221" t="str">
        <f>""</f>
        <v/>
      </c>
      <c r="BC1221" t="str">
        <f>""</f>
        <v/>
      </c>
      <c r="BD1221" t="str">
        <f>""</f>
        <v/>
      </c>
      <c r="BE1221" t="str">
        <f>""</f>
        <v/>
      </c>
      <c r="BF1221" t="str">
        <f t="shared" si="624"/>
        <v>A</v>
      </c>
      <c r="BG1221" t="str">
        <f>""</f>
        <v/>
      </c>
      <c r="BH1221" t="str">
        <f>""</f>
        <v/>
      </c>
      <c r="BI1221" t="str">
        <f t="shared" si="603"/>
        <v>EVENTUAL</v>
      </c>
      <c r="BJ1221" t="str">
        <f t="shared" si="625"/>
        <v>1</v>
      </c>
      <c r="BK1221" t="str">
        <f t="shared" si="626"/>
        <v>Farmacia</v>
      </c>
      <c r="BL1221" t="str">
        <f>""</f>
        <v/>
      </c>
      <c r="BM1221" t="str">
        <f>"NÃO É VARILUX ESPECIALISTA"</f>
        <v>NÃO É VARILUX ESPECIALISTA</v>
      </c>
      <c r="BN1221" t="str">
        <f>"NA"</f>
        <v>NA</v>
      </c>
      <c r="BO1221" t="str">
        <f>"FOCO KODAK 2"</f>
        <v>FOCO KODAK 2</v>
      </c>
      <c r="BP1221" t="str">
        <f>""</f>
        <v/>
      </c>
      <c r="BQ1221" t="str">
        <f>""</f>
        <v/>
      </c>
      <c r="BR1221" t="str">
        <f>""</f>
        <v/>
      </c>
      <c r="BS1221" t="str">
        <f>""</f>
        <v/>
      </c>
      <c r="BT1221" t="str">
        <f>""</f>
        <v/>
      </c>
      <c r="BU1221" t="str">
        <f>""</f>
        <v/>
      </c>
      <c r="BV1221" t="str">
        <f>"1"</f>
        <v>1</v>
      </c>
      <c r="BW1221" t="str">
        <f>"Não visitado"</f>
        <v>Não visitado</v>
      </c>
    </row>
    <row r="1222" spans="1:75" x14ac:dyDescent="0.35">
      <c r="A1222">
        <v>156873</v>
      </c>
      <c r="B1222" t="str">
        <f t="shared" si="620"/>
        <v>A</v>
      </c>
      <c r="C1222" t="str">
        <f t="shared" si="621"/>
        <v>80</v>
      </c>
      <c r="D1222" t="str">
        <f t="shared" si="611"/>
        <v>11121002</v>
      </c>
      <c r="E1222" t="str">
        <f t="shared" si="612"/>
        <v>121002</v>
      </c>
      <c r="F1222" t="str">
        <f t="shared" si="613"/>
        <v>CINTHIA NORONHA</v>
      </c>
      <c r="G1222" t="str">
        <f>"46661296000192"</f>
        <v>46661296000192</v>
      </c>
      <c r="H1222" t="str">
        <f>"0"</f>
        <v>0</v>
      </c>
      <c r="I1222" t="str">
        <f t="shared" si="622"/>
        <v>CONTA OPTICA</v>
      </c>
      <c r="J1222" t="str">
        <f>"VA FREITAS LTDA"</f>
        <v>VA FREITAS LTDA</v>
      </c>
      <c r="K1222" t="str">
        <f>"VA FREITAS LTDA (4548)"</f>
        <v>VA FREITAS LTDA (4548)</v>
      </c>
      <c r="L1222" t="str">
        <f>""</f>
        <v/>
      </c>
      <c r="M1222" t="str">
        <f>""</f>
        <v/>
      </c>
      <c r="N1222" t="str">
        <f>"VANESSA.PHO@HOTMAIL.COM"</f>
        <v>VANESSA.PHO@HOTMAIL.COM</v>
      </c>
      <c r="O1222" t="str">
        <f>""</f>
        <v/>
      </c>
      <c r="P1222" t="str">
        <f>"RUA PREFEITO REINOLDO ALVES"</f>
        <v>RUA PREFEITO REINOLDO ALVES</v>
      </c>
      <c r="Q1222" t="str">
        <f>"41"</f>
        <v>41</v>
      </c>
      <c r="R1222" t="str">
        <f>"SALA 24"</f>
        <v>SALA 24</v>
      </c>
      <c r="S1222" t="str">
        <f>""</f>
        <v/>
      </c>
      <c r="T1222" t="str">
        <f>"88132000"</f>
        <v>88132000</v>
      </c>
      <c r="U1222" t="str">
        <f>"PASSA VINTE"</f>
        <v>PASSA VINTE</v>
      </c>
      <c r="V1222" t="str">
        <f>"PALHOCA"</f>
        <v>PALHOCA</v>
      </c>
      <c r="W1222" t="str">
        <f t="shared" si="608"/>
        <v>SC</v>
      </c>
      <c r="X1222" t="str">
        <f t="shared" si="627"/>
        <v>48</v>
      </c>
      <c r="Y1222" t="str">
        <f>"30864455"</f>
        <v>30864455</v>
      </c>
      <c r="Z1222" t="str">
        <f>""</f>
        <v/>
      </c>
      <c r="AA1222" t="str">
        <f>""</f>
        <v/>
      </c>
      <c r="AB1222" t="str">
        <f>""</f>
        <v/>
      </c>
      <c r="AC1222" t="str">
        <f>""</f>
        <v/>
      </c>
      <c r="AD1222" t="str">
        <f>""</f>
        <v/>
      </c>
      <c r="AE1222" t="str">
        <f>""</f>
        <v/>
      </c>
      <c r="AF1222" t="str">
        <f>""</f>
        <v/>
      </c>
      <c r="AG1222" t="str">
        <f>""</f>
        <v/>
      </c>
      <c r="AH1222" t="str">
        <f>""</f>
        <v/>
      </c>
      <c r="AI1222" t="str">
        <f>""</f>
        <v/>
      </c>
      <c r="AJ1222" t="str">
        <f>""</f>
        <v/>
      </c>
      <c r="AK1222" t="str">
        <f>""</f>
        <v/>
      </c>
      <c r="AL1222" t="str">
        <f>""</f>
        <v/>
      </c>
      <c r="AM1222" t="str">
        <f>""</f>
        <v/>
      </c>
      <c r="AN1222" t="str">
        <f>""</f>
        <v/>
      </c>
      <c r="AO1222" t="str">
        <f>""</f>
        <v/>
      </c>
      <c r="AP1222" t="str">
        <f>""</f>
        <v/>
      </c>
      <c r="AQ1222" t="str">
        <f>""</f>
        <v/>
      </c>
      <c r="AR1222" t="str">
        <f>""</f>
        <v/>
      </c>
      <c r="AS1222" t="str">
        <f>""</f>
        <v/>
      </c>
      <c r="AT1222" t="str">
        <f>""</f>
        <v/>
      </c>
      <c r="AU1222" t="str">
        <f>""</f>
        <v/>
      </c>
      <c r="AV1222" t="str">
        <f>""</f>
        <v/>
      </c>
      <c r="AW1222" t="str">
        <f>""</f>
        <v/>
      </c>
      <c r="AX1222" t="str">
        <f>""</f>
        <v/>
      </c>
      <c r="AY1222" t="str">
        <f>""</f>
        <v/>
      </c>
      <c r="AZ1222" t="str">
        <f>""</f>
        <v/>
      </c>
      <c r="BA1222" t="str">
        <f>""</f>
        <v/>
      </c>
      <c r="BB1222" t="str">
        <f>"06/07/2023 12:07:48"</f>
        <v>06/07/2023 12:07:48</v>
      </c>
      <c r="BC1222" t="str">
        <f>""</f>
        <v/>
      </c>
      <c r="BD1222" t="str">
        <f>""</f>
        <v/>
      </c>
      <c r="BE1222" t="str">
        <f>""</f>
        <v/>
      </c>
      <c r="BF1222" t="str">
        <f t="shared" si="624"/>
        <v>A</v>
      </c>
      <c r="BG1222" t="str">
        <f>""</f>
        <v/>
      </c>
      <c r="BH1222" t="str">
        <f>""</f>
        <v/>
      </c>
      <c r="BI1222" t="str">
        <f t="shared" si="603"/>
        <v>EVENTUAL</v>
      </c>
      <c r="BJ1222" t="str">
        <f t="shared" si="625"/>
        <v>1</v>
      </c>
      <c r="BK1222" t="str">
        <f t="shared" si="626"/>
        <v>Farmacia</v>
      </c>
      <c r="BL1222" t="str">
        <f>""</f>
        <v/>
      </c>
      <c r="BM1222" t="str">
        <f>""</f>
        <v/>
      </c>
      <c r="BN1222" t="str">
        <f>""</f>
        <v/>
      </c>
      <c r="BO1222" t="str">
        <f>""</f>
        <v/>
      </c>
      <c r="BP1222" t="str">
        <f>""</f>
        <v/>
      </c>
      <c r="BQ1222" t="str">
        <f>""</f>
        <v/>
      </c>
      <c r="BR1222" t="str">
        <f>"06/07/2023"</f>
        <v>06/07/2023</v>
      </c>
      <c r="BS1222" t="str">
        <f>""</f>
        <v/>
      </c>
      <c r="BT1222" t="str">
        <f>""</f>
        <v/>
      </c>
      <c r="BU1222" t="str">
        <f>""</f>
        <v/>
      </c>
      <c r="BV1222" t="str">
        <f>""</f>
        <v/>
      </c>
      <c r="BW1222" t="str">
        <f>"Não visitado"</f>
        <v>Não visitado</v>
      </c>
    </row>
    <row r="1223" spans="1:75" x14ac:dyDescent="0.35">
      <c r="A1223">
        <v>134284</v>
      </c>
      <c r="B1223" t="str">
        <f t="shared" si="620"/>
        <v>A</v>
      </c>
      <c r="C1223" t="str">
        <f t="shared" si="621"/>
        <v>80</v>
      </c>
      <c r="D1223" t="str">
        <f t="shared" si="611"/>
        <v>11121002</v>
      </c>
      <c r="E1223" t="str">
        <f t="shared" si="612"/>
        <v>121002</v>
      </c>
      <c r="F1223" t="str">
        <f t="shared" si="613"/>
        <v>CINTHIA NORONHA</v>
      </c>
      <c r="G1223" t="str">
        <f>"81793283000178"</f>
        <v>81793283000178</v>
      </c>
      <c r="H1223" t="str">
        <f>""</f>
        <v/>
      </c>
      <c r="I1223" t="str">
        <f t="shared" si="622"/>
        <v>CONTA OPTICA</v>
      </c>
      <c r="J1223" t="str">
        <f>"VALDIR CACHOEIRA RODRIGUES ME"</f>
        <v>VALDIR CACHOEIRA RODRIGUES ME</v>
      </c>
      <c r="K1223" t="str">
        <f>"RELOJOARIA TIC TAC (651)"</f>
        <v>RELOJOARIA TIC TAC (651)</v>
      </c>
      <c r="L1223" t="str">
        <f>""</f>
        <v/>
      </c>
      <c r="M1223" t="str">
        <f>""</f>
        <v/>
      </c>
      <c r="N1223" t="str">
        <f>"relojoaria_eoticatictac@hotmail.com"</f>
        <v>relojoaria_eoticatictac@hotmail.com</v>
      </c>
      <c r="O1223" t="str">
        <f>""</f>
        <v/>
      </c>
      <c r="P1223" t="str">
        <f>"RUA GETÚLIO VARGAS"</f>
        <v>RUA GETÚLIO VARGAS</v>
      </c>
      <c r="Q1223" t="str">
        <f>"74"</f>
        <v>74</v>
      </c>
      <c r="R1223" t="str">
        <f>"SALA 01"</f>
        <v>SALA 01</v>
      </c>
      <c r="S1223" t="str">
        <f>"1259"</f>
        <v>1259</v>
      </c>
      <c r="T1223" t="str">
        <f>"88160128"</f>
        <v>88160128</v>
      </c>
      <c r="U1223" t="str">
        <f>"CENTRO"</f>
        <v>CENTRO</v>
      </c>
      <c r="V1223" t="str">
        <f>"BIGUAÇU"</f>
        <v>BIGUAÇU</v>
      </c>
      <c r="W1223" t="str">
        <f t="shared" si="608"/>
        <v>SC</v>
      </c>
      <c r="X1223" t="str">
        <f t="shared" si="627"/>
        <v>48</v>
      </c>
      <c r="Y1223" t="str">
        <f>"32432483"</f>
        <v>32432483</v>
      </c>
      <c r="Z1223" t="str">
        <f>""</f>
        <v/>
      </c>
      <c r="AA1223" t="str">
        <f>""</f>
        <v/>
      </c>
      <c r="AB1223" t="str">
        <f>""</f>
        <v/>
      </c>
      <c r="AC1223" t="str">
        <f>""</f>
        <v/>
      </c>
      <c r="AD1223" t="str">
        <f>""</f>
        <v/>
      </c>
      <c r="AE1223" t="str">
        <f>""</f>
        <v/>
      </c>
      <c r="AF1223" t="str">
        <f>""</f>
        <v/>
      </c>
      <c r="AG1223" t="str">
        <f>"S"</f>
        <v>S</v>
      </c>
      <c r="AH1223" t="str">
        <f>""</f>
        <v/>
      </c>
      <c r="AI1223" t="str">
        <f>""</f>
        <v/>
      </c>
      <c r="AJ1223" t="str">
        <f t="shared" ref="AJ1223:AL1224" si="628">"0"</f>
        <v>0</v>
      </c>
      <c r="AK1223" t="str">
        <f t="shared" si="628"/>
        <v>0</v>
      </c>
      <c r="AL1223" t="str">
        <f t="shared" si="628"/>
        <v>0</v>
      </c>
      <c r="AM1223" t="str">
        <f>""</f>
        <v/>
      </c>
      <c r="AN1223" t="str">
        <f>""</f>
        <v/>
      </c>
      <c r="AO1223" t="str">
        <f>""</f>
        <v/>
      </c>
      <c r="AP1223" t="str">
        <f>""</f>
        <v/>
      </c>
      <c r="AQ1223" t="str">
        <f>"N"</f>
        <v>N</v>
      </c>
      <c r="AR1223" t="str">
        <f>"N"</f>
        <v>N</v>
      </c>
      <c r="AS1223" t="str">
        <f>"N"</f>
        <v>N</v>
      </c>
      <c r="AT1223" t="str">
        <f>"N"</f>
        <v>N</v>
      </c>
      <c r="AU1223" t="str">
        <f>"N"</f>
        <v>N</v>
      </c>
      <c r="AV1223" t="str">
        <f>""</f>
        <v/>
      </c>
      <c r="AW1223" t="str">
        <f>""</f>
        <v/>
      </c>
      <c r="AX1223" t="str">
        <f>""</f>
        <v/>
      </c>
      <c r="AY1223" t="str">
        <f>""</f>
        <v/>
      </c>
      <c r="AZ1223" t="str">
        <f>""</f>
        <v/>
      </c>
      <c r="BA1223" t="str">
        <f>""</f>
        <v/>
      </c>
      <c r="BB1223" t="str">
        <f>""</f>
        <v/>
      </c>
      <c r="BC1223" t="str">
        <f>"03/05/2022 11:14:24"</f>
        <v>03/05/2022 11:14:24</v>
      </c>
      <c r="BD1223" t="str">
        <f>""</f>
        <v/>
      </c>
      <c r="BE1223" t="str">
        <f>""</f>
        <v/>
      </c>
      <c r="BF1223" t="str">
        <f t="shared" si="624"/>
        <v>A</v>
      </c>
      <c r="BG1223" t="str">
        <f>"0,00"</f>
        <v>0,00</v>
      </c>
      <c r="BH1223" t="str">
        <f>"0,00"</f>
        <v>0,00</v>
      </c>
      <c r="BI1223" t="str">
        <f t="shared" si="603"/>
        <v>EVENTUAL</v>
      </c>
      <c r="BJ1223" t="str">
        <f t="shared" si="625"/>
        <v>1</v>
      </c>
      <c r="BK1223" t="str">
        <f t="shared" si="626"/>
        <v>Farmacia</v>
      </c>
      <c r="BL1223" t="str">
        <f>""</f>
        <v/>
      </c>
      <c r="BM1223" t="str">
        <f>"NÃO É VARILUX ESPECIALISTA"</f>
        <v>NÃO É VARILUX ESPECIALISTA</v>
      </c>
      <c r="BN1223" t="str">
        <f>"NA"</f>
        <v>NA</v>
      </c>
      <c r="BO1223" t="str">
        <f>"FOCO VARILUX"</f>
        <v>FOCO VARILUX</v>
      </c>
      <c r="BP1223" t="str">
        <f>""</f>
        <v/>
      </c>
      <c r="BQ1223" t="str">
        <f>""</f>
        <v/>
      </c>
      <c r="BR1223" t="str">
        <f>""</f>
        <v/>
      </c>
      <c r="BS1223" t="str">
        <f>"03/05/2022"</f>
        <v>03/05/2022</v>
      </c>
      <c r="BT1223" t="str">
        <f>""</f>
        <v/>
      </c>
      <c r="BU1223" t="str">
        <f>""</f>
        <v/>
      </c>
      <c r="BV1223" t="str">
        <f>"4"</f>
        <v>4</v>
      </c>
      <c r="BW1223" t="str">
        <f>"2"</f>
        <v>2</v>
      </c>
    </row>
    <row r="1224" spans="1:75" x14ac:dyDescent="0.35">
      <c r="A1224">
        <v>144342</v>
      </c>
      <c r="B1224" t="str">
        <f t="shared" si="620"/>
        <v>A</v>
      </c>
      <c r="C1224" t="str">
        <f t="shared" si="621"/>
        <v>80</v>
      </c>
      <c r="D1224" t="str">
        <f t="shared" si="611"/>
        <v>11121002</v>
      </c>
      <c r="E1224" t="str">
        <f t="shared" si="612"/>
        <v>121002</v>
      </c>
      <c r="F1224" t="str">
        <f t="shared" si="613"/>
        <v>CINTHIA NORONHA</v>
      </c>
      <c r="G1224" t="str">
        <f>"19926775000110"</f>
        <v>19926775000110</v>
      </c>
      <c r="H1224" t="str">
        <f>""</f>
        <v/>
      </c>
      <c r="I1224" t="str">
        <f t="shared" si="622"/>
        <v>CONTA OPTICA</v>
      </c>
      <c r="J1224" t="str">
        <f>"VALQUIRIA SILVA DE AVIZ ME"</f>
        <v>VALQUIRIA SILVA DE AVIZ ME</v>
      </c>
      <c r="K1224" t="str">
        <f>"VALQUIRIA SILVA DE AVIZ ME (2090)"</f>
        <v>VALQUIRIA SILVA DE AVIZ ME (2090)</v>
      </c>
      <c r="L1224" t="str">
        <f>""</f>
        <v/>
      </c>
      <c r="M1224" t="str">
        <f>""</f>
        <v/>
      </c>
      <c r="N1224" t="str">
        <f>"valmor.otica@gmail.com"</f>
        <v>valmor.otica@gmail.com</v>
      </c>
      <c r="O1224" t="str">
        <f>""</f>
        <v/>
      </c>
      <c r="P1224" t="str">
        <f>"RUA IRINEU BORNHAUSEN"</f>
        <v>RUA IRINEU BORNHAUSEN</v>
      </c>
      <c r="Q1224" t="str">
        <f>"648"</f>
        <v>648</v>
      </c>
      <c r="R1224" t="str">
        <f>""</f>
        <v/>
      </c>
      <c r="S1224" t="str">
        <f>"1268"</f>
        <v>1268</v>
      </c>
      <c r="T1224" t="str">
        <f>"88780000"</f>
        <v>88780000</v>
      </c>
      <c r="U1224" t="str">
        <f>"CENTRO"</f>
        <v>CENTRO</v>
      </c>
      <c r="V1224" t="str">
        <f>"IMBITUBA"</f>
        <v>IMBITUBA</v>
      </c>
      <c r="W1224" t="str">
        <f t="shared" si="608"/>
        <v>SC</v>
      </c>
      <c r="X1224" t="str">
        <f t="shared" si="627"/>
        <v>48</v>
      </c>
      <c r="Y1224" t="str">
        <f>"32551999"</f>
        <v>32551999</v>
      </c>
      <c r="Z1224" t="str">
        <f>""</f>
        <v/>
      </c>
      <c r="AA1224" t="str">
        <f>""</f>
        <v/>
      </c>
      <c r="AB1224" t="str">
        <f>""</f>
        <v/>
      </c>
      <c r="AC1224" t="str">
        <f>""</f>
        <v/>
      </c>
      <c r="AD1224" t="str">
        <f>""</f>
        <v/>
      </c>
      <c r="AE1224" t="str">
        <f>""</f>
        <v/>
      </c>
      <c r="AF1224" t="str">
        <f>""</f>
        <v/>
      </c>
      <c r="AG1224" t="str">
        <f>""</f>
        <v/>
      </c>
      <c r="AH1224" t="str">
        <f>""</f>
        <v/>
      </c>
      <c r="AI1224" t="str">
        <f>""</f>
        <v/>
      </c>
      <c r="AJ1224" t="str">
        <f t="shared" si="628"/>
        <v>0</v>
      </c>
      <c r="AK1224" t="str">
        <f t="shared" si="628"/>
        <v>0</v>
      </c>
      <c r="AL1224" t="str">
        <f t="shared" si="628"/>
        <v>0</v>
      </c>
      <c r="AM1224" t="str">
        <f>""</f>
        <v/>
      </c>
      <c r="AN1224" t="str">
        <f>""</f>
        <v/>
      </c>
      <c r="AO1224" t="str">
        <f>""</f>
        <v/>
      </c>
      <c r="AP1224" t="str">
        <f>""</f>
        <v/>
      </c>
      <c r="AQ1224" t="str">
        <f>""</f>
        <v/>
      </c>
      <c r="AR1224" t="str">
        <f>""</f>
        <v/>
      </c>
      <c r="AS1224" t="str">
        <f>""</f>
        <v/>
      </c>
      <c r="AT1224" t="str">
        <f>""</f>
        <v/>
      </c>
      <c r="AU1224" t="str">
        <f>""</f>
        <v/>
      </c>
      <c r="AV1224" t="str">
        <f>""</f>
        <v/>
      </c>
      <c r="AW1224" t="str">
        <f>""</f>
        <v/>
      </c>
      <c r="AX1224" t="str">
        <f>""</f>
        <v/>
      </c>
      <c r="AY1224" t="str">
        <f>""</f>
        <v/>
      </c>
      <c r="AZ1224" t="str">
        <f>""</f>
        <v/>
      </c>
      <c r="BA1224" t="str">
        <f>""</f>
        <v/>
      </c>
      <c r="BB1224" t="str">
        <f>""</f>
        <v/>
      </c>
      <c r="BC1224" t="str">
        <f>""</f>
        <v/>
      </c>
      <c r="BD1224" t="str">
        <f>""</f>
        <v/>
      </c>
      <c r="BE1224" t="str">
        <f>""</f>
        <v/>
      </c>
      <c r="BF1224" t="str">
        <f t="shared" si="624"/>
        <v>A</v>
      </c>
      <c r="BG1224" t="str">
        <f>"0,00"</f>
        <v>0,00</v>
      </c>
      <c r="BH1224" t="str">
        <f>"0,00"</f>
        <v>0,00</v>
      </c>
      <c r="BI1224" t="str">
        <f t="shared" si="603"/>
        <v>EVENTUAL</v>
      </c>
      <c r="BJ1224" t="str">
        <f t="shared" si="625"/>
        <v>1</v>
      </c>
      <c r="BK1224" t="str">
        <f t="shared" si="626"/>
        <v>Farmacia</v>
      </c>
      <c r="BL1224" t="str">
        <f>""</f>
        <v/>
      </c>
      <c r="BM1224" t="str">
        <f>"VARILUX ESPECIALISTA SELECT"</f>
        <v>VARILUX ESPECIALISTA SELECT</v>
      </c>
      <c r="BN1224" t="str">
        <f>"NA"</f>
        <v>NA</v>
      </c>
      <c r="BO1224" t="str">
        <f>"FOCO VARILUX DIGITAL"</f>
        <v>FOCO VARILUX DIGITAL</v>
      </c>
      <c r="BP1224" t="str">
        <f>""</f>
        <v/>
      </c>
      <c r="BQ1224" t="str">
        <f>""</f>
        <v/>
      </c>
      <c r="BR1224" t="str">
        <f>""</f>
        <v/>
      </c>
      <c r="BS1224" t="str">
        <f>""</f>
        <v/>
      </c>
      <c r="BT1224" t="str">
        <f>""</f>
        <v/>
      </c>
      <c r="BU1224" t="str">
        <f>""</f>
        <v/>
      </c>
      <c r="BV1224" t="str">
        <f>"1"</f>
        <v>1</v>
      </c>
      <c r="BW1224" t="str">
        <f>"16"</f>
        <v>16</v>
      </c>
    </row>
    <row r="1225" spans="1:75" x14ac:dyDescent="0.35">
      <c r="A1225">
        <v>144837</v>
      </c>
      <c r="B1225" t="str">
        <f t="shared" si="620"/>
        <v>A</v>
      </c>
      <c r="C1225" t="str">
        <f t="shared" si="621"/>
        <v>80</v>
      </c>
      <c r="D1225" t="str">
        <f t="shared" si="611"/>
        <v>11121002</v>
      </c>
      <c r="E1225" t="str">
        <f t="shared" si="612"/>
        <v>121002</v>
      </c>
      <c r="F1225" t="str">
        <f t="shared" si="613"/>
        <v>CINTHIA NORONHA</v>
      </c>
      <c r="G1225" t="str">
        <f>"43213894000100"</f>
        <v>43213894000100</v>
      </c>
      <c r="H1225" t="str">
        <f>""</f>
        <v/>
      </c>
      <c r="I1225" t="str">
        <f t="shared" si="622"/>
        <v>CONTA OPTICA</v>
      </c>
      <c r="J1225" t="str">
        <f>"VANDERLEA HENRIQUE OTICA LTDA"</f>
        <v>VANDERLEA HENRIQUE OTICA LTDA</v>
      </c>
      <c r="K1225" t="str">
        <f>"OTICA DINIZ (4390)"</f>
        <v>OTICA DINIZ (4390)</v>
      </c>
      <c r="L1225" t="str">
        <f>""</f>
        <v/>
      </c>
      <c r="M1225" t="str">
        <f>""</f>
        <v/>
      </c>
      <c r="N1225" t="str">
        <f>"VANDERLEA.NETO@OUTLOOK.COM"</f>
        <v>VANDERLEA.NETO@OUTLOOK.COM</v>
      </c>
      <c r="O1225" t="str">
        <f>""</f>
        <v/>
      </c>
      <c r="P1225" t="str">
        <f>"AVENIDA MARCOLINO MARTINS CABRAL"</f>
        <v>AVENIDA MARCOLINO MARTINS CABRAL</v>
      </c>
      <c r="Q1225" t="str">
        <f>"1001"</f>
        <v>1001</v>
      </c>
      <c r="R1225" t="str">
        <f>"SALA 2"</f>
        <v>SALA 2</v>
      </c>
      <c r="S1225" t="str">
        <f>"1268"</f>
        <v>1268</v>
      </c>
      <c r="T1225" t="str">
        <f>"88701001"</f>
        <v>88701001</v>
      </c>
      <c r="U1225" t="str">
        <f>"CENTRO"</f>
        <v>CENTRO</v>
      </c>
      <c r="V1225" t="str">
        <f>"TUBARAO"</f>
        <v>TUBARAO</v>
      </c>
      <c r="W1225" t="str">
        <f t="shared" si="608"/>
        <v>SC</v>
      </c>
      <c r="X1225" t="str">
        <f t="shared" si="627"/>
        <v>48</v>
      </c>
      <c r="Y1225" t="str">
        <f>"991092812"</f>
        <v>991092812</v>
      </c>
      <c r="Z1225" t="str">
        <f>""</f>
        <v/>
      </c>
      <c r="AA1225" t="str">
        <f>""</f>
        <v/>
      </c>
      <c r="AB1225" t="str">
        <f>""</f>
        <v/>
      </c>
      <c r="AC1225" t="str">
        <f>""</f>
        <v/>
      </c>
      <c r="AD1225" t="str">
        <f>""</f>
        <v/>
      </c>
      <c r="AE1225" t="str">
        <f>""</f>
        <v/>
      </c>
      <c r="AF1225" t="str">
        <f>""</f>
        <v/>
      </c>
      <c r="AG1225" t="str">
        <f>""</f>
        <v/>
      </c>
      <c r="AH1225" t="str">
        <f>""</f>
        <v/>
      </c>
      <c r="AI1225" t="str">
        <f>""</f>
        <v/>
      </c>
      <c r="AJ1225" t="str">
        <f>""</f>
        <v/>
      </c>
      <c r="AK1225" t="str">
        <f>""</f>
        <v/>
      </c>
      <c r="AL1225" t="str">
        <f>""</f>
        <v/>
      </c>
      <c r="AM1225" t="str">
        <f>""</f>
        <v/>
      </c>
      <c r="AN1225" t="str">
        <f>""</f>
        <v/>
      </c>
      <c r="AO1225" t="str">
        <f>""</f>
        <v/>
      </c>
      <c r="AP1225" t="str">
        <f>""</f>
        <v/>
      </c>
      <c r="AQ1225" t="str">
        <f>""</f>
        <v/>
      </c>
      <c r="AR1225" t="str">
        <f>""</f>
        <v/>
      </c>
      <c r="AS1225" t="str">
        <f>""</f>
        <v/>
      </c>
      <c r="AT1225" t="str">
        <f>""</f>
        <v/>
      </c>
      <c r="AU1225" t="str">
        <f>""</f>
        <v/>
      </c>
      <c r="AV1225" t="str">
        <f>""</f>
        <v/>
      </c>
      <c r="AW1225" t="str">
        <f>""</f>
        <v/>
      </c>
      <c r="AX1225" t="str">
        <f>""</f>
        <v/>
      </c>
      <c r="AY1225" t="str">
        <f>""</f>
        <v/>
      </c>
      <c r="AZ1225" t="str">
        <f>""</f>
        <v/>
      </c>
      <c r="BA1225" t="str">
        <f>""</f>
        <v/>
      </c>
      <c r="BB1225" t="str">
        <f>""</f>
        <v/>
      </c>
      <c r="BC1225" t="str">
        <f>""</f>
        <v/>
      </c>
      <c r="BD1225" t="str">
        <f>""</f>
        <v/>
      </c>
      <c r="BE1225" t="str">
        <f>""</f>
        <v/>
      </c>
      <c r="BF1225" t="str">
        <f t="shared" si="624"/>
        <v>A</v>
      </c>
      <c r="BG1225" t="str">
        <f>""</f>
        <v/>
      </c>
      <c r="BH1225" t="str">
        <f>""</f>
        <v/>
      </c>
      <c r="BI1225" t="str">
        <f t="shared" si="603"/>
        <v>EVENTUAL</v>
      </c>
      <c r="BJ1225" t="str">
        <f t="shared" si="625"/>
        <v>1</v>
      </c>
      <c r="BK1225" t="str">
        <f t="shared" si="626"/>
        <v>Farmacia</v>
      </c>
      <c r="BL1225" t="str">
        <f>""</f>
        <v/>
      </c>
      <c r="BM1225" t="str">
        <f>""</f>
        <v/>
      </c>
      <c r="BN1225" t="str">
        <f>""</f>
        <v/>
      </c>
      <c r="BO1225" t="str">
        <f>"FOCO VARILUX"</f>
        <v>FOCO VARILUX</v>
      </c>
      <c r="BP1225" t="str">
        <f>""</f>
        <v/>
      </c>
      <c r="BQ1225" t="str">
        <f>""</f>
        <v/>
      </c>
      <c r="BR1225" t="str">
        <f>""</f>
        <v/>
      </c>
      <c r="BS1225" t="str">
        <f>""</f>
        <v/>
      </c>
      <c r="BT1225" t="str">
        <f>""</f>
        <v/>
      </c>
      <c r="BU1225" t="str">
        <f>""</f>
        <v/>
      </c>
      <c r="BV1225" t="str">
        <f>""</f>
        <v/>
      </c>
      <c r="BW1225" t="str">
        <f>"88"</f>
        <v>88</v>
      </c>
    </row>
    <row r="1226" spans="1:75" x14ac:dyDescent="0.35">
      <c r="A1226">
        <v>157609</v>
      </c>
      <c r="B1226" t="str">
        <f t="shared" si="620"/>
        <v>A</v>
      </c>
      <c r="C1226" t="str">
        <f t="shared" si="621"/>
        <v>80</v>
      </c>
      <c r="D1226" t="str">
        <f t="shared" si="611"/>
        <v>11121002</v>
      </c>
      <c r="E1226" t="str">
        <f t="shared" si="612"/>
        <v>121002</v>
      </c>
      <c r="F1226" t="str">
        <f t="shared" si="613"/>
        <v>CINTHIA NORONHA</v>
      </c>
      <c r="G1226" t="str">
        <f>"12195923000125"</f>
        <v>12195923000125</v>
      </c>
      <c r="H1226" t="str">
        <f>"0"</f>
        <v>0</v>
      </c>
      <c r="I1226" t="str">
        <f t="shared" si="622"/>
        <v>CONTA OPTICA</v>
      </c>
      <c r="J1226" t="str">
        <f>"VANESSA COLISSI 00334768020"</f>
        <v>VANESSA COLISSI 00334768020</v>
      </c>
      <c r="K1226" t="str">
        <f>"CHAMALIZ (4123)"</f>
        <v>CHAMALIZ (4123)</v>
      </c>
      <c r="L1226" t="str">
        <f>""</f>
        <v/>
      </c>
      <c r="M1226" t="str">
        <f>""</f>
        <v/>
      </c>
      <c r="N1226" t="str">
        <f>"LIZ.POLLY@GMAIL.COM"</f>
        <v>LIZ.POLLY@GMAIL.COM</v>
      </c>
      <c r="O1226" t="str">
        <f>""</f>
        <v/>
      </c>
      <c r="P1226" t="str">
        <f>"PAULO ROBERTO VIDAL"</f>
        <v>PAULO ROBERTO VIDAL</v>
      </c>
      <c r="Q1226" t="str">
        <f>"1455"</f>
        <v>1455</v>
      </c>
      <c r="R1226" t="str">
        <f>"COND CASA"</f>
        <v>COND CASA</v>
      </c>
      <c r="S1226" t="str">
        <f>""</f>
        <v/>
      </c>
      <c r="T1226" t="str">
        <f>"88132559"</f>
        <v>88132559</v>
      </c>
      <c r="U1226" t="str">
        <f>"BELA VISTA"</f>
        <v>BELA VISTA</v>
      </c>
      <c r="V1226" t="str">
        <f>"PALHOCA"</f>
        <v>PALHOCA</v>
      </c>
      <c r="W1226" t="str">
        <f t="shared" si="608"/>
        <v>SC</v>
      </c>
      <c r="X1226" t="str">
        <f t="shared" si="627"/>
        <v>48</v>
      </c>
      <c r="Y1226" t="str">
        <f>"998582109"</f>
        <v>998582109</v>
      </c>
      <c r="Z1226" t="str">
        <f>""</f>
        <v/>
      </c>
      <c r="AA1226" t="str">
        <f>""</f>
        <v/>
      </c>
      <c r="AB1226" t="str">
        <f>""</f>
        <v/>
      </c>
      <c r="AC1226" t="str">
        <f>""</f>
        <v/>
      </c>
      <c r="AD1226" t="str">
        <f>""</f>
        <v/>
      </c>
      <c r="AE1226" t="str">
        <f>""</f>
        <v/>
      </c>
      <c r="AF1226" t="str">
        <f>""</f>
        <v/>
      </c>
      <c r="AG1226" t="str">
        <f>""</f>
        <v/>
      </c>
      <c r="AH1226" t="str">
        <f>""</f>
        <v/>
      </c>
      <c r="AI1226" t="str">
        <f>""</f>
        <v/>
      </c>
      <c r="AJ1226" t="str">
        <f>""</f>
        <v/>
      </c>
      <c r="AK1226" t="str">
        <f>""</f>
        <v/>
      </c>
      <c r="AL1226" t="str">
        <f>""</f>
        <v/>
      </c>
      <c r="AM1226" t="str">
        <f>""</f>
        <v/>
      </c>
      <c r="AN1226" t="str">
        <f>""</f>
        <v/>
      </c>
      <c r="AO1226" t="str">
        <f>""</f>
        <v/>
      </c>
      <c r="AP1226" t="str">
        <f>""</f>
        <v/>
      </c>
      <c r="AQ1226" t="str">
        <f>""</f>
        <v/>
      </c>
      <c r="AR1226" t="str">
        <f>""</f>
        <v/>
      </c>
      <c r="AS1226" t="str">
        <f>""</f>
        <v/>
      </c>
      <c r="AT1226" t="str">
        <f>""</f>
        <v/>
      </c>
      <c r="AU1226" t="str">
        <f>""</f>
        <v/>
      </c>
      <c r="AV1226" t="str">
        <f>""</f>
        <v/>
      </c>
      <c r="AW1226" t="str">
        <f>""</f>
        <v/>
      </c>
      <c r="AX1226" t="str">
        <f>""</f>
        <v/>
      </c>
      <c r="AY1226" t="str">
        <f>""</f>
        <v/>
      </c>
      <c r="AZ1226" t="str">
        <f>""</f>
        <v/>
      </c>
      <c r="BA1226" t="str">
        <f>""</f>
        <v/>
      </c>
      <c r="BB1226" t="str">
        <f>"11/07/2023 02:19:56"</f>
        <v>11/07/2023 02:19:56</v>
      </c>
      <c r="BC1226" t="str">
        <f>""</f>
        <v/>
      </c>
      <c r="BD1226" t="str">
        <f>""</f>
        <v/>
      </c>
      <c r="BE1226" t="str">
        <f>""</f>
        <v/>
      </c>
      <c r="BF1226" t="str">
        <f t="shared" si="624"/>
        <v>A</v>
      </c>
      <c r="BG1226" t="str">
        <f>""</f>
        <v/>
      </c>
      <c r="BH1226" t="str">
        <f>""</f>
        <v/>
      </c>
      <c r="BI1226" t="str">
        <f t="shared" si="603"/>
        <v>EVENTUAL</v>
      </c>
      <c r="BJ1226" t="str">
        <f t="shared" si="625"/>
        <v>1</v>
      </c>
      <c r="BK1226" t="str">
        <f t="shared" si="626"/>
        <v>Farmacia</v>
      </c>
      <c r="BL1226" t="str">
        <f>""</f>
        <v/>
      </c>
      <c r="BM1226" t="str">
        <f>""</f>
        <v/>
      </c>
      <c r="BN1226" t="str">
        <f>""</f>
        <v/>
      </c>
      <c r="BO1226" t="str">
        <f>""</f>
        <v/>
      </c>
      <c r="BP1226" t="str">
        <f>""</f>
        <v/>
      </c>
      <c r="BQ1226" t="str">
        <f>""</f>
        <v/>
      </c>
      <c r="BR1226" t="str">
        <f>"11/07/2023"</f>
        <v>11/07/2023</v>
      </c>
      <c r="BS1226" t="str">
        <f>""</f>
        <v/>
      </c>
      <c r="BT1226" t="str">
        <f>""</f>
        <v/>
      </c>
      <c r="BU1226" t="str">
        <f>""</f>
        <v/>
      </c>
      <c r="BV1226" t="str">
        <f>""</f>
        <v/>
      </c>
      <c r="BW1226" t="str">
        <f>"Não visitado"</f>
        <v>Não visitado</v>
      </c>
    </row>
    <row r="1227" spans="1:75" x14ac:dyDescent="0.35">
      <c r="A1227">
        <v>152763</v>
      </c>
      <c r="B1227" t="str">
        <f t="shared" si="620"/>
        <v>A</v>
      </c>
      <c r="C1227" t="str">
        <f t="shared" si="621"/>
        <v>80</v>
      </c>
      <c r="D1227" t="str">
        <f t="shared" si="611"/>
        <v>11121002</v>
      </c>
      <c r="E1227" t="str">
        <f t="shared" si="612"/>
        <v>121002</v>
      </c>
      <c r="F1227" t="str">
        <f t="shared" si="613"/>
        <v>CINTHIA NORONHA</v>
      </c>
      <c r="G1227" t="str">
        <f>"46949650000189"</f>
        <v>46949650000189</v>
      </c>
      <c r="H1227" t="str">
        <f>"0"</f>
        <v>0</v>
      </c>
      <c r="I1227" t="str">
        <f t="shared" si="622"/>
        <v>CONTA OPTICA</v>
      </c>
      <c r="J1227" t="str">
        <f>"VANESSA TEREZINHA FLORES FAZIO OTICA VAN"</f>
        <v>VANESSA TEREZINHA FLORES FAZIO OTICA VAN</v>
      </c>
      <c r="K1227" t="str">
        <f>"OTICA VAN"</f>
        <v>OTICA VAN</v>
      </c>
      <c r="L1227" t="str">
        <f>""</f>
        <v/>
      </c>
      <c r="M1227" t="str">
        <f>""</f>
        <v/>
      </c>
      <c r="N1227" t="str">
        <f>"vanfloreseyewear@outlook.com"</f>
        <v>vanfloreseyewear@outlook.com</v>
      </c>
      <c r="O1227" t="str">
        <f>""</f>
        <v/>
      </c>
      <c r="P1227" t="str">
        <f>"RUA VEREADOR ARTHUR MANOEL MARIANO"</f>
        <v>RUA VEREADOR ARTHUR MANOEL MARIANO</v>
      </c>
      <c r="Q1227" t="str">
        <f>"1325"</f>
        <v>1325</v>
      </c>
      <c r="R1227" t="str">
        <f>"EM CIMA"</f>
        <v>EM CIMA</v>
      </c>
      <c r="S1227" t="str">
        <f>"1259"</f>
        <v>1259</v>
      </c>
      <c r="T1227" t="str">
        <f>"88106501"</f>
        <v>88106501</v>
      </c>
      <c r="U1227" t="str">
        <f>"FORQUILHINHA"</f>
        <v>FORQUILHINHA</v>
      </c>
      <c r="V1227" t="str">
        <f>"SAO JOSE"</f>
        <v>SAO JOSE</v>
      </c>
      <c r="W1227" t="str">
        <f t="shared" si="608"/>
        <v>SC</v>
      </c>
      <c r="X1227" t="str">
        <f>""</f>
        <v/>
      </c>
      <c r="Y1227" t="str">
        <f>""</f>
        <v/>
      </c>
      <c r="Z1227" t="str">
        <f>""</f>
        <v/>
      </c>
      <c r="AA1227" t="str">
        <f>""</f>
        <v/>
      </c>
      <c r="AB1227" t="str">
        <f>""</f>
        <v/>
      </c>
      <c r="AC1227" t="str">
        <f>""</f>
        <v/>
      </c>
      <c r="AD1227" t="str">
        <f>""</f>
        <v/>
      </c>
      <c r="AE1227" t="str">
        <f>""</f>
        <v/>
      </c>
      <c r="AF1227" t="str">
        <f>""</f>
        <v/>
      </c>
      <c r="AG1227" t="str">
        <f>""</f>
        <v/>
      </c>
      <c r="AH1227" t="str">
        <f>""</f>
        <v/>
      </c>
      <c r="AI1227" t="str">
        <f>""</f>
        <v/>
      </c>
      <c r="AJ1227" t="str">
        <f>""</f>
        <v/>
      </c>
      <c r="AK1227" t="str">
        <f>""</f>
        <v/>
      </c>
      <c r="AL1227" t="str">
        <f>""</f>
        <v/>
      </c>
      <c r="AM1227" t="str">
        <f>""</f>
        <v/>
      </c>
      <c r="AN1227" t="str">
        <f>""</f>
        <v/>
      </c>
      <c r="AO1227" t="str">
        <f>""</f>
        <v/>
      </c>
      <c r="AP1227" t="str">
        <f>""</f>
        <v/>
      </c>
      <c r="AQ1227" t="str">
        <f>""</f>
        <v/>
      </c>
      <c r="AR1227" t="str">
        <f>""</f>
        <v/>
      </c>
      <c r="AS1227" t="str">
        <f>""</f>
        <v/>
      </c>
      <c r="AT1227" t="str">
        <f>""</f>
        <v/>
      </c>
      <c r="AU1227" t="str">
        <f>""</f>
        <v/>
      </c>
      <c r="AV1227" t="str">
        <f>""</f>
        <v/>
      </c>
      <c r="AW1227" t="str">
        <f>""</f>
        <v/>
      </c>
      <c r="AX1227" t="str">
        <f>""</f>
        <v/>
      </c>
      <c r="AY1227" t="str">
        <f>""</f>
        <v/>
      </c>
      <c r="AZ1227" t="str">
        <f>""</f>
        <v/>
      </c>
      <c r="BA1227" t="str">
        <f>""</f>
        <v/>
      </c>
      <c r="BB1227" t="str">
        <f>"03/04/2023 13:34:29"</f>
        <v>03/04/2023 13:34:29</v>
      </c>
      <c r="BC1227" t="str">
        <f>""</f>
        <v/>
      </c>
      <c r="BD1227" t="str">
        <f>""</f>
        <v/>
      </c>
      <c r="BE1227" t="str">
        <f>""</f>
        <v/>
      </c>
      <c r="BF1227" t="str">
        <f t="shared" si="624"/>
        <v>A</v>
      </c>
      <c r="BG1227" t="str">
        <f>""</f>
        <v/>
      </c>
      <c r="BH1227" t="str">
        <f>""</f>
        <v/>
      </c>
      <c r="BI1227" t="str">
        <f t="shared" si="603"/>
        <v>EVENTUAL</v>
      </c>
      <c r="BJ1227" t="str">
        <f t="shared" si="625"/>
        <v>1</v>
      </c>
      <c r="BK1227" t="str">
        <f t="shared" si="626"/>
        <v>Farmacia</v>
      </c>
      <c r="BL1227" t="str">
        <f>""</f>
        <v/>
      </c>
      <c r="BM1227" t="str">
        <f>""</f>
        <v/>
      </c>
      <c r="BN1227" t="str">
        <f>""</f>
        <v/>
      </c>
      <c r="BO1227" t="str">
        <f>""</f>
        <v/>
      </c>
      <c r="BP1227" t="str">
        <f>""</f>
        <v/>
      </c>
      <c r="BQ1227" t="str">
        <f>""</f>
        <v/>
      </c>
      <c r="BR1227" t="str">
        <f>"03/04/2023"</f>
        <v>03/04/2023</v>
      </c>
      <c r="BS1227" t="str">
        <f>""</f>
        <v/>
      </c>
      <c r="BT1227" t="str">
        <f>""</f>
        <v/>
      </c>
      <c r="BU1227" t="str">
        <f>""</f>
        <v/>
      </c>
      <c r="BV1227" t="str">
        <f>""</f>
        <v/>
      </c>
      <c r="BW1227" t="str">
        <f>"Não visitado"</f>
        <v>Não visitado</v>
      </c>
    </row>
    <row r="1228" spans="1:75" x14ac:dyDescent="0.35">
      <c r="A1228">
        <v>157655</v>
      </c>
      <c r="B1228" t="str">
        <f t="shared" si="620"/>
        <v>A</v>
      </c>
      <c r="C1228" t="str">
        <f t="shared" si="621"/>
        <v>80</v>
      </c>
      <c r="D1228" t="str">
        <f t="shared" si="611"/>
        <v>11121002</v>
      </c>
      <c r="E1228" t="str">
        <f t="shared" si="612"/>
        <v>121002</v>
      </c>
      <c r="F1228" t="str">
        <f t="shared" si="613"/>
        <v>CINTHIA NORONHA</v>
      </c>
      <c r="G1228" t="str">
        <f>"27513171000170"</f>
        <v>27513171000170</v>
      </c>
      <c r="H1228" t="str">
        <f>"0"</f>
        <v>0</v>
      </c>
      <c r="I1228" t="str">
        <f t="shared" si="622"/>
        <v>CONTA OPTICA</v>
      </c>
      <c r="J1228" t="str">
        <f>"VANIA SOARES FERREIRA EIRELI - ME"</f>
        <v>VANIA SOARES FERREIRA EIRELI - ME</v>
      </c>
      <c r="K1228" t="str">
        <f>"OPTICA GURIAS DE IPANEMA (3816)"</f>
        <v>OPTICA GURIAS DE IPANEMA (3816)</v>
      </c>
      <c r="L1228" t="str">
        <f>""</f>
        <v/>
      </c>
      <c r="M1228" t="str">
        <f>""</f>
        <v/>
      </c>
      <c r="N1228" t="str">
        <f>"OPTICAGURIASDEIPANEMA@HOTMAIL.COM"</f>
        <v>OPTICAGURIASDEIPANEMA@HOTMAIL.COM</v>
      </c>
      <c r="O1228" t="str">
        <f>""</f>
        <v/>
      </c>
      <c r="P1228" t="str">
        <f>"RUA JOAO ORESTES DE ARAUJO"</f>
        <v>RUA JOAO ORESTES DE ARAUJO</v>
      </c>
      <c r="Q1228" t="str">
        <f>"1055"</f>
        <v>1055</v>
      </c>
      <c r="R1228" t="str">
        <f>"SALA 02"</f>
        <v>SALA 02</v>
      </c>
      <c r="S1228" t="str">
        <f>"1265"</f>
        <v>1265</v>
      </c>
      <c r="T1228" t="str">
        <f>"88495000"</f>
        <v>88495000</v>
      </c>
      <c r="U1228" t="str">
        <f>"CENTRO"</f>
        <v>CENTRO</v>
      </c>
      <c r="V1228" t="str">
        <f>"GAROPABA"</f>
        <v>GAROPABA</v>
      </c>
      <c r="W1228" t="str">
        <f t="shared" si="608"/>
        <v>SC</v>
      </c>
      <c r="X1228" t="str">
        <f>"48"</f>
        <v>48</v>
      </c>
      <c r="Y1228" t="str">
        <f>"33541683"</f>
        <v>33541683</v>
      </c>
      <c r="Z1228" t="str">
        <f>""</f>
        <v/>
      </c>
      <c r="AA1228" t="str">
        <f>""</f>
        <v/>
      </c>
      <c r="AB1228" t="str">
        <f>""</f>
        <v/>
      </c>
      <c r="AC1228" t="str">
        <f>""</f>
        <v/>
      </c>
      <c r="AD1228" t="str">
        <f>""</f>
        <v/>
      </c>
      <c r="AE1228" t="str">
        <f>""</f>
        <v/>
      </c>
      <c r="AF1228" t="str">
        <f>""</f>
        <v/>
      </c>
      <c r="AG1228" t="str">
        <f>""</f>
        <v/>
      </c>
      <c r="AH1228" t="str">
        <f>""</f>
        <v/>
      </c>
      <c r="AI1228" t="str">
        <f>""</f>
        <v/>
      </c>
      <c r="AJ1228" t="str">
        <f>""</f>
        <v/>
      </c>
      <c r="AK1228" t="str">
        <f>""</f>
        <v/>
      </c>
      <c r="AL1228" t="str">
        <f>""</f>
        <v/>
      </c>
      <c r="AM1228" t="str">
        <f>""</f>
        <v/>
      </c>
      <c r="AN1228" t="str">
        <f>""</f>
        <v/>
      </c>
      <c r="AO1228" t="str">
        <f>""</f>
        <v/>
      </c>
      <c r="AP1228" t="str">
        <f>""</f>
        <v/>
      </c>
      <c r="AQ1228" t="str">
        <f>""</f>
        <v/>
      </c>
      <c r="AR1228" t="str">
        <f>""</f>
        <v/>
      </c>
      <c r="AS1228" t="str">
        <f>""</f>
        <v/>
      </c>
      <c r="AT1228" t="str">
        <f>""</f>
        <v/>
      </c>
      <c r="AU1228" t="str">
        <f>""</f>
        <v/>
      </c>
      <c r="AV1228" t="str">
        <f>""</f>
        <v/>
      </c>
      <c r="AW1228" t="str">
        <f>""</f>
        <v/>
      </c>
      <c r="AX1228" t="str">
        <f>""</f>
        <v/>
      </c>
      <c r="AY1228" t="str">
        <f>""</f>
        <v/>
      </c>
      <c r="AZ1228" t="str">
        <f>""</f>
        <v/>
      </c>
      <c r="BA1228" t="str">
        <f>""</f>
        <v/>
      </c>
      <c r="BB1228" t="str">
        <f>"11/07/2023 02:19:56"</f>
        <v>11/07/2023 02:19:56</v>
      </c>
      <c r="BC1228" t="str">
        <f>""</f>
        <v/>
      </c>
      <c r="BD1228" t="str">
        <f>""</f>
        <v/>
      </c>
      <c r="BE1228" t="str">
        <f>""</f>
        <v/>
      </c>
      <c r="BF1228" t="str">
        <f t="shared" si="624"/>
        <v>A</v>
      </c>
      <c r="BG1228" t="str">
        <f>""</f>
        <v/>
      </c>
      <c r="BH1228" t="str">
        <f>""</f>
        <v/>
      </c>
      <c r="BI1228" t="str">
        <f t="shared" si="603"/>
        <v>EVENTUAL</v>
      </c>
      <c r="BJ1228" t="str">
        <f t="shared" si="625"/>
        <v>1</v>
      </c>
      <c r="BK1228" t="str">
        <f t="shared" si="626"/>
        <v>Farmacia</v>
      </c>
      <c r="BL1228" t="str">
        <f>""</f>
        <v/>
      </c>
      <c r="BM1228" t="str">
        <f>""</f>
        <v/>
      </c>
      <c r="BN1228" t="str">
        <f>""</f>
        <v/>
      </c>
      <c r="BO1228" t="str">
        <f>""</f>
        <v/>
      </c>
      <c r="BP1228" t="str">
        <f>""</f>
        <v/>
      </c>
      <c r="BQ1228" t="str">
        <f>""</f>
        <v/>
      </c>
      <c r="BR1228" t="str">
        <f>"11/07/2023"</f>
        <v>11/07/2023</v>
      </c>
      <c r="BS1228" t="str">
        <f>""</f>
        <v/>
      </c>
      <c r="BT1228" t="str">
        <f>""</f>
        <v/>
      </c>
      <c r="BU1228" t="str">
        <f>""</f>
        <v/>
      </c>
      <c r="BV1228" t="str">
        <f>""</f>
        <v/>
      </c>
      <c r="BW1228" t="str">
        <f>"Não visitado"</f>
        <v>Não visitado</v>
      </c>
    </row>
    <row r="1229" spans="1:75" x14ac:dyDescent="0.35">
      <c r="A1229">
        <v>136605</v>
      </c>
      <c r="B1229" t="str">
        <f t="shared" si="620"/>
        <v>A</v>
      </c>
      <c r="C1229" t="str">
        <f t="shared" si="621"/>
        <v>80</v>
      </c>
      <c r="D1229" t="str">
        <f t="shared" si="611"/>
        <v>11121002</v>
      </c>
      <c r="E1229" t="str">
        <f t="shared" si="612"/>
        <v>121002</v>
      </c>
      <c r="F1229" t="str">
        <f t="shared" si="613"/>
        <v>CINTHIA NORONHA</v>
      </c>
      <c r="G1229" t="str">
        <f>"41641230000117"</f>
        <v>41641230000117</v>
      </c>
      <c r="H1229" t="str">
        <f>"0"</f>
        <v>0</v>
      </c>
      <c r="I1229" t="str">
        <f t="shared" si="622"/>
        <v>CONTA OPTICA</v>
      </c>
      <c r="J1229" t="str">
        <f>"VC COMERCIO DE PRODUTOS OTICOS LTDA"</f>
        <v>VC COMERCIO DE PRODUTOS OTICOS LTDA</v>
      </c>
      <c r="K1229" t="str">
        <f>"OTICAS CAROL (4325)"</f>
        <v>OTICAS CAROL (4325)</v>
      </c>
      <c r="L1229" t="str">
        <f>""</f>
        <v/>
      </c>
      <c r="M1229" t="str">
        <f>""</f>
        <v/>
      </c>
      <c r="N1229" t="str">
        <f>"ADM.SC@OTICASCAROL.COM.BR"</f>
        <v>ADM.SC@OTICASCAROL.COM.BR</v>
      </c>
      <c r="O1229" t="str">
        <f>""</f>
        <v/>
      </c>
      <c r="P1229" t="str">
        <f>"RUA ATILIO PEDRO PAGANI"</f>
        <v>RUA ATILIO PEDRO PAGANI</v>
      </c>
      <c r="Q1229" t="str">
        <f>"270"</f>
        <v>270</v>
      </c>
      <c r="R1229" t="str">
        <f>""</f>
        <v/>
      </c>
      <c r="S1229" t="str">
        <f>"1259"</f>
        <v>1259</v>
      </c>
      <c r="T1229" t="str">
        <f>"88132149"</f>
        <v>88132149</v>
      </c>
      <c r="U1229" t="str">
        <f>"PAGANI"</f>
        <v>PAGANI</v>
      </c>
      <c r="V1229" t="str">
        <f>"PALHOCA"</f>
        <v>PALHOCA</v>
      </c>
      <c r="W1229" t="str">
        <f t="shared" si="608"/>
        <v>SC</v>
      </c>
      <c r="X1229" t="str">
        <f>"48"</f>
        <v>48</v>
      </c>
      <c r="Y1229" t="str">
        <f>"32256592"</f>
        <v>32256592</v>
      </c>
      <c r="Z1229" t="str">
        <f>""</f>
        <v/>
      </c>
      <c r="AA1229" t="str">
        <f>""</f>
        <v/>
      </c>
      <c r="AB1229" t="str">
        <f>""</f>
        <v/>
      </c>
      <c r="AC1229" t="str">
        <f>""</f>
        <v/>
      </c>
      <c r="AD1229" t="str">
        <f>""</f>
        <v/>
      </c>
      <c r="AE1229" t="str">
        <f>""</f>
        <v/>
      </c>
      <c r="AF1229" t="str">
        <f>""</f>
        <v/>
      </c>
      <c r="AG1229" t="str">
        <f>""</f>
        <v/>
      </c>
      <c r="AH1229" t="str">
        <f>""</f>
        <v/>
      </c>
      <c r="AI1229" t="str">
        <f>""</f>
        <v/>
      </c>
      <c r="AJ1229" t="str">
        <f>""</f>
        <v/>
      </c>
      <c r="AK1229" t="str">
        <f>""</f>
        <v/>
      </c>
      <c r="AL1229" t="str">
        <f>""</f>
        <v/>
      </c>
      <c r="AM1229" t="str">
        <f>""</f>
        <v/>
      </c>
      <c r="AN1229" t="str">
        <f>""</f>
        <v/>
      </c>
      <c r="AO1229" t="str">
        <f>""</f>
        <v/>
      </c>
      <c r="AP1229" t="str">
        <f>""</f>
        <v/>
      </c>
      <c r="AQ1229" t="str">
        <f>""</f>
        <v/>
      </c>
      <c r="AR1229" t="str">
        <f>""</f>
        <v/>
      </c>
      <c r="AS1229" t="str">
        <f>""</f>
        <v/>
      </c>
      <c r="AT1229" t="str">
        <f>""</f>
        <v/>
      </c>
      <c r="AU1229" t="str">
        <f>""</f>
        <v/>
      </c>
      <c r="AV1229" t="str">
        <f>""</f>
        <v/>
      </c>
      <c r="AW1229" t="str">
        <f>""</f>
        <v/>
      </c>
      <c r="AX1229" t="str">
        <f>""</f>
        <v/>
      </c>
      <c r="AY1229" t="str">
        <f>""</f>
        <v/>
      </c>
      <c r="AZ1229" t="str">
        <f>""</f>
        <v/>
      </c>
      <c r="BA1229" t="str">
        <f>""</f>
        <v/>
      </c>
      <c r="BB1229" t="str">
        <f>"15/06/2021 22:57:18"</f>
        <v>15/06/2021 22:57:18</v>
      </c>
      <c r="BC1229" t="str">
        <f>""</f>
        <v/>
      </c>
      <c r="BD1229" t="str">
        <f>""</f>
        <v/>
      </c>
      <c r="BE1229" t="str">
        <f>""</f>
        <v/>
      </c>
      <c r="BF1229" t="str">
        <f t="shared" si="624"/>
        <v>A</v>
      </c>
      <c r="BG1229" t="str">
        <f>""</f>
        <v/>
      </c>
      <c r="BH1229" t="str">
        <f>""</f>
        <v/>
      </c>
      <c r="BI1229" t="str">
        <f t="shared" si="603"/>
        <v>EVENTUAL</v>
      </c>
      <c r="BJ1229" t="str">
        <f t="shared" si="625"/>
        <v>1</v>
      </c>
      <c r="BK1229" t="str">
        <f t="shared" si="626"/>
        <v>Farmacia</v>
      </c>
      <c r="BL1229" t="str">
        <f>""</f>
        <v/>
      </c>
      <c r="BM1229" t="str">
        <f>"VARILUX ESPECIALISTA PLATINE"</f>
        <v>VARILUX ESPECIALISTA PLATINE</v>
      </c>
      <c r="BN1229" t="str">
        <f>"NA"</f>
        <v>NA</v>
      </c>
      <c r="BO1229" t="str">
        <f>"FOCO VARILUX DIGITAL"</f>
        <v>FOCO VARILUX DIGITAL</v>
      </c>
      <c r="BP1229" t="str">
        <f>""</f>
        <v/>
      </c>
      <c r="BQ1229" t="str">
        <f>""</f>
        <v/>
      </c>
      <c r="BR1229" t="str">
        <f>"15/06/2021"</f>
        <v>15/06/2021</v>
      </c>
      <c r="BS1229" t="str">
        <f>""</f>
        <v/>
      </c>
      <c r="BT1229" t="str">
        <f>""</f>
        <v/>
      </c>
      <c r="BU1229" t="str">
        <f>""</f>
        <v/>
      </c>
      <c r="BV1229" t="str">
        <f>""</f>
        <v/>
      </c>
      <c r="BW1229" t="str">
        <f>"Não visitado"</f>
        <v>Não visitado</v>
      </c>
    </row>
    <row r="1230" spans="1:75" x14ac:dyDescent="0.35">
      <c r="A1230">
        <v>134411</v>
      </c>
      <c r="B1230" t="str">
        <f t="shared" si="620"/>
        <v>A</v>
      </c>
      <c r="C1230" t="str">
        <f t="shared" si="621"/>
        <v>80</v>
      </c>
      <c r="D1230" t="str">
        <f t="shared" si="611"/>
        <v>11121002</v>
      </c>
      <c r="E1230" t="str">
        <f t="shared" si="612"/>
        <v>121002</v>
      </c>
      <c r="F1230" t="str">
        <f t="shared" si="613"/>
        <v>CINTHIA NORONHA</v>
      </c>
      <c r="G1230" t="str">
        <f>"33019917000278"</f>
        <v>33019917000278</v>
      </c>
      <c r="H1230" t="str">
        <f>""</f>
        <v/>
      </c>
      <c r="I1230" t="str">
        <f t="shared" si="622"/>
        <v>CONTA OPTICA</v>
      </c>
      <c r="J1230" t="str">
        <f>"VEIGA E SOUZA COMERCIO DE OPTICA LTDA"</f>
        <v>VEIGA E SOUZA COMERCIO DE OPTICA LTDA</v>
      </c>
      <c r="K1230" t="str">
        <f>"MERCADAO DOS OCULOS (3987)"</f>
        <v>MERCADAO DOS OCULOS (3987)</v>
      </c>
      <c r="L1230" t="str">
        <f>""</f>
        <v/>
      </c>
      <c r="M1230" t="str">
        <f>""</f>
        <v/>
      </c>
      <c r="N1230" t="str">
        <f>"sc-lages@mercadaodosoculos.com.br"</f>
        <v>sc-lages@mercadaodosoculos.com.br</v>
      </c>
      <c r="O1230" t="str">
        <f>""</f>
        <v/>
      </c>
      <c r="P1230" t="str">
        <f>"RUA MARECHAL DEODORO"</f>
        <v>RUA MARECHAL DEODORO</v>
      </c>
      <c r="Q1230" t="str">
        <f>"2330"</f>
        <v>2330</v>
      </c>
      <c r="R1230" t="str">
        <f>"SALA 01"</f>
        <v>SALA 01</v>
      </c>
      <c r="S1230" t="str">
        <f>"1266"</f>
        <v>1266</v>
      </c>
      <c r="T1230" t="str">
        <f>"88501000"</f>
        <v>88501000</v>
      </c>
      <c r="U1230" t="str">
        <f>"CENTRO"</f>
        <v>CENTRO</v>
      </c>
      <c r="V1230" t="str">
        <f>"LAGES"</f>
        <v>LAGES</v>
      </c>
      <c r="W1230" t="str">
        <f t="shared" si="608"/>
        <v>SC</v>
      </c>
      <c r="X1230" t="str">
        <f>"49"</f>
        <v>49</v>
      </c>
      <c r="Y1230" t="str">
        <f>"30188881"</f>
        <v>30188881</v>
      </c>
      <c r="Z1230" t="str">
        <f>""</f>
        <v/>
      </c>
      <c r="AA1230" t="str">
        <f>""</f>
        <v/>
      </c>
      <c r="AB1230" t="str">
        <f>""</f>
        <v/>
      </c>
      <c r="AC1230" t="str">
        <f>""</f>
        <v/>
      </c>
      <c r="AD1230" t="str">
        <f>""</f>
        <v/>
      </c>
      <c r="AE1230" t="str">
        <f>""</f>
        <v/>
      </c>
      <c r="AF1230" t="str">
        <f>""</f>
        <v/>
      </c>
      <c r="AG1230" t="str">
        <f>"S"</f>
        <v>S</v>
      </c>
      <c r="AH1230" t="str">
        <f>""</f>
        <v/>
      </c>
      <c r="AI1230" t="str">
        <f>""</f>
        <v/>
      </c>
      <c r="AJ1230" t="str">
        <f>""</f>
        <v/>
      </c>
      <c r="AK1230" t="str">
        <f>""</f>
        <v/>
      </c>
      <c r="AL1230" t="str">
        <f>""</f>
        <v/>
      </c>
      <c r="AM1230" t="str">
        <f>""</f>
        <v/>
      </c>
      <c r="AN1230" t="str">
        <f>""</f>
        <v/>
      </c>
      <c r="AO1230" t="str">
        <f>""</f>
        <v/>
      </c>
      <c r="AP1230" t="str">
        <f>""</f>
        <v/>
      </c>
      <c r="AQ1230" t="str">
        <f>"N"</f>
        <v>N</v>
      </c>
      <c r="AR1230" t="str">
        <f>"N"</f>
        <v>N</v>
      </c>
      <c r="AS1230" t="str">
        <f>"N"</f>
        <v>N</v>
      </c>
      <c r="AT1230" t="str">
        <f>"N"</f>
        <v>N</v>
      </c>
      <c r="AU1230" t="str">
        <f>"N"</f>
        <v>N</v>
      </c>
      <c r="AV1230" t="str">
        <f>""</f>
        <v/>
      </c>
      <c r="AW1230" t="str">
        <f>""</f>
        <v/>
      </c>
      <c r="AX1230" t="str">
        <f>""</f>
        <v/>
      </c>
      <c r="AY1230" t="str">
        <f>""</f>
        <v/>
      </c>
      <c r="AZ1230" t="str">
        <f>""</f>
        <v/>
      </c>
      <c r="BA1230" t="str">
        <f>""</f>
        <v/>
      </c>
      <c r="BB1230" t="str">
        <f>""</f>
        <v/>
      </c>
      <c r="BC1230" t="str">
        <f>"03/05/2022 13:57:46"</f>
        <v>03/05/2022 13:57:46</v>
      </c>
      <c r="BD1230" t="str">
        <f>""</f>
        <v/>
      </c>
      <c r="BE1230" t="str">
        <f>""</f>
        <v/>
      </c>
      <c r="BF1230" t="str">
        <f t="shared" si="624"/>
        <v>A</v>
      </c>
      <c r="BG1230" t="str">
        <f>""</f>
        <v/>
      </c>
      <c r="BH1230" t="str">
        <f>"0,00"</f>
        <v>0,00</v>
      </c>
      <c r="BI1230" t="str">
        <f t="shared" si="603"/>
        <v>EVENTUAL</v>
      </c>
      <c r="BJ1230" t="str">
        <f t="shared" si="625"/>
        <v>1</v>
      </c>
      <c r="BK1230" t="str">
        <f t="shared" si="626"/>
        <v>Farmacia</v>
      </c>
      <c r="BL1230" t="str">
        <f>""</f>
        <v/>
      </c>
      <c r="BM1230" t="str">
        <f>"NÃO É VARILUX ESPECIALISTA"</f>
        <v>NÃO É VARILUX ESPECIALISTA</v>
      </c>
      <c r="BN1230" t="str">
        <f>"NA"</f>
        <v>NA</v>
      </c>
      <c r="BO1230" t="str">
        <f>"FOCO KODAK 2"</f>
        <v>FOCO KODAK 2</v>
      </c>
      <c r="BP1230" t="str">
        <f>""</f>
        <v/>
      </c>
      <c r="BQ1230" t="str">
        <f>""</f>
        <v/>
      </c>
      <c r="BR1230" t="str">
        <f>""</f>
        <v/>
      </c>
      <c r="BS1230" t="str">
        <f>"03/05/2022"</f>
        <v>03/05/2022</v>
      </c>
      <c r="BT1230" t="str">
        <f>""</f>
        <v/>
      </c>
      <c r="BU1230" t="str">
        <f>""</f>
        <v/>
      </c>
      <c r="BV1230" t="str">
        <f>"4"</f>
        <v>4</v>
      </c>
      <c r="BW1230" t="str">
        <f>"514"</f>
        <v>514</v>
      </c>
    </row>
    <row r="1231" spans="1:75" x14ac:dyDescent="0.35">
      <c r="A1231">
        <v>156868</v>
      </c>
      <c r="B1231" t="str">
        <f t="shared" si="620"/>
        <v>A</v>
      </c>
      <c r="C1231" t="str">
        <f t="shared" si="621"/>
        <v>80</v>
      </c>
      <c r="D1231" t="str">
        <f t="shared" si="611"/>
        <v>11121002</v>
      </c>
      <c r="E1231" t="str">
        <f t="shared" si="612"/>
        <v>121002</v>
      </c>
      <c r="F1231" t="str">
        <f t="shared" si="613"/>
        <v>CINTHIA NORONHA</v>
      </c>
      <c r="G1231" t="str">
        <f>"14281013000190"</f>
        <v>14281013000190</v>
      </c>
      <c r="H1231" t="str">
        <f>"0"</f>
        <v>0</v>
      </c>
      <c r="I1231" t="str">
        <f t="shared" si="622"/>
        <v>CONTA OPTICA</v>
      </c>
      <c r="J1231" t="str">
        <f>"VERAO ACESSORIOS DE MODA LTDA"</f>
        <v>VERAO ACESSORIOS DE MODA LTDA</v>
      </c>
      <c r="K1231" t="str">
        <f>"CHILLI BEANS (4596)"</f>
        <v>CHILLI BEANS (4596)</v>
      </c>
      <c r="L1231" t="str">
        <f>""</f>
        <v/>
      </c>
      <c r="M1231" t="str">
        <f>""</f>
        <v/>
      </c>
      <c r="N1231" t="str">
        <f>"SHOPCAMPECHE.LJ@LOJASCHILLIBEANS.COM.BR"</f>
        <v>SHOPCAMPECHE.LJ@LOJASCHILLIBEANS.COM.BR</v>
      </c>
      <c r="O1231" t="str">
        <f>""</f>
        <v/>
      </c>
      <c r="P1231" t="str">
        <f>"FRANCISCO MAGNO VIEIRA"</f>
        <v>FRANCISCO MAGNO VIEIRA</v>
      </c>
      <c r="Q1231" t="str">
        <f>"4397"</f>
        <v>4397</v>
      </c>
      <c r="R1231" t="str">
        <f>"LOJA 07"</f>
        <v>LOJA 07</v>
      </c>
      <c r="S1231" t="str">
        <f>""</f>
        <v/>
      </c>
      <c r="T1231" t="str">
        <f>"88065000"</f>
        <v>88065000</v>
      </c>
      <c r="U1231" t="str">
        <f>"CAMPECHE"</f>
        <v>CAMPECHE</v>
      </c>
      <c r="V1231" t="str">
        <f>"FLORIANOPOLIS"</f>
        <v>FLORIANOPOLIS</v>
      </c>
      <c r="W1231" t="str">
        <f t="shared" si="608"/>
        <v>SC</v>
      </c>
      <c r="X1231" t="str">
        <f>"48"</f>
        <v>48</v>
      </c>
      <c r="Y1231" t="str">
        <f>"996810054"</f>
        <v>996810054</v>
      </c>
      <c r="Z1231" t="str">
        <f>""</f>
        <v/>
      </c>
      <c r="AA1231" t="str">
        <f>""</f>
        <v/>
      </c>
      <c r="AB1231" t="str">
        <f>""</f>
        <v/>
      </c>
      <c r="AC1231" t="str">
        <f>""</f>
        <v/>
      </c>
      <c r="AD1231" t="str">
        <f>""</f>
        <v/>
      </c>
      <c r="AE1231" t="str">
        <f>""</f>
        <v/>
      </c>
      <c r="AF1231" t="str">
        <f>""</f>
        <v/>
      </c>
      <c r="AG1231" t="str">
        <f>""</f>
        <v/>
      </c>
      <c r="AH1231" t="str">
        <f>""</f>
        <v/>
      </c>
      <c r="AI1231" t="str">
        <f>""</f>
        <v/>
      </c>
      <c r="AJ1231" t="str">
        <f>""</f>
        <v/>
      </c>
      <c r="AK1231" t="str">
        <f>""</f>
        <v/>
      </c>
      <c r="AL1231" t="str">
        <f>""</f>
        <v/>
      </c>
      <c r="AM1231" t="str">
        <f>""</f>
        <v/>
      </c>
      <c r="AN1231" t="str">
        <f>""</f>
        <v/>
      </c>
      <c r="AO1231" t="str">
        <f>""</f>
        <v/>
      </c>
      <c r="AP1231" t="str">
        <f>""</f>
        <v/>
      </c>
      <c r="AQ1231" t="str">
        <f>""</f>
        <v/>
      </c>
      <c r="AR1231" t="str">
        <f>""</f>
        <v/>
      </c>
      <c r="AS1231" t="str">
        <f>""</f>
        <v/>
      </c>
      <c r="AT1231" t="str">
        <f>""</f>
        <v/>
      </c>
      <c r="AU1231" t="str">
        <f>""</f>
        <v/>
      </c>
      <c r="AV1231" t="str">
        <f>""</f>
        <v/>
      </c>
      <c r="AW1231" t="str">
        <f>""</f>
        <v/>
      </c>
      <c r="AX1231" t="str">
        <f>""</f>
        <v/>
      </c>
      <c r="AY1231" t="str">
        <f>""</f>
        <v/>
      </c>
      <c r="AZ1231" t="str">
        <f>""</f>
        <v/>
      </c>
      <c r="BA1231" t="str">
        <f>""</f>
        <v/>
      </c>
      <c r="BB1231" t="str">
        <f>"06/07/2023 12:07:48"</f>
        <v>06/07/2023 12:07:48</v>
      </c>
      <c r="BC1231" t="str">
        <f>""</f>
        <v/>
      </c>
      <c r="BD1231" t="str">
        <f>""</f>
        <v/>
      </c>
      <c r="BE1231" t="str">
        <f>""</f>
        <v/>
      </c>
      <c r="BF1231" t="str">
        <f t="shared" si="624"/>
        <v>A</v>
      </c>
      <c r="BG1231" t="str">
        <f>""</f>
        <v/>
      </c>
      <c r="BH1231" t="str">
        <f>""</f>
        <v/>
      </c>
      <c r="BI1231" t="str">
        <f t="shared" si="603"/>
        <v>EVENTUAL</v>
      </c>
      <c r="BJ1231" t="str">
        <f t="shared" si="625"/>
        <v>1</v>
      </c>
      <c r="BK1231" t="str">
        <f t="shared" si="626"/>
        <v>Farmacia</v>
      </c>
      <c r="BL1231" t="str">
        <f>""</f>
        <v/>
      </c>
      <c r="BM1231" t="str">
        <f>""</f>
        <v/>
      </c>
      <c r="BN1231" t="str">
        <f>""</f>
        <v/>
      </c>
      <c r="BO1231" t="str">
        <f>""</f>
        <v/>
      </c>
      <c r="BP1231" t="str">
        <f>""</f>
        <v/>
      </c>
      <c r="BQ1231" t="str">
        <f>""</f>
        <v/>
      </c>
      <c r="BR1231" t="str">
        <f>"06/07/2023"</f>
        <v>06/07/2023</v>
      </c>
      <c r="BS1231" t="str">
        <f>""</f>
        <v/>
      </c>
      <c r="BT1231" t="str">
        <f>""</f>
        <v/>
      </c>
      <c r="BU1231" t="str">
        <f>""</f>
        <v/>
      </c>
      <c r="BV1231" t="str">
        <f>""</f>
        <v/>
      </c>
      <c r="BW1231" t="str">
        <f>"Não visitado"</f>
        <v>Não visitado</v>
      </c>
    </row>
    <row r="1232" spans="1:75" x14ac:dyDescent="0.35">
      <c r="A1232">
        <v>127482</v>
      </c>
      <c r="B1232" t="str">
        <f t="shared" si="620"/>
        <v>A</v>
      </c>
      <c r="C1232" t="str">
        <f t="shared" si="621"/>
        <v>80</v>
      </c>
      <c r="D1232" t="str">
        <f t="shared" si="611"/>
        <v>11121002</v>
      </c>
      <c r="E1232" t="str">
        <f t="shared" si="612"/>
        <v>121002</v>
      </c>
      <c r="F1232" t="str">
        <f t="shared" si="613"/>
        <v>CINTHIA NORONHA</v>
      </c>
      <c r="G1232" t="str">
        <f>"02435426000101"</f>
        <v>02435426000101</v>
      </c>
      <c r="H1232" t="str">
        <f>"0"</f>
        <v>0</v>
      </c>
      <c r="I1232" t="str">
        <f t="shared" si="622"/>
        <v>CONTA OPTICA</v>
      </c>
      <c r="J1232" t="str">
        <f>"VERAS COMERCIAL OTICO LTDA ME"</f>
        <v>VERAS COMERCIAL OTICO LTDA ME</v>
      </c>
      <c r="K1232" t="str">
        <f>"OTICA LUIZA (1089)"</f>
        <v>OTICA LUIZA (1089)</v>
      </c>
      <c r="L1232" t="str">
        <f>""</f>
        <v/>
      </c>
      <c r="M1232" t="str">
        <f>""</f>
        <v/>
      </c>
      <c r="N1232" t="str">
        <f>"verascomercialotico@gmail.com"</f>
        <v>verascomercialotico@gmail.com</v>
      </c>
      <c r="O1232" t="str">
        <f>""</f>
        <v/>
      </c>
      <c r="P1232" t="str">
        <f>"RUA TENENTE SILVEIRA"</f>
        <v>RUA TENENTE SILVEIRA</v>
      </c>
      <c r="Q1232" t="str">
        <f>"210"</f>
        <v>210</v>
      </c>
      <c r="R1232" t="str">
        <f>""</f>
        <v/>
      </c>
      <c r="S1232" t="str">
        <f>"1254"</f>
        <v>1254</v>
      </c>
      <c r="T1232" t="str">
        <f>"88010300"</f>
        <v>88010300</v>
      </c>
      <c r="U1232" t="str">
        <f>"CENTRO"</f>
        <v>CENTRO</v>
      </c>
      <c r="V1232" t="str">
        <f>"FLORIANÓPOLIS"</f>
        <v>FLORIANÓPOLIS</v>
      </c>
      <c r="W1232" t="str">
        <f t="shared" si="608"/>
        <v>SC</v>
      </c>
      <c r="X1232" t="str">
        <f>"48"</f>
        <v>48</v>
      </c>
      <c r="Y1232" t="str">
        <f>"32249471"</f>
        <v>32249471</v>
      </c>
      <c r="Z1232" t="str">
        <f>""</f>
        <v/>
      </c>
      <c r="AA1232" t="str">
        <f>""</f>
        <v/>
      </c>
      <c r="AB1232" t="str">
        <f>""</f>
        <v/>
      </c>
      <c r="AC1232" t="str">
        <f>""</f>
        <v/>
      </c>
      <c r="AD1232" t="str">
        <f>""</f>
        <v/>
      </c>
      <c r="AE1232" t="str">
        <f>""</f>
        <v/>
      </c>
      <c r="AF1232" t="str">
        <f>""</f>
        <v/>
      </c>
      <c r="AG1232" t="str">
        <f>""</f>
        <v/>
      </c>
      <c r="AH1232" t="str">
        <f>""</f>
        <v/>
      </c>
      <c r="AI1232" t="str">
        <f>""</f>
        <v/>
      </c>
      <c r="AJ1232" t="str">
        <f>"0"</f>
        <v>0</v>
      </c>
      <c r="AK1232" t="str">
        <f>"0"</f>
        <v>0</v>
      </c>
      <c r="AL1232" t="str">
        <f>"0"</f>
        <v>0</v>
      </c>
      <c r="AM1232" t="str">
        <f>""</f>
        <v/>
      </c>
      <c r="AN1232" t="str">
        <f>""</f>
        <v/>
      </c>
      <c r="AO1232" t="str">
        <f>""</f>
        <v/>
      </c>
      <c r="AP1232" t="str">
        <f>""</f>
        <v/>
      </c>
      <c r="AQ1232" t="str">
        <f>""</f>
        <v/>
      </c>
      <c r="AR1232" t="str">
        <f>""</f>
        <v/>
      </c>
      <c r="AS1232" t="str">
        <f>""</f>
        <v/>
      </c>
      <c r="AT1232" t="str">
        <f>""</f>
        <v/>
      </c>
      <c r="AU1232" t="str">
        <f>""</f>
        <v/>
      </c>
      <c r="AV1232" t="str">
        <f>""</f>
        <v/>
      </c>
      <c r="AW1232" t="str">
        <f>""</f>
        <v/>
      </c>
      <c r="AX1232" t="str">
        <f>""</f>
        <v/>
      </c>
      <c r="AY1232" t="str">
        <f>""</f>
        <v/>
      </c>
      <c r="AZ1232" t="str">
        <f>""</f>
        <v/>
      </c>
      <c r="BA1232" t="str">
        <f>""</f>
        <v/>
      </c>
      <c r="BB1232" t="str">
        <f>"07/10/2020 09:08:38"</f>
        <v>07/10/2020 09:08:38</v>
      </c>
      <c r="BC1232" t="str">
        <f>""</f>
        <v/>
      </c>
      <c r="BD1232" t="str">
        <f>""</f>
        <v/>
      </c>
      <c r="BE1232" t="str">
        <f>""</f>
        <v/>
      </c>
      <c r="BF1232" t="str">
        <f t="shared" si="624"/>
        <v>A</v>
      </c>
      <c r="BG1232" t="str">
        <f>"0,00"</f>
        <v>0,00</v>
      </c>
      <c r="BH1232" t="str">
        <f>"0,00"</f>
        <v>0,00</v>
      </c>
      <c r="BI1232" t="str">
        <f t="shared" si="603"/>
        <v>EVENTUAL</v>
      </c>
      <c r="BJ1232" t="str">
        <f t="shared" si="625"/>
        <v>1</v>
      </c>
      <c r="BK1232" t="str">
        <f t="shared" si="626"/>
        <v>Farmacia</v>
      </c>
      <c r="BL1232" t="str">
        <f>""</f>
        <v/>
      </c>
      <c r="BM1232" t="str">
        <f>"NÃO É VARILUX ESPECIALISTA"</f>
        <v>NÃO É VARILUX ESPECIALISTA</v>
      </c>
      <c r="BN1232" t="str">
        <f>"NA"</f>
        <v>NA</v>
      </c>
      <c r="BO1232" t="str">
        <f>"FOCO VARILUX DIGITAL"</f>
        <v>FOCO VARILUX DIGITAL</v>
      </c>
      <c r="BP1232" t="str">
        <f>""</f>
        <v/>
      </c>
      <c r="BQ1232" t="str">
        <f>""</f>
        <v/>
      </c>
      <c r="BR1232" t="str">
        <f>"07/10/2020"</f>
        <v>07/10/2020</v>
      </c>
      <c r="BS1232" t="str">
        <f>""</f>
        <v/>
      </c>
      <c r="BT1232" t="str">
        <f>""</f>
        <v/>
      </c>
      <c r="BU1232" t="str">
        <f>""</f>
        <v/>
      </c>
      <c r="BV1232" t="str">
        <f>"9"</f>
        <v>9</v>
      </c>
      <c r="BW1232" t="str">
        <f>"Não visitado"</f>
        <v>Não visitado</v>
      </c>
    </row>
    <row r="1233" spans="1:75" x14ac:dyDescent="0.35">
      <c r="A1233">
        <v>156879</v>
      </c>
      <c r="B1233" t="str">
        <f t="shared" si="620"/>
        <v>A</v>
      </c>
      <c r="C1233" t="str">
        <f t="shared" si="621"/>
        <v>80</v>
      </c>
      <c r="D1233" t="str">
        <f t="shared" si="611"/>
        <v>11121002</v>
      </c>
      <c r="E1233" t="str">
        <f t="shared" si="612"/>
        <v>121002</v>
      </c>
      <c r="F1233" t="str">
        <f t="shared" si="613"/>
        <v>CINTHIA NORONHA</v>
      </c>
      <c r="G1233" t="str">
        <f>"39506104000108"</f>
        <v>39506104000108</v>
      </c>
      <c r="H1233" t="str">
        <f>"0"</f>
        <v>0</v>
      </c>
      <c r="I1233" t="str">
        <f t="shared" si="622"/>
        <v>CONTA OPTICA</v>
      </c>
      <c r="J1233" t="str">
        <f>"VERAS E VERAS COMERCIO VAREJISTA DE PRODUTOS OPTICOS LTDA"</f>
        <v>VERAS E VERAS COMERCIO VAREJISTA DE PRODUTOS OPTICOS LTDA</v>
      </c>
      <c r="K1233" t="str">
        <f>"OTICA SANTA LUZIA (4269)"</f>
        <v>OTICA SANTA LUZIA (4269)</v>
      </c>
      <c r="L1233" t="str">
        <f>""</f>
        <v/>
      </c>
      <c r="M1233" t="str">
        <f>""</f>
        <v/>
      </c>
      <c r="N1233" t="str">
        <f>"OSLJAQUELINE@HOTMAIL.COM"</f>
        <v>OSLJAQUELINE@HOTMAIL.COM</v>
      </c>
      <c r="O1233" t="str">
        <f>""</f>
        <v/>
      </c>
      <c r="P1233" t="str">
        <f>"RUA MAJOR JOAQUIM A. DE CAMPOS"</f>
        <v>RUA MAJOR JOAQUIM A. DE CAMPOS</v>
      </c>
      <c r="Q1233" t="str">
        <f>"5860"</f>
        <v>5860</v>
      </c>
      <c r="R1233" t="str">
        <f>"LOJA 01"</f>
        <v>LOJA 01</v>
      </c>
      <c r="S1233" t="str">
        <f>"1259"</f>
        <v>1259</v>
      </c>
      <c r="T1233" t="str">
        <f>"88140000"</f>
        <v>88140000</v>
      </c>
      <c r="U1233" t="str">
        <f>"CENTRO"</f>
        <v>CENTRO</v>
      </c>
      <c r="V1233" t="str">
        <f>"SANTO AMARO DA IMPERATRIZ"</f>
        <v>SANTO AMARO DA IMPERATRIZ</v>
      </c>
      <c r="W1233" t="str">
        <f t="shared" si="608"/>
        <v>SC</v>
      </c>
      <c r="X1233" t="str">
        <f>"48"</f>
        <v>48</v>
      </c>
      <c r="Y1233" t="str">
        <f>"32223490"</f>
        <v>32223490</v>
      </c>
      <c r="Z1233" t="str">
        <f>""</f>
        <v/>
      </c>
      <c r="AA1233" t="str">
        <f>""</f>
        <v/>
      </c>
      <c r="AB1233" t="str">
        <f>""</f>
        <v/>
      </c>
      <c r="AC1233" t="str">
        <f>""</f>
        <v/>
      </c>
      <c r="AD1233" t="str">
        <f>""</f>
        <v/>
      </c>
      <c r="AE1233" t="str">
        <f>""</f>
        <v/>
      </c>
      <c r="AF1233" t="str">
        <f>""</f>
        <v/>
      </c>
      <c r="AG1233" t="str">
        <f>""</f>
        <v/>
      </c>
      <c r="AH1233" t="str">
        <f>""</f>
        <v/>
      </c>
      <c r="AI1233" t="str">
        <f>""</f>
        <v/>
      </c>
      <c r="AJ1233" t="str">
        <f>""</f>
        <v/>
      </c>
      <c r="AK1233" t="str">
        <f>""</f>
        <v/>
      </c>
      <c r="AL1233" t="str">
        <f>""</f>
        <v/>
      </c>
      <c r="AM1233" t="str">
        <f>""</f>
        <v/>
      </c>
      <c r="AN1233" t="str">
        <f>""</f>
        <v/>
      </c>
      <c r="AO1233" t="str">
        <f>""</f>
        <v/>
      </c>
      <c r="AP1233" t="str">
        <f>""</f>
        <v/>
      </c>
      <c r="AQ1233" t="str">
        <f>""</f>
        <v/>
      </c>
      <c r="AR1233" t="str">
        <f>""</f>
        <v/>
      </c>
      <c r="AS1233" t="str">
        <f>""</f>
        <v/>
      </c>
      <c r="AT1233" t="str">
        <f>""</f>
        <v/>
      </c>
      <c r="AU1233" t="str">
        <f>""</f>
        <v/>
      </c>
      <c r="AV1233" t="str">
        <f>""</f>
        <v/>
      </c>
      <c r="AW1233" t="str">
        <f>""</f>
        <v/>
      </c>
      <c r="AX1233" t="str">
        <f>""</f>
        <v/>
      </c>
      <c r="AY1233" t="str">
        <f>""</f>
        <v/>
      </c>
      <c r="AZ1233" t="str">
        <f>""</f>
        <v/>
      </c>
      <c r="BA1233" t="str">
        <f>""</f>
        <v/>
      </c>
      <c r="BB1233" t="str">
        <f>"06/07/2023 12:07:48"</f>
        <v>06/07/2023 12:07:48</v>
      </c>
      <c r="BC1233" t="str">
        <f>""</f>
        <v/>
      </c>
      <c r="BD1233" t="str">
        <f>""</f>
        <v/>
      </c>
      <c r="BE1233" t="str">
        <f>""</f>
        <v/>
      </c>
      <c r="BF1233" t="str">
        <f t="shared" si="624"/>
        <v>A</v>
      </c>
      <c r="BG1233" t="str">
        <f>""</f>
        <v/>
      </c>
      <c r="BH1233" t="str">
        <f>""</f>
        <v/>
      </c>
      <c r="BI1233" t="str">
        <f t="shared" si="603"/>
        <v>EVENTUAL</v>
      </c>
      <c r="BJ1233" t="str">
        <f t="shared" si="625"/>
        <v>1</v>
      </c>
      <c r="BK1233" t="str">
        <f t="shared" si="626"/>
        <v>Farmacia</v>
      </c>
      <c r="BL1233" t="str">
        <f>""</f>
        <v/>
      </c>
      <c r="BM1233" t="str">
        <f>""</f>
        <v/>
      </c>
      <c r="BN1233" t="str">
        <f>""</f>
        <v/>
      </c>
      <c r="BO1233" t="str">
        <f>""</f>
        <v/>
      </c>
      <c r="BP1233" t="str">
        <f>""</f>
        <v/>
      </c>
      <c r="BQ1233" t="str">
        <f>""</f>
        <v/>
      </c>
      <c r="BR1233" t="str">
        <f>"06/07/2023"</f>
        <v>06/07/2023</v>
      </c>
      <c r="BS1233" t="str">
        <f>""</f>
        <v/>
      </c>
      <c r="BT1233" t="str">
        <f>""</f>
        <v/>
      </c>
      <c r="BU1233" t="str">
        <f>""</f>
        <v/>
      </c>
      <c r="BV1233" t="str">
        <f>""</f>
        <v/>
      </c>
      <c r="BW1233" t="str">
        <f>"Não visitado"</f>
        <v>Não visitado</v>
      </c>
    </row>
    <row r="1234" spans="1:75" x14ac:dyDescent="0.35">
      <c r="A1234">
        <v>134548</v>
      </c>
      <c r="B1234" t="str">
        <f t="shared" si="620"/>
        <v>A</v>
      </c>
      <c r="C1234" t="str">
        <f t="shared" si="621"/>
        <v>80</v>
      </c>
      <c r="D1234" t="str">
        <f t="shared" si="611"/>
        <v>11121002</v>
      </c>
      <c r="E1234" t="str">
        <f t="shared" si="612"/>
        <v>121002</v>
      </c>
      <c r="F1234" t="str">
        <f t="shared" si="613"/>
        <v>CINTHIA NORONHA</v>
      </c>
      <c r="G1234" t="str">
        <f>"35621104000106"</f>
        <v>35621104000106</v>
      </c>
      <c r="H1234" t="str">
        <f>""</f>
        <v/>
      </c>
      <c r="I1234" t="str">
        <f t="shared" si="622"/>
        <v>CONTA OPTICA</v>
      </c>
      <c r="J1234" t="str">
        <f>"VIA CAMPINAS COMERCIO DE PRODUTOS OPTICOS LTDA"</f>
        <v>VIA CAMPINAS COMERCIO DE PRODUTOS OPTICOS LTDA</v>
      </c>
      <c r="K1234" t="str">
        <f>"VIA VISAO (4215)"</f>
        <v>VIA VISAO (4215)</v>
      </c>
      <c r="L1234" t="str">
        <f>""</f>
        <v/>
      </c>
      <c r="M1234" t="str">
        <f>""</f>
        <v/>
      </c>
      <c r="N1234" t="str">
        <f>"viavisaocampinas@gmail.com"</f>
        <v>viavisaocampinas@gmail.com</v>
      </c>
      <c r="O1234" t="str">
        <f>""</f>
        <v/>
      </c>
      <c r="P1234" t="str">
        <f>"AVENIDA PRESIDENTE KENNEDY"</f>
        <v>AVENIDA PRESIDENTE KENNEDY</v>
      </c>
      <c r="Q1234" t="str">
        <f>"606"</f>
        <v>606</v>
      </c>
      <c r="R1234" t="str">
        <f>"LOJA 07"</f>
        <v>LOJA 07</v>
      </c>
      <c r="S1234" t="str">
        <f>"1259"</f>
        <v>1259</v>
      </c>
      <c r="T1234" t="str">
        <f>"88101000"</f>
        <v>88101000</v>
      </c>
      <c r="U1234" t="str">
        <f>"CAMPINAS"</f>
        <v>CAMPINAS</v>
      </c>
      <c r="V1234" t="str">
        <f>"SÃO JOSÉ"</f>
        <v>SÃO JOSÉ</v>
      </c>
      <c r="W1234" t="str">
        <f t="shared" si="608"/>
        <v>SC</v>
      </c>
      <c r="X1234" t="str">
        <f>"48"</f>
        <v>48</v>
      </c>
      <c r="Y1234" t="str">
        <f>"30801899"</f>
        <v>30801899</v>
      </c>
      <c r="Z1234" t="str">
        <f>""</f>
        <v/>
      </c>
      <c r="AA1234" t="str">
        <f>""</f>
        <v/>
      </c>
      <c r="AB1234" t="str">
        <f>""</f>
        <v/>
      </c>
      <c r="AC1234" t="str">
        <f>""</f>
        <v/>
      </c>
      <c r="AD1234" t="str">
        <f>""</f>
        <v/>
      </c>
      <c r="AE1234" t="str">
        <f>""</f>
        <v/>
      </c>
      <c r="AF1234" t="str">
        <f>""</f>
        <v/>
      </c>
      <c r="AG1234" t="str">
        <f>"S"</f>
        <v>S</v>
      </c>
      <c r="AH1234" t="str">
        <f>""</f>
        <v/>
      </c>
      <c r="AI1234" t="str">
        <f>""</f>
        <v/>
      </c>
      <c r="AJ1234" t="str">
        <f>""</f>
        <v/>
      </c>
      <c r="AK1234" t="str">
        <f>""</f>
        <v/>
      </c>
      <c r="AL1234" t="str">
        <f>""</f>
        <v/>
      </c>
      <c r="AM1234" t="str">
        <f>""</f>
        <v/>
      </c>
      <c r="AN1234" t="str">
        <f>""</f>
        <v/>
      </c>
      <c r="AO1234" t="str">
        <f>""</f>
        <v/>
      </c>
      <c r="AP1234" t="str">
        <f>""</f>
        <v/>
      </c>
      <c r="AQ1234" t="str">
        <f t="shared" ref="AQ1234:AU1235" si="629">"N"</f>
        <v>N</v>
      </c>
      <c r="AR1234" t="str">
        <f t="shared" si="629"/>
        <v>N</v>
      </c>
      <c r="AS1234" t="str">
        <f t="shared" si="629"/>
        <v>N</v>
      </c>
      <c r="AT1234" t="str">
        <f t="shared" si="629"/>
        <v>N</v>
      </c>
      <c r="AU1234" t="str">
        <f t="shared" si="629"/>
        <v>N</v>
      </c>
      <c r="AV1234" t="str">
        <f>""</f>
        <v/>
      </c>
      <c r="AW1234" t="str">
        <f>""</f>
        <v/>
      </c>
      <c r="AX1234" t="str">
        <f>""</f>
        <v/>
      </c>
      <c r="AY1234" t="str">
        <f>""</f>
        <v/>
      </c>
      <c r="AZ1234" t="str">
        <f>""</f>
        <v/>
      </c>
      <c r="BA1234" t="str">
        <f>""</f>
        <v/>
      </c>
      <c r="BB1234" t="str">
        <f>""</f>
        <v/>
      </c>
      <c r="BC1234" t="str">
        <f>"21/09/2021 15:03:40"</f>
        <v>21/09/2021 15:03:40</v>
      </c>
      <c r="BD1234" t="str">
        <f>""</f>
        <v/>
      </c>
      <c r="BE1234" t="str">
        <f>""</f>
        <v/>
      </c>
      <c r="BF1234" t="str">
        <f t="shared" si="624"/>
        <v>A</v>
      </c>
      <c r="BG1234" t="str">
        <f>""</f>
        <v/>
      </c>
      <c r="BH1234" t="str">
        <f>"0,00"</f>
        <v>0,00</v>
      </c>
      <c r="BI1234" t="str">
        <f t="shared" si="603"/>
        <v>EVENTUAL</v>
      </c>
      <c r="BJ1234" t="str">
        <f t="shared" si="625"/>
        <v>1</v>
      </c>
      <c r="BK1234" t="str">
        <f t="shared" si="626"/>
        <v>Farmacia</v>
      </c>
      <c r="BL1234" t="str">
        <f>""</f>
        <v/>
      </c>
      <c r="BM1234" t="str">
        <f>"NÃO É VARILUX ESPECIALISTA"</f>
        <v>NÃO É VARILUX ESPECIALISTA</v>
      </c>
      <c r="BN1234" t="str">
        <f>"NA"</f>
        <v>NA</v>
      </c>
      <c r="BO1234" t="str">
        <f>"FOCO VARILUX DIGITAL"</f>
        <v>FOCO VARILUX DIGITAL</v>
      </c>
      <c r="BP1234" t="str">
        <f>""</f>
        <v/>
      </c>
      <c r="BQ1234" t="str">
        <f>""</f>
        <v/>
      </c>
      <c r="BR1234" t="str">
        <f>""</f>
        <v/>
      </c>
      <c r="BS1234" t="str">
        <f>"21/09/2021"</f>
        <v>21/09/2021</v>
      </c>
      <c r="BT1234" t="str">
        <f>""</f>
        <v/>
      </c>
      <c r="BU1234" t="str">
        <f>""</f>
        <v/>
      </c>
      <c r="BV1234" t="str">
        <f>"9"</f>
        <v>9</v>
      </c>
      <c r="BW1234" t="str">
        <f>"28"</f>
        <v>28</v>
      </c>
    </row>
    <row r="1235" spans="1:75" x14ac:dyDescent="0.35">
      <c r="A1235">
        <v>134551</v>
      </c>
      <c r="B1235" t="str">
        <f t="shared" si="620"/>
        <v>A</v>
      </c>
      <c r="C1235" t="str">
        <f t="shared" si="621"/>
        <v>80</v>
      </c>
      <c r="D1235" t="str">
        <f t="shared" si="611"/>
        <v>11121002</v>
      </c>
      <c r="E1235" t="str">
        <f t="shared" si="612"/>
        <v>121002</v>
      </c>
      <c r="F1235" t="str">
        <f t="shared" si="613"/>
        <v>CINTHIA NORONHA</v>
      </c>
      <c r="G1235" t="str">
        <f>"38299923000169"</f>
        <v>38299923000169</v>
      </c>
      <c r="H1235" t="str">
        <f>""</f>
        <v/>
      </c>
      <c r="I1235" t="str">
        <f t="shared" si="622"/>
        <v>CONTA OPTICA</v>
      </c>
      <c r="J1235" t="str">
        <f>"VIA CATARINA JOALHERIA E OPTICA LTDA"</f>
        <v>VIA CATARINA JOALHERIA E OPTICA LTDA</v>
      </c>
      <c r="K1235" t="str">
        <f>"QUEVEDO JOALHERIA E OTICA (4225)"</f>
        <v>QUEVEDO JOALHERIA E OTICA (4225)</v>
      </c>
      <c r="L1235" t="str">
        <f>""</f>
        <v/>
      </c>
      <c r="M1235" t="str">
        <f>""</f>
        <v/>
      </c>
      <c r="N1235" t="str">
        <f>"quevedo.viacatarina@gmail.com"</f>
        <v>quevedo.viacatarina@gmail.com</v>
      </c>
      <c r="O1235" t="str">
        <f>""</f>
        <v/>
      </c>
      <c r="P1235" t="str">
        <f>"AVENIDA ATILIO PEDRO PAGANI"</f>
        <v>AVENIDA ATILIO PEDRO PAGANI</v>
      </c>
      <c r="Q1235" t="str">
        <f>"270"</f>
        <v>270</v>
      </c>
      <c r="R1235" t="str">
        <f>"SHOP LJ 217/218"</f>
        <v>SHOP LJ 217/218</v>
      </c>
      <c r="S1235" t="str">
        <f>"1259"</f>
        <v>1259</v>
      </c>
      <c r="T1235" t="str">
        <f>"88132149"</f>
        <v>88132149</v>
      </c>
      <c r="U1235" t="str">
        <f>"PAGANI"</f>
        <v>PAGANI</v>
      </c>
      <c r="V1235" t="str">
        <f>"PALHOÇA"</f>
        <v>PALHOÇA</v>
      </c>
      <c r="W1235" t="str">
        <f t="shared" si="608"/>
        <v>SC</v>
      </c>
      <c r="X1235" t="str">
        <f>"48"</f>
        <v>48</v>
      </c>
      <c r="Y1235" t="str">
        <f>"30869100"</f>
        <v>30869100</v>
      </c>
      <c r="Z1235" t="str">
        <f>""</f>
        <v/>
      </c>
      <c r="AA1235" t="str">
        <f>""</f>
        <v/>
      </c>
      <c r="AB1235" t="str">
        <f>""</f>
        <v/>
      </c>
      <c r="AC1235" t="str">
        <f>""</f>
        <v/>
      </c>
      <c r="AD1235" t="str">
        <f>""</f>
        <v/>
      </c>
      <c r="AE1235" t="str">
        <f>""</f>
        <v/>
      </c>
      <c r="AF1235" t="str">
        <f>""</f>
        <v/>
      </c>
      <c r="AG1235" t="str">
        <f>"S"</f>
        <v>S</v>
      </c>
      <c r="AH1235" t="str">
        <f>""</f>
        <v/>
      </c>
      <c r="AI1235" t="str">
        <f>""</f>
        <v/>
      </c>
      <c r="AJ1235" t="str">
        <f>""</f>
        <v/>
      </c>
      <c r="AK1235" t="str">
        <f>""</f>
        <v/>
      </c>
      <c r="AL1235" t="str">
        <f>""</f>
        <v/>
      </c>
      <c r="AM1235" t="str">
        <f>""</f>
        <v/>
      </c>
      <c r="AN1235" t="str">
        <f>""</f>
        <v/>
      </c>
      <c r="AO1235" t="str">
        <f>""</f>
        <v/>
      </c>
      <c r="AP1235" t="str">
        <f>""</f>
        <v/>
      </c>
      <c r="AQ1235" t="str">
        <f t="shared" si="629"/>
        <v>N</v>
      </c>
      <c r="AR1235" t="str">
        <f t="shared" si="629"/>
        <v>N</v>
      </c>
      <c r="AS1235" t="str">
        <f t="shared" si="629"/>
        <v>N</v>
      </c>
      <c r="AT1235" t="str">
        <f t="shared" si="629"/>
        <v>N</v>
      </c>
      <c r="AU1235" t="str">
        <f t="shared" si="629"/>
        <v>N</v>
      </c>
      <c r="AV1235" t="str">
        <f>""</f>
        <v/>
      </c>
      <c r="AW1235" t="str">
        <f>""</f>
        <v/>
      </c>
      <c r="AX1235" t="str">
        <f>""</f>
        <v/>
      </c>
      <c r="AY1235" t="str">
        <f>""</f>
        <v/>
      </c>
      <c r="AZ1235" t="str">
        <f>""</f>
        <v/>
      </c>
      <c r="BA1235" t="str">
        <f>""</f>
        <v/>
      </c>
      <c r="BB1235" t="str">
        <f>""</f>
        <v/>
      </c>
      <c r="BC1235" t="str">
        <f>"14/12/2021 08:55:56"</f>
        <v>14/12/2021 08:55:56</v>
      </c>
      <c r="BD1235" t="str">
        <f>""</f>
        <v/>
      </c>
      <c r="BE1235" t="str">
        <f>""</f>
        <v/>
      </c>
      <c r="BF1235" t="str">
        <f t="shared" si="624"/>
        <v>A</v>
      </c>
      <c r="BG1235" t="str">
        <f>""</f>
        <v/>
      </c>
      <c r="BH1235" t="str">
        <f>"0,00"</f>
        <v>0,00</v>
      </c>
      <c r="BI1235" t="str">
        <f t="shared" si="603"/>
        <v>EVENTUAL</v>
      </c>
      <c r="BJ1235" t="str">
        <f t="shared" si="625"/>
        <v>1</v>
      </c>
      <c r="BK1235" t="str">
        <f t="shared" si="626"/>
        <v>Farmacia</v>
      </c>
      <c r="BL1235" t="str">
        <f>""</f>
        <v/>
      </c>
      <c r="BM1235" t="str">
        <f>"NÃO É VARILUX ESPECIALISTA"</f>
        <v>NÃO É VARILUX ESPECIALISTA</v>
      </c>
      <c r="BN1235" t="str">
        <f>"NA"</f>
        <v>NA</v>
      </c>
      <c r="BO1235" t="str">
        <f>"FOCO VARILUX DIGITAL"</f>
        <v>FOCO VARILUX DIGITAL</v>
      </c>
      <c r="BP1235" t="str">
        <f>""</f>
        <v/>
      </c>
      <c r="BQ1235" t="str">
        <f>""</f>
        <v/>
      </c>
      <c r="BR1235" t="str">
        <f>""</f>
        <v/>
      </c>
      <c r="BS1235" t="str">
        <f>"14/12/2021"</f>
        <v>14/12/2021</v>
      </c>
      <c r="BT1235" t="str">
        <f>""</f>
        <v/>
      </c>
      <c r="BU1235" t="str">
        <f>""</f>
        <v/>
      </c>
      <c r="BV1235" t="str">
        <f>""</f>
        <v/>
      </c>
      <c r="BW1235" t="str">
        <f>"29"</f>
        <v>29</v>
      </c>
    </row>
    <row r="1236" spans="1:75" x14ac:dyDescent="0.35">
      <c r="A1236">
        <v>152743</v>
      </c>
      <c r="B1236" t="str">
        <f t="shared" si="620"/>
        <v>A</v>
      </c>
      <c r="C1236" t="str">
        <f t="shared" si="621"/>
        <v>80</v>
      </c>
      <c r="D1236" t="str">
        <f t="shared" si="611"/>
        <v>11121002</v>
      </c>
      <c r="E1236" t="str">
        <f t="shared" si="612"/>
        <v>121002</v>
      </c>
      <c r="F1236" t="str">
        <f t="shared" si="613"/>
        <v>CINTHIA NORONHA</v>
      </c>
      <c r="G1236" t="str">
        <f>"47704593000130"</f>
        <v>47704593000130</v>
      </c>
      <c r="H1236" t="str">
        <f>"0"</f>
        <v>0</v>
      </c>
      <c r="I1236" t="str">
        <f t="shared" si="622"/>
        <v>CONTA OPTICA</v>
      </c>
      <c r="J1236" t="str">
        <f>"VIA CEISA JOALHERIA E OPTICA LTDA"</f>
        <v>VIA CEISA JOALHERIA E OPTICA LTDA</v>
      </c>
      <c r="K1236" t="str">
        <f>"D JU"</f>
        <v>D JU</v>
      </c>
      <c r="L1236" t="str">
        <f>""</f>
        <v/>
      </c>
      <c r="M1236" t="str">
        <f>""</f>
        <v/>
      </c>
      <c r="N1236" t="str">
        <f>"financeiro@wopefranchising.com.br"</f>
        <v>financeiro@wopefranchising.com.br</v>
      </c>
      <c r="O1236" t="str">
        <f>""</f>
        <v/>
      </c>
      <c r="P1236" t="str">
        <f>"AVENIDA RIO BRANCO"</f>
        <v>AVENIDA RIO BRANCO</v>
      </c>
      <c r="Q1236" t="str">
        <f>"828"</f>
        <v>828</v>
      </c>
      <c r="R1236" t="str">
        <f>"- ATE 532 - LADO PAR"</f>
        <v>- ATE 532 - LADO PAR</v>
      </c>
      <c r="S1236" t="str">
        <f>""</f>
        <v/>
      </c>
      <c r="T1236" t="str">
        <f>"88015200"</f>
        <v>88015200</v>
      </c>
      <c r="U1236" t="str">
        <f>"CENTRO"</f>
        <v>CENTRO</v>
      </c>
      <c r="V1236" t="str">
        <f>"FLORIANOPOLIS"</f>
        <v>FLORIANOPOLIS</v>
      </c>
      <c r="W1236" t="str">
        <f t="shared" si="608"/>
        <v>SC</v>
      </c>
      <c r="X1236" t="str">
        <f>""</f>
        <v/>
      </c>
      <c r="Y1236" t="str">
        <f>""</f>
        <v/>
      </c>
      <c r="Z1236" t="str">
        <f>""</f>
        <v/>
      </c>
      <c r="AA1236" t="str">
        <f>""</f>
        <v/>
      </c>
      <c r="AB1236" t="str">
        <f>""</f>
        <v/>
      </c>
      <c r="AC1236" t="str">
        <f>""</f>
        <v/>
      </c>
      <c r="AD1236" t="str">
        <f>""</f>
        <v/>
      </c>
      <c r="AE1236" t="str">
        <f>""</f>
        <v/>
      </c>
      <c r="AF1236" t="str">
        <f>""</f>
        <v/>
      </c>
      <c r="AG1236" t="str">
        <f>""</f>
        <v/>
      </c>
      <c r="AH1236" t="str">
        <f>""</f>
        <v/>
      </c>
      <c r="AI1236" t="str">
        <f>""</f>
        <v/>
      </c>
      <c r="AJ1236" t="str">
        <f>""</f>
        <v/>
      </c>
      <c r="AK1236" t="str">
        <f>""</f>
        <v/>
      </c>
      <c r="AL1236" t="str">
        <f>""</f>
        <v/>
      </c>
      <c r="AM1236" t="str">
        <f>""</f>
        <v/>
      </c>
      <c r="AN1236" t="str">
        <f>""</f>
        <v/>
      </c>
      <c r="AO1236" t="str">
        <f>""</f>
        <v/>
      </c>
      <c r="AP1236" t="str">
        <f>""</f>
        <v/>
      </c>
      <c r="AQ1236" t="str">
        <f>""</f>
        <v/>
      </c>
      <c r="AR1236" t="str">
        <f>""</f>
        <v/>
      </c>
      <c r="AS1236" t="str">
        <f>""</f>
        <v/>
      </c>
      <c r="AT1236" t="str">
        <f>""</f>
        <v/>
      </c>
      <c r="AU1236" t="str">
        <f>""</f>
        <v/>
      </c>
      <c r="AV1236" t="str">
        <f>""</f>
        <v/>
      </c>
      <c r="AW1236" t="str">
        <f>""</f>
        <v/>
      </c>
      <c r="AX1236" t="str">
        <f>""</f>
        <v/>
      </c>
      <c r="AY1236" t="str">
        <f>""</f>
        <v/>
      </c>
      <c r="AZ1236" t="str">
        <f>""</f>
        <v/>
      </c>
      <c r="BA1236" t="str">
        <f>""</f>
        <v/>
      </c>
      <c r="BB1236" t="str">
        <f>"03/04/2023 13:34:29"</f>
        <v>03/04/2023 13:34:29</v>
      </c>
      <c r="BC1236" t="str">
        <f>""</f>
        <v/>
      </c>
      <c r="BD1236" t="str">
        <f>""</f>
        <v/>
      </c>
      <c r="BE1236" t="str">
        <f>""</f>
        <v/>
      </c>
      <c r="BF1236" t="str">
        <f t="shared" si="624"/>
        <v>A</v>
      </c>
      <c r="BG1236" t="str">
        <f>""</f>
        <v/>
      </c>
      <c r="BH1236" t="str">
        <f>""</f>
        <v/>
      </c>
      <c r="BI1236" t="str">
        <f t="shared" si="603"/>
        <v>EVENTUAL</v>
      </c>
      <c r="BJ1236" t="str">
        <f t="shared" si="625"/>
        <v>1</v>
      </c>
      <c r="BK1236" t="str">
        <f t="shared" si="626"/>
        <v>Farmacia</v>
      </c>
      <c r="BL1236" t="str">
        <f>""</f>
        <v/>
      </c>
      <c r="BM1236" t="str">
        <f>""</f>
        <v/>
      </c>
      <c r="BN1236" t="str">
        <f>""</f>
        <v/>
      </c>
      <c r="BO1236" t="str">
        <f>""</f>
        <v/>
      </c>
      <c r="BP1236" t="str">
        <f>""</f>
        <v/>
      </c>
      <c r="BQ1236" t="str">
        <f>""</f>
        <v/>
      </c>
      <c r="BR1236" t="str">
        <f>"03/04/2023"</f>
        <v>03/04/2023</v>
      </c>
      <c r="BS1236" t="str">
        <f>""</f>
        <v/>
      </c>
      <c r="BT1236" t="str">
        <f>""</f>
        <v/>
      </c>
      <c r="BU1236" t="str">
        <f>""</f>
        <v/>
      </c>
      <c r="BV1236" t="str">
        <f>""</f>
        <v/>
      </c>
      <c r="BW1236" t="str">
        <f>"Não visitado"</f>
        <v>Não visitado</v>
      </c>
    </row>
    <row r="1237" spans="1:75" x14ac:dyDescent="0.35">
      <c r="A1237">
        <v>134408</v>
      </c>
      <c r="B1237" t="str">
        <f t="shared" si="620"/>
        <v>A</v>
      </c>
      <c r="C1237" t="str">
        <f t="shared" si="621"/>
        <v>80</v>
      </c>
      <c r="D1237" t="str">
        <f t="shared" si="611"/>
        <v>11121002</v>
      </c>
      <c r="E1237" t="str">
        <f t="shared" si="612"/>
        <v>121002</v>
      </c>
      <c r="F1237" t="str">
        <f t="shared" si="613"/>
        <v>CINTHIA NORONHA</v>
      </c>
      <c r="G1237" t="str">
        <f>"32402433000160"</f>
        <v>32402433000160</v>
      </c>
      <c r="H1237" t="str">
        <f>""</f>
        <v/>
      </c>
      <c r="I1237" t="str">
        <f t="shared" si="622"/>
        <v>CONTA OPTICA</v>
      </c>
      <c r="J1237" t="str">
        <f>"VIA FLORIANOPOLIS COMERCIO DE PROUTOS OPTICOS LTDA"</f>
        <v>VIA FLORIANOPOLIS COMERCIO DE PROUTOS OPTICOS LTDA</v>
      </c>
      <c r="K1237" t="str">
        <f>"VIA FLORIANOPOLIS (4013)"</f>
        <v>VIA FLORIANOPOLIS (4013)</v>
      </c>
      <c r="L1237" t="str">
        <f>""</f>
        <v/>
      </c>
      <c r="M1237" t="str">
        <f>""</f>
        <v/>
      </c>
      <c r="N1237" t="str">
        <f>"viavisaokobrasol@gmail.com"</f>
        <v>viavisaokobrasol@gmail.com</v>
      </c>
      <c r="O1237" t="str">
        <f>""</f>
        <v/>
      </c>
      <c r="P1237" t="str">
        <f>"RUA RIO BRANCO"</f>
        <v>RUA RIO BRANCO</v>
      </c>
      <c r="Q1237" t="str">
        <f>"828"</f>
        <v>828</v>
      </c>
      <c r="R1237" t="str">
        <f>""</f>
        <v/>
      </c>
      <c r="S1237" t="str">
        <f>"1255"</f>
        <v>1255</v>
      </c>
      <c r="T1237" t="str">
        <f>"88015204"</f>
        <v>88015204</v>
      </c>
      <c r="U1237" t="str">
        <f>"CENTRO"</f>
        <v>CENTRO</v>
      </c>
      <c r="V1237" t="str">
        <f>"FLORIANÓPOLIS"</f>
        <v>FLORIANÓPOLIS</v>
      </c>
      <c r="W1237" t="str">
        <f t="shared" si="608"/>
        <v>SC</v>
      </c>
      <c r="X1237" t="str">
        <f t="shared" ref="X1237:X1242" si="630">"48"</f>
        <v>48</v>
      </c>
      <c r="Y1237" t="str">
        <f>"37712566"</f>
        <v>37712566</v>
      </c>
      <c r="Z1237" t="str">
        <f>""</f>
        <v/>
      </c>
      <c r="AA1237" t="str">
        <f>""</f>
        <v/>
      </c>
      <c r="AB1237" t="str">
        <f>""</f>
        <v/>
      </c>
      <c r="AC1237" t="str">
        <f>""</f>
        <v/>
      </c>
      <c r="AD1237" t="str">
        <f>""</f>
        <v/>
      </c>
      <c r="AE1237" t="str">
        <f>""</f>
        <v/>
      </c>
      <c r="AF1237" t="str">
        <f>""</f>
        <v/>
      </c>
      <c r="AG1237" t="str">
        <f>"S"</f>
        <v>S</v>
      </c>
      <c r="AH1237" t="str">
        <f>""</f>
        <v/>
      </c>
      <c r="AI1237" t="str">
        <f>""</f>
        <v/>
      </c>
      <c r="AJ1237" t="str">
        <f>""</f>
        <v/>
      </c>
      <c r="AK1237" t="str">
        <f>""</f>
        <v/>
      </c>
      <c r="AL1237" t="str">
        <f>""</f>
        <v/>
      </c>
      <c r="AM1237" t="str">
        <f>""</f>
        <v/>
      </c>
      <c r="AN1237" t="str">
        <f>""</f>
        <v/>
      </c>
      <c r="AO1237" t="str">
        <f>""</f>
        <v/>
      </c>
      <c r="AP1237" t="str">
        <f>""</f>
        <v/>
      </c>
      <c r="AQ1237" t="str">
        <f>"N"</f>
        <v>N</v>
      </c>
      <c r="AR1237" t="str">
        <f>"N"</f>
        <v>N</v>
      </c>
      <c r="AS1237" t="str">
        <f>"N"</f>
        <v>N</v>
      </c>
      <c r="AT1237" t="str">
        <f>"N"</f>
        <v>N</v>
      </c>
      <c r="AU1237" t="str">
        <f>"N"</f>
        <v>N</v>
      </c>
      <c r="AV1237" t="str">
        <f>""</f>
        <v/>
      </c>
      <c r="AW1237" t="str">
        <f>""</f>
        <v/>
      </c>
      <c r="AX1237" t="str">
        <f>""</f>
        <v/>
      </c>
      <c r="AY1237" t="str">
        <f>""</f>
        <v/>
      </c>
      <c r="AZ1237" t="str">
        <f>""</f>
        <v/>
      </c>
      <c r="BA1237" t="str">
        <f>""</f>
        <v/>
      </c>
      <c r="BB1237" t="str">
        <f>""</f>
        <v/>
      </c>
      <c r="BC1237" t="str">
        <f>"14/12/2021 08:53:16"</f>
        <v>14/12/2021 08:53:16</v>
      </c>
      <c r="BD1237" t="str">
        <f>""</f>
        <v/>
      </c>
      <c r="BE1237" t="str">
        <f>""</f>
        <v/>
      </c>
      <c r="BF1237" t="str">
        <f t="shared" si="624"/>
        <v>A</v>
      </c>
      <c r="BG1237" t="str">
        <f>""</f>
        <v/>
      </c>
      <c r="BH1237" t="str">
        <f>"0,00"</f>
        <v>0,00</v>
      </c>
      <c r="BI1237" t="str">
        <f t="shared" si="603"/>
        <v>EVENTUAL</v>
      </c>
      <c r="BJ1237" t="str">
        <f t="shared" si="625"/>
        <v>1</v>
      </c>
      <c r="BK1237" t="str">
        <f t="shared" si="626"/>
        <v>Farmacia</v>
      </c>
      <c r="BL1237" t="str">
        <f>""</f>
        <v/>
      </c>
      <c r="BM1237" t="str">
        <f>"NÃO É VARILUX ESPECIALISTA"</f>
        <v>NÃO É VARILUX ESPECIALISTA</v>
      </c>
      <c r="BN1237" t="str">
        <f>"NA"</f>
        <v>NA</v>
      </c>
      <c r="BO1237" t="str">
        <f>"FOCO VARILUX"</f>
        <v>FOCO VARILUX</v>
      </c>
      <c r="BP1237" t="str">
        <f>""</f>
        <v/>
      </c>
      <c r="BQ1237" t="str">
        <f>""</f>
        <v/>
      </c>
      <c r="BR1237" t="str">
        <f>""</f>
        <v/>
      </c>
      <c r="BS1237" t="str">
        <f>"14/12/2021"</f>
        <v>14/12/2021</v>
      </c>
      <c r="BT1237" t="str">
        <f>""</f>
        <v/>
      </c>
      <c r="BU1237" t="str">
        <f>""</f>
        <v/>
      </c>
      <c r="BV1237" t="str">
        <f>"9"</f>
        <v>9</v>
      </c>
      <c r="BW1237" t="str">
        <f>"28"</f>
        <v>28</v>
      </c>
    </row>
    <row r="1238" spans="1:75" x14ac:dyDescent="0.35">
      <c r="A1238">
        <v>156902</v>
      </c>
      <c r="B1238" t="str">
        <f t="shared" si="620"/>
        <v>A</v>
      </c>
      <c r="C1238" t="str">
        <f t="shared" si="621"/>
        <v>80</v>
      </c>
      <c r="D1238" t="str">
        <f t="shared" si="611"/>
        <v>11121002</v>
      </c>
      <c r="E1238" t="str">
        <f t="shared" si="612"/>
        <v>121002</v>
      </c>
      <c r="F1238" t="str">
        <f t="shared" si="613"/>
        <v>CINTHIA NORONHA</v>
      </c>
      <c r="G1238" t="str">
        <f>"49141095000152"</f>
        <v>49141095000152</v>
      </c>
      <c r="H1238" t="str">
        <f>"0"</f>
        <v>0</v>
      </c>
      <c r="I1238" t="str">
        <f t="shared" si="622"/>
        <v>CONTA OPTICA</v>
      </c>
      <c r="J1238" t="str">
        <f>"VIA GAROPABA JOALHERIA E OPTICA LTDA"</f>
        <v>VIA GAROPABA JOALHERIA E OPTICA LTDA</v>
      </c>
      <c r="K1238" t="str">
        <f>"VIA EXATA (4661)"</f>
        <v>VIA EXATA (4661)</v>
      </c>
      <c r="L1238" t="str">
        <f>""</f>
        <v/>
      </c>
      <c r="M1238" t="str">
        <f>""</f>
        <v/>
      </c>
      <c r="N1238" t="str">
        <f>"FINANCEIRO@WOPEFRANCHISING.COM.BR"</f>
        <v>FINANCEIRO@WOPEFRANCHISING.COM.BR</v>
      </c>
      <c r="O1238" t="str">
        <f>""</f>
        <v/>
      </c>
      <c r="P1238" t="str">
        <f>"RUA PREFEITO JOAO ORESTES DE ARAUJO"</f>
        <v>RUA PREFEITO JOAO ORESTES DE ARAUJO</v>
      </c>
      <c r="Q1238" t="str">
        <f>"567"</f>
        <v>567</v>
      </c>
      <c r="R1238" t="str">
        <f>"LOJA 02"</f>
        <v>LOJA 02</v>
      </c>
      <c r="S1238" t="str">
        <f>"1265"</f>
        <v>1265</v>
      </c>
      <c r="T1238" t="str">
        <f>"88495000"</f>
        <v>88495000</v>
      </c>
      <c r="U1238" t="str">
        <f>"CENTRO"</f>
        <v>CENTRO</v>
      </c>
      <c r="V1238" t="str">
        <f>"GAROPABA"</f>
        <v>GAROPABA</v>
      </c>
      <c r="W1238" t="str">
        <f t="shared" si="608"/>
        <v>SC</v>
      </c>
      <c r="X1238" t="str">
        <f t="shared" si="630"/>
        <v>48</v>
      </c>
      <c r="Y1238" t="str">
        <f>"998041869"</f>
        <v>998041869</v>
      </c>
      <c r="Z1238" t="str">
        <f>""</f>
        <v/>
      </c>
      <c r="AA1238" t="str">
        <f>""</f>
        <v/>
      </c>
      <c r="AB1238" t="str">
        <f>""</f>
        <v/>
      </c>
      <c r="AC1238" t="str">
        <f>""</f>
        <v/>
      </c>
      <c r="AD1238" t="str">
        <f>""</f>
        <v/>
      </c>
      <c r="AE1238" t="str">
        <f>""</f>
        <v/>
      </c>
      <c r="AF1238" t="str">
        <f>""</f>
        <v/>
      </c>
      <c r="AG1238" t="str">
        <f>""</f>
        <v/>
      </c>
      <c r="AH1238" t="str">
        <f>""</f>
        <v/>
      </c>
      <c r="AI1238" t="str">
        <f>""</f>
        <v/>
      </c>
      <c r="AJ1238" t="str">
        <f>""</f>
        <v/>
      </c>
      <c r="AK1238" t="str">
        <f>""</f>
        <v/>
      </c>
      <c r="AL1238" t="str">
        <f>""</f>
        <v/>
      </c>
      <c r="AM1238" t="str">
        <f>""</f>
        <v/>
      </c>
      <c r="AN1238" t="str">
        <f>""</f>
        <v/>
      </c>
      <c r="AO1238" t="str">
        <f>""</f>
        <v/>
      </c>
      <c r="AP1238" t="str">
        <f>""</f>
        <v/>
      </c>
      <c r="AQ1238" t="str">
        <f>""</f>
        <v/>
      </c>
      <c r="AR1238" t="str">
        <f>""</f>
        <v/>
      </c>
      <c r="AS1238" t="str">
        <f>""</f>
        <v/>
      </c>
      <c r="AT1238" t="str">
        <f>""</f>
        <v/>
      </c>
      <c r="AU1238" t="str">
        <f>""</f>
        <v/>
      </c>
      <c r="AV1238" t="str">
        <f>""</f>
        <v/>
      </c>
      <c r="AW1238" t="str">
        <f>""</f>
        <v/>
      </c>
      <c r="AX1238" t="str">
        <f>""</f>
        <v/>
      </c>
      <c r="AY1238" t="str">
        <f>""</f>
        <v/>
      </c>
      <c r="AZ1238" t="str">
        <f>""</f>
        <v/>
      </c>
      <c r="BA1238" t="str">
        <f>""</f>
        <v/>
      </c>
      <c r="BB1238" t="str">
        <f>"06/07/2023 12:07:48"</f>
        <v>06/07/2023 12:07:48</v>
      </c>
      <c r="BC1238" t="str">
        <f>""</f>
        <v/>
      </c>
      <c r="BD1238" t="str">
        <f>""</f>
        <v/>
      </c>
      <c r="BE1238" t="str">
        <f>""</f>
        <v/>
      </c>
      <c r="BF1238" t="str">
        <f t="shared" si="624"/>
        <v>A</v>
      </c>
      <c r="BG1238" t="str">
        <f>""</f>
        <v/>
      </c>
      <c r="BH1238" t="str">
        <f>""</f>
        <v/>
      </c>
      <c r="BI1238" t="str">
        <f t="shared" si="603"/>
        <v>EVENTUAL</v>
      </c>
      <c r="BJ1238" t="str">
        <f t="shared" si="625"/>
        <v>1</v>
      </c>
      <c r="BK1238" t="str">
        <f t="shared" si="626"/>
        <v>Farmacia</v>
      </c>
      <c r="BL1238" t="str">
        <f>""</f>
        <v/>
      </c>
      <c r="BM1238" t="str">
        <f>""</f>
        <v/>
      </c>
      <c r="BN1238" t="str">
        <f>""</f>
        <v/>
      </c>
      <c r="BO1238" t="str">
        <f>""</f>
        <v/>
      </c>
      <c r="BP1238" t="str">
        <f>""</f>
        <v/>
      </c>
      <c r="BQ1238" t="str">
        <f>""</f>
        <v/>
      </c>
      <c r="BR1238" t="str">
        <f>"06/07/2023"</f>
        <v>06/07/2023</v>
      </c>
      <c r="BS1238" t="str">
        <f>""</f>
        <v/>
      </c>
      <c r="BT1238" t="str">
        <f>""</f>
        <v/>
      </c>
      <c r="BU1238" t="str">
        <f>""</f>
        <v/>
      </c>
      <c r="BV1238" t="str">
        <f>""</f>
        <v/>
      </c>
      <c r="BW1238" t="str">
        <f>"Não visitado"</f>
        <v>Não visitado</v>
      </c>
    </row>
    <row r="1239" spans="1:75" x14ac:dyDescent="0.35">
      <c r="A1239">
        <v>134400</v>
      </c>
      <c r="B1239" t="str">
        <f t="shared" si="620"/>
        <v>A</v>
      </c>
      <c r="C1239" t="str">
        <f t="shared" si="621"/>
        <v>80</v>
      </c>
      <c r="D1239" t="str">
        <f t="shared" si="611"/>
        <v>11121002</v>
      </c>
      <c r="E1239" t="str">
        <f t="shared" si="612"/>
        <v>121002</v>
      </c>
      <c r="F1239" t="str">
        <f t="shared" si="613"/>
        <v>CINTHIA NORONHA</v>
      </c>
      <c r="G1239" t="str">
        <f>"31549003000102"</f>
        <v>31549003000102</v>
      </c>
      <c r="H1239" t="str">
        <f>""</f>
        <v/>
      </c>
      <c r="I1239" t="str">
        <f t="shared" si="622"/>
        <v>CONTA OPTICA</v>
      </c>
      <c r="J1239" t="str">
        <f>"VIA KOBRASOL JOALHERIA E OPTICA LTDA"</f>
        <v>VIA KOBRASOL JOALHERIA E OPTICA LTDA</v>
      </c>
      <c r="K1239" t="str">
        <f>"VIA VISAO (4002)"</f>
        <v>VIA VISAO (4002)</v>
      </c>
      <c r="L1239" t="str">
        <f>""</f>
        <v/>
      </c>
      <c r="M1239" t="str">
        <f>""</f>
        <v/>
      </c>
      <c r="N1239" t="str">
        <f>"viavisaokobrasol@gmail.com"</f>
        <v>viavisaokobrasol@gmail.com</v>
      </c>
      <c r="O1239" t="str">
        <f>""</f>
        <v/>
      </c>
      <c r="P1239" t="str">
        <f>"RUA FELIPE SCHMIDT"</f>
        <v>RUA FELIPE SCHMIDT</v>
      </c>
      <c r="Q1239" t="str">
        <f>"176"</f>
        <v>176</v>
      </c>
      <c r="R1239" t="str">
        <f>"LJ 3"</f>
        <v>LJ 3</v>
      </c>
      <c r="S1239" t="str">
        <f>"1254"</f>
        <v>1254</v>
      </c>
      <c r="T1239" t="str">
        <f>"88010000"</f>
        <v>88010000</v>
      </c>
      <c r="U1239" t="str">
        <f>"CENTRO"</f>
        <v>CENTRO</v>
      </c>
      <c r="V1239" t="str">
        <f>"FLORIANÓPOLIS"</f>
        <v>FLORIANÓPOLIS</v>
      </c>
      <c r="W1239" t="str">
        <f t="shared" si="608"/>
        <v>SC</v>
      </c>
      <c r="X1239" t="str">
        <f t="shared" si="630"/>
        <v>48</v>
      </c>
      <c r="Y1239" t="str">
        <f>"30395555"</f>
        <v>30395555</v>
      </c>
      <c r="Z1239" t="str">
        <f>""</f>
        <v/>
      </c>
      <c r="AA1239" t="str">
        <f>""</f>
        <v/>
      </c>
      <c r="AB1239" t="str">
        <f>""</f>
        <v/>
      </c>
      <c r="AC1239" t="str">
        <f>""</f>
        <v/>
      </c>
      <c r="AD1239" t="str">
        <f>""</f>
        <v/>
      </c>
      <c r="AE1239" t="str">
        <f>""</f>
        <v/>
      </c>
      <c r="AF1239" t="str">
        <f>""</f>
        <v/>
      </c>
      <c r="AG1239" t="str">
        <f>"S"</f>
        <v>S</v>
      </c>
      <c r="AH1239" t="str">
        <f>""</f>
        <v/>
      </c>
      <c r="AI1239" t="str">
        <f>""</f>
        <v/>
      </c>
      <c r="AJ1239" t="str">
        <f>""</f>
        <v/>
      </c>
      <c r="AK1239" t="str">
        <f>""</f>
        <v/>
      </c>
      <c r="AL1239" t="str">
        <f>""</f>
        <v/>
      </c>
      <c r="AM1239" t="str">
        <f>""</f>
        <v/>
      </c>
      <c r="AN1239" t="str">
        <f>""</f>
        <v/>
      </c>
      <c r="AO1239" t="str">
        <f>""</f>
        <v/>
      </c>
      <c r="AP1239" t="str">
        <f>""</f>
        <v/>
      </c>
      <c r="AQ1239" t="str">
        <f>"N"</f>
        <v>N</v>
      </c>
      <c r="AR1239" t="str">
        <f>"N"</f>
        <v>N</v>
      </c>
      <c r="AS1239" t="str">
        <f>"N"</f>
        <v>N</v>
      </c>
      <c r="AT1239" t="str">
        <f>"N"</f>
        <v>N</v>
      </c>
      <c r="AU1239" t="str">
        <f>"N"</f>
        <v>N</v>
      </c>
      <c r="AV1239" t="str">
        <f>""</f>
        <v/>
      </c>
      <c r="AW1239" t="str">
        <f>""</f>
        <v/>
      </c>
      <c r="AX1239" t="str">
        <f>""</f>
        <v/>
      </c>
      <c r="AY1239" t="str">
        <f>""</f>
        <v/>
      </c>
      <c r="AZ1239" t="str">
        <f>""</f>
        <v/>
      </c>
      <c r="BA1239" t="str">
        <f>""</f>
        <v/>
      </c>
      <c r="BB1239" t="str">
        <f>""</f>
        <v/>
      </c>
      <c r="BC1239" t="str">
        <f>"14/12/2021 08:45:47"</f>
        <v>14/12/2021 08:45:47</v>
      </c>
      <c r="BD1239" t="str">
        <f>""</f>
        <v/>
      </c>
      <c r="BE1239" t="str">
        <f>""</f>
        <v/>
      </c>
      <c r="BF1239" t="str">
        <f t="shared" si="624"/>
        <v>A</v>
      </c>
      <c r="BG1239" t="str">
        <f>""</f>
        <v/>
      </c>
      <c r="BH1239" t="str">
        <f>"0,00"</f>
        <v>0,00</v>
      </c>
      <c r="BI1239" t="str">
        <f t="shared" si="603"/>
        <v>EVENTUAL</v>
      </c>
      <c r="BJ1239" t="str">
        <f t="shared" si="625"/>
        <v>1</v>
      </c>
      <c r="BK1239" t="str">
        <f t="shared" si="626"/>
        <v>Farmacia</v>
      </c>
      <c r="BL1239" t="str">
        <f>""</f>
        <v/>
      </c>
      <c r="BM1239" t="str">
        <f>"NÃO É VARILUX ESPECIALISTA"</f>
        <v>NÃO É VARILUX ESPECIALISTA</v>
      </c>
      <c r="BN1239" t="str">
        <f>"NA"</f>
        <v>NA</v>
      </c>
      <c r="BO1239" t="str">
        <f>"FOCO VARILUX"</f>
        <v>FOCO VARILUX</v>
      </c>
      <c r="BP1239" t="str">
        <f>""</f>
        <v/>
      </c>
      <c r="BQ1239" t="str">
        <f>""</f>
        <v/>
      </c>
      <c r="BR1239" t="str">
        <f>""</f>
        <v/>
      </c>
      <c r="BS1239" t="str">
        <f>"14/12/2021"</f>
        <v>14/12/2021</v>
      </c>
      <c r="BT1239" t="str">
        <f>""</f>
        <v/>
      </c>
      <c r="BU1239" t="str">
        <f>""</f>
        <v/>
      </c>
      <c r="BV1239" t="str">
        <f>"7"</f>
        <v>7</v>
      </c>
      <c r="BW1239" t="str">
        <f>"487"</f>
        <v>487</v>
      </c>
    </row>
    <row r="1240" spans="1:75" x14ac:dyDescent="0.35">
      <c r="A1240">
        <v>437</v>
      </c>
      <c r="B1240" t="str">
        <f t="shared" si="620"/>
        <v>A</v>
      </c>
      <c r="C1240" t="str">
        <f t="shared" si="621"/>
        <v>80</v>
      </c>
      <c r="D1240" t="str">
        <f t="shared" si="611"/>
        <v>11121002</v>
      </c>
      <c r="E1240" t="str">
        <f t="shared" si="612"/>
        <v>121002</v>
      </c>
      <c r="F1240" t="str">
        <f t="shared" si="613"/>
        <v>CINTHIA NORONHA</v>
      </c>
      <c r="G1240" t="str">
        <f>"07394370000108"</f>
        <v>07394370000108</v>
      </c>
      <c r="H1240" t="str">
        <f>""</f>
        <v/>
      </c>
      <c r="I1240" t="str">
        <f t="shared" si="622"/>
        <v>CONTA OPTICA</v>
      </c>
      <c r="J1240" t="str">
        <f>"VIEIRA FERNANDES E CIA LTDA"</f>
        <v>VIEIRA FERNANDES E CIA LTDA</v>
      </c>
      <c r="K1240" t="str">
        <f>"VIEIRA JOIAS E OPTICA (854)"</f>
        <v>VIEIRA JOIAS E OPTICA (854)</v>
      </c>
      <c r="L1240" t="str">
        <f>""</f>
        <v/>
      </c>
      <c r="M1240" t="str">
        <f>""</f>
        <v/>
      </c>
      <c r="N1240" t="str">
        <f>"vieirajoiaseoptica@gmail.com"</f>
        <v>vieirajoiaseoptica@gmail.com</v>
      </c>
      <c r="O1240" t="str">
        <f>""</f>
        <v/>
      </c>
      <c r="P1240" t="str">
        <f>"AVENIDA DELAMAR JOSE DA SILVA"</f>
        <v>AVENIDA DELAMAR JOSE DA SILVA</v>
      </c>
      <c r="Q1240" t="str">
        <f>"254"</f>
        <v>254</v>
      </c>
      <c r="R1240" t="str">
        <f>"LOJA 02"</f>
        <v>LOJA 02</v>
      </c>
      <c r="S1240" t="str">
        <f>"1259"</f>
        <v>1259</v>
      </c>
      <c r="T1240" t="str">
        <f>"88102100"</f>
        <v>88102100</v>
      </c>
      <c r="U1240" t="str">
        <f>"KOBRASOL"</f>
        <v>KOBRASOL</v>
      </c>
      <c r="V1240" t="str">
        <f>"SÃO JOSÉ"</f>
        <v>SÃO JOSÉ</v>
      </c>
      <c r="W1240" t="str">
        <f t="shared" si="608"/>
        <v>SC</v>
      </c>
      <c r="X1240" t="str">
        <f t="shared" si="630"/>
        <v>48</v>
      </c>
      <c r="Y1240" t="str">
        <f>"32591387"</f>
        <v>32591387</v>
      </c>
      <c r="Z1240" t="str">
        <f>""</f>
        <v/>
      </c>
      <c r="AA1240" t="str">
        <f>""</f>
        <v/>
      </c>
      <c r="AB1240" t="str">
        <f>""</f>
        <v/>
      </c>
      <c r="AC1240" t="str">
        <f>""</f>
        <v/>
      </c>
      <c r="AD1240" t="str">
        <f>""</f>
        <v/>
      </c>
      <c r="AE1240" t="str">
        <f>""</f>
        <v/>
      </c>
      <c r="AF1240" t="str">
        <f>""</f>
        <v/>
      </c>
      <c r="AG1240" t="str">
        <f>""</f>
        <v/>
      </c>
      <c r="AH1240" t="str">
        <f>""</f>
        <v/>
      </c>
      <c r="AI1240" t="str">
        <f>""</f>
        <v/>
      </c>
      <c r="AJ1240" t="str">
        <f t="shared" ref="AJ1240:AL1242" si="631">"0"</f>
        <v>0</v>
      </c>
      <c r="AK1240" t="str">
        <f t="shared" si="631"/>
        <v>0</v>
      </c>
      <c r="AL1240" t="str">
        <f t="shared" si="631"/>
        <v>0</v>
      </c>
      <c r="AM1240" t="str">
        <f>""</f>
        <v/>
      </c>
      <c r="AN1240" t="str">
        <f>""</f>
        <v/>
      </c>
      <c r="AO1240" t="str">
        <f>""</f>
        <v/>
      </c>
      <c r="AP1240" t="str">
        <f>""</f>
        <v/>
      </c>
      <c r="AQ1240" t="str">
        <f>""</f>
        <v/>
      </c>
      <c r="AR1240" t="str">
        <f>""</f>
        <v/>
      </c>
      <c r="AS1240" t="str">
        <f>""</f>
        <v/>
      </c>
      <c r="AT1240" t="str">
        <f>""</f>
        <v/>
      </c>
      <c r="AU1240" t="str">
        <f>""</f>
        <v/>
      </c>
      <c r="AV1240" t="str">
        <f>""</f>
        <v/>
      </c>
      <c r="AW1240" t="str">
        <f>""</f>
        <v/>
      </c>
      <c r="AX1240" t="str">
        <f>""</f>
        <v/>
      </c>
      <c r="AY1240" t="str">
        <f>""</f>
        <v/>
      </c>
      <c r="AZ1240" t="str">
        <f>""</f>
        <v/>
      </c>
      <c r="BA1240" t="str">
        <f>""</f>
        <v/>
      </c>
      <c r="BB1240" t="str">
        <f>"27/07/2018 09:25:43"</f>
        <v>27/07/2018 09:25:43</v>
      </c>
      <c r="BC1240" t="str">
        <f>""</f>
        <v/>
      </c>
      <c r="BD1240" t="str">
        <f>""</f>
        <v/>
      </c>
      <c r="BE1240" t="str">
        <f>"437"</f>
        <v>437</v>
      </c>
      <c r="BF1240" t="str">
        <f t="shared" si="624"/>
        <v>A</v>
      </c>
      <c r="BG1240" t="str">
        <f>"0,00"</f>
        <v>0,00</v>
      </c>
      <c r="BH1240" t="str">
        <f>"0,00"</f>
        <v>0,00</v>
      </c>
      <c r="BI1240" t="str">
        <f t="shared" si="603"/>
        <v>EVENTUAL</v>
      </c>
      <c r="BJ1240" t="str">
        <f t="shared" si="625"/>
        <v>1</v>
      </c>
      <c r="BK1240" t="str">
        <f t="shared" si="626"/>
        <v>Farmacia</v>
      </c>
      <c r="BL1240" t="str">
        <f>""</f>
        <v/>
      </c>
      <c r="BM1240" t="str">
        <f>"NÃO É VARILUX ESPECIALISTA"</f>
        <v>NÃO É VARILUX ESPECIALISTA</v>
      </c>
      <c r="BN1240" t="str">
        <f>"NA"</f>
        <v>NA</v>
      </c>
      <c r="BO1240" t="str">
        <f>"OUTROS"</f>
        <v>OUTROS</v>
      </c>
      <c r="BP1240" t="str">
        <f>""</f>
        <v/>
      </c>
      <c r="BQ1240" t="str">
        <f>""</f>
        <v/>
      </c>
      <c r="BR1240" t="str">
        <f>"27/07/2018"</f>
        <v>27/07/2018</v>
      </c>
      <c r="BS1240" t="str">
        <f>""</f>
        <v/>
      </c>
      <c r="BT1240" t="str">
        <f>""</f>
        <v/>
      </c>
      <c r="BU1240" t="str">
        <f>""</f>
        <v/>
      </c>
      <c r="BV1240" t="str">
        <f>"9"</f>
        <v>9</v>
      </c>
      <c r="BW1240" t="str">
        <f>"14"</f>
        <v>14</v>
      </c>
    </row>
    <row r="1241" spans="1:75" x14ac:dyDescent="0.35">
      <c r="A1241">
        <v>144392</v>
      </c>
      <c r="B1241" t="str">
        <f t="shared" si="620"/>
        <v>A</v>
      </c>
      <c r="C1241" t="str">
        <f t="shared" si="621"/>
        <v>80</v>
      </c>
      <c r="D1241" t="str">
        <f t="shared" si="611"/>
        <v>11121002</v>
      </c>
      <c r="E1241" t="str">
        <f t="shared" si="612"/>
        <v>121002</v>
      </c>
      <c r="F1241" t="str">
        <f t="shared" si="613"/>
        <v>CINTHIA NORONHA</v>
      </c>
      <c r="G1241" t="str">
        <f>"83842153000103"</f>
        <v>83842153000103</v>
      </c>
      <c r="H1241" t="str">
        <f>""</f>
        <v/>
      </c>
      <c r="I1241" t="str">
        <f t="shared" si="622"/>
        <v>CONTA OPTICA</v>
      </c>
      <c r="J1241" t="str">
        <f>"VILMA MARIA VITORETI"</f>
        <v>VILMA MARIA VITORETI</v>
      </c>
      <c r="K1241" t="str">
        <f>"VILMA MARIA VITORETI (457)"</f>
        <v>VILMA MARIA VITORETI (457)</v>
      </c>
      <c r="L1241" t="str">
        <f>""</f>
        <v/>
      </c>
      <c r="M1241" t="str">
        <f>""</f>
        <v/>
      </c>
      <c r="N1241" t="str">
        <f>"oticavitoreti@hotmail.com"</f>
        <v>oticavitoreti@hotmail.com</v>
      </c>
      <c r="O1241" t="str">
        <f>""</f>
        <v/>
      </c>
      <c r="P1241" t="str">
        <f>"AVENIDA RUI BARBOSA"</f>
        <v>AVENIDA RUI BARBOSA</v>
      </c>
      <c r="Q1241" t="str">
        <f>"56"</f>
        <v>56</v>
      </c>
      <c r="R1241" t="str">
        <f>""</f>
        <v/>
      </c>
      <c r="S1241" t="str">
        <f>"1269"</f>
        <v>1269</v>
      </c>
      <c r="T1241" t="str">
        <f>"88801120"</f>
        <v>88801120</v>
      </c>
      <c r="U1241" t="str">
        <f>"CENTRO"</f>
        <v>CENTRO</v>
      </c>
      <c r="V1241" t="str">
        <f>"CRICIÚMA"</f>
        <v>CRICIÚMA</v>
      </c>
      <c r="W1241" t="str">
        <f t="shared" si="608"/>
        <v>SC</v>
      </c>
      <c r="X1241" t="str">
        <f t="shared" si="630"/>
        <v>48</v>
      </c>
      <c r="Y1241" t="str">
        <f>"34332602"</f>
        <v>34332602</v>
      </c>
      <c r="Z1241" t="str">
        <f>""</f>
        <v/>
      </c>
      <c r="AA1241" t="str">
        <f>""</f>
        <v/>
      </c>
      <c r="AB1241" t="str">
        <f>""</f>
        <v/>
      </c>
      <c r="AC1241" t="str">
        <f>""</f>
        <v/>
      </c>
      <c r="AD1241" t="str">
        <f>""</f>
        <v/>
      </c>
      <c r="AE1241" t="str">
        <f>""</f>
        <v/>
      </c>
      <c r="AF1241" t="str">
        <f>""</f>
        <v/>
      </c>
      <c r="AG1241" t="str">
        <f>""</f>
        <v/>
      </c>
      <c r="AH1241" t="str">
        <f>""</f>
        <v/>
      </c>
      <c r="AI1241" t="str">
        <f>""</f>
        <v/>
      </c>
      <c r="AJ1241" t="str">
        <f t="shared" si="631"/>
        <v>0</v>
      </c>
      <c r="AK1241" t="str">
        <f t="shared" si="631"/>
        <v>0</v>
      </c>
      <c r="AL1241" t="str">
        <f t="shared" si="631"/>
        <v>0</v>
      </c>
      <c r="AM1241" t="str">
        <f>""</f>
        <v/>
      </c>
      <c r="AN1241" t="str">
        <f>""</f>
        <v/>
      </c>
      <c r="AO1241" t="str">
        <f>""</f>
        <v/>
      </c>
      <c r="AP1241" t="str">
        <f>""</f>
        <v/>
      </c>
      <c r="AQ1241" t="str">
        <f>""</f>
        <v/>
      </c>
      <c r="AR1241" t="str">
        <f>""</f>
        <v/>
      </c>
      <c r="AS1241" t="str">
        <f>""</f>
        <v/>
      </c>
      <c r="AT1241" t="str">
        <f>""</f>
        <v/>
      </c>
      <c r="AU1241" t="str">
        <f>""</f>
        <v/>
      </c>
      <c r="AV1241" t="str">
        <f>""</f>
        <v/>
      </c>
      <c r="AW1241" t="str">
        <f>""</f>
        <v/>
      </c>
      <c r="AX1241" t="str">
        <f>""</f>
        <v/>
      </c>
      <c r="AY1241" t="str">
        <f>""</f>
        <v/>
      </c>
      <c r="AZ1241" t="str">
        <f>""</f>
        <v/>
      </c>
      <c r="BA1241" t="str">
        <f>""</f>
        <v/>
      </c>
      <c r="BB1241" t="str">
        <f>""</f>
        <v/>
      </c>
      <c r="BC1241" t="str">
        <f>""</f>
        <v/>
      </c>
      <c r="BD1241" t="str">
        <f>""</f>
        <v/>
      </c>
      <c r="BE1241" t="str">
        <f>""</f>
        <v/>
      </c>
      <c r="BF1241" t="str">
        <f t="shared" si="624"/>
        <v>A</v>
      </c>
      <c r="BG1241" t="str">
        <f>"0,00"</f>
        <v>0,00</v>
      </c>
      <c r="BH1241" t="str">
        <f>"0,00"</f>
        <v>0,00</v>
      </c>
      <c r="BI1241" t="str">
        <f t="shared" si="603"/>
        <v>EVENTUAL</v>
      </c>
      <c r="BJ1241" t="str">
        <f t="shared" si="625"/>
        <v>1</v>
      </c>
      <c r="BK1241" t="str">
        <f t="shared" si="626"/>
        <v>Farmacia</v>
      </c>
      <c r="BL1241" t="str">
        <f>""</f>
        <v/>
      </c>
      <c r="BM1241" t="str">
        <f>"NÃO É VARILUX ESPECIALISTA"</f>
        <v>NÃO É VARILUX ESPECIALISTA</v>
      </c>
      <c r="BN1241" t="str">
        <f>"EL360"</f>
        <v>EL360</v>
      </c>
      <c r="BO1241" t="str">
        <f>"FOCO KODAK 2"</f>
        <v>FOCO KODAK 2</v>
      </c>
      <c r="BP1241" t="str">
        <f>""</f>
        <v/>
      </c>
      <c r="BQ1241" t="str">
        <f>""</f>
        <v/>
      </c>
      <c r="BR1241" t="str">
        <f>""</f>
        <v/>
      </c>
      <c r="BS1241" t="str">
        <f>""</f>
        <v/>
      </c>
      <c r="BT1241" t="str">
        <f>""</f>
        <v/>
      </c>
      <c r="BU1241" t="str">
        <f>""</f>
        <v/>
      </c>
      <c r="BV1241" t="str">
        <f>"2"</f>
        <v>2</v>
      </c>
      <c r="BW1241" t="str">
        <f>"Não visitado"</f>
        <v>Não visitado</v>
      </c>
    </row>
    <row r="1242" spans="1:75" x14ac:dyDescent="0.35">
      <c r="A1242">
        <v>134250</v>
      </c>
      <c r="B1242" t="str">
        <f t="shared" si="620"/>
        <v>A</v>
      </c>
      <c r="C1242" t="str">
        <f t="shared" si="621"/>
        <v>80</v>
      </c>
      <c r="D1242" t="str">
        <f t="shared" si="611"/>
        <v>11121002</v>
      </c>
      <c r="E1242" t="str">
        <f t="shared" si="612"/>
        <v>121002</v>
      </c>
      <c r="F1242" t="str">
        <f t="shared" si="613"/>
        <v>CINTHIA NORONHA</v>
      </c>
      <c r="G1242" t="str">
        <f>"17161064000177"</f>
        <v>17161064000177</v>
      </c>
      <c r="H1242" t="str">
        <f>""</f>
        <v/>
      </c>
      <c r="I1242" t="str">
        <f t="shared" si="622"/>
        <v>CONTA OPTICA</v>
      </c>
      <c r="J1242" t="str">
        <f>"VILMAR ARI MARTINS JUNIOR ME"</f>
        <v>VILMAR ARI MARTINS JUNIOR ME</v>
      </c>
      <c r="K1242" t="str">
        <f>"OTICA ESSENCIAL (1958)"</f>
        <v>OTICA ESSENCIAL (1958)</v>
      </c>
      <c r="L1242" t="str">
        <f>""</f>
        <v/>
      </c>
      <c r="M1242" t="str">
        <f>""</f>
        <v/>
      </c>
      <c r="N1242" t="str">
        <f>"junior_vilmar@hotmail.com"</f>
        <v>junior_vilmar@hotmail.com</v>
      </c>
      <c r="O1242" t="str">
        <f>""</f>
        <v/>
      </c>
      <c r="P1242" t="str">
        <f>"AVENIDA BARAO DO RIO BRANCO"</f>
        <v>AVENIDA BARAO DO RIO BRANCO</v>
      </c>
      <c r="Q1242" t="str">
        <f>"31"</f>
        <v>31</v>
      </c>
      <c r="R1242" t="str">
        <f>"LOJA 305"</f>
        <v>LOJA 305</v>
      </c>
      <c r="S1242" t="str">
        <f>"1259"</f>
        <v>1259</v>
      </c>
      <c r="T1242" t="str">
        <f>"88130101"</f>
        <v>88130101</v>
      </c>
      <c r="U1242" t="str">
        <f>"CENTRO"</f>
        <v>CENTRO</v>
      </c>
      <c r="V1242" t="str">
        <f>"PALHOÇA"</f>
        <v>PALHOÇA</v>
      </c>
      <c r="W1242" t="str">
        <f t="shared" si="608"/>
        <v>SC</v>
      </c>
      <c r="X1242" t="str">
        <f t="shared" si="630"/>
        <v>48</v>
      </c>
      <c r="Y1242" t="str">
        <f>"30332100"</f>
        <v>30332100</v>
      </c>
      <c r="Z1242" t="str">
        <f>""</f>
        <v/>
      </c>
      <c r="AA1242" t="str">
        <f>""</f>
        <v/>
      </c>
      <c r="AB1242" t="str">
        <f>""</f>
        <v/>
      </c>
      <c r="AC1242" t="str">
        <f>""</f>
        <v/>
      </c>
      <c r="AD1242" t="str">
        <f>""</f>
        <v/>
      </c>
      <c r="AE1242" t="str">
        <f>""</f>
        <v/>
      </c>
      <c r="AF1242" t="str">
        <f>""</f>
        <v/>
      </c>
      <c r="AG1242" t="str">
        <f>"S"</f>
        <v>S</v>
      </c>
      <c r="AH1242" t="str">
        <f>""</f>
        <v/>
      </c>
      <c r="AI1242" t="str">
        <f>""</f>
        <v/>
      </c>
      <c r="AJ1242" t="str">
        <f t="shared" si="631"/>
        <v>0</v>
      </c>
      <c r="AK1242" t="str">
        <f t="shared" si="631"/>
        <v>0</v>
      </c>
      <c r="AL1242" t="str">
        <f t="shared" si="631"/>
        <v>0</v>
      </c>
      <c r="AM1242" t="str">
        <f>""</f>
        <v/>
      </c>
      <c r="AN1242" t="str">
        <f>""</f>
        <v/>
      </c>
      <c r="AO1242" t="str">
        <f>""</f>
        <v/>
      </c>
      <c r="AP1242" t="str">
        <f>""</f>
        <v/>
      </c>
      <c r="AQ1242" t="str">
        <f>"N"</f>
        <v>N</v>
      </c>
      <c r="AR1242" t="str">
        <f>"N"</f>
        <v>N</v>
      </c>
      <c r="AS1242" t="str">
        <f>"N"</f>
        <v>N</v>
      </c>
      <c r="AT1242" t="str">
        <f>"N"</f>
        <v>N</v>
      </c>
      <c r="AU1242" t="str">
        <f>"N"</f>
        <v>N</v>
      </c>
      <c r="AV1242" t="str">
        <f>""</f>
        <v/>
      </c>
      <c r="AW1242" t="str">
        <f>""</f>
        <v/>
      </c>
      <c r="AX1242" t="str">
        <f>""</f>
        <v/>
      </c>
      <c r="AY1242" t="str">
        <f>""</f>
        <v/>
      </c>
      <c r="AZ1242" t="str">
        <f>""</f>
        <v/>
      </c>
      <c r="BA1242" t="str">
        <f>""</f>
        <v/>
      </c>
      <c r="BB1242" t="str">
        <f>""</f>
        <v/>
      </c>
      <c r="BC1242" t="str">
        <f>"22/04/2022 16:32:54"</f>
        <v>22/04/2022 16:32:54</v>
      </c>
      <c r="BD1242" t="str">
        <f>""</f>
        <v/>
      </c>
      <c r="BE1242" t="str">
        <f>""</f>
        <v/>
      </c>
      <c r="BF1242" t="str">
        <f t="shared" si="624"/>
        <v>A</v>
      </c>
      <c r="BG1242" t="str">
        <f>"0,00"</f>
        <v>0,00</v>
      </c>
      <c r="BH1242" t="str">
        <f>"0,00"</f>
        <v>0,00</v>
      </c>
      <c r="BI1242" t="str">
        <f t="shared" si="603"/>
        <v>EVENTUAL</v>
      </c>
      <c r="BJ1242" t="str">
        <f t="shared" si="625"/>
        <v>1</v>
      </c>
      <c r="BK1242" t="str">
        <f t="shared" si="626"/>
        <v>Farmacia</v>
      </c>
      <c r="BL1242" t="str">
        <f>""</f>
        <v/>
      </c>
      <c r="BM1242" t="str">
        <f>"NÃO É VARILUX ESPECIALISTA"</f>
        <v>NÃO É VARILUX ESPECIALISTA</v>
      </c>
      <c r="BN1242" t="str">
        <f>"NA"</f>
        <v>NA</v>
      </c>
      <c r="BO1242" t="str">
        <f>"FOCO VARILUX"</f>
        <v>FOCO VARILUX</v>
      </c>
      <c r="BP1242" t="str">
        <f>""</f>
        <v/>
      </c>
      <c r="BQ1242" t="str">
        <f>""</f>
        <v/>
      </c>
      <c r="BR1242" t="str">
        <f>""</f>
        <v/>
      </c>
      <c r="BS1242" t="str">
        <f>"22/04/2022"</f>
        <v>22/04/2022</v>
      </c>
      <c r="BT1242" t="str">
        <f>""</f>
        <v/>
      </c>
      <c r="BU1242" t="str">
        <f>""</f>
        <v/>
      </c>
      <c r="BV1242" t="str">
        <f>"9"</f>
        <v>9</v>
      </c>
      <c r="BW1242" t="str">
        <f>"18"</f>
        <v>18</v>
      </c>
    </row>
    <row r="1243" spans="1:75" x14ac:dyDescent="0.35">
      <c r="A1243">
        <v>159576</v>
      </c>
      <c r="B1243" t="str">
        <f t="shared" si="620"/>
        <v>A</v>
      </c>
      <c r="C1243" t="str">
        <f t="shared" si="621"/>
        <v>80</v>
      </c>
      <c r="D1243" t="str">
        <f t="shared" si="611"/>
        <v>11121002</v>
      </c>
      <c r="E1243" t="str">
        <f t="shared" si="612"/>
        <v>121002</v>
      </c>
      <c r="F1243" t="str">
        <f t="shared" si="613"/>
        <v>CINTHIA NORONHA</v>
      </c>
      <c r="G1243" t="str">
        <f>"51812936000158"</f>
        <v>51812936000158</v>
      </c>
      <c r="H1243" t="str">
        <f>""</f>
        <v/>
      </c>
      <c r="I1243" t="str">
        <f t="shared" si="622"/>
        <v>CONTA OPTICA</v>
      </c>
      <c r="J1243" t="str">
        <f>"VINICIUS FERRONATTO LTDA"</f>
        <v>VINICIUS FERRONATTO LTDA</v>
      </c>
      <c r="K1243" t="str">
        <f>"CHILLI BEANS (4773)"</f>
        <v>CHILLI BEANS (4773)</v>
      </c>
      <c r="L1243" t="str">
        <f>""</f>
        <v/>
      </c>
      <c r="M1243" t="str">
        <f>""</f>
        <v/>
      </c>
      <c r="N1243" t="str">
        <f>"ADM.FERRONATTOEPAZA@GMAIL.COM"</f>
        <v>ADM.FERRONATTOEPAZA@GMAIL.COM</v>
      </c>
      <c r="O1243" t="str">
        <f>""</f>
        <v/>
      </c>
      <c r="P1243" t="str">
        <f>"ROD JOSE CARLOS DAUX"</f>
        <v>ROD JOSE CARLOS DAUX</v>
      </c>
      <c r="Q1243" t="str">
        <f>"3116"</f>
        <v>3116</v>
      </c>
      <c r="R1243" t="str">
        <f>"SALA 243 PAVMTO"</f>
        <v>SALA 243 PAVMTO</v>
      </c>
      <c r="S1243" t="str">
        <f>"1257"</f>
        <v>1257</v>
      </c>
      <c r="T1243" t="str">
        <f>"88030000"</f>
        <v>88030000</v>
      </c>
      <c r="U1243" t="str">
        <f>"JOAO PAULO"</f>
        <v>JOAO PAULO</v>
      </c>
      <c r="V1243" t="str">
        <f>"FLORIANOPOLIS"</f>
        <v>FLORIANOPOLIS</v>
      </c>
      <c r="W1243" t="str">
        <f t="shared" si="608"/>
        <v>SC</v>
      </c>
      <c r="X1243" t="str">
        <f>"42"</f>
        <v>42</v>
      </c>
      <c r="Y1243" t="str">
        <f>"998585101"</f>
        <v>998585101</v>
      </c>
      <c r="Z1243" t="str">
        <f>""</f>
        <v/>
      </c>
      <c r="AA1243" t="str">
        <f>""</f>
        <v/>
      </c>
      <c r="AB1243" t="str">
        <f>""</f>
        <v/>
      </c>
      <c r="AC1243" t="str">
        <f>""</f>
        <v/>
      </c>
      <c r="AD1243" t="str">
        <f>""</f>
        <v/>
      </c>
      <c r="AE1243" t="str">
        <f>""</f>
        <v/>
      </c>
      <c r="AF1243" t="str">
        <f>""</f>
        <v/>
      </c>
      <c r="AG1243" t="str">
        <f>""</f>
        <v/>
      </c>
      <c r="AH1243" t="str">
        <f>""</f>
        <v/>
      </c>
      <c r="AI1243" t="str">
        <f>""</f>
        <v/>
      </c>
      <c r="AJ1243" t="str">
        <f>""</f>
        <v/>
      </c>
      <c r="AK1243" t="str">
        <f>""</f>
        <v/>
      </c>
      <c r="AL1243" t="str">
        <f>""</f>
        <v/>
      </c>
      <c r="AM1243" t="str">
        <f>""</f>
        <v/>
      </c>
      <c r="AN1243" t="str">
        <f>""</f>
        <v/>
      </c>
      <c r="AO1243" t="str">
        <f>""</f>
        <v/>
      </c>
      <c r="AP1243" t="str">
        <f>""</f>
        <v/>
      </c>
      <c r="AQ1243" t="str">
        <f>""</f>
        <v/>
      </c>
      <c r="AR1243" t="str">
        <f>""</f>
        <v/>
      </c>
      <c r="AS1243" t="str">
        <f>""</f>
        <v/>
      </c>
      <c r="AT1243" t="str">
        <f>""</f>
        <v/>
      </c>
      <c r="AU1243" t="str">
        <f>""</f>
        <v/>
      </c>
      <c r="AV1243" t="str">
        <f>""</f>
        <v/>
      </c>
      <c r="AW1243" t="str">
        <f>""</f>
        <v/>
      </c>
      <c r="AX1243" t="str">
        <f>""</f>
        <v/>
      </c>
      <c r="AY1243" t="str">
        <f>""</f>
        <v/>
      </c>
      <c r="AZ1243" t="str">
        <f>""</f>
        <v/>
      </c>
      <c r="BA1243" t="str">
        <f>""</f>
        <v/>
      </c>
      <c r="BB1243" t="str">
        <f>"25/09/2023 11:47:13"</f>
        <v>25/09/2023 11:47:13</v>
      </c>
      <c r="BC1243" t="str">
        <f>""</f>
        <v/>
      </c>
      <c r="BD1243" t="str">
        <f>""</f>
        <v/>
      </c>
      <c r="BE1243" t="str">
        <f>""</f>
        <v/>
      </c>
      <c r="BF1243" t="str">
        <f t="shared" si="624"/>
        <v>A</v>
      </c>
      <c r="BG1243" t="str">
        <f>""</f>
        <v/>
      </c>
      <c r="BH1243" t="str">
        <f>""</f>
        <v/>
      </c>
      <c r="BI1243" t="str">
        <f t="shared" si="603"/>
        <v>EVENTUAL</v>
      </c>
      <c r="BJ1243" t="str">
        <f t="shared" si="625"/>
        <v>1</v>
      </c>
      <c r="BK1243" t="str">
        <f t="shared" si="626"/>
        <v>Farmacia</v>
      </c>
      <c r="BL1243" t="str">
        <f>""</f>
        <v/>
      </c>
      <c r="BM1243" t="str">
        <f>""</f>
        <v/>
      </c>
      <c r="BN1243" t="str">
        <f>""</f>
        <v/>
      </c>
      <c r="BO1243" t="str">
        <f>""</f>
        <v/>
      </c>
      <c r="BP1243" t="str">
        <f>""</f>
        <v/>
      </c>
      <c r="BQ1243" t="str">
        <f>""</f>
        <v/>
      </c>
      <c r="BR1243" t="str">
        <f>"25/09/2023"</f>
        <v>25/09/2023</v>
      </c>
      <c r="BS1243" t="str">
        <f>""</f>
        <v/>
      </c>
      <c r="BT1243" t="str">
        <f>""</f>
        <v/>
      </c>
      <c r="BU1243" t="str">
        <f>""</f>
        <v/>
      </c>
      <c r="BV1243" t="str">
        <f>""</f>
        <v/>
      </c>
      <c r="BW1243" t="str">
        <f>"Não visitado"</f>
        <v>Não visitado</v>
      </c>
    </row>
    <row r="1244" spans="1:75" x14ac:dyDescent="0.35">
      <c r="A1244">
        <v>157642</v>
      </c>
      <c r="B1244" t="str">
        <f t="shared" si="620"/>
        <v>A</v>
      </c>
      <c r="C1244" t="str">
        <f t="shared" si="621"/>
        <v>80</v>
      </c>
      <c r="D1244" t="str">
        <f t="shared" si="611"/>
        <v>11121002</v>
      </c>
      <c r="E1244" t="str">
        <f t="shared" si="612"/>
        <v>121002</v>
      </c>
      <c r="F1244" t="str">
        <f t="shared" si="613"/>
        <v>CINTHIA NORONHA</v>
      </c>
      <c r="G1244" t="str">
        <f>"27705683000139"</f>
        <v>27705683000139</v>
      </c>
      <c r="H1244" t="str">
        <f>"0"</f>
        <v>0</v>
      </c>
      <c r="I1244" t="str">
        <f t="shared" si="622"/>
        <v>CONTA OPTICA</v>
      </c>
      <c r="J1244" t="str">
        <f>"VISAO OTICA 2020 LTDA"</f>
        <v>VISAO OTICA 2020 LTDA</v>
      </c>
      <c r="K1244" t="str">
        <f>"OTICA VISAO (4216)"</f>
        <v>OTICA VISAO (4216)</v>
      </c>
      <c r="L1244" t="str">
        <f>""</f>
        <v/>
      </c>
      <c r="M1244" t="str">
        <f>""</f>
        <v/>
      </c>
      <c r="N1244" t="str">
        <f>"OTICAVISAO@GMAIL.COM"</f>
        <v>OTICAVISAO@GMAIL.COM</v>
      </c>
      <c r="O1244" t="str">
        <f>""</f>
        <v/>
      </c>
      <c r="P1244" t="str">
        <f>"RUA GETULIO VARGAS"</f>
        <v>RUA GETULIO VARGAS</v>
      </c>
      <c r="Q1244" t="str">
        <f>"127"</f>
        <v>127</v>
      </c>
      <c r="R1244" t="str">
        <f>"SALA 09"</f>
        <v>SALA 09</v>
      </c>
      <c r="S1244" t="str">
        <f>""</f>
        <v/>
      </c>
      <c r="T1244" t="str">
        <f>"88900037"</f>
        <v>88900037</v>
      </c>
      <c r="U1244" t="str">
        <f>"CENTRO"</f>
        <v>CENTRO</v>
      </c>
      <c r="V1244" t="str">
        <f>"ARARANGUA"</f>
        <v>ARARANGUA</v>
      </c>
      <c r="W1244" t="str">
        <f t="shared" si="608"/>
        <v>SC</v>
      </c>
      <c r="X1244" t="str">
        <f>"48"</f>
        <v>48</v>
      </c>
      <c r="Y1244" t="str">
        <f>"991015001"</f>
        <v>991015001</v>
      </c>
      <c r="Z1244" t="str">
        <f>""</f>
        <v/>
      </c>
      <c r="AA1244" t="str">
        <f>""</f>
        <v/>
      </c>
      <c r="AB1244" t="str">
        <f>""</f>
        <v/>
      </c>
      <c r="AC1244" t="str">
        <f>""</f>
        <v/>
      </c>
      <c r="AD1244" t="str">
        <f>""</f>
        <v/>
      </c>
      <c r="AE1244" t="str">
        <f>""</f>
        <v/>
      </c>
      <c r="AF1244" t="str">
        <f>""</f>
        <v/>
      </c>
      <c r="AG1244" t="str">
        <f>""</f>
        <v/>
      </c>
      <c r="AH1244" t="str">
        <f>""</f>
        <v/>
      </c>
      <c r="AI1244" t="str">
        <f>""</f>
        <v/>
      </c>
      <c r="AJ1244" t="str">
        <f>""</f>
        <v/>
      </c>
      <c r="AK1244" t="str">
        <f>""</f>
        <v/>
      </c>
      <c r="AL1244" t="str">
        <f>""</f>
        <v/>
      </c>
      <c r="AM1244" t="str">
        <f>""</f>
        <v/>
      </c>
      <c r="AN1244" t="str">
        <f>""</f>
        <v/>
      </c>
      <c r="AO1244" t="str">
        <f>""</f>
        <v/>
      </c>
      <c r="AP1244" t="str">
        <f>""</f>
        <v/>
      </c>
      <c r="AQ1244" t="str">
        <f>""</f>
        <v/>
      </c>
      <c r="AR1244" t="str">
        <f>""</f>
        <v/>
      </c>
      <c r="AS1244" t="str">
        <f>""</f>
        <v/>
      </c>
      <c r="AT1244" t="str">
        <f>""</f>
        <v/>
      </c>
      <c r="AU1244" t="str">
        <f>""</f>
        <v/>
      </c>
      <c r="AV1244" t="str">
        <f>""</f>
        <v/>
      </c>
      <c r="AW1244" t="str">
        <f>""</f>
        <v/>
      </c>
      <c r="AX1244" t="str">
        <f>""</f>
        <v/>
      </c>
      <c r="AY1244" t="str">
        <f>""</f>
        <v/>
      </c>
      <c r="AZ1244" t="str">
        <f>""</f>
        <v/>
      </c>
      <c r="BA1244" t="str">
        <f>""</f>
        <v/>
      </c>
      <c r="BB1244" t="str">
        <f>"11/07/2023 02:19:56"</f>
        <v>11/07/2023 02:19:56</v>
      </c>
      <c r="BC1244" t="str">
        <f>""</f>
        <v/>
      </c>
      <c r="BD1244" t="str">
        <f>""</f>
        <v/>
      </c>
      <c r="BE1244" t="str">
        <f>""</f>
        <v/>
      </c>
      <c r="BF1244" t="str">
        <f t="shared" si="624"/>
        <v>A</v>
      </c>
      <c r="BG1244" t="str">
        <f>""</f>
        <v/>
      </c>
      <c r="BH1244" t="str">
        <f>""</f>
        <v/>
      </c>
      <c r="BI1244" t="str">
        <f t="shared" si="603"/>
        <v>EVENTUAL</v>
      </c>
      <c r="BJ1244" t="str">
        <f t="shared" si="625"/>
        <v>1</v>
      </c>
      <c r="BK1244" t="str">
        <f t="shared" si="626"/>
        <v>Farmacia</v>
      </c>
      <c r="BL1244" t="str">
        <f>""</f>
        <v/>
      </c>
      <c r="BM1244" t="str">
        <f>""</f>
        <v/>
      </c>
      <c r="BN1244" t="str">
        <f>""</f>
        <v/>
      </c>
      <c r="BO1244" t="str">
        <f>""</f>
        <v/>
      </c>
      <c r="BP1244" t="str">
        <f>""</f>
        <v/>
      </c>
      <c r="BQ1244" t="str">
        <f>""</f>
        <v/>
      </c>
      <c r="BR1244" t="str">
        <f>"11/07/2023"</f>
        <v>11/07/2023</v>
      </c>
      <c r="BS1244" t="str">
        <f>""</f>
        <v/>
      </c>
      <c r="BT1244" t="str">
        <f>""</f>
        <v/>
      </c>
      <c r="BU1244" t="str">
        <f>""</f>
        <v/>
      </c>
      <c r="BV1244" t="str">
        <f>""</f>
        <v/>
      </c>
      <c r="BW1244" t="str">
        <f>"Não visitado"</f>
        <v>Não visitado</v>
      </c>
    </row>
    <row r="1245" spans="1:75" x14ac:dyDescent="0.35">
      <c r="A1245">
        <v>295</v>
      </c>
      <c r="B1245" t="str">
        <f t="shared" si="620"/>
        <v>A</v>
      </c>
      <c r="C1245" t="str">
        <f t="shared" si="621"/>
        <v>80</v>
      </c>
      <c r="D1245" t="str">
        <f t="shared" si="611"/>
        <v>11121002</v>
      </c>
      <c r="E1245" t="str">
        <f t="shared" si="612"/>
        <v>121002</v>
      </c>
      <c r="F1245" t="str">
        <f t="shared" si="613"/>
        <v>CINTHIA NORONHA</v>
      </c>
      <c r="G1245" t="str">
        <f>"00508765000137"</f>
        <v>00508765000137</v>
      </c>
      <c r="H1245" t="str">
        <f>""</f>
        <v/>
      </c>
      <c r="I1245" t="str">
        <f t="shared" si="622"/>
        <v>CONTA OPTICA</v>
      </c>
      <c r="J1245" t="str">
        <f>"VISOLUX - OTICA E RELOJOARIA LTDA - ME"</f>
        <v>VISOLUX - OTICA E RELOJOARIA LTDA - ME</v>
      </c>
      <c r="K1245" t="str">
        <f>"CRAFTS (932)"</f>
        <v>CRAFTS (932)</v>
      </c>
      <c r="L1245" t="str">
        <f>""</f>
        <v/>
      </c>
      <c r="M1245" t="str">
        <f>""</f>
        <v/>
      </c>
      <c r="N1245" t="str">
        <f>"crafts_ass@yahoo.com.br"</f>
        <v>crafts_ass@yahoo.com.br</v>
      </c>
      <c r="O1245" t="str">
        <f>""</f>
        <v/>
      </c>
      <c r="P1245" t="str">
        <f>"AVENIDA OSMAR CUNHA"</f>
        <v>AVENIDA OSMAR CUNHA</v>
      </c>
      <c r="Q1245" t="str">
        <f>"183"</f>
        <v>183</v>
      </c>
      <c r="R1245" t="str">
        <f>"SALA 21"</f>
        <v>SALA 21</v>
      </c>
      <c r="S1245" t="str">
        <f>"1255"</f>
        <v>1255</v>
      </c>
      <c r="T1245" t="str">
        <f>"88015100"</f>
        <v>88015100</v>
      </c>
      <c r="U1245" t="str">
        <f>"CENTRO"</f>
        <v>CENTRO</v>
      </c>
      <c r="V1245" t="str">
        <f>"FLORIANÓPOLIS"</f>
        <v>FLORIANÓPOLIS</v>
      </c>
      <c r="W1245" t="str">
        <f t="shared" si="608"/>
        <v>SC</v>
      </c>
      <c r="X1245" t="str">
        <f>"48"</f>
        <v>48</v>
      </c>
      <c r="Y1245" t="str">
        <f>"30252376"</f>
        <v>30252376</v>
      </c>
      <c r="Z1245" t="str">
        <f>""</f>
        <v/>
      </c>
      <c r="AA1245" t="str">
        <f>""</f>
        <v/>
      </c>
      <c r="AB1245" t="str">
        <f>""</f>
        <v/>
      </c>
      <c r="AC1245" t="str">
        <f>""</f>
        <v/>
      </c>
      <c r="AD1245" t="str">
        <f>""</f>
        <v/>
      </c>
      <c r="AE1245" t="str">
        <f>""</f>
        <v/>
      </c>
      <c r="AF1245" t="str">
        <f>""</f>
        <v/>
      </c>
      <c r="AG1245" t="str">
        <f>""</f>
        <v/>
      </c>
      <c r="AH1245" t="str">
        <f>""</f>
        <v/>
      </c>
      <c r="AI1245" t="str">
        <f>""</f>
        <v/>
      </c>
      <c r="AJ1245" t="str">
        <f>"0"</f>
        <v>0</v>
      </c>
      <c r="AK1245" t="str">
        <f>"0"</f>
        <v>0</v>
      </c>
      <c r="AL1245" t="str">
        <f>"0"</f>
        <v>0</v>
      </c>
      <c r="AM1245" t="str">
        <f>""</f>
        <v/>
      </c>
      <c r="AN1245" t="str">
        <f>""</f>
        <v/>
      </c>
      <c r="AO1245" t="str">
        <f>""</f>
        <v/>
      </c>
      <c r="AP1245" t="str">
        <f>""</f>
        <v/>
      </c>
      <c r="AQ1245" t="str">
        <f>""</f>
        <v/>
      </c>
      <c r="AR1245" t="str">
        <f>""</f>
        <v/>
      </c>
      <c r="AS1245" t="str">
        <f>""</f>
        <v/>
      </c>
      <c r="AT1245" t="str">
        <f>""</f>
        <v/>
      </c>
      <c r="AU1245" t="str">
        <f>""</f>
        <v/>
      </c>
      <c r="AV1245" t="str">
        <f>""</f>
        <v/>
      </c>
      <c r="AW1245" t="str">
        <f>""</f>
        <v/>
      </c>
      <c r="AX1245" t="str">
        <f>""</f>
        <v/>
      </c>
      <c r="AY1245" t="str">
        <f>""</f>
        <v/>
      </c>
      <c r="AZ1245" t="str">
        <f>""</f>
        <v/>
      </c>
      <c r="BA1245" t="str">
        <f>""</f>
        <v/>
      </c>
      <c r="BB1245" t="str">
        <f>"27/07/2018 09:25:37"</f>
        <v>27/07/2018 09:25:37</v>
      </c>
      <c r="BC1245" t="str">
        <f>""</f>
        <v/>
      </c>
      <c r="BD1245" t="str">
        <f>""</f>
        <v/>
      </c>
      <c r="BE1245" t="str">
        <f>"295"</f>
        <v>295</v>
      </c>
      <c r="BF1245" t="str">
        <f t="shared" si="624"/>
        <v>A</v>
      </c>
      <c r="BG1245" t="str">
        <f>"0,00"</f>
        <v>0,00</v>
      </c>
      <c r="BH1245" t="str">
        <f>"0,00"</f>
        <v>0,00</v>
      </c>
      <c r="BI1245" t="str">
        <f t="shared" si="603"/>
        <v>EVENTUAL</v>
      </c>
      <c r="BJ1245" t="str">
        <f t="shared" si="625"/>
        <v>1</v>
      </c>
      <c r="BK1245" t="str">
        <f t="shared" si="626"/>
        <v>Farmacia</v>
      </c>
      <c r="BL1245" t="str">
        <f>""</f>
        <v/>
      </c>
      <c r="BM1245" t="str">
        <f>"NÃO É VARILUX ESPECIALISTA"</f>
        <v>NÃO É VARILUX ESPECIALISTA</v>
      </c>
      <c r="BN1245" t="str">
        <f>"NA"</f>
        <v>NA</v>
      </c>
      <c r="BO1245" t="str">
        <f>"FOCO VARILUX"</f>
        <v>FOCO VARILUX</v>
      </c>
      <c r="BP1245" t="str">
        <f>""</f>
        <v/>
      </c>
      <c r="BQ1245" t="str">
        <f>""</f>
        <v/>
      </c>
      <c r="BR1245" t="str">
        <f>"27/07/2018"</f>
        <v>27/07/2018</v>
      </c>
      <c r="BS1245" t="str">
        <f>""</f>
        <v/>
      </c>
      <c r="BT1245" t="str">
        <f>""</f>
        <v/>
      </c>
      <c r="BU1245" t="str">
        <f>""</f>
        <v/>
      </c>
      <c r="BV1245" t="str">
        <f>"3"</f>
        <v>3</v>
      </c>
      <c r="BW1245" t="str">
        <f>"Não visitado"</f>
        <v>Não visitado</v>
      </c>
    </row>
    <row r="1246" spans="1:75" x14ac:dyDescent="0.35">
      <c r="A1246">
        <v>156968</v>
      </c>
      <c r="B1246" t="str">
        <f t="shared" si="620"/>
        <v>A</v>
      </c>
      <c r="C1246" t="str">
        <f t="shared" si="621"/>
        <v>80</v>
      </c>
      <c r="D1246" t="str">
        <f t="shared" si="611"/>
        <v>11121002</v>
      </c>
      <c r="E1246" t="str">
        <f t="shared" si="612"/>
        <v>121002</v>
      </c>
      <c r="F1246" t="str">
        <f t="shared" si="613"/>
        <v>CINTHIA NORONHA</v>
      </c>
      <c r="G1246" t="str">
        <f>"75860353000160"</f>
        <v>75860353000160</v>
      </c>
      <c r="H1246" t="str">
        <f>"0"</f>
        <v>0</v>
      </c>
      <c r="I1246" t="str">
        <f t="shared" si="622"/>
        <v>CONTA OPTICA</v>
      </c>
      <c r="J1246" t="str">
        <f>"VISOTICA ARTIGOS OTICOS LTDA EPP"</f>
        <v>VISOTICA ARTIGOS OTICOS LTDA EPP</v>
      </c>
      <c r="K1246" t="str">
        <f>"VISOTICA (461)"</f>
        <v>VISOTICA (461)</v>
      </c>
      <c r="L1246" t="str">
        <f>""</f>
        <v/>
      </c>
      <c r="M1246" t="str">
        <f>""</f>
        <v/>
      </c>
      <c r="N1246" t="str">
        <f>"visotica.floripa@hotmail.com"</f>
        <v>visotica.floripa@hotmail.com</v>
      </c>
      <c r="O1246" t="str">
        <f>""</f>
        <v/>
      </c>
      <c r="P1246" t="str">
        <f>"RUA DOS ILHEUS"</f>
        <v>RUA DOS ILHEUS</v>
      </c>
      <c r="Q1246" t="str">
        <f>"49"</f>
        <v>49</v>
      </c>
      <c r="R1246" t="str">
        <f>"LOJA 2"</f>
        <v>LOJA 2</v>
      </c>
      <c r="S1246" t="str">
        <f>"1254"</f>
        <v>1254</v>
      </c>
      <c r="T1246" t="str">
        <f>"88010560"</f>
        <v>88010560</v>
      </c>
      <c r="U1246" t="str">
        <f>"CENTRO"</f>
        <v>CENTRO</v>
      </c>
      <c r="V1246" t="str">
        <f>"FLORIANOPOLIS"</f>
        <v>FLORIANOPOLIS</v>
      </c>
      <c r="W1246" t="str">
        <f t="shared" si="608"/>
        <v>SC</v>
      </c>
      <c r="X1246" t="str">
        <f>"48"</f>
        <v>48</v>
      </c>
      <c r="Y1246" t="str">
        <f>"32229483"</f>
        <v>32229483</v>
      </c>
      <c r="Z1246" t="str">
        <f>""</f>
        <v/>
      </c>
      <c r="AA1246" t="str">
        <f>""</f>
        <v/>
      </c>
      <c r="AB1246" t="str">
        <f>""</f>
        <v/>
      </c>
      <c r="AC1246" t="str">
        <f>""</f>
        <v/>
      </c>
      <c r="AD1246" t="str">
        <f>""</f>
        <v/>
      </c>
      <c r="AE1246" t="str">
        <f>""</f>
        <v/>
      </c>
      <c r="AF1246" t="str">
        <f>""</f>
        <v/>
      </c>
      <c r="AG1246" t="str">
        <f>""</f>
        <v/>
      </c>
      <c r="AH1246" t="str">
        <f>""</f>
        <v/>
      </c>
      <c r="AI1246" t="str">
        <f>""</f>
        <v/>
      </c>
      <c r="AJ1246" t="str">
        <f>""</f>
        <v/>
      </c>
      <c r="AK1246" t="str">
        <f>""</f>
        <v/>
      </c>
      <c r="AL1246" t="str">
        <f>""</f>
        <v/>
      </c>
      <c r="AM1246" t="str">
        <f>""</f>
        <v/>
      </c>
      <c r="AN1246" t="str">
        <f>""</f>
        <v/>
      </c>
      <c r="AO1246" t="str">
        <f>""</f>
        <v/>
      </c>
      <c r="AP1246" t="str">
        <f>""</f>
        <v/>
      </c>
      <c r="AQ1246" t="str">
        <f>""</f>
        <v/>
      </c>
      <c r="AR1246" t="str">
        <f>""</f>
        <v/>
      </c>
      <c r="AS1246" t="str">
        <f>""</f>
        <v/>
      </c>
      <c r="AT1246" t="str">
        <f>""</f>
        <v/>
      </c>
      <c r="AU1246" t="str">
        <f>""</f>
        <v/>
      </c>
      <c r="AV1246" t="str">
        <f>""</f>
        <v/>
      </c>
      <c r="AW1246" t="str">
        <f>""</f>
        <v/>
      </c>
      <c r="AX1246" t="str">
        <f>""</f>
        <v/>
      </c>
      <c r="AY1246" t="str">
        <f>""</f>
        <v/>
      </c>
      <c r="AZ1246" t="str">
        <f>""</f>
        <v/>
      </c>
      <c r="BA1246" t="str">
        <f>""</f>
        <v/>
      </c>
      <c r="BB1246" t="str">
        <f>"06/07/2023 12:07:48"</f>
        <v>06/07/2023 12:07:48</v>
      </c>
      <c r="BC1246" t="str">
        <f>""</f>
        <v/>
      </c>
      <c r="BD1246" t="str">
        <f>""</f>
        <v/>
      </c>
      <c r="BE1246" t="str">
        <f>""</f>
        <v/>
      </c>
      <c r="BF1246" t="str">
        <f t="shared" si="624"/>
        <v>A</v>
      </c>
      <c r="BG1246" t="str">
        <f>""</f>
        <v/>
      </c>
      <c r="BH1246" t="str">
        <f>""</f>
        <v/>
      </c>
      <c r="BI1246" t="str">
        <f t="shared" si="603"/>
        <v>EVENTUAL</v>
      </c>
      <c r="BJ1246" t="str">
        <f t="shared" si="625"/>
        <v>1</v>
      </c>
      <c r="BK1246" t="str">
        <f t="shared" si="626"/>
        <v>Farmacia</v>
      </c>
      <c r="BL1246" t="str">
        <f>""</f>
        <v/>
      </c>
      <c r="BM1246" t="str">
        <f>""</f>
        <v/>
      </c>
      <c r="BN1246" t="str">
        <f>""</f>
        <v/>
      </c>
      <c r="BO1246" t="str">
        <f>""</f>
        <v/>
      </c>
      <c r="BP1246" t="str">
        <f>""</f>
        <v/>
      </c>
      <c r="BQ1246" t="str">
        <f>""</f>
        <v/>
      </c>
      <c r="BR1246" t="str">
        <f>"06/07/2023"</f>
        <v>06/07/2023</v>
      </c>
      <c r="BS1246" t="str">
        <f>""</f>
        <v/>
      </c>
      <c r="BT1246" t="str">
        <f>""</f>
        <v/>
      </c>
      <c r="BU1246" t="str">
        <f>""</f>
        <v/>
      </c>
      <c r="BV1246" t="str">
        <f>""</f>
        <v/>
      </c>
      <c r="BW1246" t="str">
        <f>"Não visitado"</f>
        <v>Não visitado</v>
      </c>
    </row>
    <row r="1247" spans="1:75" x14ac:dyDescent="0.35">
      <c r="A1247">
        <v>144346</v>
      </c>
      <c r="B1247" t="str">
        <f t="shared" si="620"/>
        <v>A</v>
      </c>
      <c r="C1247" t="str">
        <f t="shared" si="621"/>
        <v>80</v>
      </c>
      <c r="D1247" t="str">
        <f t="shared" si="611"/>
        <v>11121002</v>
      </c>
      <c r="E1247" t="str">
        <f t="shared" si="612"/>
        <v>121002</v>
      </c>
      <c r="F1247" t="str">
        <f t="shared" si="613"/>
        <v>CINTHIA NORONHA</v>
      </c>
      <c r="G1247" t="str">
        <f>"20416503000150"</f>
        <v>20416503000150</v>
      </c>
      <c r="H1247" t="str">
        <f>""</f>
        <v/>
      </c>
      <c r="I1247" t="str">
        <f t="shared" si="622"/>
        <v>CONTA OPTICA</v>
      </c>
      <c r="J1247" t="str">
        <f>"VISUAL OTICA COMERCIO DE JOALHERIA E REL LTDA ME"</f>
        <v>VISUAL OTICA COMERCIO DE JOALHERIA E REL LTDA ME</v>
      </c>
      <c r="K1247" t="str">
        <f>"OTICA VISUAL (2142)"</f>
        <v>OTICA VISUAL (2142)</v>
      </c>
      <c r="L1247" t="str">
        <f>""</f>
        <v/>
      </c>
      <c r="M1247" t="str">
        <f>""</f>
        <v/>
      </c>
      <c r="N1247" t="str">
        <f>"visualjoalheriaeotica@hotmail.com"</f>
        <v>visualjoalheriaeotica@hotmail.com</v>
      </c>
      <c r="O1247" t="str">
        <f>""</f>
        <v/>
      </c>
      <c r="P1247" t="str">
        <f>"RUA XV DE NOVEMBRO"</f>
        <v>RUA XV DE NOVEMBRO</v>
      </c>
      <c r="Q1247" t="str">
        <f>"1604"</f>
        <v>1604</v>
      </c>
      <c r="R1247" t="str">
        <f>""</f>
        <v/>
      </c>
      <c r="S1247" t="str">
        <f>"1270"</f>
        <v>1270</v>
      </c>
      <c r="T1247" t="str">
        <f>"88900021"</f>
        <v>88900021</v>
      </c>
      <c r="U1247" t="str">
        <f>"CENTRO"</f>
        <v>CENTRO</v>
      </c>
      <c r="V1247" t="str">
        <f>"ARARANGUÁ"</f>
        <v>ARARANGUÁ</v>
      </c>
      <c r="W1247" t="str">
        <f t="shared" si="608"/>
        <v>SC</v>
      </c>
      <c r="X1247" t="str">
        <f>"48"</f>
        <v>48</v>
      </c>
      <c r="Y1247" t="str">
        <f>"35245185"</f>
        <v>35245185</v>
      </c>
      <c r="Z1247" t="str">
        <f>""</f>
        <v/>
      </c>
      <c r="AA1247" t="str">
        <f>""</f>
        <v/>
      </c>
      <c r="AB1247" t="str">
        <f>""</f>
        <v/>
      </c>
      <c r="AC1247" t="str">
        <f>""</f>
        <v/>
      </c>
      <c r="AD1247" t="str">
        <f>""</f>
        <v/>
      </c>
      <c r="AE1247" t="str">
        <f>""</f>
        <v/>
      </c>
      <c r="AF1247" t="str">
        <f>""</f>
        <v/>
      </c>
      <c r="AG1247" t="str">
        <f>""</f>
        <v/>
      </c>
      <c r="AH1247" t="str">
        <f>""</f>
        <v/>
      </c>
      <c r="AI1247" t="str">
        <f>""</f>
        <v/>
      </c>
      <c r="AJ1247" t="str">
        <f t="shared" ref="AJ1247:AL1248" si="632">"0"</f>
        <v>0</v>
      </c>
      <c r="AK1247" t="str">
        <f t="shared" si="632"/>
        <v>0</v>
      </c>
      <c r="AL1247" t="str">
        <f t="shared" si="632"/>
        <v>0</v>
      </c>
      <c r="AM1247" t="str">
        <f>""</f>
        <v/>
      </c>
      <c r="AN1247" t="str">
        <f>""</f>
        <v/>
      </c>
      <c r="AO1247" t="str">
        <f>""</f>
        <v/>
      </c>
      <c r="AP1247" t="str">
        <f>""</f>
        <v/>
      </c>
      <c r="AQ1247" t="str">
        <f>""</f>
        <v/>
      </c>
      <c r="AR1247" t="str">
        <f>""</f>
        <v/>
      </c>
      <c r="AS1247" t="str">
        <f>""</f>
        <v/>
      </c>
      <c r="AT1247" t="str">
        <f>""</f>
        <v/>
      </c>
      <c r="AU1247" t="str">
        <f>""</f>
        <v/>
      </c>
      <c r="AV1247" t="str">
        <f>""</f>
        <v/>
      </c>
      <c r="AW1247" t="str">
        <f>""</f>
        <v/>
      </c>
      <c r="AX1247" t="str">
        <f>""</f>
        <v/>
      </c>
      <c r="AY1247" t="str">
        <f>""</f>
        <v/>
      </c>
      <c r="AZ1247" t="str">
        <f>""</f>
        <v/>
      </c>
      <c r="BA1247" t="str">
        <f>""</f>
        <v/>
      </c>
      <c r="BB1247" t="str">
        <f>""</f>
        <v/>
      </c>
      <c r="BC1247" t="str">
        <f>""</f>
        <v/>
      </c>
      <c r="BD1247" t="str">
        <f>""</f>
        <v/>
      </c>
      <c r="BE1247" t="str">
        <f>""</f>
        <v/>
      </c>
      <c r="BF1247" t="str">
        <f t="shared" si="624"/>
        <v>A</v>
      </c>
      <c r="BG1247" t="str">
        <f>"0,00"</f>
        <v>0,00</v>
      </c>
      <c r="BH1247" t="str">
        <f>"0,00"</f>
        <v>0,00</v>
      </c>
      <c r="BI1247" t="str">
        <f t="shared" si="603"/>
        <v>EVENTUAL</v>
      </c>
      <c r="BJ1247" t="str">
        <f t="shared" si="625"/>
        <v>1</v>
      </c>
      <c r="BK1247" t="str">
        <f t="shared" si="626"/>
        <v>Farmacia</v>
      </c>
      <c r="BL1247" t="str">
        <f>""</f>
        <v/>
      </c>
      <c r="BM1247" t="str">
        <f>"NÃO É VARILUX ESPECIALISTA"</f>
        <v>NÃO É VARILUX ESPECIALISTA</v>
      </c>
      <c r="BN1247" t="str">
        <f>"EL360"</f>
        <v>EL360</v>
      </c>
      <c r="BO1247" t="str">
        <f>"FOCO VARILUX DIGITAL"</f>
        <v>FOCO VARILUX DIGITAL</v>
      </c>
      <c r="BP1247" t="str">
        <f>""</f>
        <v/>
      </c>
      <c r="BQ1247" t="str">
        <f>""</f>
        <v/>
      </c>
      <c r="BR1247" t="str">
        <f>""</f>
        <v/>
      </c>
      <c r="BS1247" t="str">
        <f>""</f>
        <v/>
      </c>
      <c r="BT1247" t="str">
        <f>""</f>
        <v/>
      </c>
      <c r="BU1247" t="str">
        <f>""</f>
        <v/>
      </c>
      <c r="BV1247" t="str">
        <f>"5"</f>
        <v>5</v>
      </c>
      <c r="BW1247" t="str">
        <f>"193"</f>
        <v>193</v>
      </c>
    </row>
    <row r="1248" spans="1:75" x14ac:dyDescent="0.35">
      <c r="A1248">
        <v>9</v>
      </c>
      <c r="B1248" t="str">
        <f t="shared" si="620"/>
        <v>A</v>
      </c>
      <c r="C1248" t="str">
        <f t="shared" si="621"/>
        <v>80</v>
      </c>
      <c r="D1248" t="str">
        <f t="shared" si="611"/>
        <v>11121002</v>
      </c>
      <c r="E1248" t="str">
        <f t="shared" si="612"/>
        <v>121002</v>
      </c>
      <c r="F1248" t="str">
        <f t="shared" si="613"/>
        <v>CINTHIA NORONHA</v>
      </c>
      <c r="G1248" t="str">
        <f>"00641119000143"</f>
        <v>00641119000143</v>
      </c>
      <c r="H1248" t="str">
        <f>""</f>
        <v/>
      </c>
      <c r="I1248" t="str">
        <f t="shared" si="622"/>
        <v>CONTA OPTICA</v>
      </c>
      <c r="J1248" t="str">
        <f>"VITAL JOALHERIA E OTICA LTDA - ME"</f>
        <v>VITAL JOALHERIA E OTICA LTDA - ME</v>
      </c>
      <c r="K1248" t="str">
        <f>"VITAL JOALHERIA E OTICA LTDA (849)"</f>
        <v>VITAL JOALHERIA E OTICA LTDA (849)</v>
      </c>
      <c r="L1248" t="str">
        <f>""</f>
        <v/>
      </c>
      <c r="M1248" t="str">
        <f>""</f>
        <v/>
      </c>
      <c r="N1248" t="str">
        <f>"vitaloptica@yahoo.com.br"</f>
        <v>vitaloptica@yahoo.com.br</v>
      </c>
      <c r="O1248" t="str">
        <f>""</f>
        <v/>
      </c>
      <c r="P1248" t="str">
        <f>"AVENIDA MARCOLINO MARTINS CABRAL"</f>
        <v>AVENIDA MARCOLINO MARTINS CABRAL</v>
      </c>
      <c r="Q1248" t="str">
        <f>"1788"</f>
        <v>1788</v>
      </c>
      <c r="R1248" t="str">
        <f>"SALA 04"</f>
        <v>SALA 04</v>
      </c>
      <c r="S1248" t="str">
        <f>"1268"</f>
        <v>1268</v>
      </c>
      <c r="T1248" t="str">
        <f>"88705001"</f>
        <v>88705001</v>
      </c>
      <c r="U1248" t="str">
        <f>"VILA MOEMA"</f>
        <v>VILA MOEMA</v>
      </c>
      <c r="V1248" t="str">
        <f>"TUBARÃO"</f>
        <v>TUBARÃO</v>
      </c>
      <c r="W1248" t="str">
        <f t="shared" si="608"/>
        <v>SC</v>
      </c>
      <c r="X1248" t="str">
        <f>"48"</f>
        <v>48</v>
      </c>
      <c r="Y1248" t="str">
        <f>"36223395"</f>
        <v>36223395</v>
      </c>
      <c r="Z1248" t="str">
        <f>""</f>
        <v/>
      </c>
      <c r="AA1248" t="str">
        <f>""</f>
        <v/>
      </c>
      <c r="AB1248" t="str">
        <f>""</f>
        <v/>
      </c>
      <c r="AC1248" t="str">
        <f>""</f>
        <v/>
      </c>
      <c r="AD1248" t="str">
        <f>""</f>
        <v/>
      </c>
      <c r="AE1248" t="str">
        <f>""</f>
        <v/>
      </c>
      <c r="AF1248" t="str">
        <f>""</f>
        <v/>
      </c>
      <c r="AG1248" t="str">
        <f>""</f>
        <v/>
      </c>
      <c r="AH1248" t="str">
        <f>""</f>
        <v/>
      </c>
      <c r="AI1248" t="str">
        <f>""</f>
        <v/>
      </c>
      <c r="AJ1248" t="str">
        <f t="shared" si="632"/>
        <v>0</v>
      </c>
      <c r="AK1248" t="str">
        <f t="shared" si="632"/>
        <v>0</v>
      </c>
      <c r="AL1248" t="str">
        <f t="shared" si="632"/>
        <v>0</v>
      </c>
      <c r="AM1248" t="str">
        <f>""</f>
        <v/>
      </c>
      <c r="AN1248" t="str">
        <f>""</f>
        <v/>
      </c>
      <c r="AO1248" t="str">
        <f>""</f>
        <v/>
      </c>
      <c r="AP1248" t="str">
        <f>""</f>
        <v/>
      </c>
      <c r="AQ1248" t="str">
        <f>""</f>
        <v/>
      </c>
      <c r="AR1248" t="str">
        <f>""</f>
        <v/>
      </c>
      <c r="AS1248" t="str">
        <f>""</f>
        <v/>
      </c>
      <c r="AT1248" t="str">
        <f>""</f>
        <v/>
      </c>
      <c r="AU1248" t="str">
        <f>""</f>
        <v/>
      </c>
      <c r="AV1248" t="str">
        <f>""</f>
        <v/>
      </c>
      <c r="AW1248" t="str">
        <f>""</f>
        <v/>
      </c>
      <c r="AX1248" t="str">
        <f>""</f>
        <v/>
      </c>
      <c r="AY1248" t="str">
        <f>""</f>
        <v/>
      </c>
      <c r="AZ1248" t="str">
        <f>""</f>
        <v/>
      </c>
      <c r="BA1248" t="str">
        <f>""</f>
        <v/>
      </c>
      <c r="BB1248" t="str">
        <f>"27/07/2018 09:25:30"</f>
        <v>27/07/2018 09:25:30</v>
      </c>
      <c r="BC1248" t="str">
        <f>""</f>
        <v/>
      </c>
      <c r="BD1248" t="str">
        <f>""</f>
        <v/>
      </c>
      <c r="BE1248" t="str">
        <f>"9"</f>
        <v>9</v>
      </c>
      <c r="BF1248" t="str">
        <f t="shared" si="624"/>
        <v>A</v>
      </c>
      <c r="BG1248" t="str">
        <f>"0,00"</f>
        <v>0,00</v>
      </c>
      <c r="BH1248" t="str">
        <f>"0,00"</f>
        <v>0,00</v>
      </c>
      <c r="BI1248" t="str">
        <f t="shared" ref="BI1248:BI1266" si="633">"EVENTUAL"</f>
        <v>EVENTUAL</v>
      </c>
      <c r="BJ1248" t="str">
        <f t="shared" si="625"/>
        <v>1</v>
      </c>
      <c r="BK1248" t="str">
        <f t="shared" si="626"/>
        <v>Farmacia</v>
      </c>
      <c r="BL1248" t="str">
        <f>""</f>
        <v/>
      </c>
      <c r="BM1248" t="str">
        <f>"VARILUX ESPECIALISTA PREMIER"</f>
        <v>VARILUX ESPECIALISTA PREMIER</v>
      </c>
      <c r="BN1248" t="str">
        <f>"EL360"</f>
        <v>EL360</v>
      </c>
      <c r="BO1248" t="str">
        <f>"FOCO VARILUX DIGITAL"</f>
        <v>FOCO VARILUX DIGITAL</v>
      </c>
      <c r="BP1248" t="str">
        <f>""</f>
        <v/>
      </c>
      <c r="BQ1248" t="str">
        <f>""</f>
        <v/>
      </c>
      <c r="BR1248" t="str">
        <f>"27/07/2018"</f>
        <v>27/07/2018</v>
      </c>
      <c r="BS1248" t="str">
        <f>""</f>
        <v/>
      </c>
      <c r="BT1248" t="str">
        <f>""</f>
        <v/>
      </c>
      <c r="BU1248" t="str">
        <f>""</f>
        <v/>
      </c>
      <c r="BV1248" t="str">
        <f>"1"</f>
        <v>1</v>
      </c>
      <c r="BW1248" t="str">
        <f>"2"</f>
        <v>2</v>
      </c>
    </row>
    <row r="1249" spans="1:75" x14ac:dyDescent="0.35">
      <c r="A1249">
        <v>135367</v>
      </c>
      <c r="B1249" t="str">
        <f t="shared" si="620"/>
        <v>A</v>
      </c>
      <c r="C1249" t="str">
        <f t="shared" si="621"/>
        <v>80</v>
      </c>
      <c r="D1249" t="str">
        <f t="shared" si="611"/>
        <v>11121002</v>
      </c>
      <c r="E1249" t="str">
        <f t="shared" si="612"/>
        <v>121002</v>
      </c>
      <c r="F1249" t="str">
        <f t="shared" si="613"/>
        <v>CINTHIA NORONHA</v>
      </c>
      <c r="G1249" t="str">
        <f>"34054448000371"</f>
        <v>34054448000371</v>
      </c>
      <c r="H1249" t="str">
        <f>""</f>
        <v/>
      </c>
      <c r="I1249" t="str">
        <f t="shared" si="622"/>
        <v>CONTA OPTICA</v>
      </c>
      <c r="J1249" t="str">
        <f>"VITOR S OPTICA LTDA"</f>
        <v>VITOR S OPTICA LTDA</v>
      </c>
      <c r="K1249" t="str">
        <f>"OTICAS CAROL(4304)"</f>
        <v>OTICAS CAROL(4304)</v>
      </c>
      <c r="L1249" t="str">
        <f>""</f>
        <v/>
      </c>
      <c r="M1249" t="str">
        <f>""</f>
        <v/>
      </c>
      <c r="N1249" t="str">
        <f>"LOJA2290@OTICASCAROL.COM.BR"</f>
        <v>LOJA2290@OTICASCAROL.COM.BR</v>
      </c>
      <c r="O1249" t="str">
        <f>""</f>
        <v/>
      </c>
      <c r="P1249" t="str">
        <f>"RUA FREI GABRIEL"</f>
        <v>RUA FREI GABRIEL</v>
      </c>
      <c r="Q1249" t="str">
        <f>"588"</f>
        <v>588</v>
      </c>
      <c r="R1249" t="str">
        <f>""</f>
        <v/>
      </c>
      <c r="S1249" t="str">
        <f>""</f>
        <v/>
      </c>
      <c r="T1249" t="str">
        <f>"88509070"</f>
        <v>88509070</v>
      </c>
      <c r="U1249" t="str">
        <f>"UNIVERSITARIO"</f>
        <v>UNIVERSITARIO</v>
      </c>
      <c r="V1249" t="str">
        <f>"LAGES"</f>
        <v>LAGES</v>
      </c>
      <c r="W1249" t="str">
        <f t="shared" si="608"/>
        <v>SC</v>
      </c>
      <c r="X1249" t="str">
        <f>"49"</f>
        <v>49</v>
      </c>
      <c r="Y1249" t="str">
        <f>"30218621"</f>
        <v>30218621</v>
      </c>
      <c r="Z1249" t="str">
        <f>""</f>
        <v/>
      </c>
      <c r="AA1249" t="str">
        <f>""</f>
        <v/>
      </c>
      <c r="AB1249" t="str">
        <f>""</f>
        <v/>
      </c>
      <c r="AC1249" t="str">
        <f>""</f>
        <v/>
      </c>
      <c r="AD1249" t="str">
        <f>""</f>
        <v/>
      </c>
      <c r="AE1249" t="str">
        <f>""</f>
        <v/>
      </c>
      <c r="AF1249" t="str">
        <f>""</f>
        <v/>
      </c>
      <c r="AG1249" t="str">
        <f>""</f>
        <v/>
      </c>
      <c r="AH1249" t="str">
        <f>""</f>
        <v/>
      </c>
      <c r="AI1249" t="str">
        <f>""</f>
        <v/>
      </c>
      <c r="AJ1249" t="str">
        <f>""</f>
        <v/>
      </c>
      <c r="AK1249" t="str">
        <f>""</f>
        <v/>
      </c>
      <c r="AL1249" t="str">
        <f>""</f>
        <v/>
      </c>
      <c r="AM1249" t="str">
        <f>""</f>
        <v/>
      </c>
      <c r="AN1249" t="str">
        <f>""</f>
        <v/>
      </c>
      <c r="AO1249" t="str">
        <f>""</f>
        <v/>
      </c>
      <c r="AP1249" t="str">
        <f>""</f>
        <v/>
      </c>
      <c r="AQ1249" t="str">
        <f>""</f>
        <v/>
      </c>
      <c r="AR1249" t="str">
        <f>""</f>
        <v/>
      </c>
      <c r="AS1249" t="str">
        <f>""</f>
        <v/>
      </c>
      <c r="AT1249" t="str">
        <f>""</f>
        <v/>
      </c>
      <c r="AU1249" t="str">
        <f>""</f>
        <v/>
      </c>
      <c r="AV1249" t="str">
        <f>""</f>
        <v/>
      </c>
      <c r="AW1249" t="str">
        <f>""</f>
        <v/>
      </c>
      <c r="AX1249" t="str">
        <f>""</f>
        <v/>
      </c>
      <c r="AY1249" t="str">
        <f>""</f>
        <v/>
      </c>
      <c r="AZ1249" t="str">
        <f>""</f>
        <v/>
      </c>
      <c r="BA1249" t="str">
        <f>""</f>
        <v/>
      </c>
      <c r="BB1249" t="str">
        <f>""</f>
        <v/>
      </c>
      <c r="BC1249" t="str">
        <f>""</f>
        <v/>
      </c>
      <c r="BD1249" t="str">
        <f>""</f>
        <v/>
      </c>
      <c r="BE1249" t="str">
        <f>""</f>
        <v/>
      </c>
      <c r="BF1249" t="str">
        <f t="shared" si="624"/>
        <v>A</v>
      </c>
      <c r="BG1249" t="str">
        <f>""</f>
        <v/>
      </c>
      <c r="BH1249" t="str">
        <f>""</f>
        <v/>
      </c>
      <c r="BI1249" t="str">
        <f t="shared" si="633"/>
        <v>EVENTUAL</v>
      </c>
      <c r="BJ1249" t="str">
        <f t="shared" si="625"/>
        <v>1</v>
      </c>
      <c r="BK1249" t="str">
        <f t="shared" si="626"/>
        <v>Farmacia</v>
      </c>
      <c r="BL1249" t="str">
        <f>""</f>
        <v/>
      </c>
      <c r="BM1249" t="str">
        <f>"NÃO É VARILUX ESPECIALISTA"</f>
        <v>NÃO É VARILUX ESPECIALISTA</v>
      </c>
      <c r="BN1249" t="str">
        <f>"NA"</f>
        <v>NA</v>
      </c>
      <c r="BO1249" t="str">
        <f>"FOCO VARILUX"</f>
        <v>FOCO VARILUX</v>
      </c>
      <c r="BP1249" t="str">
        <f>""</f>
        <v/>
      </c>
      <c r="BQ1249" t="str">
        <f>""</f>
        <v/>
      </c>
      <c r="BR1249" t="str">
        <f>""</f>
        <v/>
      </c>
      <c r="BS1249" t="str">
        <f>""</f>
        <v/>
      </c>
      <c r="BT1249" t="str">
        <f>""</f>
        <v/>
      </c>
      <c r="BU1249" t="str">
        <f>""</f>
        <v/>
      </c>
      <c r="BV1249" t="str">
        <f>""</f>
        <v/>
      </c>
      <c r="BW1249" t="str">
        <f>"Não visitado"</f>
        <v>Não visitado</v>
      </c>
    </row>
    <row r="1250" spans="1:75" x14ac:dyDescent="0.35">
      <c r="A1250">
        <v>134413</v>
      </c>
      <c r="B1250" t="str">
        <f t="shared" si="620"/>
        <v>A</v>
      </c>
      <c r="C1250" t="str">
        <f t="shared" si="621"/>
        <v>80</v>
      </c>
      <c r="D1250" t="str">
        <f t="shared" si="611"/>
        <v>11121002</v>
      </c>
      <c r="E1250" t="str">
        <f t="shared" si="612"/>
        <v>121002</v>
      </c>
      <c r="F1250" t="str">
        <f t="shared" si="613"/>
        <v>CINTHIA NORONHA</v>
      </c>
      <c r="G1250" t="str">
        <f>"34054448000100"</f>
        <v>34054448000100</v>
      </c>
      <c r="H1250" t="str">
        <f>""</f>
        <v/>
      </c>
      <c r="I1250" t="str">
        <f t="shared" si="622"/>
        <v>CONTA OPTICA</v>
      </c>
      <c r="J1250" t="str">
        <f>"VITOR`S OPTICA LTDA"</f>
        <v>VITOR`S OPTICA LTDA</v>
      </c>
      <c r="K1250" t="str">
        <f>"OTICAS CAROL (4025)"</f>
        <v>OTICAS CAROL (4025)</v>
      </c>
      <c r="L1250" t="str">
        <f>""</f>
        <v/>
      </c>
      <c r="M1250" t="str">
        <f>""</f>
        <v/>
      </c>
      <c r="N1250" t="str">
        <f>"guilhermecarvalho1@hotmail.com"</f>
        <v>guilhermecarvalho1@hotmail.com</v>
      </c>
      <c r="O1250" t="str">
        <f>""</f>
        <v/>
      </c>
      <c r="P1250" t="str">
        <f>"ROD RODOVIA BR 282 S/N"</f>
        <v>ROD RODOVIA BR 282 S/N</v>
      </c>
      <c r="Q1250" t="str">
        <f>"1015"</f>
        <v>1015</v>
      </c>
      <c r="R1250" t="str">
        <f>"KM 216 SL 23"</f>
        <v>KM 216 SL 23</v>
      </c>
      <c r="S1250" t="str">
        <f>"1266"</f>
        <v>1266</v>
      </c>
      <c r="T1250" t="str">
        <f>"88524900"</f>
        <v>88524900</v>
      </c>
      <c r="U1250" t="str">
        <f>"GUARUJA"</f>
        <v>GUARUJA</v>
      </c>
      <c r="V1250" t="str">
        <f>"LAGES"</f>
        <v>LAGES</v>
      </c>
      <c r="W1250" t="str">
        <f t="shared" si="608"/>
        <v>SC</v>
      </c>
      <c r="X1250" t="str">
        <f>"49"</f>
        <v>49</v>
      </c>
      <c r="Y1250" t="str">
        <f>"32400202"</f>
        <v>32400202</v>
      </c>
      <c r="Z1250" t="str">
        <f>""</f>
        <v/>
      </c>
      <c r="AA1250" t="str">
        <f>""</f>
        <v/>
      </c>
      <c r="AB1250" t="str">
        <f>""</f>
        <v/>
      </c>
      <c r="AC1250" t="str">
        <f>""</f>
        <v/>
      </c>
      <c r="AD1250" t="str">
        <f>""</f>
        <v/>
      </c>
      <c r="AE1250" t="str">
        <f>""</f>
        <v/>
      </c>
      <c r="AF1250" t="str">
        <f>""</f>
        <v/>
      </c>
      <c r="AG1250" t="str">
        <f>""</f>
        <v/>
      </c>
      <c r="AH1250" t="str">
        <f>""</f>
        <v/>
      </c>
      <c r="AI1250" t="str">
        <f>""</f>
        <v/>
      </c>
      <c r="AJ1250" t="str">
        <f>""</f>
        <v/>
      </c>
      <c r="AK1250" t="str">
        <f>""</f>
        <v/>
      </c>
      <c r="AL1250" t="str">
        <f>""</f>
        <v/>
      </c>
      <c r="AM1250" t="str">
        <f>""</f>
        <v/>
      </c>
      <c r="AN1250" t="str">
        <f>""</f>
        <v/>
      </c>
      <c r="AO1250" t="str">
        <f>""</f>
        <v/>
      </c>
      <c r="AP1250" t="str">
        <f>""</f>
        <v/>
      </c>
      <c r="AQ1250" t="str">
        <f>""</f>
        <v/>
      </c>
      <c r="AR1250" t="str">
        <f>""</f>
        <v/>
      </c>
      <c r="AS1250" t="str">
        <f>""</f>
        <v/>
      </c>
      <c r="AT1250" t="str">
        <f>""</f>
        <v/>
      </c>
      <c r="AU1250" t="str">
        <f>""</f>
        <v/>
      </c>
      <c r="AV1250" t="str">
        <f>""</f>
        <v/>
      </c>
      <c r="AW1250" t="str">
        <f>""</f>
        <v/>
      </c>
      <c r="AX1250" t="str">
        <f>""</f>
        <v/>
      </c>
      <c r="AY1250" t="str">
        <f>""</f>
        <v/>
      </c>
      <c r="AZ1250" t="str">
        <f>""</f>
        <v/>
      </c>
      <c r="BA1250" t="str">
        <f>""</f>
        <v/>
      </c>
      <c r="BB1250" t="str">
        <f>""</f>
        <v/>
      </c>
      <c r="BC1250" t="str">
        <f>""</f>
        <v/>
      </c>
      <c r="BD1250" t="str">
        <f>""</f>
        <v/>
      </c>
      <c r="BE1250" t="str">
        <f>""</f>
        <v/>
      </c>
      <c r="BF1250" t="str">
        <f t="shared" si="624"/>
        <v>A</v>
      </c>
      <c r="BG1250" t="str">
        <f>""</f>
        <v/>
      </c>
      <c r="BH1250" t="str">
        <f>""</f>
        <v/>
      </c>
      <c r="BI1250" t="str">
        <f t="shared" si="633"/>
        <v>EVENTUAL</v>
      </c>
      <c r="BJ1250" t="str">
        <f t="shared" si="625"/>
        <v>1</v>
      </c>
      <c r="BK1250" t="str">
        <f t="shared" si="626"/>
        <v>Farmacia</v>
      </c>
      <c r="BL1250" t="str">
        <f>""</f>
        <v/>
      </c>
      <c r="BM1250" t="str">
        <f>"NÃO É VARILUX ESPECIALISTA"</f>
        <v>NÃO É VARILUX ESPECIALISTA</v>
      </c>
      <c r="BN1250" t="str">
        <f>"NA"</f>
        <v>NA</v>
      </c>
      <c r="BO1250" t="str">
        <f>"FOCO KODAK 2"</f>
        <v>FOCO KODAK 2</v>
      </c>
      <c r="BP1250" t="str">
        <f>""</f>
        <v/>
      </c>
      <c r="BQ1250" t="str">
        <f>""</f>
        <v/>
      </c>
      <c r="BR1250" t="str">
        <f>""</f>
        <v/>
      </c>
      <c r="BS1250" t="str">
        <f>""</f>
        <v/>
      </c>
      <c r="BT1250" t="str">
        <f>""</f>
        <v/>
      </c>
      <c r="BU1250" t="str">
        <f>""</f>
        <v/>
      </c>
      <c r="BV1250" t="str">
        <f>"2"</f>
        <v>2</v>
      </c>
      <c r="BW1250" t="str">
        <f>"Não visitado"</f>
        <v>Não visitado</v>
      </c>
    </row>
    <row r="1251" spans="1:75" x14ac:dyDescent="0.35">
      <c r="A1251">
        <v>134324</v>
      </c>
      <c r="B1251" t="str">
        <f t="shared" si="620"/>
        <v>A</v>
      </c>
      <c r="C1251" t="str">
        <f t="shared" si="621"/>
        <v>80</v>
      </c>
      <c r="D1251" t="str">
        <f t="shared" si="611"/>
        <v>11121002</v>
      </c>
      <c r="E1251" t="str">
        <f t="shared" si="612"/>
        <v>121002</v>
      </c>
      <c r="F1251" t="str">
        <f t="shared" si="613"/>
        <v>CINTHIA NORONHA</v>
      </c>
      <c r="G1251" t="str">
        <f>"34054448000290"</f>
        <v>34054448000290</v>
      </c>
      <c r="H1251" t="str">
        <f>""</f>
        <v/>
      </c>
      <c r="I1251" t="str">
        <f t="shared" si="622"/>
        <v>CONTA OPTICA</v>
      </c>
      <c r="J1251" t="str">
        <f>"VITOR`S OPTICA LTDA"</f>
        <v>VITOR`S OPTICA LTDA</v>
      </c>
      <c r="K1251" t="str">
        <f>"OTICAS CAROL (4033)"</f>
        <v>OTICAS CAROL (4033)</v>
      </c>
      <c r="L1251" t="str">
        <f>""</f>
        <v/>
      </c>
      <c r="M1251" t="str">
        <f>""</f>
        <v/>
      </c>
      <c r="N1251" t="str">
        <f>"janazm@gmail.com"</f>
        <v>janazm@gmail.com</v>
      </c>
      <c r="O1251" t="str">
        <f>""</f>
        <v/>
      </c>
      <c r="P1251" t="str">
        <f>"CAL TUlio FiUza de Carvalho 71"</f>
        <v>CAL TUlio FiUza de Carvalho 71</v>
      </c>
      <c r="Q1251" t="str">
        <f>"71"</f>
        <v>71</v>
      </c>
      <c r="R1251" t="str">
        <f>"ANDAR TERREO"</f>
        <v>ANDAR TERREO</v>
      </c>
      <c r="S1251" t="str">
        <f>""</f>
        <v/>
      </c>
      <c r="T1251" t="str">
        <f>"88502904"</f>
        <v>88502904</v>
      </c>
      <c r="U1251" t="str">
        <f>"CENTRO"</f>
        <v>CENTRO</v>
      </c>
      <c r="V1251" t="str">
        <f>"LAGES"</f>
        <v>LAGES</v>
      </c>
      <c r="W1251" t="str">
        <f t="shared" si="608"/>
        <v>SC</v>
      </c>
      <c r="X1251" t="str">
        <f>"49"</f>
        <v>49</v>
      </c>
      <c r="Y1251" t="str">
        <f>"999646446"</f>
        <v>999646446</v>
      </c>
      <c r="Z1251" t="str">
        <f>""</f>
        <v/>
      </c>
      <c r="AA1251" t="str">
        <f>""</f>
        <v/>
      </c>
      <c r="AB1251" t="str">
        <f>""</f>
        <v/>
      </c>
      <c r="AC1251" t="str">
        <f>""</f>
        <v/>
      </c>
      <c r="AD1251" t="str">
        <f>""</f>
        <v/>
      </c>
      <c r="AE1251" t="str">
        <f>""</f>
        <v/>
      </c>
      <c r="AF1251" t="str">
        <f>""</f>
        <v/>
      </c>
      <c r="AG1251" t="str">
        <f>""</f>
        <v/>
      </c>
      <c r="AH1251" t="str">
        <f>""</f>
        <v/>
      </c>
      <c r="AI1251" t="str">
        <f>""</f>
        <v/>
      </c>
      <c r="AJ1251" t="str">
        <f>"0"</f>
        <v>0</v>
      </c>
      <c r="AK1251" t="str">
        <f>"0"</f>
        <v>0</v>
      </c>
      <c r="AL1251" t="str">
        <f>"0"</f>
        <v>0</v>
      </c>
      <c r="AM1251" t="str">
        <f>""</f>
        <v/>
      </c>
      <c r="AN1251" t="str">
        <f>""</f>
        <v/>
      </c>
      <c r="AO1251" t="str">
        <f>""</f>
        <v/>
      </c>
      <c r="AP1251" t="str">
        <f>""</f>
        <v/>
      </c>
      <c r="AQ1251" t="str">
        <f>""</f>
        <v/>
      </c>
      <c r="AR1251" t="str">
        <f>""</f>
        <v/>
      </c>
      <c r="AS1251" t="str">
        <f>""</f>
        <v/>
      </c>
      <c r="AT1251" t="str">
        <f>""</f>
        <v/>
      </c>
      <c r="AU1251" t="str">
        <f>""</f>
        <v/>
      </c>
      <c r="AV1251" t="str">
        <f>""</f>
        <v/>
      </c>
      <c r="AW1251" t="str">
        <f>""</f>
        <v/>
      </c>
      <c r="AX1251" t="str">
        <f>""</f>
        <v/>
      </c>
      <c r="AY1251" t="str">
        <f>""</f>
        <v/>
      </c>
      <c r="AZ1251" t="str">
        <f>""</f>
        <v/>
      </c>
      <c r="BA1251" t="str">
        <f>""</f>
        <v/>
      </c>
      <c r="BB1251" t="str">
        <f>""</f>
        <v/>
      </c>
      <c r="BC1251" t="str">
        <f>""</f>
        <v/>
      </c>
      <c r="BD1251" t="str">
        <f>""</f>
        <v/>
      </c>
      <c r="BE1251" t="str">
        <f>""</f>
        <v/>
      </c>
      <c r="BF1251" t="str">
        <f t="shared" si="624"/>
        <v>A</v>
      </c>
      <c r="BG1251" t="str">
        <f>"0,00"</f>
        <v>0,00</v>
      </c>
      <c r="BH1251" t="str">
        <f>"0,00"</f>
        <v>0,00</v>
      </c>
      <c r="BI1251" t="str">
        <f t="shared" si="633"/>
        <v>EVENTUAL</v>
      </c>
      <c r="BJ1251" t="str">
        <f t="shared" si="625"/>
        <v>1</v>
      </c>
      <c r="BK1251" t="str">
        <f t="shared" si="626"/>
        <v>Farmacia</v>
      </c>
      <c r="BL1251" t="str">
        <f>""</f>
        <v/>
      </c>
      <c r="BM1251" t="str">
        <f>"VARILUX ESPECIALISTA PLATINE"</f>
        <v>VARILUX ESPECIALISTA PLATINE</v>
      </c>
      <c r="BN1251" t="str">
        <f>"NA"</f>
        <v>NA</v>
      </c>
      <c r="BO1251" t="str">
        <f>"FOCO VARILUX DIGITAL"</f>
        <v>FOCO VARILUX DIGITAL</v>
      </c>
      <c r="BP1251" t="str">
        <f>""</f>
        <v/>
      </c>
      <c r="BQ1251" t="str">
        <f>""</f>
        <v/>
      </c>
      <c r="BR1251" t="str">
        <f>""</f>
        <v/>
      </c>
      <c r="BS1251" t="str">
        <f>""</f>
        <v/>
      </c>
      <c r="BT1251" t="str">
        <f>""</f>
        <v/>
      </c>
      <c r="BU1251" t="str">
        <f>""</f>
        <v/>
      </c>
      <c r="BV1251" t="str">
        <f>"2"</f>
        <v>2</v>
      </c>
      <c r="BW1251" t="str">
        <f>"38"</f>
        <v>38</v>
      </c>
    </row>
    <row r="1252" spans="1:75" x14ac:dyDescent="0.35">
      <c r="A1252">
        <v>157685</v>
      </c>
      <c r="B1252" t="str">
        <f t="shared" si="620"/>
        <v>A</v>
      </c>
      <c r="C1252" t="str">
        <f t="shared" si="621"/>
        <v>80</v>
      </c>
      <c r="D1252" t="str">
        <f t="shared" si="611"/>
        <v>11121002</v>
      </c>
      <c r="E1252" t="str">
        <f t="shared" si="612"/>
        <v>121002</v>
      </c>
      <c r="F1252" t="str">
        <f t="shared" si="613"/>
        <v>CINTHIA NORONHA</v>
      </c>
      <c r="G1252" t="str">
        <f>"44292396000163"</f>
        <v>44292396000163</v>
      </c>
      <c r="H1252" t="str">
        <f>"0"</f>
        <v>0</v>
      </c>
      <c r="I1252" t="str">
        <f t="shared" si="622"/>
        <v>CONTA OPTICA</v>
      </c>
      <c r="J1252" t="str">
        <f>"VIVA OTICA LTDA"</f>
        <v>VIVA OTICA LTDA</v>
      </c>
      <c r="K1252" t="str">
        <f>"VIVA OTICA (4569)"</f>
        <v>VIVA OTICA (4569)</v>
      </c>
      <c r="L1252" t="str">
        <f>""</f>
        <v/>
      </c>
      <c r="M1252" t="str">
        <f>""</f>
        <v/>
      </c>
      <c r="N1252" t="str">
        <f>"CATIANAFERREIRA@HOTMAIL.COM"</f>
        <v>CATIANAFERREIRA@HOTMAIL.COM</v>
      </c>
      <c r="O1252" t="str">
        <f>""</f>
        <v/>
      </c>
      <c r="P1252" t="str">
        <f>"RUA DO GRAMAL"</f>
        <v>RUA DO GRAMAL</v>
      </c>
      <c r="Q1252" t="str">
        <f>"39"</f>
        <v>39</v>
      </c>
      <c r="R1252" t="str">
        <f>"SALA 01"</f>
        <v>SALA 01</v>
      </c>
      <c r="S1252" t="str">
        <f>""</f>
        <v/>
      </c>
      <c r="T1252" t="str">
        <f>"88063080"</f>
        <v>88063080</v>
      </c>
      <c r="U1252" t="str">
        <f>"CAMPECHE"</f>
        <v>CAMPECHE</v>
      </c>
      <c r="V1252" t="str">
        <f>"FLORIANOPOLIS"</f>
        <v>FLORIANOPOLIS</v>
      </c>
      <c r="W1252" t="str">
        <f t="shared" si="608"/>
        <v>SC</v>
      </c>
      <c r="X1252" t="str">
        <f>"51"</f>
        <v>51</v>
      </c>
      <c r="Y1252" t="str">
        <f>"992161777"</f>
        <v>992161777</v>
      </c>
      <c r="Z1252" t="str">
        <f>""</f>
        <v/>
      </c>
      <c r="AA1252" t="str">
        <f>""</f>
        <v/>
      </c>
      <c r="AB1252" t="str">
        <f>""</f>
        <v/>
      </c>
      <c r="AC1252" t="str">
        <f>""</f>
        <v/>
      </c>
      <c r="AD1252" t="str">
        <f>""</f>
        <v/>
      </c>
      <c r="AE1252" t="str">
        <f>""</f>
        <v/>
      </c>
      <c r="AF1252" t="str">
        <f>""</f>
        <v/>
      </c>
      <c r="AG1252" t="str">
        <f>""</f>
        <v/>
      </c>
      <c r="AH1252" t="str">
        <f>""</f>
        <v/>
      </c>
      <c r="AI1252" t="str">
        <f>""</f>
        <v/>
      </c>
      <c r="AJ1252" t="str">
        <f>""</f>
        <v/>
      </c>
      <c r="AK1252" t="str">
        <f>""</f>
        <v/>
      </c>
      <c r="AL1252" t="str">
        <f>""</f>
        <v/>
      </c>
      <c r="AM1252" t="str">
        <f>""</f>
        <v/>
      </c>
      <c r="AN1252" t="str">
        <f>""</f>
        <v/>
      </c>
      <c r="AO1252" t="str">
        <f>""</f>
        <v/>
      </c>
      <c r="AP1252" t="str">
        <f>""</f>
        <v/>
      </c>
      <c r="AQ1252" t="str">
        <f>""</f>
        <v/>
      </c>
      <c r="AR1252" t="str">
        <f>""</f>
        <v/>
      </c>
      <c r="AS1252" t="str">
        <f>""</f>
        <v/>
      </c>
      <c r="AT1252" t="str">
        <f>""</f>
        <v/>
      </c>
      <c r="AU1252" t="str">
        <f>""</f>
        <v/>
      </c>
      <c r="AV1252" t="str">
        <f>""</f>
        <v/>
      </c>
      <c r="AW1252" t="str">
        <f>""</f>
        <v/>
      </c>
      <c r="AX1252" t="str">
        <f>""</f>
        <v/>
      </c>
      <c r="AY1252" t="str">
        <f>""</f>
        <v/>
      </c>
      <c r="AZ1252" t="str">
        <f>""</f>
        <v/>
      </c>
      <c r="BA1252" t="str">
        <f>""</f>
        <v/>
      </c>
      <c r="BB1252" t="str">
        <f>"11/07/2023 02:19:56"</f>
        <v>11/07/2023 02:19:56</v>
      </c>
      <c r="BC1252" t="str">
        <f>""</f>
        <v/>
      </c>
      <c r="BD1252" t="str">
        <f>""</f>
        <v/>
      </c>
      <c r="BE1252" t="str">
        <f>""</f>
        <v/>
      </c>
      <c r="BF1252" t="str">
        <f t="shared" si="624"/>
        <v>A</v>
      </c>
      <c r="BG1252" t="str">
        <f>""</f>
        <v/>
      </c>
      <c r="BH1252" t="str">
        <f>""</f>
        <v/>
      </c>
      <c r="BI1252" t="str">
        <f t="shared" si="633"/>
        <v>EVENTUAL</v>
      </c>
      <c r="BJ1252" t="str">
        <f t="shared" si="625"/>
        <v>1</v>
      </c>
      <c r="BK1252" t="str">
        <f t="shared" si="626"/>
        <v>Farmacia</v>
      </c>
      <c r="BL1252" t="str">
        <f>""</f>
        <v/>
      </c>
      <c r="BM1252" t="str">
        <f>""</f>
        <v/>
      </c>
      <c r="BN1252" t="str">
        <f>""</f>
        <v/>
      </c>
      <c r="BO1252" t="str">
        <f>""</f>
        <v/>
      </c>
      <c r="BP1252" t="str">
        <f>""</f>
        <v/>
      </c>
      <c r="BQ1252" t="str">
        <f>""</f>
        <v/>
      </c>
      <c r="BR1252" t="str">
        <f>"11/07/2023"</f>
        <v>11/07/2023</v>
      </c>
      <c r="BS1252" t="str">
        <f>""</f>
        <v/>
      </c>
      <c r="BT1252" t="str">
        <f>""</f>
        <v/>
      </c>
      <c r="BU1252" t="str">
        <f>""</f>
        <v/>
      </c>
      <c r="BV1252" t="str">
        <f>""</f>
        <v/>
      </c>
      <c r="BW1252" t="str">
        <f>"Não visitado"</f>
        <v>Não visitado</v>
      </c>
    </row>
    <row r="1253" spans="1:75" x14ac:dyDescent="0.35">
      <c r="A1253">
        <v>134325</v>
      </c>
      <c r="B1253" t="str">
        <f t="shared" si="620"/>
        <v>A</v>
      </c>
      <c r="C1253" t="str">
        <f t="shared" si="621"/>
        <v>80</v>
      </c>
      <c r="D1253" t="str">
        <f t="shared" si="611"/>
        <v>11121002</v>
      </c>
      <c r="E1253" t="str">
        <f t="shared" si="612"/>
        <v>121002</v>
      </c>
      <c r="F1253" t="str">
        <f t="shared" si="613"/>
        <v>CINTHIA NORONHA</v>
      </c>
      <c r="G1253" t="str">
        <f>"34905581000122"</f>
        <v>34905581000122</v>
      </c>
      <c r="H1253" t="str">
        <f>""</f>
        <v/>
      </c>
      <c r="I1253" t="str">
        <f t="shared" si="622"/>
        <v>CONTA OPTICA</v>
      </c>
      <c r="J1253" t="str">
        <f>"VIZIONI COMERCIO DE ACESSORIOS LTDA"</f>
        <v>VIZIONI COMERCIO DE ACESSORIOS LTDA</v>
      </c>
      <c r="K1253" t="str">
        <f>"VIZIONI OTICA (4060)"</f>
        <v>VIZIONI OTICA (4060)</v>
      </c>
      <c r="L1253" t="str">
        <f>""</f>
        <v/>
      </c>
      <c r="M1253" t="str">
        <f>""</f>
        <v/>
      </c>
      <c r="N1253" t="str">
        <f>"brunodinapoli.ojo@gmail.com"</f>
        <v>brunodinapoli.ojo@gmail.com</v>
      </c>
      <c r="O1253" t="str">
        <f>""</f>
        <v/>
      </c>
      <c r="P1253" t="str">
        <f>"AVENIDA TROMPOWSKY"</f>
        <v>AVENIDA TROMPOWSKY</v>
      </c>
      <c r="Q1253" t="str">
        <f>"172"</f>
        <v>172</v>
      </c>
      <c r="R1253" t="str">
        <f>"LOJA 01"</f>
        <v>LOJA 01</v>
      </c>
      <c r="S1253" t="str">
        <f>"1257"</f>
        <v>1257</v>
      </c>
      <c r="T1253" t="str">
        <f>"88035000"</f>
        <v>88035000</v>
      </c>
      <c r="U1253" t="str">
        <f>"CENTRO"</f>
        <v>CENTRO</v>
      </c>
      <c r="V1253" t="str">
        <f>"FLORIANÓPOLIS"</f>
        <v>FLORIANÓPOLIS</v>
      </c>
      <c r="W1253" t="str">
        <f t="shared" si="608"/>
        <v>SC</v>
      </c>
      <c r="X1253" t="str">
        <f>"48"</f>
        <v>48</v>
      </c>
      <c r="Y1253" t="str">
        <f>"32066630"</f>
        <v>32066630</v>
      </c>
      <c r="Z1253" t="str">
        <f>""</f>
        <v/>
      </c>
      <c r="AA1253" t="str">
        <f>""</f>
        <v/>
      </c>
      <c r="AB1253" t="str">
        <f>""</f>
        <v/>
      </c>
      <c r="AC1253" t="str">
        <f>""</f>
        <v/>
      </c>
      <c r="AD1253" t="str">
        <f>""</f>
        <v/>
      </c>
      <c r="AE1253" t="str">
        <f>""</f>
        <v/>
      </c>
      <c r="AF1253" t="str">
        <f>""</f>
        <v/>
      </c>
      <c r="AG1253" t="str">
        <f>"S"</f>
        <v>S</v>
      </c>
      <c r="AH1253" t="str">
        <f>""</f>
        <v/>
      </c>
      <c r="AI1253" t="str">
        <f>""</f>
        <v/>
      </c>
      <c r="AJ1253" t="str">
        <f>"0"</f>
        <v>0</v>
      </c>
      <c r="AK1253" t="str">
        <f>"0"</f>
        <v>0</v>
      </c>
      <c r="AL1253" t="str">
        <f>"0"</f>
        <v>0</v>
      </c>
      <c r="AM1253" t="str">
        <f>""</f>
        <v/>
      </c>
      <c r="AN1253" t="str">
        <f>""</f>
        <v/>
      </c>
      <c r="AO1253" t="str">
        <f>""</f>
        <v/>
      </c>
      <c r="AP1253" t="str">
        <f>""</f>
        <v/>
      </c>
      <c r="AQ1253" t="str">
        <f>"N"</f>
        <v>N</v>
      </c>
      <c r="AR1253" t="str">
        <f>"N"</f>
        <v>N</v>
      </c>
      <c r="AS1253" t="str">
        <f>"N"</f>
        <v>N</v>
      </c>
      <c r="AT1253" t="str">
        <f>"N"</f>
        <v>N</v>
      </c>
      <c r="AU1253" t="str">
        <f>"N"</f>
        <v>N</v>
      </c>
      <c r="AV1253" t="str">
        <f>""</f>
        <v/>
      </c>
      <c r="AW1253" t="str">
        <f>""</f>
        <v/>
      </c>
      <c r="AX1253" t="str">
        <f>""</f>
        <v/>
      </c>
      <c r="AY1253" t="str">
        <f>""</f>
        <v/>
      </c>
      <c r="AZ1253" t="str">
        <f>""</f>
        <v/>
      </c>
      <c r="BA1253" t="str">
        <f>""</f>
        <v/>
      </c>
      <c r="BB1253" t="str">
        <f>""</f>
        <v/>
      </c>
      <c r="BC1253" t="str">
        <f>"10/09/2021 16:27:32"</f>
        <v>10/09/2021 16:27:32</v>
      </c>
      <c r="BD1253" t="str">
        <f>""</f>
        <v/>
      </c>
      <c r="BE1253" t="str">
        <f>""</f>
        <v/>
      </c>
      <c r="BF1253" t="str">
        <f t="shared" si="624"/>
        <v>A</v>
      </c>
      <c r="BG1253" t="str">
        <f>"0,00"</f>
        <v>0,00</v>
      </c>
      <c r="BH1253" t="str">
        <f>"0,00"</f>
        <v>0,00</v>
      </c>
      <c r="BI1253" t="str">
        <f t="shared" si="633"/>
        <v>EVENTUAL</v>
      </c>
      <c r="BJ1253" t="str">
        <f t="shared" si="625"/>
        <v>1</v>
      </c>
      <c r="BK1253" t="str">
        <f t="shared" si="626"/>
        <v>Farmacia</v>
      </c>
      <c r="BL1253" t="str">
        <f>""</f>
        <v/>
      </c>
      <c r="BM1253" t="str">
        <f>"VARILUX ESPECIALISTA SELECT"</f>
        <v>VARILUX ESPECIALISTA SELECT</v>
      </c>
      <c r="BN1253" t="str">
        <f>"NA"</f>
        <v>NA</v>
      </c>
      <c r="BO1253" t="str">
        <f>"FOCO VARILUX DIGITAL"</f>
        <v>FOCO VARILUX DIGITAL</v>
      </c>
      <c r="BP1253" t="str">
        <f>""</f>
        <v/>
      </c>
      <c r="BQ1253" t="str">
        <f>""</f>
        <v/>
      </c>
      <c r="BR1253" t="str">
        <f>""</f>
        <v/>
      </c>
      <c r="BS1253" t="str">
        <f>"10/09/2021"</f>
        <v>10/09/2021</v>
      </c>
      <c r="BT1253" t="str">
        <f>""</f>
        <v/>
      </c>
      <c r="BU1253" t="str">
        <f>""</f>
        <v/>
      </c>
      <c r="BV1253" t="str">
        <f>"1"</f>
        <v>1</v>
      </c>
      <c r="BW1253" t="str">
        <f>"28"</f>
        <v>28</v>
      </c>
    </row>
    <row r="1254" spans="1:75" x14ac:dyDescent="0.35">
      <c r="A1254">
        <v>152750</v>
      </c>
      <c r="B1254" t="str">
        <f t="shared" si="620"/>
        <v>A</v>
      </c>
      <c r="C1254" t="str">
        <f t="shared" si="621"/>
        <v>80</v>
      </c>
      <c r="D1254" t="str">
        <f t="shared" si="611"/>
        <v>11121002</v>
      </c>
      <c r="E1254" t="str">
        <f t="shared" si="612"/>
        <v>121002</v>
      </c>
      <c r="F1254" t="str">
        <f t="shared" si="613"/>
        <v>CINTHIA NORONHA</v>
      </c>
      <c r="G1254" t="str">
        <f>"44854674000129"</f>
        <v>44854674000129</v>
      </c>
      <c r="H1254" t="str">
        <f>"0"</f>
        <v>0</v>
      </c>
      <c r="I1254" t="str">
        <f t="shared" si="622"/>
        <v>CONTA OPTICA</v>
      </c>
      <c r="J1254" t="str">
        <f>"VIZOU COMERCIO DE ARTIGOS OPTICOS E ACESSORIOS LTDA"</f>
        <v>VIZOU COMERCIO DE ARTIGOS OPTICOS E ACESSORIOS LTDA</v>
      </c>
      <c r="K1254" t="str">
        <f>"OTICAS VIZOU"</f>
        <v>OTICAS VIZOU</v>
      </c>
      <c r="L1254" t="str">
        <f>""</f>
        <v/>
      </c>
      <c r="M1254" t="str">
        <f>""</f>
        <v/>
      </c>
      <c r="N1254" t="str">
        <f>"vizouotica@gmail.com"</f>
        <v>vizouotica@gmail.com</v>
      </c>
      <c r="O1254" t="str">
        <f>""</f>
        <v/>
      </c>
      <c r="P1254" t="str">
        <f>"RODOVIA SC-281"</f>
        <v>RODOVIA SC-281</v>
      </c>
      <c r="Q1254" t="str">
        <f>"2665"</f>
        <v>2665</v>
      </c>
      <c r="R1254" t="str">
        <f>"2665"</f>
        <v>2665</v>
      </c>
      <c r="S1254" t="str">
        <f>""</f>
        <v/>
      </c>
      <c r="T1254" t="str">
        <f>"88106115"</f>
        <v>88106115</v>
      </c>
      <c r="U1254" t="str">
        <f>"PICADAS DO SUL"</f>
        <v>PICADAS DO SUL</v>
      </c>
      <c r="V1254" t="str">
        <f>"SAO JOSE"</f>
        <v>SAO JOSE</v>
      </c>
      <c r="W1254" t="str">
        <f t="shared" si="608"/>
        <v>SC</v>
      </c>
      <c r="X1254" t="str">
        <f>""</f>
        <v/>
      </c>
      <c r="Y1254" t="str">
        <f>""</f>
        <v/>
      </c>
      <c r="Z1254" t="str">
        <f>""</f>
        <v/>
      </c>
      <c r="AA1254" t="str">
        <f>""</f>
        <v/>
      </c>
      <c r="AB1254" t="str">
        <f>""</f>
        <v/>
      </c>
      <c r="AC1254" t="str">
        <f>""</f>
        <v/>
      </c>
      <c r="AD1254" t="str">
        <f>""</f>
        <v/>
      </c>
      <c r="AE1254" t="str">
        <f>""</f>
        <v/>
      </c>
      <c r="AF1254" t="str">
        <f>""</f>
        <v/>
      </c>
      <c r="AG1254" t="str">
        <f>""</f>
        <v/>
      </c>
      <c r="AH1254" t="str">
        <f>""</f>
        <v/>
      </c>
      <c r="AI1254" t="str">
        <f>""</f>
        <v/>
      </c>
      <c r="AJ1254" t="str">
        <f>""</f>
        <v/>
      </c>
      <c r="AK1254" t="str">
        <f>""</f>
        <v/>
      </c>
      <c r="AL1254" t="str">
        <f>""</f>
        <v/>
      </c>
      <c r="AM1254" t="str">
        <f>""</f>
        <v/>
      </c>
      <c r="AN1254" t="str">
        <f>""</f>
        <v/>
      </c>
      <c r="AO1254" t="str">
        <f>""</f>
        <v/>
      </c>
      <c r="AP1254" t="str">
        <f>""</f>
        <v/>
      </c>
      <c r="AQ1254" t="str">
        <f>""</f>
        <v/>
      </c>
      <c r="AR1254" t="str">
        <f>""</f>
        <v/>
      </c>
      <c r="AS1254" t="str">
        <f>""</f>
        <v/>
      </c>
      <c r="AT1254" t="str">
        <f>""</f>
        <v/>
      </c>
      <c r="AU1254" t="str">
        <f>""</f>
        <v/>
      </c>
      <c r="AV1254" t="str">
        <f>""</f>
        <v/>
      </c>
      <c r="AW1254" t="str">
        <f>""</f>
        <v/>
      </c>
      <c r="AX1254" t="str">
        <f>""</f>
        <v/>
      </c>
      <c r="AY1254" t="str">
        <f>""</f>
        <v/>
      </c>
      <c r="AZ1254" t="str">
        <f>""</f>
        <v/>
      </c>
      <c r="BA1254" t="str">
        <f>""</f>
        <v/>
      </c>
      <c r="BB1254" t="str">
        <f>"03/04/2023 13:34:29"</f>
        <v>03/04/2023 13:34:29</v>
      </c>
      <c r="BC1254" t="str">
        <f>""</f>
        <v/>
      </c>
      <c r="BD1254" t="str">
        <f>""</f>
        <v/>
      </c>
      <c r="BE1254" t="str">
        <f>""</f>
        <v/>
      </c>
      <c r="BF1254" t="str">
        <f t="shared" si="624"/>
        <v>A</v>
      </c>
      <c r="BG1254" t="str">
        <f>""</f>
        <v/>
      </c>
      <c r="BH1254" t="str">
        <f>""</f>
        <v/>
      </c>
      <c r="BI1254" t="str">
        <f t="shared" si="633"/>
        <v>EVENTUAL</v>
      </c>
      <c r="BJ1254" t="str">
        <f t="shared" si="625"/>
        <v>1</v>
      </c>
      <c r="BK1254" t="str">
        <f t="shared" si="626"/>
        <v>Farmacia</v>
      </c>
      <c r="BL1254" t="str">
        <f>""</f>
        <v/>
      </c>
      <c r="BM1254" t="str">
        <f>""</f>
        <v/>
      </c>
      <c r="BN1254" t="str">
        <f>""</f>
        <v/>
      </c>
      <c r="BO1254" t="str">
        <f>""</f>
        <v/>
      </c>
      <c r="BP1254" t="str">
        <f>""</f>
        <v/>
      </c>
      <c r="BQ1254" t="str">
        <f>""</f>
        <v/>
      </c>
      <c r="BR1254" t="str">
        <f>"03/04/2023"</f>
        <v>03/04/2023</v>
      </c>
      <c r="BS1254" t="str">
        <f>""</f>
        <v/>
      </c>
      <c r="BT1254" t="str">
        <f>""</f>
        <v/>
      </c>
      <c r="BU1254" t="str">
        <f>""</f>
        <v/>
      </c>
      <c r="BV1254" t="str">
        <f>""</f>
        <v/>
      </c>
      <c r="BW1254" t="str">
        <f>"Não visitado"</f>
        <v>Não visitado</v>
      </c>
    </row>
    <row r="1255" spans="1:75" x14ac:dyDescent="0.35">
      <c r="A1255">
        <v>134291</v>
      </c>
      <c r="B1255" t="str">
        <f t="shared" si="620"/>
        <v>A</v>
      </c>
      <c r="C1255" t="str">
        <f t="shared" si="621"/>
        <v>80</v>
      </c>
      <c r="D1255" t="str">
        <f t="shared" si="611"/>
        <v>11121002</v>
      </c>
      <c r="E1255" t="str">
        <f t="shared" si="612"/>
        <v>121002</v>
      </c>
      <c r="F1255" t="str">
        <f t="shared" si="613"/>
        <v>CINTHIA NORONHA</v>
      </c>
      <c r="G1255" t="str">
        <f>"94032976000190"</f>
        <v>94032976000190</v>
      </c>
      <c r="H1255" t="str">
        <f>""</f>
        <v/>
      </c>
      <c r="I1255" t="str">
        <f t="shared" si="622"/>
        <v>CONTA OPTICA</v>
      </c>
      <c r="J1255" t="str">
        <f>"VOLNEI CARLOS MEZZOMO"</f>
        <v>VOLNEI CARLOS MEZZOMO</v>
      </c>
      <c r="K1255" t="str">
        <f>"OPTICA ATIVA (1446)"</f>
        <v>OPTICA ATIVA (1446)</v>
      </c>
      <c r="L1255" t="str">
        <f>""</f>
        <v/>
      </c>
      <c r="M1255" t="str">
        <f>""</f>
        <v/>
      </c>
      <c r="N1255" t="str">
        <f>"opticaativa@gmail.com"</f>
        <v>opticaativa@gmail.com</v>
      </c>
      <c r="O1255" t="str">
        <f>""</f>
        <v/>
      </c>
      <c r="P1255" t="str">
        <f>"RUA INTENDENTE JOAO NUNES VIEIRA"</f>
        <v>RUA INTENDENTE JOAO NUNES VIEIRA</v>
      </c>
      <c r="Q1255" t="str">
        <f>"718"</f>
        <v>718</v>
      </c>
      <c r="R1255" t="str">
        <f>"SL 02"</f>
        <v>SL 02</v>
      </c>
      <c r="S1255" t="str">
        <f>"1257"</f>
        <v>1257</v>
      </c>
      <c r="T1255" t="str">
        <f>"88058100"</f>
        <v>88058100</v>
      </c>
      <c r="U1255" t="str">
        <f>"INGLESES DO RIO VERMELHO"</f>
        <v>INGLESES DO RIO VERMELHO</v>
      </c>
      <c r="V1255" t="str">
        <f>"FLORIANÓPOLIS"</f>
        <v>FLORIANÓPOLIS</v>
      </c>
      <c r="W1255" t="str">
        <f t="shared" si="608"/>
        <v>SC</v>
      </c>
      <c r="X1255" t="str">
        <f t="shared" ref="X1255:X1262" si="634">"48"</f>
        <v>48</v>
      </c>
      <c r="Y1255" t="str">
        <f>"33071493"</f>
        <v>33071493</v>
      </c>
      <c r="Z1255" t="str">
        <f>""</f>
        <v/>
      </c>
      <c r="AA1255" t="str">
        <f>""</f>
        <v/>
      </c>
      <c r="AB1255" t="str">
        <f>""</f>
        <v/>
      </c>
      <c r="AC1255" t="str">
        <f>""</f>
        <v/>
      </c>
      <c r="AD1255" t="str">
        <f>""</f>
        <v/>
      </c>
      <c r="AE1255" t="str">
        <f>""</f>
        <v/>
      </c>
      <c r="AF1255" t="str">
        <f>""</f>
        <v/>
      </c>
      <c r="AG1255" t="str">
        <f>"S"</f>
        <v>S</v>
      </c>
      <c r="AH1255" t="str">
        <f>""</f>
        <v/>
      </c>
      <c r="AI1255" t="str">
        <f>""</f>
        <v/>
      </c>
      <c r="AJ1255" t="str">
        <f>"0"</f>
        <v>0</v>
      </c>
      <c r="AK1255" t="str">
        <f>"0"</f>
        <v>0</v>
      </c>
      <c r="AL1255" t="str">
        <f>"0"</f>
        <v>0</v>
      </c>
      <c r="AM1255" t="str">
        <f>""</f>
        <v/>
      </c>
      <c r="AN1255" t="str">
        <f>""</f>
        <v/>
      </c>
      <c r="AO1255" t="str">
        <f>""</f>
        <v/>
      </c>
      <c r="AP1255" t="str">
        <f>""</f>
        <v/>
      </c>
      <c r="AQ1255" t="str">
        <f>"N"</f>
        <v>N</v>
      </c>
      <c r="AR1255" t="str">
        <f>"N"</f>
        <v>N</v>
      </c>
      <c r="AS1255" t="str">
        <f>"N"</f>
        <v>N</v>
      </c>
      <c r="AT1255" t="str">
        <f>"N"</f>
        <v>N</v>
      </c>
      <c r="AU1255" t="str">
        <f>"N"</f>
        <v>N</v>
      </c>
      <c r="AV1255" t="str">
        <f>""</f>
        <v/>
      </c>
      <c r="AW1255" t="str">
        <f>""</f>
        <v/>
      </c>
      <c r="AX1255" t="str">
        <f>""</f>
        <v/>
      </c>
      <c r="AY1255" t="str">
        <f>""</f>
        <v/>
      </c>
      <c r="AZ1255" t="str">
        <f>""</f>
        <v/>
      </c>
      <c r="BA1255" t="str">
        <f>""</f>
        <v/>
      </c>
      <c r="BB1255" t="str">
        <f>""</f>
        <v/>
      </c>
      <c r="BC1255" t="str">
        <f>"13/12/2021 16:11:25"</f>
        <v>13/12/2021 16:11:25</v>
      </c>
      <c r="BD1255" t="str">
        <f>""</f>
        <v/>
      </c>
      <c r="BE1255" t="str">
        <f>""</f>
        <v/>
      </c>
      <c r="BF1255" t="str">
        <f t="shared" si="624"/>
        <v>A</v>
      </c>
      <c r="BG1255" t="str">
        <f>"0,00"</f>
        <v>0,00</v>
      </c>
      <c r="BH1255" t="str">
        <f>"0,00"</f>
        <v>0,00</v>
      </c>
      <c r="BI1255" t="str">
        <f t="shared" si="633"/>
        <v>EVENTUAL</v>
      </c>
      <c r="BJ1255" t="str">
        <f t="shared" si="625"/>
        <v>1</v>
      </c>
      <c r="BK1255" t="str">
        <f t="shared" si="626"/>
        <v>Farmacia</v>
      </c>
      <c r="BL1255" t="str">
        <f>""</f>
        <v/>
      </c>
      <c r="BM1255" t="str">
        <f>"VARILUX ESPECIALISTA SELECT"</f>
        <v>VARILUX ESPECIALISTA SELECT</v>
      </c>
      <c r="BN1255" t="str">
        <f>"NA"</f>
        <v>NA</v>
      </c>
      <c r="BO1255" t="str">
        <f>"FOCO VARILUX DIGITAL"</f>
        <v>FOCO VARILUX DIGITAL</v>
      </c>
      <c r="BP1255" t="str">
        <f>""</f>
        <v/>
      </c>
      <c r="BQ1255" t="str">
        <f>""</f>
        <v/>
      </c>
      <c r="BR1255" t="str">
        <f>""</f>
        <v/>
      </c>
      <c r="BS1255" t="str">
        <f>"13/12/2021"</f>
        <v>13/12/2021</v>
      </c>
      <c r="BT1255" t="str">
        <f>""</f>
        <v/>
      </c>
      <c r="BU1255" t="str">
        <f>""</f>
        <v/>
      </c>
      <c r="BV1255" t="str">
        <f>"5"</f>
        <v>5</v>
      </c>
      <c r="BW1255" t="str">
        <f>"11"</f>
        <v>11</v>
      </c>
    </row>
    <row r="1256" spans="1:75" x14ac:dyDescent="0.35">
      <c r="A1256">
        <v>156942</v>
      </c>
      <c r="B1256" t="str">
        <f t="shared" si="620"/>
        <v>A</v>
      </c>
      <c r="C1256" t="str">
        <f t="shared" si="621"/>
        <v>80</v>
      </c>
      <c r="D1256" t="str">
        <f t="shared" si="611"/>
        <v>11121002</v>
      </c>
      <c r="E1256" t="str">
        <f t="shared" si="612"/>
        <v>121002</v>
      </c>
      <c r="F1256" t="str">
        <f t="shared" si="613"/>
        <v>CINTHIA NORONHA</v>
      </c>
      <c r="G1256" t="str">
        <f>"36585923000108"</f>
        <v>36585923000108</v>
      </c>
      <c r="H1256" t="str">
        <f>"0"</f>
        <v>0</v>
      </c>
      <c r="I1256" t="str">
        <f t="shared" si="622"/>
        <v>CONTA OPTICA</v>
      </c>
      <c r="J1256" t="str">
        <f>"WALLACE SANTIAGO DA SILVA OTICA"</f>
        <v>WALLACE SANTIAGO DA SILVA OTICA</v>
      </c>
      <c r="K1256" t="str">
        <f>"MARROM MIX OTICA (4724)"</f>
        <v>MARROM MIX OTICA (4724)</v>
      </c>
      <c r="L1256" t="str">
        <f>""</f>
        <v/>
      </c>
      <c r="M1256" t="str">
        <f>""</f>
        <v/>
      </c>
      <c r="N1256" t="str">
        <f>"MARROMWS@HOTMAIL.COM"</f>
        <v>MARROMWS@HOTMAIL.COM</v>
      </c>
      <c r="O1256" t="str">
        <f>""</f>
        <v/>
      </c>
      <c r="P1256" t="str">
        <f>"LISBOA"</f>
        <v>LISBOA</v>
      </c>
      <c r="Q1256" t="str">
        <f>"1070"</f>
        <v>1070</v>
      </c>
      <c r="R1256" t="str">
        <f>"SALA 01"</f>
        <v>SALA 01</v>
      </c>
      <c r="S1256" t="str">
        <f>"1259"</f>
        <v>1259</v>
      </c>
      <c r="T1256" t="str">
        <f>"88107350"</f>
        <v>88107350</v>
      </c>
      <c r="U1256" t="str">
        <f>"FORQUILHAS"</f>
        <v>FORQUILHAS</v>
      </c>
      <c r="V1256" t="str">
        <f>"SAO JOSE"</f>
        <v>SAO JOSE</v>
      </c>
      <c r="W1256" t="str">
        <f t="shared" si="608"/>
        <v>SC</v>
      </c>
      <c r="X1256" t="str">
        <f t="shared" si="634"/>
        <v>48</v>
      </c>
      <c r="Y1256" t="str">
        <f>"33729519"</f>
        <v>33729519</v>
      </c>
      <c r="Z1256" t="str">
        <f>""</f>
        <v/>
      </c>
      <c r="AA1256" t="str">
        <f>""</f>
        <v/>
      </c>
      <c r="AB1256" t="str">
        <f>""</f>
        <v/>
      </c>
      <c r="AC1256" t="str">
        <f>""</f>
        <v/>
      </c>
      <c r="AD1256" t="str">
        <f>""</f>
        <v/>
      </c>
      <c r="AE1256" t="str">
        <f>""</f>
        <v/>
      </c>
      <c r="AF1256" t="str">
        <f>""</f>
        <v/>
      </c>
      <c r="AG1256" t="str">
        <f>""</f>
        <v/>
      </c>
      <c r="AH1256" t="str">
        <f>""</f>
        <v/>
      </c>
      <c r="AI1256" t="str">
        <f>""</f>
        <v/>
      </c>
      <c r="AJ1256" t="str">
        <f>""</f>
        <v/>
      </c>
      <c r="AK1256" t="str">
        <f>""</f>
        <v/>
      </c>
      <c r="AL1256" t="str">
        <f>""</f>
        <v/>
      </c>
      <c r="AM1256" t="str">
        <f>""</f>
        <v/>
      </c>
      <c r="AN1256" t="str">
        <f>""</f>
        <v/>
      </c>
      <c r="AO1256" t="str">
        <f>""</f>
        <v/>
      </c>
      <c r="AP1256" t="str">
        <f>""</f>
        <v/>
      </c>
      <c r="AQ1256" t="str">
        <f>""</f>
        <v/>
      </c>
      <c r="AR1256" t="str">
        <f>""</f>
        <v/>
      </c>
      <c r="AS1256" t="str">
        <f>""</f>
        <v/>
      </c>
      <c r="AT1256" t="str">
        <f>""</f>
        <v/>
      </c>
      <c r="AU1256" t="str">
        <f>""</f>
        <v/>
      </c>
      <c r="AV1256" t="str">
        <f>""</f>
        <v/>
      </c>
      <c r="AW1256" t="str">
        <f>""</f>
        <v/>
      </c>
      <c r="AX1256" t="str">
        <f>""</f>
        <v/>
      </c>
      <c r="AY1256" t="str">
        <f>""</f>
        <v/>
      </c>
      <c r="AZ1256" t="str">
        <f>""</f>
        <v/>
      </c>
      <c r="BA1256" t="str">
        <f>""</f>
        <v/>
      </c>
      <c r="BB1256" t="str">
        <f>"06/07/2023 12:07:48"</f>
        <v>06/07/2023 12:07:48</v>
      </c>
      <c r="BC1256" t="str">
        <f>""</f>
        <v/>
      </c>
      <c r="BD1256" t="str">
        <f>""</f>
        <v/>
      </c>
      <c r="BE1256" t="str">
        <f>""</f>
        <v/>
      </c>
      <c r="BF1256" t="str">
        <f t="shared" si="624"/>
        <v>A</v>
      </c>
      <c r="BG1256" t="str">
        <f>""</f>
        <v/>
      </c>
      <c r="BH1256" t="str">
        <f>""</f>
        <v/>
      </c>
      <c r="BI1256" t="str">
        <f t="shared" si="633"/>
        <v>EVENTUAL</v>
      </c>
      <c r="BJ1256" t="str">
        <f t="shared" si="625"/>
        <v>1</v>
      </c>
      <c r="BK1256" t="str">
        <f t="shared" si="626"/>
        <v>Farmacia</v>
      </c>
      <c r="BL1256" t="str">
        <f>""</f>
        <v/>
      </c>
      <c r="BM1256" t="str">
        <f>""</f>
        <v/>
      </c>
      <c r="BN1256" t="str">
        <f>""</f>
        <v/>
      </c>
      <c r="BO1256" t="str">
        <f>""</f>
        <v/>
      </c>
      <c r="BP1256" t="str">
        <f>""</f>
        <v/>
      </c>
      <c r="BQ1256" t="str">
        <f>""</f>
        <v/>
      </c>
      <c r="BR1256" t="str">
        <f>"06/07/2023"</f>
        <v>06/07/2023</v>
      </c>
      <c r="BS1256" t="str">
        <f>""</f>
        <v/>
      </c>
      <c r="BT1256" t="str">
        <f>""</f>
        <v/>
      </c>
      <c r="BU1256" t="str">
        <f>""</f>
        <v/>
      </c>
      <c r="BV1256" t="str">
        <f>""</f>
        <v/>
      </c>
      <c r="BW1256" t="str">
        <f>"79"</f>
        <v>79</v>
      </c>
    </row>
    <row r="1257" spans="1:75" x14ac:dyDescent="0.35">
      <c r="A1257">
        <v>607</v>
      </c>
      <c r="B1257" t="str">
        <f t="shared" si="620"/>
        <v>A</v>
      </c>
      <c r="C1257" t="str">
        <f t="shared" si="621"/>
        <v>80</v>
      </c>
      <c r="D1257" t="str">
        <f t="shared" si="611"/>
        <v>11121002</v>
      </c>
      <c r="E1257" t="str">
        <f t="shared" si="612"/>
        <v>121002</v>
      </c>
      <c r="F1257" t="str">
        <f t="shared" si="613"/>
        <v>CINTHIA NORONHA</v>
      </c>
      <c r="G1257" t="str">
        <f>"19051197000116"</f>
        <v>19051197000116</v>
      </c>
      <c r="H1257" t="str">
        <f>""</f>
        <v/>
      </c>
      <c r="I1257" t="str">
        <f t="shared" si="622"/>
        <v>CONTA OPTICA</v>
      </c>
      <c r="J1257" t="str">
        <f>"WD OPTICA E JOALHERIA LTDA ME"</f>
        <v>WD OPTICA E JOALHERIA LTDA ME</v>
      </c>
      <c r="K1257" t="str">
        <f>"ESTATUS OPTICA E JOALHERIA (2068)"</f>
        <v>ESTATUS OPTICA E JOALHERIA (2068)</v>
      </c>
      <c r="L1257" t="str">
        <f>""</f>
        <v/>
      </c>
      <c r="M1257" t="str">
        <f>""</f>
        <v/>
      </c>
      <c r="N1257" t="str">
        <f>"morgana@estatusotica.com.br"</f>
        <v>morgana@estatusotica.com.br</v>
      </c>
      <c r="O1257" t="str">
        <f>""</f>
        <v/>
      </c>
      <c r="P1257" t="str">
        <f>"RUA BARAO DO RIO BRANCO"</f>
        <v>RUA BARAO DO RIO BRANCO</v>
      </c>
      <c r="Q1257" t="str">
        <f>"78"</f>
        <v>78</v>
      </c>
      <c r="R1257" t="str">
        <f>"SALA 4"</f>
        <v>SALA 4</v>
      </c>
      <c r="S1257" t="str">
        <f>"1259"</f>
        <v>1259</v>
      </c>
      <c r="T1257" t="str">
        <f>"88130100"</f>
        <v>88130100</v>
      </c>
      <c r="U1257" t="str">
        <f>"CENTRO"</f>
        <v>CENTRO</v>
      </c>
      <c r="V1257" t="str">
        <f>"PALHOÇA"</f>
        <v>PALHOÇA</v>
      </c>
      <c r="W1257" t="str">
        <f t="shared" si="608"/>
        <v>SC</v>
      </c>
      <c r="X1257" t="str">
        <f t="shared" si="634"/>
        <v>48</v>
      </c>
      <c r="Y1257" t="str">
        <f>"32420446"</f>
        <v>32420446</v>
      </c>
      <c r="Z1257" t="str">
        <f>""</f>
        <v/>
      </c>
      <c r="AA1257" t="str">
        <f>""</f>
        <v/>
      </c>
      <c r="AB1257" t="str">
        <f>""</f>
        <v/>
      </c>
      <c r="AC1257" t="str">
        <f>""</f>
        <v/>
      </c>
      <c r="AD1257" t="str">
        <f>""</f>
        <v/>
      </c>
      <c r="AE1257" t="str">
        <f>""</f>
        <v/>
      </c>
      <c r="AF1257" t="str">
        <f>""</f>
        <v/>
      </c>
      <c r="AG1257" t="str">
        <f>"S"</f>
        <v>S</v>
      </c>
      <c r="AH1257" t="str">
        <f>""</f>
        <v/>
      </c>
      <c r="AI1257" t="str">
        <f>""</f>
        <v/>
      </c>
      <c r="AJ1257" t="str">
        <f t="shared" ref="AJ1257:AL1258" si="635">"0"</f>
        <v>0</v>
      </c>
      <c r="AK1257" t="str">
        <f t="shared" si="635"/>
        <v>0</v>
      </c>
      <c r="AL1257" t="str">
        <f t="shared" si="635"/>
        <v>0</v>
      </c>
      <c r="AM1257" t="str">
        <f>""</f>
        <v/>
      </c>
      <c r="AN1257" t="str">
        <f>""</f>
        <v/>
      </c>
      <c r="AO1257" t="str">
        <f>""</f>
        <v/>
      </c>
      <c r="AP1257" t="str">
        <f>""</f>
        <v/>
      </c>
      <c r="AQ1257" t="str">
        <f>"N"</f>
        <v>N</v>
      </c>
      <c r="AR1257" t="str">
        <f>"N"</f>
        <v>N</v>
      </c>
      <c r="AS1257" t="str">
        <f>"N"</f>
        <v>N</v>
      </c>
      <c r="AT1257" t="str">
        <f>"N"</f>
        <v>N</v>
      </c>
      <c r="AU1257" t="str">
        <f>"N"</f>
        <v>N</v>
      </c>
      <c r="AV1257" t="str">
        <f>""</f>
        <v/>
      </c>
      <c r="AW1257" t="str">
        <f>""</f>
        <v/>
      </c>
      <c r="AX1257" t="str">
        <f>""</f>
        <v/>
      </c>
      <c r="AY1257" t="str">
        <f>""</f>
        <v/>
      </c>
      <c r="AZ1257" t="str">
        <f>""</f>
        <v/>
      </c>
      <c r="BA1257" t="str">
        <f>""</f>
        <v/>
      </c>
      <c r="BB1257" t="str">
        <f>"27/07/2018 09:25:47"</f>
        <v>27/07/2018 09:25:47</v>
      </c>
      <c r="BC1257" t="str">
        <f>"13/07/2022 15:12:39"</f>
        <v>13/07/2022 15:12:39</v>
      </c>
      <c r="BD1257" t="str">
        <f>""</f>
        <v/>
      </c>
      <c r="BE1257" t="str">
        <f>"607"</f>
        <v>607</v>
      </c>
      <c r="BF1257" t="str">
        <f t="shared" si="624"/>
        <v>A</v>
      </c>
      <c r="BG1257" t="str">
        <f>"0,00"</f>
        <v>0,00</v>
      </c>
      <c r="BH1257" t="str">
        <f>"0,00"</f>
        <v>0,00</v>
      </c>
      <c r="BI1257" t="str">
        <f t="shared" si="633"/>
        <v>EVENTUAL</v>
      </c>
      <c r="BJ1257" t="str">
        <f t="shared" si="625"/>
        <v>1</v>
      </c>
      <c r="BK1257" t="str">
        <f t="shared" si="626"/>
        <v>Farmacia</v>
      </c>
      <c r="BL1257" t="str">
        <f>""</f>
        <v/>
      </c>
      <c r="BM1257" t="str">
        <f>"NÃO É VARILUX ESPECIALISTA"</f>
        <v>NÃO É VARILUX ESPECIALISTA</v>
      </c>
      <c r="BN1257" t="str">
        <f>"NA"</f>
        <v>NA</v>
      </c>
      <c r="BO1257" t="str">
        <f>"FOCO KODAK 2"</f>
        <v>FOCO KODAK 2</v>
      </c>
      <c r="BP1257" t="str">
        <f>""</f>
        <v/>
      </c>
      <c r="BQ1257" t="str">
        <f>""</f>
        <v/>
      </c>
      <c r="BR1257" t="str">
        <f>"27/07/2018"</f>
        <v>27/07/2018</v>
      </c>
      <c r="BS1257" t="str">
        <f>"13/07/2022"</f>
        <v>13/07/2022</v>
      </c>
      <c r="BT1257" t="str">
        <f>""</f>
        <v/>
      </c>
      <c r="BU1257" t="str">
        <f>""</f>
        <v/>
      </c>
      <c r="BV1257" t="str">
        <f>"9"</f>
        <v>9</v>
      </c>
      <c r="BW1257" t="str">
        <f>"11"</f>
        <v>11</v>
      </c>
    </row>
    <row r="1258" spans="1:75" x14ac:dyDescent="0.35">
      <c r="A1258">
        <v>144393</v>
      </c>
      <c r="B1258" t="str">
        <f t="shared" si="620"/>
        <v>A</v>
      </c>
      <c r="C1258" t="str">
        <f t="shared" si="621"/>
        <v>80</v>
      </c>
      <c r="D1258" t="str">
        <f t="shared" si="611"/>
        <v>11121002</v>
      </c>
      <c r="E1258" t="str">
        <f t="shared" si="612"/>
        <v>121002</v>
      </c>
      <c r="F1258" t="str">
        <f t="shared" si="613"/>
        <v>CINTHIA NORONHA</v>
      </c>
      <c r="G1258" t="str">
        <f>"84902204000108"</f>
        <v>84902204000108</v>
      </c>
      <c r="H1258" t="str">
        <f>""</f>
        <v/>
      </c>
      <c r="I1258" t="str">
        <f t="shared" si="622"/>
        <v>CONTA OPTICA</v>
      </c>
      <c r="J1258" t="str">
        <f>"WERNER E CIA LTDA"</f>
        <v>WERNER E CIA LTDA</v>
      </c>
      <c r="K1258" t="str">
        <f>"RELOJOARIA, JOALHERIA E OTICA WERNER (1073)"</f>
        <v>RELOJOARIA, JOALHERIA E OTICA WERNER (1073)</v>
      </c>
      <c r="L1258" t="str">
        <f>""</f>
        <v/>
      </c>
      <c r="M1258" t="str">
        <f>""</f>
        <v/>
      </c>
      <c r="N1258" t="str">
        <f>"oticawerner@gmail.com"</f>
        <v>oticawerner@gmail.com</v>
      </c>
      <c r="O1258" t="str">
        <f>""</f>
        <v/>
      </c>
      <c r="P1258" t="str">
        <f>"RUA RAULINO HORN"</f>
        <v>RUA RAULINO HORN</v>
      </c>
      <c r="Q1258" t="str">
        <f>"145"</f>
        <v>145</v>
      </c>
      <c r="R1258" t="str">
        <f>""</f>
        <v/>
      </c>
      <c r="S1258" t="str">
        <f>"1268"</f>
        <v>1268</v>
      </c>
      <c r="T1258" t="str">
        <f>"88790000"</f>
        <v>88790000</v>
      </c>
      <c r="U1258" t="str">
        <f>"CENTRO"</f>
        <v>CENTRO</v>
      </c>
      <c r="V1258" t="str">
        <f>"LAGUNA"</f>
        <v>LAGUNA</v>
      </c>
      <c r="W1258" t="str">
        <f t="shared" si="608"/>
        <v>SC</v>
      </c>
      <c r="X1258" t="str">
        <f t="shared" si="634"/>
        <v>48</v>
      </c>
      <c r="Y1258" t="str">
        <f>"36440717"</f>
        <v>36440717</v>
      </c>
      <c r="Z1258" t="str">
        <f>""</f>
        <v/>
      </c>
      <c r="AA1258" t="str">
        <f>""</f>
        <v/>
      </c>
      <c r="AB1258" t="str">
        <f>""</f>
        <v/>
      </c>
      <c r="AC1258" t="str">
        <f>""</f>
        <v/>
      </c>
      <c r="AD1258" t="str">
        <f>""</f>
        <v/>
      </c>
      <c r="AE1258" t="str">
        <f>""</f>
        <v/>
      </c>
      <c r="AF1258" t="str">
        <f>""</f>
        <v/>
      </c>
      <c r="AG1258" t="str">
        <f>""</f>
        <v/>
      </c>
      <c r="AH1258" t="str">
        <f>""</f>
        <v/>
      </c>
      <c r="AI1258" t="str">
        <f>""</f>
        <v/>
      </c>
      <c r="AJ1258" t="str">
        <f t="shared" si="635"/>
        <v>0</v>
      </c>
      <c r="AK1258" t="str">
        <f t="shared" si="635"/>
        <v>0</v>
      </c>
      <c r="AL1258" t="str">
        <f t="shared" si="635"/>
        <v>0</v>
      </c>
      <c r="AM1258" t="str">
        <f>""</f>
        <v/>
      </c>
      <c r="AN1258" t="str">
        <f>""</f>
        <v/>
      </c>
      <c r="AO1258" t="str">
        <f>""</f>
        <v/>
      </c>
      <c r="AP1258" t="str">
        <f>""</f>
        <v/>
      </c>
      <c r="AQ1258" t="str">
        <f>""</f>
        <v/>
      </c>
      <c r="AR1258" t="str">
        <f>""</f>
        <v/>
      </c>
      <c r="AS1258" t="str">
        <f>""</f>
        <v/>
      </c>
      <c r="AT1258" t="str">
        <f>""</f>
        <v/>
      </c>
      <c r="AU1258" t="str">
        <f>""</f>
        <v/>
      </c>
      <c r="AV1258" t="str">
        <f>""</f>
        <v/>
      </c>
      <c r="AW1258" t="str">
        <f>""</f>
        <v/>
      </c>
      <c r="AX1258" t="str">
        <f>""</f>
        <v/>
      </c>
      <c r="AY1258" t="str">
        <f>""</f>
        <v/>
      </c>
      <c r="AZ1258" t="str">
        <f>""</f>
        <v/>
      </c>
      <c r="BA1258" t="str">
        <f>""</f>
        <v/>
      </c>
      <c r="BB1258" t="str">
        <f>""</f>
        <v/>
      </c>
      <c r="BC1258" t="str">
        <f>""</f>
        <v/>
      </c>
      <c r="BD1258" t="str">
        <f>""</f>
        <v/>
      </c>
      <c r="BE1258" t="str">
        <f>""</f>
        <v/>
      </c>
      <c r="BF1258" t="str">
        <f t="shared" si="624"/>
        <v>A</v>
      </c>
      <c r="BG1258" t="str">
        <f>"0,00"</f>
        <v>0,00</v>
      </c>
      <c r="BH1258" t="str">
        <f>"0,00"</f>
        <v>0,00</v>
      </c>
      <c r="BI1258" t="str">
        <f t="shared" si="633"/>
        <v>EVENTUAL</v>
      </c>
      <c r="BJ1258" t="str">
        <f t="shared" si="625"/>
        <v>1</v>
      </c>
      <c r="BK1258" t="str">
        <f t="shared" si="626"/>
        <v>Farmacia</v>
      </c>
      <c r="BL1258" t="str">
        <f>""</f>
        <v/>
      </c>
      <c r="BM1258" t="str">
        <f>"NÃO É VARILUX ESPECIALISTA"</f>
        <v>NÃO É VARILUX ESPECIALISTA</v>
      </c>
      <c r="BN1258" t="str">
        <f>"EL360"</f>
        <v>EL360</v>
      </c>
      <c r="BO1258" t="str">
        <f>"FOCO KODAK 1"</f>
        <v>FOCO KODAK 1</v>
      </c>
      <c r="BP1258" t="str">
        <f>""</f>
        <v/>
      </c>
      <c r="BQ1258" t="str">
        <f>""</f>
        <v/>
      </c>
      <c r="BR1258" t="str">
        <f>""</f>
        <v/>
      </c>
      <c r="BS1258" t="str">
        <f>""</f>
        <v/>
      </c>
      <c r="BT1258" t="str">
        <f>""</f>
        <v/>
      </c>
      <c r="BU1258" t="str">
        <f>""</f>
        <v/>
      </c>
      <c r="BV1258" t="str">
        <f>"9"</f>
        <v>9</v>
      </c>
      <c r="BW1258" t="str">
        <f>"7"</f>
        <v>7</v>
      </c>
    </row>
    <row r="1259" spans="1:75" x14ac:dyDescent="0.35">
      <c r="A1259">
        <v>156932</v>
      </c>
      <c r="B1259" t="str">
        <f t="shared" si="620"/>
        <v>A</v>
      </c>
      <c r="C1259" t="str">
        <f t="shared" si="621"/>
        <v>80</v>
      </c>
      <c r="D1259" t="str">
        <f t="shared" si="611"/>
        <v>11121002</v>
      </c>
      <c r="E1259" t="str">
        <f t="shared" si="612"/>
        <v>121002</v>
      </c>
      <c r="F1259" t="str">
        <f t="shared" si="613"/>
        <v>CINTHIA NORONHA</v>
      </c>
      <c r="G1259" t="str">
        <f>"20063233000140"</f>
        <v>20063233000140</v>
      </c>
      <c r="H1259" t="str">
        <f>"0"</f>
        <v>0</v>
      </c>
      <c r="I1259" t="str">
        <f t="shared" si="622"/>
        <v>CONTA OPTICA</v>
      </c>
      <c r="J1259" t="str">
        <f>"WINNY TORRES DA SILVA 09013265936"</f>
        <v>WINNY TORRES DA SILVA 09013265936</v>
      </c>
      <c r="K1259" t="str">
        <f>"OPTICA FASCINIO (2191)"</f>
        <v>OPTICA FASCINIO (2191)</v>
      </c>
      <c r="L1259" t="str">
        <f>""</f>
        <v/>
      </c>
      <c r="M1259" t="str">
        <f>""</f>
        <v/>
      </c>
      <c r="N1259" t="str">
        <f>"WINNY_SILVA@HOTMAIL.COM"</f>
        <v>WINNY_SILVA@HOTMAIL.COM</v>
      </c>
      <c r="O1259" t="str">
        <f>""</f>
        <v/>
      </c>
      <c r="P1259" t="str">
        <f>"CORONEL SERAFIM SILVA MATOS"</f>
        <v>CORONEL SERAFIM SILVA MATOS</v>
      </c>
      <c r="Q1259" t="str">
        <f>"62"</f>
        <v>62</v>
      </c>
      <c r="R1259" t="str">
        <f>""</f>
        <v/>
      </c>
      <c r="S1259" t="str">
        <f>"1268"</f>
        <v>1268</v>
      </c>
      <c r="T1259" t="str">
        <f>"88770000"</f>
        <v>88770000</v>
      </c>
      <c r="U1259" t="str">
        <f>"CENTRO"</f>
        <v>CENTRO</v>
      </c>
      <c r="V1259" t="str">
        <f>"IMARUI"</f>
        <v>IMARUI</v>
      </c>
      <c r="W1259" t="str">
        <f t="shared" si="608"/>
        <v>SC</v>
      </c>
      <c r="X1259" t="str">
        <f t="shared" si="634"/>
        <v>48</v>
      </c>
      <c r="Y1259" t="str">
        <f>"36430030"</f>
        <v>36430030</v>
      </c>
      <c r="Z1259" t="str">
        <f>""</f>
        <v/>
      </c>
      <c r="AA1259" t="str">
        <f>""</f>
        <v/>
      </c>
      <c r="AB1259" t="str">
        <f>""</f>
        <v/>
      </c>
      <c r="AC1259" t="str">
        <f>""</f>
        <v/>
      </c>
      <c r="AD1259" t="str">
        <f>""</f>
        <v/>
      </c>
      <c r="AE1259" t="str">
        <f>""</f>
        <v/>
      </c>
      <c r="AF1259" t="str">
        <f>""</f>
        <v/>
      </c>
      <c r="AG1259" t="str">
        <f>""</f>
        <v/>
      </c>
      <c r="AH1259" t="str">
        <f>""</f>
        <v/>
      </c>
      <c r="AI1259" t="str">
        <f>""</f>
        <v/>
      </c>
      <c r="AJ1259" t="str">
        <f>""</f>
        <v/>
      </c>
      <c r="AK1259" t="str">
        <f>""</f>
        <v/>
      </c>
      <c r="AL1259" t="str">
        <f>""</f>
        <v/>
      </c>
      <c r="AM1259" t="str">
        <f>""</f>
        <v/>
      </c>
      <c r="AN1259" t="str">
        <f>""</f>
        <v/>
      </c>
      <c r="AO1259" t="str">
        <f>""</f>
        <v/>
      </c>
      <c r="AP1259" t="str">
        <f>""</f>
        <v/>
      </c>
      <c r="AQ1259" t="str">
        <f>""</f>
        <v/>
      </c>
      <c r="AR1259" t="str">
        <f>""</f>
        <v/>
      </c>
      <c r="AS1259" t="str">
        <f>""</f>
        <v/>
      </c>
      <c r="AT1259" t="str">
        <f>""</f>
        <v/>
      </c>
      <c r="AU1259" t="str">
        <f>""</f>
        <v/>
      </c>
      <c r="AV1259" t="str">
        <f>""</f>
        <v/>
      </c>
      <c r="AW1259" t="str">
        <f>""</f>
        <v/>
      </c>
      <c r="AX1259" t="str">
        <f>""</f>
        <v/>
      </c>
      <c r="AY1259" t="str">
        <f>""</f>
        <v/>
      </c>
      <c r="AZ1259" t="str">
        <f>""</f>
        <v/>
      </c>
      <c r="BA1259" t="str">
        <f>""</f>
        <v/>
      </c>
      <c r="BB1259" t="str">
        <f>"06/07/2023 12:07:48"</f>
        <v>06/07/2023 12:07:48</v>
      </c>
      <c r="BC1259" t="str">
        <f>""</f>
        <v/>
      </c>
      <c r="BD1259" t="str">
        <f>""</f>
        <v/>
      </c>
      <c r="BE1259" t="str">
        <f>""</f>
        <v/>
      </c>
      <c r="BF1259" t="str">
        <f t="shared" si="624"/>
        <v>A</v>
      </c>
      <c r="BG1259" t="str">
        <f>""</f>
        <v/>
      </c>
      <c r="BH1259" t="str">
        <f>""</f>
        <v/>
      </c>
      <c r="BI1259" t="str">
        <f t="shared" si="633"/>
        <v>EVENTUAL</v>
      </c>
      <c r="BJ1259" t="str">
        <f t="shared" si="625"/>
        <v>1</v>
      </c>
      <c r="BK1259" t="str">
        <f t="shared" si="626"/>
        <v>Farmacia</v>
      </c>
      <c r="BL1259" t="str">
        <f>""</f>
        <v/>
      </c>
      <c r="BM1259" t="str">
        <f>""</f>
        <v/>
      </c>
      <c r="BN1259" t="str">
        <f>""</f>
        <v/>
      </c>
      <c r="BO1259" t="str">
        <f>""</f>
        <v/>
      </c>
      <c r="BP1259" t="str">
        <f>""</f>
        <v/>
      </c>
      <c r="BQ1259" t="str">
        <f>""</f>
        <v/>
      </c>
      <c r="BR1259" t="str">
        <f>"06/07/2023"</f>
        <v>06/07/2023</v>
      </c>
      <c r="BS1259" t="str">
        <f>""</f>
        <v/>
      </c>
      <c r="BT1259" t="str">
        <f>""</f>
        <v/>
      </c>
      <c r="BU1259" t="str">
        <f>""</f>
        <v/>
      </c>
      <c r="BV1259" t="str">
        <f>""</f>
        <v/>
      </c>
      <c r="BW1259" t="str">
        <f>"Não visitado"</f>
        <v>Não visitado</v>
      </c>
    </row>
    <row r="1260" spans="1:75" x14ac:dyDescent="0.35">
      <c r="A1260">
        <v>118686</v>
      </c>
      <c r="B1260" t="str">
        <f t="shared" si="620"/>
        <v>A</v>
      </c>
      <c r="C1260" t="str">
        <f t="shared" si="621"/>
        <v>80</v>
      </c>
      <c r="D1260" t="str">
        <f t="shared" si="611"/>
        <v>11121002</v>
      </c>
      <c r="E1260" t="str">
        <f t="shared" si="612"/>
        <v>121002</v>
      </c>
      <c r="F1260" t="str">
        <f t="shared" si="613"/>
        <v>CINTHIA NORONHA</v>
      </c>
      <c r="G1260" t="str">
        <f>"05800050000177"</f>
        <v>05800050000177</v>
      </c>
      <c r="H1260" t="str">
        <f>""</f>
        <v/>
      </c>
      <c r="I1260" t="str">
        <f t="shared" si="622"/>
        <v>CONTA OPTICA</v>
      </c>
      <c r="J1260" t="str">
        <f>"WMAI INFORMATICA LTDA - ME"</f>
        <v>WMAI INFORMATICA LTDA - ME</v>
      </c>
      <c r="K1260" t="str">
        <f>"COSMUS INFORMATICA E OTICA ISIDORO (11932)"</f>
        <v>COSMUS INFORMATICA E OTICA ISIDORO (11932)</v>
      </c>
      <c r="L1260" t="str">
        <f>""</f>
        <v/>
      </c>
      <c r="M1260" t="str">
        <f>""</f>
        <v/>
      </c>
      <c r="N1260" t="str">
        <f>"aloisio@cosmusinformatica.com.br"</f>
        <v>aloisio@cosmusinformatica.com.br</v>
      </c>
      <c r="O1260" t="str">
        <f>""</f>
        <v/>
      </c>
      <c r="P1260" t="str">
        <f>"RUA NEREU RAMOS"</f>
        <v>RUA NEREU RAMOS</v>
      </c>
      <c r="Q1260" t="str">
        <f>"807"</f>
        <v>807</v>
      </c>
      <c r="R1260" t="str">
        <f>""</f>
        <v/>
      </c>
      <c r="S1260" t="str">
        <f>"1268"</f>
        <v>1268</v>
      </c>
      <c r="T1260" t="str">
        <f>"88750000"</f>
        <v>88750000</v>
      </c>
      <c r="U1260" t="str">
        <f>"CENTRO"</f>
        <v>CENTRO</v>
      </c>
      <c r="V1260" t="str">
        <f>"BRACO DO NORTE"</f>
        <v>BRACO DO NORTE</v>
      </c>
      <c r="W1260" t="str">
        <f t="shared" si="608"/>
        <v>SC</v>
      </c>
      <c r="X1260" t="str">
        <f t="shared" si="634"/>
        <v>48</v>
      </c>
      <c r="Y1260" t="str">
        <f>"36583249"</f>
        <v>36583249</v>
      </c>
      <c r="Z1260" t="str">
        <f>""</f>
        <v/>
      </c>
      <c r="AA1260" t="str">
        <f>""</f>
        <v/>
      </c>
      <c r="AB1260" t="str">
        <f>""</f>
        <v/>
      </c>
      <c r="AC1260" t="str">
        <f>""</f>
        <v/>
      </c>
      <c r="AD1260" t="str">
        <f>""</f>
        <v/>
      </c>
      <c r="AE1260" t="str">
        <f>""</f>
        <v/>
      </c>
      <c r="AF1260" t="str">
        <f>""</f>
        <v/>
      </c>
      <c r="AG1260" t="str">
        <f>""</f>
        <v/>
      </c>
      <c r="AH1260" t="str">
        <f>""</f>
        <v/>
      </c>
      <c r="AI1260" t="str">
        <f>""</f>
        <v/>
      </c>
      <c r="AJ1260" t="str">
        <f>"0"</f>
        <v>0</v>
      </c>
      <c r="AK1260" t="str">
        <f>"0"</f>
        <v>0</v>
      </c>
      <c r="AL1260" t="str">
        <f>"0"</f>
        <v>0</v>
      </c>
      <c r="AM1260" t="str">
        <f>""</f>
        <v/>
      </c>
      <c r="AN1260" t="str">
        <f>""</f>
        <v/>
      </c>
      <c r="AO1260" t="str">
        <f>""</f>
        <v/>
      </c>
      <c r="AP1260" t="str">
        <f>""</f>
        <v/>
      </c>
      <c r="AQ1260" t="str">
        <f>""</f>
        <v/>
      </c>
      <c r="AR1260" t="str">
        <f>""</f>
        <v/>
      </c>
      <c r="AS1260" t="str">
        <f>""</f>
        <v/>
      </c>
      <c r="AT1260" t="str">
        <f>""</f>
        <v/>
      </c>
      <c r="AU1260" t="str">
        <f>""</f>
        <v/>
      </c>
      <c r="AV1260" t="str">
        <f>""</f>
        <v/>
      </c>
      <c r="AW1260" t="str">
        <f>""</f>
        <v/>
      </c>
      <c r="AX1260" t="str">
        <f>""</f>
        <v/>
      </c>
      <c r="AY1260" t="str">
        <f>""</f>
        <v/>
      </c>
      <c r="AZ1260" t="str">
        <f>""</f>
        <v/>
      </c>
      <c r="BA1260" t="str">
        <f>""</f>
        <v/>
      </c>
      <c r="BB1260" t="str">
        <f>""</f>
        <v/>
      </c>
      <c r="BC1260" t="str">
        <f>""</f>
        <v/>
      </c>
      <c r="BD1260" t="str">
        <f>""</f>
        <v/>
      </c>
      <c r="BE1260" t="str">
        <f>""</f>
        <v/>
      </c>
      <c r="BF1260" t="str">
        <f t="shared" si="624"/>
        <v>A</v>
      </c>
      <c r="BG1260" t="str">
        <f>"0,00"</f>
        <v>0,00</v>
      </c>
      <c r="BH1260" t="str">
        <f>"0,00"</f>
        <v>0,00</v>
      </c>
      <c r="BI1260" t="str">
        <f t="shared" si="633"/>
        <v>EVENTUAL</v>
      </c>
      <c r="BJ1260" t="str">
        <f t="shared" si="625"/>
        <v>1</v>
      </c>
      <c r="BK1260" t="str">
        <f t="shared" si="626"/>
        <v>Farmacia</v>
      </c>
      <c r="BL1260" t="str">
        <f>""</f>
        <v/>
      </c>
      <c r="BM1260" t="str">
        <f>"NÃO É VARILUX ESPECIALISTA"</f>
        <v>NÃO É VARILUX ESPECIALISTA</v>
      </c>
      <c r="BN1260" t="str">
        <f>"NA"</f>
        <v>NA</v>
      </c>
      <c r="BO1260" t="str">
        <f>"FOCO VARILUX"</f>
        <v>FOCO VARILUX</v>
      </c>
      <c r="BP1260" t="str">
        <f>""</f>
        <v/>
      </c>
      <c r="BQ1260" t="str">
        <f>""</f>
        <v/>
      </c>
      <c r="BR1260" t="str">
        <f>""</f>
        <v/>
      </c>
      <c r="BS1260" t="str">
        <f>""</f>
        <v/>
      </c>
      <c r="BT1260" t="str">
        <f>""</f>
        <v/>
      </c>
      <c r="BU1260" t="str">
        <f>""</f>
        <v/>
      </c>
      <c r="BV1260" t="str">
        <f>"9"</f>
        <v>9</v>
      </c>
      <c r="BW1260" t="str">
        <f>"126"</f>
        <v>126</v>
      </c>
    </row>
    <row r="1261" spans="1:75" x14ac:dyDescent="0.35">
      <c r="A1261">
        <v>144700</v>
      </c>
      <c r="B1261" t="str">
        <f t="shared" si="620"/>
        <v>A</v>
      </c>
      <c r="C1261" t="str">
        <f t="shared" si="621"/>
        <v>80</v>
      </c>
      <c r="D1261" t="str">
        <f t="shared" si="611"/>
        <v>11121002</v>
      </c>
      <c r="E1261" t="str">
        <f t="shared" si="612"/>
        <v>121002</v>
      </c>
      <c r="F1261" t="str">
        <f t="shared" si="613"/>
        <v>CINTHIA NORONHA</v>
      </c>
      <c r="G1261" t="str">
        <f>"29180798000182"</f>
        <v>29180798000182</v>
      </c>
      <c r="H1261" t="str">
        <f>""</f>
        <v/>
      </c>
      <c r="I1261" t="str">
        <f t="shared" si="622"/>
        <v>CONTA OPTICA</v>
      </c>
      <c r="J1261" t="str">
        <f>"WMS RELOJOARIA E OPTICA EIRELI"</f>
        <v>WMS RELOJOARIA E OPTICA EIRELI</v>
      </c>
      <c r="K1261" t="str">
        <f>"MERCADAO DOS OCULOS (3852)"</f>
        <v>MERCADAO DOS OCULOS (3852)</v>
      </c>
      <c r="L1261" t="str">
        <f>""</f>
        <v/>
      </c>
      <c r="M1261" t="str">
        <f>""</f>
        <v/>
      </c>
      <c r="N1261" t="str">
        <f>"werica_moraes@hotmail.com"</f>
        <v>werica_moraes@hotmail.com</v>
      </c>
      <c r="O1261" t="str">
        <f>""</f>
        <v/>
      </c>
      <c r="P1261" t="str">
        <f>"RUA JOAO PESSOA"</f>
        <v>RUA JOAO PESSOA</v>
      </c>
      <c r="Q1261" t="str">
        <f>"131"</f>
        <v>131</v>
      </c>
      <c r="R1261" t="str">
        <f>"SALA 04"</f>
        <v>SALA 04</v>
      </c>
      <c r="S1261" t="str">
        <f>"1269"</f>
        <v>1269</v>
      </c>
      <c r="T1261" t="str">
        <f>"88801530"</f>
        <v>88801530</v>
      </c>
      <c r="U1261" t="str">
        <f>"CENTRO"</f>
        <v>CENTRO</v>
      </c>
      <c r="V1261" t="str">
        <f>"CRICIUMA"</f>
        <v>CRICIUMA</v>
      </c>
      <c r="W1261" t="str">
        <f t="shared" si="608"/>
        <v>SC</v>
      </c>
      <c r="X1261" t="str">
        <f t="shared" si="634"/>
        <v>48</v>
      </c>
      <c r="Y1261" t="str">
        <f>"34137576"</f>
        <v>34137576</v>
      </c>
      <c r="Z1261" t="str">
        <f>""</f>
        <v/>
      </c>
      <c r="AA1261" t="str">
        <f>""</f>
        <v/>
      </c>
      <c r="AB1261" t="str">
        <f>""</f>
        <v/>
      </c>
      <c r="AC1261" t="str">
        <f>""</f>
        <v/>
      </c>
      <c r="AD1261" t="str">
        <f>""</f>
        <v/>
      </c>
      <c r="AE1261" t="str">
        <f>""</f>
        <v/>
      </c>
      <c r="AF1261" t="str">
        <f>""</f>
        <v/>
      </c>
      <c r="AG1261" t="str">
        <f>""</f>
        <v/>
      </c>
      <c r="AH1261" t="str">
        <f>""</f>
        <v/>
      </c>
      <c r="AI1261" t="str">
        <f>""</f>
        <v/>
      </c>
      <c r="AJ1261" t="str">
        <f>""</f>
        <v/>
      </c>
      <c r="AK1261" t="str">
        <f>""</f>
        <v/>
      </c>
      <c r="AL1261" t="str">
        <f>""</f>
        <v/>
      </c>
      <c r="AM1261" t="str">
        <f>""</f>
        <v/>
      </c>
      <c r="AN1261" t="str">
        <f>""</f>
        <v/>
      </c>
      <c r="AO1261" t="str">
        <f>""</f>
        <v/>
      </c>
      <c r="AP1261" t="str">
        <f>""</f>
        <v/>
      </c>
      <c r="AQ1261" t="str">
        <f>""</f>
        <v/>
      </c>
      <c r="AR1261" t="str">
        <f>""</f>
        <v/>
      </c>
      <c r="AS1261" t="str">
        <f>""</f>
        <v/>
      </c>
      <c r="AT1261" t="str">
        <f>""</f>
        <v/>
      </c>
      <c r="AU1261" t="str">
        <f>""</f>
        <v/>
      </c>
      <c r="AV1261" t="str">
        <f>""</f>
        <v/>
      </c>
      <c r="AW1261" t="str">
        <f>""</f>
        <v/>
      </c>
      <c r="AX1261" t="str">
        <f>""</f>
        <v/>
      </c>
      <c r="AY1261" t="str">
        <f>""</f>
        <v/>
      </c>
      <c r="AZ1261" t="str">
        <f>""</f>
        <v/>
      </c>
      <c r="BA1261" t="str">
        <f>""</f>
        <v/>
      </c>
      <c r="BB1261" t="str">
        <f>""</f>
        <v/>
      </c>
      <c r="BC1261" t="str">
        <f>""</f>
        <v/>
      </c>
      <c r="BD1261" t="str">
        <f>""</f>
        <v/>
      </c>
      <c r="BE1261" t="str">
        <f>""</f>
        <v/>
      </c>
      <c r="BF1261" t="str">
        <f t="shared" si="624"/>
        <v>A</v>
      </c>
      <c r="BG1261" t="str">
        <f>""</f>
        <v/>
      </c>
      <c r="BH1261" t="str">
        <f>""</f>
        <v/>
      </c>
      <c r="BI1261" t="str">
        <f t="shared" si="633"/>
        <v>EVENTUAL</v>
      </c>
      <c r="BJ1261" t="str">
        <f t="shared" si="625"/>
        <v>1</v>
      </c>
      <c r="BK1261" t="str">
        <f t="shared" si="626"/>
        <v>Farmacia</v>
      </c>
      <c r="BL1261" t="str">
        <f>""</f>
        <v/>
      </c>
      <c r="BM1261" t="str">
        <f>"NÃO É VARILUX ESPECIALISTA"</f>
        <v>NÃO É VARILUX ESPECIALISTA</v>
      </c>
      <c r="BN1261" t="str">
        <f>"NA"</f>
        <v>NA</v>
      </c>
      <c r="BO1261" t="str">
        <f>"FOCO KODAK 2"</f>
        <v>FOCO KODAK 2</v>
      </c>
      <c r="BP1261" t="str">
        <f>""</f>
        <v/>
      </c>
      <c r="BQ1261" t="str">
        <f>""</f>
        <v/>
      </c>
      <c r="BR1261" t="str">
        <f>""</f>
        <v/>
      </c>
      <c r="BS1261" t="str">
        <f>""</f>
        <v/>
      </c>
      <c r="BT1261" t="str">
        <f>""</f>
        <v/>
      </c>
      <c r="BU1261" t="str">
        <f>""</f>
        <v/>
      </c>
      <c r="BV1261" t="str">
        <f>"4"</f>
        <v>4</v>
      </c>
      <c r="BW1261" t="str">
        <f>"357"</f>
        <v>357</v>
      </c>
    </row>
    <row r="1262" spans="1:75" x14ac:dyDescent="0.35">
      <c r="A1262">
        <v>156954</v>
      </c>
      <c r="B1262" t="str">
        <f t="shared" si="620"/>
        <v>A</v>
      </c>
      <c r="C1262" t="str">
        <f t="shared" si="621"/>
        <v>80</v>
      </c>
      <c r="D1262" t="str">
        <f t="shared" si="611"/>
        <v>11121002</v>
      </c>
      <c r="E1262" t="str">
        <f t="shared" si="612"/>
        <v>121002</v>
      </c>
      <c r="F1262" t="str">
        <f t="shared" si="613"/>
        <v>CINTHIA NORONHA</v>
      </c>
      <c r="G1262" t="str">
        <f>"36045290000137"</f>
        <v>36045290000137</v>
      </c>
      <c r="H1262" t="str">
        <f>"0"</f>
        <v>0</v>
      </c>
      <c r="I1262" t="str">
        <f t="shared" si="622"/>
        <v>CONTA OPTICA</v>
      </c>
      <c r="J1262" t="str">
        <f>"WOPE FRANCHISING E PARTICIPACOES LTDA"</f>
        <v>WOPE FRANCHISING E PARTICIPACOES LTDA</v>
      </c>
      <c r="K1262" t="str">
        <f>"WOPE FRANCHISING E PARTICIPACOES (4368)"</f>
        <v>WOPE FRANCHISING E PARTICIPACOES (4368)</v>
      </c>
      <c r="L1262" t="str">
        <f>""</f>
        <v/>
      </c>
      <c r="M1262" t="str">
        <f>""</f>
        <v/>
      </c>
      <c r="N1262" t="str">
        <f>"FINANCEIRO@WOPEFRANCHISING.COM.BR"</f>
        <v>FINANCEIRO@WOPEFRANCHISING.COM.BR</v>
      </c>
      <c r="O1262" t="str">
        <f>""</f>
        <v/>
      </c>
      <c r="P1262" t="str">
        <f>"RUA DOS CAFEZAIS"</f>
        <v>RUA DOS CAFEZAIS</v>
      </c>
      <c r="Q1262" t="str">
        <f>"60"</f>
        <v>60</v>
      </c>
      <c r="R1262" t="str">
        <f>""</f>
        <v/>
      </c>
      <c r="S1262" t="str">
        <f>""</f>
        <v/>
      </c>
      <c r="T1262" t="str">
        <f>"88108450"</f>
        <v>88108450</v>
      </c>
      <c r="U1262" t="str">
        <f>"BOSQUE DAS MANSOES"</f>
        <v>BOSQUE DAS MANSOES</v>
      </c>
      <c r="V1262" t="str">
        <f>"SAO JOSE"</f>
        <v>SAO JOSE</v>
      </c>
      <c r="W1262" t="str">
        <f t="shared" si="608"/>
        <v>SC</v>
      </c>
      <c r="X1262" t="str">
        <f t="shared" si="634"/>
        <v>48</v>
      </c>
      <c r="Y1262" t="str">
        <f>"30293542"</f>
        <v>30293542</v>
      </c>
      <c r="Z1262" t="str">
        <f>""</f>
        <v/>
      </c>
      <c r="AA1262" t="str">
        <f>""</f>
        <v/>
      </c>
      <c r="AB1262" t="str">
        <f>""</f>
        <v/>
      </c>
      <c r="AC1262" t="str">
        <f>""</f>
        <v/>
      </c>
      <c r="AD1262" t="str">
        <f>""</f>
        <v/>
      </c>
      <c r="AE1262" t="str">
        <f>""</f>
        <v/>
      </c>
      <c r="AF1262" t="str">
        <f>""</f>
        <v/>
      </c>
      <c r="AG1262" t="str">
        <f>""</f>
        <v/>
      </c>
      <c r="AH1262" t="str">
        <f>""</f>
        <v/>
      </c>
      <c r="AI1262" t="str">
        <f>""</f>
        <v/>
      </c>
      <c r="AJ1262" t="str">
        <f>""</f>
        <v/>
      </c>
      <c r="AK1262" t="str">
        <f>""</f>
        <v/>
      </c>
      <c r="AL1262" t="str">
        <f>""</f>
        <v/>
      </c>
      <c r="AM1262" t="str">
        <f>""</f>
        <v/>
      </c>
      <c r="AN1262" t="str">
        <f>""</f>
        <v/>
      </c>
      <c r="AO1262" t="str">
        <f>""</f>
        <v/>
      </c>
      <c r="AP1262" t="str">
        <f>""</f>
        <v/>
      </c>
      <c r="AQ1262" t="str">
        <f>""</f>
        <v/>
      </c>
      <c r="AR1262" t="str">
        <f>""</f>
        <v/>
      </c>
      <c r="AS1262" t="str">
        <f>""</f>
        <v/>
      </c>
      <c r="AT1262" t="str">
        <f>""</f>
        <v/>
      </c>
      <c r="AU1262" t="str">
        <f>""</f>
        <v/>
      </c>
      <c r="AV1262" t="str">
        <f>""</f>
        <v/>
      </c>
      <c r="AW1262" t="str">
        <f>""</f>
        <v/>
      </c>
      <c r="AX1262" t="str">
        <f>""</f>
        <v/>
      </c>
      <c r="AY1262" t="str">
        <f>""</f>
        <v/>
      </c>
      <c r="AZ1262" t="str">
        <f>""</f>
        <v/>
      </c>
      <c r="BA1262" t="str">
        <f>""</f>
        <v/>
      </c>
      <c r="BB1262" t="str">
        <f>"06/07/2023 12:07:48"</f>
        <v>06/07/2023 12:07:48</v>
      </c>
      <c r="BC1262" t="str">
        <f>""</f>
        <v/>
      </c>
      <c r="BD1262" t="str">
        <f>""</f>
        <v/>
      </c>
      <c r="BE1262" t="str">
        <f>""</f>
        <v/>
      </c>
      <c r="BF1262" t="str">
        <f t="shared" si="624"/>
        <v>A</v>
      </c>
      <c r="BG1262" t="str">
        <f>""</f>
        <v/>
      </c>
      <c r="BH1262" t="str">
        <f>""</f>
        <v/>
      </c>
      <c r="BI1262" t="str">
        <f t="shared" si="633"/>
        <v>EVENTUAL</v>
      </c>
      <c r="BJ1262" t="str">
        <f t="shared" si="625"/>
        <v>1</v>
      </c>
      <c r="BK1262" t="str">
        <f t="shared" si="626"/>
        <v>Farmacia</v>
      </c>
      <c r="BL1262" t="str">
        <f>""</f>
        <v/>
      </c>
      <c r="BM1262" t="str">
        <f>""</f>
        <v/>
      </c>
      <c r="BN1262" t="str">
        <f>""</f>
        <v/>
      </c>
      <c r="BO1262" t="str">
        <f>""</f>
        <v/>
      </c>
      <c r="BP1262" t="str">
        <f>""</f>
        <v/>
      </c>
      <c r="BQ1262" t="str">
        <f>""</f>
        <v/>
      </c>
      <c r="BR1262" t="str">
        <f>"06/07/2023"</f>
        <v>06/07/2023</v>
      </c>
      <c r="BS1262" t="str">
        <f>""</f>
        <v/>
      </c>
      <c r="BT1262" t="str">
        <f>""</f>
        <v/>
      </c>
      <c r="BU1262" t="str">
        <f>""</f>
        <v/>
      </c>
      <c r="BV1262" t="str">
        <f>""</f>
        <v/>
      </c>
      <c r="BW1262" t="str">
        <f>"Não visitado"</f>
        <v>Não visitado</v>
      </c>
    </row>
    <row r="1263" spans="1:75" x14ac:dyDescent="0.35">
      <c r="A1263">
        <v>144799</v>
      </c>
      <c r="B1263" t="str">
        <f t="shared" si="620"/>
        <v>A</v>
      </c>
      <c r="C1263" t="str">
        <f t="shared" si="621"/>
        <v>80</v>
      </c>
      <c r="D1263" t="str">
        <f t="shared" si="611"/>
        <v>11121002</v>
      </c>
      <c r="E1263" t="str">
        <f t="shared" si="612"/>
        <v>121002</v>
      </c>
      <c r="F1263" t="str">
        <f t="shared" si="613"/>
        <v>CINTHIA NORONHA</v>
      </c>
      <c r="G1263" t="str">
        <f>"39696267000109"</f>
        <v>39696267000109</v>
      </c>
      <c r="H1263" t="str">
        <f>""</f>
        <v/>
      </c>
      <c r="I1263" t="str">
        <f t="shared" si="622"/>
        <v>CONTA OPTICA</v>
      </c>
      <c r="J1263" t="str">
        <f>"WRJ LAGUNA SC LTDA"</f>
        <v>WRJ LAGUNA SC LTDA</v>
      </c>
      <c r="K1263" t="str">
        <f>"MERCADAO DOS OCULOS LAGUNA (4254)"</f>
        <v>MERCADAO DOS OCULOS LAGUNA (4254)</v>
      </c>
      <c r="L1263" t="str">
        <f>""</f>
        <v/>
      </c>
      <c r="M1263" t="str">
        <f>""</f>
        <v/>
      </c>
      <c r="N1263" t="str">
        <f>"regisantoniol@hotmail.com"</f>
        <v>regisantoniol@hotmail.com</v>
      </c>
      <c r="O1263" t="str">
        <f>""</f>
        <v/>
      </c>
      <c r="P1263" t="str">
        <f>"RUA RAULINO HORN"</f>
        <v>RUA RAULINO HORN</v>
      </c>
      <c r="Q1263" t="str">
        <f>"171"</f>
        <v>171</v>
      </c>
      <c r="R1263" t="str">
        <f>"SALA 01"</f>
        <v>SALA 01</v>
      </c>
      <c r="S1263" t="str">
        <f>"1268"</f>
        <v>1268</v>
      </c>
      <c r="T1263" t="str">
        <f>"88790000"</f>
        <v>88790000</v>
      </c>
      <c r="U1263" t="str">
        <f>"CENTRO"</f>
        <v>CENTRO</v>
      </c>
      <c r="V1263" t="str">
        <f>"LAGUNA"</f>
        <v>LAGUNA</v>
      </c>
      <c r="W1263" t="str">
        <f t="shared" si="608"/>
        <v>SC</v>
      </c>
      <c r="X1263" t="str">
        <f>"51"</f>
        <v>51</v>
      </c>
      <c r="Y1263" t="str">
        <f>"998325522"</f>
        <v>998325522</v>
      </c>
      <c r="Z1263" t="str">
        <f>""</f>
        <v/>
      </c>
      <c r="AA1263" t="str">
        <f>""</f>
        <v/>
      </c>
      <c r="AB1263" t="str">
        <f>""</f>
        <v/>
      </c>
      <c r="AC1263" t="str">
        <f>""</f>
        <v/>
      </c>
      <c r="AD1263" t="str">
        <f>""</f>
        <v/>
      </c>
      <c r="AE1263" t="str">
        <f>""</f>
        <v/>
      </c>
      <c r="AF1263" t="str">
        <f>""</f>
        <v/>
      </c>
      <c r="AG1263" t="str">
        <f>""</f>
        <v/>
      </c>
      <c r="AH1263" t="str">
        <f>""</f>
        <v/>
      </c>
      <c r="AI1263" t="str">
        <f>""</f>
        <v/>
      </c>
      <c r="AJ1263" t="str">
        <f>"0"</f>
        <v>0</v>
      </c>
      <c r="AK1263" t="str">
        <f>"0"</f>
        <v>0</v>
      </c>
      <c r="AL1263" t="str">
        <f>"0"</f>
        <v>0</v>
      </c>
      <c r="AM1263" t="str">
        <f>""</f>
        <v/>
      </c>
      <c r="AN1263" t="str">
        <f>""</f>
        <v/>
      </c>
      <c r="AO1263" t="str">
        <f>""</f>
        <v/>
      </c>
      <c r="AP1263" t="str">
        <f>""</f>
        <v/>
      </c>
      <c r="AQ1263" t="str">
        <f>""</f>
        <v/>
      </c>
      <c r="AR1263" t="str">
        <f>""</f>
        <v/>
      </c>
      <c r="AS1263" t="str">
        <f>""</f>
        <v/>
      </c>
      <c r="AT1263" t="str">
        <f>""</f>
        <v/>
      </c>
      <c r="AU1263" t="str">
        <f>""</f>
        <v/>
      </c>
      <c r="AV1263" t="str">
        <f>""</f>
        <v/>
      </c>
      <c r="AW1263" t="str">
        <f>""</f>
        <v/>
      </c>
      <c r="AX1263" t="str">
        <f>""</f>
        <v/>
      </c>
      <c r="AY1263" t="str">
        <f>""</f>
        <v/>
      </c>
      <c r="AZ1263" t="str">
        <f>""</f>
        <v/>
      </c>
      <c r="BA1263" t="str">
        <f>""</f>
        <v/>
      </c>
      <c r="BB1263" t="str">
        <f>""</f>
        <v/>
      </c>
      <c r="BC1263" t="str">
        <f>""</f>
        <v/>
      </c>
      <c r="BD1263" t="str">
        <f>""</f>
        <v/>
      </c>
      <c r="BE1263" t="str">
        <f>""</f>
        <v/>
      </c>
      <c r="BF1263" t="str">
        <f t="shared" si="624"/>
        <v>A</v>
      </c>
      <c r="BG1263" t="str">
        <f>"0,00"</f>
        <v>0,00</v>
      </c>
      <c r="BH1263" t="str">
        <f>"0,00"</f>
        <v>0,00</v>
      </c>
      <c r="BI1263" t="str">
        <f t="shared" si="633"/>
        <v>EVENTUAL</v>
      </c>
      <c r="BJ1263" t="str">
        <f t="shared" si="625"/>
        <v>1</v>
      </c>
      <c r="BK1263" t="str">
        <f t="shared" si="626"/>
        <v>Farmacia</v>
      </c>
      <c r="BL1263" t="str">
        <f>""</f>
        <v/>
      </c>
      <c r="BM1263" t="str">
        <f>"NÃO É VARILUX ESPECIALISTA"</f>
        <v>NÃO É VARILUX ESPECIALISTA</v>
      </c>
      <c r="BN1263" t="str">
        <f>"NA"</f>
        <v>NA</v>
      </c>
      <c r="BO1263" t="str">
        <f>"FOCO VARILUX"</f>
        <v>FOCO VARILUX</v>
      </c>
      <c r="BP1263" t="str">
        <f>""</f>
        <v/>
      </c>
      <c r="BQ1263" t="str">
        <f>""</f>
        <v/>
      </c>
      <c r="BR1263" t="str">
        <f>""</f>
        <v/>
      </c>
      <c r="BS1263" t="str">
        <f>""</f>
        <v/>
      </c>
      <c r="BT1263" t="str">
        <f>""</f>
        <v/>
      </c>
      <c r="BU1263" t="str">
        <f>""</f>
        <v/>
      </c>
      <c r="BV1263" t="str">
        <f>"9"</f>
        <v>9</v>
      </c>
      <c r="BW1263" t="str">
        <f>"Não visitado"</f>
        <v>Não visitado</v>
      </c>
    </row>
    <row r="1264" spans="1:75" x14ac:dyDescent="0.35">
      <c r="A1264">
        <v>151575</v>
      </c>
      <c r="B1264" t="str">
        <f t="shared" si="620"/>
        <v>A</v>
      </c>
      <c r="C1264" t="str">
        <f t="shared" si="621"/>
        <v>80</v>
      </c>
      <c r="D1264" t="str">
        <f t="shared" si="611"/>
        <v>11121002</v>
      </c>
      <c r="E1264" t="str">
        <f t="shared" si="612"/>
        <v>121002</v>
      </c>
      <c r="F1264" t="str">
        <f t="shared" si="613"/>
        <v>CINTHIA NORONHA</v>
      </c>
      <c r="G1264" t="str">
        <f>"34596752000189"</f>
        <v>34596752000189</v>
      </c>
      <c r="H1264" t="str">
        <f>"0"</f>
        <v>0</v>
      </c>
      <c r="I1264" t="str">
        <f t="shared" si="622"/>
        <v>CONTA OPTICA</v>
      </c>
      <c r="J1264" t="str">
        <f>"ZETI OPTICA E JOALHERIA LTDA"</f>
        <v>ZETI OPTICA E JOALHERIA LTDA</v>
      </c>
      <c r="K1264" t="str">
        <f>"ZETI OPTICA E JOALHERIA (4346)"</f>
        <v>ZETI OPTICA E JOALHERIA (4346)</v>
      </c>
      <c r="L1264" t="str">
        <f>""</f>
        <v/>
      </c>
      <c r="M1264" t="str">
        <f>""</f>
        <v/>
      </c>
      <c r="N1264" t="str">
        <f>"CLAUDIAOPTICA@YAHOO.COM.BR"</f>
        <v>CLAUDIAOPTICA@YAHOO.COM.BR</v>
      </c>
      <c r="O1264" t="str">
        <f>""</f>
        <v/>
      </c>
      <c r="P1264" t="str">
        <f>"RUA GETULIO VARGAS"</f>
        <v>RUA GETULIO VARGAS</v>
      </c>
      <c r="Q1264" t="str">
        <f>"100"</f>
        <v>100</v>
      </c>
      <c r="R1264" t="str">
        <f>"SALA 7"</f>
        <v>SALA 7</v>
      </c>
      <c r="S1264" t="str">
        <f>"1270"</f>
        <v>1270</v>
      </c>
      <c r="T1264" t="str">
        <f>"88960000"</f>
        <v>88960000</v>
      </c>
      <c r="U1264" t="str">
        <f>"CENTRO"</f>
        <v>CENTRO</v>
      </c>
      <c r="V1264" t="str">
        <f>"SOMBRIO"</f>
        <v>SOMBRIO</v>
      </c>
      <c r="W1264" t="str">
        <f t="shared" ref="W1264:W1327" si="636">"SC"</f>
        <v>SC</v>
      </c>
      <c r="X1264" t="str">
        <f>"48"</f>
        <v>48</v>
      </c>
      <c r="Y1264" t="str">
        <f>"35334411"</f>
        <v>35334411</v>
      </c>
      <c r="Z1264" t="str">
        <f>""</f>
        <v/>
      </c>
      <c r="AA1264" t="str">
        <f>""</f>
        <v/>
      </c>
      <c r="AB1264" t="str">
        <f>""</f>
        <v/>
      </c>
      <c r="AC1264" t="str">
        <f>""</f>
        <v/>
      </c>
      <c r="AD1264" t="str">
        <f>""</f>
        <v/>
      </c>
      <c r="AE1264" t="str">
        <f>""</f>
        <v/>
      </c>
      <c r="AF1264" t="str">
        <f>""</f>
        <v/>
      </c>
      <c r="AG1264" t="str">
        <f>""</f>
        <v/>
      </c>
      <c r="AH1264" t="str">
        <f>""</f>
        <v/>
      </c>
      <c r="AI1264" t="str">
        <f>""</f>
        <v/>
      </c>
      <c r="AJ1264" t="str">
        <f>""</f>
        <v/>
      </c>
      <c r="AK1264" t="str">
        <f>""</f>
        <v/>
      </c>
      <c r="AL1264" t="str">
        <f>""</f>
        <v/>
      </c>
      <c r="AM1264" t="str">
        <f>""</f>
        <v/>
      </c>
      <c r="AN1264" t="str">
        <f>""</f>
        <v/>
      </c>
      <c r="AO1264" t="str">
        <f>""</f>
        <v/>
      </c>
      <c r="AP1264" t="str">
        <f>""</f>
        <v/>
      </c>
      <c r="AQ1264" t="str">
        <f>""</f>
        <v/>
      </c>
      <c r="AR1264" t="str">
        <f>""</f>
        <v/>
      </c>
      <c r="AS1264" t="str">
        <f>""</f>
        <v/>
      </c>
      <c r="AT1264" t="str">
        <f>""</f>
        <v/>
      </c>
      <c r="AU1264" t="str">
        <f>""</f>
        <v/>
      </c>
      <c r="AV1264" t="str">
        <f>""</f>
        <v/>
      </c>
      <c r="AW1264" t="str">
        <f>""</f>
        <v/>
      </c>
      <c r="AX1264" t="str">
        <f>""</f>
        <v/>
      </c>
      <c r="AY1264" t="str">
        <f>""</f>
        <v/>
      </c>
      <c r="AZ1264" t="str">
        <f>""</f>
        <v/>
      </c>
      <c r="BA1264" t="str">
        <f>""</f>
        <v/>
      </c>
      <c r="BB1264" t="str">
        <f>"28/10/2022 14:20:33"</f>
        <v>28/10/2022 14:20:33</v>
      </c>
      <c r="BC1264" t="str">
        <f>""</f>
        <v/>
      </c>
      <c r="BD1264" t="str">
        <f>""</f>
        <v/>
      </c>
      <c r="BE1264" t="str">
        <f>""</f>
        <v/>
      </c>
      <c r="BF1264" t="str">
        <f t="shared" si="624"/>
        <v>A</v>
      </c>
      <c r="BG1264" t="str">
        <f>""</f>
        <v/>
      </c>
      <c r="BH1264" t="str">
        <f>""</f>
        <v/>
      </c>
      <c r="BI1264" t="str">
        <f t="shared" si="633"/>
        <v>EVENTUAL</v>
      </c>
      <c r="BJ1264" t="str">
        <f t="shared" si="625"/>
        <v>1</v>
      </c>
      <c r="BK1264" t="str">
        <f t="shared" si="626"/>
        <v>Farmacia</v>
      </c>
      <c r="BL1264" t="str">
        <f>""</f>
        <v/>
      </c>
      <c r="BM1264" t="str">
        <f>""</f>
        <v/>
      </c>
      <c r="BN1264" t="str">
        <f>""</f>
        <v/>
      </c>
      <c r="BO1264" t="str">
        <f>""</f>
        <v/>
      </c>
      <c r="BP1264" t="str">
        <f>""</f>
        <v/>
      </c>
      <c r="BQ1264" t="str">
        <f>""</f>
        <v/>
      </c>
      <c r="BR1264" t="str">
        <f>"28/10/2022"</f>
        <v>28/10/2022</v>
      </c>
      <c r="BS1264" t="str">
        <f>""</f>
        <v/>
      </c>
      <c r="BT1264" t="str">
        <f>""</f>
        <v/>
      </c>
      <c r="BU1264" t="str">
        <f>""</f>
        <v/>
      </c>
      <c r="BV1264" t="str">
        <f>""</f>
        <v/>
      </c>
      <c r="BW1264" t="str">
        <f>"175"</f>
        <v>175</v>
      </c>
    </row>
    <row r="1265" spans="1:75" x14ac:dyDescent="0.35">
      <c r="A1265">
        <v>144863</v>
      </c>
      <c r="B1265" t="str">
        <f t="shared" si="620"/>
        <v>A</v>
      </c>
      <c r="C1265" t="str">
        <f t="shared" si="621"/>
        <v>80</v>
      </c>
      <c r="D1265" t="str">
        <f t="shared" si="611"/>
        <v>11121002</v>
      </c>
      <c r="E1265" t="str">
        <f t="shared" si="612"/>
        <v>121002</v>
      </c>
      <c r="F1265" t="str">
        <f t="shared" si="613"/>
        <v>CINTHIA NORONHA</v>
      </c>
      <c r="G1265" t="str">
        <f>"42857368000110"</f>
        <v>42857368000110</v>
      </c>
      <c r="H1265" t="str">
        <f>""</f>
        <v/>
      </c>
      <c r="I1265" t="str">
        <f t="shared" si="622"/>
        <v>CONTA OPTICA</v>
      </c>
      <c r="J1265" t="str">
        <f>"ZETI OPTICAS LTDA"</f>
        <v>ZETI OPTICAS LTDA</v>
      </c>
      <c r="K1265" t="str">
        <f>"ZETI OPTICAS (4433)"</f>
        <v>ZETI OPTICAS (4433)</v>
      </c>
      <c r="L1265" t="str">
        <f>""</f>
        <v/>
      </c>
      <c r="M1265" t="str">
        <f>""</f>
        <v/>
      </c>
      <c r="N1265" t="str">
        <f>"ZETIOPTICAS@YAHOO.COM.BR"</f>
        <v>ZETIOPTICAS@YAHOO.COM.BR</v>
      </c>
      <c r="O1265" t="str">
        <f>""</f>
        <v/>
      </c>
      <c r="P1265" t="str">
        <f>"RUA DR ANTONIO BOTTINI"</f>
        <v>RUA DR ANTONIO BOTTINI</v>
      </c>
      <c r="Q1265" t="str">
        <f>"81"</f>
        <v>81</v>
      </c>
      <c r="R1265" t="str">
        <f>""</f>
        <v/>
      </c>
      <c r="S1265" t="str">
        <f>"1270"</f>
        <v>1270</v>
      </c>
      <c r="T1265" t="str">
        <f>"88960000"</f>
        <v>88960000</v>
      </c>
      <c r="U1265" t="str">
        <f>"CENTRO"</f>
        <v>CENTRO</v>
      </c>
      <c r="V1265" t="str">
        <f>"SOMBRIO"</f>
        <v>SOMBRIO</v>
      </c>
      <c r="W1265" t="str">
        <f t="shared" si="636"/>
        <v>SC</v>
      </c>
      <c r="X1265" t="str">
        <f>"48"</f>
        <v>48</v>
      </c>
      <c r="Y1265" t="str">
        <f>"998297571"</f>
        <v>998297571</v>
      </c>
      <c r="Z1265" t="str">
        <f>""</f>
        <v/>
      </c>
      <c r="AA1265" t="str">
        <f>""</f>
        <v/>
      </c>
      <c r="AB1265" t="str">
        <f>""</f>
        <v/>
      </c>
      <c r="AC1265" t="str">
        <f>""</f>
        <v/>
      </c>
      <c r="AD1265" t="str">
        <f>""</f>
        <v/>
      </c>
      <c r="AE1265" t="str">
        <f>""</f>
        <v/>
      </c>
      <c r="AF1265" t="str">
        <f>""</f>
        <v/>
      </c>
      <c r="AG1265" t="str">
        <f>""</f>
        <v/>
      </c>
      <c r="AH1265" t="str">
        <f>""</f>
        <v/>
      </c>
      <c r="AI1265" t="str">
        <f>""</f>
        <v/>
      </c>
      <c r="AJ1265" t="str">
        <f>""</f>
        <v/>
      </c>
      <c r="AK1265" t="str">
        <f>""</f>
        <v/>
      </c>
      <c r="AL1265" t="str">
        <f>""</f>
        <v/>
      </c>
      <c r="AM1265" t="str">
        <f>""</f>
        <v/>
      </c>
      <c r="AN1265" t="str">
        <f>""</f>
        <v/>
      </c>
      <c r="AO1265" t="str">
        <f>""</f>
        <v/>
      </c>
      <c r="AP1265" t="str">
        <f>""</f>
        <v/>
      </c>
      <c r="AQ1265" t="str">
        <f>""</f>
        <v/>
      </c>
      <c r="AR1265" t="str">
        <f>""</f>
        <v/>
      </c>
      <c r="AS1265" t="str">
        <f>""</f>
        <v/>
      </c>
      <c r="AT1265" t="str">
        <f>""</f>
        <v/>
      </c>
      <c r="AU1265" t="str">
        <f>""</f>
        <v/>
      </c>
      <c r="AV1265" t="str">
        <f>""</f>
        <v/>
      </c>
      <c r="AW1265" t="str">
        <f>""</f>
        <v/>
      </c>
      <c r="AX1265" t="str">
        <f>""</f>
        <v/>
      </c>
      <c r="AY1265" t="str">
        <f>""</f>
        <v/>
      </c>
      <c r="AZ1265" t="str">
        <f>""</f>
        <v/>
      </c>
      <c r="BA1265" t="str">
        <f>""</f>
        <v/>
      </c>
      <c r="BB1265" t="str">
        <f>""</f>
        <v/>
      </c>
      <c r="BC1265" t="str">
        <f>""</f>
        <v/>
      </c>
      <c r="BD1265" t="str">
        <f>""</f>
        <v/>
      </c>
      <c r="BE1265" t="str">
        <f>""</f>
        <v/>
      </c>
      <c r="BF1265" t="str">
        <f t="shared" si="624"/>
        <v>A</v>
      </c>
      <c r="BG1265" t="str">
        <f>""</f>
        <v/>
      </c>
      <c r="BH1265" t="str">
        <f>""</f>
        <v/>
      </c>
      <c r="BI1265" t="str">
        <f t="shared" si="633"/>
        <v>EVENTUAL</v>
      </c>
      <c r="BJ1265" t="str">
        <f t="shared" si="625"/>
        <v>1</v>
      </c>
      <c r="BK1265" t="str">
        <f t="shared" si="626"/>
        <v>Farmacia</v>
      </c>
      <c r="BL1265" t="str">
        <f>""</f>
        <v/>
      </c>
      <c r="BM1265" t="str">
        <f>""</f>
        <v/>
      </c>
      <c r="BN1265" t="str">
        <f>""</f>
        <v/>
      </c>
      <c r="BO1265" t="str">
        <f>"FOCO VARILUX"</f>
        <v>FOCO VARILUX</v>
      </c>
      <c r="BP1265" t="str">
        <f>""</f>
        <v/>
      </c>
      <c r="BQ1265" t="str">
        <f>""</f>
        <v/>
      </c>
      <c r="BR1265" t="str">
        <f>""</f>
        <v/>
      </c>
      <c r="BS1265" t="str">
        <f>""</f>
        <v/>
      </c>
      <c r="BT1265" t="str">
        <f>""</f>
        <v/>
      </c>
      <c r="BU1265" t="str">
        <f>""</f>
        <v/>
      </c>
      <c r="BV1265" t="str">
        <f>""</f>
        <v/>
      </c>
      <c r="BW1265" t="str">
        <f>"Não visitado"</f>
        <v>Não visitado</v>
      </c>
    </row>
    <row r="1266" spans="1:75" x14ac:dyDescent="0.35">
      <c r="A1266">
        <v>156943</v>
      </c>
      <c r="B1266" t="str">
        <f t="shared" si="620"/>
        <v>A</v>
      </c>
      <c r="C1266" t="str">
        <f t="shared" si="621"/>
        <v>80</v>
      </c>
      <c r="D1266" t="str">
        <f t="shared" si="611"/>
        <v>11121002</v>
      </c>
      <c r="E1266" t="str">
        <f t="shared" si="612"/>
        <v>121002</v>
      </c>
      <c r="F1266" t="str">
        <f t="shared" si="613"/>
        <v>CINTHIA NORONHA</v>
      </c>
      <c r="G1266" t="str">
        <f>"50860044000160"</f>
        <v>50860044000160</v>
      </c>
      <c r="H1266" t="str">
        <f>"0"</f>
        <v>0</v>
      </c>
      <c r="I1266" t="str">
        <f t="shared" si="622"/>
        <v>CONTA OPTICA</v>
      </c>
      <c r="J1266" t="str">
        <f>"ZMO OTICA LTDA"</f>
        <v>ZMO OTICA LTDA</v>
      </c>
      <c r="K1266" t="str">
        <f>"Q OCULOS FLORIPA (4718)"</f>
        <v>Q OCULOS FLORIPA (4718)</v>
      </c>
      <c r="L1266" t="str">
        <f>""</f>
        <v/>
      </c>
      <c r="M1266" t="str">
        <f>""</f>
        <v/>
      </c>
      <c r="N1266" t="str">
        <f>"LOJA129@QOCULOS.COM.BR"</f>
        <v>LOJA129@QOCULOS.COM.BR</v>
      </c>
      <c r="O1266" t="str">
        <f>""</f>
        <v/>
      </c>
      <c r="P1266" t="str">
        <f>"SC 401"</f>
        <v>SC 401</v>
      </c>
      <c r="Q1266" t="str">
        <f>"3116"</f>
        <v>3116</v>
      </c>
      <c r="R1266" t="str">
        <f>"L 1"</f>
        <v>L 1</v>
      </c>
      <c r="S1266" t="str">
        <f>"1257"</f>
        <v>1257</v>
      </c>
      <c r="T1266" t="str">
        <f>"88032005"</f>
        <v>88032005</v>
      </c>
      <c r="U1266" t="str">
        <f>"SACO GRANDE"</f>
        <v>SACO GRANDE</v>
      </c>
      <c r="V1266" t="str">
        <f>"FLORIANOPOLIS"</f>
        <v>FLORIANOPOLIS</v>
      </c>
      <c r="W1266" t="str">
        <f t="shared" si="636"/>
        <v>SC</v>
      </c>
      <c r="X1266" t="str">
        <f>"48"</f>
        <v>48</v>
      </c>
      <c r="Y1266" t="str">
        <f>"996189363"</f>
        <v>996189363</v>
      </c>
      <c r="Z1266" t="str">
        <f>""</f>
        <v/>
      </c>
      <c r="AA1266" t="str">
        <f>""</f>
        <v/>
      </c>
      <c r="AB1266" t="str">
        <f>""</f>
        <v/>
      </c>
      <c r="AC1266" t="str">
        <f>""</f>
        <v/>
      </c>
      <c r="AD1266" t="str">
        <f>""</f>
        <v/>
      </c>
      <c r="AE1266" t="str">
        <f>""</f>
        <v/>
      </c>
      <c r="AF1266" t="str">
        <f>""</f>
        <v/>
      </c>
      <c r="AG1266" t="str">
        <f>""</f>
        <v/>
      </c>
      <c r="AH1266" t="str">
        <f>""</f>
        <v/>
      </c>
      <c r="AI1266" t="str">
        <f>""</f>
        <v/>
      </c>
      <c r="AJ1266" t="str">
        <f>""</f>
        <v/>
      </c>
      <c r="AK1266" t="str">
        <f>""</f>
        <v/>
      </c>
      <c r="AL1266" t="str">
        <f>""</f>
        <v/>
      </c>
      <c r="AM1266" t="str">
        <f>""</f>
        <v/>
      </c>
      <c r="AN1266" t="str">
        <f>""</f>
        <v/>
      </c>
      <c r="AO1266" t="str">
        <f>""</f>
        <v/>
      </c>
      <c r="AP1266" t="str">
        <f>""</f>
        <v/>
      </c>
      <c r="AQ1266" t="str">
        <f>""</f>
        <v/>
      </c>
      <c r="AR1266" t="str">
        <f>""</f>
        <v/>
      </c>
      <c r="AS1266" t="str">
        <f>""</f>
        <v/>
      </c>
      <c r="AT1266" t="str">
        <f>""</f>
        <v/>
      </c>
      <c r="AU1266" t="str">
        <f>""</f>
        <v/>
      </c>
      <c r="AV1266" t="str">
        <f>""</f>
        <v/>
      </c>
      <c r="AW1266" t="str">
        <f>""</f>
        <v/>
      </c>
      <c r="AX1266" t="str">
        <f>""</f>
        <v/>
      </c>
      <c r="AY1266" t="str">
        <f>""</f>
        <v/>
      </c>
      <c r="AZ1266" t="str">
        <f>""</f>
        <v/>
      </c>
      <c r="BA1266" t="str">
        <f>""</f>
        <v/>
      </c>
      <c r="BB1266" t="str">
        <f>"06/07/2023 12:07:48"</f>
        <v>06/07/2023 12:07:48</v>
      </c>
      <c r="BC1266" t="str">
        <f>""</f>
        <v/>
      </c>
      <c r="BD1266" t="str">
        <f>""</f>
        <v/>
      </c>
      <c r="BE1266" t="str">
        <f>""</f>
        <v/>
      </c>
      <c r="BF1266" t="str">
        <f t="shared" si="624"/>
        <v>A</v>
      </c>
      <c r="BG1266" t="str">
        <f>""</f>
        <v/>
      </c>
      <c r="BH1266" t="str">
        <f>""</f>
        <v/>
      </c>
      <c r="BI1266" t="str">
        <f t="shared" si="633"/>
        <v>EVENTUAL</v>
      </c>
      <c r="BJ1266" t="str">
        <f t="shared" si="625"/>
        <v>1</v>
      </c>
      <c r="BK1266" t="str">
        <f t="shared" si="626"/>
        <v>Farmacia</v>
      </c>
      <c r="BL1266" t="str">
        <f>""</f>
        <v/>
      </c>
      <c r="BM1266" t="str">
        <f>""</f>
        <v/>
      </c>
      <c r="BN1266" t="str">
        <f>""</f>
        <v/>
      </c>
      <c r="BO1266" t="str">
        <f>""</f>
        <v/>
      </c>
      <c r="BP1266" t="str">
        <f>""</f>
        <v/>
      </c>
      <c r="BQ1266" t="str">
        <f>""</f>
        <v/>
      </c>
      <c r="BR1266" t="str">
        <f>"06/07/2023"</f>
        <v>06/07/2023</v>
      </c>
      <c r="BS1266" t="str">
        <f>""</f>
        <v/>
      </c>
      <c r="BT1266" t="str">
        <f>""</f>
        <v/>
      </c>
      <c r="BU1266" t="str">
        <f>""</f>
        <v/>
      </c>
      <c r="BV1266" t="str">
        <f>""</f>
        <v/>
      </c>
      <c r="BW1266" t="str">
        <f>"42"</f>
        <v>42</v>
      </c>
    </row>
    <row r="1267" spans="1:75" x14ac:dyDescent="0.35">
      <c r="A1267">
        <v>157773</v>
      </c>
      <c r="B1267" t="str">
        <f t="shared" si="620"/>
        <v>A</v>
      </c>
      <c r="C1267" t="str">
        <f t="shared" si="621"/>
        <v>80</v>
      </c>
      <c r="D1267" t="str">
        <f t="shared" ref="D1267:D1330" si="637">"11121004"</f>
        <v>11121004</v>
      </c>
      <c r="E1267" t="str">
        <f t="shared" ref="E1267:E1330" si="638">"121004"</f>
        <v>121004</v>
      </c>
      <c r="F1267" t="str">
        <f t="shared" ref="F1267:F1330" si="639">"FABIANA GODOY"</f>
        <v>FABIANA GODOY</v>
      </c>
      <c r="G1267" t="str">
        <f>"36591149000130"</f>
        <v>36591149000130</v>
      </c>
      <c r="H1267" t="str">
        <f>"0"</f>
        <v>0</v>
      </c>
      <c r="I1267" t="str">
        <f t="shared" si="622"/>
        <v>CONTA OPTICA</v>
      </c>
      <c r="J1267" t="str">
        <f>"3.R.L. ARTIGOS OTICOS LTDA"</f>
        <v>3.R.L. ARTIGOS OTICOS LTDA</v>
      </c>
      <c r="K1267" t="str">
        <f>"OTICA REGGIANE (4409)"</f>
        <v>OTICA REGGIANE (4409)</v>
      </c>
      <c r="L1267" t="str">
        <f>""</f>
        <v/>
      </c>
      <c r="M1267" t="str">
        <f>""</f>
        <v/>
      </c>
      <c r="N1267" t="str">
        <f>"OTICAREGGIANE@OUTLOOK.COM"</f>
        <v>OTICAREGGIANE@OUTLOOK.COM</v>
      </c>
      <c r="O1267" t="str">
        <f>""</f>
        <v/>
      </c>
      <c r="P1267" t="str">
        <f>"CORONEL MARCOS KONDER"</f>
        <v>CORONEL MARCOS KONDER</v>
      </c>
      <c r="Q1267" t="str">
        <f>"1313"</f>
        <v>1313</v>
      </c>
      <c r="R1267" t="str">
        <f>"LOJA 01"</f>
        <v>LOJA 01</v>
      </c>
      <c r="S1267" t="str">
        <f>""</f>
        <v/>
      </c>
      <c r="T1267" t="str">
        <f>"88301904"</f>
        <v>88301904</v>
      </c>
      <c r="U1267" t="str">
        <f t="shared" ref="U1267:U1273" si="640">"CENTRO"</f>
        <v>CENTRO</v>
      </c>
      <c r="V1267" t="str">
        <f>"ITAJAÍ"</f>
        <v>ITAJAÍ</v>
      </c>
      <c r="W1267" t="str">
        <f t="shared" si="636"/>
        <v>SC</v>
      </c>
      <c r="X1267" t="str">
        <f>"47"</f>
        <v>47</v>
      </c>
      <c r="Y1267" t="str">
        <f>"984629175"</f>
        <v>984629175</v>
      </c>
      <c r="Z1267" t="str">
        <f>""</f>
        <v/>
      </c>
      <c r="AA1267" t="str">
        <f>""</f>
        <v/>
      </c>
      <c r="AB1267" t="str">
        <f>""</f>
        <v/>
      </c>
      <c r="AC1267" t="str">
        <f>""</f>
        <v/>
      </c>
      <c r="AD1267" t="str">
        <f>""</f>
        <v/>
      </c>
      <c r="AE1267" t="str">
        <f>""</f>
        <v/>
      </c>
      <c r="AF1267" t="str">
        <f>""</f>
        <v/>
      </c>
      <c r="AG1267" t="str">
        <f>"S"</f>
        <v>S</v>
      </c>
      <c r="AH1267" t="str">
        <f>""</f>
        <v/>
      </c>
      <c r="AI1267" t="str">
        <f>""</f>
        <v/>
      </c>
      <c r="AJ1267" t="str">
        <f>""</f>
        <v/>
      </c>
      <c r="AK1267" t="str">
        <f>""</f>
        <v/>
      </c>
      <c r="AL1267" t="str">
        <f>""</f>
        <v/>
      </c>
      <c r="AM1267" t="str">
        <f>""</f>
        <v/>
      </c>
      <c r="AN1267" t="str">
        <f>""</f>
        <v/>
      </c>
      <c r="AO1267" t="str">
        <f>""</f>
        <v/>
      </c>
      <c r="AP1267" t="str">
        <f>""</f>
        <v/>
      </c>
      <c r="AQ1267" t="str">
        <f>"N"</f>
        <v>N</v>
      </c>
      <c r="AR1267" t="str">
        <f>"N"</f>
        <v>N</v>
      </c>
      <c r="AS1267" t="str">
        <f>"N"</f>
        <v>N</v>
      </c>
      <c r="AT1267" t="str">
        <f>"N"</f>
        <v>N</v>
      </c>
      <c r="AU1267" t="str">
        <f>"N"</f>
        <v>N</v>
      </c>
      <c r="AV1267" t="str">
        <f>""</f>
        <v/>
      </c>
      <c r="AW1267" t="str">
        <f>""</f>
        <v/>
      </c>
      <c r="AX1267" t="str">
        <f>""</f>
        <v/>
      </c>
      <c r="AY1267" t="str">
        <f>""</f>
        <v/>
      </c>
      <c r="AZ1267" t="str">
        <f>""</f>
        <v/>
      </c>
      <c r="BA1267" t="str">
        <f>""</f>
        <v/>
      </c>
      <c r="BB1267" t="str">
        <f>"11/07/2023 02:26:32"</f>
        <v>11/07/2023 02:26:32</v>
      </c>
      <c r="BC1267" t="str">
        <f>"18/07/2023 16:34:49"</f>
        <v>18/07/2023 16:34:49</v>
      </c>
      <c r="BD1267" t="str">
        <f>""</f>
        <v/>
      </c>
      <c r="BE1267" t="str">
        <f>""</f>
        <v/>
      </c>
      <c r="BF1267" t="str">
        <f t="shared" si="624"/>
        <v>A</v>
      </c>
      <c r="BG1267" t="str">
        <f>""</f>
        <v/>
      </c>
      <c r="BH1267" t="str">
        <f>"0,00"</f>
        <v>0,00</v>
      </c>
      <c r="BI1267" t="str">
        <f>"MENSAL"</f>
        <v>MENSAL</v>
      </c>
      <c r="BJ1267" t="str">
        <f t="shared" si="625"/>
        <v>1</v>
      </c>
      <c r="BK1267" t="str">
        <f t="shared" si="626"/>
        <v>Farmacia</v>
      </c>
      <c r="BL1267" t="str">
        <f>""</f>
        <v/>
      </c>
      <c r="BM1267" t="str">
        <f>""</f>
        <v/>
      </c>
      <c r="BN1267" t="str">
        <f>""</f>
        <v/>
      </c>
      <c r="BO1267" t="str">
        <f>""</f>
        <v/>
      </c>
      <c r="BP1267" t="str">
        <f>""</f>
        <v/>
      </c>
      <c r="BQ1267" t="str">
        <f>""</f>
        <v/>
      </c>
      <c r="BR1267" t="str">
        <f>"11/07/2023"</f>
        <v>11/07/2023</v>
      </c>
      <c r="BS1267" t="str">
        <f>"18/07/2023"</f>
        <v>18/07/2023</v>
      </c>
      <c r="BT1267" t="str">
        <f>""</f>
        <v/>
      </c>
      <c r="BU1267" t="str">
        <f>""</f>
        <v/>
      </c>
      <c r="BV1267" t="str">
        <f>""</f>
        <v/>
      </c>
      <c r="BW1267" t="str">
        <f>"7"</f>
        <v>7</v>
      </c>
    </row>
    <row r="1268" spans="1:75" x14ac:dyDescent="0.35">
      <c r="A1268">
        <v>158717</v>
      </c>
      <c r="B1268" t="str">
        <f t="shared" si="620"/>
        <v>A</v>
      </c>
      <c r="C1268" t="str">
        <f t="shared" si="621"/>
        <v>80</v>
      </c>
      <c r="D1268" t="str">
        <f t="shared" si="637"/>
        <v>11121004</v>
      </c>
      <c r="E1268" t="str">
        <f t="shared" si="638"/>
        <v>121004</v>
      </c>
      <c r="F1268" t="str">
        <f t="shared" si="639"/>
        <v>FABIANA GODOY</v>
      </c>
      <c r="G1268" t="str">
        <f>"48718535000129"</f>
        <v>48718535000129</v>
      </c>
      <c r="H1268" t="str">
        <f>""</f>
        <v/>
      </c>
      <c r="I1268" t="str">
        <f t="shared" si="622"/>
        <v>CONTA OPTICA</v>
      </c>
      <c r="J1268" t="str">
        <f>"48.718.535 PAULA FERNANDA FERREIRA ARRUDA"</f>
        <v>48.718.535 PAULA FERNANDA FERREIRA ARRUDA</v>
      </c>
      <c r="K1268" t="str">
        <f>"MUNDO DOS OCULOS (4733)"</f>
        <v>MUNDO DOS OCULOS (4733)</v>
      </c>
      <c r="L1268" t="str">
        <f>""</f>
        <v/>
      </c>
      <c r="M1268" t="str">
        <f>""</f>
        <v/>
      </c>
      <c r="N1268" t="str">
        <f>"MUNDODOSOCULOSITAJAI@GMAIL.COM"</f>
        <v>MUNDODOSOCULOSITAJAI@GMAIL.COM</v>
      </c>
      <c r="O1268" t="str">
        <f>""</f>
        <v/>
      </c>
      <c r="P1268" t="str">
        <f>"RUA HEITOR LIBERATO - ATE 939 - LADO IMPAR"</f>
        <v>RUA HEITOR LIBERATO - ATE 939 - LADO IMPAR</v>
      </c>
      <c r="Q1268" t="str">
        <f>"1009"</f>
        <v>1009</v>
      </c>
      <c r="R1268" t="str">
        <f>""</f>
        <v/>
      </c>
      <c r="S1268" t="str">
        <f>""</f>
        <v/>
      </c>
      <c r="T1268" t="str">
        <f>"88303100"</f>
        <v>88303100</v>
      </c>
      <c r="U1268" t="str">
        <f t="shared" si="640"/>
        <v>CENTRO</v>
      </c>
      <c r="V1268" t="str">
        <f>"ITAJAI"</f>
        <v>ITAJAI</v>
      </c>
      <c r="W1268" t="str">
        <f t="shared" si="636"/>
        <v>SC</v>
      </c>
      <c r="X1268" t="str">
        <f>"47"</f>
        <v>47</v>
      </c>
      <c r="Y1268" t="str">
        <f>"99263611"</f>
        <v>99263611</v>
      </c>
      <c r="Z1268" t="str">
        <f>""</f>
        <v/>
      </c>
      <c r="AA1268" t="str">
        <f>""</f>
        <v/>
      </c>
      <c r="AB1268" t="str">
        <f>""</f>
        <v/>
      </c>
      <c r="AC1268" t="str">
        <f>""</f>
        <v/>
      </c>
      <c r="AD1268" t="str">
        <f>""</f>
        <v/>
      </c>
      <c r="AE1268" t="str">
        <f>""</f>
        <v/>
      </c>
      <c r="AF1268" t="str">
        <f>""</f>
        <v/>
      </c>
      <c r="AG1268" t="str">
        <f>""</f>
        <v/>
      </c>
      <c r="AH1268" t="str">
        <f>""</f>
        <v/>
      </c>
      <c r="AI1268" t="str">
        <f>""</f>
        <v/>
      </c>
      <c r="AJ1268" t="str">
        <f>""</f>
        <v/>
      </c>
      <c r="AK1268" t="str">
        <f>""</f>
        <v/>
      </c>
      <c r="AL1268" t="str">
        <f>""</f>
        <v/>
      </c>
      <c r="AM1268" t="str">
        <f>""</f>
        <v/>
      </c>
      <c r="AN1268" t="str">
        <f>""</f>
        <v/>
      </c>
      <c r="AO1268" t="str">
        <f>""</f>
        <v/>
      </c>
      <c r="AP1268" t="str">
        <f>""</f>
        <v/>
      </c>
      <c r="AQ1268" t="str">
        <f>""</f>
        <v/>
      </c>
      <c r="AR1268" t="str">
        <f>""</f>
        <v/>
      </c>
      <c r="AS1268" t="str">
        <f>""</f>
        <v/>
      </c>
      <c r="AT1268" t="str">
        <f>""</f>
        <v/>
      </c>
      <c r="AU1268" t="str">
        <f>""</f>
        <v/>
      </c>
      <c r="AV1268" t="str">
        <f>""</f>
        <v/>
      </c>
      <c r="AW1268" t="str">
        <f>""</f>
        <v/>
      </c>
      <c r="AX1268" t="str">
        <f>""</f>
        <v/>
      </c>
      <c r="AY1268" t="str">
        <f>""</f>
        <v/>
      </c>
      <c r="AZ1268" t="str">
        <f>""</f>
        <v/>
      </c>
      <c r="BA1268" t="str">
        <f>""</f>
        <v/>
      </c>
      <c r="BB1268" t="str">
        <f>"17/08/2023 16:48:06"</f>
        <v>17/08/2023 16:48:06</v>
      </c>
      <c r="BC1268" t="str">
        <f>""</f>
        <v/>
      </c>
      <c r="BD1268" t="str">
        <f>""</f>
        <v/>
      </c>
      <c r="BE1268" t="str">
        <f>""</f>
        <v/>
      </c>
      <c r="BF1268" t="str">
        <f t="shared" si="624"/>
        <v>A</v>
      </c>
      <c r="BG1268" t="str">
        <f>""</f>
        <v/>
      </c>
      <c r="BH1268" t="str">
        <f>""</f>
        <v/>
      </c>
      <c r="BI1268" t="str">
        <f>"EVENTUAL"</f>
        <v>EVENTUAL</v>
      </c>
      <c r="BJ1268" t="str">
        <f t="shared" si="625"/>
        <v>1</v>
      </c>
      <c r="BK1268" t="str">
        <f t="shared" si="626"/>
        <v>Farmacia</v>
      </c>
      <c r="BL1268" t="str">
        <f>""</f>
        <v/>
      </c>
      <c r="BM1268" t="str">
        <f>""</f>
        <v/>
      </c>
      <c r="BN1268" t="str">
        <f>""</f>
        <v/>
      </c>
      <c r="BO1268" t="str">
        <f>""</f>
        <v/>
      </c>
      <c r="BP1268" t="str">
        <f>""</f>
        <v/>
      </c>
      <c r="BQ1268" t="str">
        <f>""</f>
        <v/>
      </c>
      <c r="BR1268" t="str">
        <f>"17/08/2023"</f>
        <v>17/08/2023</v>
      </c>
      <c r="BS1268" t="str">
        <f>""</f>
        <v/>
      </c>
      <c r="BT1268" t="str">
        <f>""</f>
        <v/>
      </c>
      <c r="BU1268" t="str">
        <f>""</f>
        <v/>
      </c>
      <c r="BV1268" t="str">
        <f>""</f>
        <v/>
      </c>
      <c r="BW1268" t="str">
        <f>"Não visitado"</f>
        <v>Não visitado</v>
      </c>
    </row>
    <row r="1269" spans="1:75" x14ac:dyDescent="0.35">
      <c r="A1269">
        <v>157756</v>
      </c>
      <c r="B1269" t="str">
        <f t="shared" si="620"/>
        <v>A</v>
      </c>
      <c r="C1269" t="str">
        <f t="shared" si="621"/>
        <v>80</v>
      </c>
      <c r="D1269" t="str">
        <f t="shared" si="637"/>
        <v>11121004</v>
      </c>
      <c r="E1269" t="str">
        <f t="shared" si="638"/>
        <v>121004</v>
      </c>
      <c r="F1269" t="str">
        <f t="shared" si="639"/>
        <v>FABIANA GODOY</v>
      </c>
      <c r="G1269" t="str">
        <f>"18985683000149"</f>
        <v>18985683000149</v>
      </c>
      <c r="H1269" t="str">
        <f t="shared" ref="H1269:H1299" si="641">"0"</f>
        <v>0</v>
      </c>
      <c r="I1269" t="str">
        <f t="shared" si="622"/>
        <v>CONTA OPTICA</v>
      </c>
      <c r="J1269" t="str">
        <f>"A E K MARTINS OTICAS LTDA"</f>
        <v>A E K MARTINS OTICAS LTDA</v>
      </c>
      <c r="K1269" t="str">
        <f>"OTICA DINIZ (2079)"</f>
        <v>OTICA DINIZ (2079)</v>
      </c>
      <c r="L1269" t="str">
        <f>""</f>
        <v/>
      </c>
      <c r="M1269" t="str">
        <f>""</f>
        <v/>
      </c>
      <c r="N1269" t="str">
        <f>""</f>
        <v/>
      </c>
      <c r="O1269" t="str">
        <f>""</f>
        <v/>
      </c>
      <c r="P1269" t="str">
        <f>"RUA QUINZE DE NOVEMBRO"</f>
        <v>RUA QUINZE DE NOVEMBRO</v>
      </c>
      <c r="Q1269" t="str">
        <f>"1357"</f>
        <v>1357</v>
      </c>
      <c r="R1269" t="str">
        <f>"SALA 1"</f>
        <v>SALA 1</v>
      </c>
      <c r="S1269" t="str">
        <f>"1271"</f>
        <v>1271</v>
      </c>
      <c r="T1269" t="str">
        <f>"89010003"</f>
        <v>89010003</v>
      </c>
      <c r="U1269" t="str">
        <f t="shared" si="640"/>
        <v>CENTRO</v>
      </c>
      <c r="V1269" t="str">
        <f>"BLUMENAU"</f>
        <v>BLUMENAU</v>
      </c>
      <c r="W1269" t="str">
        <f t="shared" si="636"/>
        <v>SC</v>
      </c>
      <c r="X1269" t="str">
        <f>"47"</f>
        <v>47</v>
      </c>
      <c r="Y1269" t="str">
        <f>"32095727"</f>
        <v>32095727</v>
      </c>
      <c r="Z1269" t="str">
        <f>""</f>
        <v/>
      </c>
      <c r="AA1269" t="str">
        <f>""</f>
        <v/>
      </c>
      <c r="AB1269" t="str">
        <f>""</f>
        <v/>
      </c>
      <c r="AC1269" t="str">
        <f>""</f>
        <v/>
      </c>
      <c r="AD1269" t="str">
        <f>""</f>
        <v/>
      </c>
      <c r="AE1269" t="str">
        <f>""</f>
        <v/>
      </c>
      <c r="AF1269" t="str">
        <f>""</f>
        <v/>
      </c>
      <c r="AG1269" t="str">
        <f>""</f>
        <v/>
      </c>
      <c r="AH1269" t="str">
        <f>""</f>
        <v/>
      </c>
      <c r="AI1269" t="str">
        <f>""</f>
        <v/>
      </c>
      <c r="AJ1269" t="str">
        <f>""</f>
        <v/>
      </c>
      <c r="AK1269" t="str">
        <f>""</f>
        <v/>
      </c>
      <c r="AL1269" t="str">
        <f>""</f>
        <v/>
      </c>
      <c r="AM1269" t="str">
        <f>""</f>
        <v/>
      </c>
      <c r="AN1269" t="str">
        <f>""</f>
        <v/>
      </c>
      <c r="AO1269" t="str">
        <f>""</f>
        <v/>
      </c>
      <c r="AP1269" t="str">
        <f>""</f>
        <v/>
      </c>
      <c r="AQ1269" t="str">
        <f>""</f>
        <v/>
      </c>
      <c r="AR1269" t="str">
        <f>""</f>
        <v/>
      </c>
      <c r="AS1269" t="str">
        <f>""</f>
        <v/>
      </c>
      <c r="AT1269" t="str">
        <f>""</f>
        <v/>
      </c>
      <c r="AU1269" t="str">
        <f>""</f>
        <v/>
      </c>
      <c r="AV1269" t="str">
        <f>""</f>
        <v/>
      </c>
      <c r="AW1269" t="str">
        <f>""</f>
        <v/>
      </c>
      <c r="AX1269" t="str">
        <f>""</f>
        <v/>
      </c>
      <c r="AY1269" t="str">
        <f>""</f>
        <v/>
      </c>
      <c r="AZ1269" t="str">
        <f>""</f>
        <v/>
      </c>
      <c r="BA1269" t="str">
        <f>""</f>
        <v/>
      </c>
      <c r="BB1269" t="str">
        <f>"11/07/2023 02:26:32"</f>
        <v>11/07/2023 02:26:32</v>
      </c>
      <c r="BC1269" t="str">
        <f>""</f>
        <v/>
      </c>
      <c r="BD1269" t="str">
        <f>""</f>
        <v/>
      </c>
      <c r="BE1269" t="str">
        <f>""</f>
        <v/>
      </c>
      <c r="BF1269" t="str">
        <f t="shared" si="624"/>
        <v>A</v>
      </c>
      <c r="BG1269" t="str">
        <f>""</f>
        <v/>
      </c>
      <c r="BH1269" t="str">
        <f>""</f>
        <v/>
      </c>
      <c r="BI1269" t="str">
        <f>"EVENTUAL"</f>
        <v>EVENTUAL</v>
      </c>
      <c r="BJ1269" t="str">
        <f t="shared" si="625"/>
        <v>1</v>
      </c>
      <c r="BK1269" t="str">
        <f t="shared" si="626"/>
        <v>Farmacia</v>
      </c>
      <c r="BL1269" t="str">
        <f>""</f>
        <v/>
      </c>
      <c r="BM1269" t="str">
        <f>""</f>
        <v/>
      </c>
      <c r="BN1269" t="str">
        <f>""</f>
        <v/>
      </c>
      <c r="BO1269" t="str">
        <f>""</f>
        <v/>
      </c>
      <c r="BP1269" t="str">
        <f>""</f>
        <v/>
      </c>
      <c r="BQ1269" t="str">
        <f>""</f>
        <v/>
      </c>
      <c r="BR1269" t="str">
        <f>"11/07/2023"</f>
        <v>11/07/2023</v>
      </c>
      <c r="BS1269" t="str">
        <f>""</f>
        <v/>
      </c>
      <c r="BT1269" t="str">
        <f>""</f>
        <v/>
      </c>
      <c r="BU1269" t="str">
        <f>""</f>
        <v/>
      </c>
      <c r="BV1269" t="str">
        <f>""</f>
        <v/>
      </c>
      <c r="BW1269" t="str">
        <f>"Não visitado"</f>
        <v>Não visitado</v>
      </c>
    </row>
    <row r="1270" spans="1:75" x14ac:dyDescent="0.35">
      <c r="A1270">
        <v>137512</v>
      </c>
      <c r="B1270" t="str">
        <f t="shared" si="620"/>
        <v>A</v>
      </c>
      <c r="C1270" t="str">
        <f t="shared" si="621"/>
        <v>80</v>
      </c>
      <c r="D1270" t="str">
        <f t="shared" si="637"/>
        <v>11121004</v>
      </c>
      <c r="E1270" t="str">
        <f t="shared" si="638"/>
        <v>121004</v>
      </c>
      <c r="F1270" t="str">
        <f t="shared" si="639"/>
        <v>FABIANA GODOY</v>
      </c>
      <c r="G1270" t="str">
        <f>"86975216000198"</f>
        <v>86975216000198</v>
      </c>
      <c r="H1270" t="str">
        <f t="shared" si="641"/>
        <v>0</v>
      </c>
      <c r="I1270" t="str">
        <f t="shared" si="622"/>
        <v>CONTA OPTICA</v>
      </c>
      <c r="J1270" t="str">
        <f>"A.R.V. COM. DE JOIAS E RELOGIOS LTDA"</f>
        <v>A.R.V. COM. DE JOIAS E RELOGIOS LTDA</v>
      </c>
      <c r="K1270" t="str">
        <f>"OTICA GIPSI (786)"</f>
        <v>OTICA GIPSI (786)</v>
      </c>
      <c r="L1270" t="str">
        <f>""</f>
        <v/>
      </c>
      <c r="M1270" t="str">
        <f>""</f>
        <v/>
      </c>
      <c r="N1270" t="str">
        <f>"gipsyarv@yahoo.com.br"</f>
        <v>gipsyarv@yahoo.com.br</v>
      </c>
      <c r="O1270" t="str">
        <f>""</f>
        <v/>
      </c>
      <c r="P1270" t="str">
        <f>"RUA TIJUCAS"</f>
        <v>RUA TIJUCAS</v>
      </c>
      <c r="Q1270" t="str">
        <f>"136"</f>
        <v>136</v>
      </c>
      <c r="R1270" t="str">
        <f>""</f>
        <v/>
      </c>
      <c r="S1270" t="str">
        <f>"1261"</f>
        <v>1261</v>
      </c>
      <c r="T1270" t="str">
        <f>"88301360"</f>
        <v>88301360</v>
      </c>
      <c r="U1270" t="str">
        <f t="shared" si="640"/>
        <v>CENTRO</v>
      </c>
      <c r="V1270" t="str">
        <f>"ITAJAÍ"</f>
        <v>ITAJAÍ</v>
      </c>
      <c r="W1270" t="str">
        <f t="shared" si="636"/>
        <v>SC</v>
      </c>
      <c r="X1270" t="str">
        <f>"47"</f>
        <v>47</v>
      </c>
      <c r="Y1270" t="str">
        <f>"33497848"</f>
        <v>33497848</v>
      </c>
      <c r="Z1270" t="str">
        <f>""</f>
        <v/>
      </c>
      <c r="AA1270" t="str">
        <f>""</f>
        <v/>
      </c>
      <c r="AB1270" t="str">
        <f>""</f>
        <v/>
      </c>
      <c r="AC1270" t="str">
        <f>""</f>
        <v/>
      </c>
      <c r="AD1270" t="str">
        <f>""</f>
        <v/>
      </c>
      <c r="AE1270" t="str">
        <f>""</f>
        <v/>
      </c>
      <c r="AF1270" t="str">
        <f>""</f>
        <v/>
      </c>
      <c r="AG1270" t="str">
        <f>"S"</f>
        <v>S</v>
      </c>
      <c r="AH1270" t="str">
        <f>""</f>
        <v/>
      </c>
      <c r="AI1270" t="str">
        <f>""</f>
        <v/>
      </c>
      <c r="AJ1270" t="str">
        <f>""</f>
        <v/>
      </c>
      <c r="AK1270" t="str">
        <f>""</f>
        <v/>
      </c>
      <c r="AL1270" t="str">
        <f>""</f>
        <v/>
      </c>
      <c r="AM1270" t="str">
        <f>""</f>
        <v/>
      </c>
      <c r="AN1270" t="str">
        <f>""</f>
        <v/>
      </c>
      <c r="AO1270" t="str">
        <f>""</f>
        <v/>
      </c>
      <c r="AP1270" t="str">
        <f>""</f>
        <v/>
      </c>
      <c r="AQ1270" t="str">
        <f t="shared" ref="AQ1270:AU1273" si="642">"N"</f>
        <v>N</v>
      </c>
      <c r="AR1270" t="str">
        <f t="shared" si="642"/>
        <v>N</v>
      </c>
      <c r="AS1270" t="str">
        <f t="shared" si="642"/>
        <v>N</v>
      </c>
      <c r="AT1270" t="str">
        <f t="shared" si="642"/>
        <v>N</v>
      </c>
      <c r="AU1270" t="str">
        <f t="shared" si="642"/>
        <v>N</v>
      </c>
      <c r="AV1270" t="str">
        <f>""</f>
        <v/>
      </c>
      <c r="AW1270" t="str">
        <f>""</f>
        <v/>
      </c>
      <c r="AX1270" t="str">
        <f>""</f>
        <v/>
      </c>
      <c r="AY1270" t="str">
        <f>""</f>
        <v/>
      </c>
      <c r="AZ1270" t="str">
        <f>""</f>
        <v/>
      </c>
      <c r="BA1270" t="str">
        <f>""</f>
        <v/>
      </c>
      <c r="BB1270" t="str">
        <f>"01/07/2021 13:53:04"</f>
        <v>01/07/2021 13:53:04</v>
      </c>
      <c r="BC1270" t="str">
        <f>"12/07/2023 10:53:04"</f>
        <v>12/07/2023 10:53:04</v>
      </c>
      <c r="BD1270" t="str">
        <f>""</f>
        <v/>
      </c>
      <c r="BE1270" t="str">
        <f>""</f>
        <v/>
      </c>
      <c r="BF1270" t="str">
        <f t="shared" si="624"/>
        <v>A</v>
      </c>
      <c r="BG1270" t="str">
        <f>""</f>
        <v/>
      </c>
      <c r="BH1270" t="str">
        <f>"0,00"</f>
        <v>0,00</v>
      </c>
      <c r="BI1270" t="str">
        <f>"MENSAL"</f>
        <v>MENSAL</v>
      </c>
      <c r="BJ1270" t="str">
        <f t="shared" si="625"/>
        <v>1</v>
      </c>
      <c r="BK1270" t="str">
        <f t="shared" si="626"/>
        <v>Farmacia</v>
      </c>
      <c r="BL1270" t="str">
        <f>""</f>
        <v/>
      </c>
      <c r="BM1270" t="str">
        <f>"NÃO É VARILUX ESPECIALISTA"</f>
        <v>NÃO É VARILUX ESPECIALISTA</v>
      </c>
      <c r="BN1270" t="str">
        <f>"NA"</f>
        <v>NA</v>
      </c>
      <c r="BO1270" t="str">
        <f>"FOCO KODAK 1"</f>
        <v>FOCO KODAK 1</v>
      </c>
      <c r="BP1270" t="str">
        <f>""</f>
        <v/>
      </c>
      <c r="BQ1270" t="str">
        <f>""</f>
        <v/>
      </c>
      <c r="BR1270" t="str">
        <f>"01/07/2021"</f>
        <v>01/07/2021</v>
      </c>
      <c r="BS1270" t="str">
        <f>"12/07/2023"</f>
        <v>12/07/2023</v>
      </c>
      <c r="BT1270" t="str">
        <f>""</f>
        <v/>
      </c>
      <c r="BU1270" t="str">
        <f>""</f>
        <v/>
      </c>
      <c r="BV1270" t="str">
        <f>""</f>
        <v/>
      </c>
      <c r="BW1270" t="str">
        <f>"23"</f>
        <v>23</v>
      </c>
    </row>
    <row r="1271" spans="1:75" x14ac:dyDescent="0.35">
      <c r="A1271">
        <v>137513</v>
      </c>
      <c r="B1271" t="str">
        <f t="shared" si="620"/>
        <v>A</v>
      </c>
      <c r="C1271" t="str">
        <f t="shared" si="621"/>
        <v>80</v>
      </c>
      <c r="D1271" t="str">
        <f t="shared" si="637"/>
        <v>11121004</v>
      </c>
      <c r="E1271" t="str">
        <f t="shared" si="638"/>
        <v>121004</v>
      </c>
      <c r="F1271" t="str">
        <f t="shared" si="639"/>
        <v>FABIANA GODOY</v>
      </c>
      <c r="G1271" t="str">
        <f>"11811459000191"</f>
        <v>11811459000191</v>
      </c>
      <c r="H1271" t="str">
        <f t="shared" si="641"/>
        <v>0</v>
      </c>
      <c r="I1271" t="str">
        <f t="shared" si="622"/>
        <v>CONTA OPTICA</v>
      </c>
      <c r="J1271" t="str">
        <f>"ABSOLUTA COMERCIO DE PROD. OTICOS LTDA ME"</f>
        <v>ABSOLUTA COMERCIO DE PROD. OTICOS LTDA ME</v>
      </c>
      <c r="K1271" t="str">
        <f>"OTICA ABSOLUTA (1729)"</f>
        <v>OTICA ABSOLUTA (1729)</v>
      </c>
      <c r="L1271" t="str">
        <f>""</f>
        <v/>
      </c>
      <c r="M1271" t="str">
        <f>""</f>
        <v/>
      </c>
      <c r="N1271" t="str">
        <f>"oticaabsolutabc@gmail.com"</f>
        <v>oticaabsolutabc@gmail.com</v>
      </c>
      <c r="O1271" t="str">
        <f>""</f>
        <v/>
      </c>
      <c r="P1271" t="str">
        <f>"AVENIDA 3 AVENIDA"</f>
        <v>AVENIDA 3 AVENIDA</v>
      </c>
      <c r="Q1271" t="str">
        <f>"159"</f>
        <v>159</v>
      </c>
      <c r="R1271" t="str">
        <f>"SALA 01"</f>
        <v>SALA 01</v>
      </c>
      <c r="S1271" t="str">
        <f>"1262"</f>
        <v>1262</v>
      </c>
      <c r="T1271" t="str">
        <f>"88330083"</f>
        <v>88330083</v>
      </c>
      <c r="U1271" t="str">
        <f t="shared" si="640"/>
        <v>CENTRO</v>
      </c>
      <c r="V1271" t="str">
        <f>"BALNEÁRIO CAMBORIÚ"</f>
        <v>BALNEÁRIO CAMBORIÚ</v>
      </c>
      <c r="W1271" t="str">
        <f t="shared" si="636"/>
        <v>SC</v>
      </c>
      <c r="X1271" t="str">
        <f>"47"</f>
        <v>47</v>
      </c>
      <c r="Y1271" t="str">
        <f>"32682320"</f>
        <v>32682320</v>
      </c>
      <c r="Z1271" t="str">
        <f>""</f>
        <v/>
      </c>
      <c r="AA1271" t="str">
        <f>""</f>
        <v/>
      </c>
      <c r="AB1271" t="str">
        <f>""</f>
        <v/>
      </c>
      <c r="AC1271" t="str">
        <f>""</f>
        <v/>
      </c>
      <c r="AD1271" t="str">
        <f>""</f>
        <v/>
      </c>
      <c r="AE1271" t="str">
        <f>""</f>
        <v/>
      </c>
      <c r="AF1271" t="str">
        <f>""</f>
        <v/>
      </c>
      <c r="AG1271" t="str">
        <f>"S"</f>
        <v>S</v>
      </c>
      <c r="AH1271" t="str">
        <f>""</f>
        <v/>
      </c>
      <c r="AI1271" t="str">
        <f>""</f>
        <v/>
      </c>
      <c r="AJ1271" t="str">
        <f>""</f>
        <v/>
      </c>
      <c r="AK1271" t="str">
        <f>""</f>
        <v/>
      </c>
      <c r="AL1271" t="str">
        <f>""</f>
        <v/>
      </c>
      <c r="AM1271" t="str">
        <f>""</f>
        <v/>
      </c>
      <c r="AN1271" t="str">
        <f>""</f>
        <v/>
      </c>
      <c r="AO1271" t="str">
        <f>""</f>
        <v/>
      </c>
      <c r="AP1271" t="str">
        <f>""</f>
        <v/>
      </c>
      <c r="AQ1271" t="str">
        <f t="shared" si="642"/>
        <v>N</v>
      </c>
      <c r="AR1271" t="str">
        <f t="shared" si="642"/>
        <v>N</v>
      </c>
      <c r="AS1271" t="str">
        <f t="shared" si="642"/>
        <v>N</v>
      </c>
      <c r="AT1271" t="str">
        <f t="shared" si="642"/>
        <v>N</v>
      </c>
      <c r="AU1271" t="str">
        <f t="shared" si="642"/>
        <v>N</v>
      </c>
      <c r="AV1271" t="str">
        <f>""</f>
        <v/>
      </c>
      <c r="AW1271" t="str">
        <f>""</f>
        <v/>
      </c>
      <c r="AX1271" t="str">
        <f>""</f>
        <v/>
      </c>
      <c r="AY1271" t="str">
        <f>""</f>
        <v/>
      </c>
      <c r="AZ1271" t="str">
        <f>""</f>
        <v/>
      </c>
      <c r="BA1271" t="str">
        <f>""</f>
        <v/>
      </c>
      <c r="BB1271" t="str">
        <f>"01/07/2021 13:53:04"</f>
        <v>01/07/2021 13:53:04</v>
      </c>
      <c r="BC1271" t="str">
        <f>"12/07/2023 10:52:39"</f>
        <v>12/07/2023 10:52:39</v>
      </c>
      <c r="BD1271" t="str">
        <f>""</f>
        <v/>
      </c>
      <c r="BE1271" t="str">
        <f>""</f>
        <v/>
      </c>
      <c r="BF1271" t="str">
        <f t="shared" si="624"/>
        <v>A</v>
      </c>
      <c r="BG1271" t="str">
        <f>""</f>
        <v/>
      </c>
      <c r="BH1271" t="str">
        <f>"0,00"</f>
        <v>0,00</v>
      </c>
      <c r="BI1271" t="str">
        <f>"MENSAL"</f>
        <v>MENSAL</v>
      </c>
      <c r="BJ1271" t="str">
        <f t="shared" si="625"/>
        <v>1</v>
      </c>
      <c r="BK1271" t="str">
        <f t="shared" si="626"/>
        <v>Farmacia</v>
      </c>
      <c r="BL1271" t="str">
        <f>""</f>
        <v/>
      </c>
      <c r="BM1271" t="str">
        <f>"NÃO É VARILUX ESPECIALISTA"</f>
        <v>NÃO É VARILUX ESPECIALISTA</v>
      </c>
      <c r="BN1271" t="str">
        <f>"EL360"</f>
        <v>EL360</v>
      </c>
      <c r="BO1271" t="str">
        <f>"FOCO VARILUX"</f>
        <v>FOCO VARILUX</v>
      </c>
      <c r="BP1271" t="str">
        <f>""</f>
        <v/>
      </c>
      <c r="BQ1271" t="str">
        <f>""</f>
        <v/>
      </c>
      <c r="BR1271" t="str">
        <f>"01/07/2021"</f>
        <v>01/07/2021</v>
      </c>
      <c r="BS1271" t="str">
        <f>"12/07/2023"</f>
        <v>12/07/2023</v>
      </c>
      <c r="BT1271" t="str">
        <f>""</f>
        <v/>
      </c>
      <c r="BU1271" t="str">
        <f>""</f>
        <v/>
      </c>
      <c r="BV1271" t="str">
        <f>""</f>
        <v/>
      </c>
      <c r="BW1271" t="str">
        <f>"10"</f>
        <v>10</v>
      </c>
    </row>
    <row r="1272" spans="1:75" x14ac:dyDescent="0.35">
      <c r="A1272">
        <v>140103</v>
      </c>
      <c r="B1272" t="str">
        <f t="shared" si="620"/>
        <v>A</v>
      </c>
      <c r="C1272" t="str">
        <f t="shared" si="621"/>
        <v>80</v>
      </c>
      <c r="D1272" t="str">
        <f t="shared" si="637"/>
        <v>11121004</v>
      </c>
      <c r="E1272" t="str">
        <f t="shared" si="638"/>
        <v>121004</v>
      </c>
      <c r="F1272" t="str">
        <f t="shared" si="639"/>
        <v>FABIANA GODOY</v>
      </c>
      <c r="G1272" t="str">
        <f>"42991516000195"</f>
        <v>42991516000195</v>
      </c>
      <c r="H1272" t="str">
        <f t="shared" si="641"/>
        <v>0</v>
      </c>
      <c r="I1272" t="str">
        <f t="shared" si="622"/>
        <v>CONTA OPTICA</v>
      </c>
      <c r="J1272" t="str">
        <f>"AD COMERCIO, JOALHERIA E OTICA LTDA"</f>
        <v>AD COMERCIO, JOALHERIA E OTICA LTDA</v>
      </c>
      <c r="K1272" t="str">
        <f>"DANJU JOIAS (4382)"</f>
        <v>DANJU JOIAS (4382)</v>
      </c>
      <c r="L1272" t="str">
        <f>""</f>
        <v/>
      </c>
      <c r="M1272" t="str">
        <f>""</f>
        <v/>
      </c>
      <c r="N1272" t="str">
        <f>"DANJUTJ@HOTMAIL.COM"</f>
        <v>DANJUTJ@HOTMAIL.COM</v>
      </c>
      <c r="O1272" t="str">
        <f>""</f>
        <v/>
      </c>
      <c r="P1272" t="str">
        <f>"AVENIDA BAYER FILHO"</f>
        <v>AVENIDA BAYER FILHO</v>
      </c>
      <c r="Q1272" t="str">
        <f>"1695"</f>
        <v>1695</v>
      </c>
      <c r="R1272" t="str">
        <f>"BOX 2 A"</f>
        <v>BOX 2 A</v>
      </c>
      <c r="S1272" t="str">
        <f>"1260"</f>
        <v>1260</v>
      </c>
      <c r="T1272" t="str">
        <f>"88200000"</f>
        <v>88200000</v>
      </c>
      <c r="U1272" t="str">
        <f t="shared" si="640"/>
        <v>CENTRO</v>
      </c>
      <c r="V1272" t="str">
        <f>"TIJUCAS"</f>
        <v>TIJUCAS</v>
      </c>
      <c r="W1272" t="str">
        <f t="shared" si="636"/>
        <v>SC</v>
      </c>
      <c r="X1272" t="str">
        <f>"48"</f>
        <v>48</v>
      </c>
      <c r="Y1272" t="str">
        <f>"32634091"</f>
        <v>32634091</v>
      </c>
      <c r="Z1272" t="str">
        <f>""</f>
        <v/>
      </c>
      <c r="AA1272" t="str">
        <f>""</f>
        <v/>
      </c>
      <c r="AB1272" t="str">
        <f>""</f>
        <v/>
      </c>
      <c r="AC1272" t="str">
        <f>""</f>
        <v/>
      </c>
      <c r="AD1272" t="str">
        <f>""</f>
        <v/>
      </c>
      <c r="AE1272" t="str">
        <f>""</f>
        <v/>
      </c>
      <c r="AF1272" t="str">
        <f>""</f>
        <v/>
      </c>
      <c r="AG1272" t="str">
        <f>"S"</f>
        <v>S</v>
      </c>
      <c r="AH1272" t="str">
        <f>""</f>
        <v/>
      </c>
      <c r="AI1272" t="str">
        <f>""</f>
        <v/>
      </c>
      <c r="AJ1272" t="str">
        <f>""</f>
        <v/>
      </c>
      <c r="AK1272" t="str">
        <f>""</f>
        <v/>
      </c>
      <c r="AL1272" t="str">
        <f>""</f>
        <v/>
      </c>
      <c r="AM1272" t="str">
        <f>""</f>
        <v/>
      </c>
      <c r="AN1272" t="str">
        <f>""</f>
        <v/>
      </c>
      <c r="AO1272" t="str">
        <f>""</f>
        <v/>
      </c>
      <c r="AP1272" t="str">
        <f>""</f>
        <v/>
      </c>
      <c r="AQ1272" t="str">
        <f t="shared" si="642"/>
        <v>N</v>
      </c>
      <c r="AR1272" t="str">
        <f t="shared" si="642"/>
        <v>N</v>
      </c>
      <c r="AS1272" t="str">
        <f t="shared" si="642"/>
        <v>N</v>
      </c>
      <c r="AT1272" t="str">
        <f t="shared" si="642"/>
        <v>N</v>
      </c>
      <c r="AU1272" t="str">
        <f t="shared" si="642"/>
        <v>N</v>
      </c>
      <c r="AV1272" t="str">
        <f>""</f>
        <v/>
      </c>
      <c r="AW1272" t="str">
        <f>""</f>
        <v/>
      </c>
      <c r="AX1272" t="str">
        <f>""</f>
        <v/>
      </c>
      <c r="AY1272" t="str">
        <f>""</f>
        <v/>
      </c>
      <c r="AZ1272" t="str">
        <f>""</f>
        <v/>
      </c>
      <c r="BA1272" t="str">
        <f>""</f>
        <v/>
      </c>
      <c r="BB1272" t="str">
        <f>"06/09/2021 19:24:15"</f>
        <v>06/09/2021 19:24:15</v>
      </c>
      <c r="BC1272" t="str">
        <f>"28/12/2022 15:30:33"</f>
        <v>28/12/2022 15:30:33</v>
      </c>
      <c r="BD1272" t="str">
        <f>""</f>
        <v/>
      </c>
      <c r="BE1272" t="str">
        <f>""</f>
        <v/>
      </c>
      <c r="BF1272" t="str">
        <f t="shared" si="624"/>
        <v>A</v>
      </c>
      <c r="BG1272" t="str">
        <f>""</f>
        <v/>
      </c>
      <c r="BH1272" t="str">
        <f>"0,00"</f>
        <v>0,00</v>
      </c>
      <c r="BI1272" t="str">
        <f>"EVENTUAL"</f>
        <v>EVENTUAL</v>
      </c>
      <c r="BJ1272" t="str">
        <f t="shared" si="625"/>
        <v>1</v>
      </c>
      <c r="BK1272" t="str">
        <f t="shared" si="626"/>
        <v>Farmacia</v>
      </c>
      <c r="BL1272" t="str">
        <f>""</f>
        <v/>
      </c>
      <c r="BM1272" t="str">
        <f>"NÃO É VARILUX ESPECIALISTA"</f>
        <v>NÃO É VARILUX ESPECIALISTA</v>
      </c>
      <c r="BN1272" t="str">
        <f>"NA"</f>
        <v>NA</v>
      </c>
      <c r="BO1272" t="str">
        <f>"FOCO VARILUX DIGITAL"</f>
        <v>FOCO VARILUX DIGITAL</v>
      </c>
      <c r="BP1272" t="str">
        <f>""</f>
        <v/>
      </c>
      <c r="BQ1272" t="str">
        <f>""</f>
        <v/>
      </c>
      <c r="BR1272" t="str">
        <f>"06/09/2021"</f>
        <v>06/09/2021</v>
      </c>
      <c r="BS1272" t="str">
        <f>"28/12/2022"</f>
        <v>28/12/2022</v>
      </c>
      <c r="BT1272" t="str">
        <f>""</f>
        <v/>
      </c>
      <c r="BU1272" t="str">
        <f>""</f>
        <v/>
      </c>
      <c r="BV1272" t="str">
        <f>""</f>
        <v/>
      </c>
      <c r="BW1272" t="str">
        <f>"392"</f>
        <v>392</v>
      </c>
    </row>
    <row r="1273" spans="1:75" x14ac:dyDescent="0.35">
      <c r="A1273">
        <v>137514</v>
      </c>
      <c r="B1273" t="str">
        <f t="shared" si="620"/>
        <v>A</v>
      </c>
      <c r="C1273" t="str">
        <f t="shared" si="621"/>
        <v>80</v>
      </c>
      <c r="D1273" t="str">
        <f t="shared" si="637"/>
        <v>11121004</v>
      </c>
      <c r="E1273" t="str">
        <f t="shared" si="638"/>
        <v>121004</v>
      </c>
      <c r="F1273" t="str">
        <f t="shared" si="639"/>
        <v>FABIANA GODOY</v>
      </c>
      <c r="G1273" t="str">
        <f>"85333920000184"</f>
        <v>85333920000184</v>
      </c>
      <c r="H1273" t="str">
        <f t="shared" si="641"/>
        <v>0</v>
      </c>
      <c r="I1273" t="str">
        <f t="shared" si="622"/>
        <v>CONTA OPTICA</v>
      </c>
      <c r="J1273" t="str">
        <f>"ADEMAR DE OLIVEIRA SOUZA"</f>
        <v>ADEMAR DE OLIVEIRA SOUZA</v>
      </c>
      <c r="K1273" t="str">
        <f>"OTICA PONTUAL (634)"</f>
        <v>OTICA PONTUAL (634)</v>
      </c>
      <c r="L1273" t="str">
        <f>""</f>
        <v/>
      </c>
      <c r="M1273" t="str">
        <f>""</f>
        <v/>
      </c>
      <c r="N1273" t="str">
        <f>"ppontual@brturbo.com.br"</f>
        <v>ppontual@brturbo.com.br</v>
      </c>
      <c r="O1273" t="str">
        <f>""</f>
        <v/>
      </c>
      <c r="P1273" t="str">
        <f>"AVENIDA SANTA CATARINA"</f>
        <v>AVENIDA SANTA CATARINA</v>
      </c>
      <c r="Q1273" t="str">
        <f>"693"</f>
        <v>693</v>
      </c>
      <c r="R1273" t="str">
        <f>""</f>
        <v/>
      </c>
      <c r="S1273" t="str">
        <f>"1263"</f>
        <v>1263</v>
      </c>
      <c r="T1273" t="str">
        <f>"88390000"</f>
        <v>88390000</v>
      </c>
      <c r="U1273" t="str">
        <f t="shared" si="640"/>
        <v>CENTRO</v>
      </c>
      <c r="V1273" t="str">
        <f>"BARRA VELHA"</f>
        <v>BARRA VELHA</v>
      </c>
      <c r="W1273" t="str">
        <f t="shared" si="636"/>
        <v>SC</v>
      </c>
      <c r="X1273" t="str">
        <f t="shared" ref="X1273:X1280" si="643">"47"</f>
        <v>47</v>
      </c>
      <c r="Y1273" t="str">
        <f>"34560947"</f>
        <v>34560947</v>
      </c>
      <c r="Z1273" t="str">
        <f>""</f>
        <v/>
      </c>
      <c r="AA1273" t="str">
        <f>""</f>
        <v/>
      </c>
      <c r="AB1273" t="str">
        <f>""</f>
        <v/>
      </c>
      <c r="AC1273" t="str">
        <f>""</f>
        <v/>
      </c>
      <c r="AD1273" t="str">
        <f>""</f>
        <v/>
      </c>
      <c r="AE1273" t="str">
        <f>""</f>
        <v/>
      </c>
      <c r="AF1273" t="str">
        <f>""</f>
        <v/>
      </c>
      <c r="AG1273" t="str">
        <f>"S"</f>
        <v>S</v>
      </c>
      <c r="AH1273" t="str">
        <f>""</f>
        <v/>
      </c>
      <c r="AI1273" t="str">
        <f>""</f>
        <v/>
      </c>
      <c r="AJ1273" t="str">
        <f>""</f>
        <v/>
      </c>
      <c r="AK1273" t="str">
        <f>""</f>
        <v/>
      </c>
      <c r="AL1273" t="str">
        <f>""</f>
        <v/>
      </c>
      <c r="AM1273" t="str">
        <f>""</f>
        <v/>
      </c>
      <c r="AN1273" t="str">
        <f>""</f>
        <v/>
      </c>
      <c r="AO1273" t="str">
        <f>""</f>
        <v/>
      </c>
      <c r="AP1273" t="str">
        <f>""</f>
        <v/>
      </c>
      <c r="AQ1273" t="str">
        <f t="shared" si="642"/>
        <v>N</v>
      </c>
      <c r="AR1273" t="str">
        <f t="shared" si="642"/>
        <v>N</v>
      </c>
      <c r="AS1273" t="str">
        <f t="shared" si="642"/>
        <v>N</v>
      </c>
      <c r="AT1273" t="str">
        <f t="shared" si="642"/>
        <v>N</v>
      </c>
      <c r="AU1273" t="str">
        <f t="shared" si="642"/>
        <v>N</v>
      </c>
      <c r="AV1273" t="str">
        <f>""</f>
        <v/>
      </c>
      <c r="AW1273" t="str">
        <f>""</f>
        <v/>
      </c>
      <c r="AX1273" t="str">
        <f>""</f>
        <v/>
      </c>
      <c r="AY1273" t="str">
        <f>""</f>
        <v/>
      </c>
      <c r="AZ1273" t="str">
        <f>""</f>
        <v/>
      </c>
      <c r="BA1273" t="str">
        <f>""</f>
        <v/>
      </c>
      <c r="BB1273" t="str">
        <f>"01/07/2021 13:53:04"</f>
        <v>01/07/2021 13:53:04</v>
      </c>
      <c r="BC1273" t="str">
        <f>"12/07/2023 10:53:40"</f>
        <v>12/07/2023 10:53:40</v>
      </c>
      <c r="BD1273" t="str">
        <f>""</f>
        <v/>
      </c>
      <c r="BE1273" t="str">
        <f>""</f>
        <v/>
      </c>
      <c r="BF1273" t="str">
        <f t="shared" si="624"/>
        <v>A</v>
      </c>
      <c r="BG1273" t="str">
        <f>""</f>
        <v/>
      </c>
      <c r="BH1273" t="str">
        <f>"0,00"</f>
        <v>0,00</v>
      </c>
      <c r="BI1273" t="str">
        <f>"MENSAL"</f>
        <v>MENSAL</v>
      </c>
      <c r="BJ1273" t="str">
        <f t="shared" si="625"/>
        <v>1</v>
      </c>
      <c r="BK1273" t="str">
        <f t="shared" si="626"/>
        <v>Farmacia</v>
      </c>
      <c r="BL1273" t="str">
        <f>""</f>
        <v/>
      </c>
      <c r="BM1273" t="str">
        <f>"VARILUX ESPECIALISTA PLATINE"</f>
        <v>VARILUX ESPECIALISTA PLATINE</v>
      </c>
      <c r="BN1273" t="str">
        <f>"NA"</f>
        <v>NA</v>
      </c>
      <c r="BO1273" t="str">
        <f>"FOCO VARILUX DIGITAL"</f>
        <v>FOCO VARILUX DIGITAL</v>
      </c>
      <c r="BP1273" t="str">
        <f>""</f>
        <v/>
      </c>
      <c r="BQ1273" t="str">
        <f>""</f>
        <v/>
      </c>
      <c r="BR1273" t="str">
        <f>"01/07/2021"</f>
        <v>01/07/2021</v>
      </c>
      <c r="BS1273" t="str">
        <f>"12/07/2023"</f>
        <v>12/07/2023</v>
      </c>
      <c r="BT1273" t="str">
        <f>""</f>
        <v/>
      </c>
      <c r="BU1273" t="str">
        <f>""</f>
        <v/>
      </c>
      <c r="BV1273" t="str">
        <f>""</f>
        <v/>
      </c>
      <c r="BW1273" t="str">
        <f>"23"</f>
        <v>23</v>
      </c>
    </row>
    <row r="1274" spans="1:75" x14ac:dyDescent="0.35">
      <c r="A1274">
        <v>157798</v>
      </c>
      <c r="B1274" t="str">
        <f t="shared" si="620"/>
        <v>A</v>
      </c>
      <c r="C1274" t="str">
        <f t="shared" si="621"/>
        <v>80</v>
      </c>
      <c r="D1274" t="str">
        <f t="shared" si="637"/>
        <v>11121004</v>
      </c>
      <c r="E1274" t="str">
        <f t="shared" si="638"/>
        <v>121004</v>
      </c>
      <c r="F1274" t="str">
        <f t="shared" si="639"/>
        <v>FABIANA GODOY</v>
      </c>
      <c r="G1274" t="str">
        <f>"14831385000143"</f>
        <v>14831385000143</v>
      </c>
      <c r="H1274" t="str">
        <f t="shared" si="641"/>
        <v>0</v>
      </c>
      <c r="I1274" t="str">
        <f t="shared" si="622"/>
        <v>CONTA OPTICA</v>
      </c>
      <c r="J1274" t="str">
        <f>"ADENI ROCHA FILHO - RELOGIOS"</f>
        <v>ADENI ROCHA FILHO - RELOGIOS</v>
      </c>
      <c r="K1274" t="str">
        <f>"OTIKA (1901)"</f>
        <v>OTIKA (1901)</v>
      </c>
      <c r="L1274" t="str">
        <f>""</f>
        <v/>
      </c>
      <c r="M1274" t="str">
        <f>""</f>
        <v/>
      </c>
      <c r="N1274" t="str">
        <f>"ADENIROCHA1981@GMAIL.COM"</f>
        <v>ADENIROCHA1981@GMAIL.COM</v>
      </c>
      <c r="O1274" t="str">
        <f>""</f>
        <v/>
      </c>
      <c r="P1274" t="str">
        <f>"DOUTOR REINALDO SCHMITHAUSEN"</f>
        <v>DOUTOR REINALDO SCHMITHAUSEN</v>
      </c>
      <c r="Q1274" t="str">
        <f>"2126"</f>
        <v>2126</v>
      </c>
      <c r="R1274" t="str">
        <f>"SALA 10"</f>
        <v>SALA 10</v>
      </c>
      <c r="S1274" t="str">
        <f>""</f>
        <v/>
      </c>
      <c r="T1274" t="str">
        <f>"88310003"</f>
        <v>88310003</v>
      </c>
      <c r="U1274" t="str">
        <f>"CORDEIROS"</f>
        <v>CORDEIROS</v>
      </c>
      <c r="V1274" t="str">
        <f>"ITAJAI"</f>
        <v>ITAJAI</v>
      </c>
      <c r="W1274" t="str">
        <f t="shared" si="636"/>
        <v>SC</v>
      </c>
      <c r="X1274" t="str">
        <f t="shared" si="643"/>
        <v>47</v>
      </c>
      <c r="Y1274" t="str">
        <f>"32413678"</f>
        <v>32413678</v>
      </c>
      <c r="Z1274" t="str">
        <f>""</f>
        <v/>
      </c>
      <c r="AA1274" t="str">
        <f>""</f>
        <v/>
      </c>
      <c r="AB1274" t="str">
        <f>""</f>
        <v/>
      </c>
      <c r="AC1274" t="str">
        <f>""</f>
        <v/>
      </c>
      <c r="AD1274" t="str">
        <f>""</f>
        <v/>
      </c>
      <c r="AE1274" t="str">
        <f>""</f>
        <v/>
      </c>
      <c r="AF1274" t="str">
        <f>""</f>
        <v/>
      </c>
      <c r="AG1274" t="str">
        <f>""</f>
        <v/>
      </c>
      <c r="AH1274" t="str">
        <f>""</f>
        <v/>
      </c>
      <c r="AI1274" t="str">
        <f>""</f>
        <v/>
      </c>
      <c r="AJ1274" t="str">
        <f>""</f>
        <v/>
      </c>
      <c r="AK1274" t="str">
        <f>""</f>
        <v/>
      </c>
      <c r="AL1274" t="str">
        <f>""</f>
        <v/>
      </c>
      <c r="AM1274" t="str">
        <f>""</f>
        <v/>
      </c>
      <c r="AN1274" t="str">
        <f>""</f>
        <v/>
      </c>
      <c r="AO1274" t="str">
        <f>""</f>
        <v/>
      </c>
      <c r="AP1274" t="str">
        <f>""</f>
        <v/>
      </c>
      <c r="AQ1274" t="str">
        <f>""</f>
        <v/>
      </c>
      <c r="AR1274" t="str">
        <f>""</f>
        <v/>
      </c>
      <c r="AS1274" t="str">
        <f>""</f>
        <v/>
      </c>
      <c r="AT1274" t="str">
        <f>""</f>
        <v/>
      </c>
      <c r="AU1274" t="str">
        <f>""</f>
        <v/>
      </c>
      <c r="AV1274" t="str">
        <f>""</f>
        <v/>
      </c>
      <c r="AW1274" t="str">
        <f>""</f>
        <v/>
      </c>
      <c r="AX1274" t="str">
        <f>""</f>
        <v/>
      </c>
      <c r="AY1274" t="str">
        <f>""</f>
        <v/>
      </c>
      <c r="AZ1274" t="str">
        <f>""</f>
        <v/>
      </c>
      <c r="BA1274" t="str">
        <f>""</f>
        <v/>
      </c>
      <c r="BB1274" t="str">
        <f>"11/07/2023 02:26:32"</f>
        <v>11/07/2023 02:26:32</v>
      </c>
      <c r="BC1274" t="str">
        <f>""</f>
        <v/>
      </c>
      <c r="BD1274" t="str">
        <f>""</f>
        <v/>
      </c>
      <c r="BE1274" t="str">
        <f>""</f>
        <v/>
      </c>
      <c r="BF1274" t="str">
        <f t="shared" si="624"/>
        <v>A</v>
      </c>
      <c r="BG1274" t="str">
        <f>""</f>
        <v/>
      </c>
      <c r="BH1274" t="str">
        <f>""</f>
        <v/>
      </c>
      <c r="BI1274" t="str">
        <f t="shared" ref="BI1274:BI1279" si="644">"EVENTUAL"</f>
        <v>EVENTUAL</v>
      </c>
      <c r="BJ1274" t="str">
        <f t="shared" si="625"/>
        <v>1</v>
      </c>
      <c r="BK1274" t="str">
        <f t="shared" si="626"/>
        <v>Farmacia</v>
      </c>
      <c r="BL1274" t="str">
        <f>""</f>
        <v/>
      </c>
      <c r="BM1274" t="str">
        <f>""</f>
        <v/>
      </c>
      <c r="BN1274" t="str">
        <f>""</f>
        <v/>
      </c>
      <c r="BO1274" t="str">
        <f>""</f>
        <v/>
      </c>
      <c r="BP1274" t="str">
        <f>""</f>
        <v/>
      </c>
      <c r="BQ1274" t="str">
        <f>""</f>
        <v/>
      </c>
      <c r="BR1274" t="str">
        <f>"11/07/2023"</f>
        <v>11/07/2023</v>
      </c>
      <c r="BS1274" t="str">
        <f>""</f>
        <v/>
      </c>
      <c r="BT1274" t="str">
        <f>""</f>
        <v/>
      </c>
      <c r="BU1274" t="str">
        <f>""</f>
        <v/>
      </c>
      <c r="BV1274" t="str">
        <f>""</f>
        <v/>
      </c>
      <c r="BW1274" t="str">
        <f>"Não visitado"</f>
        <v>Não visitado</v>
      </c>
    </row>
    <row r="1275" spans="1:75" x14ac:dyDescent="0.35">
      <c r="A1275">
        <v>137518</v>
      </c>
      <c r="B1275" t="str">
        <f t="shared" si="620"/>
        <v>A</v>
      </c>
      <c r="C1275" t="str">
        <f t="shared" si="621"/>
        <v>80</v>
      </c>
      <c r="D1275" t="str">
        <f t="shared" si="637"/>
        <v>11121004</v>
      </c>
      <c r="E1275" t="str">
        <f t="shared" si="638"/>
        <v>121004</v>
      </c>
      <c r="F1275" t="str">
        <f t="shared" si="639"/>
        <v>FABIANA GODOY</v>
      </c>
      <c r="G1275" t="str">
        <f>"28917232000128"</f>
        <v>28917232000128</v>
      </c>
      <c r="H1275" t="str">
        <f t="shared" si="641"/>
        <v>0</v>
      </c>
      <c r="I1275" t="str">
        <f t="shared" si="622"/>
        <v>CONTA OPTICA</v>
      </c>
      <c r="J1275" t="str">
        <f>"ALAN PAIXAO DE SOUZA - ME"</f>
        <v>ALAN PAIXAO DE SOUZA - ME</v>
      </c>
      <c r="K1275" t="str">
        <f>"OTICA DINIZ (3853)"</f>
        <v>OTICA DINIZ (3853)</v>
      </c>
      <c r="L1275" t="str">
        <f>""</f>
        <v/>
      </c>
      <c r="M1275" t="str">
        <f>""</f>
        <v/>
      </c>
      <c r="N1275" t="str">
        <f>"riodosul.financeiro@oticasdiniz.com.br"</f>
        <v>riodosul.financeiro@oticasdiniz.com.br</v>
      </c>
      <c r="O1275" t="str">
        <f>""</f>
        <v/>
      </c>
      <c r="P1275" t="str">
        <f>"RUA CARLOS GOMES"</f>
        <v>RUA CARLOS GOMES</v>
      </c>
      <c r="Q1275" t="str">
        <f>"40"</f>
        <v>40</v>
      </c>
      <c r="R1275" t="str">
        <f>""</f>
        <v/>
      </c>
      <c r="S1275" t="str">
        <f>"1276"</f>
        <v>1276</v>
      </c>
      <c r="T1275" t="str">
        <f>"89160051"</f>
        <v>89160051</v>
      </c>
      <c r="U1275" t="str">
        <f>"CENTRO"</f>
        <v>CENTRO</v>
      </c>
      <c r="V1275" t="str">
        <f>"RIO DO SUL"</f>
        <v>RIO DO SUL</v>
      </c>
      <c r="W1275" t="str">
        <f t="shared" si="636"/>
        <v>SC</v>
      </c>
      <c r="X1275" t="str">
        <f t="shared" si="643"/>
        <v>47</v>
      </c>
      <c r="Y1275" t="str">
        <f>"35219190"</f>
        <v>35219190</v>
      </c>
      <c r="Z1275" t="str">
        <f>""</f>
        <v/>
      </c>
      <c r="AA1275" t="str">
        <f>""</f>
        <v/>
      </c>
      <c r="AB1275" t="str">
        <f>""</f>
        <v/>
      </c>
      <c r="AC1275" t="str">
        <f>""</f>
        <v/>
      </c>
      <c r="AD1275" t="str">
        <f>""</f>
        <v/>
      </c>
      <c r="AE1275" t="str">
        <f>""</f>
        <v/>
      </c>
      <c r="AF1275" t="str">
        <f>""</f>
        <v/>
      </c>
      <c r="AG1275" t="str">
        <f>"S"</f>
        <v>S</v>
      </c>
      <c r="AH1275" t="str">
        <f>""</f>
        <v/>
      </c>
      <c r="AI1275" t="str">
        <f>""</f>
        <v/>
      </c>
      <c r="AJ1275" t="str">
        <f>""</f>
        <v/>
      </c>
      <c r="AK1275" t="str">
        <f>""</f>
        <v/>
      </c>
      <c r="AL1275" t="str">
        <f>""</f>
        <v/>
      </c>
      <c r="AM1275" t="str">
        <f>""</f>
        <v/>
      </c>
      <c r="AN1275" t="str">
        <f>""</f>
        <v/>
      </c>
      <c r="AO1275" t="str">
        <f>""</f>
        <v/>
      </c>
      <c r="AP1275" t="str">
        <f>""</f>
        <v/>
      </c>
      <c r="AQ1275" t="str">
        <f t="shared" ref="AQ1275:AU1276" si="645">"N"</f>
        <v>N</v>
      </c>
      <c r="AR1275" t="str">
        <f t="shared" si="645"/>
        <v>N</v>
      </c>
      <c r="AS1275" t="str">
        <f t="shared" si="645"/>
        <v>N</v>
      </c>
      <c r="AT1275" t="str">
        <f t="shared" si="645"/>
        <v>N</v>
      </c>
      <c r="AU1275" t="str">
        <f t="shared" si="645"/>
        <v>N</v>
      </c>
      <c r="AV1275" t="str">
        <f>""</f>
        <v/>
      </c>
      <c r="AW1275" t="str">
        <f>""</f>
        <v/>
      </c>
      <c r="AX1275" t="str">
        <f>""</f>
        <v/>
      </c>
      <c r="AY1275" t="str">
        <f>""</f>
        <v/>
      </c>
      <c r="AZ1275" t="str">
        <f>""</f>
        <v/>
      </c>
      <c r="BA1275" t="str">
        <f>""</f>
        <v/>
      </c>
      <c r="BB1275" t="str">
        <f>"01/07/2021 13:53:04"</f>
        <v>01/07/2021 13:53:04</v>
      </c>
      <c r="BC1275" t="str">
        <f>"17/01/2022 15:43:00"</f>
        <v>17/01/2022 15:43:00</v>
      </c>
      <c r="BD1275" t="str">
        <f>""</f>
        <v/>
      </c>
      <c r="BE1275" t="str">
        <f>""</f>
        <v/>
      </c>
      <c r="BF1275" t="str">
        <f t="shared" si="624"/>
        <v>A</v>
      </c>
      <c r="BG1275" t="str">
        <f>""</f>
        <v/>
      </c>
      <c r="BH1275" t="str">
        <f>"0,00"</f>
        <v>0,00</v>
      </c>
      <c r="BI1275" t="str">
        <f t="shared" si="644"/>
        <v>EVENTUAL</v>
      </c>
      <c r="BJ1275" t="str">
        <f t="shared" si="625"/>
        <v>1</v>
      </c>
      <c r="BK1275" t="str">
        <f t="shared" si="626"/>
        <v>Farmacia</v>
      </c>
      <c r="BL1275" t="str">
        <f>""</f>
        <v/>
      </c>
      <c r="BM1275" t="str">
        <f>"NÃO É VARILUX ESPECIALISTA"</f>
        <v>NÃO É VARILUX ESPECIALISTA</v>
      </c>
      <c r="BN1275" t="str">
        <f>"NA"</f>
        <v>NA</v>
      </c>
      <c r="BO1275" t="str">
        <f>"FOCO VARILUX"</f>
        <v>FOCO VARILUX</v>
      </c>
      <c r="BP1275" t="str">
        <f>""</f>
        <v/>
      </c>
      <c r="BQ1275" t="str">
        <f>""</f>
        <v/>
      </c>
      <c r="BR1275" t="str">
        <f>"01/07/2021"</f>
        <v>01/07/2021</v>
      </c>
      <c r="BS1275" t="str">
        <f>"17/01/2022"</f>
        <v>17/01/2022</v>
      </c>
      <c r="BT1275" t="str">
        <f>""</f>
        <v/>
      </c>
      <c r="BU1275" t="str">
        <f>""</f>
        <v/>
      </c>
      <c r="BV1275" t="str">
        <f>""</f>
        <v/>
      </c>
      <c r="BW1275" t="str">
        <f>"161"</f>
        <v>161</v>
      </c>
    </row>
    <row r="1276" spans="1:75" x14ac:dyDescent="0.35">
      <c r="A1276">
        <v>137519</v>
      </c>
      <c r="B1276" t="str">
        <f t="shared" si="620"/>
        <v>A</v>
      </c>
      <c r="C1276" t="str">
        <f t="shared" si="621"/>
        <v>80</v>
      </c>
      <c r="D1276" t="str">
        <f t="shared" si="637"/>
        <v>11121004</v>
      </c>
      <c r="E1276" t="str">
        <f t="shared" si="638"/>
        <v>121004</v>
      </c>
      <c r="F1276" t="str">
        <f t="shared" si="639"/>
        <v>FABIANA GODOY</v>
      </c>
      <c r="G1276" t="str">
        <f>"37232805000170"</f>
        <v>37232805000170</v>
      </c>
      <c r="H1276" t="str">
        <f t="shared" si="641"/>
        <v>0</v>
      </c>
      <c r="I1276" t="str">
        <f t="shared" si="622"/>
        <v>CONTA OPTICA</v>
      </c>
      <c r="J1276" t="str">
        <f>"ALDA CAIRES DA PAIXAO FONSECA 61658740297"</f>
        <v>ALDA CAIRES DA PAIXAO FONSECA 61658740297</v>
      </c>
      <c r="K1276" t="str">
        <f>"OTICAS LAINE (4139)"</f>
        <v>OTICAS LAINE (4139)</v>
      </c>
      <c r="L1276" t="str">
        <f>""</f>
        <v/>
      </c>
      <c r="M1276" t="str">
        <f>""</f>
        <v/>
      </c>
      <c r="N1276" t="str">
        <f>"oticaslaine@gmail.com"</f>
        <v>oticaslaine@gmail.com</v>
      </c>
      <c r="O1276" t="str">
        <f>""</f>
        <v/>
      </c>
      <c r="P1276" t="str">
        <f>"RUA BOTUVERA"</f>
        <v>RUA BOTUVERA</v>
      </c>
      <c r="Q1276" t="str">
        <f>"184"</f>
        <v>184</v>
      </c>
      <c r="R1276" t="str">
        <f>"DENTRO MERCADO"</f>
        <v>DENTRO MERCADO</v>
      </c>
      <c r="S1276" t="str">
        <f>""</f>
        <v/>
      </c>
      <c r="T1276" t="str">
        <f>"88359002"</f>
        <v>88359002</v>
      </c>
      <c r="U1276" t="str">
        <f>"DOM JOAQUIM"</f>
        <v>DOM JOAQUIM</v>
      </c>
      <c r="V1276" t="str">
        <f>"BRUSQUE"</f>
        <v>BRUSQUE</v>
      </c>
      <c r="W1276" t="str">
        <f t="shared" si="636"/>
        <v>SC</v>
      </c>
      <c r="X1276" t="str">
        <f t="shared" si="643"/>
        <v>47</v>
      </c>
      <c r="Y1276" t="str">
        <f>"989133045"</f>
        <v>989133045</v>
      </c>
      <c r="Z1276" t="str">
        <f>""</f>
        <v/>
      </c>
      <c r="AA1276" t="str">
        <f>""</f>
        <v/>
      </c>
      <c r="AB1276" t="str">
        <f>""</f>
        <v/>
      </c>
      <c r="AC1276" t="str">
        <f>""</f>
        <v/>
      </c>
      <c r="AD1276" t="str">
        <f>""</f>
        <v/>
      </c>
      <c r="AE1276" t="str">
        <f>""</f>
        <v/>
      </c>
      <c r="AF1276" t="str">
        <f>""</f>
        <v/>
      </c>
      <c r="AG1276" t="str">
        <f>"S"</f>
        <v>S</v>
      </c>
      <c r="AH1276" t="str">
        <f>""</f>
        <v/>
      </c>
      <c r="AI1276" t="str">
        <f>""</f>
        <v/>
      </c>
      <c r="AJ1276" t="str">
        <f>""</f>
        <v/>
      </c>
      <c r="AK1276" t="str">
        <f>""</f>
        <v/>
      </c>
      <c r="AL1276" t="str">
        <f>""</f>
        <v/>
      </c>
      <c r="AM1276" t="str">
        <f>""</f>
        <v/>
      </c>
      <c r="AN1276" t="str">
        <f>""</f>
        <v/>
      </c>
      <c r="AO1276" t="str">
        <f>""</f>
        <v/>
      </c>
      <c r="AP1276" t="str">
        <f>""</f>
        <v/>
      </c>
      <c r="AQ1276" t="str">
        <f t="shared" si="645"/>
        <v>N</v>
      </c>
      <c r="AR1276" t="str">
        <f t="shared" si="645"/>
        <v>N</v>
      </c>
      <c r="AS1276" t="str">
        <f t="shared" si="645"/>
        <v>N</v>
      </c>
      <c r="AT1276" t="str">
        <f t="shared" si="645"/>
        <v>N</v>
      </c>
      <c r="AU1276" t="str">
        <f t="shared" si="645"/>
        <v>N</v>
      </c>
      <c r="AV1276" t="str">
        <f>""</f>
        <v/>
      </c>
      <c r="AW1276" t="str">
        <f>""</f>
        <v/>
      </c>
      <c r="AX1276" t="str">
        <f>""</f>
        <v/>
      </c>
      <c r="AY1276" t="str">
        <f>""</f>
        <v/>
      </c>
      <c r="AZ1276" t="str">
        <f>""</f>
        <v/>
      </c>
      <c r="BA1276" t="str">
        <f>""</f>
        <v/>
      </c>
      <c r="BB1276" t="str">
        <f>"01/07/2021 13:53:04"</f>
        <v>01/07/2021 13:53:04</v>
      </c>
      <c r="BC1276" t="str">
        <f>"31/10/2022 15:31:35"</f>
        <v>31/10/2022 15:31:35</v>
      </c>
      <c r="BD1276" t="str">
        <f>""</f>
        <v/>
      </c>
      <c r="BE1276" t="str">
        <f>""</f>
        <v/>
      </c>
      <c r="BF1276" t="str">
        <f t="shared" si="624"/>
        <v>A</v>
      </c>
      <c r="BG1276" t="str">
        <f>""</f>
        <v/>
      </c>
      <c r="BH1276" t="str">
        <f>"0,00"</f>
        <v>0,00</v>
      </c>
      <c r="BI1276" t="str">
        <f t="shared" si="644"/>
        <v>EVENTUAL</v>
      </c>
      <c r="BJ1276" t="str">
        <f t="shared" si="625"/>
        <v>1</v>
      </c>
      <c r="BK1276" t="str">
        <f t="shared" si="626"/>
        <v>Farmacia</v>
      </c>
      <c r="BL1276" t="str">
        <f>""</f>
        <v/>
      </c>
      <c r="BM1276" t="str">
        <f>"NÃO É VARILUX ESPECIALISTA"</f>
        <v>NÃO É VARILUX ESPECIALISTA</v>
      </c>
      <c r="BN1276" t="str">
        <f>"NA"</f>
        <v>NA</v>
      </c>
      <c r="BO1276" t="str">
        <f>"FOCO VARILUX"</f>
        <v>FOCO VARILUX</v>
      </c>
      <c r="BP1276" t="str">
        <f>""</f>
        <v/>
      </c>
      <c r="BQ1276" t="str">
        <f>""</f>
        <v/>
      </c>
      <c r="BR1276" t="str">
        <f>"01/07/2021"</f>
        <v>01/07/2021</v>
      </c>
      <c r="BS1276" t="str">
        <f>"31/10/2022"</f>
        <v>31/10/2022</v>
      </c>
      <c r="BT1276" t="str">
        <f>""</f>
        <v/>
      </c>
      <c r="BU1276" t="str">
        <f>""</f>
        <v/>
      </c>
      <c r="BV1276" t="str">
        <f>""</f>
        <v/>
      </c>
      <c r="BW1276" t="str">
        <f>"584"</f>
        <v>584</v>
      </c>
    </row>
    <row r="1277" spans="1:75" x14ac:dyDescent="0.35">
      <c r="A1277">
        <v>127754</v>
      </c>
      <c r="B1277" t="str">
        <f t="shared" si="620"/>
        <v>A</v>
      </c>
      <c r="C1277" t="str">
        <f t="shared" si="621"/>
        <v>80</v>
      </c>
      <c r="D1277" t="str">
        <f t="shared" si="637"/>
        <v>11121004</v>
      </c>
      <c r="E1277" t="str">
        <f t="shared" si="638"/>
        <v>121004</v>
      </c>
      <c r="F1277" t="str">
        <f t="shared" si="639"/>
        <v>FABIANA GODOY</v>
      </c>
      <c r="G1277" t="str">
        <f>"03097978000101"</f>
        <v>03097978000101</v>
      </c>
      <c r="H1277" t="str">
        <f t="shared" si="641"/>
        <v>0</v>
      </c>
      <c r="I1277" t="str">
        <f t="shared" si="622"/>
        <v>CONTA OPTICA</v>
      </c>
      <c r="J1277" t="str">
        <f>"ALEXANDRE DA SILVA ME"</f>
        <v>ALEXANDRE DA SILVA ME</v>
      </c>
      <c r="K1277" t="str">
        <f>"LUNMINI OTICA (1674)"</f>
        <v>LUNMINI OTICA (1674)</v>
      </c>
      <c r="L1277" t="str">
        <f>""</f>
        <v/>
      </c>
      <c r="M1277" t="str">
        <f>""</f>
        <v/>
      </c>
      <c r="N1277" t="str">
        <f>""</f>
        <v/>
      </c>
      <c r="O1277" t="str">
        <f>""</f>
        <v/>
      </c>
      <c r="P1277" t="str">
        <f>"AVENIDA SANTA CATARINA"</f>
        <v>AVENIDA SANTA CATARINA</v>
      </c>
      <c r="Q1277" t="str">
        <f>"1304"</f>
        <v>1304</v>
      </c>
      <c r="R1277" t="str">
        <f>""</f>
        <v/>
      </c>
      <c r="S1277" t="str">
        <f>"1263"</f>
        <v>1263</v>
      </c>
      <c r="T1277" t="str">
        <f>"88390000"</f>
        <v>88390000</v>
      </c>
      <c r="U1277" t="str">
        <f>"CENTRO"</f>
        <v>CENTRO</v>
      </c>
      <c r="V1277" t="str">
        <f>"BARRA VELHA"</f>
        <v>BARRA VELHA</v>
      </c>
      <c r="W1277" t="str">
        <f t="shared" si="636"/>
        <v>SC</v>
      </c>
      <c r="X1277" t="str">
        <f t="shared" si="643"/>
        <v>47</v>
      </c>
      <c r="Y1277" t="str">
        <f>"34562939"</f>
        <v>34562939</v>
      </c>
      <c r="Z1277" t="str">
        <f>""</f>
        <v/>
      </c>
      <c r="AA1277" t="str">
        <f>""</f>
        <v/>
      </c>
      <c r="AB1277" t="str">
        <f>""</f>
        <v/>
      </c>
      <c r="AC1277" t="str">
        <f>""</f>
        <v/>
      </c>
      <c r="AD1277" t="str">
        <f>""</f>
        <v/>
      </c>
      <c r="AE1277" t="str">
        <f>""</f>
        <v/>
      </c>
      <c r="AF1277" t="str">
        <f>""</f>
        <v/>
      </c>
      <c r="AG1277" t="str">
        <f>""</f>
        <v/>
      </c>
      <c r="AH1277" t="str">
        <f>""</f>
        <v/>
      </c>
      <c r="AI1277" t="str">
        <f>""</f>
        <v/>
      </c>
      <c r="AJ1277" t="str">
        <f>"0"</f>
        <v>0</v>
      </c>
      <c r="AK1277" t="str">
        <f>"0"</f>
        <v>0</v>
      </c>
      <c r="AL1277" t="str">
        <f>"0"</f>
        <v>0</v>
      </c>
      <c r="AM1277" t="str">
        <f>""</f>
        <v/>
      </c>
      <c r="AN1277" t="str">
        <f>""</f>
        <v/>
      </c>
      <c r="AO1277" t="str">
        <f>""</f>
        <v/>
      </c>
      <c r="AP1277" t="str">
        <f>""</f>
        <v/>
      </c>
      <c r="AQ1277" t="str">
        <f>""</f>
        <v/>
      </c>
      <c r="AR1277" t="str">
        <f>""</f>
        <v/>
      </c>
      <c r="AS1277" t="str">
        <f>""</f>
        <v/>
      </c>
      <c r="AT1277" t="str">
        <f>""</f>
        <v/>
      </c>
      <c r="AU1277" t="str">
        <f>""</f>
        <v/>
      </c>
      <c r="AV1277" t="str">
        <f>""</f>
        <v/>
      </c>
      <c r="AW1277" t="str">
        <f>""</f>
        <v/>
      </c>
      <c r="AX1277" t="str">
        <f>""</f>
        <v/>
      </c>
      <c r="AY1277" t="str">
        <f>""</f>
        <v/>
      </c>
      <c r="AZ1277" t="str">
        <f>""</f>
        <v/>
      </c>
      <c r="BA1277" t="str">
        <f>""</f>
        <v/>
      </c>
      <c r="BB1277" t="str">
        <f>"07/10/2020 09:08:38"</f>
        <v>07/10/2020 09:08:38</v>
      </c>
      <c r="BC1277" t="str">
        <f>""</f>
        <v/>
      </c>
      <c r="BD1277" t="str">
        <f>""</f>
        <v/>
      </c>
      <c r="BE1277" t="str">
        <f>""</f>
        <v/>
      </c>
      <c r="BF1277" t="str">
        <f t="shared" si="624"/>
        <v>A</v>
      </c>
      <c r="BG1277" t="str">
        <f>"0,00"</f>
        <v>0,00</v>
      </c>
      <c r="BH1277" t="str">
        <f>"0,00"</f>
        <v>0,00</v>
      </c>
      <c r="BI1277" t="str">
        <f t="shared" si="644"/>
        <v>EVENTUAL</v>
      </c>
      <c r="BJ1277" t="str">
        <f t="shared" si="625"/>
        <v>1</v>
      </c>
      <c r="BK1277" t="str">
        <f t="shared" si="626"/>
        <v>Farmacia</v>
      </c>
      <c r="BL1277" t="str">
        <f>""</f>
        <v/>
      </c>
      <c r="BM1277" t="str">
        <f>"NÃO É VARILUX ESPECIALISTA"</f>
        <v>NÃO É VARILUX ESPECIALISTA</v>
      </c>
      <c r="BN1277" t="str">
        <f>"NA"</f>
        <v>NA</v>
      </c>
      <c r="BO1277" t="str">
        <f>"FOCO VARILUX"</f>
        <v>FOCO VARILUX</v>
      </c>
      <c r="BP1277" t="str">
        <f>""</f>
        <v/>
      </c>
      <c r="BQ1277" t="str">
        <f>""</f>
        <v/>
      </c>
      <c r="BR1277" t="str">
        <f>"07/10/2020"</f>
        <v>07/10/2020</v>
      </c>
      <c r="BS1277" t="str">
        <f>""</f>
        <v/>
      </c>
      <c r="BT1277" t="str">
        <f>""</f>
        <v/>
      </c>
      <c r="BU1277" t="str">
        <f>""</f>
        <v/>
      </c>
      <c r="BV1277" t="str">
        <f>"9"</f>
        <v>9</v>
      </c>
      <c r="BW1277" t="str">
        <f>"7"</f>
        <v>7</v>
      </c>
    </row>
    <row r="1278" spans="1:75" x14ac:dyDescent="0.35">
      <c r="A1278">
        <v>157750</v>
      </c>
      <c r="B1278" t="str">
        <f t="shared" si="620"/>
        <v>A</v>
      </c>
      <c r="C1278" t="str">
        <f t="shared" si="621"/>
        <v>80</v>
      </c>
      <c r="D1278" t="str">
        <f t="shared" si="637"/>
        <v>11121004</v>
      </c>
      <c r="E1278" t="str">
        <f t="shared" si="638"/>
        <v>121004</v>
      </c>
      <c r="F1278" t="str">
        <f t="shared" si="639"/>
        <v>FABIANA GODOY</v>
      </c>
      <c r="G1278" t="str">
        <f>"07279312000125"</f>
        <v>07279312000125</v>
      </c>
      <c r="H1278" t="str">
        <f t="shared" si="641"/>
        <v>0</v>
      </c>
      <c r="I1278" t="str">
        <f t="shared" si="622"/>
        <v>CONTA OPTICA</v>
      </c>
      <c r="J1278" t="str">
        <f>"ALEXSSANDRO  FRITZEN ARAUJO ME"</f>
        <v>ALEXSSANDRO  FRITZEN ARAUJO ME</v>
      </c>
      <c r="K1278" t="str">
        <f>"RELOJOARIA E OTICA FRITZEN (1694)"</f>
        <v>RELOJOARIA E OTICA FRITZEN (1694)</v>
      </c>
      <c r="L1278" t="str">
        <f>""</f>
        <v/>
      </c>
      <c r="M1278" t="str">
        <f>""</f>
        <v/>
      </c>
      <c r="N1278" t="str">
        <f>"OTICAFRITZEN@YAHOO.COM.BR"</f>
        <v>OTICAFRITZEN@YAHOO.COM.BR</v>
      </c>
      <c r="O1278" t="str">
        <f>""</f>
        <v/>
      </c>
      <c r="P1278" t="str">
        <f>"NEREU RAMOS"</f>
        <v>NEREU RAMOS</v>
      </c>
      <c r="Q1278" t="str">
        <f>"263"</f>
        <v>263</v>
      </c>
      <c r="R1278" t="str">
        <f>""</f>
        <v/>
      </c>
      <c r="S1278" t="str">
        <f>"1263"</f>
        <v>1263</v>
      </c>
      <c r="T1278" t="str">
        <f>"88380000"</f>
        <v>88380000</v>
      </c>
      <c r="U1278" t="str">
        <f>"CENTRO"</f>
        <v>CENTRO</v>
      </c>
      <c r="V1278" t="str">
        <f>"BALNEARIO PICARRAS"</f>
        <v>BALNEARIO PICARRAS</v>
      </c>
      <c r="W1278" t="str">
        <f t="shared" si="636"/>
        <v>SC</v>
      </c>
      <c r="X1278" t="str">
        <f t="shared" si="643"/>
        <v>47</v>
      </c>
      <c r="Y1278" t="str">
        <f>"33450805"</f>
        <v>33450805</v>
      </c>
      <c r="Z1278" t="str">
        <f>""</f>
        <v/>
      </c>
      <c r="AA1278" t="str">
        <f>""</f>
        <v/>
      </c>
      <c r="AB1278" t="str">
        <f>""</f>
        <v/>
      </c>
      <c r="AC1278" t="str">
        <f>""</f>
        <v/>
      </c>
      <c r="AD1278" t="str">
        <f>""</f>
        <v/>
      </c>
      <c r="AE1278" t="str">
        <f>""</f>
        <v/>
      </c>
      <c r="AF1278" t="str">
        <f>""</f>
        <v/>
      </c>
      <c r="AG1278" t="str">
        <f>""</f>
        <v/>
      </c>
      <c r="AH1278" t="str">
        <f>""</f>
        <v/>
      </c>
      <c r="AI1278" t="str">
        <f>""</f>
        <v/>
      </c>
      <c r="AJ1278" t="str">
        <f>""</f>
        <v/>
      </c>
      <c r="AK1278" t="str">
        <f>""</f>
        <v/>
      </c>
      <c r="AL1278" t="str">
        <f>""</f>
        <v/>
      </c>
      <c r="AM1278" t="str">
        <f>""</f>
        <v/>
      </c>
      <c r="AN1278" t="str">
        <f>""</f>
        <v/>
      </c>
      <c r="AO1278" t="str">
        <f>""</f>
        <v/>
      </c>
      <c r="AP1278" t="str">
        <f>""</f>
        <v/>
      </c>
      <c r="AQ1278" t="str">
        <f>""</f>
        <v/>
      </c>
      <c r="AR1278" t="str">
        <f>""</f>
        <v/>
      </c>
      <c r="AS1278" t="str">
        <f>""</f>
        <v/>
      </c>
      <c r="AT1278" t="str">
        <f>""</f>
        <v/>
      </c>
      <c r="AU1278" t="str">
        <f>""</f>
        <v/>
      </c>
      <c r="AV1278" t="str">
        <f>""</f>
        <v/>
      </c>
      <c r="AW1278" t="str">
        <f>""</f>
        <v/>
      </c>
      <c r="AX1278" t="str">
        <f>""</f>
        <v/>
      </c>
      <c r="AY1278" t="str">
        <f>""</f>
        <v/>
      </c>
      <c r="AZ1278" t="str">
        <f>""</f>
        <v/>
      </c>
      <c r="BA1278" t="str">
        <f>""</f>
        <v/>
      </c>
      <c r="BB1278" t="str">
        <f>"11/07/2023 02:26:32"</f>
        <v>11/07/2023 02:26:32</v>
      </c>
      <c r="BC1278" t="str">
        <f>""</f>
        <v/>
      </c>
      <c r="BD1278" t="str">
        <f>""</f>
        <v/>
      </c>
      <c r="BE1278" t="str">
        <f>""</f>
        <v/>
      </c>
      <c r="BF1278" t="str">
        <f t="shared" si="624"/>
        <v>A</v>
      </c>
      <c r="BG1278" t="str">
        <f>""</f>
        <v/>
      </c>
      <c r="BH1278" t="str">
        <f>""</f>
        <v/>
      </c>
      <c r="BI1278" t="str">
        <f t="shared" si="644"/>
        <v>EVENTUAL</v>
      </c>
      <c r="BJ1278" t="str">
        <f t="shared" si="625"/>
        <v>1</v>
      </c>
      <c r="BK1278" t="str">
        <f t="shared" si="626"/>
        <v>Farmacia</v>
      </c>
      <c r="BL1278" t="str">
        <f>""</f>
        <v/>
      </c>
      <c r="BM1278" t="str">
        <f>""</f>
        <v/>
      </c>
      <c r="BN1278" t="str">
        <f>""</f>
        <v/>
      </c>
      <c r="BO1278" t="str">
        <f>""</f>
        <v/>
      </c>
      <c r="BP1278" t="str">
        <f>""</f>
        <v/>
      </c>
      <c r="BQ1278" t="str">
        <f>""</f>
        <v/>
      </c>
      <c r="BR1278" t="str">
        <f>"11/07/2023"</f>
        <v>11/07/2023</v>
      </c>
      <c r="BS1278" t="str">
        <f>""</f>
        <v/>
      </c>
      <c r="BT1278" t="str">
        <f>""</f>
        <v/>
      </c>
      <c r="BU1278" t="str">
        <f>""</f>
        <v/>
      </c>
      <c r="BV1278" t="str">
        <f>""</f>
        <v/>
      </c>
      <c r="BW1278" t="str">
        <f>"Não visitado"</f>
        <v>Não visitado</v>
      </c>
    </row>
    <row r="1279" spans="1:75" x14ac:dyDescent="0.35">
      <c r="A1279">
        <v>137524</v>
      </c>
      <c r="B1279" t="str">
        <f t="shared" si="620"/>
        <v>A</v>
      </c>
      <c r="C1279" t="str">
        <f t="shared" si="621"/>
        <v>80</v>
      </c>
      <c r="D1279" t="str">
        <f t="shared" si="637"/>
        <v>11121004</v>
      </c>
      <c r="E1279" t="str">
        <f t="shared" si="638"/>
        <v>121004</v>
      </c>
      <c r="F1279" t="str">
        <f t="shared" si="639"/>
        <v>FABIANA GODOY</v>
      </c>
      <c r="G1279" t="str">
        <f>"81614802000193"</f>
        <v>81614802000193</v>
      </c>
      <c r="H1279" t="str">
        <f t="shared" si="641"/>
        <v>0</v>
      </c>
      <c r="I1279" t="str">
        <f t="shared" si="622"/>
        <v>CONTA OPTICA</v>
      </c>
      <c r="J1279" t="str">
        <f>"AM ARTIGOS DE PRESENTES LTDA"</f>
        <v>AM ARTIGOS DE PRESENTES LTDA</v>
      </c>
      <c r="K1279" t="str">
        <f>"JOALHERIA E OTICA HEUSSER (17)"</f>
        <v>JOALHERIA E OTICA HEUSSER (17)</v>
      </c>
      <c r="L1279" t="str">
        <f>""</f>
        <v/>
      </c>
      <c r="M1279" t="str">
        <f>""</f>
        <v/>
      </c>
      <c r="N1279" t="str">
        <f>"oticasoberana@oticasoberana.com.br"</f>
        <v>oticasoberana@oticasoberana.com.br</v>
      </c>
      <c r="O1279" t="str">
        <f>""</f>
        <v/>
      </c>
      <c r="P1279" t="str">
        <f>"RUA HERCILIO LUZ"</f>
        <v>RUA HERCILIO LUZ</v>
      </c>
      <c r="Q1279" t="str">
        <f>"360"</f>
        <v>360</v>
      </c>
      <c r="R1279" t="str">
        <f>""</f>
        <v/>
      </c>
      <c r="S1279" t="str">
        <f>"1261"</f>
        <v>1261</v>
      </c>
      <c r="T1279" t="str">
        <f>"88301110"</f>
        <v>88301110</v>
      </c>
      <c r="U1279" t="str">
        <f>"CENTRO"</f>
        <v>CENTRO</v>
      </c>
      <c r="V1279" t="str">
        <f>"ITAJAÍ"</f>
        <v>ITAJAÍ</v>
      </c>
      <c r="W1279" t="str">
        <f t="shared" si="636"/>
        <v>SC</v>
      </c>
      <c r="X1279" t="str">
        <f t="shared" si="643"/>
        <v>47</v>
      </c>
      <c r="Y1279" t="str">
        <f>"30452425"</f>
        <v>30452425</v>
      </c>
      <c r="Z1279" t="str">
        <f>""</f>
        <v/>
      </c>
      <c r="AA1279" t="str">
        <f>""</f>
        <v/>
      </c>
      <c r="AB1279" t="str">
        <f>""</f>
        <v/>
      </c>
      <c r="AC1279" t="str">
        <f>""</f>
        <v/>
      </c>
      <c r="AD1279" t="str">
        <f>""</f>
        <v/>
      </c>
      <c r="AE1279" t="str">
        <f>""</f>
        <v/>
      </c>
      <c r="AF1279" t="str">
        <f>""</f>
        <v/>
      </c>
      <c r="AG1279" t="str">
        <f>"S"</f>
        <v>S</v>
      </c>
      <c r="AH1279" t="str">
        <f>""</f>
        <v/>
      </c>
      <c r="AI1279" t="str">
        <f>""</f>
        <v/>
      </c>
      <c r="AJ1279" t="str">
        <f>""</f>
        <v/>
      </c>
      <c r="AK1279" t="str">
        <f>""</f>
        <v/>
      </c>
      <c r="AL1279" t="str">
        <f>""</f>
        <v/>
      </c>
      <c r="AM1279" t="str">
        <f>""</f>
        <v/>
      </c>
      <c r="AN1279" t="str">
        <f>""</f>
        <v/>
      </c>
      <c r="AO1279" t="str">
        <f>""</f>
        <v/>
      </c>
      <c r="AP1279" t="str">
        <f>""</f>
        <v/>
      </c>
      <c r="AQ1279" t="str">
        <f t="shared" ref="AQ1279:AU1280" si="646">"N"</f>
        <v>N</v>
      </c>
      <c r="AR1279" t="str">
        <f t="shared" si="646"/>
        <v>N</v>
      </c>
      <c r="AS1279" t="str">
        <f t="shared" si="646"/>
        <v>N</v>
      </c>
      <c r="AT1279" t="str">
        <f t="shared" si="646"/>
        <v>N</v>
      </c>
      <c r="AU1279" t="str">
        <f t="shared" si="646"/>
        <v>N</v>
      </c>
      <c r="AV1279" t="str">
        <f>""</f>
        <v/>
      </c>
      <c r="AW1279" t="str">
        <f>""</f>
        <v/>
      </c>
      <c r="AX1279" t="str">
        <f>""</f>
        <v/>
      </c>
      <c r="AY1279" t="str">
        <f>""</f>
        <v/>
      </c>
      <c r="AZ1279" t="str">
        <f>""</f>
        <v/>
      </c>
      <c r="BA1279" t="str">
        <f>""</f>
        <v/>
      </c>
      <c r="BB1279" t="str">
        <f>"01/07/2021 13:53:04"</f>
        <v>01/07/2021 13:53:04</v>
      </c>
      <c r="BC1279" t="str">
        <f>"07/07/2023 10:47:13"</f>
        <v>07/07/2023 10:47:13</v>
      </c>
      <c r="BD1279" t="str">
        <f>""</f>
        <v/>
      </c>
      <c r="BE1279" t="str">
        <f>""</f>
        <v/>
      </c>
      <c r="BF1279" t="str">
        <f t="shared" si="624"/>
        <v>A</v>
      </c>
      <c r="BG1279" t="str">
        <f>""</f>
        <v/>
      </c>
      <c r="BH1279" t="str">
        <f>"0,00"</f>
        <v>0,00</v>
      </c>
      <c r="BI1279" t="str">
        <f t="shared" si="644"/>
        <v>EVENTUAL</v>
      </c>
      <c r="BJ1279" t="str">
        <f t="shared" si="625"/>
        <v>1</v>
      </c>
      <c r="BK1279" t="str">
        <f t="shared" si="626"/>
        <v>Farmacia</v>
      </c>
      <c r="BL1279" t="str">
        <f>""</f>
        <v/>
      </c>
      <c r="BM1279" t="str">
        <f>"NÃO É VARILUX ESPECIALISTA"</f>
        <v>NÃO É VARILUX ESPECIALISTA</v>
      </c>
      <c r="BN1279" t="str">
        <f>"EL360"</f>
        <v>EL360</v>
      </c>
      <c r="BO1279" t="str">
        <f>"OUTROS"</f>
        <v>OUTROS</v>
      </c>
      <c r="BP1279" t="str">
        <f>""</f>
        <v/>
      </c>
      <c r="BQ1279" t="str">
        <f>""</f>
        <v/>
      </c>
      <c r="BR1279" t="str">
        <f>"01/07/2021"</f>
        <v>01/07/2021</v>
      </c>
      <c r="BS1279" t="str">
        <f>"07/07/2023"</f>
        <v>07/07/2023</v>
      </c>
      <c r="BT1279" t="str">
        <f>""</f>
        <v/>
      </c>
      <c r="BU1279" t="str">
        <f>""</f>
        <v/>
      </c>
      <c r="BV1279" t="str">
        <f>""</f>
        <v/>
      </c>
      <c r="BW1279" t="str">
        <f>"67"</f>
        <v>67</v>
      </c>
    </row>
    <row r="1280" spans="1:75" x14ac:dyDescent="0.35">
      <c r="A1280">
        <v>137575</v>
      </c>
      <c r="B1280" t="str">
        <f t="shared" si="620"/>
        <v>A</v>
      </c>
      <c r="C1280" t="str">
        <f t="shared" si="621"/>
        <v>80</v>
      </c>
      <c r="D1280" t="str">
        <f t="shared" si="637"/>
        <v>11121004</v>
      </c>
      <c r="E1280" t="str">
        <f t="shared" si="638"/>
        <v>121004</v>
      </c>
      <c r="F1280" t="str">
        <f t="shared" si="639"/>
        <v>FABIANA GODOY</v>
      </c>
      <c r="G1280" t="str">
        <f>"81614802000193"</f>
        <v>81614802000193</v>
      </c>
      <c r="H1280" t="str">
        <f t="shared" si="641"/>
        <v>0</v>
      </c>
      <c r="I1280" t="str">
        <f t="shared" si="622"/>
        <v>CONTA OPTICA</v>
      </c>
      <c r="J1280" t="str">
        <f>"AM ARTIGOS DE PRESENTES LTDA"</f>
        <v>AM ARTIGOS DE PRESENTES LTDA</v>
      </c>
      <c r="K1280" t="str">
        <f>"JOALHERIA E OTICA HEUSSER (17)"</f>
        <v>JOALHERIA E OTICA HEUSSER (17)</v>
      </c>
      <c r="L1280" t="str">
        <f>""</f>
        <v/>
      </c>
      <c r="M1280" t="str">
        <f>""</f>
        <v/>
      </c>
      <c r="N1280" t="str">
        <f>"oticasoberana@oticasoberana.com.br"</f>
        <v>oticasoberana@oticasoberana.com.br</v>
      </c>
      <c r="O1280" t="str">
        <f>""</f>
        <v/>
      </c>
      <c r="P1280" t="str">
        <f>"RUA HERCILIO LUZ"</f>
        <v>RUA HERCILIO LUZ</v>
      </c>
      <c r="Q1280" t="str">
        <f>"443"</f>
        <v>443</v>
      </c>
      <c r="R1280" t="str">
        <f>""</f>
        <v/>
      </c>
      <c r="S1280" t="str">
        <f>"1261"</f>
        <v>1261</v>
      </c>
      <c r="T1280" t="str">
        <f>"88301001"</f>
        <v>88301001</v>
      </c>
      <c r="U1280" t="str">
        <f>"CENTRO"</f>
        <v>CENTRO</v>
      </c>
      <c r="V1280" t="str">
        <f>"ITAJAÍ"</f>
        <v>ITAJAÍ</v>
      </c>
      <c r="W1280" t="str">
        <f t="shared" si="636"/>
        <v>SC</v>
      </c>
      <c r="X1280" t="str">
        <f t="shared" si="643"/>
        <v>47</v>
      </c>
      <c r="Y1280" t="str">
        <f>"30452425"</f>
        <v>30452425</v>
      </c>
      <c r="Z1280" t="str">
        <f>""</f>
        <v/>
      </c>
      <c r="AA1280" t="str">
        <f>""</f>
        <v/>
      </c>
      <c r="AB1280" t="str">
        <f>""</f>
        <v/>
      </c>
      <c r="AC1280" t="str">
        <f>""</f>
        <v/>
      </c>
      <c r="AD1280" t="str">
        <f>""</f>
        <v/>
      </c>
      <c r="AE1280" t="str">
        <f>""</f>
        <v/>
      </c>
      <c r="AF1280" t="str">
        <f>""</f>
        <v/>
      </c>
      <c r="AG1280" t="str">
        <f>"S"</f>
        <v>S</v>
      </c>
      <c r="AH1280" t="str">
        <f>""</f>
        <v/>
      </c>
      <c r="AI1280" t="str">
        <f>""</f>
        <v/>
      </c>
      <c r="AJ1280" t="str">
        <f>""</f>
        <v/>
      </c>
      <c r="AK1280" t="str">
        <f>""</f>
        <v/>
      </c>
      <c r="AL1280" t="str">
        <f>""</f>
        <v/>
      </c>
      <c r="AM1280" t="str">
        <f>""</f>
        <v/>
      </c>
      <c r="AN1280" t="str">
        <f>""</f>
        <v/>
      </c>
      <c r="AO1280" t="str">
        <f>""</f>
        <v/>
      </c>
      <c r="AP1280" t="str">
        <f>""</f>
        <v/>
      </c>
      <c r="AQ1280" t="str">
        <f t="shared" si="646"/>
        <v>N</v>
      </c>
      <c r="AR1280" t="str">
        <f t="shared" si="646"/>
        <v>N</v>
      </c>
      <c r="AS1280" t="str">
        <f t="shared" si="646"/>
        <v>N</v>
      </c>
      <c r="AT1280" t="str">
        <f t="shared" si="646"/>
        <v>N</v>
      </c>
      <c r="AU1280" t="str">
        <f t="shared" si="646"/>
        <v>N</v>
      </c>
      <c r="AV1280" t="str">
        <f>""</f>
        <v/>
      </c>
      <c r="AW1280" t="str">
        <f>""</f>
        <v/>
      </c>
      <c r="AX1280" t="str">
        <f>""</f>
        <v/>
      </c>
      <c r="AY1280" t="str">
        <f>""</f>
        <v/>
      </c>
      <c r="AZ1280" t="str">
        <f>""</f>
        <v/>
      </c>
      <c r="BA1280" t="str">
        <f>""</f>
        <v/>
      </c>
      <c r="BB1280" t="str">
        <f>"01/07/2021 13:53:04"</f>
        <v>01/07/2021 13:53:04</v>
      </c>
      <c r="BC1280" t="str">
        <f>"12/07/2023 11:12:52"</f>
        <v>12/07/2023 11:12:52</v>
      </c>
      <c r="BD1280" t="str">
        <f>""</f>
        <v/>
      </c>
      <c r="BE1280" t="str">
        <f>""</f>
        <v/>
      </c>
      <c r="BF1280" t="str">
        <f t="shared" si="624"/>
        <v>A</v>
      </c>
      <c r="BG1280" t="str">
        <f>""</f>
        <v/>
      </c>
      <c r="BH1280" t="str">
        <f>"0,00"</f>
        <v>0,00</v>
      </c>
      <c r="BI1280" t="str">
        <f>"MENSAL"</f>
        <v>MENSAL</v>
      </c>
      <c r="BJ1280" t="str">
        <f t="shared" si="625"/>
        <v>1</v>
      </c>
      <c r="BK1280" t="str">
        <f t="shared" si="626"/>
        <v>Farmacia</v>
      </c>
      <c r="BL1280" t="str">
        <f>""</f>
        <v/>
      </c>
      <c r="BM1280" t="str">
        <f>"NÃO É VARILUX ESPECIALISTA"</f>
        <v>NÃO É VARILUX ESPECIALISTA</v>
      </c>
      <c r="BN1280" t="str">
        <f>"EL360"</f>
        <v>EL360</v>
      </c>
      <c r="BO1280" t="str">
        <f>"OUTROS"</f>
        <v>OUTROS</v>
      </c>
      <c r="BP1280" t="str">
        <f>""</f>
        <v/>
      </c>
      <c r="BQ1280" t="str">
        <f>""</f>
        <v/>
      </c>
      <c r="BR1280" t="str">
        <f>"01/07/2021"</f>
        <v>01/07/2021</v>
      </c>
      <c r="BS1280" t="str">
        <f>"12/07/2023"</f>
        <v>12/07/2023</v>
      </c>
      <c r="BT1280" t="str">
        <f>""</f>
        <v/>
      </c>
      <c r="BU1280" t="str">
        <f>""</f>
        <v/>
      </c>
      <c r="BV1280" t="str">
        <f>""</f>
        <v/>
      </c>
      <c r="BW1280" t="str">
        <f>"2"</f>
        <v>2</v>
      </c>
    </row>
    <row r="1281" spans="1:75" x14ac:dyDescent="0.35">
      <c r="A1281">
        <v>157802</v>
      </c>
      <c r="B1281" t="str">
        <f t="shared" si="620"/>
        <v>A</v>
      </c>
      <c r="C1281" t="str">
        <f t="shared" si="621"/>
        <v>80</v>
      </c>
      <c r="D1281" t="str">
        <f t="shared" si="637"/>
        <v>11121004</v>
      </c>
      <c r="E1281" t="str">
        <f t="shared" si="638"/>
        <v>121004</v>
      </c>
      <c r="F1281" t="str">
        <f t="shared" si="639"/>
        <v>FABIANA GODOY</v>
      </c>
      <c r="G1281" t="str">
        <f>"12904971000226"</f>
        <v>12904971000226</v>
      </c>
      <c r="H1281" t="str">
        <f t="shared" si="641"/>
        <v>0</v>
      </c>
      <c r="I1281" t="str">
        <f t="shared" si="622"/>
        <v>CONTA OPTICA</v>
      </c>
      <c r="J1281" t="str">
        <f>"AMETISTA JOALHERIA E OTICA EIRELI EPP"</f>
        <v>AMETISTA JOALHERIA E OTICA EIRELI EPP</v>
      </c>
      <c r="K1281" t="str">
        <f>"QUEVEDO  (1831)"</f>
        <v>QUEVEDO  (1831)</v>
      </c>
      <c r="L1281" t="str">
        <f>""</f>
        <v/>
      </c>
      <c r="M1281" t="str">
        <f>""</f>
        <v/>
      </c>
      <c r="N1281" t="str">
        <f>"EXPEDIENTE@QUEVEDO.COM.BR"</f>
        <v>EXPEDIENTE@QUEVEDO.COM.BR</v>
      </c>
      <c r="O1281" t="str">
        <f>""</f>
        <v/>
      </c>
      <c r="P1281" t="str">
        <f>"RUA SAMUEL HEUSI"</f>
        <v>RUA SAMUEL HEUSI</v>
      </c>
      <c r="Q1281" t="str">
        <f>"234"</f>
        <v>234</v>
      </c>
      <c r="R1281" t="str">
        <f>"LJ S 48"</f>
        <v>LJ S 48</v>
      </c>
      <c r="S1281" t="str">
        <f>"1261"</f>
        <v>1261</v>
      </c>
      <c r="T1281" t="str">
        <f>"88301320"</f>
        <v>88301320</v>
      </c>
      <c r="U1281" t="str">
        <f>"CENTRO"</f>
        <v>CENTRO</v>
      </c>
      <c r="V1281" t="str">
        <f>"ITAJAI"</f>
        <v>ITAJAI</v>
      </c>
      <c r="W1281" t="str">
        <f t="shared" si="636"/>
        <v>SC</v>
      </c>
      <c r="X1281" t="str">
        <f>"48"</f>
        <v>48</v>
      </c>
      <c r="Y1281" t="str">
        <f>"32247135"</f>
        <v>32247135</v>
      </c>
      <c r="Z1281" t="str">
        <f>""</f>
        <v/>
      </c>
      <c r="AA1281" t="str">
        <f>""</f>
        <v/>
      </c>
      <c r="AB1281" t="str">
        <f>""</f>
        <v/>
      </c>
      <c r="AC1281" t="str">
        <f>""</f>
        <v/>
      </c>
      <c r="AD1281" t="str">
        <f>""</f>
        <v/>
      </c>
      <c r="AE1281" t="str">
        <f>""</f>
        <v/>
      </c>
      <c r="AF1281" t="str">
        <f>""</f>
        <v/>
      </c>
      <c r="AG1281" t="str">
        <f>""</f>
        <v/>
      </c>
      <c r="AH1281" t="str">
        <f>""</f>
        <v/>
      </c>
      <c r="AI1281" t="str">
        <f>""</f>
        <v/>
      </c>
      <c r="AJ1281" t="str">
        <f>""</f>
        <v/>
      </c>
      <c r="AK1281" t="str">
        <f>""</f>
        <v/>
      </c>
      <c r="AL1281" t="str">
        <f>""</f>
        <v/>
      </c>
      <c r="AM1281" t="str">
        <f>""</f>
        <v/>
      </c>
      <c r="AN1281" t="str">
        <f>""</f>
        <v/>
      </c>
      <c r="AO1281" t="str">
        <f>""</f>
        <v/>
      </c>
      <c r="AP1281" t="str">
        <f>""</f>
        <v/>
      </c>
      <c r="AQ1281" t="str">
        <f>""</f>
        <v/>
      </c>
      <c r="AR1281" t="str">
        <f>""</f>
        <v/>
      </c>
      <c r="AS1281" t="str">
        <f>""</f>
        <v/>
      </c>
      <c r="AT1281" t="str">
        <f>""</f>
        <v/>
      </c>
      <c r="AU1281" t="str">
        <f>""</f>
        <v/>
      </c>
      <c r="AV1281" t="str">
        <f>""</f>
        <v/>
      </c>
      <c r="AW1281" t="str">
        <f>""</f>
        <v/>
      </c>
      <c r="AX1281" t="str">
        <f>""</f>
        <v/>
      </c>
      <c r="AY1281" t="str">
        <f>""</f>
        <v/>
      </c>
      <c r="AZ1281" t="str">
        <f>""</f>
        <v/>
      </c>
      <c r="BA1281" t="str">
        <f>""</f>
        <v/>
      </c>
      <c r="BB1281" t="str">
        <f>"11/07/2023 02:26:32"</f>
        <v>11/07/2023 02:26:32</v>
      </c>
      <c r="BC1281" t="str">
        <f>""</f>
        <v/>
      </c>
      <c r="BD1281" t="str">
        <f>""</f>
        <v/>
      </c>
      <c r="BE1281" t="str">
        <f>""</f>
        <v/>
      </c>
      <c r="BF1281" t="str">
        <f t="shared" si="624"/>
        <v>A</v>
      </c>
      <c r="BG1281" t="str">
        <f>""</f>
        <v/>
      </c>
      <c r="BH1281" t="str">
        <f>""</f>
        <v/>
      </c>
      <c r="BI1281" t="str">
        <f>"EVENTUAL"</f>
        <v>EVENTUAL</v>
      </c>
      <c r="BJ1281" t="str">
        <f t="shared" si="625"/>
        <v>1</v>
      </c>
      <c r="BK1281" t="str">
        <f t="shared" si="626"/>
        <v>Farmacia</v>
      </c>
      <c r="BL1281" t="str">
        <f>""</f>
        <v/>
      </c>
      <c r="BM1281" t="str">
        <f>""</f>
        <v/>
      </c>
      <c r="BN1281" t="str">
        <f>""</f>
        <v/>
      </c>
      <c r="BO1281" t="str">
        <f>""</f>
        <v/>
      </c>
      <c r="BP1281" t="str">
        <f>""</f>
        <v/>
      </c>
      <c r="BQ1281" t="str">
        <f>""</f>
        <v/>
      </c>
      <c r="BR1281" t="str">
        <f>"11/07/2023"</f>
        <v>11/07/2023</v>
      </c>
      <c r="BS1281" t="str">
        <f>""</f>
        <v/>
      </c>
      <c r="BT1281" t="str">
        <f>""</f>
        <v/>
      </c>
      <c r="BU1281" t="str">
        <f>""</f>
        <v/>
      </c>
      <c r="BV1281" t="str">
        <f>""</f>
        <v/>
      </c>
      <c r="BW1281" t="str">
        <f>"Não visitado"</f>
        <v>Não visitado</v>
      </c>
    </row>
    <row r="1282" spans="1:75" x14ac:dyDescent="0.35">
      <c r="A1282">
        <v>127558</v>
      </c>
      <c r="B1282" t="str">
        <f t="shared" ref="B1282:B1345" si="647">"A"</f>
        <v>A</v>
      </c>
      <c r="C1282" t="str">
        <f t="shared" ref="C1282:C1345" si="648">"80"</f>
        <v>80</v>
      </c>
      <c r="D1282" t="str">
        <f t="shared" si="637"/>
        <v>11121004</v>
      </c>
      <c r="E1282" t="str">
        <f t="shared" si="638"/>
        <v>121004</v>
      </c>
      <c r="F1282" t="str">
        <f t="shared" si="639"/>
        <v>FABIANA GODOY</v>
      </c>
      <c r="G1282" t="str">
        <f>"04986480000162"</f>
        <v>04986480000162</v>
      </c>
      <c r="H1282" t="str">
        <f t="shared" si="641"/>
        <v>0</v>
      </c>
      <c r="I1282" t="str">
        <f t="shared" ref="I1282:I1345" si="649">"CONTA OPTICA"</f>
        <v>CONTA OPTICA</v>
      </c>
      <c r="J1282" t="str">
        <f>"ANA JULIA PRESENTES LTDA ME"</f>
        <v>ANA JULIA PRESENTES LTDA ME</v>
      </c>
      <c r="K1282" t="str">
        <f>"ANA JULIA (1686)"</f>
        <v>ANA JULIA (1686)</v>
      </c>
      <c r="L1282" t="str">
        <f>""</f>
        <v/>
      </c>
      <c r="M1282" t="str">
        <f>""</f>
        <v/>
      </c>
      <c r="N1282" t="str">
        <f>"cleidevicentemelo@hotmail.com"</f>
        <v>cleidevicentemelo@hotmail.com</v>
      </c>
      <c r="O1282" t="str">
        <f>""</f>
        <v/>
      </c>
      <c r="P1282" t="str">
        <f>"AVENIDA 5  AVENIDA"</f>
        <v>AVENIDA 5  AVENIDA</v>
      </c>
      <c r="Q1282" t="str">
        <f>"505"</f>
        <v>505</v>
      </c>
      <c r="R1282" t="str">
        <f>"SL 02"</f>
        <v>SL 02</v>
      </c>
      <c r="S1282" t="str">
        <f>"1262"</f>
        <v>1262</v>
      </c>
      <c r="T1282" t="str">
        <f>"88337010"</f>
        <v>88337010</v>
      </c>
      <c r="U1282" t="str">
        <f>"VILA REAL"</f>
        <v>VILA REAL</v>
      </c>
      <c r="V1282" t="str">
        <f>"BALNEÁRIO CAMBORIÚ"</f>
        <v>BALNEÁRIO CAMBORIÚ</v>
      </c>
      <c r="W1282" t="str">
        <f t="shared" si="636"/>
        <v>SC</v>
      </c>
      <c r="X1282" t="str">
        <f>"47"</f>
        <v>47</v>
      </c>
      <c r="Y1282" t="str">
        <f>"32641212"</f>
        <v>32641212</v>
      </c>
      <c r="Z1282" t="str">
        <f>""</f>
        <v/>
      </c>
      <c r="AA1282" t="str">
        <f>""</f>
        <v/>
      </c>
      <c r="AB1282" t="str">
        <f>""</f>
        <v/>
      </c>
      <c r="AC1282" t="str">
        <f>""</f>
        <v/>
      </c>
      <c r="AD1282" t="str">
        <f>""</f>
        <v/>
      </c>
      <c r="AE1282" t="str">
        <f>""</f>
        <v/>
      </c>
      <c r="AF1282" t="str">
        <f>""</f>
        <v/>
      </c>
      <c r="AG1282" t="str">
        <f>""</f>
        <v/>
      </c>
      <c r="AH1282" t="str">
        <f>""</f>
        <v/>
      </c>
      <c r="AI1282" t="str">
        <f>""</f>
        <v/>
      </c>
      <c r="AJ1282" t="str">
        <f>"0"</f>
        <v>0</v>
      </c>
      <c r="AK1282" t="str">
        <f>"0"</f>
        <v>0</v>
      </c>
      <c r="AL1282" t="str">
        <f>"0"</f>
        <v>0</v>
      </c>
      <c r="AM1282" t="str">
        <f>""</f>
        <v/>
      </c>
      <c r="AN1282" t="str">
        <f>""</f>
        <v/>
      </c>
      <c r="AO1282" t="str">
        <f>""</f>
        <v/>
      </c>
      <c r="AP1282" t="str">
        <f>""</f>
        <v/>
      </c>
      <c r="AQ1282" t="str">
        <f>""</f>
        <v/>
      </c>
      <c r="AR1282" t="str">
        <f>""</f>
        <v/>
      </c>
      <c r="AS1282" t="str">
        <f>""</f>
        <v/>
      </c>
      <c r="AT1282" t="str">
        <f>""</f>
        <v/>
      </c>
      <c r="AU1282" t="str">
        <f>""</f>
        <v/>
      </c>
      <c r="AV1282" t="str">
        <f>""</f>
        <v/>
      </c>
      <c r="AW1282" t="str">
        <f>""</f>
        <v/>
      </c>
      <c r="AX1282" t="str">
        <f>""</f>
        <v/>
      </c>
      <c r="AY1282" t="str">
        <f>""</f>
        <v/>
      </c>
      <c r="AZ1282" t="str">
        <f>""</f>
        <v/>
      </c>
      <c r="BA1282" t="str">
        <f>""</f>
        <v/>
      </c>
      <c r="BB1282" t="str">
        <f>"07/10/2020 09:08:38"</f>
        <v>07/10/2020 09:08:38</v>
      </c>
      <c r="BC1282" t="str">
        <f>""</f>
        <v/>
      </c>
      <c r="BD1282" t="str">
        <f>""</f>
        <v/>
      </c>
      <c r="BE1282" t="str">
        <f>""</f>
        <v/>
      </c>
      <c r="BF1282" t="str">
        <f t="shared" ref="BF1282:BF1345" si="650">"A"</f>
        <v>A</v>
      </c>
      <c r="BG1282" t="str">
        <f>"0,00"</f>
        <v>0,00</v>
      </c>
      <c r="BH1282" t="str">
        <f>"0,00"</f>
        <v>0,00</v>
      </c>
      <c r="BI1282" t="str">
        <f>"EVENTUAL"</f>
        <v>EVENTUAL</v>
      </c>
      <c r="BJ1282" t="str">
        <f t="shared" ref="BJ1282:BJ1345" si="651">"1"</f>
        <v>1</v>
      </c>
      <c r="BK1282" t="str">
        <f t="shared" ref="BK1282:BK1345" si="652">"Farmacia"</f>
        <v>Farmacia</v>
      </c>
      <c r="BL1282" t="str">
        <f>""</f>
        <v/>
      </c>
      <c r="BM1282" t="str">
        <f>"NÃO É VARILUX ESPECIALISTA"</f>
        <v>NÃO É VARILUX ESPECIALISTA</v>
      </c>
      <c r="BN1282" t="str">
        <f>"NA"</f>
        <v>NA</v>
      </c>
      <c r="BO1282" t="str">
        <f>"FOCO VARILUX"</f>
        <v>FOCO VARILUX</v>
      </c>
      <c r="BP1282" t="str">
        <f>""</f>
        <v/>
      </c>
      <c r="BQ1282" t="str">
        <f>""</f>
        <v/>
      </c>
      <c r="BR1282" t="str">
        <f>"07/10/2020"</f>
        <v>07/10/2020</v>
      </c>
      <c r="BS1282" t="str">
        <f>""</f>
        <v/>
      </c>
      <c r="BT1282" t="str">
        <f>""</f>
        <v/>
      </c>
      <c r="BU1282" t="str">
        <f>""</f>
        <v/>
      </c>
      <c r="BV1282" t="str">
        <f>"9"</f>
        <v>9</v>
      </c>
      <c r="BW1282" t="str">
        <f>"49"</f>
        <v>49</v>
      </c>
    </row>
    <row r="1283" spans="1:75" x14ac:dyDescent="0.35">
      <c r="A1283">
        <v>157796</v>
      </c>
      <c r="B1283" t="str">
        <f t="shared" si="647"/>
        <v>A</v>
      </c>
      <c r="C1283" t="str">
        <f t="shared" si="648"/>
        <v>80</v>
      </c>
      <c r="D1283" t="str">
        <f t="shared" si="637"/>
        <v>11121004</v>
      </c>
      <c r="E1283" t="str">
        <f t="shared" si="638"/>
        <v>121004</v>
      </c>
      <c r="F1283" t="str">
        <f t="shared" si="639"/>
        <v>FABIANA GODOY</v>
      </c>
      <c r="G1283" t="str">
        <f>"17453789000139"</f>
        <v>17453789000139</v>
      </c>
      <c r="H1283" t="str">
        <f t="shared" si="641"/>
        <v>0</v>
      </c>
      <c r="I1283" t="str">
        <f t="shared" si="649"/>
        <v>CONTA OPTICA</v>
      </c>
      <c r="J1283" t="str">
        <f>"ANA PAULA NUNES PEREIRA DA SILVA 13121037870"</f>
        <v>ANA PAULA NUNES PEREIRA DA SILVA 13121037870</v>
      </c>
      <c r="K1283" t="str">
        <f>"OTICA CORDEIROS (2100)"</f>
        <v>OTICA CORDEIROS (2100)</v>
      </c>
      <c r="L1283" t="str">
        <f>""</f>
        <v/>
      </c>
      <c r="M1283" t="str">
        <f>""</f>
        <v/>
      </c>
      <c r="N1283" t="str">
        <f>""</f>
        <v/>
      </c>
      <c r="O1283" t="str">
        <f>""</f>
        <v/>
      </c>
      <c r="P1283" t="str">
        <f>"RUA DOUTOR REINALDO SCHMITHAUSEN"</f>
        <v>RUA DOUTOR REINALDO SCHMITHAUSEN</v>
      </c>
      <c r="Q1283" t="str">
        <f>"1450"</f>
        <v>1450</v>
      </c>
      <c r="R1283" t="str">
        <f>""</f>
        <v/>
      </c>
      <c r="S1283" t="str">
        <f>"1261"</f>
        <v>1261</v>
      </c>
      <c r="T1283" t="str">
        <f>"88310001"</f>
        <v>88310001</v>
      </c>
      <c r="U1283" t="str">
        <f>"CORDEIROS"</f>
        <v>CORDEIROS</v>
      </c>
      <c r="V1283" t="str">
        <f>"ITAJAI"</f>
        <v>ITAJAI</v>
      </c>
      <c r="W1283" t="str">
        <f t="shared" si="636"/>
        <v>SC</v>
      </c>
      <c r="X1283" t="str">
        <f>"47"</f>
        <v>47</v>
      </c>
      <c r="Y1283" t="str">
        <f>"32460346"</f>
        <v>32460346</v>
      </c>
      <c r="Z1283" t="str">
        <f>""</f>
        <v/>
      </c>
      <c r="AA1283" t="str">
        <f>""</f>
        <v/>
      </c>
      <c r="AB1283" t="str">
        <f>""</f>
        <v/>
      </c>
      <c r="AC1283" t="str">
        <f>""</f>
        <v/>
      </c>
      <c r="AD1283" t="str">
        <f>""</f>
        <v/>
      </c>
      <c r="AE1283" t="str">
        <f>""</f>
        <v/>
      </c>
      <c r="AF1283" t="str">
        <f>""</f>
        <v/>
      </c>
      <c r="AG1283" t="str">
        <f>""</f>
        <v/>
      </c>
      <c r="AH1283" t="str">
        <f>""</f>
        <v/>
      </c>
      <c r="AI1283" t="str">
        <f>""</f>
        <v/>
      </c>
      <c r="AJ1283" t="str">
        <f>""</f>
        <v/>
      </c>
      <c r="AK1283" t="str">
        <f>""</f>
        <v/>
      </c>
      <c r="AL1283" t="str">
        <f>""</f>
        <v/>
      </c>
      <c r="AM1283" t="str">
        <f>""</f>
        <v/>
      </c>
      <c r="AN1283" t="str">
        <f>""</f>
        <v/>
      </c>
      <c r="AO1283" t="str">
        <f>""</f>
        <v/>
      </c>
      <c r="AP1283" t="str">
        <f>""</f>
        <v/>
      </c>
      <c r="AQ1283" t="str">
        <f>""</f>
        <v/>
      </c>
      <c r="AR1283" t="str">
        <f>""</f>
        <v/>
      </c>
      <c r="AS1283" t="str">
        <f>""</f>
        <v/>
      </c>
      <c r="AT1283" t="str">
        <f>""</f>
        <v/>
      </c>
      <c r="AU1283" t="str">
        <f>""</f>
        <v/>
      </c>
      <c r="AV1283" t="str">
        <f>""</f>
        <v/>
      </c>
      <c r="AW1283" t="str">
        <f>""</f>
        <v/>
      </c>
      <c r="AX1283" t="str">
        <f>""</f>
        <v/>
      </c>
      <c r="AY1283" t="str">
        <f>""</f>
        <v/>
      </c>
      <c r="AZ1283" t="str">
        <f>""</f>
        <v/>
      </c>
      <c r="BA1283" t="str">
        <f>""</f>
        <v/>
      </c>
      <c r="BB1283" t="str">
        <f>"11/07/2023 02:26:32"</f>
        <v>11/07/2023 02:26:32</v>
      </c>
      <c r="BC1283" t="str">
        <f>""</f>
        <v/>
      </c>
      <c r="BD1283" t="str">
        <f>""</f>
        <v/>
      </c>
      <c r="BE1283" t="str">
        <f>""</f>
        <v/>
      </c>
      <c r="BF1283" t="str">
        <f t="shared" si="650"/>
        <v>A</v>
      </c>
      <c r="BG1283" t="str">
        <f>""</f>
        <v/>
      </c>
      <c r="BH1283" t="str">
        <f>""</f>
        <v/>
      </c>
      <c r="BI1283" t="str">
        <f>"EVENTUAL"</f>
        <v>EVENTUAL</v>
      </c>
      <c r="BJ1283" t="str">
        <f t="shared" si="651"/>
        <v>1</v>
      </c>
      <c r="BK1283" t="str">
        <f t="shared" si="652"/>
        <v>Farmacia</v>
      </c>
      <c r="BL1283" t="str">
        <f>""</f>
        <v/>
      </c>
      <c r="BM1283" t="str">
        <f>""</f>
        <v/>
      </c>
      <c r="BN1283" t="str">
        <f>""</f>
        <v/>
      </c>
      <c r="BO1283" t="str">
        <f>""</f>
        <v/>
      </c>
      <c r="BP1283" t="str">
        <f>""</f>
        <v/>
      </c>
      <c r="BQ1283" t="str">
        <f>""</f>
        <v/>
      </c>
      <c r="BR1283" t="str">
        <f>"11/07/2023"</f>
        <v>11/07/2023</v>
      </c>
      <c r="BS1283" t="str">
        <f>""</f>
        <v/>
      </c>
      <c r="BT1283" t="str">
        <f>""</f>
        <v/>
      </c>
      <c r="BU1283" t="str">
        <f>""</f>
        <v/>
      </c>
      <c r="BV1283" t="str">
        <f>""</f>
        <v/>
      </c>
      <c r="BW1283" t="str">
        <f>"Não visitado"</f>
        <v>Não visitado</v>
      </c>
    </row>
    <row r="1284" spans="1:75" x14ac:dyDescent="0.35">
      <c r="A1284">
        <v>137528</v>
      </c>
      <c r="B1284" t="str">
        <f t="shared" si="647"/>
        <v>A</v>
      </c>
      <c r="C1284" t="str">
        <f t="shared" si="648"/>
        <v>80</v>
      </c>
      <c r="D1284" t="str">
        <f t="shared" si="637"/>
        <v>11121004</v>
      </c>
      <c r="E1284" t="str">
        <f t="shared" si="638"/>
        <v>121004</v>
      </c>
      <c r="F1284" t="str">
        <f t="shared" si="639"/>
        <v>FABIANA GODOY</v>
      </c>
      <c r="G1284" t="str">
        <f>"19501778000102"</f>
        <v>19501778000102</v>
      </c>
      <c r="H1284" t="str">
        <f t="shared" si="641"/>
        <v>0</v>
      </c>
      <c r="I1284" t="str">
        <f t="shared" si="649"/>
        <v>CONTA OPTICA</v>
      </c>
      <c r="J1284" t="str">
        <f>"ANA TEREZA ABDON WAGNER ME"</f>
        <v>ANA TEREZA ABDON WAGNER ME</v>
      </c>
      <c r="K1284" t="str">
        <f>"OTICAS ANELYSE (2080)"</f>
        <v>OTICAS ANELYSE (2080)</v>
      </c>
      <c r="L1284" t="str">
        <f>""</f>
        <v/>
      </c>
      <c r="M1284" t="str">
        <f>""</f>
        <v/>
      </c>
      <c r="N1284" t="str">
        <f>"oticasanelyse@gmail.com"</f>
        <v>oticasanelyse@gmail.com</v>
      </c>
      <c r="O1284" t="str">
        <f>""</f>
        <v/>
      </c>
      <c r="P1284" t="str">
        <f>"AVENIDA BAYER FILHO"</f>
        <v>AVENIDA BAYER FILHO</v>
      </c>
      <c r="Q1284" t="str">
        <f>"1458"</f>
        <v>1458</v>
      </c>
      <c r="R1284" t="str">
        <f>"SALA 2"</f>
        <v>SALA 2</v>
      </c>
      <c r="S1284" t="str">
        <f>"1260"</f>
        <v>1260</v>
      </c>
      <c r="T1284" t="str">
        <f>"88200000"</f>
        <v>88200000</v>
      </c>
      <c r="U1284" t="str">
        <f>"CENTRO"</f>
        <v>CENTRO</v>
      </c>
      <c r="V1284" t="str">
        <f>"TIJUCAS"</f>
        <v>TIJUCAS</v>
      </c>
      <c r="W1284" t="str">
        <f t="shared" si="636"/>
        <v>SC</v>
      </c>
      <c r="X1284" t="str">
        <f>"48"</f>
        <v>48</v>
      </c>
      <c r="Y1284" t="str">
        <f>"32634280"</f>
        <v>32634280</v>
      </c>
      <c r="Z1284" t="str">
        <f>""</f>
        <v/>
      </c>
      <c r="AA1284" t="str">
        <f>""</f>
        <v/>
      </c>
      <c r="AB1284" t="str">
        <f>""</f>
        <v/>
      </c>
      <c r="AC1284" t="str">
        <f>""</f>
        <v/>
      </c>
      <c r="AD1284" t="str">
        <f>""</f>
        <v/>
      </c>
      <c r="AE1284" t="str">
        <f>""</f>
        <v/>
      </c>
      <c r="AF1284" t="str">
        <f>""</f>
        <v/>
      </c>
      <c r="AG1284" t="str">
        <f>"S"</f>
        <v>S</v>
      </c>
      <c r="AH1284" t="str">
        <f>""</f>
        <v/>
      </c>
      <c r="AI1284" t="str">
        <f>""</f>
        <v/>
      </c>
      <c r="AJ1284" t="str">
        <f>""</f>
        <v/>
      </c>
      <c r="AK1284" t="str">
        <f>""</f>
        <v/>
      </c>
      <c r="AL1284" t="str">
        <f>""</f>
        <v/>
      </c>
      <c r="AM1284" t="str">
        <f>""</f>
        <v/>
      </c>
      <c r="AN1284" t="str">
        <f>""</f>
        <v/>
      </c>
      <c r="AO1284" t="str">
        <f>""</f>
        <v/>
      </c>
      <c r="AP1284" t="str">
        <f>""</f>
        <v/>
      </c>
      <c r="AQ1284" t="str">
        <f>"N"</f>
        <v>N</v>
      </c>
      <c r="AR1284" t="str">
        <f>"N"</f>
        <v>N</v>
      </c>
      <c r="AS1284" t="str">
        <f>"N"</f>
        <v>N</v>
      </c>
      <c r="AT1284" t="str">
        <f>"N"</f>
        <v>N</v>
      </c>
      <c r="AU1284" t="str">
        <f>"N"</f>
        <v>N</v>
      </c>
      <c r="AV1284" t="str">
        <f>""</f>
        <v/>
      </c>
      <c r="AW1284" t="str">
        <f>""</f>
        <v/>
      </c>
      <c r="AX1284" t="str">
        <f>""</f>
        <v/>
      </c>
      <c r="AY1284" t="str">
        <f>""</f>
        <v/>
      </c>
      <c r="AZ1284" t="str">
        <f>""</f>
        <v/>
      </c>
      <c r="BA1284" t="str">
        <f>""</f>
        <v/>
      </c>
      <c r="BB1284" t="str">
        <f>"01/07/2021 13:53:04"</f>
        <v>01/07/2021 13:53:04</v>
      </c>
      <c r="BC1284" t="str">
        <f>"18/07/2023 16:15:46"</f>
        <v>18/07/2023 16:15:46</v>
      </c>
      <c r="BD1284" t="str">
        <f>""</f>
        <v/>
      </c>
      <c r="BE1284" t="str">
        <f>""</f>
        <v/>
      </c>
      <c r="BF1284" t="str">
        <f t="shared" si="650"/>
        <v>A</v>
      </c>
      <c r="BG1284" t="str">
        <f>""</f>
        <v/>
      </c>
      <c r="BH1284" t="str">
        <f>"0,00"</f>
        <v>0,00</v>
      </c>
      <c r="BI1284" t="str">
        <f>"MENSAL"</f>
        <v>MENSAL</v>
      </c>
      <c r="BJ1284" t="str">
        <f t="shared" si="651"/>
        <v>1</v>
      </c>
      <c r="BK1284" t="str">
        <f t="shared" si="652"/>
        <v>Farmacia</v>
      </c>
      <c r="BL1284" t="str">
        <f>""</f>
        <v/>
      </c>
      <c r="BM1284" t="str">
        <f>"NÃO É VARILUX ESPECIALISTA"</f>
        <v>NÃO É VARILUX ESPECIALISTA</v>
      </c>
      <c r="BN1284" t="str">
        <f>"NA"</f>
        <v>NA</v>
      </c>
      <c r="BO1284" t="str">
        <f>"FOCO VARILUX"</f>
        <v>FOCO VARILUX</v>
      </c>
      <c r="BP1284" t="str">
        <f>""</f>
        <v/>
      </c>
      <c r="BQ1284" t="str">
        <f>""</f>
        <v/>
      </c>
      <c r="BR1284" t="str">
        <f>"01/07/2021"</f>
        <v>01/07/2021</v>
      </c>
      <c r="BS1284" t="str">
        <f>"18/07/2023"</f>
        <v>18/07/2023</v>
      </c>
      <c r="BT1284" t="str">
        <f>""</f>
        <v/>
      </c>
      <c r="BU1284" t="str">
        <f>""</f>
        <v/>
      </c>
      <c r="BV1284" t="str">
        <f>""</f>
        <v/>
      </c>
      <c r="BW1284" t="str">
        <f>"2"</f>
        <v>2</v>
      </c>
    </row>
    <row r="1285" spans="1:75" x14ac:dyDescent="0.35">
      <c r="A1285">
        <v>157127</v>
      </c>
      <c r="B1285" t="str">
        <f t="shared" si="647"/>
        <v>A</v>
      </c>
      <c r="C1285" t="str">
        <f t="shared" si="648"/>
        <v>80</v>
      </c>
      <c r="D1285" t="str">
        <f t="shared" si="637"/>
        <v>11121004</v>
      </c>
      <c r="E1285" t="str">
        <f t="shared" si="638"/>
        <v>121004</v>
      </c>
      <c r="F1285" t="str">
        <f t="shared" si="639"/>
        <v>FABIANA GODOY</v>
      </c>
      <c r="G1285" t="str">
        <f>"13306061000123"</f>
        <v>13306061000123</v>
      </c>
      <c r="H1285" t="str">
        <f t="shared" si="641"/>
        <v>0</v>
      </c>
      <c r="I1285" t="str">
        <f t="shared" si="649"/>
        <v>CONTA OPTICA</v>
      </c>
      <c r="J1285" t="str">
        <f>"ANDRE LUIS DA SILVA QUANDRADO ME"</f>
        <v>ANDRE LUIS DA SILVA QUANDRADO ME</v>
      </c>
      <c r="K1285" t="str">
        <f>"OPTICA OFTALMICA (1911)"</f>
        <v>OPTICA OFTALMICA (1911)</v>
      </c>
      <c r="L1285" t="str">
        <f>""</f>
        <v/>
      </c>
      <c r="M1285" t="str">
        <f>""</f>
        <v/>
      </c>
      <c r="N1285" t="str">
        <f>"ANDRE240872@GMAIL.COM"</f>
        <v>ANDRE240872@GMAIL.COM</v>
      </c>
      <c r="O1285" t="str">
        <f>""</f>
        <v/>
      </c>
      <c r="P1285" t="str">
        <f>"BAYER FILHO"</f>
        <v>BAYER FILHO</v>
      </c>
      <c r="Q1285" t="str">
        <f>"1111"</f>
        <v>1111</v>
      </c>
      <c r="R1285" t="str">
        <f>"SALA 01"</f>
        <v>SALA 01</v>
      </c>
      <c r="S1285" t="str">
        <f>"1260"</f>
        <v>1260</v>
      </c>
      <c r="T1285" t="str">
        <f>"88200000"</f>
        <v>88200000</v>
      </c>
      <c r="U1285" t="str">
        <f>"CENTRO"</f>
        <v>CENTRO</v>
      </c>
      <c r="V1285" t="str">
        <f>"TIJUCAS"</f>
        <v>TIJUCAS</v>
      </c>
      <c r="W1285" t="str">
        <f t="shared" si="636"/>
        <v>SC</v>
      </c>
      <c r="X1285" t="str">
        <f>"48"</f>
        <v>48</v>
      </c>
      <c r="Y1285" t="str">
        <f>"32636059"</f>
        <v>32636059</v>
      </c>
      <c r="Z1285" t="str">
        <f>""</f>
        <v/>
      </c>
      <c r="AA1285" t="str">
        <f>""</f>
        <v/>
      </c>
      <c r="AB1285" t="str">
        <f>""</f>
        <v/>
      </c>
      <c r="AC1285" t="str">
        <f>""</f>
        <v/>
      </c>
      <c r="AD1285" t="str">
        <f>""</f>
        <v/>
      </c>
      <c r="AE1285" t="str">
        <f>""</f>
        <v/>
      </c>
      <c r="AF1285" t="str">
        <f>""</f>
        <v/>
      </c>
      <c r="AG1285" t="str">
        <f>""</f>
        <v/>
      </c>
      <c r="AH1285" t="str">
        <f>""</f>
        <v/>
      </c>
      <c r="AI1285" t="str">
        <f>""</f>
        <v/>
      </c>
      <c r="AJ1285" t="str">
        <f>""</f>
        <v/>
      </c>
      <c r="AK1285" t="str">
        <f>""</f>
        <v/>
      </c>
      <c r="AL1285" t="str">
        <f>""</f>
        <v/>
      </c>
      <c r="AM1285" t="str">
        <f>""</f>
        <v/>
      </c>
      <c r="AN1285" t="str">
        <f>""</f>
        <v/>
      </c>
      <c r="AO1285" t="str">
        <f>""</f>
        <v/>
      </c>
      <c r="AP1285" t="str">
        <f>""</f>
        <v/>
      </c>
      <c r="AQ1285" t="str">
        <f>""</f>
        <v/>
      </c>
      <c r="AR1285" t="str">
        <f>""</f>
        <v/>
      </c>
      <c r="AS1285" t="str">
        <f>""</f>
        <v/>
      </c>
      <c r="AT1285" t="str">
        <f>""</f>
        <v/>
      </c>
      <c r="AU1285" t="str">
        <f>""</f>
        <v/>
      </c>
      <c r="AV1285" t="str">
        <f>""</f>
        <v/>
      </c>
      <c r="AW1285" t="str">
        <f>""</f>
        <v/>
      </c>
      <c r="AX1285" t="str">
        <f>""</f>
        <v/>
      </c>
      <c r="AY1285" t="str">
        <f>""</f>
        <v/>
      </c>
      <c r="AZ1285" t="str">
        <f>""</f>
        <v/>
      </c>
      <c r="BA1285" t="str">
        <f>""</f>
        <v/>
      </c>
      <c r="BB1285" t="str">
        <f>"06/07/2023 12:07:48"</f>
        <v>06/07/2023 12:07:48</v>
      </c>
      <c r="BC1285" t="str">
        <f>""</f>
        <v/>
      </c>
      <c r="BD1285" t="str">
        <f>""</f>
        <v/>
      </c>
      <c r="BE1285" t="str">
        <f>""</f>
        <v/>
      </c>
      <c r="BF1285" t="str">
        <f t="shared" si="650"/>
        <v>A</v>
      </c>
      <c r="BG1285" t="str">
        <f>""</f>
        <v/>
      </c>
      <c r="BH1285" t="str">
        <f>""</f>
        <v/>
      </c>
      <c r="BI1285" t="str">
        <f>"EVENTUAL"</f>
        <v>EVENTUAL</v>
      </c>
      <c r="BJ1285" t="str">
        <f t="shared" si="651"/>
        <v>1</v>
      </c>
      <c r="BK1285" t="str">
        <f t="shared" si="652"/>
        <v>Farmacia</v>
      </c>
      <c r="BL1285" t="str">
        <f>""</f>
        <v/>
      </c>
      <c r="BM1285" t="str">
        <f>""</f>
        <v/>
      </c>
      <c r="BN1285" t="str">
        <f>""</f>
        <v/>
      </c>
      <c r="BO1285" t="str">
        <f>""</f>
        <v/>
      </c>
      <c r="BP1285" t="str">
        <f>""</f>
        <v/>
      </c>
      <c r="BQ1285" t="str">
        <f>""</f>
        <v/>
      </c>
      <c r="BR1285" t="str">
        <f>"06/07/2023"</f>
        <v>06/07/2023</v>
      </c>
      <c r="BS1285" t="str">
        <f>""</f>
        <v/>
      </c>
      <c r="BT1285" t="str">
        <f>""</f>
        <v/>
      </c>
      <c r="BU1285" t="str">
        <f>""</f>
        <v/>
      </c>
      <c r="BV1285" t="str">
        <f>""</f>
        <v/>
      </c>
      <c r="BW1285" t="str">
        <f>"50"</f>
        <v>50</v>
      </c>
    </row>
    <row r="1286" spans="1:75" x14ac:dyDescent="0.35">
      <c r="A1286">
        <v>137530</v>
      </c>
      <c r="B1286" t="str">
        <f t="shared" si="647"/>
        <v>A</v>
      </c>
      <c r="C1286" t="str">
        <f t="shared" si="648"/>
        <v>80</v>
      </c>
      <c r="D1286" t="str">
        <f t="shared" si="637"/>
        <v>11121004</v>
      </c>
      <c r="E1286" t="str">
        <f t="shared" si="638"/>
        <v>121004</v>
      </c>
      <c r="F1286" t="str">
        <f t="shared" si="639"/>
        <v>FABIANA GODOY</v>
      </c>
      <c r="G1286" t="str">
        <f>"29945040000198"</f>
        <v>29945040000198</v>
      </c>
      <c r="H1286" t="str">
        <f t="shared" si="641"/>
        <v>0</v>
      </c>
      <c r="I1286" t="str">
        <f t="shared" si="649"/>
        <v>CONTA OPTICA</v>
      </c>
      <c r="J1286" t="str">
        <f>"ANDRESSA DE ANDRADE"</f>
        <v>ANDRESSA DE ANDRADE</v>
      </c>
      <c r="K1286" t="str">
        <f>"OTICA MULLER (3896)"</f>
        <v>OTICA MULLER (3896)</v>
      </c>
      <c r="L1286" t="str">
        <f>""</f>
        <v/>
      </c>
      <c r="M1286" t="str">
        <f>""</f>
        <v/>
      </c>
      <c r="N1286" t="str">
        <f>"andressa.gatinha_@hotmail.com"</f>
        <v>andressa.gatinha_@hotmail.com</v>
      </c>
      <c r="O1286" t="str">
        <f>""</f>
        <v/>
      </c>
      <c r="P1286" t="str">
        <f>"RUA BRASIL"</f>
        <v>RUA BRASIL</v>
      </c>
      <c r="Q1286" t="str">
        <f>"1480"</f>
        <v>1480</v>
      </c>
      <c r="R1286" t="str">
        <f>"SL17"</f>
        <v>SL17</v>
      </c>
      <c r="S1286" t="str">
        <f>"1262"</f>
        <v>1262</v>
      </c>
      <c r="T1286" t="str">
        <f>"88330048"</f>
        <v>88330048</v>
      </c>
      <c r="U1286" t="str">
        <f>"CENTRO"</f>
        <v>CENTRO</v>
      </c>
      <c r="V1286" t="str">
        <f>"BALNEÁRIO CAMBORIÚ"</f>
        <v>BALNEÁRIO CAMBORIÚ</v>
      </c>
      <c r="W1286" t="str">
        <f t="shared" si="636"/>
        <v>SC</v>
      </c>
      <c r="X1286" t="str">
        <f t="shared" ref="X1286:X1292" si="653">"47"</f>
        <v>47</v>
      </c>
      <c r="Y1286" t="str">
        <f>"33674576"</f>
        <v>33674576</v>
      </c>
      <c r="Z1286" t="str">
        <f>""</f>
        <v/>
      </c>
      <c r="AA1286" t="str">
        <f>""</f>
        <v/>
      </c>
      <c r="AB1286" t="str">
        <f>""</f>
        <v/>
      </c>
      <c r="AC1286" t="str">
        <f>""</f>
        <v/>
      </c>
      <c r="AD1286" t="str">
        <f>""</f>
        <v/>
      </c>
      <c r="AE1286" t="str">
        <f>""</f>
        <v/>
      </c>
      <c r="AF1286" t="str">
        <f>""</f>
        <v/>
      </c>
      <c r="AG1286" t="str">
        <f>"S"</f>
        <v>S</v>
      </c>
      <c r="AH1286" t="str">
        <f>""</f>
        <v/>
      </c>
      <c r="AI1286" t="str">
        <f>""</f>
        <v/>
      </c>
      <c r="AJ1286" t="str">
        <f>""</f>
        <v/>
      </c>
      <c r="AK1286" t="str">
        <f>""</f>
        <v/>
      </c>
      <c r="AL1286" t="str">
        <f>""</f>
        <v/>
      </c>
      <c r="AM1286" t="str">
        <f>""</f>
        <v/>
      </c>
      <c r="AN1286" t="str">
        <f>""</f>
        <v/>
      </c>
      <c r="AO1286" t="str">
        <f>""</f>
        <v/>
      </c>
      <c r="AP1286" t="str">
        <f>""</f>
        <v/>
      </c>
      <c r="AQ1286" t="str">
        <f t="shared" ref="AQ1286:AU1287" si="654">"N"</f>
        <v>N</v>
      </c>
      <c r="AR1286" t="str">
        <f t="shared" si="654"/>
        <v>N</v>
      </c>
      <c r="AS1286" t="str">
        <f t="shared" si="654"/>
        <v>N</v>
      </c>
      <c r="AT1286" t="str">
        <f t="shared" si="654"/>
        <v>N</v>
      </c>
      <c r="AU1286" t="str">
        <f t="shared" si="654"/>
        <v>N</v>
      </c>
      <c r="AV1286" t="str">
        <f>""</f>
        <v/>
      </c>
      <c r="AW1286" t="str">
        <f>""</f>
        <v/>
      </c>
      <c r="AX1286" t="str">
        <f>""</f>
        <v/>
      </c>
      <c r="AY1286" t="str">
        <f>""</f>
        <v/>
      </c>
      <c r="AZ1286" t="str">
        <f>""</f>
        <v/>
      </c>
      <c r="BA1286" t="str">
        <f>""</f>
        <v/>
      </c>
      <c r="BB1286" t="str">
        <f>"01/07/2021 13:53:04"</f>
        <v>01/07/2021 13:53:04</v>
      </c>
      <c r="BC1286" t="str">
        <f>"31/10/2022 15:33:14"</f>
        <v>31/10/2022 15:33:14</v>
      </c>
      <c r="BD1286" t="str">
        <f>""</f>
        <v/>
      </c>
      <c r="BE1286" t="str">
        <f>""</f>
        <v/>
      </c>
      <c r="BF1286" t="str">
        <f t="shared" si="650"/>
        <v>A</v>
      </c>
      <c r="BG1286" t="str">
        <f>""</f>
        <v/>
      </c>
      <c r="BH1286" t="str">
        <f>"0,00"</f>
        <v>0,00</v>
      </c>
      <c r="BI1286" t="str">
        <f>"EVENTUAL"</f>
        <v>EVENTUAL</v>
      </c>
      <c r="BJ1286" t="str">
        <f t="shared" si="651"/>
        <v>1</v>
      </c>
      <c r="BK1286" t="str">
        <f t="shared" si="652"/>
        <v>Farmacia</v>
      </c>
      <c r="BL1286" t="str">
        <f>""</f>
        <v/>
      </c>
      <c r="BM1286" t="str">
        <f>"NÃO É VARILUX ESPECIALISTA"</f>
        <v>NÃO É VARILUX ESPECIALISTA</v>
      </c>
      <c r="BN1286" t="str">
        <f>"NA"</f>
        <v>NA</v>
      </c>
      <c r="BO1286" t="str">
        <f>"OUTROS"</f>
        <v>OUTROS</v>
      </c>
      <c r="BP1286" t="str">
        <f>""</f>
        <v/>
      </c>
      <c r="BQ1286" t="str">
        <f>""</f>
        <v/>
      </c>
      <c r="BR1286" t="str">
        <f>"01/07/2021"</f>
        <v>01/07/2021</v>
      </c>
      <c r="BS1286" t="str">
        <f>"31/10/2022"</f>
        <v>31/10/2022</v>
      </c>
      <c r="BT1286" t="str">
        <f>""</f>
        <v/>
      </c>
      <c r="BU1286" t="str">
        <f>""</f>
        <v/>
      </c>
      <c r="BV1286" t="str">
        <f>""</f>
        <v/>
      </c>
      <c r="BW1286" t="str">
        <f>"577"</f>
        <v>577</v>
      </c>
    </row>
    <row r="1287" spans="1:75" x14ac:dyDescent="0.35">
      <c r="A1287">
        <v>137588</v>
      </c>
      <c r="B1287" t="str">
        <f t="shared" si="647"/>
        <v>A</v>
      </c>
      <c r="C1287" t="str">
        <f t="shared" si="648"/>
        <v>80</v>
      </c>
      <c r="D1287" t="str">
        <f t="shared" si="637"/>
        <v>11121004</v>
      </c>
      <c r="E1287" t="str">
        <f t="shared" si="638"/>
        <v>121004</v>
      </c>
      <c r="F1287" t="str">
        <f t="shared" si="639"/>
        <v>FABIANA GODOY</v>
      </c>
      <c r="G1287" t="str">
        <f>"29945040000198"</f>
        <v>29945040000198</v>
      </c>
      <c r="H1287" t="str">
        <f t="shared" si="641"/>
        <v>0</v>
      </c>
      <c r="I1287" t="str">
        <f t="shared" si="649"/>
        <v>CONTA OPTICA</v>
      </c>
      <c r="J1287" t="str">
        <f>"ANDRESSA DE ANDRADE"</f>
        <v>ANDRESSA DE ANDRADE</v>
      </c>
      <c r="K1287" t="str">
        <f>"OTICA MULLER (3896)"</f>
        <v>OTICA MULLER (3896)</v>
      </c>
      <c r="L1287" t="str">
        <f>""</f>
        <v/>
      </c>
      <c r="M1287" t="str">
        <f>""</f>
        <v/>
      </c>
      <c r="N1287" t="str">
        <f>"andressa.gatinha_@hotmail.com"</f>
        <v>andressa.gatinha_@hotmail.com</v>
      </c>
      <c r="O1287" t="str">
        <f>""</f>
        <v/>
      </c>
      <c r="P1287" t="str">
        <f>"RUA LUIZ WALENDOWSKY"</f>
        <v>RUA LUIZ WALENDOWSKY</v>
      </c>
      <c r="Q1287" t="str">
        <f>"614"</f>
        <v>614</v>
      </c>
      <c r="R1287" t="str">
        <f>"SALA 3"</f>
        <v>SALA 3</v>
      </c>
      <c r="S1287" t="str">
        <f>"1260"</f>
        <v>1260</v>
      </c>
      <c r="T1287" t="str">
        <f>"88210000"</f>
        <v>88210000</v>
      </c>
      <c r="U1287" t="str">
        <f>"PEREQUE"</f>
        <v>PEREQUE</v>
      </c>
      <c r="V1287" t="str">
        <f>"PORTO BELO"</f>
        <v>PORTO BELO</v>
      </c>
      <c r="W1287" t="str">
        <f t="shared" si="636"/>
        <v>SC</v>
      </c>
      <c r="X1287" t="str">
        <f t="shared" si="653"/>
        <v>47</v>
      </c>
      <c r="Y1287" t="str">
        <f>"33695203"</f>
        <v>33695203</v>
      </c>
      <c r="Z1287" t="str">
        <f>""</f>
        <v/>
      </c>
      <c r="AA1287" t="str">
        <f>""</f>
        <v/>
      </c>
      <c r="AB1287" t="str">
        <f>""</f>
        <v/>
      </c>
      <c r="AC1287" t="str">
        <f>""</f>
        <v/>
      </c>
      <c r="AD1287" t="str">
        <f>""</f>
        <v/>
      </c>
      <c r="AE1287" t="str">
        <f>""</f>
        <v/>
      </c>
      <c r="AF1287" t="str">
        <f>""</f>
        <v/>
      </c>
      <c r="AG1287" t="str">
        <f>"S"</f>
        <v>S</v>
      </c>
      <c r="AH1287" t="str">
        <f>""</f>
        <v/>
      </c>
      <c r="AI1287" t="str">
        <f>""</f>
        <v/>
      </c>
      <c r="AJ1287" t="str">
        <f>""</f>
        <v/>
      </c>
      <c r="AK1287" t="str">
        <f>""</f>
        <v/>
      </c>
      <c r="AL1287" t="str">
        <f>""</f>
        <v/>
      </c>
      <c r="AM1287" t="str">
        <f>""</f>
        <v/>
      </c>
      <c r="AN1287" t="str">
        <f>""</f>
        <v/>
      </c>
      <c r="AO1287" t="str">
        <f>""</f>
        <v/>
      </c>
      <c r="AP1287" t="str">
        <f>""</f>
        <v/>
      </c>
      <c r="AQ1287" t="str">
        <f t="shared" si="654"/>
        <v>N</v>
      </c>
      <c r="AR1287" t="str">
        <f t="shared" si="654"/>
        <v>N</v>
      </c>
      <c r="AS1287" t="str">
        <f t="shared" si="654"/>
        <v>N</v>
      </c>
      <c r="AT1287" t="str">
        <f t="shared" si="654"/>
        <v>N</v>
      </c>
      <c r="AU1287" t="str">
        <f t="shared" si="654"/>
        <v>N</v>
      </c>
      <c r="AV1287" t="str">
        <f>""</f>
        <v/>
      </c>
      <c r="AW1287" t="str">
        <f>""</f>
        <v/>
      </c>
      <c r="AX1287" t="str">
        <f>""</f>
        <v/>
      </c>
      <c r="AY1287" t="str">
        <f>""</f>
        <v/>
      </c>
      <c r="AZ1287" t="str">
        <f>""</f>
        <v/>
      </c>
      <c r="BA1287" t="str">
        <f>""</f>
        <v/>
      </c>
      <c r="BB1287" t="str">
        <f>"01/07/2021 13:53:04"</f>
        <v>01/07/2021 13:53:04</v>
      </c>
      <c r="BC1287" t="str">
        <f>"07/02/2022 15:36:20"</f>
        <v>07/02/2022 15:36:20</v>
      </c>
      <c r="BD1287" t="str">
        <f>""</f>
        <v/>
      </c>
      <c r="BE1287" t="str">
        <f>""</f>
        <v/>
      </c>
      <c r="BF1287" t="str">
        <f t="shared" si="650"/>
        <v>A</v>
      </c>
      <c r="BG1287" t="str">
        <f>""</f>
        <v/>
      </c>
      <c r="BH1287" t="str">
        <f>"0,00"</f>
        <v>0,00</v>
      </c>
      <c r="BI1287" t="str">
        <f>"EVENTUAL"</f>
        <v>EVENTUAL</v>
      </c>
      <c r="BJ1287" t="str">
        <f t="shared" si="651"/>
        <v>1</v>
      </c>
      <c r="BK1287" t="str">
        <f t="shared" si="652"/>
        <v>Farmacia</v>
      </c>
      <c r="BL1287" t="str">
        <f>""</f>
        <v/>
      </c>
      <c r="BM1287" t="str">
        <f>"NÃO É VARILUX ESPECIALISTA"</f>
        <v>NÃO É VARILUX ESPECIALISTA</v>
      </c>
      <c r="BN1287" t="str">
        <f>"NA"</f>
        <v>NA</v>
      </c>
      <c r="BO1287" t="str">
        <f>""</f>
        <v/>
      </c>
      <c r="BP1287" t="str">
        <f>""</f>
        <v/>
      </c>
      <c r="BQ1287" t="str">
        <f>""</f>
        <v/>
      </c>
      <c r="BR1287" t="str">
        <f>"01/07/2021"</f>
        <v>01/07/2021</v>
      </c>
      <c r="BS1287" t="str">
        <f>"07/02/2022"</f>
        <v>07/02/2022</v>
      </c>
      <c r="BT1287" t="str">
        <f>""</f>
        <v/>
      </c>
      <c r="BU1287" t="str">
        <f>""</f>
        <v/>
      </c>
      <c r="BV1287" t="str">
        <f>""</f>
        <v/>
      </c>
      <c r="BW1287" t="str">
        <f>"682"</f>
        <v>682</v>
      </c>
    </row>
    <row r="1288" spans="1:75" x14ac:dyDescent="0.35">
      <c r="A1288">
        <v>157782</v>
      </c>
      <c r="B1288" t="str">
        <f t="shared" si="647"/>
        <v>A</v>
      </c>
      <c r="C1288" t="str">
        <f t="shared" si="648"/>
        <v>80</v>
      </c>
      <c r="D1288" t="str">
        <f t="shared" si="637"/>
        <v>11121004</v>
      </c>
      <c r="E1288" t="str">
        <f t="shared" si="638"/>
        <v>121004</v>
      </c>
      <c r="F1288" t="str">
        <f t="shared" si="639"/>
        <v>FABIANA GODOY</v>
      </c>
      <c r="G1288" t="str">
        <f>"34230299000192"</f>
        <v>34230299000192</v>
      </c>
      <c r="H1288" t="str">
        <f t="shared" si="641"/>
        <v>0</v>
      </c>
      <c r="I1288" t="str">
        <f t="shared" si="649"/>
        <v>CONTA OPTICA</v>
      </c>
      <c r="J1288" t="str">
        <f>"ANDRESSA SALVADIO GALVANI 08224457940"</f>
        <v>ANDRESSA SALVADIO GALVANI 08224457940</v>
      </c>
      <c r="K1288" t="str">
        <f>"OTICAS GALVANI (4049)"</f>
        <v>OTICAS GALVANI (4049)</v>
      </c>
      <c r="L1288" t="str">
        <f>""</f>
        <v/>
      </c>
      <c r="M1288" t="str">
        <f>""</f>
        <v/>
      </c>
      <c r="N1288" t="str">
        <f>"OTICACRISTALITAPEMA@OUTLOOK.COM"</f>
        <v>OTICACRISTALITAPEMA@OUTLOOK.COM</v>
      </c>
      <c r="O1288" t="str">
        <f>""</f>
        <v/>
      </c>
      <c r="P1288" t="str">
        <f>"JOSE EUGENIO MULLER"</f>
        <v>JOSE EUGENIO MULLER</v>
      </c>
      <c r="Q1288" t="str">
        <f>"1483"</f>
        <v>1483</v>
      </c>
      <c r="R1288" t="str">
        <f>"SALA 01"</f>
        <v>SALA 01</v>
      </c>
      <c r="S1288" t="str">
        <f>"1260"</f>
        <v>1260</v>
      </c>
      <c r="T1288" t="str">
        <f>"88220000"</f>
        <v>88220000</v>
      </c>
      <c r="U1288" t="str">
        <f>"VILA OPERARIA"</f>
        <v>VILA OPERARIA</v>
      </c>
      <c r="V1288" t="str">
        <f>"ITAJAI"</f>
        <v>ITAJAI</v>
      </c>
      <c r="W1288" t="str">
        <f t="shared" si="636"/>
        <v>SC</v>
      </c>
      <c r="X1288" t="str">
        <f t="shared" si="653"/>
        <v>47</v>
      </c>
      <c r="Y1288" t="str">
        <f>"996613701"</f>
        <v>996613701</v>
      </c>
      <c r="Z1288" t="str">
        <f>""</f>
        <v/>
      </c>
      <c r="AA1288" t="str">
        <f>""</f>
        <v/>
      </c>
      <c r="AB1288" t="str">
        <f>""</f>
        <v/>
      </c>
      <c r="AC1288" t="str">
        <f>""</f>
        <v/>
      </c>
      <c r="AD1288" t="str">
        <f>""</f>
        <v/>
      </c>
      <c r="AE1288" t="str">
        <f>""</f>
        <v/>
      </c>
      <c r="AF1288" t="str">
        <f>""</f>
        <v/>
      </c>
      <c r="AG1288" t="str">
        <f>""</f>
        <v/>
      </c>
      <c r="AH1288" t="str">
        <f>""</f>
        <v/>
      </c>
      <c r="AI1288" t="str">
        <f>""</f>
        <v/>
      </c>
      <c r="AJ1288" t="str">
        <f>""</f>
        <v/>
      </c>
      <c r="AK1288" t="str">
        <f>""</f>
        <v/>
      </c>
      <c r="AL1288" t="str">
        <f>""</f>
        <v/>
      </c>
      <c r="AM1288" t="str">
        <f>""</f>
        <v/>
      </c>
      <c r="AN1288" t="str">
        <f>""</f>
        <v/>
      </c>
      <c r="AO1288" t="str">
        <f>""</f>
        <v/>
      </c>
      <c r="AP1288" t="str">
        <f>""</f>
        <v/>
      </c>
      <c r="AQ1288" t="str">
        <f>""</f>
        <v/>
      </c>
      <c r="AR1288" t="str">
        <f>""</f>
        <v/>
      </c>
      <c r="AS1288" t="str">
        <f>""</f>
        <v/>
      </c>
      <c r="AT1288" t="str">
        <f>""</f>
        <v/>
      </c>
      <c r="AU1288" t="str">
        <f>""</f>
        <v/>
      </c>
      <c r="AV1288" t="str">
        <f>""</f>
        <v/>
      </c>
      <c r="AW1288" t="str">
        <f>""</f>
        <v/>
      </c>
      <c r="AX1288" t="str">
        <f>""</f>
        <v/>
      </c>
      <c r="AY1288" t="str">
        <f>""</f>
        <v/>
      </c>
      <c r="AZ1288" t="str">
        <f>""</f>
        <v/>
      </c>
      <c r="BA1288" t="str">
        <f>""</f>
        <v/>
      </c>
      <c r="BB1288" t="str">
        <f>"11/07/2023 02:26:32"</f>
        <v>11/07/2023 02:26:32</v>
      </c>
      <c r="BC1288" t="str">
        <f>""</f>
        <v/>
      </c>
      <c r="BD1288" t="str">
        <f>""</f>
        <v/>
      </c>
      <c r="BE1288" t="str">
        <f>""</f>
        <v/>
      </c>
      <c r="BF1288" t="str">
        <f t="shared" si="650"/>
        <v>A</v>
      </c>
      <c r="BG1288" t="str">
        <f>""</f>
        <v/>
      </c>
      <c r="BH1288" t="str">
        <f>""</f>
        <v/>
      </c>
      <c r="BI1288" t="str">
        <f>"EVENTUAL"</f>
        <v>EVENTUAL</v>
      </c>
      <c r="BJ1288" t="str">
        <f t="shared" si="651"/>
        <v>1</v>
      </c>
      <c r="BK1288" t="str">
        <f t="shared" si="652"/>
        <v>Farmacia</v>
      </c>
      <c r="BL1288" t="str">
        <f>""</f>
        <v/>
      </c>
      <c r="BM1288" t="str">
        <f>""</f>
        <v/>
      </c>
      <c r="BN1288" t="str">
        <f>""</f>
        <v/>
      </c>
      <c r="BO1288" t="str">
        <f>""</f>
        <v/>
      </c>
      <c r="BP1288" t="str">
        <f>""</f>
        <v/>
      </c>
      <c r="BQ1288" t="str">
        <f>""</f>
        <v/>
      </c>
      <c r="BR1288" t="str">
        <f>"11/07/2023"</f>
        <v>11/07/2023</v>
      </c>
      <c r="BS1288" t="str">
        <f>""</f>
        <v/>
      </c>
      <c r="BT1288" t="str">
        <f>""</f>
        <v/>
      </c>
      <c r="BU1288" t="str">
        <f>""</f>
        <v/>
      </c>
      <c r="BV1288" t="str">
        <f>""</f>
        <v/>
      </c>
      <c r="BW1288" t="str">
        <f>"Não visitado"</f>
        <v>Não visitado</v>
      </c>
    </row>
    <row r="1289" spans="1:75" x14ac:dyDescent="0.35">
      <c r="A1289">
        <v>137532</v>
      </c>
      <c r="B1289" t="str">
        <f t="shared" si="647"/>
        <v>A</v>
      </c>
      <c r="C1289" t="str">
        <f t="shared" si="648"/>
        <v>80</v>
      </c>
      <c r="D1289" t="str">
        <f t="shared" si="637"/>
        <v>11121004</v>
      </c>
      <c r="E1289" t="str">
        <f t="shared" si="638"/>
        <v>121004</v>
      </c>
      <c r="F1289" t="str">
        <f t="shared" si="639"/>
        <v>FABIANA GODOY</v>
      </c>
      <c r="G1289" t="str">
        <f>"81867434000195"</f>
        <v>81867434000195</v>
      </c>
      <c r="H1289" t="str">
        <f t="shared" si="641"/>
        <v>0</v>
      </c>
      <c r="I1289" t="str">
        <f t="shared" si="649"/>
        <v>CONTA OPTICA</v>
      </c>
      <c r="J1289" t="str">
        <f>"ANTONIO CARLOS DE SOUZA RELOJOEIRO ME"</f>
        <v>ANTONIO CARLOS DE SOUZA RELOJOEIRO ME</v>
      </c>
      <c r="K1289" t="str">
        <f>"OTICA PONTUAL (130)"</f>
        <v>OTICA PONTUAL (130)</v>
      </c>
      <c r="L1289" t="str">
        <f>""</f>
        <v/>
      </c>
      <c r="M1289" t="str">
        <f>""</f>
        <v/>
      </c>
      <c r="N1289" t="str">
        <f>"pontualrelojoaria@hotmail.com"</f>
        <v>pontualrelojoaria@hotmail.com</v>
      </c>
      <c r="O1289" t="str">
        <f>""</f>
        <v/>
      </c>
      <c r="P1289" t="str">
        <f>"RUA FLORIANOPOLIS"</f>
        <v>RUA FLORIANOPOLIS</v>
      </c>
      <c r="Q1289" t="str">
        <f>"150"</f>
        <v>150</v>
      </c>
      <c r="R1289" t="str">
        <f>""</f>
        <v/>
      </c>
      <c r="S1289" t="str">
        <f>"1261"</f>
        <v>1261</v>
      </c>
      <c r="T1289" t="str">
        <f>"88301670"</f>
        <v>88301670</v>
      </c>
      <c r="U1289" t="str">
        <f>"FAZENDA"</f>
        <v>FAZENDA</v>
      </c>
      <c r="V1289" t="str">
        <f>"ITAJAÍ"</f>
        <v>ITAJAÍ</v>
      </c>
      <c r="W1289" t="str">
        <f t="shared" si="636"/>
        <v>SC</v>
      </c>
      <c r="X1289" t="str">
        <f t="shared" si="653"/>
        <v>47</v>
      </c>
      <c r="Y1289" t="str">
        <f>"33488590"</f>
        <v>33488590</v>
      </c>
      <c r="Z1289" t="str">
        <f>""</f>
        <v/>
      </c>
      <c r="AA1289" t="str">
        <f>""</f>
        <v/>
      </c>
      <c r="AB1289" t="str">
        <f>""</f>
        <v/>
      </c>
      <c r="AC1289" t="str">
        <f>""</f>
        <v/>
      </c>
      <c r="AD1289" t="str">
        <f>""</f>
        <v/>
      </c>
      <c r="AE1289" t="str">
        <f>""</f>
        <v/>
      </c>
      <c r="AF1289" t="str">
        <f>""</f>
        <v/>
      </c>
      <c r="AG1289" t="str">
        <f>"S"</f>
        <v>S</v>
      </c>
      <c r="AH1289" t="str">
        <f>""</f>
        <v/>
      </c>
      <c r="AI1289" t="str">
        <f>""</f>
        <v/>
      </c>
      <c r="AJ1289" t="str">
        <f>""</f>
        <v/>
      </c>
      <c r="AK1289" t="str">
        <f>""</f>
        <v/>
      </c>
      <c r="AL1289" t="str">
        <f>""</f>
        <v/>
      </c>
      <c r="AM1289" t="str">
        <f>""</f>
        <v/>
      </c>
      <c r="AN1289" t="str">
        <f>""</f>
        <v/>
      </c>
      <c r="AO1289" t="str">
        <f>""</f>
        <v/>
      </c>
      <c r="AP1289" t="str">
        <f>""</f>
        <v/>
      </c>
      <c r="AQ1289" t="str">
        <f t="shared" ref="AQ1289:AU1290" si="655">"N"</f>
        <v>N</v>
      </c>
      <c r="AR1289" t="str">
        <f t="shared" si="655"/>
        <v>N</v>
      </c>
      <c r="AS1289" t="str">
        <f t="shared" si="655"/>
        <v>N</v>
      </c>
      <c r="AT1289" t="str">
        <f t="shared" si="655"/>
        <v>N</v>
      </c>
      <c r="AU1289" t="str">
        <f t="shared" si="655"/>
        <v>N</v>
      </c>
      <c r="AV1289" t="str">
        <f>""</f>
        <v/>
      </c>
      <c r="AW1289" t="str">
        <f>""</f>
        <v/>
      </c>
      <c r="AX1289" t="str">
        <f>""</f>
        <v/>
      </c>
      <c r="AY1289" t="str">
        <f>""</f>
        <v/>
      </c>
      <c r="AZ1289" t="str">
        <f>""</f>
        <v/>
      </c>
      <c r="BA1289" t="str">
        <f>""</f>
        <v/>
      </c>
      <c r="BB1289" t="str">
        <f>"01/07/2021 13:53:04"</f>
        <v>01/07/2021 13:53:04</v>
      </c>
      <c r="BC1289" t="str">
        <f>"11/07/2023 14:39:21"</f>
        <v>11/07/2023 14:39:21</v>
      </c>
      <c r="BD1289" t="str">
        <f>""</f>
        <v/>
      </c>
      <c r="BE1289" t="str">
        <f>""</f>
        <v/>
      </c>
      <c r="BF1289" t="str">
        <f t="shared" si="650"/>
        <v>A</v>
      </c>
      <c r="BG1289" t="str">
        <f>""</f>
        <v/>
      </c>
      <c r="BH1289" t="str">
        <f>"0,00"</f>
        <v>0,00</v>
      </c>
      <c r="BI1289" t="str">
        <f>"MENSAL"</f>
        <v>MENSAL</v>
      </c>
      <c r="BJ1289" t="str">
        <f t="shared" si="651"/>
        <v>1</v>
      </c>
      <c r="BK1289" t="str">
        <f t="shared" si="652"/>
        <v>Farmacia</v>
      </c>
      <c r="BL1289" t="str">
        <f>""</f>
        <v/>
      </c>
      <c r="BM1289" t="str">
        <f>"NÃO É VARILUX ESPECIALISTA"</f>
        <v>NÃO É VARILUX ESPECIALISTA</v>
      </c>
      <c r="BN1289" t="str">
        <f>"EL360"</f>
        <v>EL360</v>
      </c>
      <c r="BO1289" t="str">
        <f>"FOCO VARILUX"</f>
        <v>FOCO VARILUX</v>
      </c>
      <c r="BP1289" t="str">
        <f>""</f>
        <v/>
      </c>
      <c r="BQ1289" t="str">
        <f>""</f>
        <v/>
      </c>
      <c r="BR1289" t="str">
        <f>"01/07/2021"</f>
        <v>01/07/2021</v>
      </c>
      <c r="BS1289" t="str">
        <f>"11/07/2023"</f>
        <v>11/07/2023</v>
      </c>
      <c r="BT1289" t="str">
        <f>""</f>
        <v/>
      </c>
      <c r="BU1289" t="str">
        <f>""</f>
        <v/>
      </c>
      <c r="BV1289" t="str">
        <f>""</f>
        <v/>
      </c>
      <c r="BW1289" t="str">
        <f>"7"</f>
        <v>7</v>
      </c>
    </row>
    <row r="1290" spans="1:75" x14ac:dyDescent="0.35">
      <c r="A1290">
        <v>137533</v>
      </c>
      <c r="B1290" t="str">
        <f t="shared" si="647"/>
        <v>A</v>
      </c>
      <c r="C1290" t="str">
        <f t="shared" si="648"/>
        <v>80</v>
      </c>
      <c r="D1290" t="str">
        <f t="shared" si="637"/>
        <v>11121004</v>
      </c>
      <c r="E1290" t="str">
        <f t="shared" si="638"/>
        <v>121004</v>
      </c>
      <c r="F1290" t="str">
        <f t="shared" si="639"/>
        <v>FABIANA GODOY</v>
      </c>
      <c r="G1290" t="str">
        <f>"11290873000100"</f>
        <v>11290873000100</v>
      </c>
      <c r="H1290" t="str">
        <f t="shared" si="641"/>
        <v>0</v>
      </c>
      <c r="I1290" t="str">
        <f t="shared" si="649"/>
        <v>CONTA OPTICA</v>
      </c>
      <c r="J1290" t="str">
        <f>"APOEMA RELOJOARIA E OPTICA LTDA ME"</f>
        <v>APOEMA RELOJOARIA E OPTICA LTDA ME</v>
      </c>
      <c r="K1290" t="str">
        <f>"SAFIRA RELOJOARIA E OPTICA (1698)"</f>
        <v>SAFIRA RELOJOARIA E OPTICA (1698)</v>
      </c>
      <c r="L1290" t="str">
        <f>""</f>
        <v/>
      </c>
      <c r="M1290" t="str">
        <f>""</f>
        <v/>
      </c>
      <c r="N1290" t="str">
        <f>"apoema09@gmail.com"</f>
        <v>apoema09@gmail.com</v>
      </c>
      <c r="O1290" t="str">
        <f>""</f>
        <v/>
      </c>
      <c r="P1290" t="str">
        <f>"RUA SAO JOSE"</f>
        <v>RUA SAO JOSE</v>
      </c>
      <c r="Q1290" t="str">
        <f>"230"</f>
        <v>230</v>
      </c>
      <c r="R1290" t="str">
        <f>""</f>
        <v/>
      </c>
      <c r="S1290" t="str">
        <f>""</f>
        <v/>
      </c>
      <c r="T1290" t="str">
        <f>"89111420"</f>
        <v>89111420</v>
      </c>
      <c r="U1290" t="str">
        <f>"CENTRO"</f>
        <v>CENTRO</v>
      </c>
      <c r="V1290" t="str">
        <f>"GASPAR"</f>
        <v>GASPAR</v>
      </c>
      <c r="W1290" t="str">
        <f t="shared" si="636"/>
        <v>SC</v>
      </c>
      <c r="X1290" t="str">
        <f t="shared" si="653"/>
        <v>47</v>
      </c>
      <c r="Y1290" t="str">
        <f>"33324884"</f>
        <v>33324884</v>
      </c>
      <c r="Z1290" t="str">
        <f>""</f>
        <v/>
      </c>
      <c r="AA1290" t="str">
        <f>""</f>
        <v/>
      </c>
      <c r="AB1290" t="str">
        <f>""</f>
        <v/>
      </c>
      <c r="AC1290" t="str">
        <f>""</f>
        <v/>
      </c>
      <c r="AD1290" t="str">
        <f>""</f>
        <v/>
      </c>
      <c r="AE1290" t="str">
        <f>""</f>
        <v/>
      </c>
      <c r="AF1290" t="str">
        <f>""</f>
        <v/>
      </c>
      <c r="AG1290" t="str">
        <f>"S"</f>
        <v>S</v>
      </c>
      <c r="AH1290" t="str">
        <f>""</f>
        <v/>
      </c>
      <c r="AI1290" t="str">
        <f>""</f>
        <v/>
      </c>
      <c r="AJ1290" t="str">
        <f>""</f>
        <v/>
      </c>
      <c r="AK1290" t="str">
        <f>""</f>
        <v/>
      </c>
      <c r="AL1290" t="str">
        <f>""</f>
        <v/>
      </c>
      <c r="AM1290" t="str">
        <f>""</f>
        <v/>
      </c>
      <c r="AN1290" t="str">
        <f>""</f>
        <v/>
      </c>
      <c r="AO1290" t="str">
        <f>""</f>
        <v/>
      </c>
      <c r="AP1290" t="str">
        <f>""</f>
        <v/>
      </c>
      <c r="AQ1290" t="str">
        <f t="shared" si="655"/>
        <v>N</v>
      </c>
      <c r="AR1290" t="str">
        <f t="shared" si="655"/>
        <v>N</v>
      </c>
      <c r="AS1290" t="str">
        <f t="shared" si="655"/>
        <v>N</v>
      </c>
      <c r="AT1290" t="str">
        <f t="shared" si="655"/>
        <v>N</v>
      </c>
      <c r="AU1290" t="str">
        <f t="shared" si="655"/>
        <v>N</v>
      </c>
      <c r="AV1290" t="str">
        <f>""</f>
        <v/>
      </c>
      <c r="AW1290" t="str">
        <f>""</f>
        <v/>
      </c>
      <c r="AX1290" t="str">
        <f>""</f>
        <v/>
      </c>
      <c r="AY1290" t="str">
        <f>""</f>
        <v/>
      </c>
      <c r="AZ1290" t="str">
        <f>""</f>
        <v/>
      </c>
      <c r="BA1290" t="str">
        <f>""</f>
        <v/>
      </c>
      <c r="BB1290" t="str">
        <f>"01/07/2021 13:53:04"</f>
        <v>01/07/2021 13:53:04</v>
      </c>
      <c r="BC1290" t="str">
        <f>"07/07/2023 12:11:18"</f>
        <v>07/07/2023 12:11:18</v>
      </c>
      <c r="BD1290" t="str">
        <f>""</f>
        <v/>
      </c>
      <c r="BE1290" t="str">
        <f>""</f>
        <v/>
      </c>
      <c r="BF1290" t="str">
        <f t="shared" si="650"/>
        <v>A</v>
      </c>
      <c r="BG1290" t="str">
        <f>""</f>
        <v/>
      </c>
      <c r="BH1290" t="str">
        <f>"0,00"</f>
        <v>0,00</v>
      </c>
      <c r="BI1290" t="str">
        <f t="shared" ref="BI1290:BI1296" si="656">"EVENTUAL"</f>
        <v>EVENTUAL</v>
      </c>
      <c r="BJ1290" t="str">
        <f t="shared" si="651"/>
        <v>1</v>
      </c>
      <c r="BK1290" t="str">
        <f t="shared" si="652"/>
        <v>Farmacia</v>
      </c>
      <c r="BL1290" t="str">
        <f>""</f>
        <v/>
      </c>
      <c r="BM1290" t="str">
        <f>"VARILUX ESPECIALISTA PLATINE"</f>
        <v>VARILUX ESPECIALISTA PLATINE</v>
      </c>
      <c r="BN1290" t="str">
        <f>"NA"</f>
        <v>NA</v>
      </c>
      <c r="BO1290" t="str">
        <f>"FOCO VARILUX DIGITAL"</f>
        <v>FOCO VARILUX DIGITAL</v>
      </c>
      <c r="BP1290" t="str">
        <f>""</f>
        <v/>
      </c>
      <c r="BQ1290" t="str">
        <f>""</f>
        <v/>
      </c>
      <c r="BR1290" t="str">
        <f>"01/07/2021"</f>
        <v>01/07/2021</v>
      </c>
      <c r="BS1290" t="str">
        <f>"07/07/2023"</f>
        <v>07/07/2023</v>
      </c>
      <c r="BT1290" t="str">
        <f>""</f>
        <v/>
      </c>
      <c r="BU1290" t="str">
        <f>""</f>
        <v/>
      </c>
      <c r="BV1290" t="str">
        <f>""</f>
        <v/>
      </c>
      <c r="BW1290" t="str">
        <f>"24"</f>
        <v>24</v>
      </c>
    </row>
    <row r="1291" spans="1:75" x14ac:dyDescent="0.35">
      <c r="A1291">
        <v>157789</v>
      </c>
      <c r="B1291" t="str">
        <f t="shared" si="647"/>
        <v>A</v>
      </c>
      <c r="C1291" t="str">
        <f t="shared" si="648"/>
        <v>80</v>
      </c>
      <c r="D1291" t="str">
        <f t="shared" si="637"/>
        <v>11121004</v>
      </c>
      <c r="E1291" t="str">
        <f t="shared" si="638"/>
        <v>121004</v>
      </c>
      <c r="F1291" t="str">
        <f t="shared" si="639"/>
        <v>FABIANA GODOY</v>
      </c>
      <c r="G1291" t="str">
        <f>"82990029000394"</f>
        <v>82990029000394</v>
      </c>
      <c r="H1291" t="str">
        <f t="shared" si="641"/>
        <v>0</v>
      </c>
      <c r="I1291" t="str">
        <f t="shared" si="649"/>
        <v>CONTA OPTICA</v>
      </c>
      <c r="J1291" t="str">
        <f>"AQUILES ROCHA"</f>
        <v>AQUILES ROCHA</v>
      </c>
      <c r="K1291" t="str">
        <f>"AQUI TEM OTICA PRECO POPULAR (2277)"</f>
        <v>AQUI TEM OTICA PRECO POPULAR (2277)</v>
      </c>
      <c r="L1291" t="str">
        <f>""</f>
        <v/>
      </c>
      <c r="M1291" t="str">
        <f>""</f>
        <v/>
      </c>
      <c r="N1291" t="str">
        <f>"ROCHAAQUILES@HOTMAIL.COM"</f>
        <v>ROCHAAQUILES@HOTMAIL.COM</v>
      </c>
      <c r="O1291" t="str">
        <f>""</f>
        <v/>
      </c>
      <c r="P1291" t="str">
        <f>"RUA GOVERNADOR CELSO RAMOS"</f>
        <v>RUA GOVERNADOR CELSO RAMOS</v>
      </c>
      <c r="Q1291" t="str">
        <f>"295"</f>
        <v>295</v>
      </c>
      <c r="R1291" t="str">
        <f>""</f>
        <v/>
      </c>
      <c r="S1291" t="str">
        <f>"1260"</f>
        <v>1260</v>
      </c>
      <c r="T1291" t="str">
        <f>"88220000"</f>
        <v>88220000</v>
      </c>
      <c r="U1291" t="str">
        <f>"CENTRO"</f>
        <v>CENTRO</v>
      </c>
      <c r="V1291" t="str">
        <f>"ITAPEMA"</f>
        <v>ITAPEMA</v>
      </c>
      <c r="W1291" t="str">
        <f t="shared" si="636"/>
        <v>SC</v>
      </c>
      <c r="X1291" t="str">
        <f t="shared" si="653"/>
        <v>47</v>
      </c>
      <c r="Y1291" t="str">
        <f>"33688083"</f>
        <v>33688083</v>
      </c>
      <c r="Z1291" t="str">
        <f>""</f>
        <v/>
      </c>
      <c r="AA1291" t="str">
        <f>""</f>
        <v/>
      </c>
      <c r="AB1291" t="str">
        <f>""</f>
        <v/>
      </c>
      <c r="AC1291" t="str">
        <f>""</f>
        <v/>
      </c>
      <c r="AD1291" t="str">
        <f>""</f>
        <v/>
      </c>
      <c r="AE1291" t="str">
        <f>""</f>
        <v/>
      </c>
      <c r="AF1291" t="str">
        <f>""</f>
        <v/>
      </c>
      <c r="AG1291" t="str">
        <f>""</f>
        <v/>
      </c>
      <c r="AH1291" t="str">
        <f>""</f>
        <v/>
      </c>
      <c r="AI1291" t="str">
        <f>""</f>
        <v/>
      </c>
      <c r="AJ1291" t="str">
        <f>""</f>
        <v/>
      </c>
      <c r="AK1291" t="str">
        <f>""</f>
        <v/>
      </c>
      <c r="AL1291" t="str">
        <f>""</f>
        <v/>
      </c>
      <c r="AM1291" t="str">
        <f>""</f>
        <v/>
      </c>
      <c r="AN1291" t="str">
        <f>""</f>
        <v/>
      </c>
      <c r="AO1291" t="str">
        <f>""</f>
        <v/>
      </c>
      <c r="AP1291" t="str">
        <f>""</f>
        <v/>
      </c>
      <c r="AQ1291" t="str">
        <f>""</f>
        <v/>
      </c>
      <c r="AR1291" t="str">
        <f>""</f>
        <v/>
      </c>
      <c r="AS1291" t="str">
        <f>""</f>
        <v/>
      </c>
      <c r="AT1291" t="str">
        <f>""</f>
        <v/>
      </c>
      <c r="AU1291" t="str">
        <f>""</f>
        <v/>
      </c>
      <c r="AV1291" t="str">
        <f>""</f>
        <v/>
      </c>
      <c r="AW1291" t="str">
        <f>""</f>
        <v/>
      </c>
      <c r="AX1291" t="str">
        <f>""</f>
        <v/>
      </c>
      <c r="AY1291" t="str">
        <f>""</f>
        <v/>
      </c>
      <c r="AZ1291" t="str">
        <f>""</f>
        <v/>
      </c>
      <c r="BA1291" t="str">
        <f>""</f>
        <v/>
      </c>
      <c r="BB1291" t="str">
        <f>"11/07/2023 02:26:32"</f>
        <v>11/07/2023 02:26:32</v>
      </c>
      <c r="BC1291" t="str">
        <f>""</f>
        <v/>
      </c>
      <c r="BD1291" t="str">
        <f>""</f>
        <v/>
      </c>
      <c r="BE1291" t="str">
        <f>""</f>
        <v/>
      </c>
      <c r="BF1291" t="str">
        <f t="shared" si="650"/>
        <v>A</v>
      </c>
      <c r="BG1291" t="str">
        <f>""</f>
        <v/>
      </c>
      <c r="BH1291" t="str">
        <f>""</f>
        <v/>
      </c>
      <c r="BI1291" t="str">
        <f t="shared" si="656"/>
        <v>EVENTUAL</v>
      </c>
      <c r="BJ1291" t="str">
        <f t="shared" si="651"/>
        <v>1</v>
      </c>
      <c r="BK1291" t="str">
        <f t="shared" si="652"/>
        <v>Farmacia</v>
      </c>
      <c r="BL1291" t="str">
        <f>""</f>
        <v/>
      </c>
      <c r="BM1291" t="str">
        <f>""</f>
        <v/>
      </c>
      <c r="BN1291" t="str">
        <f>""</f>
        <v/>
      </c>
      <c r="BO1291" t="str">
        <f>""</f>
        <v/>
      </c>
      <c r="BP1291" t="str">
        <f>""</f>
        <v/>
      </c>
      <c r="BQ1291" t="str">
        <f>""</f>
        <v/>
      </c>
      <c r="BR1291" t="str">
        <f>"11/07/2023"</f>
        <v>11/07/2023</v>
      </c>
      <c r="BS1291" t="str">
        <f>""</f>
        <v/>
      </c>
      <c r="BT1291" t="str">
        <f>""</f>
        <v/>
      </c>
      <c r="BU1291" t="str">
        <f>""</f>
        <v/>
      </c>
      <c r="BV1291" t="str">
        <f>""</f>
        <v/>
      </c>
      <c r="BW1291" t="str">
        <f>"Não visitado"</f>
        <v>Não visitado</v>
      </c>
    </row>
    <row r="1292" spans="1:75" x14ac:dyDescent="0.35">
      <c r="A1292">
        <v>157128</v>
      </c>
      <c r="B1292" t="str">
        <f t="shared" si="647"/>
        <v>A</v>
      </c>
      <c r="C1292" t="str">
        <f t="shared" si="648"/>
        <v>80</v>
      </c>
      <c r="D1292" t="str">
        <f t="shared" si="637"/>
        <v>11121004</v>
      </c>
      <c r="E1292" t="str">
        <f t="shared" si="638"/>
        <v>121004</v>
      </c>
      <c r="F1292" t="str">
        <f t="shared" si="639"/>
        <v>FABIANA GODOY</v>
      </c>
      <c r="G1292" t="str">
        <f>"82990029000122"</f>
        <v>82990029000122</v>
      </c>
      <c r="H1292" t="str">
        <f t="shared" si="641"/>
        <v>0</v>
      </c>
      <c r="I1292" t="str">
        <f t="shared" si="649"/>
        <v>CONTA OPTICA</v>
      </c>
      <c r="J1292" t="str">
        <f>"AQUILES ROCHA ME"</f>
        <v>AQUILES ROCHA ME</v>
      </c>
      <c r="K1292" t="str">
        <f>"DE QUILE OTICA (1728)"</f>
        <v>DE QUILE OTICA (1728)</v>
      </c>
      <c r="L1292" t="str">
        <f>""</f>
        <v/>
      </c>
      <c r="M1292" t="str">
        <f>""</f>
        <v/>
      </c>
      <c r="N1292" t="str">
        <f>"dequileotica@hotmail.com"</f>
        <v>dequileotica@hotmail.com</v>
      </c>
      <c r="O1292" t="str">
        <f>""</f>
        <v/>
      </c>
      <c r="P1292" t="str">
        <f>"GETULIO VARGAS"</f>
        <v>GETULIO VARGAS</v>
      </c>
      <c r="Q1292" t="str">
        <f>"77"</f>
        <v>77</v>
      </c>
      <c r="R1292" t="str">
        <f>""</f>
        <v/>
      </c>
      <c r="S1292" t="str">
        <f>"1263"</f>
        <v>1263</v>
      </c>
      <c r="T1292" t="str">
        <f>"88380000"</f>
        <v>88380000</v>
      </c>
      <c r="U1292" t="str">
        <f>"CENTRO"</f>
        <v>CENTRO</v>
      </c>
      <c r="V1292" t="str">
        <f>"BALNEARIO PICARRAS"</f>
        <v>BALNEARIO PICARRAS</v>
      </c>
      <c r="W1292" t="str">
        <f t="shared" si="636"/>
        <v>SC</v>
      </c>
      <c r="X1292" t="str">
        <f t="shared" si="653"/>
        <v>47</v>
      </c>
      <c r="Y1292" t="str">
        <f>"32685214"</f>
        <v>32685214</v>
      </c>
      <c r="Z1292" t="str">
        <f>""</f>
        <v/>
      </c>
      <c r="AA1292" t="str">
        <f>""</f>
        <v/>
      </c>
      <c r="AB1292" t="str">
        <f>""</f>
        <v/>
      </c>
      <c r="AC1292" t="str">
        <f>""</f>
        <v/>
      </c>
      <c r="AD1292" t="str">
        <f>""</f>
        <v/>
      </c>
      <c r="AE1292" t="str">
        <f>""</f>
        <v/>
      </c>
      <c r="AF1292" t="str">
        <f>""</f>
        <v/>
      </c>
      <c r="AG1292" t="str">
        <f>""</f>
        <v/>
      </c>
      <c r="AH1292" t="str">
        <f>""</f>
        <v/>
      </c>
      <c r="AI1292" t="str">
        <f>""</f>
        <v/>
      </c>
      <c r="AJ1292" t="str">
        <f>""</f>
        <v/>
      </c>
      <c r="AK1292" t="str">
        <f>""</f>
        <v/>
      </c>
      <c r="AL1292" t="str">
        <f>""</f>
        <v/>
      </c>
      <c r="AM1292" t="str">
        <f>""</f>
        <v/>
      </c>
      <c r="AN1292" t="str">
        <f>""</f>
        <v/>
      </c>
      <c r="AO1292" t="str">
        <f>""</f>
        <v/>
      </c>
      <c r="AP1292" t="str">
        <f>""</f>
        <v/>
      </c>
      <c r="AQ1292" t="str">
        <f>""</f>
        <v/>
      </c>
      <c r="AR1292" t="str">
        <f>""</f>
        <v/>
      </c>
      <c r="AS1292" t="str">
        <f>""</f>
        <v/>
      </c>
      <c r="AT1292" t="str">
        <f>""</f>
        <v/>
      </c>
      <c r="AU1292" t="str">
        <f>""</f>
        <v/>
      </c>
      <c r="AV1292" t="str">
        <f>""</f>
        <v/>
      </c>
      <c r="AW1292" t="str">
        <f>""</f>
        <v/>
      </c>
      <c r="AX1292" t="str">
        <f>""</f>
        <v/>
      </c>
      <c r="AY1292" t="str">
        <f>""</f>
        <v/>
      </c>
      <c r="AZ1292" t="str">
        <f>""</f>
        <v/>
      </c>
      <c r="BA1292" t="str">
        <f>""</f>
        <v/>
      </c>
      <c r="BB1292" t="str">
        <f>"06/07/2023 12:07:48"</f>
        <v>06/07/2023 12:07:48</v>
      </c>
      <c r="BC1292" t="str">
        <f>""</f>
        <v/>
      </c>
      <c r="BD1292" t="str">
        <f>""</f>
        <v/>
      </c>
      <c r="BE1292" t="str">
        <f>""</f>
        <v/>
      </c>
      <c r="BF1292" t="str">
        <f t="shared" si="650"/>
        <v>A</v>
      </c>
      <c r="BG1292" t="str">
        <f>""</f>
        <v/>
      </c>
      <c r="BH1292" t="str">
        <f>""</f>
        <v/>
      </c>
      <c r="BI1292" t="str">
        <f t="shared" si="656"/>
        <v>EVENTUAL</v>
      </c>
      <c r="BJ1292" t="str">
        <f t="shared" si="651"/>
        <v>1</v>
      </c>
      <c r="BK1292" t="str">
        <f t="shared" si="652"/>
        <v>Farmacia</v>
      </c>
      <c r="BL1292" t="str">
        <f>""</f>
        <v/>
      </c>
      <c r="BM1292" t="str">
        <f>""</f>
        <v/>
      </c>
      <c r="BN1292" t="str">
        <f>""</f>
        <v/>
      </c>
      <c r="BO1292" t="str">
        <f>""</f>
        <v/>
      </c>
      <c r="BP1292" t="str">
        <f>""</f>
        <v/>
      </c>
      <c r="BQ1292" t="str">
        <f>""</f>
        <v/>
      </c>
      <c r="BR1292" t="str">
        <f>"06/07/2023"</f>
        <v>06/07/2023</v>
      </c>
      <c r="BS1292" t="str">
        <f>""</f>
        <v/>
      </c>
      <c r="BT1292" t="str">
        <f>""</f>
        <v/>
      </c>
      <c r="BU1292" t="str">
        <f>""</f>
        <v/>
      </c>
      <c r="BV1292" t="str">
        <f>""</f>
        <v/>
      </c>
      <c r="BW1292" t="str">
        <f>"Não visitado"</f>
        <v>Não visitado</v>
      </c>
    </row>
    <row r="1293" spans="1:75" x14ac:dyDescent="0.35">
      <c r="A1293">
        <v>127479</v>
      </c>
      <c r="B1293" t="str">
        <f t="shared" si="647"/>
        <v>A</v>
      </c>
      <c r="C1293" t="str">
        <f t="shared" si="648"/>
        <v>80</v>
      </c>
      <c r="D1293" t="str">
        <f t="shared" si="637"/>
        <v>11121004</v>
      </c>
      <c r="E1293" t="str">
        <f t="shared" si="638"/>
        <v>121004</v>
      </c>
      <c r="F1293" t="str">
        <f t="shared" si="639"/>
        <v>FABIANA GODOY</v>
      </c>
      <c r="G1293" t="str">
        <f>"00944683000135"</f>
        <v>00944683000135</v>
      </c>
      <c r="H1293" t="str">
        <f t="shared" si="641"/>
        <v>0</v>
      </c>
      <c r="I1293" t="str">
        <f t="shared" si="649"/>
        <v>CONTA OPTICA</v>
      </c>
      <c r="J1293" t="str">
        <f>"ARI HERCILIO VALLE ME"</f>
        <v>ARI HERCILIO VALLE ME</v>
      </c>
      <c r="K1293" t="str">
        <f>"LOJA BOTTAMEDI (493)"</f>
        <v>LOJA BOTTAMEDI (493)</v>
      </c>
      <c r="L1293" t="str">
        <f>""</f>
        <v/>
      </c>
      <c r="M1293" t="str">
        <f>""</f>
        <v/>
      </c>
      <c r="N1293" t="str">
        <f>"lojabottamedi@hotmail.com"</f>
        <v>lojabottamedi@hotmail.com</v>
      </c>
      <c r="O1293" t="str">
        <f>""</f>
        <v/>
      </c>
      <c r="P1293" t="str">
        <f>"RUA OLAVO BERLINCK"</f>
        <v>RUA OLAVO BERLINCK</v>
      </c>
      <c r="Q1293" t="str">
        <f>"7"</f>
        <v>7</v>
      </c>
      <c r="R1293" t="str">
        <f>"SALA"</f>
        <v>SALA</v>
      </c>
      <c r="S1293" t="str">
        <f>"1260"</f>
        <v>1260</v>
      </c>
      <c r="T1293" t="str">
        <f>"88200000"</f>
        <v>88200000</v>
      </c>
      <c r="U1293" t="str">
        <f>"CENTRO"</f>
        <v>CENTRO</v>
      </c>
      <c r="V1293" t="str">
        <f>"TIJUCAS"</f>
        <v>TIJUCAS</v>
      </c>
      <c r="W1293" t="str">
        <f t="shared" si="636"/>
        <v>SC</v>
      </c>
      <c r="X1293" t="str">
        <f>"48"</f>
        <v>48</v>
      </c>
      <c r="Y1293" t="str">
        <f>"32630714"</f>
        <v>32630714</v>
      </c>
      <c r="Z1293" t="str">
        <f>""</f>
        <v/>
      </c>
      <c r="AA1293" t="str">
        <f>""</f>
        <v/>
      </c>
      <c r="AB1293" t="str">
        <f>""</f>
        <v/>
      </c>
      <c r="AC1293" t="str">
        <f>""</f>
        <v/>
      </c>
      <c r="AD1293" t="str">
        <f>""</f>
        <v/>
      </c>
      <c r="AE1293" t="str">
        <f>""</f>
        <v/>
      </c>
      <c r="AF1293" t="str">
        <f>""</f>
        <v/>
      </c>
      <c r="AG1293" t="str">
        <f>""</f>
        <v/>
      </c>
      <c r="AH1293" t="str">
        <f>""</f>
        <v/>
      </c>
      <c r="AI1293" t="str">
        <f>""</f>
        <v/>
      </c>
      <c r="AJ1293" t="str">
        <f>""</f>
        <v/>
      </c>
      <c r="AK1293" t="str">
        <f>""</f>
        <v/>
      </c>
      <c r="AL1293" t="str">
        <f>""</f>
        <v/>
      </c>
      <c r="AM1293" t="str">
        <f>""</f>
        <v/>
      </c>
      <c r="AN1293" t="str">
        <f>""</f>
        <v/>
      </c>
      <c r="AO1293" t="str">
        <f>""</f>
        <v/>
      </c>
      <c r="AP1293" t="str">
        <f>""</f>
        <v/>
      </c>
      <c r="AQ1293" t="str">
        <f>""</f>
        <v/>
      </c>
      <c r="AR1293" t="str">
        <f>""</f>
        <v/>
      </c>
      <c r="AS1293" t="str">
        <f>""</f>
        <v/>
      </c>
      <c r="AT1293" t="str">
        <f>""</f>
        <v/>
      </c>
      <c r="AU1293" t="str">
        <f>""</f>
        <v/>
      </c>
      <c r="AV1293" t="str">
        <f>""</f>
        <v/>
      </c>
      <c r="AW1293" t="str">
        <f>""</f>
        <v/>
      </c>
      <c r="AX1293" t="str">
        <f>""</f>
        <v/>
      </c>
      <c r="AY1293" t="str">
        <f>""</f>
        <v/>
      </c>
      <c r="AZ1293" t="str">
        <f>""</f>
        <v/>
      </c>
      <c r="BA1293" t="str">
        <f>""</f>
        <v/>
      </c>
      <c r="BB1293" t="str">
        <f>"07/10/2020 09:08:38"</f>
        <v>07/10/2020 09:08:38</v>
      </c>
      <c r="BC1293" t="str">
        <f>""</f>
        <v/>
      </c>
      <c r="BD1293" t="str">
        <f>""</f>
        <v/>
      </c>
      <c r="BE1293" t="str">
        <f>""</f>
        <v/>
      </c>
      <c r="BF1293" t="str">
        <f t="shared" si="650"/>
        <v>A</v>
      </c>
      <c r="BG1293" t="str">
        <f>""</f>
        <v/>
      </c>
      <c r="BH1293" t="str">
        <f>""</f>
        <v/>
      </c>
      <c r="BI1293" t="str">
        <f t="shared" si="656"/>
        <v>EVENTUAL</v>
      </c>
      <c r="BJ1293" t="str">
        <f t="shared" si="651"/>
        <v>1</v>
      </c>
      <c r="BK1293" t="str">
        <f t="shared" si="652"/>
        <v>Farmacia</v>
      </c>
      <c r="BL1293" t="str">
        <f>""</f>
        <v/>
      </c>
      <c r="BM1293" t="str">
        <f>"NÃO É VARILUX ESPECIALISTA"</f>
        <v>NÃO É VARILUX ESPECIALISTA</v>
      </c>
      <c r="BN1293" t="str">
        <f>"NA"</f>
        <v>NA</v>
      </c>
      <c r="BO1293" t="str">
        <f>"FOCO KODAK 2"</f>
        <v>FOCO KODAK 2</v>
      </c>
      <c r="BP1293" t="str">
        <f>""</f>
        <v/>
      </c>
      <c r="BQ1293" t="str">
        <f>""</f>
        <v/>
      </c>
      <c r="BR1293" t="str">
        <f>"07/10/2020"</f>
        <v>07/10/2020</v>
      </c>
      <c r="BS1293" t="str">
        <f>""</f>
        <v/>
      </c>
      <c r="BT1293" t="str">
        <f>""</f>
        <v/>
      </c>
      <c r="BU1293" t="str">
        <f>""</f>
        <v/>
      </c>
      <c r="BV1293" t="str">
        <f>"9"</f>
        <v>9</v>
      </c>
      <c r="BW1293" t="str">
        <f>"1"</f>
        <v>1</v>
      </c>
    </row>
    <row r="1294" spans="1:75" x14ac:dyDescent="0.35">
      <c r="A1294">
        <v>117443</v>
      </c>
      <c r="B1294" t="str">
        <f t="shared" si="647"/>
        <v>A</v>
      </c>
      <c r="C1294" t="str">
        <f t="shared" si="648"/>
        <v>80</v>
      </c>
      <c r="D1294" t="str">
        <f t="shared" si="637"/>
        <v>11121004</v>
      </c>
      <c r="E1294" t="str">
        <f t="shared" si="638"/>
        <v>121004</v>
      </c>
      <c r="F1294" t="str">
        <f t="shared" si="639"/>
        <v>FABIANA GODOY</v>
      </c>
      <c r="G1294" t="str">
        <f>"06102194000112"</f>
        <v>06102194000112</v>
      </c>
      <c r="H1294" t="str">
        <f t="shared" si="641"/>
        <v>0</v>
      </c>
      <c r="I1294" t="str">
        <f t="shared" si="649"/>
        <v>CONTA OPTICA</v>
      </c>
      <c r="J1294" t="str">
        <f>"ATF ACESSORIOS DE MODA LTDA EPP"</f>
        <v>ATF ACESSORIOS DE MODA LTDA EPP</v>
      </c>
      <c r="K1294" t="str">
        <f>"CHILLI BEANS (2151)"</f>
        <v>CHILLI BEANS (2151)</v>
      </c>
      <c r="L1294" t="str">
        <f>""</f>
        <v/>
      </c>
      <c r="M1294" t="str">
        <f>""</f>
        <v/>
      </c>
      <c r="N1294" t="str">
        <f>""</f>
        <v/>
      </c>
      <c r="O1294" t="str">
        <f>""</f>
        <v/>
      </c>
      <c r="P1294" t="str">
        <f>"RUA SANTA CATARINA"</f>
        <v>RUA SANTA CATARINA</v>
      </c>
      <c r="Q1294" t="str">
        <f>"01"</f>
        <v>01</v>
      </c>
      <c r="R1294" t="str">
        <f>"LOJA 61"</f>
        <v>LOJA 61</v>
      </c>
      <c r="S1294" t="str">
        <f>"1262"</f>
        <v>1262</v>
      </c>
      <c r="T1294" t="str">
        <f>"88339005"</f>
        <v>88339005</v>
      </c>
      <c r="U1294" t="str">
        <f>"ESTADOS"</f>
        <v>ESTADOS</v>
      </c>
      <c r="V1294" t="str">
        <f>"BALNEÁRIO CAMBORIÚ"</f>
        <v>BALNEÁRIO CAMBORIÚ</v>
      </c>
      <c r="W1294" t="str">
        <f t="shared" si="636"/>
        <v>SC</v>
      </c>
      <c r="X1294" t="str">
        <f>"48"</f>
        <v>48</v>
      </c>
      <c r="Y1294" t="str">
        <f>"30243492"</f>
        <v>30243492</v>
      </c>
      <c r="Z1294" t="str">
        <f>""</f>
        <v/>
      </c>
      <c r="AA1294" t="str">
        <f>""</f>
        <v/>
      </c>
      <c r="AB1294" t="str">
        <f>""</f>
        <v/>
      </c>
      <c r="AC1294" t="str">
        <f>""</f>
        <v/>
      </c>
      <c r="AD1294" t="str">
        <f>""</f>
        <v/>
      </c>
      <c r="AE1294" t="str">
        <f>""</f>
        <v/>
      </c>
      <c r="AF1294" t="str">
        <f>""</f>
        <v/>
      </c>
      <c r="AG1294" t="str">
        <f>""</f>
        <v/>
      </c>
      <c r="AH1294" t="str">
        <f>""</f>
        <v/>
      </c>
      <c r="AI1294" t="str">
        <f>""</f>
        <v/>
      </c>
      <c r="AJ1294" t="str">
        <f>"0"</f>
        <v>0</v>
      </c>
      <c r="AK1294" t="str">
        <f>"0"</f>
        <v>0</v>
      </c>
      <c r="AL1294" t="str">
        <f>"0"</f>
        <v>0</v>
      </c>
      <c r="AM1294" t="str">
        <f>""</f>
        <v/>
      </c>
      <c r="AN1294" t="str">
        <f>""</f>
        <v/>
      </c>
      <c r="AO1294" t="str">
        <f>""</f>
        <v/>
      </c>
      <c r="AP1294" t="str">
        <f>""</f>
        <v/>
      </c>
      <c r="AQ1294" t="str">
        <f>""</f>
        <v/>
      </c>
      <c r="AR1294" t="str">
        <f>""</f>
        <v/>
      </c>
      <c r="AS1294" t="str">
        <f>""</f>
        <v/>
      </c>
      <c r="AT1294" t="str">
        <f>""</f>
        <v/>
      </c>
      <c r="AU1294" t="str">
        <f>""</f>
        <v/>
      </c>
      <c r="AV1294" t="str">
        <f>""</f>
        <v/>
      </c>
      <c r="AW1294" t="str">
        <f>""</f>
        <v/>
      </c>
      <c r="AX1294" t="str">
        <f>""</f>
        <v/>
      </c>
      <c r="AY1294" t="str">
        <f>""</f>
        <v/>
      </c>
      <c r="AZ1294" t="str">
        <f>""</f>
        <v/>
      </c>
      <c r="BA1294" t="str">
        <f>""</f>
        <v/>
      </c>
      <c r="BB1294" t="str">
        <f>"22/07/2020 08:24:23"</f>
        <v>22/07/2020 08:24:23</v>
      </c>
      <c r="BC1294" t="str">
        <f>""</f>
        <v/>
      </c>
      <c r="BD1294" t="str">
        <f>""</f>
        <v/>
      </c>
      <c r="BE1294" t="str">
        <f>""</f>
        <v/>
      </c>
      <c r="BF1294" t="str">
        <f t="shared" si="650"/>
        <v>A</v>
      </c>
      <c r="BG1294" t="str">
        <f>"0,00"</f>
        <v>0,00</v>
      </c>
      <c r="BH1294" t="str">
        <f>"0,00"</f>
        <v>0,00</v>
      </c>
      <c r="BI1294" t="str">
        <f t="shared" si="656"/>
        <v>EVENTUAL</v>
      </c>
      <c r="BJ1294" t="str">
        <f t="shared" si="651"/>
        <v>1</v>
      </c>
      <c r="BK1294" t="str">
        <f t="shared" si="652"/>
        <v>Farmacia</v>
      </c>
      <c r="BL1294" t="str">
        <f>""</f>
        <v/>
      </c>
      <c r="BM1294" t="str">
        <f>"NÃO É VARILUX ESPECIALISTA"</f>
        <v>NÃO É VARILUX ESPECIALISTA</v>
      </c>
      <c r="BN1294" t="str">
        <f>"NA"</f>
        <v>NA</v>
      </c>
      <c r="BO1294" t="str">
        <f>"FOCO VARILUX"</f>
        <v>FOCO VARILUX</v>
      </c>
      <c r="BP1294" t="str">
        <f>""</f>
        <v/>
      </c>
      <c r="BQ1294" t="str">
        <f>""</f>
        <v/>
      </c>
      <c r="BR1294" t="str">
        <f>"22/07/2020"</f>
        <v>22/07/2020</v>
      </c>
      <c r="BS1294" t="str">
        <f>""</f>
        <v/>
      </c>
      <c r="BT1294" t="str">
        <f>""</f>
        <v/>
      </c>
      <c r="BU1294" t="str">
        <f>""</f>
        <v/>
      </c>
      <c r="BV1294" t="str">
        <f>"9"</f>
        <v>9</v>
      </c>
      <c r="BW1294" t="str">
        <f>"Não visitado"</f>
        <v>Não visitado</v>
      </c>
    </row>
    <row r="1295" spans="1:75" x14ac:dyDescent="0.35">
      <c r="A1295">
        <v>144883</v>
      </c>
      <c r="B1295" t="str">
        <f t="shared" si="647"/>
        <v>A</v>
      </c>
      <c r="C1295" t="str">
        <f t="shared" si="648"/>
        <v>80</v>
      </c>
      <c r="D1295" t="str">
        <f t="shared" si="637"/>
        <v>11121004</v>
      </c>
      <c r="E1295" t="str">
        <f t="shared" si="638"/>
        <v>121004</v>
      </c>
      <c r="F1295" t="str">
        <f t="shared" si="639"/>
        <v>FABIANA GODOY</v>
      </c>
      <c r="G1295" t="str">
        <f>"44475073000105"</f>
        <v>44475073000105</v>
      </c>
      <c r="H1295" t="str">
        <f t="shared" si="641"/>
        <v>0</v>
      </c>
      <c r="I1295" t="str">
        <f t="shared" si="649"/>
        <v>CONTA OPTICA</v>
      </c>
      <c r="J1295" t="str">
        <f>"ATK COMERCIO DE ARTIGOS PARA JOALHERIA E RELOJOARIA LTDA"</f>
        <v>ATK COMERCIO DE ARTIGOS PARA JOALHERIA E RELOJOARIA LTDA</v>
      </c>
      <c r="K1295" t="str">
        <f>"AUTENTIKA (4442)"</f>
        <v>AUTENTIKA (4442)</v>
      </c>
      <c r="L1295" t="str">
        <f>""</f>
        <v/>
      </c>
      <c r="M1295" t="str">
        <f>""</f>
        <v/>
      </c>
      <c r="N1295" t="str">
        <f>"SOCIETARIO8@CAPITALCONTADORES.COM.BR"</f>
        <v>SOCIETARIO8@CAPITALCONTADORES.COM.BR</v>
      </c>
      <c r="O1295" t="str">
        <f>""</f>
        <v/>
      </c>
      <c r="P1295" t="str">
        <f>"RUA 15 DE NOVEMBRO"</f>
        <v>RUA 15 DE NOVEMBRO</v>
      </c>
      <c r="Q1295" t="str">
        <f>"930"</f>
        <v>930</v>
      </c>
      <c r="R1295" t="str">
        <f>"LOJA"</f>
        <v>LOJA</v>
      </c>
      <c r="S1295" t="str">
        <f>"1271"</f>
        <v>1271</v>
      </c>
      <c r="T1295" t="str">
        <f>"89010002"</f>
        <v>89010002</v>
      </c>
      <c r="U1295" t="str">
        <f>"CENTRO"</f>
        <v>CENTRO</v>
      </c>
      <c r="V1295" t="str">
        <f>"BLUMENAU"</f>
        <v>BLUMENAU</v>
      </c>
      <c r="W1295" t="str">
        <f t="shared" si="636"/>
        <v>SC</v>
      </c>
      <c r="X1295" t="str">
        <f t="shared" ref="X1295:X1304" si="657">"47"</f>
        <v>47</v>
      </c>
      <c r="Y1295" t="str">
        <f>"33222100"</f>
        <v>33222100</v>
      </c>
      <c r="Z1295" t="str">
        <f>""</f>
        <v/>
      </c>
      <c r="AA1295" t="str">
        <f>""</f>
        <v/>
      </c>
      <c r="AB1295" t="str">
        <f>""</f>
        <v/>
      </c>
      <c r="AC1295" t="str">
        <f>""</f>
        <v/>
      </c>
      <c r="AD1295" t="str">
        <f>""</f>
        <v/>
      </c>
      <c r="AE1295" t="str">
        <f>""</f>
        <v/>
      </c>
      <c r="AF1295" t="str">
        <f>""</f>
        <v/>
      </c>
      <c r="AG1295" t="str">
        <f>"S"</f>
        <v>S</v>
      </c>
      <c r="AH1295" t="str">
        <f>""</f>
        <v/>
      </c>
      <c r="AI1295" t="str">
        <f>""</f>
        <v/>
      </c>
      <c r="AJ1295" t="str">
        <f>""</f>
        <v/>
      </c>
      <c r="AK1295" t="str">
        <f>""</f>
        <v/>
      </c>
      <c r="AL1295" t="str">
        <f>""</f>
        <v/>
      </c>
      <c r="AM1295" t="str">
        <f>""</f>
        <v/>
      </c>
      <c r="AN1295" t="str">
        <f>""</f>
        <v/>
      </c>
      <c r="AO1295" t="str">
        <f>""</f>
        <v/>
      </c>
      <c r="AP1295" t="str">
        <f>""</f>
        <v/>
      </c>
      <c r="AQ1295" t="str">
        <f>"N"</f>
        <v>N</v>
      </c>
      <c r="AR1295" t="str">
        <f>"N"</f>
        <v>N</v>
      </c>
      <c r="AS1295" t="str">
        <f>"N"</f>
        <v>N</v>
      </c>
      <c r="AT1295" t="str">
        <f>"N"</f>
        <v>N</v>
      </c>
      <c r="AU1295" t="str">
        <f>"N"</f>
        <v>N</v>
      </c>
      <c r="AV1295" t="str">
        <f>""</f>
        <v/>
      </c>
      <c r="AW1295" t="str">
        <f>""</f>
        <v/>
      </c>
      <c r="AX1295" t="str">
        <f>""</f>
        <v/>
      </c>
      <c r="AY1295" t="str">
        <f>""</f>
        <v/>
      </c>
      <c r="AZ1295" t="str">
        <f>""</f>
        <v/>
      </c>
      <c r="BA1295" t="str">
        <f>""</f>
        <v/>
      </c>
      <c r="BB1295" t="str">
        <f>"28/12/2021 17:14:38"</f>
        <v>28/12/2021 17:14:38</v>
      </c>
      <c r="BC1295" t="str">
        <f>"07/07/2023 12:21:06"</f>
        <v>07/07/2023 12:21:06</v>
      </c>
      <c r="BD1295" t="str">
        <f>""</f>
        <v/>
      </c>
      <c r="BE1295" t="str">
        <f>""</f>
        <v/>
      </c>
      <c r="BF1295" t="str">
        <f t="shared" si="650"/>
        <v>A</v>
      </c>
      <c r="BG1295" t="str">
        <f>""</f>
        <v/>
      </c>
      <c r="BH1295" t="str">
        <f>"0,00"</f>
        <v>0,00</v>
      </c>
      <c r="BI1295" t="str">
        <f t="shared" si="656"/>
        <v>EVENTUAL</v>
      </c>
      <c r="BJ1295" t="str">
        <f t="shared" si="651"/>
        <v>1</v>
      </c>
      <c r="BK1295" t="str">
        <f t="shared" si="652"/>
        <v>Farmacia</v>
      </c>
      <c r="BL1295" t="str">
        <f>""</f>
        <v/>
      </c>
      <c r="BM1295" t="str">
        <f>""</f>
        <v/>
      </c>
      <c r="BN1295" t="str">
        <f>""</f>
        <v/>
      </c>
      <c r="BO1295" t="str">
        <f>""</f>
        <v/>
      </c>
      <c r="BP1295" t="str">
        <f>""</f>
        <v/>
      </c>
      <c r="BQ1295" t="str">
        <f>""</f>
        <v/>
      </c>
      <c r="BR1295" t="str">
        <f>"28/12/2021"</f>
        <v>28/12/2021</v>
      </c>
      <c r="BS1295" t="str">
        <f>"07/07/2023"</f>
        <v>07/07/2023</v>
      </c>
      <c r="BT1295" t="str">
        <f>""</f>
        <v/>
      </c>
      <c r="BU1295" t="str">
        <f>""</f>
        <v/>
      </c>
      <c r="BV1295" t="str">
        <f>""</f>
        <v/>
      </c>
      <c r="BW1295" t="str">
        <f>"3"</f>
        <v>3</v>
      </c>
    </row>
    <row r="1296" spans="1:75" x14ac:dyDescent="0.35">
      <c r="A1296">
        <v>157746</v>
      </c>
      <c r="B1296" t="str">
        <f t="shared" si="647"/>
        <v>A</v>
      </c>
      <c r="C1296" t="str">
        <f t="shared" si="648"/>
        <v>80</v>
      </c>
      <c r="D1296" t="str">
        <f t="shared" si="637"/>
        <v>11121004</v>
      </c>
      <c r="E1296" t="str">
        <f t="shared" si="638"/>
        <v>121004</v>
      </c>
      <c r="F1296" t="str">
        <f t="shared" si="639"/>
        <v>FABIANA GODOY</v>
      </c>
      <c r="G1296" t="str">
        <f>"06062545000109"</f>
        <v>06062545000109</v>
      </c>
      <c r="H1296" t="str">
        <f t="shared" si="641"/>
        <v>0</v>
      </c>
      <c r="I1296" t="str">
        <f t="shared" si="649"/>
        <v>CONTA OPTICA</v>
      </c>
      <c r="J1296" t="str">
        <f>"AUTHENTIKA JOALHERIA RELOJOARIA E OPTICA LTDA  EPP"</f>
        <v>AUTHENTIKA JOALHERIA RELOJOARIA E OPTICA LTDA  EPP</v>
      </c>
      <c r="K1296" t="str">
        <f>"AUTHENTIKA JOALHERIA RELOJOARIA E OTICA LTDA ME (855)"</f>
        <v>AUTHENTIKA JOALHERIA RELOJOARIA E OTICA LTDA ME (855)</v>
      </c>
      <c r="L1296" t="str">
        <f>""</f>
        <v/>
      </c>
      <c r="M1296" t="str">
        <f>""</f>
        <v/>
      </c>
      <c r="N1296" t="str">
        <f>"AUTHENTIKA@AUTHENTIKA.COM.BR"</f>
        <v>AUTHENTIKA@AUTHENTIKA.COM.BR</v>
      </c>
      <c r="O1296" t="str">
        <f>""</f>
        <v/>
      </c>
      <c r="P1296" t="str">
        <f>"RUA XV DE NOVEMBRO"</f>
        <v>RUA XV DE NOVEMBRO</v>
      </c>
      <c r="Q1296" t="str">
        <f>"930"</f>
        <v>930</v>
      </c>
      <c r="R1296" t="str">
        <f>""</f>
        <v/>
      </c>
      <c r="S1296" t="str">
        <f>"1271"</f>
        <v>1271</v>
      </c>
      <c r="T1296" t="str">
        <f>"89010002"</f>
        <v>89010002</v>
      </c>
      <c r="U1296" t="str">
        <f>"CENTRO"</f>
        <v>CENTRO</v>
      </c>
      <c r="V1296" t="str">
        <f>"BLUMENAU"</f>
        <v>BLUMENAU</v>
      </c>
      <c r="W1296" t="str">
        <f t="shared" si="636"/>
        <v>SC</v>
      </c>
      <c r="X1296" t="str">
        <f t="shared" si="657"/>
        <v>47</v>
      </c>
      <c r="Y1296" t="str">
        <f>"32222100"</f>
        <v>32222100</v>
      </c>
      <c r="Z1296" t="str">
        <f>""</f>
        <v/>
      </c>
      <c r="AA1296" t="str">
        <f>""</f>
        <v/>
      </c>
      <c r="AB1296" t="str">
        <f>""</f>
        <v/>
      </c>
      <c r="AC1296" t="str">
        <f>""</f>
        <v/>
      </c>
      <c r="AD1296" t="str">
        <f>""</f>
        <v/>
      </c>
      <c r="AE1296" t="str">
        <f>""</f>
        <v/>
      </c>
      <c r="AF1296" t="str">
        <f>""</f>
        <v/>
      </c>
      <c r="AG1296" t="str">
        <f>""</f>
        <v/>
      </c>
      <c r="AH1296" t="str">
        <f>""</f>
        <v/>
      </c>
      <c r="AI1296" t="str">
        <f>""</f>
        <v/>
      </c>
      <c r="AJ1296" t="str">
        <f>""</f>
        <v/>
      </c>
      <c r="AK1296" t="str">
        <f>""</f>
        <v/>
      </c>
      <c r="AL1296" t="str">
        <f>""</f>
        <v/>
      </c>
      <c r="AM1296" t="str">
        <f>""</f>
        <v/>
      </c>
      <c r="AN1296" t="str">
        <f>""</f>
        <v/>
      </c>
      <c r="AO1296" t="str">
        <f>""</f>
        <v/>
      </c>
      <c r="AP1296" t="str">
        <f>""</f>
        <v/>
      </c>
      <c r="AQ1296" t="str">
        <f>""</f>
        <v/>
      </c>
      <c r="AR1296" t="str">
        <f>""</f>
        <v/>
      </c>
      <c r="AS1296" t="str">
        <f>""</f>
        <v/>
      </c>
      <c r="AT1296" t="str">
        <f>""</f>
        <v/>
      </c>
      <c r="AU1296" t="str">
        <f>""</f>
        <v/>
      </c>
      <c r="AV1296" t="str">
        <f>""</f>
        <v/>
      </c>
      <c r="AW1296" t="str">
        <f>""</f>
        <v/>
      </c>
      <c r="AX1296" t="str">
        <f>""</f>
        <v/>
      </c>
      <c r="AY1296" t="str">
        <f>""</f>
        <v/>
      </c>
      <c r="AZ1296" t="str">
        <f>""</f>
        <v/>
      </c>
      <c r="BA1296" t="str">
        <f>""</f>
        <v/>
      </c>
      <c r="BB1296" t="str">
        <f>"11/07/2023 02:26:32"</f>
        <v>11/07/2023 02:26:32</v>
      </c>
      <c r="BC1296" t="str">
        <f>""</f>
        <v/>
      </c>
      <c r="BD1296" t="str">
        <f>""</f>
        <v/>
      </c>
      <c r="BE1296" t="str">
        <f>""</f>
        <v/>
      </c>
      <c r="BF1296" t="str">
        <f t="shared" si="650"/>
        <v>A</v>
      </c>
      <c r="BG1296" t="str">
        <f>""</f>
        <v/>
      </c>
      <c r="BH1296" t="str">
        <f>""</f>
        <v/>
      </c>
      <c r="BI1296" t="str">
        <f t="shared" si="656"/>
        <v>EVENTUAL</v>
      </c>
      <c r="BJ1296" t="str">
        <f t="shared" si="651"/>
        <v>1</v>
      </c>
      <c r="BK1296" t="str">
        <f t="shared" si="652"/>
        <v>Farmacia</v>
      </c>
      <c r="BL1296" t="str">
        <f>""</f>
        <v/>
      </c>
      <c r="BM1296" t="str">
        <f>""</f>
        <v/>
      </c>
      <c r="BN1296" t="str">
        <f>""</f>
        <v/>
      </c>
      <c r="BO1296" t="str">
        <f>""</f>
        <v/>
      </c>
      <c r="BP1296" t="str">
        <f>""</f>
        <v/>
      </c>
      <c r="BQ1296" t="str">
        <f>""</f>
        <v/>
      </c>
      <c r="BR1296" t="str">
        <f>"11/07/2023"</f>
        <v>11/07/2023</v>
      </c>
      <c r="BS1296" t="str">
        <f>""</f>
        <v/>
      </c>
      <c r="BT1296" t="str">
        <f>""</f>
        <v/>
      </c>
      <c r="BU1296" t="str">
        <f>""</f>
        <v/>
      </c>
      <c r="BV1296" t="str">
        <f>""</f>
        <v/>
      </c>
      <c r="BW1296" t="str">
        <f>"Não visitado"</f>
        <v>Não visitado</v>
      </c>
    </row>
    <row r="1297" spans="1:75" x14ac:dyDescent="0.35">
      <c r="A1297">
        <v>117449</v>
      </c>
      <c r="B1297" t="str">
        <f t="shared" si="647"/>
        <v>A</v>
      </c>
      <c r="C1297" t="str">
        <f t="shared" si="648"/>
        <v>80</v>
      </c>
      <c r="D1297" t="str">
        <f t="shared" si="637"/>
        <v>11121004</v>
      </c>
      <c r="E1297" t="str">
        <f t="shared" si="638"/>
        <v>121004</v>
      </c>
      <c r="F1297" t="str">
        <f t="shared" si="639"/>
        <v>FABIANA GODOY</v>
      </c>
      <c r="G1297" t="str">
        <f>"02874839000184"</f>
        <v>02874839000184</v>
      </c>
      <c r="H1297" t="str">
        <f t="shared" si="641"/>
        <v>0</v>
      </c>
      <c r="I1297" t="str">
        <f t="shared" si="649"/>
        <v>CONTA OPTICA</v>
      </c>
      <c r="J1297" t="str">
        <f>"B.S. COM. DE PRODUTOS OPTICOS LTDA ME"</f>
        <v>B.S. COM. DE PRODUTOS OPTICOS LTDA ME</v>
      </c>
      <c r="K1297" t="str">
        <f>"OTICA UNIVERSO (1128)"</f>
        <v>OTICA UNIVERSO (1128)</v>
      </c>
      <c r="L1297" t="str">
        <f>""</f>
        <v/>
      </c>
      <c r="M1297" t="str">
        <f>""</f>
        <v/>
      </c>
      <c r="N1297" t="str">
        <f>"atendimento@oticauniverso.com.br"</f>
        <v>atendimento@oticauniverso.com.br</v>
      </c>
      <c r="O1297" t="str">
        <f>""</f>
        <v/>
      </c>
      <c r="P1297" t="str">
        <f>"RUA TIJUCAS"</f>
        <v>RUA TIJUCAS</v>
      </c>
      <c r="Q1297" t="str">
        <f>"147"</f>
        <v>147</v>
      </c>
      <c r="R1297" t="str">
        <f>""</f>
        <v/>
      </c>
      <c r="S1297" t="str">
        <f>"1261"</f>
        <v>1261</v>
      </c>
      <c r="T1297" t="str">
        <f>"88301000"</f>
        <v>88301000</v>
      </c>
      <c r="U1297" t="str">
        <f>"CENTRO"</f>
        <v>CENTRO</v>
      </c>
      <c r="V1297" t="str">
        <f>"ITAJAÍ"</f>
        <v>ITAJAÍ</v>
      </c>
      <c r="W1297" t="str">
        <f t="shared" si="636"/>
        <v>SC</v>
      </c>
      <c r="X1297" t="str">
        <f t="shared" si="657"/>
        <v>47</v>
      </c>
      <c r="Y1297" t="str">
        <f>"30452742"</f>
        <v>30452742</v>
      </c>
      <c r="Z1297" t="str">
        <f>""</f>
        <v/>
      </c>
      <c r="AA1297" t="str">
        <f>""</f>
        <v/>
      </c>
      <c r="AB1297" t="str">
        <f>""</f>
        <v/>
      </c>
      <c r="AC1297" t="str">
        <f>""</f>
        <v/>
      </c>
      <c r="AD1297" t="str">
        <f>""</f>
        <v/>
      </c>
      <c r="AE1297" t="str">
        <f>""</f>
        <v/>
      </c>
      <c r="AF1297" t="str">
        <f>""</f>
        <v/>
      </c>
      <c r="AG1297" t="str">
        <f>"S"</f>
        <v>S</v>
      </c>
      <c r="AH1297" t="str">
        <f>""</f>
        <v/>
      </c>
      <c r="AI1297" t="str">
        <f>""</f>
        <v/>
      </c>
      <c r="AJ1297" t="str">
        <f>"0"</f>
        <v>0</v>
      </c>
      <c r="AK1297" t="str">
        <f>"0"</f>
        <v>0</v>
      </c>
      <c r="AL1297" t="str">
        <f>"0"</f>
        <v>0</v>
      </c>
      <c r="AM1297" t="str">
        <f>""</f>
        <v/>
      </c>
      <c r="AN1297" t="str">
        <f>""</f>
        <v/>
      </c>
      <c r="AO1297" t="str">
        <f>""</f>
        <v/>
      </c>
      <c r="AP1297" t="str">
        <f>""</f>
        <v/>
      </c>
      <c r="AQ1297" t="str">
        <f t="shared" ref="AQ1297:AU1299" si="658">"N"</f>
        <v>N</v>
      </c>
      <c r="AR1297" t="str">
        <f t="shared" si="658"/>
        <v>N</v>
      </c>
      <c r="AS1297" t="str">
        <f t="shared" si="658"/>
        <v>N</v>
      </c>
      <c r="AT1297" t="str">
        <f t="shared" si="658"/>
        <v>N</v>
      </c>
      <c r="AU1297" t="str">
        <f t="shared" si="658"/>
        <v>N</v>
      </c>
      <c r="AV1297" t="str">
        <f>""</f>
        <v/>
      </c>
      <c r="AW1297" t="str">
        <f>""</f>
        <v/>
      </c>
      <c r="AX1297" t="str">
        <f>""</f>
        <v/>
      </c>
      <c r="AY1297" t="str">
        <f>""</f>
        <v/>
      </c>
      <c r="AZ1297" t="str">
        <f>""</f>
        <v/>
      </c>
      <c r="BA1297" t="str">
        <f>""</f>
        <v/>
      </c>
      <c r="BB1297" t="str">
        <f>"22/07/2020 08:24:23"</f>
        <v>22/07/2020 08:24:23</v>
      </c>
      <c r="BC1297" t="str">
        <f>"12/07/2023 15:11:59"</f>
        <v>12/07/2023 15:11:59</v>
      </c>
      <c r="BD1297" t="str">
        <f>""</f>
        <v/>
      </c>
      <c r="BE1297" t="str">
        <f>""</f>
        <v/>
      </c>
      <c r="BF1297" t="str">
        <f t="shared" si="650"/>
        <v>A</v>
      </c>
      <c r="BG1297" t="str">
        <f>"0,00"</f>
        <v>0,00</v>
      </c>
      <c r="BH1297" t="str">
        <f>"0,00"</f>
        <v>0,00</v>
      </c>
      <c r="BI1297" t="str">
        <f>"MENSAL"</f>
        <v>MENSAL</v>
      </c>
      <c r="BJ1297" t="str">
        <f t="shared" si="651"/>
        <v>1</v>
      </c>
      <c r="BK1297" t="str">
        <f t="shared" si="652"/>
        <v>Farmacia</v>
      </c>
      <c r="BL1297" t="str">
        <f>""</f>
        <v/>
      </c>
      <c r="BM1297" t="str">
        <f>"NÃO É VARILUX ESPECIALISTA"</f>
        <v>NÃO É VARILUX ESPECIALISTA</v>
      </c>
      <c r="BN1297" t="str">
        <f>""</f>
        <v/>
      </c>
      <c r="BO1297" t="str">
        <f>"FOCO KODAK 1"</f>
        <v>FOCO KODAK 1</v>
      </c>
      <c r="BP1297" t="str">
        <f>""</f>
        <v/>
      </c>
      <c r="BQ1297" t="str">
        <f>""</f>
        <v/>
      </c>
      <c r="BR1297" t="str">
        <f>"22/07/2020"</f>
        <v>22/07/2020</v>
      </c>
      <c r="BS1297" t="str">
        <f>"12/07/2023"</f>
        <v>12/07/2023</v>
      </c>
      <c r="BT1297" t="str">
        <f>""</f>
        <v/>
      </c>
      <c r="BU1297" t="str">
        <f>""</f>
        <v/>
      </c>
      <c r="BV1297" t="str">
        <f>"8"</f>
        <v>8</v>
      </c>
      <c r="BW1297" t="str">
        <f>"4"</f>
        <v>4</v>
      </c>
    </row>
    <row r="1298" spans="1:75" x14ac:dyDescent="0.35">
      <c r="A1298">
        <v>137544</v>
      </c>
      <c r="B1298" t="str">
        <f t="shared" si="647"/>
        <v>A</v>
      </c>
      <c r="C1298" t="str">
        <f t="shared" si="648"/>
        <v>80</v>
      </c>
      <c r="D1298" t="str">
        <f t="shared" si="637"/>
        <v>11121004</v>
      </c>
      <c r="E1298" t="str">
        <f t="shared" si="638"/>
        <v>121004</v>
      </c>
      <c r="F1298" t="str">
        <f t="shared" si="639"/>
        <v>FABIANA GODOY</v>
      </c>
      <c r="G1298" t="str">
        <f>"10369666000175"</f>
        <v>10369666000175</v>
      </c>
      <c r="H1298" t="str">
        <f t="shared" si="641"/>
        <v>0</v>
      </c>
      <c r="I1298" t="str">
        <f t="shared" si="649"/>
        <v>CONTA OPTICA</v>
      </c>
      <c r="J1298" t="str">
        <f>"BAUMANN RELOJOARIA E OTICA EIRELI - ME"</f>
        <v>BAUMANN RELOJOARIA E OTICA EIRELI - ME</v>
      </c>
      <c r="K1298" t="str">
        <f>"BAUMANN OTICA E RELOJOARIA (2283)"</f>
        <v>BAUMANN OTICA E RELOJOARIA (2283)</v>
      </c>
      <c r="L1298" t="str">
        <f>""</f>
        <v/>
      </c>
      <c r="M1298" t="str">
        <f>""</f>
        <v/>
      </c>
      <c r="N1298" t="str">
        <f>"oticabaumann@gmail.com"</f>
        <v>oticabaumann@gmail.com</v>
      </c>
      <c r="O1298" t="str">
        <f>""</f>
        <v/>
      </c>
      <c r="P1298" t="str">
        <f>"RUA JOSE QUINTINO PEREIRA"</f>
        <v>RUA JOSE QUINTINO PEREIRA</v>
      </c>
      <c r="Q1298" t="str">
        <f>"277"</f>
        <v>277</v>
      </c>
      <c r="R1298" t="str">
        <f>"SALA 1"</f>
        <v>SALA 1</v>
      </c>
      <c r="S1298" t="str">
        <f>"1263"</f>
        <v>1263</v>
      </c>
      <c r="T1298" t="str">
        <f>"88390000"</f>
        <v>88390000</v>
      </c>
      <c r="U1298" t="str">
        <f>"ITAJUBA"</f>
        <v>ITAJUBA</v>
      </c>
      <c r="V1298" t="str">
        <f>"BARRA VELHA"</f>
        <v>BARRA VELHA</v>
      </c>
      <c r="W1298" t="str">
        <f t="shared" si="636"/>
        <v>SC</v>
      </c>
      <c r="X1298" t="str">
        <f t="shared" si="657"/>
        <v>47</v>
      </c>
      <c r="Y1298" t="str">
        <f>"34561017"</f>
        <v>34561017</v>
      </c>
      <c r="Z1298" t="str">
        <f>""</f>
        <v/>
      </c>
      <c r="AA1298" t="str">
        <f>""</f>
        <v/>
      </c>
      <c r="AB1298" t="str">
        <f>""</f>
        <v/>
      </c>
      <c r="AC1298" t="str">
        <f>""</f>
        <v/>
      </c>
      <c r="AD1298" t="str">
        <f>""</f>
        <v/>
      </c>
      <c r="AE1298" t="str">
        <f>""</f>
        <v/>
      </c>
      <c r="AF1298" t="str">
        <f>""</f>
        <v/>
      </c>
      <c r="AG1298" t="str">
        <f>"S"</f>
        <v>S</v>
      </c>
      <c r="AH1298" t="str">
        <f>""</f>
        <v/>
      </c>
      <c r="AI1298" t="str">
        <f>""</f>
        <v/>
      </c>
      <c r="AJ1298" t="str">
        <f>""</f>
        <v/>
      </c>
      <c r="AK1298" t="str">
        <f>""</f>
        <v/>
      </c>
      <c r="AL1298" t="str">
        <f>""</f>
        <v/>
      </c>
      <c r="AM1298" t="str">
        <f>""</f>
        <v/>
      </c>
      <c r="AN1298" t="str">
        <f>""</f>
        <v/>
      </c>
      <c r="AO1298" t="str">
        <f>""</f>
        <v/>
      </c>
      <c r="AP1298" t="str">
        <f>""</f>
        <v/>
      </c>
      <c r="AQ1298" t="str">
        <f t="shared" si="658"/>
        <v>N</v>
      </c>
      <c r="AR1298" t="str">
        <f t="shared" si="658"/>
        <v>N</v>
      </c>
      <c r="AS1298" t="str">
        <f t="shared" si="658"/>
        <v>N</v>
      </c>
      <c r="AT1298" t="str">
        <f t="shared" si="658"/>
        <v>N</v>
      </c>
      <c r="AU1298" t="str">
        <f t="shared" si="658"/>
        <v>N</v>
      </c>
      <c r="AV1298" t="str">
        <f>""</f>
        <v/>
      </c>
      <c r="AW1298" t="str">
        <f>""</f>
        <v/>
      </c>
      <c r="AX1298" t="str">
        <f>""</f>
        <v/>
      </c>
      <c r="AY1298" t="str">
        <f>""</f>
        <v/>
      </c>
      <c r="AZ1298" t="str">
        <f>""</f>
        <v/>
      </c>
      <c r="BA1298" t="str">
        <f>""</f>
        <v/>
      </c>
      <c r="BB1298" t="str">
        <f>"01/07/2021 13:53:04"</f>
        <v>01/07/2021 13:53:04</v>
      </c>
      <c r="BC1298" t="str">
        <f>"14/02/2022 16:47:13"</f>
        <v>14/02/2022 16:47:13</v>
      </c>
      <c r="BD1298" t="str">
        <f>""</f>
        <v/>
      </c>
      <c r="BE1298" t="str">
        <f>""</f>
        <v/>
      </c>
      <c r="BF1298" t="str">
        <f t="shared" si="650"/>
        <v>A</v>
      </c>
      <c r="BG1298" t="str">
        <f>""</f>
        <v/>
      </c>
      <c r="BH1298" t="str">
        <f t="shared" ref="BH1298:BH1304" si="659">"0,00"</f>
        <v>0,00</v>
      </c>
      <c r="BI1298" t="str">
        <f t="shared" ref="BI1298:BI1303" si="660">"EVENTUAL"</f>
        <v>EVENTUAL</v>
      </c>
      <c r="BJ1298" t="str">
        <f t="shared" si="651"/>
        <v>1</v>
      </c>
      <c r="BK1298" t="str">
        <f t="shared" si="652"/>
        <v>Farmacia</v>
      </c>
      <c r="BL1298" t="str">
        <f>""</f>
        <v/>
      </c>
      <c r="BM1298" t="str">
        <f>"NÃO É VARILUX ESPECIALISTA"</f>
        <v>NÃO É VARILUX ESPECIALISTA</v>
      </c>
      <c r="BN1298" t="str">
        <f t="shared" ref="BN1298:BN1304" si="661">"NA"</f>
        <v>NA</v>
      </c>
      <c r="BO1298" t="str">
        <f>"FOCO KODAK 2"</f>
        <v>FOCO KODAK 2</v>
      </c>
      <c r="BP1298" t="str">
        <f>""</f>
        <v/>
      </c>
      <c r="BQ1298" t="str">
        <f>""</f>
        <v/>
      </c>
      <c r="BR1298" t="str">
        <f>"01/07/2021"</f>
        <v>01/07/2021</v>
      </c>
      <c r="BS1298" t="str">
        <f>"14/02/2022"</f>
        <v>14/02/2022</v>
      </c>
      <c r="BT1298" t="str">
        <f>""</f>
        <v/>
      </c>
      <c r="BU1298" t="str">
        <f>""</f>
        <v/>
      </c>
      <c r="BV1298" t="str">
        <f>""</f>
        <v/>
      </c>
      <c r="BW1298" t="str">
        <f>"31"</f>
        <v>31</v>
      </c>
    </row>
    <row r="1299" spans="1:75" x14ac:dyDescent="0.35">
      <c r="A1299">
        <v>137545</v>
      </c>
      <c r="B1299" t="str">
        <f t="shared" si="647"/>
        <v>A</v>
      </c>
      <c r="C1299" t="str">
        <f t="shared" si="648"/>
        <v>80</v>
      </c>
      <c r="D1299" t="str">
        <f t="shared" si="637"/>
        <v>11121004</v>
      </c>
      <c r="E1299" t="str">
        <f t="shared" si="638"/>
        <v>121004</v>
      </c>
      <c r="F1299" t="str">
        <f t="shared" si="639"/>
        <v>FABIANA GODOY</v>
      </c>
      <c r="G1299" t="str">
        <f>"29531243000138"</f>
        <v>29531243000138</v>
      </c>
      <c r="H1299" t="str">
        <f t="shared" si="641"/>
        <v>0</v>
      </c>
      <c r="I1299" t="str">
        <f t="shared" si="649"/>
        <v>CONTA OPTICA</v>
      </c>
      <c r="J1299" t="str">
        <f>"BELLA OTICA E RELOJOARIA LTDA"</f>
        <v>BELLA OTICA E RELOJOARIA LTDA</v>
      </c>
      <c r="K1299" t="str">
        <f>"BELLA OTICA (3864)"</f>
        <v>BELLA OTICA (3864)</v>
      </c>
      <c r="L1299" t="str">
        <f>""</f>
        <v/>
      </c>
      <c r="M1299" t="str">
        <f>""</f>
        <v/>
      </c>
      <c r="N1299" t="str">
        <f>"bellaoticablumenau@gmail.com"</f>
        <v>bellaoticablumenau@gmail.com</v>
      </c>
      <c r="O1299" t="str">
        <f>""</f>
        <v/>
      </c>
      <c r="P1299" t="str">
        <f>"RUA AMAZONAS"</f>
        <v>RUA AMAZONAS</v>
      </c>
      <c r="Q1299" t="str">
        <f>"3161"</f>
        <v>3161</v>
      </c>
      <c r="R1299" t="str">
        <f>"SALA 01"</f>
        <v>SALA 01</v>
      </c>
      <c r="S1299" t="str">
        <f>"1273"</f>
        <v>1273</v>
      </c>
      <c r="T1299" t="str">
        <f>"89020000"</f>
        <v>89020000</v>
      </c>
      <c r="U1299" t="str">
        <f>"GARCIA"</f>
        <v>GARCIA</v>
      </c>
      <c r="V1299" t="str">
        <f>"BLUMENAU"</f>
        <v>BLUMENAU</v>
      </c>
      <c r="W1299" t="str">
        <f t="shared" si="636"/>
        <v>SC</v>
      </c>
      <c r="X1299" t="str">
        <f t="shared" si="657"/>
        <v>47</v>
      </c>
      <c r="Y1299" t="str">
        <f>"30423040"</f>
        <v>30423040</v>
      </c>
      <c r="Z1299" t="str">
        <f>""</f>
        <v/>
      </c>
      <c r="AA1299" t="str">
        <f>""</f>
        <v/>
      </c>
      <c r="AB1299" t="str">
        <f>""</f>
        <v/>
      </c>
      <c r="AC1299" t="str">
        <f>""</f>
        <v/>
      </c>
      <c r="AD1299" t="str">
        <f>""</f>
        <v/>
      </c>
      <c r="AE1299" t="str">
        <f>""</f>
        <v/>
      </c>
      <c r="AF1299" t="str">
        <f>""</f>
        <v/>
      </c>
      <c r="AG1299" t="str">
        <f>"S"</f>
        <v>S</v>
      </c>
      <c r="AH1299" t="str">
        <f>""</f>
        <v/>
      </c>
      <c r="AI1299" t="str">
        <f>""</f>
        <v/>
      </c>
      <c r="AJ1299" t="str">
        <f>""</f>
        <v/>
      </c>
      <c r="AK1299" t="str">
        <f>""</f>
        <v/>
      </c>
      <c r="AL1299" t="str">
        <f>""</f>
        <v/>
      </c>
      <c r="AM1299" t="str">
        <f>""</f>
        <v/>
      </c>
      <c r="AN1299" t="str">
        <f>""</f>
        <v/>
      </c>
      <c r="AO1299" t="str">
        <f>""</f>
        <v/>
      </c>
      <c r="AP1299" t="str">
        <f>""</f>
        <v/>
      </c>
      <c r="AQ1299" t="str">
        <f t="shared" si="658"/>
        <v>N</v>
      </c>
      <c r="AR1299" t="str">
        <f t="shared" si="658"/>
        <v>N</v>
      </c>
      <c r="AS1299" t="str">
        <f t="shared" si="658"/>
        <v>N</v>
      </c>
      <c r="AT1299" t="str">
        <f t="shared" si="658"/>
        <v>N</v>
      </c>
      <c r="AU1299" t="str">
        <f t="shared" si="658"/>
        <v>N</v>
      </c>
      <c r="AV1299" t="str">
        <f>""</f>
        <v/>
      </c>
      <c r="AW1299" t="str">
        <f>""</f>
        <v/>
      </c>
      <c r="AX1299" t="str">
        <f>""</f>
        <v/>
      </c>
      <c r="AY1299" t="str">
        <f>""</f>
        <v/>
      </c>
      <c r="AZ1299" t="str">
        <f>""</f>
        <v/>
      </c>
      <c r="BA1299" t="str">
        <f>""</f>
        <v/>
      </c>
      <c r="BB1299" t="str">
        <f>"01/07/2021 13:53:04"</f>
        <v>01/07/2021 13:53:04</v>
      </c>
      <c r="BC1299" t="str">
        <f>"08/04/2022 14:57:43"</f>
        <v>08/04/2022 14:57:43</v>
      </c>
      <c r="BD1299" t="str">
        <f>""</f>
        <v/>
      </c>
      <c r="BE1299" t="str">
        <f>""</f>
        <v/>
      </c>
      <c r="BF1299" t="str">
        <f t="shared" si="650"/>
        <v>A</v>
      </c>
      <c r="BG1299" t="str">
        <f>""</f>
        <v/>
      </c>
      <c r="BH1299" t="str">
        <f t="shared" si="659"/>
        <v>0,00</v>
      </c>
      <c r="BI1299" t="str">
        <f t="shared" si="660"/>
        <v>EVENTUAL</v>
      </c>
      <c r="BJ1299" t="str">
        <f t="shared" si="651"/>
        <v>1</v>
      </c>
      <c r="BK1299" t="str">
        <f t="shared" si="652"/>
        <v>Farmacia</v>
      </c>
      <c r="BL1299" t="str">
        <f>""</f>
        <v/>
      </c>
      <c r="BM1299" t="str">
        <f>"NÃO É VARILUX ESPECIALISTA"</f>
        <v>NÃO É VARILUX ESPECIALISTA</v>
      </c>
      <c r="BN1299" t="str">
        <f t="shared" si="661"/>
        <v>NA</v>
      </c>
      <c r="BO1299" t="str">
        <f>"FOCO KODAK 2"</f>
        <v>FOCO KODAK 2</v>
      </c>
      <c r="BP1299" t="str">
        <f>""</f>
        <v/>
      </c>
      <c r="BQ1299" t="str">
        <f>""</f>
        <v/>
      </c>
      <c r="BR1299" t="str">
        <f>"01/07/2021"</f>
        <v>01/07/2021</v>
      </c>
      <c r="BS1299" t="str">
        <f>"08/04/2022"</f>
        <v>08/04/2022</v>
      </c>
      <c r="BT1299" t="str">
        <f>""</f>
        <v/>
      </c>
      <c r="BU1299" t="str">
        <f>""</f>
        <v/>
      </c>
      <c r="BV1299" t="str">
        <f>""</f>
        <v/>
      </c>
      <c r="BW1299" t="str">
        <f>"1"</f>
        <v>1</v>
      </c>
    </row>
    <row r="1300" spans="1:75" x14ac:dyDescent="0.35">
      <c r="A1300">
        <v>1234</v>
      </c>
      <c r="B1300" t="str">
        <f t="shared" si="647"/>
        <v>A</v>
      </c>
      <c r="C1300" t="str">
        <f t="shared" si="648"/>
        <v>80</v>
      </c>
      <c r="D1300" t="str">
        <f t="shared" si="637"/>
        <v>11121004</v>
      </c>
      <c r="E1300" t="str">
        <f t="shared" si="638"/>
        <v>121004</v>
      </c>
      <c r="F1300" t="str">
        <f t="shared" si="639"/>
        <v>FABIANA GODOY</v>
      </c>
      <c r="G1300" t="str">
        <f>"01408661000113"</f>
        <v>01408661000113</v>
      </c>
      <c r="H1300" t="str">
        <f>""</f>
        <v/>
      </c>
      <c r="I1300" t="str">
        <f t="shared" si="649"/>
        <v>CONTA OPTICA</v>
      </c>
      <c r="J1300" t="str">
        <f>"BERNARDINO  OCULOS  RELOGIOS JOIAS LTDA"</f>
        <v>BERNARDINO  OCULOS  RELOGIOS JOIAS LTDA</v>
      </c>
      <c r="K1300" t="str">
        <f>"BERNARDINO (1356)"</f>
        <v>BERNARDINO (1356)</v>
      </c>
      <c r="L1300" t="str">
        <f>""</f>
        <v/>
      </c>
      <c r="M1300" t="str">
        <f>""</f>
        <v/>
      </c>
      <c r="N1300" t="str">
        <f>"relojoariabernardino@hotmail.com"</f>
        <v>relojoariabernardino@hotmail.com</v>
      </c>
      <c r="O1300" t="str">
        <f>""</f>
        <v/>
      </c>
      <c r="P1300" t="str">
        <f>"RUA CORONEL ARISTILIANO RAMOS"</f>
        <v>RUA CORONEL ARISTILIANO RAMOS</v>
      </c>
      <c r="Q1300" t="str">
        <f>"190"</f>
        <v>190</v>
      </c>
      <c r="R1300" t="str">
        <f>"SALA 03"</f>
        <v>SALA 03</v>
      </c>
      <c r="S1300" t="str">
        <f>"1274"</f>
        <v>1274</v>
      </c>
      <c r="T1300" t="str">
        <f>"89110000"</f>
        <v>89110000</v>
      </c>
      <c r="U1300" t="str">
        <f>"CENTRO"</f>
        <v>CENTRO</v>
      </c>
      <c r="V1300" t="str">
        <f>"GASPAR"</f>
        <v>GASPAR</v>
      </c>
      <c r="W1300" t="str">
        <f t="shared" si="636"/>
        <v>SC</v>
      </c>
      <c r="X1300" t="str">
        <f t="shared" si="657"/>
        <v>47</v>
      </c>
      <c r="Y1300" t="str">
        <f>"33325078"</f>
        <v>33325078</v>
      </c>
      <c r="Z1300" t="str">
        <f>""</f>
        <v/>
      </c>
      <c r="AA1300" t="str">
        <f>""</f>
        <v/>
      </c>
      <c r="AB1300" t="str">
        <f>""</f>
        <v/>
      </c>
      <c r="AC1300" t="str">
        <f>""</f>
        <v/>
      </c>
      <c r="AD1300" t="str">
        <f>""</f>
        <v/>
      </c>
      <c r="AE1300" t="str">
        <f>""</f>
        <v/>
      </c>
      <c r="AF1300" t="str">
        <f>""</f>
        <v/>
      </c>
      <c r="AG1300" t="str">
        <f>""</f>
        <v/>
      </c>
      <c r="AH1300" t="str">
        <f>""</f>
        <v/>
      </c>
      <c r="AI1300" t="str">
        <f>""</f>
        <v/>
      </c>
      <c r="AJ1300" t="str">
        <f>"0"</f>
        <v>0</v>
      </c>
      <c r="AK1300" t="str">
        <f>"0"</f>
        <v>0</v>
      </c>
      <c r="AL1300" t="str">
        <f>"0"</f>
        <v>0</v>
      </c>
      <c r="AM1300" t="str">
        <f>""</f>
        <v/>
      </c>
      <c r="AN1300" t="str">
        <f>""</f>
        <v/>
      </c>
      <c r="AO1300" t="str">
        <f>""</f>
        <v/>
      </c>
      <c r="AP1300" t="str">
        <f>""</f>
        <v/>
      </c>
      <c r="AQ1300" t="str">
        <f>""</f>
        <v/>
      </c>
      <c r="AR1300" t="str">
        <f>""</f>
        <v/>
      </c>
      <c r="AS1300" t="str">
        <f>""</f>
        <v/>
      </c>
      <c r="AT1300" t="str">
        <f>""</f>
        <v/>
      </c>
      <c r="AU1300" t="str">
        <f>""</f>
        <v/>
      </c>
      <c r="AV1300" t="str">
        <f>""</f>
        <v/>
      </c>
      <c r="AW1300" t="str">
        <f>""</f>
        <v/>
      </c>
      <c r="AX1300" t="str">
        <f>""</f>
        <v/>
      </c>
      <c r="AY1300" t="str">
        <f>""</f>
        <v/>
      </c>
      <c r="AZ1300" t="str">
        <f>""</f>
        <v/>
      </c>
      <c r="BA1300" t="str">
        <f>""</f>
        <v/>
      </c>
      <c r="BB1300" t="str">
        <f>"27/07/2018 09:26:11"</f>
        <v>27/07/2018 09:26:11</v>
      </c>
      <c r="BC1300" t="str">
        <f>""</f>
        <v/>
      </c>
      <c r="BD1300" t="str">
        <f>""</f>
        <v/>
      </c>
      <c r="BE1300" t="str">
        <f>"1234"</f>
        <v>1234</v>
      </c>
      <c r="BF1300" t="str">
        <f t="shared" si="650"/>
        <v>A</v>
      </c>
      <c r="BG1300" t="str">
        <f>"0,00"</f>
        <v>0,00</v>
      </c>
      <c r="BH1300" t="str">
        <f t="shared" si="659"/>
        <v>0,00</v>
      </c>
      <c r="BI1300" t="str">
        <f t="shared" si="660"/>
        <v>EVENTUAL</v>
      </c>
      <c r="BJ1300" t="str">
        <f t="shared" si="651"/>
        <v>1</v>
      </c>
      <c r="BK1300" t="str">
        <f t="shared" si="652"/>
        <v>Farmacia</v>
      </c>
      <c r="BL1300" t="str">
        <f>""</f>
        <v/>
      </c>
      <c r="BM1300" t="str">
        <f>"NÃO É VARILUX ESPECIALISTA"</f>
        <v>NÃO É VARILUX ESPECIALISTA</v>
      </c>
      <c r="BN1300" t="str">
        <f t="shared" si="661"/>
        <v>NA</v>
      </c>
      <c r="BO1300" t="str">
        <f>"FOCO VARILUX DIGITAL"</f>
        <v>FOCO VARILUX DIGITAL</v>
      </c>
      <c r="BP1300" t="str">
        <f>""</f>
        <v/>
      </c>
      <c r="BQ1300" t="str">
        <f>""</f>
        <v/>
      </c>
      <c r="BR1300" t="str">
        <f>"27/07/2018"</f>
        <v>27/07/2018</v>
      </c>
      <c r="BS1300" t="str">
        <f>""</f>
        <v/>
      </c>
      <c r="BT1300" t="str">
        <f>""</f>
        <v/>
      </c>
      <c r="BU1300" t="str">
        <f>""</f>
        <v/>
      </c>
      <c r="BV1300" t="str">
        <f>"5"</f>
        <v>5</v>
      </c>
      <c r="BW1300" t="str">
        <f>"2"</f>
        <v>2</v>
      </c>
    </row>
    <row r="1301" spans="1:75" x14ac:dyDescent="0.35">
      <c r="A1301">
        <v>137547</v>
      </c>
      <c r="B1301" t="str">
        <f t="shared" si="647"/>
        <v>A</v>
      </c>
      <c r="C1301" t="str">
        <f t="shared" si="648"/>
        <v>80</v>
      </c>
      <c r="D1301" t="str">
        <f t="shared" si="637"/>
        <v>11121004</v>
      </c>
      <c r="E1301" t="str">
        <f t="shared" si="638"/>
        <v>121004</v>
      </c>
      <c r="F1301" t="str">
        <f t="shared" si="639"/>
        <v>FABIANA GODOY</v>
      </c>
      <c r="G1301" t="str">
        <f>"35978308000271"</f>
        <v>35978308000271</v>
      </c>
      <c r="H1301" t="str">
        <f>"0"</f>
        <v>0</v>
      </c>
      <c r="I1301" t="str">
        <f t="shared" si="649"/>
        <v>CONTA OPTICA</v>
      </c>
      <c r="J1301" t="str">
        <f>"BLING OTICA UPP LTDA"</f>
        <v>BLING OTICA UPP LTDA</v>
      </c>
      <c r="K1301" t="str">
        <f>"OTICAS CAROL (4108)"</f>
        <v>OTICAS CAROL (4108)</v>
      </c>
      <c r="L1301" t="str">
        <f>""</f>
        <v/>
      </c>
      <c r="M1301" t="str">
        <f>""</f>
        <v/>
      </c>
      <c r="N1301" t="str">
        <f>"supervisao.floripa@oticascarol.com.br"</f>
        <v>supervisao.floripa@oticascarol.com.br</v>
      </c>
      <c r="O1301" t="str">
        <f>""</f>
        <v/>
      </c>
      <c r="P1301" t="str">
        <f>"RODOVIA BR-470"</f>
        <v>RODOVIA BR-470</v>
      </c>
      <c r="Q1301" t="str">
        <f>"3000"</f>
        <v>3000</v>
      </c>
      <c r="R1301" t="str">
        <f>"SALA L104"</f>
        <v>SALA L104</v>
      </c>
      <c r="S1301" t="str">
        <f>"1273"</f>
        <v>1273</v>
      </c>
      <c r="T1301" t="str">
        <f>"89065800"</f>
        <v>89065800</v>
      </c>
      <c r="U1301" t="str">
        <f>"SALTO DO NORTE"</f>
        <v>SALTO DO NORTE</v>
      </c>
      <c r="V1301" t="str">
        <f>"BLUMENAU"</f>
        <v>BLUMENAU</v>
      </c>
      <c r="W1301" t="str">
        <f t="shared" si="636"/>
        <v>SC</v>
      </c>
      <c r="X1301" t="str">
        <f t="shared" si="657"/>
        <v>47</v>
      </c>
      <c r="Y1301" t="str">
        <f>"30572233"</f>
        <v>30572233</v>
      </c>
      <c r="Z1301" t="str">
        <f>""</f>
        <v/>
      </c>
      <c r="AA1301" t="str">
        <f>""</f>
        <v/>
      </c>
      <c r="AB1301" t="str">
        <f>""</f>
        <v/>
      </c>
      <c r="AC1301" t="str">
        <f>""</f>
        <v/>
      </c>
      <c r="AD1301" t="str">
        <f>""</f>
        <v/>
      </c>
      <c r="AE1301" t="str">
        <f>""</f>
        <v/>
      </c>
      <c r="AF1301" t="str">
        <f>""</f>
        <v/>
      </c>
      <c r="AG1301" t="str">
        <f>"S"</f>
        <v>S</v>
      </c>
      <c r="AH1301" t="str">
        <f>""</f>
        <v/>
      </c>
      <c r="AI1301" t="str">
        <f>""</f>
        <v/>
      </c>
      <c r="AJ1301" t="str">
        <f>""</f>
        <v/>
      </c>
      <c r="AK1301" t="str">
        <f>""</f>
        <v/>
      </c>
      <c r="AL1301" t="str">
        <f>""</f>
        <v/>
      </c>
      <c r="AM1301" t="str">
        <f>""</f>
        <v/>
      </c>
      <c r="AN1301" t="str">
        <f>""</f>
        <v/>
      </c>
      <c r="AO1301" t="str">
        <f>""</f>
        <v/>
      </c>
      <c r="AP1301" t="str">
        <f>""</f>
        <v/>
      </c>
      <c r="AQ1301" t="str">
        <f t="shared" ref="AQ1301:AU1302" si="662">"N"</f>
        <v>N</v>
      </c>
      <c r="AR1301" t="str">
        <f t="shared" si="662"/>
        <v>N</v>
      </c>
      <c r="AS1301" t="str">
        <f t="shared" si="662"/>
        <v>N</v>
      </c>
      <c r="AT1301" t="str">
        <f t="shared" si="662"/>
        <v>N</v>
      </c>
      <c r="AU1301" t="str">
        <f t="shared" si="662"/>
        <v>N</v>
      </c>
      <c r="AV1301" t="str">
        <f>""</f>
        <v/>
      </c>
      <c r="AW1301" t="str">
        <f>""</f>
        <v/>
      </c>
      <c r="AX1301" t="str">
        <f>""</f>
        <v/>
      </c>
      <c r="AY1301" t="str">
        <f>""</f>
        <v/>
      </c>
      <c r="AZ1301" t="str">
        <f>""</f>
        <v/>
      </c>
      <c r="BA1301" t="str">
        <f>""</f>
        <v/>
      </c>
      <c r="BB1301" t="str">
        <f>"01/07/2021 13:53:04"</f>
        <v>01/07/2021 13:53:04</v>
      </c>
      <c r="BC1301" t="str">
        <f>"07/07/2023 11:15:14"</f>
        <v>07/07/2023 11:15:14</v>
      </c>
      <c r="BD1301" t="str">
        <f>""</f>
        <v/>
      </c>
      <c r="BE1301" t="str">
        <f>""</f>
        <v/>
      </c>
      <c r="BF1301" t="str">
        <f t="shared" si="650"/>
        <v>A</v>
      </c>
      <c r="BG1301" t="str">
        <f>""</f>
        <v/>
      </c>
      <c r="BH1301" t="str">
        <f t="shared" si="659"/>
        <v>0,00</v>
      </c>
      <c r="BI1301" t="str">
        <f t="shared" si="660"/>
        <v>EVENTUAL</v>
      </c>
      <c r="BJ1301" t="str">
        <f t="shared" si="651"/>
        <v>1</v>
      </c>
      <c r="BK1301" t="str">
        <f t="shared" si="652"/>
        <v>Farmacia</v>
      </c>
      <c r="BL1301" t="str">
        <f>""</f>
        <v/>
      </c>
      <c r="BM1301" t="str">
        <f>"VARILUX ESPECIALISTA PLATINE"</f>
        <v>VARILUX ESPECIALISTA PLATINE</v>
      </c>
      <c r="BN1301" t="str">
        <f t="shared" si="661"/>
        <v>NA</v>
      </c>
      <c r="BO1301" t="str">
        <f>"FOCO VARILUX DIGITAL"</f>
        <v>FOCO VARILUX DIGITAL</v>
      </c>
      <c r="BP1301" t="str">
        <f>""</f>
        <v/>
      </c>
      <c r="BQ1301" t="str">
        <f>""</f>
        <v/>
      </c>
      <c r="BR1301" t="str">
        <f>"01/07/2021"</f>
        <v>01/07/2021</v>
      </c>
      <c r="BS1301" t="str">
        <f>"07/07/2023"</f>
        <v>07/07/2023</v>
      </c>
      <c r="BT1301" t="str">
        <f>""</f>
        <v/>
      </c>
      <c r="BU1301" t="str">
        <f>""</f>
        <v/>
      </c>
      <c r="BV1301" t="str">
        <f>""</f>
        <v/>
      </c>
      <c r="BW1301" t="str">
        <f>"16"</f>
        <v>16</v>
      </c>
    </row>
    <row r="1302" spans="1:75" x14ac:dyDescent="0.35">
      <c r="A1302">
        <v>137548</v>
      </c>
      <c r="B1302" t="str">
        <f t="shared" si="647"/>
        <v>A</v>
      </c>
      <c r="C1302" t="str">
        <f t="shared" si="648"/>
        <v>80</v>
      </c>
      <c r="D1302" t="str">
        <f t="shared" si="637"/>
        <v>11121004</v>
      </c>
      <c r="E1302" t="str">
        <f t="shared" si="638"/>
        <v>121004</v>
      </c>
      <c r="F1302" t="str">
        <f t="shared" si="639"/>
        <v>FABIANA GODOY</v>
      </c>
      <c r="G1302" t="str">
        <f>"26416439000193"</f>
        <v>26416439000193</v>
      </c>
      <c r="H1302" t="str">
        <f>"0"</f>
        <v>0</v>
      </c>
      <c r="I1302" t="str">
        <f t="shared" si="649"/>
        <v>CONTA OPTICA</v>
      </c>
      <c r="J1302" t="str">
        <f>"BLJC COMERCIO DE ACESSORIOS EIRELI"</f>
        <v>BLJC COMERCIO DE ACESSORIOS EIRELI</v>
      </c>
      <c r="K1302" t="str">
        <f>"LIVO BALNEARIO SHOPPING (4105)"</f>
        <v>LIVO BALNEARIO SHOPPING (4105)</v>
      </c>
      <c r="L1302" t="str">
        <f>""</f>
        <v/>
      </c>
      <c r="M1302" t="str">
        <f>""</f>
        <v/>
      </c>
      <c r="N1302" t="str">
        <f>"luciane.mcmarques@gmail.com"</f>
        <v>luciane.mcmarques@gmail.com</v>
      </c>
      <c r="O1302" t="str">
        <f>""</f>
        <v/>
      </c>
      <c r="P1302" t="str">
        <f>"AVENIDA AVENIDA SANTA CATARINA"</f>
        <v>AVENIDA AVENIDA SANTA CATARINA</v>
      </c>
      <c r="Q1302" t="str">
        <f>"1"</f>
        <v>1</v>
      </c>
      <c r="R1302" t="str">
        <f>"LOJA 43A"</f>
        <v>LOJA 43A</v>
      </c>
      <c r="S1302" t="str">
        <f>"1262"</f>
        <v>1262</v>
      </c>
      <c r="T1302" t="str">
        <f>"88339005"</f>
        <v>88339005</v>
      </c>
      <c r="U1302" t="str">
        <f>"ESTADOS"</f>
        <v>ESTADOS</v>
      </c>
      <c r="V1302" t="str">
        <f>"BALNEÁRIO CAMBORIÚ"</f>
        <v>BALNEÁRIO CAMBORIÚ</v>
      </c>
      <c r="W1302" t="str">
        <f t="shared" si="636"/>
        <v>SC</v>
      </c>
      <c r="X1302" t="str">
        <f t="shared" si="657"/>
        <v>47</v>
      </c>
      <c r="Y1302" t="str">
        <f>"999198777"</f>
        <v>999198777</v>
      </c>
      <c r="Z1302" t="str">
        <f>""</f>
        <v/>
      </c>
      <c r="AA1302" t="str">
        <f>""</f>
        <v/>
      </c>
      <c r="AB1302" t="str">
        <f>""</f>
        <v/>
      </c>
      <c r="AC1302" t="str">
        <f>""</f>
        <v/>
      </c>
      <c r="AD1302" t="str">
        <f>""</f>
        <v/>
      </c>
      <c r="AE1302" t="str">
        <f>""</f>
        <v/>
      </c>
      <c r="AF1302" t="str">
        <f>""</f>
        <v/>
      </c>
      <c r="AG1302" t="str">
        <f>"S"</f>
        <v>S</v>
      </c>
      <c r="AH1302" t="str">
        <f>""</f>
        <v/>
      </c>
      <c r="AI1302" t="str">
        <f>""</f>
        <v/>
      </c>
      <c r="AJ1302" t="str">
        <f>""</f>
        <v/>
      </c>
      <c r="AK1302" t="str">
        <f>""</f>
        <v/>
      </c>
      <c r="AL1302" t="str">
        <f>""</f>
        <v/>
      </c>
      <c r="AM1302" t="str">
        <f>""</f>
        <v/>
      </c>
      <c r="AN1302" t="str">
        <f>""</f>
        <v/>
      </c>
      <c r="AO1302" t="str">
        <f>""</f>
        <v/>
      </c>
      <c r="AP1302" t="str">
        <f>""</f>
        <v/>
      </c>
      <c r="AQ1302" t="str">
        <f t="shared" si="662"/>
        <v>N</v>
      </c>
      <c r="AR1302" t="str">
        <f t="shared" si="662"/>
        <v>N</v>
      </c>
      <c r="AS1302" t="str">
        <f t="shared" si="662"/>
        <v>N</v>
      </c>
      <c r="AT1302" t="str">
        <f t="shared" si="662"/>
        <v>N</v>
      </c>
      <c r="AU1302" t="str">
        <f t="shared" si="662"/>
        <v>N</v>
      </c>
      <c r="AV1302" t="str">
        <f>""</f>
        <v/>
      </c>
      <c r="AW1302" t="str">
        <f>""</f>
        <v/>
      </c>
      <c r="AX1302" t="str">
        <f>""</f>
        <v/>
      </c>
      <c r="AY1302" t="str">
        <f>""</f>
        <v/>
      </c>
      <c r="AZ1302" t="str">
        <f>""</f>
        <v/>
      </c>
      <c r="BA1302" t="str">
        <f>""</f>
        <v/>
      </c>
      <c r="BB1302" t="str">
        <f>"01/07/2021 13:53:04"</f>
        <v>01/07/2021 13:53:04</v>
      </c>
      <c r="BC1302" t="str">
        <f>"03/03/2022 17:07:02"</f>
        <v>03/03/2022 17:07:02</v>
      </c>
      <c r="BD1302" t="str">
        <f>""</f>
        <v/>
      </c>
      <c r="BE1302" t="str">
        <f>""</f>
        <v/>
      </c>
      <c r="BF1302" t="str">
        <f t="shared" si="650"/>
        <v>A</v>
      </c>
      <c r="BG1302" t="str">
        <f>""</f>
        <v/>
      </c>
      <c r="BH1302" t="str">
        <f t="shared" si="659"/>
        <v>0,00</v>
      </c>
      <c r="BI1302" t="str">
        <f t="shared" si="660"/>
        <v>EVENTUAL</v>
      </c>
      <c r="BJ1302" t="str">
        <f t="shared" si="651"/>
        <v>1</v>
      </c>
      <c r="BK1302" t="str">
        <f t="shared" si="652"/>
        <v>Farmacia</v>
      </c>
      <c r="BL1302" t="str">
        <f>""</f>
        <v/>
      </c>
      <c r="BM1302" t="str">
        <f>"NÃO É VARILUX ESPECIALISTA"</f>
        <v>NÃO É VARILUX ESPECIALISTA</v>
      </c>
      <c r="BN1302" t="str">
        <f t="shared" si="661"/>
        <v>NA</v>
      </c>
      <c r="BO1302" t="str">
        <f>"FOCO VARILUX"</f>
        <v>FOCO VARILUX</v>
      </c>
      <c r="BP1302" t="str">
        <f>""</f>
        <v/>
      </c>
      <c r="BQ1302" t="str">
        <f>""</f>
        <v/>
      </c>
      <c r="BR1302" t="str">
        <f>"01/07/2021"</f>
        <v>01/07/2021</v>
      </c>
      <c r="BS1302" t="str">
        <f>"03/03/2022"</f>
        <v>03/03/2022</v>
      </c>
      <c r="BT1302" t="str">
        <f>""</f>
        <v/>
      </c>
      <c r="BU1302" t="str">
        <f>""</f>
        <v/>
      </c>
      <c r="BV1302" t="str">
        <f>""</f>
        <v/>
      </c>
      <c r="BW1302" t="str">
        <f>"38"</f>
        <v>38</v>
      </c>
    </row>
    <row r="1303" spans="1:75" x14ac:dyDescent="0.35">
      <c r="A1303">
        <v>1227</v>
      </c>
      <c r="B1303" t="str">
        <f t="shared" si="647"/>
        <v>A</v>
      </c>
      <c r="C1303" t="str">
        <f t="shared" si="648"/>
        <v>80</v>
      </c>
      <c r="D1303" t="str">
        <f t="shared" si="637"/>
        <v>11121004</v>
      </c>
      <c r="E1303" t="str">
        <f t="shared" si="638"/>
        <v>121004</v>
      </c>
      <c r="F1303" t="str">
        <f t="shared" si="639"/>
        <v>FABIANA GODOY</v>
      </c>
      <c r="G1303" t="str">
        <f>"01189180000164"</f>
        <v>01189180000164</v>
      </c>
      <c r="H1303" t="str">
        <f>""</f>
        <v/>
      </c>
      <c r="I1303" t="str">
        <f t="shared" si="649"/>
        <v>CONTA OPTICA</v>
      </c>
      <c r="J1303" t="str">
        <f>"BLU JOIAS COMERCIO LTDA"</f>
        <v>BLU JOIAS COMERCIO LTDA</v>
      </c>
      <c r="K1303" t="str">
        <f>"BLU OTICA IRIS (544)"</f>
        <v>BLU OTICA IRIS (544)</v>
      </c>
      <c r="L1303" t="str">
        <f>""</f>
        <v/>
      </c>
      <c r="M1303" t="str">
        <f>""</f>
        <v/>
      </c>
      <c r="N1303" t="str">
        <f>"bluoptica.varella@hotmail.com"</f>
        <v>bluoptica.varella@hotmail.com</v>
      </c>
      <c r="O1303" t="str">
        <f>""</f>
        <v/>
      </c>
      <c r="P1303" t="str">
        <f>"RUA WERNER DUWE"</f>
        <v>RUA WERNER DUWE</v>
      </c>
      <c r="Q1303" t="str">
        <f>"145"</f>
        <v>145</v>
      </c>
      <c r="R1303" t="str">
        <f>"LOJA 04"</f>
        <v>LOJA 04</v>
      </c>
      <c r="S1303" t="str">
        <f>""</f>
        <v/>
      </c>
      <c r="T1303" t="str">
        <f>"89070700"</f>
        <v>89070700</v>
      </c>
      <c r="U1303" t="str">
        <f>"BADENFURT"</f>
        <v>BADENFURT</v>
      </c>
      <c r="V1303" t="str">
        <f>"BLUMENAU"</f>
        <v>BLUMENAU</v>
      </c>
      <c r="W1303" t="str">
        <f t="shared" si="636"/>
        <v>SC</v>
      </c>
      <c r="X1303" t="str">
        <f t="shared" si="657"/>
        <v>47</v>
      </c>
      <c r="Y1303" t="str">
        <f>"33341892"</f>
        <v>33341892</v>
      </c>
      <c r="Z1303" t="str">
        <f>""</f>
        <v/>
      </c>
      <c r="AA1303" t="str">
        <f>""</f>
        <v/>
      </c>
      <c r="AB1303" t="str">
        <f>""</f>
        <v/>
      </c>
      <c r="AC1303" t="str">
        <f>""</f>
        <v/>
      </c>
      <c r="AD1303" t="str">
        <f>""</f>
        <v/>
      </c>
      <c r="AE1303" t="str">
        <f>""</f>
        <v/>
      </c>
      <c r="AF1303" t="str">
        <f>""</f>
        <v/>
      </c>
      <c r="AG1303" t="str">
        <f>""</f>
        <v/>
      </c>
      <c r="AH1303" t="str">
        <f>""</f>
        <v/>
      </c>
      <c r="AI1303" t="str">
        <f>""</f>
        <v/>
      </c>
      <c r="AJ1303" t="str">
        <f t="shared" ref="AJ1303:AL1304" si="663">"0"</f>
        <v>0</v>
      </c>
      <c r="AK1303" t="str">
        <f t="shared" si="663"/>
        <v>0</v>
      </c>
      <c r="AL1303" t="str">
        <f t="shared" si="663"/>
        <v>0</v>
      </c>
      <c r="AM1303" t="str">
        <f>""</f>
        <v/>
      </c>
      <c r="AN1303" t="str">
        <f>""</f>
        <v/>
      </c>
      <c r="AO1303" t="str">
        <f>""</f>
        <v/>
      </c>
      <c r="AP1303" t="str">
        <f>""</f>
        <v/>
      </c>
      <c r="AQ1303" t="str">
        <f>""</f>
        <v/>
      </c>
      <c r="AR1303" t="str">
        <f>""</f>
        <v/>
      </c>
      <c r="AS1303" t="str">
        <f>""</f>
        <v/>
      </c>
      <c r="AT1303" t="str">
        <f>""</f>
        <v/>
      </c>
      <c r="AU1303" t="str">
        <f>""</f>
        <v/>
      </c>
      <c r="AV1303" t="str">
        <f>""</f>
        <v/>
      </c>
      <c r="AW1303" t="str">
        <f>""</f>
        <v/>
      </c>
      <c r="AX1303" t="str">
        <f>""</f>
        <v/>
      </c>
      <c r="AY1303" t="str">
        <f>""</f>
        <v/>
      </c>
      <c r="AZ1303" t="str">
        <f>""</f>
        <v/>
      </c>
      <c r="BA1303" t="str">
        <f>""</f>
        <v/>
      </c>
      <c r="BB1303" t="str">
        <f>"27/07/2018 09:26:10"</f>
        <v>27/07/2018 09:26:10</v>
      </c>
      <c r="BC1303" t="str">
        <f>""</f>
        <v/>
      </c>
      <c r="BD1303" t="str">
        <f>""</f>
        <v/>
      </c>
      <c r="BE1303" t="str">
        <f>"1227"</f>
        <v>1227</v>
      </c>
      <c r="BF1303" t="str">
        <f t="shared" si="650"/>
        <v>A</v>
      </c>
      <c r="BG1303" t="str">
        <f>"0,00"</f>
        <v>0,00</v>
      </c>
      <c r="BH1303" t="str">
        <f t="shared" si="659"/>
        <v>0,00</v>
      </c>
      <c r="BI1303" t="str">
        <f t="shared" si="660"/>
        <v>EVENTUAL</v>
      </c>
      <c r="BJ1303" t="str">
        <f t="shared" si="651"/>
        <v>1</v>
      </c>
      <c r="BK1303" t="str">
        <f t="shared" si="652"/>
        <v>Farmacia</v>
      </c>
      <c r="BL1303" t="str">
        <f>""</f>
        <v/>
      </c>
      <c r="BM1303" t="str">
        <f>"CREDENCIADO VARILUX"</f>
        <v>CREDENCIADO VARILUX</v>
      </c>
      <c r="BN1303" t="str">
        <f t="shared" si="661"/>
        <v>NA</v>
      </c>
      <c r="BO1303" t="str">
        <f>"FOCO VARILUX DIGITAL"</f>
        <v>FOCO VARILUX DIGITAL</v>
      </c>
      <c r="BP1303" t="str">
        <f>""</f>
        <v/>
      </c>
      <c r="BQ1303" t="str">
        <f>""</f>
        <v/>
      </c>
      <c r="BR1303" t="str">
        <f>"27/07/2018"</f>
        <v>27/07/2018</v>
      </c>
      <c r="BS1303" t="str">
        <f>""</f>
        <v/>
      </c>
      <c r="BT1303" t="str">
        <f>""</f>
        <v/>
      </c>
      <c r="BU1303" t="str">
        <f>""</f>
        <v/>
      </c>
      <c r="BV1303" t="str">
        <f>"1"</f>
        <v>1</v>
      </c>
      <c r="BW1303" t="str">
        <f>"3"</f>
        <v>3</v>
      </c>
    </row>
    <row r="1304" spans="1:75" x14ac:dyDescent="0.35">
      <c r="A1304">
        <v>1228</v>
      </c>
      <c r="B1304" t="str">
        <f t="shared" si="647"/>
        <v>A</v>
      </c>
      <c r="C1304" t="str">
        <f t="shared" si="648"/>
        <v>80</v>
      </c>
      <c r="D1304" t="str">
        <f t="shared" si="637"/>
        <v>11121004</v>
      </c>
      <c r="E1304" t="str">
        <f t="shared" si="638"/>
        <v>121004</v>
      </c>
      <c r="F1304" t="str">
        <f t="shared" si="639"/>
        <v>FABIANA GODOY</v>
      </c>
      <c r="G1304" t="str">
        <f>"01189180000245"</f>
        <v>01189180000245</v>
      </c>
      <c r="H1304" t="str">
        <f>""</f>
        <v/>
      </c>
      <c r="I1304" t="str">
        <f t="shared" si="649"/>
        <v>CONTA OPTICA</v>
      </c>
      <c r="J1304" t="str">
        <f>"BLU JOIAS COMERCIO LTDA ME"</f>
        <v>BLU JOIAS COMERCIO LTDA ME</v>
      </c>
      <c r="K1304" t="str">
        <f>"OTICA VARELLA (1940)"</f>
        <v>OTICA VARELLA (1940)</v>
      </c>
      <c r="L1304" t="str">
        <f>""</f>
        <v/>
      </c>
      <c r="M1304" t="str">
        <f>""</f>
        <v/>
      </c>
      <c r="N1304" t="str">
        <f>"atendimento@opticavarella.com.br"</f>
        <v>atendimento@opticavarella.com.br</v>
      </c>
      <c r="O1304" t="str">
        <f>""</f>
        <v/>
      </c>
      <c r="P1304" t="str">
        <f>"RUA FREDERICO JENSEN"</f>
        <v>RUA FREDERICO JENSEN</v>
      </c>
      <c r="Q1304" t="str">
        <f>"3194"</f>
        <v>3194</v>
      </c>
      <c r="R1304" t="str">
        <f>""</f>
        <v/>
      </c>
      <c r="S1304" t="str">
        <f>"1273"</f>
        <v>1273</v>
      </c>
      <c r="T1304" t="str">
        <f>"89066302"</f>
        <v>89066302</v>
      </c>
      <c r="U1304" t="str">
        <f>"ITOUPAVAZINHA"</f>
        <v>ITOUPAVAZINHA</v>
      </c>
      <c r="V1304" t="str">
        <f>"BLUMENAU"</f>
        <v>BLUMENAU</v>
      </c>
      <c r="W1304" t="str">
        <f t="shared" si="636"/>
        <v>SC</v>
      </c>
      <c r="X1304" t="str">
        <f t="shared" si="657"/>
        <v>47</v>
      </c>
      <c r="Y1304" t="str">
        <f>"32340581"</f>
        <v>32340581</v>
      </c>
      <c r="Z1304" t="str">
        <f>""</f>
        <v/>
      </c>
      <c r="AA1304" t="str">
        <f>""</f>
        <v/>
      </c>
      <c r="AB1304" t="str">
        <f>""</f>
        <v/>
      </c>
      <c r="AC1304" t="str">
        <f>""</f>
        <v/>
      </c>
      <c r="AD1304" t="str">
        <f>""</f>
        <v/>
      </c>
      <c r="AE1304" t="str">
        <f>""</f>
        <v/>
      </c>
      <c r="AF1304" t="str">
        <f>""</f>
        <v/>
      </c>
      <c r="AG1304" t="str">
        <f>"S"</f>
        <v>S</v>
      </c>
      <c r="AH1304" t="str">
        <f>""</f>
        <v/>
      </c>
      <c r="AI1304" t="str">
        <f>""</f>
        <v/>
      </c>
      <c r="AJ1304" t="str">
        <f t="shared" si="663"/>
        <v>0</v>
      </c>
      <c r="AK1304" t="str">
        <f t="shared" si="663"/>
        <v>0</v>
      </c>
      <c r="AL1304" t="str">
        <f t="shared" si="663"/>
        <v>0</v>
      </c>
      <c r="AM1304" t="str">
        <f>""</f>
        <v/>
      </c>
      <c r="AN1304" t="str">
        <f>""</f>
        <v/>
      </c>
      <c r="AO1304" t="str">
        <f>""</f>
        <v/>
      </c>
      <c r="AP1304" t="str">
        <f>""</f>
        <v/>
      </c>
      <c r="AQ1304" t="str">
        <f>"N"</f>
        <v>N</v>
      </c>
      <c r="AR1304" t="str">
        <f>"N"</f>
        <v>N</v>
      </c>
      <c r="AS1304" t="str">
        <f>"N"</f>
        <v>N</v>
      </c>
      <c r="AT1304" t="str">
        <f>"N"</f>
        <v>N</v>
      </c>
      <c r="AU1304" t="str">
        <f>"N"</f>
        <v>N</v>
      </c>
      <c r="AV1304" t="str">
        <f>""</f>
        <v/>
      </c>
      <c r="AW1304" t="str">
        <f>""</f>
        <v/>
      </c>
      <c r="AX1304" t="str">
        <f>""</f>
        <v/>
      </c>
      <c r="AY1304" t="str">
        <f>""</f>
        <v/>
      </c>
      <c r="AZ1304" t="str">
        <f>""</f>
        <v/>
      </c>
      <c r="BA1304" t="str">
        <f>""</f>
        <v/>
      </c>
      <c r="BB1304" t="str">
        <f>"27/07/2018 09:26:10"</f>
        <v>27/07/2018 09:26:10</v>
      </c>
      <c r="BC1304" t="str">
        <f>"18/07/2023 16:22:33"</f>
        <v>18/07/2023 16:22:33</v>
      </c>
      <c r="BD1304" t="str">
        <f>""</f>
        <v/>
      </c>
      <c r="BE1304" t="str">
        <f>"1228"</f>
        <v>1228</v>
      </c>
      <c r="BF1304" t="str">
        <f t="shared" si="650"/>
        <v>A</v>
      </c>
      <c r="BG1304" t="str">
        <f>"0,00"</f>
        <v>0,00</v>
      </c>
      <c r="BH1304" t="str">
        <f t="shared" si="659"/>
        <v>0,00</v>
      </c>
      <c r="BI1304" t="str">
        <f>"MENSAL"</f>
        <v>MENSAL</v>
      </c>
      <c r="BJ1304" t="str">
        <f t="shared" si="651"/>
        <v>1</v>
      </c>
      <c r="BK1304" t="str">
        <f t="shared" si="652"/>
        <v>Farmacia</v>
      </c>
      <c r="BL1304" t="str">
        <f>""</f>
        <v/>
      </c>
      <c r="BM1304" t="str">
        <f>"NÃO É VARILUX ESPECIALISTA"</f>
        <v>NÃO É VARILUX ESPECIALISTA</v>
      </c>
      <c r="BN1304" t="str">
        <f t="shared" si="661"/>
        <v>NA</v>
      </c>
      <c r="BO1304" t="str">
        <f>"FOCO VARILUX"</f>
        <v>FOCO VARILUX</v>
      </c>
      <c r="BP1304" t="str">
        <f>""</f>
        <v/>
      </c>
      <c r="BQ1304" t="str">
        <f>""</f>
        <v/>
      </c>
      <c r="BR1304" t="str">
        <f>"27/07/2018"</f>
        <v>27/07/2018</v>
      </c>
      <c r="BS1304" t="str">
        <f>"18/07/2023"</f>
        <v>18/07/2023</v>
      </c>
      <c r="BT1304" t="str">
        <f>""</f>
        <v/>
      </c>
      <c r="BU1304" t="str">
        <f>""</f>
        <v/>
      </c>
      <c r="BV1304" t="str">
        <f>"7"</f>
        <v>7</v>
      </c>
      <c r="BW1304" t="str">
        <f>"15"</f>
        <v>15</v>
      </c>
    </row>
    <row r="1305" spans="1:75" x14ac:dyDescent="0.35">
      <c r="A1305">
        <v>157054</v>
      </c>
      <c r="B1305" t="str">
        <f t="shared" si="647"/>
        <v>A</v>
      </c>
      <c r="C1305" t="str">
        <f t="shared" si="648"/>
        <v>80</v>
      </c>
      <c r="D1305" t="str">
        <f t="shared" si="637"/>
        <v>11121004</v>
      </c>
      <c r="E1305" t="str">
        <f t="shared" si="638"/>
        <v>121004</v>
      </c>
      <c r="F1305" t="str">
        <f t="shared" si="639"/>
        <v>FABIANA GODOY</v>
      </c>
      <c r="G1305" t="str">
        <f>"48160249000190"</f>
        <v>48160249000190</v>
      </c>
      <c r="H1305" t="str">
        <f>"0"</f>
        <v>0</v>
      </c>
      <c r="I1305" t="str">
        <f t="shared" si="649"/>
        <v>CONTA OPTICA</v>
      </c>
      <c r="J1305" t="str">
        <f>"BLUG OTICA LTDA"</f>
        <v>BLUG OTICA LTDA</v>
      </c>
      <c r="K1305" t="str">
        <f>"OTICAS CAROL (4586)"</f>
        <v>OTICAS CAROL (4586)</v>
      </c>
      <c r="L1305" t="str">
        <f>""</f>
        <v/>
      </c>
      <c r="M1305" t="str">
        <f>""</f>
        <v/>
      </c>
      <c r="N1305" t="str">
        <f>"ADM.SC@OTICASCAROL.COM.BR"</f>
        <v>ADM.SC@OTICASCAROL.COM.BR</v>
      </c>
      <c r="O1305" t="str">
        <f>""</f>
        <v/>
      </c>
      <c r="P1305" t="str">
        <f>"RUA AMAZONAS"</f>
        <v>RUA AMAZONAS</v>
      </c>
      <c r="Q1305" t="str">
        <f>"2515"</f>
        <v>2515</v>
      </c>
      <c r="R1305" t="str">
        <f>"SALA 3"</f>
        <v>SALA 3</v>
      </c>
      <c r="S1305" t="str">
        <f>"1273"</f>
        <v>1273</v>
      </c>
      <c r="T1305" t="str">
        <f>"89022003"</f>
        <v>89022003</v>
      </c>
      <c r="U1305" t="str">
        <f>"GARCIA"</f>
        <v>GARCIA</v>
      </c>
      <c r="V1305" t="str">
        <f>"BLUMENAU"</f>
        <v>BLUMENAU</v>
      </c>
      <c r="W1305" t="str">
        <f t="shared" si="636"/>
        <v>SC</v>
      </c>
      <c r="X1305" t="str">
        <f>"48"</f>
        <v>48</v>
      </c>
      <c r="Y1305" t="str">
        <f>"32259791"</f>
        <v>32259791</v>
      </c>
      <c r="Z1305" t="str">
        <f>""</f>
        <v/>
      </c>
      <c r="AA1305" t="str">
        <f>""</f>
        <v/>
      </c>
      <c r="AB1305" t="str">
        <f>""</f>
        <v/>
      </c>
      <c r="AC1305" t="str">
        <f>""</f>
        <v/>
      </c>
      <c r="AD1305" t="str">
        <f>""</f>
        <v/>
      </c>
      <c r="AE1305" t="str">
        <f>""</f>
        <v/>
      </c>
      <c r="AF1305" t="str">
        <f>""</f>
        <v/>
      </c>
      <c r="AG1305" t="str">
        <f>""</f>
        <v/>
      </c>
      <c r="AH1305" t="str">
        <f>""</f>
        <v/>
      </c>
      <c r="AI1305" t="str">
        <f>""</f>
        <v/>
      </c>
      <c r="AJ1305" t="str">
        <f>""</f>
        <v/>
      </c>
      <c r="AK1305" t="str">
        <f>""</f>
        <v/>
      </c>
      <c r="AL1305" t="str">
        <f>""</f>
        <v/>
      </c>
      <c r="AM1305" t="str">
        <f>""</f>
        <v/>
      </c>
      <c r="AN1305" t="str">
        <f>""</f>
        <v/>
      </c>
      <c r="AO1305" t="str">
        <f>""</f>
        <v/>
      </c>
      <c r="AP1305" t="str">
        <f>""</f>
        <v/>
      </c>
      <c r="AQ1305" t="str">
        <f>""</f>
        <v/>
      </c>
      <c r="AR1305" t="str">
        <f>""</f>
        <v/>
      </c>
      <c r="AS1305" t="str">
        <f>""</f>
        <v/>
      </c>
      <c r="AT1305" t="str">
        <f>""</f>
        <v/>
      </c>
      <c r="AU1305" t="str">
        <f>""</f>
        <v/>
      </c>
      <c r="AV1305" t="str">
        <f>""</f>
        <v/>
      </c>
      <c r="AW1305" t="str">
        <f>""</f>
        <v/>
      </c>
      <c r="AX1305" t="str">
        <f>""</f>
        <v/>
      </c>
      <c r="AY1305" t="str">
        <f>""</f>
        <v/>
      </c>
      <c r="AZ1305" t="str">
        <f>""</f>
        <v/>
      </c>
      <c r="BA1305" t="str">
        <f>""</f>
        <v/>
      </c>
      <c r="BB1305" t="str">
        <f>"06/07/2023 12:07:48"</f>
        <v>06/07/2023 12:07:48</v>
      </c>
      <c r="BC1305" t="str">
        <f>""</f>
        <v/>
      </c>
      <c r="BD1305" t="str">
        <f>""</f>
        <v/>
      </c>
      <c r="BE1305" t="str">
        <f>""</f>
        <v/>
      </c>
      <c r="BF1305" t="str">
        <f t="shared" si="650"/>
        <v>A</v>
      </c>
      <c r="BG1305" t="str">
        <f>""</f>
        <v/>
      </c>
      <c r="BH1305" t="str">
        <f>""</f>
        <v/>
      </c>
      <c r="BI1305" t="str">
        <f>"EVENTUAL"</f>
        <v>EVENTUAL</v>
      </c>
      <c r="BJ1305" t="str">
        <f t="shared" si="651"/>
        <v>1</v>
      </c>
      <c r="BK1305" t="str">
        <f t="shared" si="652"/>
        <v>Farmacia</v>
      </c>
      <c r="BL1305" t="str">
        <f>""</f>
        <v/>
      </c>
      <c r="BM1305" t="str">
        <f>""</f>
        <v/>
      </c>
      <c r="BN1305" t="str">
        <f>""</f>
        <v/>
      </c>
      <c r="BO1305" t="str">
        <f>""</f>
        <v/>
      </c>
      <c r="BP1305" t="str">
        <f>""</f>
        <v/>
      </c>
      <c r="BQ1305" t="str">
        <f>""</f>
        <v/>
      </c>
      <c r="BR1305" t="str">
        <f>"06/07/2023"</f>
        <v>06/07/2023</v>
      </c>
      <c r="BS1305" t="str">
        <f>""</f>
        <v/>
      </c>
      <c r="BT1305" t="str">
        <f>""</f>
        <v/>
      </c>
      <c r="BU1305" t="str">
        <f>""</f>
        <v/>
      </c>
      <c r="BV1305" t="str">
        <f>""</f>
        <v/>
      </c>
      <c r="BW1305" t="str">
        <f>"Não visitado"</f>
        <v>Não visitado</v>
      </c>
    </row>
    <row r="1306" spans="1:75" x14ac:dyDescent="0.35">
      <c r="A1306">
        <v>158722</v>
      </c>
      <c r="B1306" t="str">
        <f t="shared" si="647"/>
        <v>A</v>
      </c>
      <c r="C1306" t="str">
        <f t="shared" si="648"/>
        <v>80</v>
      </c>
      <c r="D1306" t="str">
        <f t="shared" si="637"/>
        <v>11121004</v>
      </c>
      <c r="E1306" t="str">
        <f t="shared" si="638"/>
        <v>121004</v>
      </c>
      <c r="F1306" t="str">
        <f t="shared" si="639"/>
        <v>FABIANA GODOY</v>
      </c>
      <c r="G1306" t="str">
        <f>"50602543000157"</f>
        <v>50602543000157</v>
      </c>
      <c r="H1306" t="str">
        <f>""</f>
        <v/>
      </c>
      <c r="I1306" t="str">
        <f t="shared" si="649"/>
        <v>CONTA OPTICA</v>
      </c>
      <c r="J1306" t="str">
        <f>"BRERA OPTICA LTDA"</f>
        <v>BRERA OPTICA LTDA</v>
      </c>
      <c r="K1306" t="str">
        <f>"BRERA OPTICA (4716)"</f>
        <v>BRERA OPTICA (4716)</v>
      </c>
      <c r="L1306" t="str">
        <f>""</f>
        <v/>
      </c>
      <c r="M1306" t="str">
        <f>""</f>
        <v/>
      </c>
      <c r="N1306" t="str">
        <f>"BRERAOPTICA@GMAIL.COM"</f>
        <v>BRERAOPTICA@GMAIL.COM</v>
      </c>
      <c r="O1306" t="str">
        <f>""</f>
        <v/>
      </c>
      <c r="P1306" t="str">
        <f>"RUA FREDERICO JENSEN"</f>
        <v>RUA FREDERICO JENSEN</v>
      </c>
      <c r="Q1306" t="str">
        <f>"1030"</f>
        <v>1030</v>
      </c>
      <c r="R1306" t="str">
        <f>""</f>
        <v/>
      </c>
      <c r="S1306" t="str">
        <f>""</f>
        <v/>
      </c>
      <c r="T1306" t="str">
        <f>"89066301"</f>
        <v>89066301</v>
      </c>
      <c r="U1306" t="str">
        <f>"ITOUPAVAZINHA"</f>
        <v>ITOUPAVAZINHA</v>
      </c>
      <c r="V1306" t="str">
        <f>"BLUMENAU"</f>
        <v>BLUMENAU</v>
      </c>
      <c r="W1306" t="str">
        <f t="shared" si="636"/>
        <v>SC</v>
      </c>
      <c r="X1306" t="str">
        <f>"47"</f>
        <v>47</v>
      </c>
      <c r="Y1306" t="str">
        <f>"991016216"</f>
        <v>991016216</v>
      </c>
      <c r="Z1306" t="str">
        <f>""</f>
        <v/>
      </c>
      <c r="AA1306" t="str">
        <f>""</f>
        <v/>
      </c>
      <c r="AB1306" t="str">
        <f>""</f>
        <v/>
      </c>
      <c r="AC1306" t="str">
        <f>""</f>
        <v/>
      </c>
      <c r="AD1306" t="str">
        <f>""</f>
        <v/>
      </c>
      <c r="AE1306" t="str">
        <f>""</f>
        <v/>
      </c>
      <c r="AF1306" t="str">
        <f>""</f>
        <v/>
      </c>
      <c r="AG1306" t="str">
        <f>""</f>
        <v/>
      </c>
      <c r="AH1306" t="str">
        <f>""</f>
        <v/>
      </c>
      <c r="AI1306" t="str">
        <f>""</f>
        <v/>
      </c>
      <c r="AJ1306" t="str">
        <f>""</f>
        <v/>
      </c>
      <c r="AK1306" t="str">
        <f>""</f>
        <v/>
      </c>
      <c r="AL1306" t="str">
        <f>""</f>
        <v/>
      </c>
      <c r="AM1306" t="str">
        <f>""</f>
        <v/>
      </c>
      <c r="AN1306" t="str">
        <f>""</f>
        <v/>
      </c>
      <c r="AO1306" t="str">
        <f>""</f>
        <v/>
      </c>
      <c r="AP1306" t="str">
        <f>""</f>
        <v/>
      </c>
      <c r="AQ1306" t="str">
        <f>""</f>
        <v/>
      </c>
      <c r="AR1306" t="str">
        <f>""</f>
        <v/>
      </c>
      <c r="AS1306" t="str">
        <f>""</f>
        <v/>
      </c>
      <c r="AT1306" t="str">
        <f>""</f>
        <v/>
      </c>
      <c r="AU1306" t="str">
        <f>""</f>
        <v/>
      </c>
      <c r="AV1306" t="str">
        <f>""</f>
        <v/>
      </c>
      <c r="AW1306" t="str">
        <f>""</f>
        <v/>
      </c>
      <c r="AX1306" t="str">
        <f>""</f>
        <v/>
      </c>
      <c r="AY1306" t="str">
        <f>""</f>
        <v/>
      </c>
      <c r="AZ1306" t="str">
        <f>""</f>
        <v/>
      </c>
      <c r="BA1306" t="str">
        <f>""</f>
        <v/>
      </c>
      <c r="BB1306" t="str">
        <f>"17/08/2023 16:48:06"</f>
        <v>17/08/2023 16:48:06</v>
      </c>
      <c r="BC1306" t="str">
        <f>""</f>
        <v/>
      </c>
      <c r="BD1306" t="str">
        <f>""</f>
        <v/>
      </c>
      <c r="BE1306" t="str">
        <f>""</f>
        <v/>
      </c>
      <c r="BF1306" t="str">
        <f t="shared" si="650"/>
        <v>A</v>
      </c>
      <c r="BG1306" t="str">
        <f>""</f>
        <v/>
      </c>
      <c r="BH1306" t="str">
        <f>""</f>
        <v/>
      </c>
      <c r="BI1306" t="str">
        <f>"EVENTUAL"</f>
        <v>EVENTUAL</v>
      </c>
      <c r="BJ1306" t="str">
        <f t="shared" si="651"/>
        <v>1</v>
      </c>
      <c r="BK1306" t="str">
        <f t="shared" si="652"/>
        <v>Farmacia</v>
      </c>
      <c r="BL1306" t="str">
        <f>""</f>
        <v/>
      </c>
      <c r="BM1306" t="str">
        <f>""</f>
        <v/>
      </c>
      <c r="BN1306" t="str">
        <f>""</f>
        <v/>
      </c>
      <c r="BO1306" t="str">
        <f>""</f>
        <v/>
      </c>
      <c r="BP1306" t="str">
        <f>""</f>
        <v/>
      </c>
      <c r="BQ1306" t="str">
        <f>""</f>
        <v/>
      </c>
      <c r="BR1306" t="str">
        <f>"17/08/2023"</f>
        <v>17/08/2023</v>
      </c>
      <c r="BS1306" t="str">
        <f>""</f>
        <v/>
      </c>
      <c r="BT1306" t="str">
        <f>""</f>
        <v/>
      </c>
      <c r="BU1306" t="str">
        <f>""</f>
        <v/>
      </c>
      <c r="BV1306" t="str">
        <f>""</f>
        <v/>
      </c>
      <c r="BW1306" t="str">
        <f>"11"</f>
        <v>11</v>
      </c>
    </row>
    <row r="1307" spans="1:75" x14ac:dyDescent="0.35">
      <c r="A1307">
        <v>157795</v>
      </c>
      <c r="B1307" t="str">
        <f t="shared" si="647"/>
        <v>A</v>
      </c>
      <c r="C1307" t="str">
        <f t="shared" si="648"/>
        <v>80</v>
      </c>
      <c r="D1307" t="str">
        <f t="shared" si="637"/>
        <v>11121004</v>
      </c>
      <c r="E1307" t="str">
        <f t="shared" si="638"/>
        <v>121004</v>
      </c>
      <c r="F1307" t="str">
        <f t="shared" si="639"/>
        <v>FABIANA GODOY</v>
      </c>
      <c r="G1307" t="str">
        <f>"20162215000388"</f>
        <v>20162215000388</v>
      </c>
      <c r="H1307" t="str">
        <f t="shared" ref="H1307:H1314" si="664">"0"</f>
        <v>0</v>
      </c>
      <c r="I1307" t="str">
        <f t="shared" si="649"/>
        <v>CONTA OPTICA</v>
      </c>
      <c r="J1307" t="str">
        <f>"BRILHANTE JOALHERIA E OTICA LTDA"</f>
        <v>BRILHANTE JOALHERIA E OTICA LTDA</v>
      </c>
      <c r="K1307" t="str">
        <f>"QUEVEDO JOALHERIA E OTICA  (2162)"</f>
        <v>QUEVEDO JOALHERIA E OTICA  (2162)</v>
      </c>
      <c r="L1307" t="str">
        <f>""</f>
        <v/>
      </c>
      <c r="M1307" t="str">
        <f>""</f>
        <v/>
      </c>
      <c r="N1307" t="str">
        <f>"EXPEDIENTE@QUEVEDO.COM.BR"</f>
        <v>EXPEDIENTE@QUEVEDO.COM.BR</v>
      </c>
      <c r="O1307" t="str">
        <f>""</f>
        <v/>
      </c>
      <c r="P1307" t="str">
        <f>"RUA SANTA CATARINA"</f>
        <v>RUA SANTA CATARINA</v>
      </c>
      <c r="Q1307" t="str">
        <f>"1"</f>
        <v>1</v>
      </c>
      <c r="R1307" t="str">
        <f>"LOJA 70"</f>
        <v>LOJA 70</v>
      </c>
      <c r="S1307" t="str">
        <f>"1262"</f>
        <v>1262</v>
      </c>
      <c r="T1307" t="str">
        <f>"88339005"</f>
        <v>88339005</v>
      </c>
      <c r="U1307" t="str">
        <f>"ESTADOS"</f>
        <v>ESTADOS</v>
      </c>
      <c r="V1307" t="str">
        <f>"BALNEARIO CAMBORIU"</f>
        <v>BALNEARIO CAMBORIU</v>
      </c>
      <c r="W1307" t="str">
        <f t="shared" si="636"/>
        <v>SC</v>
      </c>
      <c r="X1307" t="str">
        <f>"47"</f>
        <v>47</v>
      </c>
      <c r="Y1307" t="str">
        <f>"30627808"</f>
        <v>30627808</v>
      </c>
      <c r="Z1307" t="str">
        <f>""</f>
        <v/>
      </c>
      <c r="AA1307" t="str">
        <f>""</f>
        <v/>
      </c>
      <c r="AB1307" t="str">
        <f>""</f>
        <v/>
      </c>
      <c r="AC1307" t="str">
        <f>""</f>
        <v/>
      </c>
      <c r="AD1307" t="str">
        <f>""</f>
        <v/>
      </c>
      <c r="AE1307" t="str">
        <f>""</f>
        <v/>
      </c>
      <c r="AF1307" t="str">
        <f>""</f>
        <v/>
      </c>
      <c r="AG1307" t="str">
        <f>""</f>
        <v/>
      </c>
      <c r="AH1307" t="str">
        <f>""</f>
        <v/>
      </c>
      <c r="AI1307" t="str">
        <f>""</f>
        <v/>
      </c>
      <c r="AJ1307" t="str">
        <f>""</f>
        <v/>
      </c>
      <c r="AK1307" t="str">
        <f>""</f>
        <v/>
      </c>
      <c r="AL1307" t="str">
        <f>""</f>
        <v/>
      </c>
      <c r="AM1307" t="str">
        <f>""</f>
        <v/>
      </c>
      <c r="AN1307" t="str">
        <f>""</f>
        <v/>
      </c>
      <c r="AO1307" t="str">
        <f>""</f>
        <v/>
      </c>
      <c r="AP1307" t="str">
        <f>""</f>
        <v/>
      </c>
      <c r="AQ1307" t="str">
        <f>""</f>
        <v/>
      </c>
      <c r="AR1307" t="str">
        <f>""</f>
        <v/>
      </c>
      <c r="AS1307" t="str">
        <f>""</f>
        <v/>
      </c>
      <c r="AT1307" t="str">
        <f>""</f>
        <v/>
      </c>
      <c r="AU1307" t="str">
        <f>""</f>
        <v/>
      </c>
      <c r="AV1307" t="str">
        <f>""</f>
        <v/>
      </c>
      <c r="AW1307" t="str">
        <f>""</f>
        <v/>
      </c>
      <c r="AX1307" t="str">
        <f>""</f>
        <v/>
      </c>
      <c r="AY1307" t="str">
        <f>""</f>
        <v/>
      </c>
      <c r="AZ1307" t="str">
        <f>""</f>
        <v/>
      </c>
      <c r="BA1307" t="str">
        <f>""</f>
        <v/>
      </c>
      <c r="BB1307" t="str">
        <f>"11/07/2023 02:26:32"</f>
        <v>11/07/2023 02:26:32</v>
      </c>
      <c r="BC1307" t="str">
        <f>""</f>
        <v/>
      </c>
      <c r="BD1307" t="str">
        <f>""</f>
        <v/>
      </c>
      <c r="BE1307" t="str">
        <f>""</f>
        <v/>
      </c>
      <c r="BF1307" t="str">
        <f t="shared" si="650"/>
        <v>A</v>
      </c>
      <c r="BG1307" t="str">
        <f>""</f>
        <v/>
      </c>
      <c r="BH1307" t="str">
        <f>""</f>
        <v/>
      </c>
      <c r="BI1307" t="str">
        <f>"EVENTUAL"</f>
        <v>EVENTUAL</v>
      </c>
      <c r="BJ1307" t="str">
        <f t="shared" si="651"/>
        <v>1</v>
      </c>
      <c r="BK1307" t="str">
        <f t="shared" si="652"/>
        <v>Farmacia</v>
      </c>
      <c r="BL1307" t="str">
        <f>""</f>
        <v/>
      </c>
      <c r="BM1307" t="str">
        <f>""</f>
        <v/>
      </c>
      <c r="BN1307" t="str">
        <f>""</f>
        <v/>
      </c>
      <c r="BO1307" t="str">
        <f>""</f>
        <v/>
      </c>
      <c r="BP1307" t="str">
        <f>""</f>
        <v/>
      </c>
      <c r="BQ1307" t="str">
        <f>""</f>
        <v/>
      </c>
      <c r="BR1307" t="str">
        <f>"11/07/2023"</f>
        <v>11/07/2023</v>
      </c>
      <c r="BS1307" t="str">
        <f>""</f>
        <v/>
      </c>
      <c r="BT1307" t="str">
        <f>""</f>
        <v/>
      </c>
      <c r="BU1307" t="str">
        <f>""</f>
        <v/>
      </c>
      <c r="BV1307" t="str">
        <f>""</f>
        <v/>
      </c>
      <c r="BW1307" t="str">
        <f>"Não visitado"</f>
        <v>Não visitado</v>
      </c>
    </row>
    <row r="1308" spans="1:75" x14ac:dyDescent="0.35">
      <c r="A1308">
        <v>141972</v>
      </c>
      <c r="B1308" t="str">
        <f t="shared" si="647"/>
        <v>A</v>
      </c>
      <c r="C1308" t="str">
        <f t="shared" si="648"/>
        <v>80</v>
      </c>
      <c r="D1308" t="str">
        <f t="shared" si="637"/>
        <v>11121004</v>
      </c>
      <c r="E1308" t="str">
        <f t="shared" si="638"/>
        <v>121004</v>
      </c>
      <c r="F1308" t="str">
        <f t="shared" si="639"/>
        <v>FABIANA GODOY</v>
      </c>
      <c r="G1308" t="str">
        <f>"04692577000243"</f>
        <v>04692577000243</v>
      </c>
      <c r="H1308" t="str">
        <f t="shared" si="664"/>
        <v>0</v>
      </c>
      <c r="I1308" t="str">
        <f t="shared" si="649"/>
        <v>CONTA OPTICA</v>
      </c>
      <c r="J1308" t="str">
        <f>"BUSNARDO &amp; CIA LTDA"</f>
        <v>BUSNARDO &amp; CIA LTDA</v>
      </c>
      <c r="K1308" t="str">
        <f>"***"</f>
        <v>***</v>
      </c>
      <c r="L1308" t="str">
        <f>""</f>
        <v/>
      </c>
      <c r="M1308" t="str">
        <f>""</f>
        <v/>
      </c>
      <c r="N1308" t="str">
        <f>""</f>
        <v/>
      </c>
      <c r="O1308" t="str">
        <f>""</f>
        <v/>
      </c>
      <c r="P1308" t="str">
        <f>"AVENIDA CONSUL CARLOS RENAUX 68 SL 02"</f>
        <v>AVENIDA CONSUL CARLOS RENAUX 68 SL 02</v>
      </c>
      <c r="Q1308" t="str">
        <f>"68"</f>
        <v>68</v>
      </c>
      <c r="R1308" t="str">
        <f>"2"</f>
        <v>2</v>
      </c>
      <c r="S1308" t="str">
        <f>"1263"</f>
        <v>1263</v>
      </c>
      <c r="T1308" t="str">
        <f>"88350002"</f>
        <v>88350002</v>
      </c>
      <c r="U1308" t="str">
        <f>"CENTRO 1"</f>
        <v>CENTRO 1</v>
      </c>
      <c r="V1308" t="str">
        <f>"BRUSQUE"</f>
        <v>BRUSQUE</v>
      </c>
      <c r="W1308" t="str">
        <f t="shared" si="636"/>
        <v>SC</v>
      </c>
      <c r="X1308" t="str">
        <f>"47"</f>
        <v>47</v>
      </c>
      <c r="Y1308" t="str">
        <f>"32510740"</f>
        <v>32510740</v>
      </c>
      <c r="Z1308" t="str">
        <f>""</f>
        <v/>
      </c>
      <c r="AA1308" t="str">
        <f>""</f>
        <v/>
      </c>
      <c r="AB1308" t="str">
        <f>""</f>
        <v/>
      </c>
      <c r="AC1308" t="str">
        <f>""</f>
        <v/>
      </c>
      <c r="AD1308" t="str">
        <f>""</f>
        <v/>
      </c>
      <c r="AE1308" t="str">
        <f>""</f>
        <v/>
      </c>
      <c r="AF1308" t="str">
        <f>""</f>
        <v/>
      </c>
      <c r="AG1308" t="str">
        <f>""</f>
        <v/>
      </c>
      <c r="AH1308" t="str">
        <f>""</f>
        <v/>
      </c>
      <c r="AI1308" t="str">
        <f>""</f>
        <v/>
      </c>
      <c r="AJ1308" t="str">
        <f>""</f>
        <v/>
      </c>
      <c r="AK1308" t="str">
        <f>""</f>
        <v/>
      </c>
      <c r="AL1308" t="str">
        <f>""</f>
        <v/>
      </c>
      <c r="AM1308" t="str">
        <f>""</f>
        <v/>
      </c>
      <c r="AN1308" t="str">
        <f>""</f>
        <v/>
      </c>
      <c r="AO1308" t="str">
        <f>""</f>
        <v/>
      </c>
      <c r="AP1308" t="str">
        <f>""</f>
        <v/>
      </c>
      <c r="AQ1308" t="str">
        <f>""</f>
        <v/>
      </c>
      <c r="AR1308" t="str">
        <f>""</f>
        <v/>
      </c>
      <c r="AS1308" t="str">
        <f>""</f>
        <v/>
      </c>
      <c r="AT1308" t="str">
        <f>""</f>
        <v/>
      </c>
      <c r="AU1308" t="str">
        <f>""</f>
        <v/>
      </c>
      <c r="AV1308" t="str">
        <f>""</f>
        <v/>
      </c>
      <c r="AW1308" t="str">
        <f>""</f>
        <v/>
      </c>
      <c r="AX1308" t="str">
        <f>""</f>
        <v/>
      </c>
      <c r="AY1308" t="str">
        <f>""</f>
        <v/>
      </c>
      <c r="AZ1308" t="str">
        <f>""</f>
        <v/>
      </c>
      <c r="BA1308" t="str">
        <f>""</f>
        <v/>
      </c>
      <c r="BB1308" t="str">
        <f>"06/11/2021 22:37:33"</f>
        <v>06/11/2021 22:37:33</v>
      </c>
      <c r="BC1308" t="str">
        <f>""</f>
        <v/>
      </c>
      <c r="BD1308" t="str">
        <f>""</f>
        <v/>
      </c>
      <c r="BE1308" t="str">
        <f>""</f>
        <v/>
      </c>
      <c r="BF1308" t="str">
        <f t="shared" si="650"/>
        <v>A</v>
      </c>
      <c r="BG1308" t="str">
        <f>""</f>
        <v/>
      </c>
      <c r="BH1308" t="str">
        <f>""</f>
        <v/>
      </c>
      <c r="BI1308" t="str">
        <f>"EVENTUAL"</f>
        <v>EVENTUAL</v>
      </c>
      <c r="BJ1308" t="str">
        <f t="shared" si="651"/>
        <v>1</v>
      </c>
      <c r="BK1308" t="str">
        <f t="shared" si="652"/>
        <v>Farmacia</v>
      </c>
      <c r="BL1308" t="str">
        <f>""</f>
        <v/>
      </c>
      <c r="BM1308" t="str">
        <f>"NÃO É VARILUX ESPECIALISTA"</f>
        <v>NÃO É VARILUX ESPECIALISTA</v>
      </c>
      <c r="BN1308" t="str">
        <f>"EL360"</f>
        <v>EL360</v>
      </c>
      <c r="BO1308" t="str">
        <f>""</f>
        <v/>
      </c>
      <c r="BP1308" t="str">
        <f>""</f>
        <v/>
      </c>
      <c r="BQ1308" t="str">
        <f>""</f>
        <v/>
      </c>
      <c r="BR1308" t="str">
        <f>"06/11/2021"</f>
        <v>06/11/2021</v>
      </c>
      <c r="BS1308" t="str">
        <f>""</f>
        <v/>
      </c>
      <c r="BT1308" t="str">
        <f>""</f>
        <v/>
      </c>
      <c r="BU1308" t="str">
        <f>""</f>
        <v/>
      </c>
      <c r="BV1308" t="str">
        <f>""</f>
        <v/>
      </c>
      <c r="BW1308" t="str">
        <f>"Não visitado"</f>
        <v>Não visitado</v>
      </c>
    </row>
    <row r="1309" spans="1:75" x14ac:dyDescent="0.35">
      <c r="A1309">
        <v>117517</v>
      </c>
      <c r="B1309" t="str">
        <f t="shared" si="647"/>
        <v>A</v>
      </c>
      <c r="C1309" t="str">
        <f t="shared" si="648"/>
        <v>80</v>
      </c>
      <c r="D1309" t="str">
        <f t="shared" si="637"/>
        <v>11121004</v>
      </c>
      <c r="E1309" t="str">
        <f t="shared" si="638"/>
        <v>121004</v>
      </c>
      <c r="F1309" t="str">
        <f t="shared" si="639"/>
        <v>FABIANA GODOY</v>
      </c>
      <c r="G1309" t="str">
        <f>"04692577000162"</f>
        <v>04692577000162</v>
      </c>
      <c r="H1309" t="str">
        <f t="shared" si="664"/>
        <v>0</v>
      </c>
      <c r="I1309" t="str">
        <f t="shared" si="649"/>
        <v>CONTA OPTICA</v>
      </c>
      <c r="J1309" t="str">
        <f>"BUSNARDO E CIA LTDA"</f>
        <v>BUSNARDO E CIA LTDA</v>
      </c>
      <c r="K1309" t="str">
        <f>"OTICA MODERNA (1435)"</f>
        <v>OTICA MODERNA (1435)</v>
      </c>
      <c r="L1309" t="str">
        <f>""</f>
        <v/>
      </c>
      <c r="M1309" t="str">
        <f>""</f>
        <v/>
      </c>
      <c r="N1309" t="str">
        <f>"laboratorio01@oticamoderna.com"</f>
        <v>laboratorio01@oticamoderna.com</v>
      </c>
      <c r="O1309" t="str">
        <f>""</f>
        <v/>
      </c>
      <c r="P1309" t="str">
        <f>"RUA SANTO INACIO"</f>
        <v>RUA SANTO INACIO</v>
      </c>
      <c r="Q1309" t="str">
        <f>"13"</f>
        <v>13</v>
      </c>
      <c r="R1309" t="str">
        <f>"SL 05"</f>
        <v>SL 05</v>
      </c>
      <c r="S1309" t="str">
        <f>"1260"</f>
        <v>1260</v>
      </c>
      <c r="T1309" t="str">
        <f>"88270000"</f>
        <v>88270000</v>
      </c>
      <c r="U1309" t="str">
        <f t="shared" ref="U1309:U1324" si="665">"CENTRO"</f>
        <v>CENTRO</v>
      </c>
      <c r="V1309" t="str">
        <f>"NOVA TRENTO"</f>
        <v>NOVA TRENTO</v>
      </c>
      <c r="W1309" t="str">
        <f t="shared" si="636"/>
        <v>SC</v>
      </c>
      <c r="X1309" t="str">
        <f>"48"</f>
        <v>48</v>
      </c>
      <c r="Y1309" t="str">
        <f>"32671729"</f>
        <v>32671729</v>
      </c>
      <c r="Z1309" t="str">
        <f>""</f>
        <v/>
      </c>
      <c r="AA1309" t="str">
        <f>""</f>
        <v/>
      </c>
      <c r="AB1309" t="str">
        <f>""</f>
        <v/>
      </c>
      <c r="AC1309" t="str">
        <f>""</f>
        <v/>
      </c>
      <c r="AD1309" t="str">
        <f>""</f>
        <v/>
      </c>
      <c r="AE1309" t="str">
        <f>""</f>
        <v/>
      </c>
      <c r="AF1309" t="str">
        <f>""</f>
        <v/>
      </c>
      <c r="AG1309" t="str">
        <f>"S"</f>
        <v>S</v>
      </c>
      <c r="AH1309" t="str">
        <f>""</f>
        <v/>
      </c>
      <c r="AI1309" t="str">
        <f>""</f>
        <v/>
      </c>
      <c r="AJ1309" t="str">
        <f>"0"</f>
        <v>0</v>
      </c>
      <c r="AK1309" t="str">
        <f>"0"</f>
        <v>0</v>
      </c>
      <c r="AL1309" t="str">
        <f>"0"</f>
        <v>0</v>
      </c>
      <c r="AM1309" t="str">
        <f>""</f>
        <v/>
      </c>
      <c r="AN1309" t="str">
        <f>""</f>
        <v/>
      </c>
      <c r="AO1309" t="str">
        <f>""</f>
        <v/>
      </c>
      <c r="AP1309" t="str">
        <f>""</f>
        <v/>
      </c>
      <c r="AQ1309" t="str">
        <f>"N"</f>
        <v>N</v>
      </c>
      <c r="AR1309" t="str">
        <f>"N"</f>
        <v>N</v>
      </c>
      <c r="AS1309" t="str">
        <f>"N"</f>
        <v>N</v>
      </c>
      <c r="AT1309" t="str">
        <f>"N"</f>
        <v>N</v>
      </c>
      <c r="AU1309" t="str">
        <f>"N"</f>
        <v>N</v>
      </c>
      <c r="AV1309" t="str">
        <f>""</f>
        <v/>
      </c>
      <c r="AW1309" t="str">
        <f>""</f>
        <v/>
      </c>
      <c r="AX1309" t="str">
        <f>""</f>
        <v/>
      </c>
      <c r="AY1309" t="str">
        <f>""</f>
        <v/>
      </c>
      <c r="AZ1309" t="str">
        <f>""</f>
        <v/>
      </c>
      <c r="BA1309" t="str">
        <f>""</f>
        <v/>
      </c>
      <c r="BB1309" t="str">
        <f>"22/07/2020 08:24:23"</f>
        <v>22/07/2020 08:24:23</v>
      </c>
      <c r="BC1309" t="str">
        <f>"20/07/2023 16:47:48"</f>
        <v>20/07/2023 16:47:48</v>
      </c>
      <c r="BD1309" t="str">
        <f>""</f>
        <v/>
      </c>
      <c r="BE1309" t="str">
        <f>""</f>
        <v/>
      </c>
      <c r="BF1309" t="str">
        <f t="shared" si="650"/>
        <v>A</v>
      </c>
      <c r="BG1309" t="str">
        <f>"0,00"</f>
        <v>0,00</v>
      </c>
      <c r="BH1309" t="str">
        <f>"0,00"</f>
        <v>0,00</v>
      </c>
      <c r="BI1309" t="str">
        <f>"MENSAL"</f>
        <v>MENSAL</v>
      </c>
      <c r="BJ1309" t="str">
        <f t="shared" si="651"/>
        <v>1</v>
      </c>
      <c r="BK1309" t="str">
        <f t="shared" si="652"/>
        <v>Farmacia</v>
      </c>
      <c r="BL1309" t="str">
        <f>""</f>
        <v/>
      </c>
      <c r="BM1309" t="str">
        <f>"NÃO É VARILUX ESPECIALISTA"</f>
        <v>NÃO É VARILUX ESPECIALISTA</v>
      </c>
      <c r="BN1309" t="str">
        <f>"EL360"</f>
        <v>EL360</v>
      </c>
      <c r="BO1309" t="str">
        <f>"FOCO VARILUX DIGITAL"</f>
        <v>FOCO VARILUX DIGITAL</v>
      </c>
      <c r="BP1309" t="str">
        <f>""</f>
        <v/>
      </c>
      <c r="BQ1309" t="str">
        <f>""</f>
        <v/>
      </c>
      <c r="BR1309" t="str">
        <f>"22/07/2020"</f>
        <v>22/07/2020</v>
      </c>
      <c r="BS1309" t="str">
        <f>"20/07/2023"</f>
        <v>20/07/2023</v>
      </c>
      <c r="BT1309" t="str">
        <f>""</f>
        <v/>
      </c>
      <c r="BU1309" t="str">
        <f>""</f>
        <v/>
      </c>
      <c r="BV1309" t="str">
        <f>"9"</f>
        <v>9</v>
      </c>
      <c r="BW1309" t="str">
        <f>"1"</f>
        <v>1</v>
      </c>
    </row>
    <row r="1310" spans="1:75" x14ac:dyDescent="0.35">
      <c r="A1310">
        <v>137554</v>
      </c>
      <c r="B1310" t="str">
        <f t="shared" si="647"/>
        <v>A</v>
      </c>
      <c r="C1310" t="str">
        <f t="shared" si="648"/>
        <v>80</v>
      </c>
      <c r="D1310" t="str">
        <f t="shared" si="637"/>
        <v>11121004</v>
      </c>
      <c r="E1310" t="str">
        <f t="shared" si="638"/>
        <v>121004</v>
      </c>
      <c r="F1310" t="str">
        <f t="shared" si="639"/>
        <v>FABIANA GODOY</v>
      </c>
      <c r="G1310" t="str">
        <f>"81564494000139"</f>
        <v>81564494000139</v>
      </c>
      <c r="H1310" t="str">
        <f t="shared" si="664"/>
        <v>0</v>
      </c>
      <c r="I1310" t="str">
        <f t="shared" si="649"/>
        <v>CONTA OPTICA</v>
      </c>
      <c r="J1310" t="str">
        <f>"C B J COMERCIO E REPRESENTACOES LTDA ME"</f>
        <v>C B J COMERCIO E REPRESENTACOES LTDA ME</v>
      </c>
      <c r="K1310" t="str">
        <f>"C.B.J. COMERCIO REPRESENTACAO LTDA (44)"</f>
        <v>C.B.J. COMERCIO REPRESENTACAO LTDA (44)</v>
      </c>
      <c r="L1310" t="str">
        <f>""</f>
        <v/>
      </c>
      <c r="M1310" t="str">
        <f>""</f>
        <v/>
      </c>
      <c r="N1310" t="str">
        <f>"laboratorio01@oticamoderna.com"</f>
        <v>laboratorio01@oticamoderna.com</v>
      </c>
      <c r="O1310" t="str">
        <f>""</f>
        <v/>
      </c>
      <c r="P1310" t="str">
        <f>"RUA P.BARAO SCHNEMBURG"</f>
        <v>RUA P.BARAO SCHNEMBURG</v>
      </c>
      <c r="Q1310" t="str">
        <f>"7"</f>
        <v>7</v>
      </c>
      <c r="R1310" t="str">
        <f>""</f>
        <v/>
      </c>
      <c r="S1310" t="str">
        <f>"1263"</f>
        <v>1263</v>
      </c>
      <c r="T1310" t="str">
        <f>"88350001"</f>
        <v>88350001</v>
      </c>
      <c r="U1310" t="str">
        <f t="shared" si="665"/>
        <v>CENTRO</v>
      </c>
      <c r="V1310" t="str">
        <f>"BRUSQUE"</f>
        <v>BRUSQUE</v>
      </c>
      <c r="W1310" t="str">
        <f t="shared" si="636"/>
        <v>SC</v>
      </c>
      <c r="X1310" t="str">
        <f t="shared" ref="X1310:X1317" si="666">"47"</f>
        <v>47</v>
      </c>
      <c r="Y1310" t="str">
        <f>"33510770"</f>
        <v>33510770</v>
      </c>
      <c r="Z1310" t="str">
        <f>""</f>
        <v/>
      </c>
      <c r="AA1310" t="str">
        <f>""</f>
        <v/>
      </c>
      <c r="AB1310" t="str">
        <f>""</f>
        <v/>
      </c>
      <c r="AC1310" t="str">
        <f>""</f>
        <v/>
      </c>
      <c r="AD1310" t="str">
        <f>""</f>
        <v/>
      </c>
      <c r="AE1310" t="str">
        <f>""</f>
        <v/>
      </c>
      <c r="AF1310" t="str">
        <f>""</f>
        <v/>
      </c>
      <c r="AG1310" t="str">
        <f>""</f>
        <v/>
      </c>
      <c r="AH1310" t="str">
        <f>""</f>
        <v/>
      </c>
      <c r="AI1310" t="str">
        <f>""</f>
        <v/>
      </c>
      <c r="AJ1310" t="str">
        <f>""</f>
        <v/>
      </c>
      <c r="AK1310" t="str">
        <f>""</f>
        <v/>
      </c>
      <c r="AL1310" t="str">
        <f>""</f>
        <v/>
      </c>
      <c r="AM1310" t="str">
        <f>""</f>
        <v/>
      </c>
      <c r="AN1310" t="str">
        <f>""</f>
        <v/>
      </c>
      <c r="AO1310" t="str">
        <f>""</f>
        <v/>
      </c>
      <c r="AP1310" t="str">
        <f>""</f>
        <v/>
      </c>
      <c r="AQ1310" t="str">
        <f>""</f>
        <v/>
      </c>
      <c r="AR1310" t="str">
        <f>""</f>
        <v/>
      </c>
      <c r="AS1310" t="str">
        <f>""</f>
        <v/>
      </c>
      <c r="AT1310" t="str">
        <f>""</f>
        <v/>
      </c>
      <c r="AU1310" t="str">
        <f>""</f>
        <v/>
      </c>
      <c r="AV1310" t="str">
        <f>""</f>
        <v/>
      </c>
      <c r="AW1310" t="str">
        <f>""</f>
        <v/>
      </c>
      <c r="AX1310" t="str">
        <f>""</f>
        <v/>
      </c>
      <c r="AY1310" t="str">
        <f>""</f>
        <v/>
      </c>
      <c r="AZ1310" t="str">
        <f>""</f>
        <v/>
      </c>
      <c r="BA1310" t="str">
        <f>""</f>
        <v/>
      </c>
      <c r="BB1310" t="str">
        <f>"01/07/2021 13:53:04"</f>
        <v>01/07/2021 13:53:04</v>
      </c>
      <c r="BC1310" t="str">
        <f>""</f>
        <v/>
      </c>
      <c r="BD1310" t="str">
        <f>""</f>
        <v/>
      </c>
      <c r="BE1310" t="str">
        <f>""</f>
        <v/>
      </c>
      <c r="BF1310" t="str">
        <f t="shared" si="650"/>
        <v>A</v>
      </c>
      <c r="BG1310" t="str">
        <f>""</f>
        <v/>
      </c>
      <c r="BH1310" t="str">
        <f>""</f>
        <v/>
      </c>
      <c r="BI1310" t="str">
        <f t="shared" ref="BI1310:BI1327" si="667">"EVENTUAL"</f>
        <v>EVENTUAL</v>
      </c>
      <c r="BJ1310" t="str">
        <f t="shared" si="651"/>
        <v>1</v>
      </c>
      <c r="BK1310" t="str">
        <f t="shared" si="652"/>
        <v>Farmacia</v>
      </c>
      <c r="BL1310" t="str">
        <f>""</f>
        <v/>
      </c>
      <c r="BM1310" t="str">
        <f>"NÃO É VARILUX ESPECIALISTA"</f>
        <v>NÃO É VARILUX ESPECIALISTA</v>
      </c>
      <c r="BN1310" t="str">
        <f>"NA"</f>
        <v>NA</v>
      </c>
      <c r="BO1310" t="str">
        <f>"FOCO VARILUX DIGITAL"</f>
        <v>FOCO VARILUX DIGITAL</v>
      </c>
      <c r="BP1310" t="str">
        <f>""</f>
        <v/>
      </c>
      <c r="BQ1310" t="str">
        <f>""</f>
        <v/>
      </c>
      <c r="BR1310" t="str">
        <f>"01/07/2021"</f>
        <v>01/07/2021</v>
      </c>
      <c r="BS1310" t="str">
        <f>""</f>
        <v/>
      </c>
      <c r="BT1310" t="str">
        <f>""</f>
        <v/>
      </c>
      <c r="BU1310" t="str">
        <f>""</f>
        <v/>
      </c>
      <c r="BV1310" t="str">
        <f>""</f>
        <v/>
      </c>
      <c r="BW1310" t="str">
        <f>"297"</f>
        <v>297</v>
      </c>
    </row>
    <row r="1311" spans="1:75" x14ac:dyDescent="0.35">
      <c r="A1311">
        <v>157792</v>
      </c>
      <c r="B1311" t="str">
        <f t="shared" si="647"/>
        <v>A</v>
      </c>
      <c r="C1311" t="str">
        <f t="shared" si="648"/>
        <v>80</v>
      </c>
      <c r="D1311" t="str">
        <f t="shared" si="637"/>
        <v>11121004</v>
      </c>
      <c r="E1311" t="str">
        <f t="shared" si="638"/>
        <v>121004</v>
      </c>
      <c r="F1311" t="str">
        <f t="shared" si="639"/>
        <v>FABIANA GODOY</v>
      </c>
      <c r="G1311" t="str">
        <f>"20947276000199"</f>
        <v>20947276000199</v>
      </c>
      <c r="H1311" t="str">
        <f t="shared" si="664"/>
        <v>0</v>
      </c>
      <c r="I1311" t="str">
        <f t="shared" si="649"/>
        <v>CONTA OPTICA</v>
      </c>
      <c r="J1311" t="str">
        <f>"C.M.M. OTICA LTDA"</f>
        <v>C.M.M. OTICA LTDA</v>
      </c>
      <c r="K1311" t="str">
        <f>"OTICAS VICENZO (2180)"</f>
        <v>OTICAS VICENZO (2180)</v>
      </c>
      <c r="L1311" t="str">
        <f>""</f>
        <v/>
      </c>
      <c r="M1311" t="str">
        <f>""</f>
        <v/>
      </c>
      <c r="N1311" t="str">
        <f>""</f>
        <v/>
      </c>
      <c r="O1311" t="str">
        <f>""</f>
        <v/>
      </c>
      <c r="P1311" t="str">
        <f>"RUA CORONEL BENJAMIN VIEIRA"</f>
        <v>RUA CORONEL BENJAMIN VIEIRA</v>
      </c>
      <c r="Q1311" t="str">
        <f>"860"</f>
        <v>860</v>
      </c>
      <c r="R1311" t="str">
        <f>"SALA 1"</f>
        <v>SALA 1</v>
      </c>
      <c r="S1311" t="str">
        <f>""</f>
        <v/>
      </c>
      <c r="T1311" t="str">
        <f>"88340542"</f>
        <v>88340542</v>
      </c>
      <c r="U1311" t="str">
        <f t="shared" si="665"/>
        <v>CENTRO</v>
      </c>
      <c r="V1311" t="str">
        <f>"CAMBORIU"</f>
        <v>CAMBORIU</v>
      </c>
      <c r="W1311" t="str">
        <f t="shared" si="636"/>
        <v>SC</v>
      </c>
      <c r="X1311" t="str">
        <f t="shared" si="666"/>
        <v>47</v>
      </c>
      <c r="Y1311" t="str">
        <f>"30560776"</f>
        <v>30560776</v>
      </c>
      <c r="Z1311" t="str">
        <f>""</f>
        <v/>
      </c>
      <c r="AA1311" t="str">
        <f>""</f>
        <v/>
      </c>
      <c r="AB1311" t="str">
        <f>""</f>
        <v/>
      </c>
      <c r="AC1311" t="str">
        <f>""</f>
        <v/>
      </c>
      <c r="AD1311" t="str">
        <f>""</f>
        <v/>
      </c>
      <c r="AE1311" t="str">
        <f>""</f>
        <v/>
      </c>
      <c r="AF1311" t="str">
        <f>""</f>
        <v/>
      </c>
      <c r="AG1311" t="str">
        <f>""</f>
        <v/>
      </c>
      <c r="AH1311" t="str">
        <f>""</f>
        <v/>
      </c>
      <c r="AI1311" t="str">
        <f>""</f>
        <v/>
      </c>
      <c r="AJ1311" t="str">
        <f>""</f>
        <v/>
      </c>
      <c r="AK1311" t="str">
        <f>""</f>
        <v/>
      </c>
      <c r="AL1311" t="str">
        <f>""</f>
        <v/>
      </c>
      <c r="AM1311" t="str">
        <f>""</f>
        <v/>
      </c>
      <c r="AN1311" t="str">
        <f>""</f>
        <v/>
      </c>
      <c r="AO1311" t="str">
        <f>""</f>
        <v/>
      </c>
      <c r="AP1311" t="str">
        <f>""</f>
        <v/>
      </c>
      <c r="AQ1311" t="str">
        <f>""</f>
        <v/>
      </c>
      <c r="AR1311" t="str">
        <f>""</f>
        <v/>
      </c>
      <c r="AS1311" t="str">
        <f>""</f>
        <v/>
      </c>
      <c r="AT1311" t="str">
        <f>""</f>
        <v/>
      </c>
      <c r="AU1311" t="str">
        <f>""</f>
        <v/>
      </c>
      <c r="AV1311" t="str">
        <f>""</f>
        <v/>
      </c>
      <c r="AW1311" t="str">
        <f>""</f>
        <v/>
      </c>
      <c r="AX1311" t="str">
        <f>""</f>
        <v/>
      </c>
      <c r="AY1311" t="str">
        <f>""</f>
        <v/>
      </c>
      <c r="AZ1311" t="str">
        <f>""</f>
        <v/>
      </c>
      <c r="BA1311" t="str">
        <f>""</f>
        <v/>
      </c>
      <c r="BB1311" t="str">
        <f>"11/07/2023 02:26:32"</f>
        <v>11/07/2023 02:26:32</v>
      </c>
      <c r="BC1311" t="str">
        <f>""</f>
        <v/>
      </c>
      <c r="BD1311" t="str">
        <f>""</f>
        <v/>
      </c>
      <c r="BE1311" t="str">
        <f>""</f>
        <v/>
      </c>
      <c r="BF1311" t="str">
        <f t="shared" si="650"/>
        <v>A</v>
      </c>
      <c r="BG1311" t="str">
        <f>""</f>
        <v/>
      </c>
      <c r="BH1311" t="str">
        <f>""</f>
        <v/>
      </c>
      <c r="BI1311" t="str">
        <f t="shared" si="667"/>
        <v>EVENTUAL</v>
      </c>
      <c r="BJ1311" t="str">
        <f t="shared" si="651"/>
        <v>1</v>
      </c>
      <c r="BK1311" t="str">
        <f t="shared" si="652"/>
        <v>Farmacia</v>
      </c>
      <c r="BL1311" t="str">
        <f>""</f>
        <v/>
      </c>
      <c r="BM1311" t="str">
        <f>""</f>
        <v/>
      </c>
      <c r="BN1311" t="str">
        <f>""</f>
        <v/>
      </c>
      <c r="BO1311" t="str">
        <f>""</f>
        <v/>
      </c>
      <c r="BP1311" t="str">
        <f>""</f>
        <v/>
      </c>
      <c r="BQ1311" t="str">
        <f>""</f>
        <v/>
      </c>
      <c r="BR1311" t="str">
        <f>"11/07/2023"</f>
        <v>11/07/2023</v>
      </c>
      <c r="BS1311" t="str">
        <f>""</f>
        <v/>
      </c>
      <c r="BT1311" t="str">
        <f>""</f>
        <v/>
      </c>
      <c r="BU1311" t="str">
        <f>""</f>
        <v/>
      </c>
      <c r="BV1311" t="str">
        <f>""</f>
        <v/>
      </c>
      <c r="BW1311" t="str">
        <f>"Não visitado"</f>
        <v>Não visitado</v>
      </c>
    </row>
    <row r="1312" spans="1:75" x14ac:dyDescent="0.35">
      <c r="A1312">
        <v>137556</v>
      </c>
      <c r="B1312" t="str">
        <f t="shared" si="647"/>
        <v>A</v>
      </c>
      <c r="C1312" t="str">
        <f t="shared" si="648"/>
        <v>80</v>
      </c>
      <c r="D1312" t="str">
        <f t="shared" si="637"/>
        <v>11121004</v>
      </c>
      <c r="E1312" t="str">
        <f t="shared" si="638"/>
        <v>121004</v>
      </c>
      <c r="F1312" t="str">
        <f t="shared" si="639"/>
        <v>FABIANA GODOY</v>
      </c>
      <c r="G1312" t="str">
        <f>"22229834000106"</f>
        <v>22229834000106</v>
      </c>
      <c r="H1312" t="str">
        <f t="shared" si="664"/>
        <v>0</v>
      </c>
      <c r="I1312" t="str">
        <f t="shared" si="649"/>
        <v>CONTA OPTICA</v>
      </c>
      <c r="J1312" t="str">
        <f>"CAIO HENRIQUE SANTOS XAVIER ME"</f>
        <v>CAIO HENRIQUE SANTOS XAVIER ME</v>
      </c>
      <c r="K1312" t="str">
        <f>"OTICA XAVIER (2237)"</f>
        <v>OTICA XAVIER (2237)</v>
      </c>
      <c r="L1312" t="str">
        <f>""</f>
        <v/>
      </c>
      <c r="M1312" t="str">
        <f>""</f>
        <v/>
      </c>
      <c r="N1312" t="str">
        <f>"otica_xavier@outlook.com"</f>
        <v>otica_xavier@outlook.com</v>
      </c>
      <c r="O1312" t="str">
        <f>""</f>
        <v/>
      </c>
      <c r="P1312" t="str">
        <f>"RUA VEREADOR NEREU LIBERATO NUNES"</f>
        <v>RUA VEREADOR NEREU LIBERATO NUNES</v>
      </c>
      <c r="Q1312" t="str">
        <f>"191"</f>
        <v>191</v>
      </c>
      <c r="R1312" t="str">
        <f>"SALA 03"</f>
        <v>SALA 03</v>
      </c>
      <c r="S1312" t="str">
        <f>"1263"</f>
        <v>1263</v>
      </c>
      <c r="T1312" t="str">
        <f>"88370232"</f>
        <v>88370232</v>
      </c>
      <c r="U1312" t="str">
        <f t="shared" si="665"/>
        <v>CENTRO</v>
      </c>
      <c r="V1312" t="str">
        <f>"NAVEGANTES"</f>
        <v>NAVEGANTES</v>
      </c>
      <c r="W1312" t="str">
        <f t="shared" si="636"/>
        <v>SC</v>
      </c>
      <c r="X1312" t="str">
        <f t="shared" si="666"/>
        <v>47</v>
      </c>
      <c r="Y1312" t="str">
        <f>"33193162"</f>
        <v>33193162</v>
      </c>
      <c r="Z1312" t="str">
        <f>""</f>
        <v/>
      </c>
      <c r="AA1312" t="str">
        <f>""</f>
        <v/>
      </c>
      <c r="AB1312" t="str">
        <f>""</f>
        <v/>
      </c>
      <c r="AC1312" t="str">
        <f>""</f>
        <v/>
      </c>
      <c r="AD1312" t="str">
        <f>""</f>
        <v/>
      </c>
      <c r="AE1312" t="str">
        <f>""</f>
        <v/>
      </c>
      <c r="AF1312" t="str">
        <f>""</f>
        <v/>
      </c>
      <c r="AG1312" t="str">
        <f>"S"</f>
        <v>S</v>
      </c>
      <c r="AH1312" t="str">
        <f>""</f>
        <v/>
      </c>
      <c r="AI1312" t="str">
        <f>""</f>
        <v/>
      </c>
      <c r="AJ1312" t="str">
        <f>""</f>
        <v/>
      </c>
      <c r="AK1312" t="str">
        <f>""</f>
        <v/>
      </c>
      <c r="AL1312" t="str">
        <f>""</f>
        <v/>
      </c>
      <c r="AM1312" t="str">
        <f>""</f>
        <v/>
      </c>
      <c r="AN1312" t="str">
        <f>""</f>
        <v/>
      </c>
      <c r="AO1312" t="str">
        <f>""</f>
        <v/>
      </c>
      <c r="AP1312" t="str">
        <f>""</f>
        <v/>
      </c>
      <c r="AQ1312" t="str">
        <f>"N"</f>
        <v>N</v>
      </c>
      <c r="AR1312" t="str">
        <f>"N"</f>
        <v>N</v>
      </c>
      <c r="AS1312" t="str">
        <f>"N"</f>
        <v>N</v>
      </c>
      <c r="AT1312" t="str">
        <f>"N"</f>
        <v>N</v>
      </c>
      <c r="AU1312" t="str">
        <f>"N"</f>
        <v>N</v>
      </c>
      <c r="AV1312" t="str">
        <f>""</f>
        <v/>
      </c>
      <c r="AW1312" t="str">
        <f>""</f>
        <v/>
      </c>
      <c r="AX1312" t="str">
        <f>""</f>
        <v/>
      </c>
      <c r="AY1312" t="str">
        <f>""</f>
        <v/>
      </c>
      <c r="AZ1312" t="str">
        <f>""</f>
        <v/>
      </c>
      <c r="BA1312" t="str">
        <f>""</f>
        <v/>
      </c>
      <c r="BB1312" t="str">
        <f>"01/07/2021 13:53:04"</f>
        <v>01/07/2021 13:53:04</v>
      </c>
      <c r="BC1312" t="str">
        <f>"07/07/2023 11:29:46"</f>
        <v>07/07/2023 11:29:46</v>
      </c>
      <c r="BD1312" t="str">
        <f>""</f>
        <v/>
      </c>
      <c r="BE1312" t="str">
        <f>""</f>
        <v/>
      </c>
      <c r="BF1312" t="str">
        <f t="shared" si="650"/>
        <v>A</v>
      </c>
      <c r="BG1312" t="str">
        <f>""</f>
        <v/>
      </c>
      <c r="BH1312" t="str">
        <f>"0,00"</f>
        <v>0,00</v>
      </c>
      <c r="BI1312" t="str">
        <f t="shared" si="667"/>
        <v>EVENTUAL</v>
      </c>
      <c r="BJ1312" t="str">
        <f t="shared" si="651"/>
        <v>1</v>
      </c>
      <c r="BK1312" t="str">
        <f t="shared" si="652"/>
        <v>Farmacia</v>
      </c>
      <c r="BL1312" t="str">
        <f>""</f>
        <v/>
      </c>
      <c r="BM1312" t="str">
        <f>"NÃO É VARILUX ESPECIALISTA"</f>
        <v>NÃO É VARILUX ESPECIALISTA</v>
      </c>
      <c r="BN1312" t="str">
        <f>"NA"</f>
        <v>NA</v>
      </c>
      <c r="BO1312" t="str">
        <f>"FOCO VARILUX"</f>
        <v>FOCO VARILUX</v>
      </c>
      <c r="BP1312" t="str">
        <f>""</f>
        <v/>
      </c>
      <c r="BQ1312" t="str">
        <f>""</f>
        <v/>
      </c>
      <c r="BR1312" t="str">
        <f>"01/07/2021"</f>
        <v>01/07/2021</v>
      </c>
      <c r="BS1312" t="str">
        <f>"07/07/2023"</f>
        <v>07/07/2023</v>
      </c>
      <c r="BT1312" t="str">
        <f>""</f>
        <v/>
      </c>
      <c r="BU1312" t="str">
        <f>""</f>
        <v/>
      </c>
      <c r="BV1312" t="str">
        <f>""</f>
        <v/>
      </c>
      <c r="BW1312" t="str">
        <f>"28"</f>
        <v>28</v>
      </c>
    </row>
    <row r="1313" spans="1:75" x14ac:dyDescent="0.35">
      <c r="A1313">
        <v>117453</v>
      </c>
      <c r="B1313" t="str">
        <f t="shared" si="647"/>
        <v>A</v>
      </c>
      <c r="C1313" t="str">
        <f t="shared" si="648"/>
        <v>80</v>
      </c>
      <c r="D1313" t="str">
        <f t="shared" si="637"/>
        <v>11121004</v>
      </c>
      <c r="E1313" t="str">
        <f t="shared" si="638"/>
        <v>121004</v>
      </c>
      <c r="F1313" t="str">
        <f t="shared" si="639"/>
        <v>FABIANA GODOY</v>
      </c>
      <c r="G1313" t="str">
        <f>"03268342000185"</f>
        <v>03268342000185</v>
      </c>
      <c r="H1313" t="str">
        <f t="shared" si="664"/>
        <v>0</v>
      </c>
      <c r="I1313" t="str">
        <f t="shared" si="649"/>
        <v>CONTA OPTICA</v>
      </c>
      <c r="J1313" t="str">
        <f>"CAMILA ELIZA SCHRODER ME"</f>
        <v>CAMILA ELIZA SCHRODER ME</v>
      </c>
      <c r="K1313" t="str">
        <f>"OTICA SCHRODER (2157)"</f>
        <v>OTICA SCHRODER (2157)</v>
      </c>
      <c r="L1313" t="str">
        <f>""</f>
        <v/>
      </c>
      <c r="M1313" t="str">
        <f>""</f>
        <v/>
      </c>
      <c r="N1313" t="str">
        <f>"mariana.schroder@gmail.com"</f>
        <v>mariana.schroder@gmail.com</v>
      </c>
      <c r="O1313" t="str">
        <f>""</f>
        <v/>
      </c>
      <c r="P1313" t="str">
        <f>"RUA CONSUL CARLOS RENAUX"</f>
        <v>RUA CONSUL CARLOS RENAUX</v>
      </c>
      <c r="Q1313" t="str">
        <f>"87"</f>
        <v>87</v>
      </c>
      <c r="R1313" t="str">
        <f>""</f>
        <v/>
      </c>
      <c r="S1313" t="str">
        <f>"1263"</f>
        <v>1263</v>
      </c>
      <c r="T1313" t="str">
        <f>"88350002"</f>
        <v>88350002</v>
      </c>
      <c r="U1313" t="str">
        <f t="shared" si="665"/>
        <v>CENTRO</v>
      </c>
      <c r="V1313" t="str">
        <f>"BRUSQUE"</f>
        <v>BRUSQUE</v>
      </c>
      <c r="W1313" t="str">
        <f t="shared" si="636"/>
        <v>SC</v>
      </c>
      <c r="X1313" t="str">
        <f t="shared" si="666"/>
        <v>47</v>
      </c>
      <c r="Y1313" t="str">
        <f>"33513897"</f>
        <v>33513897</v>
      </c>
      <c r="Z1313" t="str">
        <f>""</f>
        <v/>
      </c>
      <c r="AA1313" t="str">
        <f>""</f>
        <v/>
      </c>
      <c r="AB1313" t="str">
        <f>""</f>
        <v/>
      </c>
      <c r="AC1313" t="str">
        <f>""</f>
        <v/>
      </c>
      <c r="AD1313" t="str">
        <f>""</f>
        <v/>
      </c>
      <c r="AE1313" t="str">
        <f>""</f>
        <v/>
      </c>
      <c r="AF1313" t="str">
        <f>""</f>
        <v/>
      </c>
      <c r="AG1313" t="str">
        <f>""</f>
        <v/>
      </c>
      <c r="AH1313" t="str">
        <f>""</f>
        <v/>
      </c>
      <c r="AI1313" t="str">
        <f>""</f>
        <v/>
      </c>
      <c r="AJ1313" t="str">
        <f>"0"</f>
        <v>0</v>
      </c>
      <c r="AK1313" t="str">
        <f>"0"</f>
        <v>0</v>
      </c>
      <c r="AL1313" t="str">
        <f>"0"</f>
        <v>0</v>
      </c>
      <c r="AM1313" t="str">
        <f>""</f>
        <v/>
      </c>
      <c r="AN1313" t="str">
        <f>""</f>
        <v/>
      </c>
      <c r="AO1313" t="str">
        <f>""</f>
        <v/>
      </c>
      <c r="AP1313" t="str">
        <f>""</f>
        <v/>
      </c>
      <c r="AQ1313" t="str">
        <f>""</f>
        <v/>
      </c>
      <c r="AR1313" t="str">
        <f>""</f>
        <v/>
      </c>
      <c r="AS1313" t="str">
        <f>""</f>
        <v/>
      </c>
      <c r="AT1313" t="str">
        <f>""</f>
        <v/>
      </c>
      <c r="AU1313" t="str">
        <f>""</f>
        <v/>
      </c>
      <c r="AV1313" t="str">
        <f>""</f>
        <v/>
      </c>
      <c r="AW1313" t="str">
        <f>""</f>
        <v/>
      </c>
      <c r="AX1313" t="str">
        <f>""</f>
        <v/>
      </c>
      <c r="AY1313" t="str">
        <f>""</f>
        <v/>
      </c>
      <c r="AZ1313" t="str">
        <f>""</f>
        <v/>
      </c>
      <c r="BA1313" t="str">
        <f>""</f>
        <v/>
      </c>
      <c r="BB1313" t="str">
        <f>"22/07/2020 08:24:23"</f>
        <v>22/07/2020 08:24:23</v>
      </c>
      <c r="BC1313" t="str">
        <f>""</f>
        <v/>
      </c>
      <c r="BD1313" t="str">
        <f>""</f>
        <v/>
      </c>
      <c r="BE1313" t="str">
        <f>""</f>
        <v/>
      </c>
      <c r="BF1313" t="str">
        <f t="shared" si="650"/>
        <v>A</v>
      </c>
      <c r="BG1313" t="str">
        <f>"0,00"</f>
        <v>0,00</v>
      </c>
      <c r="BH1313" t="str">
        <f>"0,00"</f>
        <v>0,00</v>
      </c>
      <c r="BI1313" t="str">
        <f t="shared" si="667"/>
        <v>EVENTUAL</v>
      </c>
      <c r="BJ1313" t="str">
        <f t="shared" si="651"/>
        <v>1</v>
      </c>
      <c r="BK1313" t="str">
        <f t="shared" si="652"/>
        <v>Farmacia</v>
      </c>
      <c r="BL1313" t="str">
        <f>""</f>
        <v/>
      </c>
      <c r="BM1313" t="str">
        <f>"VARILUX ESPECIALISTA SELECT"</f>
        <v>VARILUX ESPECIALISTA SELECT</v>
      </c>
      <c r="BN1313" t="str">
        <f>"NA"</f>
        <v>NA</v>
      </c>
      <c r="BO1313" t="str">
        <f>"FOCO VARILUX DIGITAL"</f>
        <v>FOCO VARILUX DIGITAL</v>
      </c>
      <c r="BP1313" t="str">
        <f>""</f>
        <v/>
      </c>
      <c r="BQ1313" t="str">
        <f>""</f>
        <v/>
      </c>
      <c r="BR1313" t="str">
        <f>"22/07/2020"</f>
        <v>22/07/2020</v>
      </c>
      <c r="BS1313" t="str">
        <f>""</f>
        <v/>
      </c>
      <c r="BT1313" t="str">
        <f>""</f>
        <v/>
      </c>
      <c r="BU1313" t="str">
        <f>""</f>
        <v/>
      </c>
      <c r="BV1313" t="str">
        <f>"5"</f>
        <v>5</v>
      </c>
      <c r="BW1313" t="str">
        <f>"16"</f>
        <v>16</v>
      </c>
    </row>
    <row r="1314" spans="1:75" x14ac:dyDescent="0.35">
      <c r="A1314">
        <v>137558</v>
      </c>
      <c r="B1314" t="str">
        <f t="shared" si="647"/>
        <v>A</v>
      </c>
      <c r="C1314" t="str">
        <f t="shared" si="648"/>
        <v>80</v>
      </c>
      <c r="D1314" t="str">
        <f t="shared" si="637"/>
        <v>11121004</v>
      </c>
      <c r="E1314" t="str">
        <f t="shared" si="638"/>
        <v>121004</v>
      </c>
      <c r="F1314" t="str">
        <f t="shared" si="639"/>
        <v>FABIANA GODOY</v>
      </c>
      <c r="G1314" t="str">
        <f>"83199505000154"</f>
        <v>83199505000154</v>
      </c>
      <c r="H1314" t="str">
        <f t="shared" si="664"/>
        <v>0</v>
      </c>
      <c r="I1314" t="str">
        <f t="shared" si="649"/>
        <v>CONTA OPTICA</v>
      </c>
      <c r="J1314" t="str">
        <f>"CAPRI JOALHERIA E OTICA LTDA ME"</f>
        <v>CAPRI JOALHERIA E OTICA LTDA ME</v>
      </c>
      <c r="K1314" t="str">
        <f>"CAPRI JOALHERIA E OTICA LTDA ME (509)"</f>
        <v>CAPRI JOALHERIA E OTICA LTDA ME (509)</v>
      </c>
      <c r="L1314" t="str">
        <f>""</f>
        <v/>
      </c>
      <c r="M1314" t="str">
        <f>""</f>
        <v/>
      </c>
      <c r="N1314" t="str">
        <f>"caprijoalheria@gmail.com"</f>
        <v>caprijoalheria@gmail.com</v>
      </c>
      <c r="O1314" t="str">
        <f>""</f>
        <v/>
      </c>
      <c r="P1314" t="str">
        <f>"RUA TUIUTI"</f>
        <v>RUA TUIUTI</v>
      </c>
      <c r="Q1314" t="str">
        <f>"14"</f>
        <v>14</v>
      </c>
      <c r="R1314" t="str">
        <f>""</f>
        <v/>
      </c>
      <c r="S1314" t="str">
        <f>"1276"</f>
        <v>1276</v>
      </c>
      <c r="T1314" t="str">
        <f>"89160045"</f>
        <v>89160045</v>
      </c>
      <c r="U1314" t="str">
        <f t="shared" si="665"/>
        <v>CENTRO</v>
      </c>
      <c r="V1314" t="str">
        <f>"RIO DO SUL"</f>
        <v>RIO DO SUL</v>
      </c>
      <c r="W1314" t="str">
        <f t="shared" si="636"/>
        <v>SC</v>
      </c>
      <c r="X1314" t="str">
        <f t="shared" si="666"/>
        <v>47</v>
      </c>
      <c r="Y1314" t="str">
        <f>"35211539"</f>
        <v>35211539</v>
      </c>
      <c r="Z1314" t="str">
        <f>""</f>
        <v/>
      </c>
      <c r="AA1314" t="str">
        <f>""</f>
        <v/>
      </c>
      <c r="AB1314" t="str">
        <f>""</f>
        <v/>
      </c>
      <c r="AC1314" t="str">
        <f>""</f>
        <v/>
      </c>
      <c r="AD1314" t="str">
        <f>""</f>
        <v/>
      </c>
      <c r="AE1314" t="str">
        <f>""</f>
        <v/>
      </c>
      <c r="AF1314" t="str">
        <f>""</f>
        <v/>
      </c>
      <c r="AG1314" t="str">
        <f>"S"</f>
        <v>S</v>
      </c>
      <c r="AH1314" t="str">
        <f>""</f>
        <v/>
      </c>
      <c r="AI1314" t="str">
        <f>""</f>
        <v/>
      </c>
      <c r="AJ1314" t="str">
        <f>""</f>
        <v/>
      </c>
      <c r="AK1314" t="str">
        <f>""</f>
        <v/>
      </c>
      <c r="AL1314" t="str">
        <f>""</f>
        <v/>
      </c>
      <c r="AM1314" t="str">
        <f>""</f>
        <v/>
      </c>
      <c r="AN1314" t="str">
        <f>""</f>
        <v/>
      </c>
      <c r="AO1314" t="str">
        <f>""</f>
        <v/>
      </c>
      <c r="AP1314" t="str">
        <f>""</f>
        <v/>
      </c>
      <c r="AQ1314" t="str">
        <f>"N"</f>
        <v>N</v>
      </c>
      <c r="AR1314" t="str">
        <f>"N"</f>
        <v>N</v>
      </c>
      <c r="AS1314" t="str">
        <f>"N"</f>
        <v>N</v>
      </c>
      <c r="AT1314" t="str">
        <f>"N"</f>
        <v>N</v>
      </c>
      <c r="AU1314" t="str">
        <f>"N"</f>
        <v>N</v>
      </c>
      <c r="AV1314" t="str">
        <f>""</f>
        <v/>
      </c>
      <c r="AW1314" t="str">
        <f>""</f>
        <v/>
      </c>
      <c r="AX1314" t="str">
        <f>""</f>
        <v/>
      </c>
      <c r="AY1314" t="str">
        <f>""</f>
        <v/>
      </c>
      <c r="AZ1314" t="str">
        <f>""</f>
        <v/>
      </c>
      <c r="BA1314" t="str">
        <f>""</f>
        <v/>
      </c>
      <c r="BB1314" t="str">
        <f>"01/07/2021 13:53:04"</f>
        <v>01/07/2021 13:53:04</v>
      </c>
      <c r="BC1314" t="str">
        <f>"07/07/2023 11:30:31"</f>
        <v>07/07/2023 11:30:31</v>
      </c>
      <c r="BD1314" t="str">
        <f>""</f>
        <v/>
      </c>
      <c r="BE1314" t="str">
        <f>""</f>
        <v/>
      </c>
      <c r="BF1314" t="str">
        <f t="shared" si="650"/>
        <v>A</v>
      </c>
      <c r="BG1314" t="str">
        <f>""</f>
        <v/>
      </c>
      <c r="BH1314" t="str">
        <f>"0,00"</f>
        <v>0,00</v>
      </c>
      <c r="BI1314" t="str">
        <f t="shared" si="667"/>
        <v>EVENTUAL</v>
      </c>
      <c r="BJ1314" t="str">
        <f t="shared" si="651"/>
        <v>1</v>
      </c>
      <c r="BK1314" t="str">
        <f t="shared" si="652"/>
        <v>Farmacia</v>
      </c>
      <c r="BL1314" t="str">
        <f>""</f>
        <v/>
      </c>
      <c r="BM1314" t="str">
        <f>"NÃO É VARILUX ESPECIALISTA"</f>
        <v>NÃO É VARILUX ESPECIALISTA</v>
      </c>
      <c r="BN1314" t="str">
        <f>"EL360"</f>
        <v>EL360</v>
      </c>
      <c r="BO1314" t="str">
        <f>"FOCO VARILUX"</f>
        <v>FOCO VARILUX</v>
      </c>
      <c r="BP1314" t="str">
        <f>""</f>
        <v/>
      </c>
      <c r="BQ1314" t="str">
        <f>""</f>
        <v/>
      </c>
      <c r="BR1314" t="str">
        <f>"01/07/2021"</f>
        <v>01/07/2021</v>
      </c>
      <c r="BS1314" t="str">
        <f>"07/07/2023"</f>
        <v>07/07/2023</v>
      </c>
      <c r="BT1314" t="str">
        <f>""</f>
        <v/>
      </c>
      <c r="BU1314" t="str">
        <f>""</f>
        <v/>
      </c>
      <c r="BV1314" t="str">
        <f>""</f>
        <v/>
      </c>
      <c r="BW1314" t="str">
        <f>"37"</f>
        <v>37</v>
      </c>
    </row>
    <row r="1315" spans="1:75" x14ac:dyDescent="0.35">
      <c r="A1315">
        <v>1314</v>
      </c>
      <c r="B1315" t="str">
        <f t="shared" si="647"/>
        <v>A</v>
      </c>
      <c r="C1315" t="str">
        <f t="shared" si="648"/>
        <v>80</v>
      </c>
      <c r="D1315" t="str">
        <f t="shared" si="637"/>
        <v>11121004</v>
      </c>
      <c r="E1315" t="str">
        <f t="shared" si="638"/>
        <v>121004</v>
      </c>
      <c r="F1315" t="str">
        <f t="shared" si="639"/>
        <v>FABIANA GODOY</v>
      </c>
      <c r="G1315" t="str">
        <f>"08646042000106"</f>
        <v>08646042000106</v>
      </c>
      <c r="H1315" t="str">
        <f>""</f>
        <v/>
      </c>
      <c r="I1315" t="str">
        <f t="shared" si="649"/>
        <v>CONTA OPTICA</v>
      </c>
      <c r="J1315" t="str">
        <f>"CARDOSO JOALHEIROS COMERCIO DE JOIAS LTDA ME"</f>
        <v>CARDOSO JOALHEIROS COMERCIO DE JOIAS LTDA ME</v>
      </c>
      <c r="K1315" t="str">
        <f>"CARDOSO JOALHEIROS (3337)"</f>
        <v>CARDOSO JOALHEIROS (3337)</v>
      </c>
      <c r="L1315" t="str">
        <f>""</f>
        <v/>
      </c>
      <c r="M1315" t="str">
        <f>""</f>
        <v/>
      </c>
      <c r="N1315" t="str">
        <f>"financeiro@cardosojoalheiros.com.br"</f>
        <v>financeiro@cardosojoalheiros.com.br</v>
      </c>
      <c r="O1315" t="str">
        <f>""</f>
        <v/>
      </c>
      <c r="P1315" t="str">
        <f>"RUA CARLOS GOMES"</f>
        <v>RUA CARLOS GOMES</v>
      </c>
      <c r="Q1315" t="str">
        <f>"147"</f>
        <v>147</v>
      </c>
      <c r="R1315" t="str">
        <f>"SALA 02"</f>
        <v>SALA 02</v>
      </c>
      <c r="S1315" t="str">
        <f>"1276"</f>
        <v>1276</v>
      </c>
      <c r="T1315" t="str">
        <f>"89160051"</f>
        <v>89160051</v>
      </c>
      <c r="U1315" t="str">
        <f t="shared" si="665"/>
        <v>CENTRO</v>
      </c>
      <c r="V1315" t="str">
        <f>"RIO DO SUL"</f>
        <v>RIO DO SUL</v>
      </c>
      <c r="W1315" t="str">
        <f t="shared" si="636"/>
        <v>SC</v>
      </c>
      <c r="X1315" t="str">
        <f t="shared" si="666"/>
        <v>47</v>
      </c>
      <c r="Y1315" t="str">
        <f>"35222289"</f>
        <v>35222289</v>
      </c>
      <c r="Z1315" t="str">
        <f>""</f>
        <v/>
      </c>
      <c r="AA1315" t="str">
        <f>""</f>
        <v/>
      </c>
      <c r="AB1315" t="str">
        <f>""</f>
        <v/>
      </c>
      <c r="AC1315" t="str">
        <f>""</f>
        <v/>
      </c>
      <c r="AD1315" t="str">
        <f>""</f>
        <v/>
      </c>
      <c r="AE1315" t="str">
        <f>""</f>
        <v/>
      </c>
      <c r="AF1315" t="str">
        <f>""</f>
        <v/>
      </c>
      <c r="AG1315" t="str">
        <f>""</f>
        <v/>
      </c>
      <c r="AH1315" t="str">
        <f>""</f>
        <v/>
      </c>
      <c r="AI1315" t="str">
        <f>""</f>
        <v/>
      </c>
      <c r="AJ1315" t="str">
        <f>"0"</f>
        <v>0</v>
      </c>
      <c r="AK1315" t="str">
        <f>"0"</f>
        <v>0</v>
      </c>
      <c r="AL1315" t="str">
        <f>"0"</f>
        <v>0</v>
      </c>
      <c r="AM1315" t="str">
        <f>""</f>
        <v/>
      </c>
      <c r="AN1315" t="str">
        <f>""</f>
        <v/>
      </c>
      <c r="AO1315" t="str">
        <f>""</f>
        <v/>
      </c>
      <c r="AP1315" t="str">
        <f>""</f>
        <v/>
      </c>
      <c r="AQ1315" t="str">
        <f>""</f>
        <v/>
      </c>
      <c r="AR1315" t="str">
        <f>""</f>
        <v/>
      </c>
      <c r="AS1315" t="str">
        <f>""</f>
        <v/>
      </c>
      <c r="AT1315" t="str">
        <f>""</f>
        <v/>
      </c>
      <c r="AU1315" t="str">
        <f>""</f>
        <v/>
      </c>
      <c r="AV1315" t="str">
        <f>""</f>
        <v/>
      </c>
      <c r="AW1315" t="str">
        <f>""</f>
        <v/>
      </c>
      <c r="AX1315" t="str">
        <f>""</f>
        <v/>
      </c>
      <c r="AY1315" t="str">
        <f>""</f>
        <v/>
      </c>
      <c r="AZ1315" t="str">
        <f>""</f>
        <v/>
      </c>
      <c r="BA1315" t="str">
        <f>""</f>
        <v/>
      </c>
      <c r="BB1315" t="str">
        <f>"27/07/2018 09:26:14"</f>
        <v>27/07/2018 09:26:14</v>
      </c>
      <c r="BC1315" t="str">
        <f>""</f>
        <v/>
      </c>
      <c r="BD1315" t="str">
        <f>""</f>
        <v/>
      </c>
      <c r="BE1315" t="str">
        <f>"1314"</f>
        <v>1314</v>
      </c>
      <c r="BF1315" t="str">
        <f t="shared" si="650"/>
        <v>A</v>
      </c>
      <c r="BG1315" t="str">
        <f>"0,00"</f>
        <v>0,00</v>
      </c>
      <c r="BH1315" t="str">
        <f>"0,00"</f>
        <v>0,00</v>
      </c>
      <c r="BI1315" t="str">
        <f t="shared" si="667"/>
        <v>EVENTUAL</v>
      </c>
      <c r="BJ1315" t="str">
        <f t="shared" si="651"/>
        <v>1</v>
      </c>
      <c r="BK1315" t="str">
        <f t="shared" si="652"/>
        <v>Farmacia</v>
      </c>
      <c r="BL1315" t="str">
        <f>""</f>
        <v/>
      </c>
      <c r="BM1315" t="str">
        <f>"NÃO É VARILUX ESPECIALISTA"</f>
        <v>NÃO É VARILUX ESPECIALISTA</v>
      </c>
      <c r="BN1315" t="str">
        <f>"NA"</f>
        <v>NA</v>
      </c>
      <c r="BO1315" t="str">
        <f>"FOCO VARILUX DIGITAL"</f>
        <v>FOCO VARILUX DIGITAL</v>
      </c>
      <c r="BP1315" t="str">
        <f>""</f>
        <v/>
      </c>
      <c r="BQ1315" t="str">
        <f>""</f>
        <v/>
      </c>
      <c r="BR1315" t="str">
        <f>"27/07/2018"</f>
        <v>27/07/2018</v>
      </c>
      <c r="BS1315" t="str">
        <f>""</f>
        <v/>
      </c>
      <c r="BT1315" t="str">
        <f>""</f>
        <v/>
      </c>
      <c r="BU1315" t="str">
        <f>""</f>
        <v/>
      </c>
      <c r="BV1315" t="str">
        <f>"5"</f>
        <v>5</v>
      </c>
      <c r="BW1315" t="str">
        <f>"Não visitado"</f>
        <v>Não visitado</v>
      </c>
    </row>
    <row r="1316" spans="1:75" x14ac:dyDescent="0.35">
      <c r="A1316">
        <v>141890</v>
      </c>
      <c r="B1316" t="str">
        <f t="shared" si="647"/>
        <v>A</v>
      </c>
      <c r="C1316" t="str">
        <f t="shared" si="648"/>
        <v>80</v>
      </c>
      <c r="D1316" t="str">
        <f t="shared" si="637"/>
        <v>11121004</v>
      </c>
      <c r="E1316" t="str">
        <f t="shared" si="638"/>
        <v>121004</v>
      </c>
      <c r="F1316" t="str">
        <f t="shared" si="639"/>
        <v>FABIANA GODOY</v>
      </c>
      <c r="G1316" t="str">
        <f>"38092745000109"</f>
        <v>38092745000109</v>
      </c>
      <c r="H1316" t="str">
        <f>"0"</f>
        <v>0</v>
      </c>
      <c r="I1316" t="str">
        <f t="shared" si="649"/>
        <v>CONTA OPTICA</v>
      </c>
      <c r="J1316" t="str">
        <f>"CARIOQUICE COMERCIO LTDA"</f>
        <v>CARIOQUICE COMERCIO LTDA</v>
      </c>
      <c r="K1316" t="str">
        <f>"CARIOQUICE &amp; THEO (4005)"</f>
        <v>CARIOQUICE &amp; THEO (4005)</v>
      </c>
      <c r="L1316" t="str">
        <f>""</f>
        <v/>
      </c>
      <c r="M1316" t="str">
        <f>""</f>
        <v/>
      </c>
      <c r="N1316" t="str">
        <f>"FINANCEIROCARIOQUICE@GMAIL.COM"</f>
        <v>FINANCEIROCARIOQUICE@GMAIL.COM</v>
      </c>
      <c r="O1316" t="str">
        <f>""</f>
        <v/>
      </c>
      <c r="P1316" t="str">
        <f>"AVENIDA BRASIL"</f>
        <v>AVENIDA BRASIL</v>
      </c>
      <c r="Q1316" t="str">
        <f>"1105"</f>
        <v>1105</v>
      </c>
      <c r="R1316" t="str">
        <f>"SALA 03"</f>
        <v>SALA 03</v>
      </c>
      <c r="S1316" t="str">
        <f>"1262"</f>
        <v>1262</v>
      </c>
      <c r="T1316" t="str">
        <f>"88330045"</f>
        <v>88330045</v>
      </c>
      <c r="U1316" t="str">
        <f t="shared" si="665"/>
        <v>CENTRO</v>
      </c>
      <c r="V1316" t="str">
        <f>"BALNEARIO CAMBORIU"</f>
        <v>BALNEARIO CAMBORIU</v>
      </c>
      <c r="W1316" t="str">
        <f t="shared" si="636"/>
        <v>SC</v>
      </c>
      <c r="X1316" t="str">
        <f t="shared" si="666"/>
        <v>47</v>
      </c>
      <c r="Y1316" t="str">
        <f>"996570796"</f>
        <v>996570796</v>
      </c>
      <c r="Z1316" t="str">
        <f>""</f>
        <v/>
      </c>
      <c r="AA1316" t="str">
        <f>""</f>
        <v/>
      </c>
      <c r="AB1316" t="str">
        <f>""</f>
        <v/>
      </c>
      <c r="AC1316" t="str">
        <f>""</f>
        <v/>
      </c>
      <c r="AD1316" t="str">
        <f>""</f>
        <v/>
      </c>
      <c r="AE1316" t="str">
        <f>""</f>
        <v/>
      </c>
      <c r="AF1316" t="str">
        <f>""</f>
        <v/>
      </c>
      <c r="AG1316" t="str">
        <f>""</f>
        <v/>
      </c>
      <c r="AH1316" t="str">
        <f>""</f>
        <v/>
      </c>
      <c r="AI1316" t="str">
        <f>""</f>
        <v/>
      </c>
      <c r="AJ1316" t="str">
        <f>""</f>
        <v/>
      </c>
      <c r="AK1316" t="str">
        <f>""</f>
        <v/>
      </c>
      <c r="AL1316" t="str">
        <f>""</f>
        <v/>
      </c>
      <c r="AM1316" t="str">
        <f>""</f>
        <v/>
      </c>
      <c r="AN1316" t="str">
        <f>""</f>
        <v/>
      </c>
      <c r="AO1316" t="str">
        <f>""</f>
        <v/>
      </c>
      <c r="AP1316" t="str">
        <f>""</f>
        <v/>
      </c>
      <c r="AQ1316" t="str">
        <f>""</f>
        <v/>
      </c>
      <c r="AR1316" t="str">
        <f>""</f>
        <v/>
      </c>
      <c r="AS1316" t="str">
        <f>""</f>
        <v/>
      </c>
      <c r="AT1316" t="str">
        <f>""</f>
        <v/>
      </c>
      <c r="AU1316" t="str">
        <f>""</f>
        <v/>
      </c>
      <c r="AV1316" t="str">
        <f>""</f>
        <v/>
      </c>
      <c r="AW1316" t="str">
        <f>""</f>
        <v/>
      </c>
      <c r="AX1316" t="str">
        <f>""</f>
        <v/>
      </c>
      <c r="AY1316" t="str">
        <f>""</f>
        <v/>
      </c>
      <c r="AZ1316" t="str">
        <f>""</f>
        <v/>
      </c>
      <c r="BA1316" t="str">
        <f>""</f>
        <v/>
      </c>
      <c r="BB1316" t="str">
        <f>"28/10/2021 19:34:33"</f>
        <v>28/10/2021 19:34:33</v>
      </c>
      <c r="BC1316" t="str">
        <f>""</f>
        <v/>
      </c>
      <c r="BD1316" t="str">
        <f>""</f>
        <v/>
      </c>
      <c r="BE1316" t="str">
        <f>""</f>
        <v/>
      </c>
      <c r="BF1316" t="str">
        <f t="shared" si="650"/>
        <v>A</v>
      </c>
      <c r="BG1316" t="str">
        <f>""</f>
        <v/>
      </c>
      <c r="BH1316" t="str">
        <f>""</f>
        <v/>
      </c>
      <c r="BI1316" t="str">
        <f t="shared" si="667"/>
        <v>EVENTUAL</v>
      </c>
      <c r="BJ1316" t="str">
        <f t="shared" si="651"/>
        <v>1</v>
      </c>
      <c r="BK1316" t="str">
        <f t="shared" si="652"/>
        <v>Farmacia</v>
      </c>
      <c r="BL1316" t="str">
        <f>""</f>
        <v/>
      </c>
      <c r="BM1316" t="str">
        <f>""</f>
        <v/>
      </c>
      <c r="BN1316" t="str">
        <f>""</f>
        <v/>
      </c>
      <c r="BO1316" t="str">
        <f>"FOCO VARILUX"</f>
        <v>FOCO VARILUX</v>
      </c>
      <c r="BP1316" t="str">
        <f>""</f>
        <v/>
      </c>
      <c r="BQ1316" t="str">
        <f>""</f>
        <v/>
      </c>
      <c r="BR1316" t="str">
        <f>"28/10/2021"</f>
        <v>28/10/2021</v>
      </c>
      <c r="BS1316" t="str">
        <f>""</f>
        <v/>
      </c>
      <c r="BT1316" t="str">
        <f>""</f>
        <v/>
      </c>
      <c r="BU1316" t="str">
        <f>""</f>
        <v/>
      </c>
      <c r="BV1316" t="str">
        <f>""</f>
        <v/>
      </c>
      <c r="BW1316" t="str">
        <f>"113"</f>
        <v>113</v>
      </c>
    </row>
    <row r="1317" spans="1:75" x14ac:dyDescent="0.35">
      <c r="A1317">
        <v>137560</v>
      </c>
      <c r="B1317" t="str">
        <f t="shared" si="647"/>
        <v>A</v>
      </c>
      <c r="C1317" t="str">
        <f t="shared" si="648"/>
        <v>80</v>
      </c>
      <c r="D1317" t="str">
        <f t="shared" si="637"/>
        <v>11121004</v>
      </c>
      <c r="E1317" t="str">
        <f t="shared" si="638"/>
        <v>121004</v>
      </c>
      <c r="F1317" t="str">
        <f t="shared" si="639"/>
        <v>FABIANA GODOY</v>
      </c>
      <c r="G1317" t="str">
        <f>"10430541000103"</f>
        <v>10430541000103</v>
      </c>
      <c r="H1317" t="str">
        <f>"0"</f>
        <v>0</v>
      </c>
      <c r="I1317" t="str">
        <f t="shared" si="649"/>
        <v>CONTA OPTICA</v>
      </c>
      <c r="J1317" t="str">
        <f>"CARLINGE MATERIAL OPTICO LTDA ME"</f>
        <v>CARLINGE MATERIAL OPTICO LTDA ME</v>
      </c>
      <c r="K1317" t="str">
        <f>"A ESPECIALISTA OPTICA (1464)"</f>
        <v>A ESPECIALISTA OPTICA (1464)</v>
      </c>
      <c r="L1317" t="str">
        <f>""</f>
        <v/>
      </c>
      <c r="M1317" t="str">
        <f>""</f>
        <v/>
      </c>
      <c r="N1317" t="str">
        <f>"aespecialistaotica@gmail.com"</f>
        <v>aespecialistaotica@gmail.com</v>
      </c>
      <c r="O1317" t="str">
        <f>""</f>
        <v/>
      </c>
      <c r="P1317" t="str">
        <f>"PRAÇA NEREU RAMOS"</f>
        <v>PRAÇA NEREU RAMOS</v>
      </c>
      <c r="Q1317" t="str">
        <f>"80"</f>
        <v>80</v>
      </c>
      <c r="R1317" t="str">
        <f>"PISO 01 / SL 02"</f>
        <v>PISO 01 / SL 02</v>
      </c>
      <c r="S1317" t="str">
        <f>"1276"</f>
        <v>1276</v>
      </c>
      <c r="T1317" t="str">
        <f>"89160043"</f>
        <v>89160043</v>
      </c>
      <c r="U1317" t="str">
        <f t="shared" si="665"/>
        <v>CENTRO</v>
      </c>
      <c r="V1317" t="str">
        <f>"RIO DO SUL"</f>
        <v>RIO DO SUL</v>
      </c>
      <c r="W1317" t="str">
        <f t="shared" si="636"/>
        <v>SC</v>
      </c>
      <c r="X1317" t="str">
        <f t="shared" si="666"/>
        <v>47</v>
      </c>
      <c r="Y1317" t="str">
        <f>"35226768"</f>
        <v>35226768</v>
      </c>
      <c r="Z1317" t="str">
        <f>""</f>
        <v/>
      </c>
      <c r="AA1317" t="str">
        <f>""</f>
        <v/>
      </c>
      <c r="AB1317" t="str">
        <f>""</f>
        <v/>
      </c>
      <c r="AC1317" t="str">
        <f>""</f>
        <v/>
      </c>
      <c r="AD1317" t="str">
        <f>""</f>
        <v/>
      </c>
      <c r="AE1317" t="str">
        <f>""</f>
        <v/>
      </c>
      <c r="AF1317" t="str">
        <f>""</f>
        <v/>
      </c>
      <c r="AG1317" t="str">
        <f>"S"</f>
        <v>S</v>
      </c>
      <c r="AH1317" t="str">
        <f>""</f>
        <v/>
      </c>
      <c r="AI1317" t="str">
        <f>""</f>
        <v/>
      </c>
      <c r="AJ1317" t="str">
        <f>""</f>
        <v/>
      </c>
      <c r="AK1317" t="str">
        <f>""</f>
        <v/>
      </c>
      <c r="AL1317" t="str">
        <f>""</f>
        <v/>
      </c>
      <c r="AM1317" t="str">
        <f>""</f>
        <v/>
      </c>
      <c r="AN1317" t="str">
        <f>""</f>
        <v/>
      </c>
      <c r="AO1317" t="str">
        <f>""</f>
        <v/>
      </c>
      <c r="AP1317" t="str">
        <f>""</f>
        <v/>
      </c>
      <c r="AQ1317" t="str">
        <f>"N"</f>
        <v>N</v>
      </c>
      <c r="AR1317" t="str">
        <f>"N"</f>
        <v>N</v>
      </c>
      <c r="AS1317" t="str">
        <f>"N"</f>
        <v>N</v>
      </c>
      <c r="AT1317" t="str">
        <f>"N"</f>
        <v>N</v>
      </c>
      <c r="AU1317" t="str">
        <f>"N"</f>
        <v>N</v>
      </c>
      <c r="AV1317" t="str">
        <f>""</f>
        <v/>
      </c>
      <c r="AW1317" t="str">
        <f>""</f>
        <v/>
      </c>
      <c r="AX1317" t="str">
        <f>""</f>
        <v/>
      </c>
      <c r="AY1317" t="str">
        <f>""</f>
        <v/>
      </c>
      <c r="AZ1317" t="str">
        <f>""</f>
        <v/>
      </c>
      <c r="BA1317" t="str">
        <f>""</f>
        <v/>
      </c>
      <c r="BB1317" t="str">
        <f>"01/07/2021 13:53:04"</f>
        <v>01/07/2021 13:53:04</v>
      </c>
      <c r="BC1317" t="str">
        <f>"07/07/2023 11:31:03"</f>
        <v>07/07/2023 11:31:03</v>
      </c>
      <c r="BD1317" t="str">
        <f>""</f>
        <v/>
      </c>
      <c r="BE1317" t="str">
        <f>""</f>
        <v/>
      </c>
      <c r="BF1317" t="str">
        <f t="shared" si="650"/>
        <v>A</v>
      </c>
      <c r="BG1317" t="str">
        <f>""</f>
        <v/>
      </c>
      <c r="BH1317" t="str">
        <f>"0,00"</f>
        <v>0,00</v>
      </c>
      <c r="BI1317" t="str">
        <f t="shared" si="667"/>
        <v>EVENTUAL</v>
      </c>
      <c r="BJ1317" t="str">
        <f t="shared" si="651"/>
        <v>1</v>
      </c>
      <c r="BK1317" t="str">
        <f t="shared" si="652"/>
        <v>Farmacia</v>
      </c>
      <c r="BL1317" t="str">
        <f>""</f>
        <v/>
      </c>
      <c r="BM1317" t="str">
        <f>"VARILUX ESPECIALISTA PLATINE"</f>
        <v>VARILUX ESPECIALISTA PLATINE</v>
      </c>
      <c r="BN1317" t="str">
        <f>"NA"</f>
        <v>NA</v>
      </c>
      <c r="BO1317" t="str">
        <f>"FOCO VARILUX DIGITAL"</f>
        <v>FOCO VARILUX DIGITAL</v>
      </c>
      <c r="BP1317" t="str">
        <f>""</f>
        <v/>
      </c>
      <c r="BQ1317" t="str">
        <f>""</f>
        <v/>
      </c>
      <c r="BR1317" t="str">
        <f>"01/07/2021"</f>
        <v>01/07/2021</v>
      </c>
      <c r="BS1317" t="str">
        <f>"07/07/2023"</f>
        <v>07/07/2023</v>
      </c>
      <c r="BT1317" t="str">
        <f>""</f>
        <v/>
      </c>
      <c r="BU1317" t="str">
        <f>""</f>
        <v/>
      </c>
      <c r="BV1317" t="str">
        <f>""</f>
        <v/>
      </c>
      <c r="BW1317" t="str">
        <f>"10"</f>
        <v>10</v>
      </c>
    </row>
    <row r="1318" spans="1:75" x14ac:dyDescent="0.35">
      <c r="A1318">
        <v>157111</v>
      </c>
      <c r="B1318" t="str">
        <f t="shared" si="647"/>
        <v>A</v>
      </c>
      <c r="C1318" t="str">
        <f t="shared" si="648"/>
        <v>80</v>
      </c>
      <c r="D1318" t="str">
        <f t="shared" si="637"/>
        <v>11121004</v>
      </c>
      <c r="E1318" t="str">
        <f t="shared" si="638"/>
        <v>121004</v>
      </c>
      <c r="F1318" t="str">
        <f t="shared" si="639"/>
        <v>FABIANA GODOY</v>
      </c>
      <c r="G1318" t="str">
        <f>"44431520000124"</f>
        <v>44431520000124</v>
      </c>
      <c r="H1318" t="str">
        <f>"0"</f>
        <v>0</v>
      </c>
      <c r="I1318" t="str">
        <f t="shared" si="649"/>
        <v>CONTA OPTICA</v>
      </c>
      <c r="J1318" t="str">
        <f>"CARMEN FERRONATTO LTDA"</f>
        <v>CARMEN FERRONATTO LTDA</v>
      </c>
      <c r="K1318" t="str">
        <f>"CHILLI BEANS (4449)"</f>
        <v>CHILLI BEANS (4449)</v>
      </c>
      <c r="L1318" t="str">
        <f>""</f>
        <v/>
      </c>
      <c r="M1318" t="str">
        <f>""</f>
        <v/>
      </c>
      <c r="N1318" t="str">
        <f>"ADM.FERRONATTOEPAZA@GMAIL.COM"</f>
        <v>ADM.FERRONATTOEPAZA@GMAIL.COM</v>
      </c>
      <c r="O1318" t="str">
        <f>""</f>
        <v/>
      </c>
      <c r="P1318" t="str">
        <f>"BRASIL"</f>
        <v>BRASIL</v>
      </c>
      <c r="Q1318" t="str">
        <f>"1615"</f>
        <v>1615</v>
      </c>
      <c r="R1318" t="str">
        <f>"SALA 04"</f>
        <v>SALA 04</v>
      </c>
      <c r="S1318" t="str">
        <f>""</f>
        <v/>
      </c>
      <c r="T1318" t="str">
        <f>"88330058"</f>
        <v>88330058</v>
      </c>
      <c r="U1318" t="str">
        <f t="shared" si="665"/>
        <v>CENTRO</v>
      </c>
      <c r="V1318" t="str">
        <f>"BALNEARIO CAMBORIU"</f>
        <v>BALNEARIO CAMBORIU</v>
      </c>
      <c r="W1318" t="str">
        <f t="shared" si="636"/>
        <v>SC</v>
      </c>
      <c r="X1318" t="str">
        <f>"42"</f>
        <v>42</v>
      </c>
      <c r="Y1318" t="str">
        <f>"999551414"</f>
        <v>999551414</v>
      </c>
      <c r="Z1318" t="str">
        <f>""</f>
        <v/>
      </c>
      <c r="AA1318" t="str">
        <f>""</f>
        <v/>
      </c>
      <c r="AB1318" t="str">
        <f>""</f>
        <v/>
      </c>
      <c r="AC1318" t="str">
        <f>""</f>
        <v/>
      </c>
      <c r="AD1318" t="str">
        <f>""</f>
        <v/>
      </c>
      <c r="AE1318" t="str">
        <f>""</f>
        <v/>
      </c>
      <c r="AF1318" t="str">
        <f>""</f>
        <v/>
      </c>
      <c r="AG1318" t="str">
        <f>""</f>
        <v/>
      </c>
      <c r="AH1318" t="str">
        <f>""</f>
        <v/>
      </c>
      <c r="AI1318" t="str">
        <f>""</f>
        <v/>
      </c>
      <c r="AJ1318" t="str">
        <f>""</f>
        <v/>
      </c>
      <c r="AK1318" t="str">
        <f>""</f>
        <v/>
      </c>
      <c r="AL1318" t="str">
        <f>""</f>
        <v/>
      </c>
      <c r="AM1318" t="str">
        <f>""</f>
        <v/>
      </c>
      <c r="AN1318" t="str">
        <f>""</f>
        <v/>
      </c>
      <c r="AO1318" t="str">
        <f>""</f>
        <v/>
      </c>
      <c r="AP1318" t="str">
        <f>""</f>
        <v/>
      </c>
      <c r="AQ1318" t="str">
        <f>""</f>
        <v/>
      </c>
      <c r="AR1318" t="str">
        <f>""</f>
        <v/>
      </c>
      <c r="AS1318" t="str">
        <f>""</f>
        <v/>
      </c>
      <c r="AT1318" t="str">
        <f>""</f>
        <v/>
      </c>
      <c r="AU1318" t="str">
        <f>""</f>
        <v/>
      </c>
      <c r="AV1318" t="str">
        <f>""</f>
        <v/>
      </c>
      <c r="AW1318" t="str">
        <f>""</f>
        <v/>
      </c>
      <c r="AX1318" t="str">
        <f>""</f>
        <v/>
      </c>
      <c r="AY1318" t="str">
        <f>""</f>
        <v/>
      </c>
      <c r="AZ1318" t="str">
        <f>""</f>
        <v/>
      </c>
      <c r="BA1318" t="str">
        <f>""</f>
        <v/>
      </c>
      <c r="BB1318" t="str">
        <f>"06/07/2023 12:07:48"</f>
        <v>06/07/2023 12:07:48</v>
      </c>
      <c r="BC1318" t="str">
        <f>""</f>
        <v/>
      </c>
      <c r="BD1318" t="str">
        <f>""</f>
        <v/>
      </c>
      <c r="BE1318" t="str">
        <f>""</f>
        <v/>
      </c>
      <c r="BF1318" t="str">
        <f t="shared" si="650"/>
        <v>A</v>
      </c>
      <c r="BG1318" t="str">
        <f>""</f>
        <v/>
      </c>
      <c r="BH1318" t="str">
        <f>""</f>
        <v/>
      </c>
      <c r="BI1318" t="str">
        <f t="shared" si="667"/>
        <v>EVENTUAL</v>
      </c>
      <c r="BJ1318" t="str">
        <f t="shared" si="651"/>
        <v>1</v>
      </c>
      <c r="BK1318" t="str">
        <f t="shared" si="652"/>
        <v>Farmacia</v>
      </c>
      <c r="BL1318" t="str">
        <f>""</f>
        <v/>
      </c>
      <c r="BM1318" t="str">
        <f>""</f>
        <v/>
      </c>
      <c r="BN1318" t="str">
        <f>""</f>
        <v/>
      </c>
      <c r="BO1318" t="str">
        <f>""</f>
        <v/>
      </c>
      <c r="BP1318" t="str">
        <f>""</f>
        <v/>
      </c>
      <c r="BQ1318" t="str">
        <f>""</f>
        <v/>
      </c>
      <c r="BR1318" t="str">
        <f>"06/07/2023"</f>
        <v>06/07/2023</v>
      </c>
      <c r="BS1318" t="str">
        <f>""</f>
        <v/>
      </c>
      <c r="BT1318" t="str">
        <f>""</f>
        <v/>
      </c>
      <c r="BU1318" t="str">
        <f>""</f>
        <v/>
      </c>
      <c r="BV1318" t="str">
        <f>""</f>
        <v/>
      </c>
      <c r="BW1318" t="str">
        <f>"Não visitado"</f>
        <v>Não visitado</v>
      </c>
    </row>
    <row r="1319" spans="1:75" x14ac:dyDescent="0.35">
      <c r="A1319">
        <v>144839</v>
      </c>
      <c r="B1319" t="str">
        <f t="shared" si="647"/>
        <v>A</v>
      </c>
      <c r="C1319" t="str">
        <f t="shared" si="648"/>
        <v>80</v>
      </c>
      <c r="D1319" t="str">
        <f t="shared" si="637"/>
        <v>11121004</v>
      </c>
      <c r="E1319" t="str">
        <f t="shared" si="638"/>
        <v>121004</v>
      </c>
      <c r="F1319" t="str">
        <f t="shared" si="639"/>
        <v>FABIANA GODOY</v>
      </c>
      <c r="G1319" t="str">
        <f>"43164463000100"</f>
        <v>43164463000100</v>
      </c>
      <c r="H1319" t="str">
        <f>""</f>
        <v/>
      </c>
      <c r="I1319" t="str">
        <f t="shared" si="649"/>
        <v>CONTA OPTICA</v>
      </c>
      <c r="J1319" t="str">
        <f>"CAROLINE JARDIM OTICAS LTDA"</f>
        <v>CAROLINE JARDIM OTICAS LTDA</v>
      </c>
      <c r="K1319" t="str">
        <f>"OTICAS FEHR (4393)"</f>
        <v>OTICAS FEHR (4393)</v>
      </c>
      <c r="L1319" t="str">
        <f>""</f>
        <v/>
      </c>
      <c r="M1319" t="str">
        <f>""</f>
        <v/>
      </c>
      <c r="N1319" t="str">
        <f>"CAROLINEOTICAS@GMAIL.COM"</f>
        <v>CAROLINEOTICAS@GMAIL.COM</v>
      </c>
      <c r="O1319" t="str">
        <f>""</f>
        <v/>
      </c>
      <c r="P1319" t="str">
        <f>"RUA JERONIMO COELHO"</f>
        <v>RUA JERONIMO COELHO</v>
      </c>
      <c r="Q1319" t="str">
        <f>"28"</f>
        <v>28</v>
      </c>
      <c r="R1319" t="str">
        <f>"LOJA 01"</f>
        <v>LOJA 01</v>
      </c>
      <c r="S1319" t="str">
        <f>"1277"</f>
        <v>1277</v>
      </c>
      <c r="T1319" t="str">
        <f>"89201050"</f>
        <v>89201050</v>
      </c>
      <c r="U1319" t="str">
        <f t="shared" si="665"/>
        <v>CENTRO</v>
      </c>
      <c r="V1319" t="str">
        <f>"JOINVILLE"</f>
        <v>JOINVILLE</v>
      </c>
      <c r="W1319" t="str">
        <f t="shared" si="636"/>
        <v>SC</v>
      </c>
      <c r="X1319" t="str">
        <f>"47"</f>
        <v>47</v>
      </c>
      <c r="Y1319" t="str">
        <f>"992515636"</f>
        <v>992515636</v>
      </c>
      <c r="Z1319" t="str">
        <f>""</f>
        <v/>
      </c>
      <c r="AA1319" t="str">
        <f>""</f>
        <v/>
      </c>
      <c r="AB1319" t="str">
        <f>""</f>
        <v/>
      </c>
      <c r="AC1319" t="str">
        <f>""</f>
        <v/>
      </c>
      <c r="AD1319" t="str">
        <f>""</f>
        <v/>
      </c>
      <c r="AE1319" t="str">
        <f>""</f>
        <v/>
      </c>
      <c r="AF1319" t="str">
        <f>""</f>
        <v/>
      </c>
      <c r="AG1319" t="str">
        <f>""</f>
        <v/>
      </c>
      <c r="AH1319" t="str">
        <f>""</f>
        <v/>
      </c>
      <c r="AI1319" t="str">
        <f>""</f>
        <v/>
      </c>
      <c r="AJ1319" t="str">
        <f>""</f>
        <v/>
      </c>
      <c r="AK1319" t="str">
        <f>""</f>
        <v/>
      </c>
      <c r="AL1319" t="str">
        <f>""</f>
        <v/>
      </c>
      <c r="AM1319" t="str">
        <f>""</f>
        <v/>
      </c>
      <c r="AN1319" t="str">
        <f>""</f>
        <v/>
      </c>
      <c r="AO1319" t="str">
        <f>""</f>
        <v/>
      </c>
      <c r="AP1319" t="str">
        <f>""</f>
        <v/>
      </c>
      <c r="AQ1319" t="str">
        <f>""</f>
        <v/>
      </c>
      <c r="AR1319" t="str">
        <f>""</f>
        <v/>
      </c>
      <c r="AS1319" t="str">
        <f>""</f>
        <v/>
      </c>
      <c r="AT1319" t="str">
        <f>""</f>
        <v/>
      </c>
      <c r="AU1319" t="str">
        <f>""</f>
        <v/>
      </c>
      <c r="AV1319" t="str">
        <f>""</f>
        <v/>
      </c>
      <c r="AW1319" t="str">
        <f>""</f>
        <v/>
      </c>
      <c r="AX1319" t="str">
        <f>""</f>
        <v/>
      </c>
      <c r="AY1319" t="str">
        <f>""</f>
        <v/>
      </c>
      <c r="AZ1319" t="str">
        <f>""</f>
        <v/>
      </c>
      <c r="BA1319" t="str">
        <f>""</f>
        <v/>
      </c>
      <c r="BB1319" t="str">
        <f>""</f>
        <v/>
      </c>
      <c r="BC1319" t="str">
        <f>""</f>
        <v/>
      </c>
      <c r="BD1319" t="str">
        <f>""</f>
        <v/>
      </c>
      <c r="BE1319" t="str">
        <f>""</f>
        <v/>
      </c>
      <c r="BF1319" t="str">
        <f t="shared" si="650"/>
        <v>A</v>
      </c>
      <c r="BG1319" t="str">
        <f>""</f>
        <v/>
      </c>
      <c r="BH1319" t="str">
        <f>""</f>
        <v/>
      </c>
      <c r="BI1319" t="str">
        <f t="shared" si="667"/>
        <v>EVENTUAL</v>
      </c>
      <c r="BJ1319" t="str">
        <f t="shared" si="651"/>
        <v>1</v>
      </c>
      <c r="BK1319" t="str">
        <f t="shared" si="652"/>
        <v>Farmacia</v>
      </c>
      <c r="BL1319" t="str">
        <f>""</f>
        <v/>
      </c>
      <c r="BM1319" t="str">
        <f>""</f>
        <v/>
      </c>
      <c r="BN1319" t="str">
        <f>""</f>
        <v/>
      </c>
      <c r="BO1319" t="str">
        <f>"OUTROS"</f>
        <v>OUTROS</v>
      </c>
      <c r="BP1319" t="str">
        <f>""</f>
        <v/>
      </c>
      <c r="BQ1319" t="str">
        <f>""</f>
        <v/>
      </c>
      <c r="BR1319" t="str">
        <f>""</f>
        <v/>
      </c>
      <c r="BS1319" t="str">
        <f>""</f>
        <v/>
      </c>
      <c r="BT1319" t="str">
        <f>""</f>
        <v/>
      </c>
      <c r="BU1319" t="str">
        <f>""</f>
        <v/>
      </c>
      <c r="BV1319" t="str">
        <f>""</f>
        <v/>
      </c>
      <c r="BW1319" t="str">
        <f>"Não visitado"</f>
        <v>Não visitado</v>
      </c>
    </row>
    <row r="1320" spans="1:75" x14ac:dyDescent="0.35">
      <c r="A1320">
        <v>137563</v>
      </c>
      <c r="B1320" t="str">
        <f t="shared" si="647"/>
        <v>A</v>
      </c>
      <c r="C1320" t="str">
        <f t="shared" si="648"/>
        <v>80</v>
      </c>
      <c r="D1320" t="str">
        <f t="shared" si="637"/>
        <v>11121004</v>
      </c>
      <c r="E1320" t="str">
        <f t="shared" si="638"/>
        <v>121004</v>
      </c>
      <c r="F1320" t="str">
        <f t="shared" si="639"/>
        <v>FABIANA GODOY</v>
      </c>
      <c r="G1320" t="str">
        <f>"27113684000194"</f>
        <v>27113684000194</v>
      </c>
      <c r="H1320" t="str">
        <f>"0"</f>
        <v>0</v>
      </c>
      <c r="I1320" t="str">
        <f t="shared" si="649"/>
        <v>CONTA OPTICA</v>
      </c>
      <c r="J1320" t="str">
        <f>"CAROLINE SILVA ROCHA - ME"</f>
        <v>CAROLINE SILVA ROCHA - ME</v>
      </c>
      <c r="K1320" t="str">
        <f>"OTICA ROCHA (3783)"</f>
        <v>OTICA ROCHA (3783)</v>
      </c>
      <c r="L1320" t="str">
        <f>""</f>
        <v/>
      </c>
      <c r="M1320" t="str">
        <f>""</f>
        <v/>
      </c>
      <c r="N1320" t="str">
        <f>"arturmoacir@hotmail.com"</f>
        <v>arturmoacir@hotmail.com</v>
      </c>
      <c r="O1320" t="str">
        <f>""</f>
        <v/>
      </c>
      <c r="P1320" t="str">
        <f>"RUA GOVERNADOR CELSO RAMOS"</f>
        <v>RUA GOVERNADOR CELSO RAMOS</v>
      </c>
      <c r="Q1320" t="str">
        <f>"150"</f>
        <v>150</v>
      </c>
      <c r="R1320" t="str">
        <f>"SALA 03"</f>
        <v>SALA 03</v>
      </c>
      <c r="S1320" t="str">
        <f>"1260"</f>
        <v>1260</v>
      </c>
      <c r="T1320" t="str">
        <f>"88220000"</f>
        <v>88220000</v>
      </c>
      <c r="U1320" t="str">
        <f t="shared" si="665"/>
        <v>CENTRO</v>
      </c>
      <c r="V1320" t="str">
        <f>"ITAPEMA"</f>
        <v>ITAPEMA</v>
      </c>
      <c r="W1320" t="str">
        <f t="shared" si="636"/>
        <v>SC</v>
      </c>
      <c r="X1320" t="str">
        <f>"47"</f>
        <v>47</v>
      </c>
      <c r="Y1320" t="str">
        <f>"33688497"</f>
        <v>33688497</v>
      </c>
      <c r="Z1320" t="str">
        <f>""</f>
        <v/>
      </c>
      <c r="AA1320" t="str">
        <f>""</f>
        <v/>
      </c>
      <c r="AB1320" t="str">
        <f>""</f>
        <v/>
      </c>
      <c r="AC1320" t="str">
        <f>""</f>
        <v/>
      </c>
      <c r="AD1320" t="str">
        <f>""</f>
        <v/>
      </c>
      <c r="AE1320" t="str">
        <f>""</f>
        <v/>
      </c>
      <c r="AF1320" t="str">
        <f>""</f>
        <v/>
      </c>
      <c r="AG1320" t="str">
        <f>"S"</f>
        <v>S</v>
      </c>
      <c r="AH1320" t="str">
        <f>""</f>
        <v/>
      </c>
      <c r="AI1320" t="str">
        <f>""</f>
        <v/>
      </c>
      <c r="AJ1320" t="str">
        <f>""</f>
        <v/>
      </c>
      <c r="AK1320" t="str">
        <f>""</f>
        <v/>
      </c>
      <c r="AL1320" t="str">
        <f>""</f>
        <v/>
      </c>
      <c r="AM1320" t="str">
        <f>""</f>
        <v/>
      </c>
      <c r="AN1320" t="str">
        <f>""</f>
        <v/>
      </c>
      <c r="AO1320" t="str">
        <f>""</f>
        <v/>
      </c>
      <c r="AP1320" t="str">
        <f>""</f>
        <v/>
      </c>
      <c r="AQ1320" t="str">
        <f>"N"</f>
        <v>N</v>
      </c>
      <c r="AR1320" t="str">
        <f>"N"</f>
        <v>N</v>
      </c>
      <c r="AS1320" t="str">
        <f>"N"</f>
        <v>N</v>
      </c>
      <c r="AT1320" t="str">
        <f>"N"</f>
        <v>N</v>
      </c>
      <c r="AU1320" t="str">
        <f>"N"</f>
        <v>N</v>
      </c>
      <c r="AV1320" t="str">
        <f>""</f>
        <v/>
      </c>
      <c r="AW1320" t="str">
        <f>""</f>
        <v/>
      </c>
      <c r="AX1320" t="str">
        <f>""</f>
        <v/>
      </c>
      <c r="AY1320" t="str">
        <f>""</f>
        <v/>
      </c>
      <c r="AZ1320" t="str">
        <f>""</f>
        <v/>
      </c>
      <c r="BA1320" t="str">
        <f>""</f>
        <v/>
      </c>
      <c r="BB1320" t="str">
        <f>"01/07/2021 13:53:04"</f>
        <v>01/07/2021 13:53:04</v>
      </c>
      <c r="BC1320" t="str">
        <f>"03/05/2023 14:28:18"</f>
        <v>03/05/2023 14:28:18</v>
      </c>
      <c r="BD1320" t="str">
        <f>""</f>
        <v/>
      </c>
      <c r="BE1320" t="str">
        <f>""</f>
        <v/>
      </c>
      <c r="BF1320" t="str">
        <f t="shared" si="650"/>
        <v>A</v>
      </c>
      <c r="BG1320" t="str">
        <f>""</f>
        <v/>
      </c>
      <c r="BH1320" t="str">
        <f>"0,00"</f>
        <v>0,00</v>
      </c>
      <c r="BI1320" t="str">
        <f t="shared" si="667"/>
        <v>EVENTUAL</v>
      </c>
      <c r="BJ1320" t="str">
        <f t="shared" si="651"/>
        <v>1</v>
      </c>
      <c r="BK1320" t="str">
        <f t="shared" si="652"/>
        <v>Farmacia</v>
      </c>
      <c r="BL1320" t="str">
        <f>""</f>
        <v/>
      </c>
      <c r="BM1320" t="str">
        <f>"NÃO É VARILUX ESPECIALISTA"</f>
        <v>NÃO É VARILUX ESPECIALISTA</v>
      </c>
      <c r="BN1320" t="str">
        <f>"EL360"</f>
        <v>EL360</v>
      </c>
      <c r="BO1320" t="str">
        <f>"FOCO VARILUX DIGITAL"</f>
        <v>FOCO VARILUX DIGITAL</v>
      </c>
      <c r="BP1320" t="str">
        <f>""</f>
        <v/>
      </c>
      <c r="BQ1320" t="str">
        <f>""</f>
        <v/>
      </c>
      <c r="BR1320" t="str">
        <f>"01/07/2021"</f>
        <v>01/07/2021</v>
      </c>
      <c r="BS1320" t="str">
        <f>"03/05/2023"</f>
        <v>03/05/2023</v>
      </c>
      <c r="BT1320" t="str">
        <f>""</f>
        <v/>
      </c>
      <c r="BU1320" t="str">
        <f>""</f>
        <v/>
      </c>
      <c r="BV1320" t="str">
        <f>""</f>
        <v/>
      </c>
      <c r="BW1320" t="str">
        <f>"130"</f>
        <v>130</v>
      </c>
    </row>
    <row r="1321" spans="1:75" x14ac:dyDescent="0.35">
      <c r="A1321">
        <v>1229</v>
      </c>
      <c r="B1321" t="str">
        <f t="shared" si="647"/>
        <v>A</v>
      </c>
      <c r="C1321" t="str">
        <f t="shared" si="648"/>
        <v>80</v>
      </c>
      <c r="D1321" t="str">
        <f t="shared" si="637"/>
        <v>11121004</v>
      </c>
      <c r="E1321" t="str">
        <f t="shared" si="638"/>
        <v>121004</v>
      </c>
      <c r="F1321" t="str">
        <f t="shared" si="639"/>
        <v>FABIANA GODOY</v>
      </c>
      <c r="G1321" t="str">
        <f>"01194228000122"</f>
        <v>01194228000122</v>
      </c>
      <c r="H1321" t="str">
        <f>""</f>
        <v/>
      </c>
      <c r="I1321" t="str">
        <f t="shared" si="649"/>
        <v>CONTA OPTICA</v>
      </c>
      <c r="J1321" t="str">
        <f>"CENTER JOIAS LTDA"</f>
        <v>CENTER JOIAS LTDA</v>
      </c>
      <c r="K1321" t="str">
        <f>"CENTER JOIAS LTDA (799)"</f>
        <v>CENTER JOIAS LTDA (799)</v>
      </c>
      <c r="L1321" t="str">
        <f>""</f>
        <v/>
      </c>
      <c r="M1321" t="str">
        <f>""</f>
        <v/>
      </c>
      <c r="N1321" t="str">
        <f>"centerjoias@yahoo.com.br"</f>
        <v>centerjoias@yahoo.com.br</v>
      </c>
      <c r="O1321" t="str">
        <f>""</f>
        <v/>
      </c>
      <c r="P1321" t="str">
        <f>"RUA SETE DE SETEMBRO"</f>
        <v>RUA SETE DE SETEMBRO</v>
      </c>
      <c r="Q1321" t="str">
        <f>"1066"</f>
        <v>1066</v>
      </c>
      <c r="R1321" t="str">
        <f>""</f>
        <v/>
      </c>
      <c r="S1321" t="str">
        <f>"1271"</f>
        <v>1271</v>
      </c>
      <c r="T1321" t="str">
        <f>"89010200"</f>
        <v>89010200</v>
      </c>
      <c r="U1321" t="str">
        <f t="shared" si="665"/>
        <v>CENTRO</v>
      </c>
      <c r="V1321" t="str">
        <f>"BLUMENAU"</f>
        <v>BLUMENAU</v>
      </c>
      <c r="W1321" t="str">
        <f t="shared" si="636"/>
        <v>SC</v>
      </c>
      <c r="X1321" t="str">
        <f>"47"</f>
        <v>47</v>
      </c>
      <c r="Y1321" t="str">
        <f>"33229363"</f>
        <v>33229363</v>
      </c>
      <c r="Z1321" t="str">
        <f>""</f>
        <v/>
      </c>
      <c r="AA1321" t="str">
        <f>""</f>
        <v/>
      </c>
      <c r="AB1321" t="str">
        <f>""</f>
        <v/>
      </c>
      <c r="AC1321" t="str">
        <f>""</f>
        <v/>
      </c>
      <c r="AD1321" t="str">
        <f>""</f>
        <v/>
      </c>
      <c r="AE1321" t="str">
        <f>""</f>
        <v/>
      </c>
      <c r="AF1321" t="str">
        <f>""</f>
        <v/>
      </c>
      <c r="AG1321" t="str">
        <f>""</f>
        <v/>
      </c>
      <c r="AH1321" t="str">
        <f>""</f>
        <v/>
      </c>
      <c r="AI1321" t="str">
        <f>""</f>
        <v/>
      </c>
      <c r="AJ1321" t="str">
        <f>"0"</f>
        <v>0</v>
      </c>
      <c r="AK1321" t="str">
        <f>"0"</f>
        <v>0</v>
      </c>
      <c r="AL1321" t="str">
        <f>"0"</f>
        <v>0</v>
      </c>
      <c r="AM1321" t="str">
        <f>""</f>
        <v/>
      </c>
      <c r="AN1321" t="str">
        <f>""</f>
        <v/>
      </c>
      <c r="AO1321" t="str">
        <f>""</f>
        <v/>
      </c>
      <c r="AP1321" t="str">
        <f>""</f>
        <v/>
      </c>
      <c r="AQ1321" t="str">
        <f>""</f>
        <v/>
      </c>
      <c r="AR1321" t="str">
        <f>""</f>
        <v/>
      </c>
      <c r="AS1321" t="str">
        <f>""</f>
        <v/>
      </c>
      <c r="AT1321" t="str">
        <f>""</f>
        <v/>
      </c>
      <c r="AU1321" t="str">
        <f>""</f>
        <v/>
      </c>
      <c r="AV1321" t="str">
        <f>""</f>
        <v/>
      </c>
      <c r="AW1321" t="str">
        <f>""</f>
        <v/>
      </c>
      <c r="AX1321" t="str">
        <f>""</f>
        <v/>
      </c>
      <c r="AY1321" t="str">
        <f>""</f>
        <v/>
      </c>
      <c r="AZ1321" t="str">
        <f>""</f>
        <v/>
      </c>
      <c r="BA1321" t="str">
        <f>""</f>
        <v/>
      </c>
      <c r="BB1321" t="str">
        <f>"27/07/2018 09:26:10"</f>
        <v>27/07/2018 09:26:10</v>
      </c>
      <c r="BC1321" t="str">
        <f>""</f>
        <v/>
      </c>
      <c r="BD1321" t="str">
        <f>""</f>
        <v/>
      </c>
      <c r="BE1321" t="str">
        <f>"1229"</f>
        <v>1229</v>
      </c>
      <c r="BF1321" t="str">
        <f t="shared" si="650"/>
        <v>A</v>
      </c>
      <c r="BG1321" t="str">
        <f>"0,00"</f>
        <v>0,00</v>
      </c>
      <c r="BH1321" t="str">
        <f>"0,00"</f>
        <v>0,00</v>
      </c>
      <c r="BI1321" t="str">
        <f t="shared" si="667"/>
        <v>EVENTUAL</v>
      </c>
      <c r="BJ1321" t="str">
        <f t="shared" si="651"/>
        <v>1</v>
      </c>
      <c r="BK1321" t="str">
        <f t="shared" si="652"/>
        <v>Farmacia</v>
      </c>
      <c r="BL1321" t="str">
        <f>""</f>
        <v/>
      </c>
      <c r="BM1321" t="str">
        <f>"NÃO É VARILUX ESPECIALISTA"</f>
        <v>NÃO É VARILUX ESPECIALISTA</v>
      </c>
      <c r="BN1321" t="str">
        <f>"NA"</f>
        <v>NA</v>
      </c>
      <c r="BO1321" t="str">
        <f>"FOCO KODAK 2"</f>
        <v>FOCO KODAK 2</v>
      </c>
      <c r="BP1321" t="str">
        <f>""</f>
        <v/>
      </c>
      <c r="BQ1321" t="str">
        <f>""</f>
        <v/>
      </c>
      <c r="BR1321" t="str">
        <f>"27/07/2018"</f>
        <v>27/07/2018</v>
      </c>
      <c r="BS1321" t="str">
        <f>""</f>
        <v/>
      </c>
      <c r="BT1321" t="str">
        <f>""</f>
        <v/>
      </c>
      <c r="BU1321" t="str">
        <f>""</f>
        <v/>
      </c>
      <c r="BV1321" t="str">
        <f>"6"</f>
        <v>6</v>
      </c>
      <c r="BW1321" t="str">
        <f>"24"</f>
        <v>24</v>
      </c>
    </row>
    <row r="1322" spans="1:75" x14ac:dyDescent="0.35">
      <c r="A1322">
        <v>157768</v>
      </c>
      <c r="B1322" t="str">
        <f t="shared" si="647"/>
        <v>A</v>
      </c>
      <c r="C1322" t="str">
        <f t="shared" si="648"/>
        <v>80</v>
      </c>
      <c r="D1322" t="str">
        <f t="shared" si="637"/>
        <v>11121004</v>
      </c>
      <c r="E1322" t="str">
        <f t="shared" si="638"/>
        <v>121004</v>
      </c>
      <c r="F1322" t="str">
        <f t="shared" si="639"/>
        <v>FABIANA GODOY</v>
      </c>
      <c r="G1322" t="str">
        <f>"47417934000197"</f>
        <v>47417934000197</v>
      </c>
      <c r="H1322" t="str">
        <f t="shared" ref="H1322:H1345" si="668">"0"</f>
        <v>0</v>
      </c>
      <c r="I1322" t="str">
        <f t="shared" si="649"/>
        <v>CONTA OPTICA</v>
      </c>
      <c r="J1322" t="str">
        <f>"CENTRAL OTICA NAVEGANTES LTDA"</f>
        <v>CENTRAL OTICA NAVEGANTES LTDA</v>
      </c>
      <c r="K1322" t="str">
        <f>"CENTRAL OTICA NAVEGANTES (4554)"</f>
        <v>CENTRAL OTICA NAVEGANTES (4554)</v>
      </c>
      <c r="L1322" t="str">
        <f>""</f>
        <v/>
      </c>
      <c r="M1322" t="str">
        <f>""</f>
        <v/>
      </c>
      <c r="N1322" t="str">
        <f>"DOMINGOS.MED.VET@HOTMAIL.COM"</f>
        <v>DOMINGOS.MED.VET@HOTMAIL.COM</v>
      </c>
      <c r="O1322" t="str">
        <f>""</f>
        <v/>
      </c>
      <c r="P1322" t="str">
        <f>"CONSELHEIRO JOAO GAYA"</f>
        <v>CONSELHEIRO JOAO GAYA</v>
      </c>
      <c r="Q1322" t="str">
        <f>"669"</f>
        <v>669</v>
      </c>
      <c r="R1322" t="str">
        <f>""</f>
        <v/>
      </c>
      <c r="S1322" t="str">
        <f>""</f>
        <v/>
      </c>
      <c r="T1322" t="str">
        <f>"88370396"</f>
        <v>88370396</v>
      </c>
      <c r="U1322" t="str">
        <f t="shared" si="665"/>
        <v>CENTRO</v>
      </c>
      <c r="V1322" t="str">
        <f>"NAVEGANTES"</f>
        <v>NAVEGANTES</v>
      </c>
      <c r="W1322" t="str">
        <f t="shared" si="636"/>
        <v>SC</v>
      </c>
      <c r="X1322" t="str">
        <f>"49"</f>
        <v>49</v>
      </c>
      <c r="Y1322" t="str">
        <f>"988051421"</f>
        <v>988051421</v>
      </c>
      <c r="Z1322" t="str">
        <f>""</f>
        <v/>
      </c>
      <c r="AA1322" t="str">
        <f>""</f>
        <v/>
      </c>
      <c r="AB1322" t="str">
        <f>""</f>
        <v/>
      </c>
      <c r="AC1322" t="str">
        <f>""</f>
        <v/>
      </c>
      <c r="AD1322" t="str">
        <f>""</f>
        <v/>
      </c>
      <c r="AE1322" t="str">
        <f>""</f>
        <v/>
      </c>
      <c r="AF1322" t="str">
        <f>""</f>
        <v/>
      </c>
      <c r="AG1322" t="str">
        <f>""</f>
        <v/>
      </c>
      <c r="AH1322" t="str">
        <f>""</f>
        <v/>
      </c>
      <c r="AI1322" t="str">
        <f>""</f>
        <v/>
      </c>
      <c r="AJ1322" t="str">
        <f>""</f>
        <v/>
      </c>
      <c r="AK1322" t="str">
        <f>""</f>
        <v/>
      </c>
      <c r="AL1322" t="str">
        <f>""</f>
        <v/>
      </c>
      <c r="AM1322" t="str">
        <f>""</f>
        <v/>
      </c>
      <c r="AN1322" t="str">
        <f>""</f>
        <v/>
      </c>
      <c r="AO1322" t="str">
        <f>""</f>
        <v/>
      </c>
      <c r="AP1322" t="str">
        <f>""</f>
        <v/>
      </c>
      <c r="AQ1322" t="str">
        <f>""</f>
        <v/>
      </c>
      <c r="AR1322" t="str">
        <f>""</f>
        <v/>
      </c>
      <c r="AS1322" t="str">
        <f>""</f>
        <v/>
      </c>
      <c r="AT1322" t="str">
        <f>""</f>
        <v/>
      </c>
      <c r="AU1322" t="str">
        <f>""</f>
        <v/>
      </c>
      <c r="AV1322" t="str">
        <f>""</f>
        <v/>
      </c>
      <c r="AW1322" t="str">
        <f>""</f>
        <v/>
      </c>
      <c r="AX1322" t="str">
        <f>""</f>
        <v/>
      </c>
      <c r="AY1322" t="str">
        <f>""</f>
        <v/>
      </c>
      <c r="AZ1322" t="str">
        <f>""</f>
        <v/>
      </c>
      <c r="BA1322" t="str">
        <f>""</f>
        <v/>
      </c>
      <c r="BB1322" t="str">
        <f>"11/07/2023 02:26:32"</f>
        <v>11/07/2023 02:26:32</v>
      </c>
      <c r="BC1322" t="str">
        <f>""</f>
        <v/>
      </c>
      <c r="BD1322" t="str">
        <f>""</f>
        <v/>
      </c>
      <c r="BE1322" t="str">
        <f>""</f>
        <v/>
      </c>
      <c r="BF1322" t="str">
        <f t="shared" si="650"/>
        <v>A</v>
      </c>
      <c r="BG1322" t="str">
        <f>""</f>
        <v/>
      </c>
      <c r="BH1322" t="str">
        <f>""</f>
        <v/>
      </c>
      <c r="BI1322" t="str">
        <f t="shared" si="667"/>
        <v>EVENTUAL</v>
      </c>
      <c r="BJ1322" t="str">
        <f t="shared" si="651"/>
        <v>1</v>
      </c>
      <c r="BK1322" t="str">
        <f t="shared" si="652"/>
        <v>Farmacia</v>
      </c>
      <c r="BL1322" t="str">
        <f>""</f>
        <v/>
      </c>
      <c r="BM1322" t="str">
        <f>""</f>
        <v/>
      </c>
      <c r="BN1322" t="str">
        <f>""</f>
        <v/>
      </c>
      <c r="BO1322" t="str">
        <f>""</f>
        <v/>
      </c>
      <c r="BP1322" t="str">
        <f>""</f>
        <v/>
      </c>
      <c r="BQ1322" t="str">
        <f>""</f>
        <v/>
      </c>
      <c r="BR1322" t="str">
        <f>"11/07/2023"</f>
        <v>11/07/2023</v>
      </c>
      <c r="BS1322" t="str">
        <f>""</f>
        <v/>
      </c>
      <c r="BT1322" t="str">
        <f>""</f>
        <v/>
      </c>
      <c r="BU1322" t="str">
        <f>""</f>
        <v/>
      </c>
      <c r="BV1322" t="str">
        <f>""</f>
        <v/>
      </c>
      <c r="BW1322" t="str">
        <f>"81"</f>
        <v>81</v>
      </c>
    </row>
    <row r="1323" spans="1:75" x14ac:dyDescent="0.35">
      <c r="A1323">
        <v>137565</v>
      </c>
      <c r="B1323" t="str">
        <f t="shared" si="647"/>
        <v>A</v>
      </c>
      <c r="C1323" t="str">
        <f t="shared" si="648"/>
        <v>80</v>
      </c>
      <c r="D1323" t="str">
        <f t="shared" si="637"/>
        <v>11121004</v>
      </c>
      <c r="E1323" t="str">
        <f t="shared" si="638"/>
        <v>121004</v>
      </c>
      <c r="F1323" t="str">
        <f t="shared" si="639"/>
        <v>FABIANA GODOY</v>
      </c>
      <c r="G1323" t="str">
        <f>"31331384000159"</f>
        <v>31331384000159</v>
      </c>
      <c r="H1323" t="str">
        <f t="shared" si="668"/>
        <v>0</v>
      </c>
      <c r="I1323" t="str">
        <f t="shared" si="649"/>
        <v>CONTA OPTICA</v>
      </c>
      <c r="J1323" t="str">
        <f>"CENTRO BLU COMERCIO DE PRODUTOS OPTICOS EIRELI"</f>
        <v>CENTRO BLU COMERCIO DE PRODUTOS OPTICOS EIRELI</v>
      </c>
      <c r="K1323" t="str">
        <f>"OTICAS CAROL (3927)"</f>
        <v>OTICAS CAROL (3927)</v>
      </c>
      <c r="L1323" t="str">
        <f>""</f>
        <v/>
      </c>
      <c r="M1323" t="str">
        <f>""</f>
        <v/>
      </c>
      <c r="N1323" t="str">
        <f>"blumenau@oticascarol.com.br"</f>
        <v>blumenau@oticascarol.com.br</v>
      </c>
      <c r="O1323" t="str">
        <f>""</f>
        <v/>
      </c>
      <c r="P1323" t="str">
        <f>"RUA SETE DE SETEMBRO"</f>
        <v>RUA SETE DE SETEMBRO</v>
      </c>
      <c r="Q1323" t="str">
        <f>"1213"</f>
        <v>1213</v>
      </c>
      <c r="R1323" t="str">
        <f>"LOJA L 73/74"</f>
        <v>LOJA L 73/74</v>
      </c>
      <c r="S1323" t="str">
        <f>"1273"</f>
        <v>1273</v>
      </c>
      <c r="T1323" t="str">
        <f>"89010911"</f>
        <v>89010911</v>
      </c>
      <c r="U1323" t="str">
        <f t="shared" si="665"/>
        <v>CENTRO</v>
      </c>
      <c r="V1323" t="str">
        <f>"BLUMENAU"</f>
        <v>BLUMENAU</v>
      </c>
      <c r="W1323" t="str">
        <f t="shared" si="636"/>
        <v>SC</v>
      </c>
      <c r="X1323" t="str">
        <f t="shared" ref="X1323:X1335" si="669">"47"</f>
        <v>47</v>
      </c>
      <c r="Y1323" t="str">
        <f>"30190464"</f>
        <v>30190464</v>
      </c>
      <c r="Z1323" t="str">
        <f>""</f>
        <v/>
      </c>
      <c r="AA1323" t="str">
        <f>""</f>
        <v/>
      </c>
      <c r="AB1323" t="str">
        <f>""</f>
        <v/>
      </c>
      <c r="AC1323" t="str">
        <f>""</f>
        <v/>
      </c>
      <c r="AD1323" t="str">
        <f>""</f>
        <v/>
      </c>
      <c r="AE1323" t="str">
        <f>""</f>
        <v/>
      </c>
      <c r="AF1323" t="str">
        <f>""</f>
        <v/>
      </c>
      <c r="AG1323" t="str">
        <f>"S"</f>
        <v>S</v>
      </c>
      <c r="AH1323" t="str">
        <f>""</f>
        <v/>
      </c>
      <c r="AI1323" t="str">
        <f>""</f>
        <v/>
      </c>
      <c r="AJ1323" t="str">
        <f>""</f>
        <v/>
      </c>
      <c r="AK1323" t="str">
        <f>""</f>
        <v/>
      </c>
      <c r="AL1323" t="str">
        <f>""</f>
        <v/>
      </c>
      <c r="AM1323" t="str">
        <f>""</f>
        <v/>
      </c>
      <c r="AN1323" t="str">
        <f>""</f>
        <v/>
      </c>
      <c r="AO1323" t="str">
        <f>""</f>
        <v/>
      </c>
      <c r="AP1323" t="str">
        <f>""</f>
        <v/>
      </c>
      <c r="AQ1323" t="str">
        <f>"N"</f>
        <v>N</v>
      </c>
      <c r="AR1323" t="str">
        <f>"N"</f>
        <v>N</v>
      </c>
      <c r="AS1323" t="str">
        <f>"N"</f>
        <v>N</v>
      </c>
      <c r="AT1323" t="str">
        <f>"N"</f>
        <v>N</v>
      </c>
      <c r="AU1323" t="str">
        <f>"N"</f>
        <v>N</v>
      </c>
      <c r="AV1323" t="str">
        <f>""</f>
        <v/>
      </c>
      <c r="AW1323" t="str">
        <f>""</f>
        <v/>
      </c>
      <c r="AX1323" t="str">
        <f>""</f>
        <v/>
      </c>
      <c r="AY1323" t="str">
        <f>""</f>
        <v/>
      </c>
      <c r="AZ1323" t="str">
        <f>""</f>
        <v/>
      </c>
      <c r="BA1323" t="str">
        <f>""</f>
        <v/>
      </c>
      <c r="BB1323" t="str">
        <f>"01/07/2021 13:53:04"</f>
        <v>01/07/2021 13:53:04</v>
      </c>
      <c r="BC1323" t="str">
        <f>"26/01/2022 17:24:50"</f>
        <v>26/01/2022 17:24:50</v>
      </c>
      <c r="BD1323" t="str">
        <f>""</f>
        <v/>
      </c>
      <c r="BE1323" t="str">
        <f>""</f>
        <v/>
      </c>
      <c r="BF1323" t="str">
        <f t="shared" si="650"/>
        <v>A</v>
      </c>
      <c r="BG1323" t="str">
        <f>""</f>
        <v/>
      </c>
      <c r="BH1323" t="str">
        <f>"0,00"</f>
        <v>0,00</v>
      </c>
      <c r="BI1323" t="str">
        <f t="shared" si="667"/>
        <v>EVENTUAL</v>
      </c>
      <c r="BJ1323" t="str">
        <f t="shared" si="651"/>
        <v>1</v>
      </c>
      <c r="BK1323" t="str">
        <f t="shared" si="652"/>
        <v>Farmacia</v>
      </c>
      <c r="BL1323" t="str">
        <f>""</f>
        <v/>
      </c>
      <c r="BM1323" t="str">
        <f>"CREDENCIADO VARILUX"</f>
        <v>CREDENCIADO VARILUX</v>
      </c>
      <c r="BN1323" t="str">
        <f>"NA"</f>
        <v>NA</v>
      </c>
      <c r="BO1323" t="str">
        <f>"FOCO VARILUX DIGITAL"</f>
        <v>FOCO VARILUX DIGITAL</v>
      </c>
      <c r="BP1323" t="str">
        <f>""</f>
        <v/>
      </c>
      <c r="BQ1323" t="str">
        <f>""</f>
        <v/>
      </c>
      <c r="BR1323" t="str">
        <f>"01/07/2021"</f>
        <v>01/07/2021</v>
      </c>
      <c r="BS1323" t="str">
        <f>"26/01/2022"</f>
        <v>26/01/2022</v>
      </c>
      <c r="BT1323" t="str">
        <f>""</f>
        <v/>
      </c>
      <c r="BU1323" t="str">
        <f>""</f>
        <v/>
      </c>
      <c r="BV1323" t="str">
        <f>""</f>
        <v/>
      </c>
      <c r="BW1323" t="str">
        <f>"420"</f>
        <v>420</v>
      </c>
    </row>
    <row r="1324" spans="1:75" x14ac:dyDescent="0.35">
      <c r="A1324">
        <v>137566</v>
      </c>
      <c r="B1324" t="str">
        <f t="shared" si="647"/>
        <v>A</v>
      </c>
      <c r="C1324" t="str">
        <f t="shared" si="648"/>
        <v>80</v>
      </c>
      <c r="D1324" t="str">
        <f t="shared" si="637"/>
        <v>11121004</v>
      </c>
      <c r="E1324" t="str">
        <f t="shared" si="638"/>
        <v>121004</v>
      </c>
      <c r="F1324" t="str">
        <f t="shared" si="639"/>
        <v>FABIANA GODOY</v>
      </c>
      <c r="G1324" t="str">
        <f>"31331384000230"</f>
        <v>31331384000230</v>
      </c>
      <c r="H1324" t="str">
        <f t="shared" si="668"/>
        <v>0</v>
      </c>
      <c r="I1324" t="str">
        <f t="shared" si="649"/>
        <v>CONTA OPTICA</v>
      </c>
      <c r="J1324" t="str">
        <f>"CENTRO BLU COMERCIO DE PRODUTOS OPTICOS EIRELI"</f>
        <v>CENTRO BLU COMERCIO DE PRODUTOS OPTICOS EIRELI</v>
      </c>
      <c r="K1324" t="str">
        <f>"OTICAS CAROL (4022)"</f>
        <v>OTICAS CAROL (4022)</v>
      </c>
      <c r="L1324" t="str">
        <f>""</f>
        <v/>
      </c>
      <c r="M1324" t="str">
        <f>""</f>
        <v/>
      </c>
      <c r="N1324" t="str">
        <f>"financeirovale@oticascarol.com.br"</f>
        <v>financeirovale@oticascarol.com.br</v>
      </c>
      <c r="O1324" t="str">
        <f>""</f>
        <v/>
      </c>
      <c r="P1324" t="str">
        <f>"RUA 15 DE NOVEMBRO"</f>
        <v>RUA 15 DE NOVEMBRO</v>
      </c>
      <c r="Q1324" t="str">
        <f>"920"</f>
        <v>920</v>
      </c>
      <c r="R1324" t="str">
        <f>""</f>
        <v/>
      </c>
      <c r="S1324" t="str">
        <f>"1271"</f>
        <v>1271</v>
      </c>
      <c r="T1324" t="str">
        <f>"89010003"</f>
        <v>89010003</v>
      </c>
      <c r="U1324" t="str">
        <f t="shared" si="665"/>
        <v>CENTRO</v>
      </c>
      <c r="V1324" t="str">
        <f>"BLUMENAU"</f>
        <v>BLUMENAU</v>
      </c>
      <c r="W1324" t="str">
        <f t="shared" si="636"/>
        <v>SC</v>
      </c>
      <c r="X1324" t="str">
        <f t="shared" si="669"/>
        <v>47</v>
      </c>
      <c r="Y1324" t="str">
        <f>"32322811"</f>
        <v>32322811</v>
      </c>
      <c r="Z1324" t="str">
        <f>""</f>
        <v/>
      </c>
      <c r="AA1324" t="str">
        <f>""</f>
        <v/>
      </c>
      <c r="AB1324" t="str">
        <f>""</f>
        <v/>
      </c>
      <c r="AC1324" t="str">
        <f>""</f>
        <v/>
      </c>
      <c r="AD1324" t="str">
        <f>""</f>
        <v/>
      </c>
      <c r="AE1324" t="str">
        <f>""</f>
        <v/>
      </c>
      <c r="AF1324" t="str">
        <f>""</f>
        <v/>
      </c>
      <c r="AG1324" t="str">
        <f>""</f>
        <v/>
      </c>
      <c r="AH1324" t="str">
        <f>""</f>
        <v/>
      </c>
      <c r="AI1324" t="str">
        <f>""</f>
        <v/>
      </c>
      <c r="AJ1324" t="str">
        <f>""</f>
        <v/>
      </c>
      <c r="AK1324" t="str">
        <f>""</f>
        <v/>
      </c>
      <c r="AL1324" t="str">
        <f>""</f>
        <v/>
      </c>
      <c r="AM1324" t="str">
        <f>""</f>
        <v/>
      </c>
      <c r="AN1324" t="str">
        <f>""</f>
        <v/>
      </c>
      <c r="AO1324" t="str">
        <f>""</f>
        <v/>
      </c>
      <c r="AP1324" t="str">
        <f>""</f>
        <v/>
      </c>
      <c r="AQ1324" t="str">
        <f>""</f>
        <v/>
      </c>
      <c r="AR1324" t="str">
        <f>""</f>
        <v/>
      </c>
      <c r="AS1324" t="str">
        <f>""</f>
        <v/>
      </c>
      <c r="AT1324" t="str">
        <f>""</f>
        <v/>
      </c>
      <c r="AU1324" t="str">
        <f>""</f>
        <v/>
      </c>
      <c r="AV1324" t="str">
        <f>""</f>
        <v/>
      </c>
      <c r="AW1324" t="str">
        <f>""</f>
        <v/>
      </c>
      <c r="AX1324" t="str">
        <f>""</f>
        <v/>
      </c>
      <c r="AY1324" t="str">
        <f>""</f>
        <v/>
      </c>
      <c r="AZ1324" t="str">
        <f>""</f>
        <v/>
      </c>
      <c r="BA1324" t="str">
        <f>""</f>
        <v/>
      </c>
      <c r="BB1324" t="str">
        <f>"01/07/2021 13:53:04"</f>
        <v>01/07/2021 13:53:04</v>
      </c>
      <c r="BC1324" t="str">
        <f>""</f>
        <v/>
      </c>
      <c r="BD1324" t="str">
        <f>""</f>
        <v/>
      </c>
      <c r="BE1324" t="str">
        <f>""</f>
        <v/>
      </c>
      <c r="BF1324" t="str">
        <f t="shared" si="650"/>
        <v>A</v>
      </c>
      <c r="BG1324" t="str">
        <f>""</f>
        <v/>
      </c>
      <c r="BH1324" t="str">
        <f>""</f>
        <v/>
      </c>
      <c r="BI1324" t="str">
        <f t="shared" si="667"/>
        <v>EVENTUAL</v>
      </c>
      <c r="BJ1324" t="str">
        <f t="shared" si="651"/>
        <v>1</v>
      </c>
      <c r="BK1324" t="str">
        <f t="shared" si="652"/>
        <v>Farmacia</v>
      </c>
      <c r="BL1324" t="str">
        <f>""</f>
        <v/>
      </c>
      <c r="BM1324" t="str">
        <f>"VARILUX ESPECIALISTA PLATINE"</f>
        <v>VARILUX ESPECIALISTA PLATINE</v>
      </c>
      <c r="BN1324" t="str">
        <f>"NA"</f>
        <v>NA</v>
      </c>
      <c r="BO1324" t="str">
        <f>"FOCO VARILUX DIGITAL"</f>
        <v>FOCO VARILUX DIGITAL</v>
      </c>
      <c r="BP1324" t="str">
        <f>""</f>
        <v/>
      </c>
      <c r="BQ1324" t="str">
        <f>""</f>
        <v/>
      </c>
      <c r="BR1324" t="str">
        <f>"01/07/2021"</f>
        <v>01/07/2021</v>
      </c>
      <c r="BS1324" t="str">
        <f>""</f>
        <v/>
      </c>
      <c r="BT1324" t="str">
        <f>""</f>
        <v/>
      </c>
      <c r="BU1324" t="str">
        <f>""</f>
        <v/>
      </c>
      <c r="BV1324" t="str">
        <f>""</f>
        <v/>
      </c>
      <c r="BW1324" t="str">
        <f>"16"</f>
        <v>16</v>
      </c>
    </row>
    <row r="1325" spans="1:75" x14ac:dyDescent="0.35">
      <c r="A1325">
        <v>157772</v>
      </c>
      <c r="B1325" t="str">
        <f t="shared" si="647"/>
        <v>A</v>
      </c>
      <c r="C1325" t="str">
        <f t="shared" si="648"/>
        <v>80</v>
      </c>
      <c r="D1325" t="str">
        <f t="shared" si="637"/>
        <v>11121004</v>
      </c>
      <c r="E1325" t="str">
        <f t="shared" si="638"/>
        <v>121004</v>
      </c>
      <c r="F1325" t="str">
        <f t="shared" si="639"/>
        <v>FABIANA GODOY</v>
      </c>
      <c r="G1325" t="str">
        <f>"41016329000128"</f>
        <v>41016329000128</v>
      </c>
      <c r="H1325" t="str">
        <f t="shared" si="668"/>
        <v>0</v>
      </c>
      <c r="I1325" t="str">
        <f t="shared" si="649"/>
        <v>CONTA OPTICA</v>
      </c>
      <c r="J1325" t="str">
        <f>"CENTRO OTICO E OPTOMETRICO LAGES LTDA"</f>
        <v>CENTRO OTICO E OPTOMETRICO LAGES LTDA</v>
      </c>
      <c r="K1325" t="str">
        <f>"CENTRO OTICO E OPTOMETRICO (4520)"</f>
        <v>CENTRO OTICO E OPTOMETRICO (4520)</v>
      </c>
      <c r="L1325" t="str">
        <f>""</f>
        <v/>
      </c>
      <c r="M1325" t="str">
        <f>""</f>
        <v/>
      </c>
      <c r="N1325" t="str">
        <f>"OTICAOFTALMICAMORRETES@GMAIL.COM"</f>
        <v>OTICAOFTALMICAMORRETES@GMAIL.COM</v>
      </c>
      <c r="O1325" t="str">
        <f>""</f>
        <v/>
      </c>
      <c r="P1325" t="str">
        <f>"RUA 418"</f>
        <v>RUA 418</v>
      </c>
      <c r="Q1325" t="str">
        <f>"429"</f>
        <v>429</v>
      </c>
      <c r="R1325" t="str">
        <f>"ESQUINA R 406 E"</f>
        <v>ESQUINA R 406 E</v>
      </c>
      <c r="S1325" t="str">
        <f>"1260"</f>
        <v>1260</v>
      </c>
      <c r="T1325" t="str">
        <f>"88220000"</f>
        <v>88220000</v>
      </c>
      <c r="U1325" t="str">
        <f>"MORRETES"</f>
        <v>MORRETES</v>
      </c>
      <c r="V1325" t="str">
        <f>"ITAPEMA"</f>
        <v>ITAPEMA</v>
      </c>
      <c r="W1325" t="str">
        <f t="shared" si="636"/>
        <v>SC</v>
      </c>
      <c r="X1325" t="str">
        <f t="shared" si="669"/>
        <v>47</v>
      </c>
      <c r="Y1325" t="str">
        <f>"32681543"</f>
        <v>32681543</v>
      </c>
      <c r="Z1325" t="str">
        <f>""</f>
        <v/>
      </c>
      <c r="AA1325" t="str">
        <f>""</f>
        <v/>
      </c>
      <c r="AB1325" t="str">
        <f>""</f>
        <v/>
      </c>
      <c r="AC1325" t="str">
        <f>""</f>
        <v/>
      </c>
      <c r="AD1325" t="str">
        <f>""</f>
        <v/>
      </c>
      <c r="AE1325" t="str">
        <f>""</f>
        <v/>
      </c>
      <c r="AF1325" t="str">
        <f>""</f>
        <v/>
      </c>
      <c r="AG1325" t="str">
        <f>""</f>
        <v/>
      </c>
      <c r="AH1325" t="str">
        <f>""</f>
        <v/>
      </c>
      <c r="AI1325" t="str">
        <f>""</f>
        <v/>
      </c>
      <c r="AJ1325" t="str">
        <f>""</f>
        <v/>
      </c>
      <c r="AK1325" t="str">
        <f>""</f>
        <v/>
      </c>
      <c r="AL1325" t="str">
        <f>""</f>
        <v/>
      </c>
      <c r="AM1325" t="str">
        <f>""</f>
        <v/>
      </c>
      <c r="AN1325" t="str">
        <f>""</f>
        <v/>
      </c>
      <c r="AO1325" t="str">
        <f>""</f>
        <v/>
      </c>
      <c r="AP1325" t="str">
        <f>""</f>
        <v/>
      </c>
      <c r="AQ1325" t="str">
        <f>""</f>
        <v/>
      </c>
      <c r="AR1325" t="str">
        <f>""</f>
        <v/>
      </c>
      <c r="AS1325" t="str">
        <f>""</f>
        <v/>
      </c>
      <c r="AT1325" t="str">
        <f>""</f>
        <v/>
      </c>
      <c r="AU1325" t="str">
        <f>""</f>
        <v/>
      </c>
      <c r="AV1325" t="str">
        <f>""</f>
        <v/>
      </c>
      <c r="AW1325" t="str">
        <f>""</f>
        <v/>
      </c>
      <c r="AX1325" t="str">
        <f>""</f>
        <v/>
      </c>
      <c r="AY1325" t="str">
        <f>""</f>
        <v/>
      </c>
      <c r="AZ1325" t="str">
        <f>""</f>
        <v/>
      </c>
      <c r="BA1325" t="str">
        <f>""</f>
        <v/>
      </c>
      <c r="BB1325" t="str">
        <f>"11/07/2023 02:26:32"</f>
        <v>11/07/2023 02:26:32</v>
      </c>
      <c r="BC1325" t="str">
        <f>""</f>
        <v/>
      </c>
      <c r="BD1325" t="str">
        <f>""</f>
        <v/>
      </c>
      <c r="BE1325" t="str">
        <f>""</f>
        <v/>
      </c>
      <c r="BF1325" t="str">
        <f t="shared" si="650"/>
        <v>A</v>
      </c>
      <c r="BG1325" t="str">
        <f>""</f>
        <v/>
      </c>
      <c r="BH1325" t="str">
        <f>""</f>
        <v/>
      </c>
      <c r="BI1325" t="str">
        <f t="shared" si="667"/>
        <v>EVENTUAL</v>
      </c>
      <c r="BJ1325" t="str">
        <f t="shared" si="651"/>
        <v>1</v>
      </c>
      <c r="BK1325" t="str">
        <f t="shared" si="652"/>
        <v>Farmacia</v>
      </c>
      <c r="BL1325" t="str">
        <f>""</f>
        <v/>
      </c>
      <c r="BM1325" t="str">
        <f>""</f>
        <v/>
      </c>
      <c r="BN1325" t="str">
        <f>""</f>
        <v/>
      </c>
      <c r="BO1325" t="str">
        <f>""</f>
        <v/>
      </c>
      <c r="BP1325" t="str">
        <f>""</f>
        <v/>
      </c>
      <c r="BQ1325" t="str">
        <f>""</f>
        <v/>
      </c>
      <c r="BR1325" t="str">
        <f>"11/07/2023"</f>
        <v>11/07/2023</v>
      </c>
      <c r="BS1325" t="str">
        <f>""</f>
        <v/>
      </c>
      <c r="BT1325" t="str">
        <f>""</f>
        <v/>
      </c>
      <c r="BU1325" t="str">
        <f>""</f>
        <v/>
      </c>
      <c r="BV1325" t="str">
        <f>""</f>
        <v/>
      </c>
      <c r="BW1325" t="str">
        <f>"Não visitado"</f>
        <v>Não visitado</v>
      </c>
    </row>
    <row r="1326" spans="1:75" x14ac:dyDescent="0.35">
      <c r="A1326">
        <v>137567</v>
      </c>
      <c r="B1326" t="str">
        <f t="shared" si="647"/>
        <v>A</v>
      </c>
      <c r="C1326" t="str">
        <f t="shared" si="648"/>
        <v>80</v>
      </c>
      <c r="D1326" t="str">
        <f t="shared" si="637"/>
        <v>11121004</v>
      </c>
      <c r="E1326" t="str">
        <f t="shared" si="638"/>
        <v>121004</v>
      </c>
      <c r="F1326" t="str">
        <f t="shared" si="639"/>
        <v>FABIANA GODOY</v>
      </c>
      <c r="G1326" t="str">
        <f>"37036495000119"</f>
        <v>37036495000119</v>
      </c>
      <c r="H1326" t="str">
        <f t="shared" si="668"/>
        <v>0</v>
      </c>
      <c r="I1326" t="str">
        <f t="shared" si="649"/>
        <v>CONTA OPTICA</v>
      </c>
      <c r="J1326" t="str">
        <f>"CENTRO OTICO E OPTOMETRICO LTDA"</f>
        <v>CENTRO OTICO E OPTOMETRICO LTDA</v>
      </c>
      <c r="K1326" t="str">
        <f>"CENTRO OTICO E OPTOMETRICO (4267)"</f>
        <v>CENTRO OTICO E OPTOMETRICO (4267)</v>
      </c>
      <c r="L1326" t="str">
        <f>""</f>
        <v/>
      </c>
      <c r="M1326" t="str">
        <f>""</f>
        <v/>
      </c>
      <c r="N1326" t="str">
        <f>"centro.otico.optometrico@gmail.com"</f>
        <v>centro.otico.optometrico@gmail.com</v>
      </c>
      <c r="O1326" t="str">
        <f>""</f>
        <v/>
      </c>
      <c r="P1326" t="str">
        <f>"RUA 252"</f>
        <v>RUA 252</v>
      </c>
      <c r="Q1326" t="str">
        <f>"120"</f>
        <v>120</v>
      </c>
      <c r="R1326" t="str">
        <f>"SALA 03"</f>
        <v>SALA 03</v>
      </c>
      <c r="S1326" t="str">
        <f>"1260"</f>
        <v>1260</v>
      </c>
      <c r="T1326" t="str">
        <f>"88220000"</f>
        <v>88220000</v>
      </c>
      <c r="U1326" t="str">
        <f>"MEIA PRAIA"</f>
        <v>MEIA PRAIA</v>
      </c>
      <c r="V1326" t="str">
        <f>"ITAPEMA"</f>
        <v>ITAPEMA</v>
      </c>
      <c r="W1326" t="str">
        <f t="shared" si="636"/>
        <v>SC</v>
      </c>
      <c r="X1326" t="str">
        <f t="shared" si="669"/>
        <v>47</v>
      </c>
      <c r="Y1326" t="str">
        <f>"984979604"</f>
        <v>984979604</v>
      </c>
      <c r="Z1326" t="str">
        <f>""</f>
        <v/>
      </c>
      <c r="AA1326" t="str">
        <f>""</f>
        <v/>
      </c>
      <c r="AB1326" t="str">
        <f>""</f>
        <v/>
      </c>
      <c r="AC1326" t="str">
        <f>""</f>
        <v/>
      </c>
      <c r="AD1326" t="str">
        <f>""</f>
        <v/>
      </c>
      <c r="AE1326" t="str">
        <f>""</f>
        <v/>
      </c>
      <c r="AF1326" t="str">
        <f>""</f>
        <v/>
      </c>
      <c r="AG1326" t="str">
        <f>"S"</f>
        <v>S</v>
      </c>
      <c r="AH1326" t="str">
        <f>""</f>
        <v/>
      </c>
      <c r="AI1326" t="str">
        <f>""</f>
        <v/>
      </c>
      <c r="AJ1326" t="str">
        <f>""</f>
        <v/>
      </c>
      <c r="AK1326" t="str">
        <f>""</f>
        <v/>
      </c>
      <c r="AL1326" t="str">
        <f>""</f>
        <v/>
      </c>
      <c r="AM1326" t="str">
        <f>""</f>
        <v/>
      </c>
      <c r="AN1326" t="str">
        <f>""</f>
        <v/>
      </c>
      <c r="AO1326" t="str">
        <f>""</f>
        <v/>
      </c>
      <c r="AP1326" t="str">
        <f>""</f>
        <v/>
      </c>
      <c r="AQ1326" t="str">
        <f>"N"</f>
        <v>N</v>
      </c>
      <c r="AR1326" t="str">
        <f>"N"</f>
        <v>N</v>
      </c>
      <c r="AS1326" t="str">
        <f>"N"</f>
        <v>N</v>
      </c>
      <c r="AT1326" t="str">
        <f>"N"</f>
        <v>N</v>
      </c>
      <c r="AU1326" t="str">
        <f>"N"</f>
        <v>N</v>
      </c>
      <c r="AV1326" t="str">
        <f>""</f>
        <v/>
      </c>
      <c r="AW1326" t="str">
        <f>""</f>
        <v/>
      </c>
      <c r="AX1326" t="str">
        <f>""</f>
        <v/>
      </c>
      <c r="AY1326" t="str">
        <f>""</f>
        <v/>
      </c>
      <c r="AZ1326" t="str">
        <f>""</f>
        <v/>
      </c>
      <c r="BA1326" t="str">
        <f>""</f>
        <v/>
      </c>
      <c r="BB1326" t="str">
        <f>"01/07/2021 13:53:04"</f>
        <v>01/07/2021 13:53:04</v>
      </c>
      <c r="BC1326" t="str">
        <f>"29/03/2022 09:38:30"</f>
        <v>29/03/2022 09:38:30</v>
      </c>
      <c r="BD1326" t="str">
        <f>""</f>
        <v/>
      </c>
      <c r="BE1326" t="str">
        <f>""</f>
        <v/>
      </c>
      <c r="BF1326" t="str">
        <f t="shared" si="650"/>
        <v>A</v>
      </c>
      <c r="BG1326" t="str">
        <f>""</f>
        <v/>
      </c>
      <c r="BH1326" t="str">
        <f>"0,00"</f>
        <v>0,00</v>
      </c>
      <c r="BI1326" t="str">
        <f t="shared" si="667"/>
        <v>EVENTUAL</v>
      </c>
      <c r="BJ1326" t="str">
        <f t="shared" si="651"/>
        <v>1</v>
      </c>
      <c r="BK1326" t="str">
        <f t="shared" si="652"/>
        <v>Farmacia</v>
      </c>
      <c r="BL1326" t="str">
        <f>""</f>
        <v/>
      </c>
      <c r="BM1326" t="str">
        <f t="shared" ref="BM1326:BM1331" si="670">"NÃO É VARILUX ESPECIALISTA"</f>
        <v>NÃO É VARILUX ESPECIALISTA</v>
      </c>
      <c r="BN1326" t="str">
        <f t="shared" ref="BN1326:BN1331" si="671">"NA"</f>
        <v>NA</v>
      </c>
      <c r="BO1326" t="str">
        <f>"FOCO VARILUX"</f>
        <v>FOCO VARILUX</v>
      </c>
      <c r="BP1326" t="str">
        <f>""</f>
        <v/>
      </c>
      <c r="BQ1326" t="str">
        <f>""</f>
        <v/>
      </c>
      <c r="BR1326" t="str">
        <f>"01/07/2021"</f>
        <v>01/07/2021</v>
      </c>
      <c r="BS1326" t="str">
        <f>"29/03/2022"</f>
        <v>29/03/2022</v>
      </c>
      <c r="BT1326" t="str">
        <f>""</f>
        <v/>
      </c>
      <c r="BU1326" t="str">
        <f>""</f>
        <v/>
      </c>
      <c r="BV1326" t="str">
        <f>""</f>
        <v/>
      </c>
      <c r="BW1326" t="str">
        <f>"441"</f>
        <v>441</v>
      </c>
    </row>
    <row r="1327" spans="1:75" x14ac:dyDescent="0.35">
      <c r="A1327">
        <v>127755</v>
      </c>
      <c r="B1327" t="str">
        <f t="shared" si="647"/>
        <v>A</v>
      </c>
      <c r="C1327" t="str">
        <f t="shared" si="648"/>
        <v>80</v>
      </c>
      <c r="D1327" t="str">
        <f t="shared" si="637"/>
        <v>11121004</v>
      </c>
      <c r="E1327" t="str">
        <f t="shared" si="638"/>
        <v>121004</v>
      </c>
      <c r="F1327" t="str">
        <f t="shared" si="639"/>
        <v>FABIANA GODOY</v>
      </c>
      <c r="G1327" t="str">
        <f>"03328545000110"</f>
        <v>03328545000110</v>
      </c>
      <c r="H1327" t="str">
        <f t="shared" si="668"/>
        <v>0</v>
      </c>
      <c r="I1327" t="str">
        <f t="shared" si="649"/>
        <v>CONTA OPTICA</v>
      </c>
      <c r="J1327" t="str">
        <f>"CENTRO OTICO ITAPEMA LTDA"</f>
        <v>CENTRO OTICO ITAPEMA LTDA</v>
      </c>
      <c r="K1327" t="str">
        <f>"CENTRO OTICO ITAPEMA LTDA (1184)"</f>
        <v>CENTRO OTICO ITAPEMA LTDA (1184)</v>
      </c>
      <c r="L1327" t="str">
        <f>""</f>
        <v/>
      </c>
      <c r="M1327" t="str">
        <f>""</f>
        <v/>
      </c>
      <c r="N1327" t="str">
        <f>"centrooticoitapema@gmail.com"</f>
        <v>centrooticoitapema@gmail.com</v>
      </c>
      <c r="O1327" t="str">
        <f>""</f>
        <v/>
      </c>
      <c r="P1327" t="str">
        <f>"AVENIDA NEREU RAMOS"</f>
        <v>AVENIDA NEREU RAMOS</v>
      </c>
      <c r="Q1327" t="str">
        <f>"3082"</f>
        <v>3082</v>
      </c>
      <c r="R1327" t="str">
        <f>"SALA 02"</f>
        <v>SALA 02</v>
      </c>
      <c r="S1327" t="str">
        <f>"1260"</f>
        <v>1260</v>
      </c>
      <c r="T1327" t="str">
        <f>"88220000"</f>
        <v>88220000</v>
      </c>
      <c r="U1327" t="str">
        <f>"NAO INFORMADO"</f>
        <v>NAO INFORMADO</v>
      </c>
      <c r="V1327" t="str">
        <f>"ITAPEMA"</f>
        <v>ITAPEMA</v>
      </c>
      <c r="W1327" t="str">
        <f t="shared" si="636"/>
        <v>SC</v>
      </c>
      <c r="X1327" t="str">
        <f t="shared" si="669"/>
        <v>47</v>
      </c>
      <c r="Y1327" t="str">
        <f>"33680296"</f>
        <v>33680296</v>
      </c>
      <c r="Z1327" t="str">
        <f>""</f>
        <v/>
      </c>
      <c r="AA1327" t="str">
        <f>""</f>
        <v/>
      </c>
      <c r="AB1327" t="str">
        <f>""</f>
        <v/>
      </c>
      <c r="AC1327" t="str">
        <f>""</f>
        <v/>
      </c>
      <c r="AD1327" t="str">
        <f>""</f>
        <v/>
      </c>
      <c r="AE1327" t="str">
        <f>""</f>
        <v/>
      </c>
      <c r="AF1327" t="str">
        <f>""</f>
        <v/>
      </c>
      <c r="AG1327" t="str">
        <f>""</f>
        <v/>
      </c>
      <c r="AH1327" t="str">
        <f>""</f>
        <v/>
      </c>
      <c r="AI1327" t="str">
        <f>""</f>
        <v/>
      </c>
      <c r="AJ1327" t="str">
        <f>"0"</f>
        <v>0</v>
      </c>
      <c r="AK1327" t="str">
        <f>"0"</f>
        <v>0</v>
      </c>
      <c r="AL1327" t="str">
        <f>"0"</f>
        <v>0</v>
      </c>
      <c r="AM1327" t="str">
        <f>""</f>
        <v/>
      </c>
      <c r="AN1327" t="str">
        <f>""</f>
        <v/>
      </c>
      <c r="AO1327" t="str">
        <f>""</f>
        <v/>
      </c>
      <c r="AP1327" t="str">
        <f>""</f>
        <v/>
      </c>
      <c r="AQ1327" t="str">
        <f>""</f>
        <v/>
      </c>
      <c r="AR1327" t="str">
        <f>""</f>
        <v/>
      </c>
      <c r="AS1327" t="str">
        <f>""</f>
        <v/>
      </c>
      <c r="AT1327" t="str">
        <f>""</f>
        <v/>
      </c>
      <c r="AU1327" t="str">
        <f>""</f>
        <v/>
      </c>
      <c r="AV1327" t="str">
        <f>""</f>
        <v/>
      </c>
      <c r="AW1327" t="str">
        <f>""</f>
        <v/>
      </c>
      <c r="AX1327" t="str">
        <f>""</f>
        <v/>
      </c>
      <c r="AY1327" t="str">
        <f>""</f>
        <v/>
      </c>
      <c r="AZ1327" t="str">
        <f>""</f>
        <v/>
      </c>
      <c r="BA1327" t="str">
        <f>""</f>
        <v/>
      </c>
      <c r="BB1327" t="str">
        <f>"07/10/2020 09:08:38"</f>
        <v>07/10/2020 09:08:38</v>
      </c>
      <c r="BC1327" t="str">
        <f>""</f>
        <v/>
      </c>
      <c r="BD1327" t="str">
        <f>""</f>
        <v/>
      </c>
      <c r="BE1327" t="str">
        <f>""</f>
        <v/>
      </c>
      <c r="BF1327" t="str">
        <f t="shared" si="650"/>
        <v>A</v>
      </c>
      <c r="BG1327" t="str">
        <f>"0,00"</f>
        <v>0,00</v>
      </c>
      <c r="BH1327" t="str">
        <f>"0,00"</f>
        <v>0,00</v>
      </c>
      <c r="BI1327" t="str">
        <f t="shared" si="667"/>
        <v>EVENTUAL</v>
      </c>
      <c r="BJ1327" t="str">
        <f t="shared" si="651"/>
        <v>1</v>
      </c>
      <c r="BK1327" t="str">
        <f t="shared" si="652"/>
        <v>Farmacia</v>
      </c>
      <c r="BL1327" t="str">
        <f>""</f>
        <v/>
      </c>
      <c r="BM1327" t="str">
        <f t="shared" si="670"/>
        <v>NÃO É VARILUX ESPECIALISTA</v>
      </c>
      <c r="BN1327" t="str">
        <f t="shared" si="671"/>
        <v>NA</v>
      </c>
      <c r="BO1327" t="str">
        <f>"FOCO VARILUX"</f>
        <v>FOCO VARILUX</v>
      </c>
      <c r="BP1327" t="str">
        <f>""</f>
        <v/>
      </c>
      <c r="BQ1327" t="str">
        <f>""</f>
        <v/>
      </c>
      <c r="BR1327" t="str">
        <f>"07/10/2020"</f>
        <v>07/10/2020</v>
      </c>
      <c r="BS1327" t="str">
        <f>""</f>
        <v/>
      </c>
      <c r="BT1327" t="str">
        <f>""</f>
        <v/>
      </c>
      <c r="BU1327" t="str">
        <f>""</f>
        <v/>
      </c>
      <c r="BV1327" t="str">
        <f>"7"</f>
        <v>7</v>
      </c>
      <c r="BW1327" t="str">
        <f>"14"</f>
        <v>14</v>
      </c>
    </row>
    <row r="1328" spans="1:75" x14ac:dyDescent="0.35">
      <c r="A1328">
        <v>137569</v>
      </c>
      <c r="B1328" t="str">
        <f t="shared" si="647"/>
        <v>A</v>
      </c>
      <c r="C1328" t="str">
        <f t="shared" si="648"/>
        <v>80</v>
      </c>
      <c r="D1328" t="str">
        <f t="shared" si="637"/>
        <v>11121004</v>
      </c>
      <c r="E1328" t="str">
        <f t="shared" si="638"/>
        <v>121004</v>
      </c>
      <c r="F1328" t="str">
        <f t="shared" si="639"/>
        <v>FABIANA GODOY</v>
      </c>
      <c r="G1328" t="str">
        <f>"26584700000164"</f>
        <v>26584700000164</v>
      </c>
      <c r="H1328" t="str">
        <f t="shared" si="668"/>
        <v>0</v>
      </c>
      <c r="I1328" t="str">
        <f t="shared" si="649"/>
        <v>CONTA OPTICA</v>
      </c>
      <c r="J1328" t="str">
        <f>"CEU AZUL ACESSORIOS DA MODA LTDA ME"</f>
        <v>CEU AZUL ACESSORIOS DA MODA LTDA ME</v>
      </c>
      <c r="K1328" t="str">
        <f>"DIMPOL (4036)"</f>
        <v>DIMPOL (4036)</v>
      </c>
      <c r="L1328" t="str">
        <f>""</f>
        <v/>
      </c>
      <c r="M1328" t="str">
        <f>""</f>
        <v/>
      </c>
      <c r="N1328" t="str">
        <f>"marcelovirtuall@gmail.com"</f>
        <v>marcelovirtuall@gmail.com</v>
      </c>
      <c r="O1328" t="str">
        <f>""</f>
        <v/>
      </c>
      <c r="P1328" t="str">
        <f>"RUA SAMUEL HEUSI"</f>
        <v>RUA SAMUEL HEUSI</v>
      </c>
      <c r="Q1328" t="str">
        <f>"234"</f>
        <v>234</v>
      </c>
      <c r="R1328" t="str">
        <f>"LJ T09"</f>
        <v>LJ T09</v>
      </c>
      <c r="S1328" t="str">
        <f>"1261"</f>
        <v>1261</v>
      </c>
      <c r="T1328" t="str">
        <f>"88301320"</f>
        <v>88301320</v>
      </c>
      <c r="U1328" t="str">
        <f>"CENTRO"</f>
        <v>CENTRO</v>
      </c>
      <c r="V1328" t="str">
        <f>"ITAJAÍ"</f>
        <v>ITAJAÍ</v>
      </c>
      <c r="W1328" t="str">
        <f t="shared" ref="W1328:W1391" si="672">"SC"</f>
        <v>SC</v>
      </c>
      <c r="X1328" t="str">
        <f t="shared" si="669"/>
        <v>47</v>
      </c>
      <c r="Y1328" t="str">
        <f>"997272501"</f>
        <v>997272501</v>
      </c>
      <c r="Z1328" t="str">
        <f>""</f>
        <v/>
      </c>
      <c r="AA1328" t="str">
        <f>""</f>
        <v/>
      </c>
      <c r="AB1328" t="str">
        <f>""</f>
        <v/>
      </c>
      <c r="AC1328" t="str">
        <f>""</f>
        <v/>
      </c>
      <c r="AD1328" t="str">
        <f>""</f>
        <v/>
      </c>
      <c r="AE1328" t="str">
        <f>""</f>
        <v/>
      </c>
      <c r="AF1328" t="str">
        <f>""</f>
        <v/>
      </c>
      <c r="AG1328" t="str">
        <f>"S"</f>
        <v>S</v>
      </c>
      <c r="AH1328" t="str">
        <f>""</f>
        <v/>
      </c>
      <c r="AI1328" t="str">
        <f>""</f>
        <v/>
      </c>
      <c r="AJ1328" t="str">
        <f>""</f>
        <v/>
      </c>
      <c r="AK1328" t="str">
        <f>""</f>
        <v/>
      </c>
      <c r="AL1328" t="str">
        <f>""</f>
        <v/>
      </c>
      <c r="AM1328" t="str">
        <f>""</f>
        <v/>
      </c>
      <c r="AN1328" t="str">
        <f>""</f>
        <v/>
      </c>
      <c r="AO1328" t="str">
        <f>""</f>
        <v/>
      </c>
      <c r="AP1328" t="str">
        <f>""</f>
        <v/>
      </c>
      <c r="AQ1328" t="str">
        <f t="shared" ref="AQ1328:AU1329" si="673">"N"</f>
        <v>N</v>
      </c>
      <c r="AR1328" t="str">
        <f t="shared" si="673"/>
        <v>N</v>
      </c>
      <c r="AS1328" t="str">
        <f t="shared" si="673"/>
        <v>N</v>
      </c>
      <c r="AT1328" t="str">
        <f t="shared" si="673"/>
        <v>N</v>
      </c>
      <c r="AU1328" t="str">
        <f t="shared" si="673"/>
        <v>N</v>
      </c>
      <c r="AV1328" t="str">
        <f>""</f>
        <v/>
      </c>
      <c r="AW1328" t="str">
        <f>""</f>
        <v/>
      </c>
      <c r="AX1328" t="str">
        <f>""</f>
        <v/>
      </c>
      <c r="AY1328" t="str">
        <f>""</f>
        <v/>
      </c>
      <c r="AZ1328" t="str">
        <f>""</f>
        <v/>
      </c>
      <c r="BA1328" t="str">
        <f>""</f>
        <v/>
      </c>
      <c r="BB1328" t="str">
        <f>"01/07/2021 13:53:04"</f>
        <v>01/07/2021 13:53:04</v>
      </c>
      <c r="BC1328" t="str">
        <f>"11/07/2023 16:48:36"</f>
        <v>11/07/2023 16:48:36</v>
      </c>
      <c r="BD1328" t="str">
        <f>""</f>
        <v/>
      </c>
      <c r="BE1328" t="str">
        <f>""</f>
        <v/>
      </c>
      <c r="BF1328" t="str">
        <f t="shared" si="650"/>
        <v>A</v>
      </c>
      <c r="BG1328" t="str">
        <f>""</f>
        <v/>
      </c>
      <c r="BH1328" t="str">
        <f>"0,00"</f>
        <v>0,00</v>
      </c>
      <c r="BI1328" t="str">
        <f>"MENSAL"</f>
        <v>MENSAL</v>
      </c>
      <c r="BJ1328" t="str">
        <f t="shared" si="651"/>
        <v>1</v>
      </c>
      <c r="BK1328" t="str">
        <f t="shared" si="652"/>
        <v>Farmacia</v>
      </c>
      <c r="BL1328" t="str">
        <f>""</f>
        <v/>
      </c>
      <c r="BM1328" t="str">
        <f t="shared" si="670"/>
        <v>NÃO É VARILUX ESPECIALISTA</v>
      </c>
      <c r="BN1328" t="str">
        <f t="shared" si="671"/>
        <v>NA</v>
      </c>
      <c r="BO1328" t="str">
        <f>"FOCO VARILUX DIGITAL"</f>
        <v>FOCO VARILUX DIGITAL</v>
      </c>
      <c r="BP1328" t="str">
        <f>""</f>
        <v/>
      </c>
      <c r="BQ1328" t="str">
        <f>""</f>
        <v/>
      </c>
      <c r="BR1328" t="str">
        <f>"01/07/2021"</f>
        <v>01/07/2021</v>
      </c>
      <c r="BS1328" t="str">
        <f>"11/07/2023"</f>
        <v>11/07/2023</v>
      </c>
      <c r="BT1328" t="str">
        <f>""</f>
        <v/>
      </c>
      <c r="BU1328" t="str">
        <f>""</f>
        <v/>
      </c>
      <c r="BV1328" t="str">
        <f>""</f>
        <v/>
      </c>
      <c r="BW1328" t="str">
        <f>"21"</f>
        <v>21</v>
      </c>
    </row>
    <row r="1329" spans="1:75" x14ac:dyDescent="0.35">
      <c r="A1329">
        <v>137570</v>
      </c>
      <c r="B1329" t="str">
        <f t="shared" si="647"/>
        <v>A</v>
      </c>
      <c r="C1329" t="str">
        <f t="shared" si="648"/>
        <v>80</v>
      </c>
      <c r="D1329" t="str">
        <f t="shared" si="637"/>
        <v>11121004</v>
      </c>
      <c r="E1329" t="str">
        <f t="shared" si="638"/>
        <v>121004</v>
      </c>
      <c r="F1329" t="str">
        <f t="shared" si="639"/>
        <v>FABIANA GODOY</v>
      </c>
      <c r="G1329" t="str">
        <f>"12377100000110"</f>
        <v>12377100000110</v>
      </c>
      <c r="H1329" t="str">
        <f t="shared" si="668"/>
        <v>0</v>
      </c>
      <c r="I1329" t="str">
        <f t="shared" si="649"/>
        <v>CONTA OPTICA</v>
      </c>
      <c r="J1329" t="str">
        <f>"CHRISTIAN RAMOS ME"</f>
        <v>CHRISTIAN RAMOS ME</v>
      </c>
      <c r="K1329" t="str">
        <f>"OTICA CHRISTAL (1824)"</f>
        <v>OTICA CHRISTAL (1824)</v>
      </c>
      <c r="L1329" t="str">
        <f>""</f>
        <v/>
      </c>
      <c r="M1329" t="str">
        <f>""</f>
        <v/>
      </c>
      <c r="N1329" t="str">
        <f>"christian_contabeis@hotmail.com"</f>
        <v>christian_contabeis@hotmail.com</v>
      </c>
      <c r="O1329" t="str">
        <f>""</f>
        <v/>
      </c>
      <c r="P1329" t="str">
        <f>"RUA JOSE FRANCISCO LAURINDO"</f>
        <v>RUA JOSE FRANCISCO LAURINDO</v>
      </c>
      <c r="Q1329" t="str">
        <f>"1671"</f>
        <v>1671</v>
      </c>
      <c r="R1329" t="str">
        <f>"SALA 01"</f>
        <v>SALA 01</v>
      </c>
      <c r="S1329" t="str">
        <f>"1263"</f>
        <v>1263</v>
      </c>
      <c r="T1329" t="str">
        <f>"88370750"</f>
        <v>88370750</v>
      </c>
      <c r="U1329" t="str">
        <f>"SAO DOMINGOS"</f>
        <v>SAO DOMINGOS</v>
      </c>
      <c r="V1329" t="str">
        <f>"NAVEGANTES"</f>
        <v>NAVEGANTES</v>
      </c>
      <c r="W1329" t="str">
        <f t="shared" si="672"/>
        <v>SC</v>
      </c>
      <c r="X1329" t="str">
        <f t="shared" si="669"/>
        <v>47</v>
      </c>
      <c r="Y1329" t="str">
        <f>"33489434"</f>
        <v>33489434</v>
      </c>
      <c r="Z1329" t="str">
        <f>""</f>
        <v/>
      </c>
      <c r="AA1329" t="str">
        <f>""</f>
        <v/>
      </c>
      <c r="AB1329" t="str">
        <f>""</f>
        <v/>
      </c>
      <c r="AC1329" t="str">
        <f>""</f>
        <v/>
      </c>
      <c r="AD1329" t="str">
        <f>""</f>
        <v/>
      </c>
      <c r="AE1329" t="str">
        <f>""</f>
        <v/>
      </c>
      <c r="AF1329" t="str">
        <f>""</f>
        <v/>
      </c>
      <c r="AG1329" t="str">
        <f>"S"</f>
        <v>S</v>
      </c>
      <c r="AH1329" t="str">
        <f>""</f>
        <v/>
      </c>
      <c r="AI1329" t="str">
        <f>""</f>
        <v/>
      </c>
      <c r="AJ1329" t="str">
        <f>""</f>
        <v/>
      </c>
      <c r="AK1329" t="str">
        <f>""</f>
        <v/>
      </c>
      <c r="AL1329" t="str">
        <f>""</f>
        <v/>
      </c>
      <c r="AM1329" t="str">
        <f>""</f>
        <v/>
      </c>
      <c r="AN1329" t="str">
        <f>""</f>
        <v/>
      </c>
      <c r="AO1329" t="str">
        <f>""</f>
        <v/>
      </c>
      <c r="AP1329" t="str">
        <f>""</f>
        <v/>
      </c>
      <c r="AQ1329" t="str">
        <f t="shared" si="673"/>
        <v>N</v>
      </c>
      <c r="AR1329" t="str">
        <f t="shared" si="673"/>
        <v>N</v>
      </c>
      <c r="AS1329" t="str">
        <f t="shared" si="673"/>
        <v>N</v>
      </c>
      <c r="AT1329" t="str">
        <f t="shared" si="673"/>
        <v>N</v>
      </c>
      <c r="AU1329" t="str">
        <f t="shared" si="673"/>
        <v>N</v>
      </c>
      <c r="AV1329" t="str">
        <f>""</f>
        <v/>
      </c>
      <c r="AW1329" t="str">
        <f>""</f>
        <v/>
      </c>
      <c r="AX1329" t="str">
        <f>""</f>
        <v/>
      </c>
      <c r="AY1329" t="str">
        <f>""</f>
        <v/>
      </c>
      <c r="AZ1329" t="str">
        <f>""</f>
        <v/>
      </c>
      <c r="BA1329" t="str">
        <f>""</f>
        <v/>
      </c>
      <c r="BB1329" t="str">
        <f>"01/07/2021 13:53:04"</f>
        <v>01/07/2021 13:53:04</v>
      </c>
      <c r="BC1329" t="str">
        <f>"19/04/2022 17:04:27"</f>
        <v>19/04/2022 17:04:27</v>
      </c>
      <c r="BD1329" t="str">
        <f>""</f>
        <v/>
      </c>
      <c r="BE1329" t="str">
        <f>""</f>
        <v/>
      </c>
      <c r="BF1329" t="str">
        <f t="shared" si="650"/>
        <v>A</v>
      </c>
      <c r="BG1329" t="str">
        <f>""</f>
        <v/>
      </c>
      <c r="BH1329" t="str">
        <f>"0,00"</f>
        <v>0,00</v>
      </c>
      <c r="BI1329" t="str">
        <f t="shared" ref="BI1329:BI1349" si="674">"EVENTUAL"</f>
        <v>EVENTUAL</v>
      </c>
      <c r="BJ1329" t="str">
        <f t="shared" si="651"/>
        <v>1</v>
      </c>
      <c r="BK1329" t="str">
        <f t="shared" si="652"/>
        <v>Farmacia</v>
      </c>
      <c r="BL1329" t="str">
        <f>""</f>
        <v/>
      </c>
      <c r="BM1329" t="str">
        <f t="shared" si="670"/>
        <v>NÃO É VARILUX ESPECIALISTA</v>
      </c>
      <c r="BN1329" t="str">
        <f t="shared" si="671"/>
        <v>NA</v>
      </c>
      <c r="BO1329" t="str">
        <f>"OUTROS"</f>
        <v>OUTROS</v>
      </c>
      <c r="BP1329" t="str">
        <f>""</f>
        <v/>
      </c>
      <c r="BQ1329" t="str">
        <f>""</f>
        <v/>
      </c>
      <c r="BR1329" t="str">
        <f>"01/07/2021"</f>
        <v>01/07/2021</v>
      </c>
      <c r="BS1329" t="str">
        <f>"19/04/2022"</f>
        <v>19/04/2022</v>
      </c>
      <c r="BT1329" t="str">
        <f>""</f>
        <v/>
      </c>
      <c r="BU1329" t="str">
        <f>""</f>
        <v/>
      </c>
      <c r="BV1329" t="str">
        <f>""</f>
        <v/>
      </c>
      <c r="BW1329" t="str">
        <f>"64"</f>
        <v>64</v>
      </c>
    </row>
    <row r="1330" spans="1:75" x14ac:dyDescent="0.35">
      <c r="A1330">
        <v>120538</v>
      </c>
      <c r="B1330" t="str">
        <f t="shared" si="647"/>
        <v>A</v>
      </c>
      <c r="C1330" t="str">
        <f t="shared" si="648"/>
        <v>80</v>
      </c>
      <c r="D1330" t="str">
        <f t="shared" si="637"/>
        <v>11121004</v>
      </c>
      <c r="E1330" t="str">
        <f t="shared" si="638"/>
        <v>121004</v>
      </c>
      <c r="F1330" t="str">
        <f t="shared" si="639"/>
        <v>FABIANA GODOY</v>
      </c>
      <c r="G1330" t="str">
        <f>"05393402000117"</f>
        <v>05393402000117</v>
      </c>
      <c r="H1330" t="str">
        <f t="shared" si="668"/>
        <v>0</v>
      </c>
      <c r="I1330" t="str">
        <f t="shared" si="649"/>
        <v>CONTA OPTICA</v>
      </c>
      <c r="J1330" t="str">
        <f>"CLINICA DE OLHOS SANTA LUZIA LTDA"</f>
        <v>CLINICA DE OLHOS SANTA LUZIA LTDA</v>
      </c>
      <c r="K1330" t="str">
        <f>"INSTITUTO DE OLHOS BLUMENAU (11668)"</f>
        <v>INSTITUTO DE OLHOS BLUMENAU (11668)</v>
      </c>
      <c r="L1330" t="str">
        <f>""</f>
        <v/>
      </c>
      <c r="M1330" t="str">
        <f>""</f>
        <v/>
      </c>
      <c r="N1330" t="str">
        <f>"administracao02@iob-oftalmologia.com.br"</f>
        <v>administracao02@iob-oftalmologia.com.br</v>
      </c>
      <c r="O1330" t="str">
        <f>""</f>
        <v/>
      </c>
      <c r="P1330" t="str">
        <f>"RUA SETE DE SETEMBRO"</f>
        <v>RUA SETE DE SETEMBRO</v>
      </c>
      <c r="Q1330" t="str">
        <f>"1327"</f>
        <v>1327</v>
      </c>
      <c r="R1330" t="str">
        <f>""</f>
        <v/>
      </c>
      <c r="S1330" t="str">
        <f>"1271"</f>
        <v>1271</v>
      </c>
      <c r="T1330" t="str">
        <f>"89010207"</f>
        <v>89010207</v>
      </c>
      <c r="U1330" t="str">
        <f>"CENTRO"</f>
        <v>CENTRO</v>
      </c>
      <c r="V1330" t="str">
        <f>"BLUMENAU"</f>
        <v>BLUMENAU</v>
      </c>
      <c r="W1330" t="str">
        <f t="shared" si="672"/>
        <v>SC</v>
      </c>
      <c r="X1330" t="str">
        <f t="shared" si="669"/>
        <v>47</v>
      </c>
      <c r="Y1330" t="str">
        <f>"30387403"</f>
        <v>30387403</v>
      </c>
      <c r="Z1330" t="str">
        <f>""</f>
        <v/>
      </c>
      <c r="AA1330" t="str">
        <f>""</f>
        <v/>
      </c>
      <c r="AB1330" t="str">
        <f>""</f>
        <v/>
      </c>
      <c r="AC1330" t="str">
        <f>""</f>
        <v/>
      </c>
      <c r="AD1330" t="str">
        <f>""</f>
        <v/>
      </c>
      <c r="AE1330" t="str">
        <f>""</f>
        <v/>
      </c>
      <c r="AF1330" t="str">
        <f>""</f>
        <v/>
      </c>
      <c r="AG1330" t="str">
        <f>""</f>
        <v/>
      </c>
      <c r="AH1330" t="str">
        <f>""</f>
        <v/>
      </c>
      <c r="AI1330" t="str">
        <f>""</f>
        <v/>
      </c>
      <c r="AJ1330" t="str">
        <f>""</f>
        <v/>
      </c>
      <c r="AK1330" t="str">
        <f>""</f>
        <v/>
      </c>
      <c r="AL1330" t="str">
        <f>""</f>
        <v/>
      </c>
      <c r="AM1330" t="str">
        <f>""</f>
        <v/>
      </c>
      <c r="AN1330" t="str">
        <f>""</f>
        <v/>
      </c>
      <c r="AO1330" t="str">
        <f>""</f>
        <v/>
      </c>
      <c r="AP1330" t="str">
        <f>""</f>
        <v/>
      </c>
      <c r="AQ1330" t="str">
        <f>""</f>
        <v/>
      </c>
      <c r="AR1330" t="str">
        <f>""</f>
        <v/>
      </c>
      <c r="AS1330" t="str">
        <f>""</f>
        <v/>
      </c>
      <c r="AT1330" t="str">
        <f>""</f>
        <v/>
      </c>
      <c r="AU1330" t="str">
        <f>""</f>
        <v/>
      </c>
      <c r="AV1330" t="str">
        <f>""</f>
        <v/>
      </c>
      <c r="AW1330" t="str">
        <f>""</f>
        <v/>
      </c>
      <c r="AX1330" t="str">
        <f>""</f>
        <v/>
      </c>
      <c r="AY1330" t="str">
        <f>""</f>
        <v/>
      </c>
      <c r="AZ1330" t="str">
        <f>""</f>
        <v/>
      </c>
      <c r="BA1330" t="str">
        <f>""</f>
        <v/>
      </c>
      <c r="BB1330" t="str">
        <f>"22/09/2020 15:29:33"</f>
        <v>22/09/2020 15:29:33</v>
      </c>
      <c r="BC1330" t="str">
        <f>""</f>
        <v/>
      </c>
      <c r="BD1330" t="str">
        <f>""</f>
        <v/>
      </c>
      <c r="BE1330" t="str">
        <f>""</f>
        <v/>
      </c>
      <c r="BF1330" t="str">
        <f t="shared" si="650"/>
        <v>A</v>
      </c>
      <c r="BG1330" t="str">
        <f>""</f>
        <v/>
      </c>
      <c r="BH1330" t="str">
        <f>""</f>
        <v/>
      </c>
      <c r="BI1330" t="str">
        <f t="shared" si="674"/>
        <v>EVENTUAL</v>
      </c>
      <c r="BJ1330" t="str">
        <f t="shared" si="651"/>
        <v>1</v>
      </c>
      <c r="BK1330" t="str">
        <f t="shared" si="652"/>
        <v>Farmacia</v>
      </c>
      <c r="BL1330" t="str">
        <f>""</f>
        <v/>
      </c>
      <c r="BM1330" t="str">
        <f t="shared" si="670"/>
        <v>NÃO É VARILUX ESPECIALISTA</v>
      </c>
      <c r="BN1330" t="str">
        <f t="shared" si="671"/>
        <v>NA</v>
      </c>
      <c r="BO1330" t="str">
        <f>""</f>
        <v/>
      </c>
      <c r="BP1330" t="str">
        <f>""</f>
        <v/>
      </c>
      <c r="BQ1330" t="str">
        <f>""</f>
        <v/>
      </c>
      <c r="BR1330" t="str">
        <f>"22/09/2020"</f>
        <v>22/09/2020</v>
      </c>
      <c r="BS1330" t="str">
        <f>""</f>
        <v/>
      </c>
      <c r="BT1330" t="str">
        <f>""</f>
        <v/>
      </c>
      <c r="BU1330" t="str">
        <f>""</f>
        <v/>
      </c>
      <c r="BV1330" t="str">
        <f>"9"</f>
        <v>9</v>
      </c>
      <c r="BW1330" t="str">
        <f>"Não visitado"</f>
        <v>Não visitado</v>
      </c>
    </row>
    <row r="1331" spans="1:75" x14ac:dyDescent="0.35">
      <c r="A1331">
        <v>117463</v>
      </c>
      <c r="B1331" t="str">
        <f t="shared" si="647"/>
        <v>A</v>
      </c>
      <c r="C1331" t="str">
        <f t="shared" si="648"/>
        <v>80</v>
      </c>
      <c r="D1331" t="str">
        <f t="shared" ref="D1331:D1394" si="675">"11121004"</f>
        <v>11121004</v>
      </c>
      <c r="E1331" t="str">
        <f t="shared" ref="E1331:E1394" si="676">"121004"</f>
        <v>121004</v>
      </c>
      <c r="F1331" t="str">
        <f t="shared" ref="F1331:F1394" si="677">"FABIANA GODOY"</f>
        <v>FABIANA GODOY</v>
      </c>
      <c r="G1331" t="str">
        <f>"09128765000186"</f>
        <v>09128765000186</v>
      </c>
      <c r="H1331" t="str">
        <f t="shared" si="668"/>
        <v>0</v>
      </c>
      <c r="I1331" t="str">
        <f t="shared" si="649"/>
        <v>CONTA OPTICA</v>
      </c>
      <c r="J1331" t="str">
        <f>"COMERCIAL OTICA DA FAMILIA LTDA ME"</f>
        <v>COMERCIAL OTICA DA FAMILIA LTDA ME</v>
      </c>
      <c r="K1331" t="str">
        <f>"OTICA DA FAMILIA (1376)"</f>
        <v>OTICA DA FAMILIA (1376)</v>
      </c>
      <c r="L1331" t="str">
        <f>""</f>
        <v/>
      </c>
      <c r="M1331" t="str">
        <f>""</f>
        <v/>
      </c>
      <c r="N1331" t="str">
        <f>"oticafamilia@uol.com.br"</f>
        <v>oticafamilia@uol.com.br</v>
      </c>
      <c r="O1331" t="str">
        <f>""</f>
        <v/>
      </c>
      <c r="P1331" t="str">
        <f>"RUA GETULIO VARGAS"</f>
        <v>RUA GETULIO VARGAS</v>
      </c>
      <c r="Q1331" t="str">
        <f>"70"</f>
        <v>70</v>
      </c>
      <c r="R1331" t="str">
        <f>"S.5 - ED.SANTOS"</f>
        <v>S.5 - ED.SANTOS</v>
      </c>
      <c r="S1331" t="str">
        <f>"1262"</f>
        <v>1262</v>
      </c>
      <c r="T1331" t="str">
        <f>"88340347"</f>
        <v>88340347</v>
      </c>
      <c r="U1331" t="str">
        <f>"CENTRO"</f>
        <v>CENTRO</v>
      </c>
      <c r="V1331" t="str">
        <f>"CAMBORIÚ"</f>
        <v>CAMBORIÚ</v>
      </c>
      <c r="W1331" t="str">
        <f t="shared" si="672"/>
        <v>SC</v>
      </c>
      <c r="X1331" t="str">
        <f t="shared" si="669"/>
        <v>47</v>
      </c>
      <c r="Y1331" t="str">
        <f>"33655552"</f>
        <v>33655552</v>
      </c>
      <c r="Z1331" t="str">
        <f>""</f>
        <v/>
      </c>
      <c r="AA1331" t="str">
        <f>""</f>
        <v/>
      </c>
      <c r="AB1331" t="str">
        <f>""</f>
        <v/>
      </c>
      <c r="AC1331" t="str">
        <f>""</f>
        <v/>
      </c>
      <c r="AD1331" t="str">
        <f>""</f>
        <v/>
      </c>
      <c r="AE1331" t="str">
        <f>""</f>
        <v/>
      </c>
      <c r="AF1331" t="str">
        <f>""</f>
        <v/>
      </c>
      <c r="AG1331" t="str">
        <f>""</f>
        <v/>
      </c>
      <c r="AH1331" t="str">
        <f>""</f>
        <v/>
      </c>
      <c r="AI1331" t="str">
        <f>""</f>
        <v/>
      </c>
      <c r="AJ1331" t="str">
        <f>"0"</f>
        <v>0</v>
      </c>
      <c r="AK1331" t="str">
        <f>"0"</f>
        <v>0</v>
      </c>
      <c r="AL1331" t="str">
        <f>"0"</f>
        <v>0</v>
      </c>
      <c r="AM1331" t="str">
        <f>""</f>
        <v/>
      </c>
      <c r="AN1331" t="str">
        <f>""</f>
        <v/>
      </c>
      <c r="AO1331" t="str">
        <f>""</f>
        <v/>
      </c>
      <c r="AP1331" t="str">
        <f>""</f>
        <v/>
      </c>
      <c r="AQ1331" t="str">
        <f>""</f>
        <v/>
      </c>
      <c r="AR1331" t="str">
        <f>""</f>
        <v/>
      </c>
      <c r="AS1331" t="str">
        <f>""</f>
        <v/>
      </c>
      <c r="AT1331" t="str">
        <f>""</f>
        <v/>
      </c>
      <c r="AU1331" t="str">
        <f>""</f>
        <v/>
      </c>
      <c r="AV1331" t="str">
        <f>""</f>
        <v/>
      </c>
      <c r="AW1331" t="str">
        <f>""</f>
        <v/>
      </c>
      <c r="AX1331" t="str">
        <f>""</f>
        <v/>
      </c>
      <c r="AY1331" t="str">
        <f>""</f>
        <v/>
      </c>
      <c r="AZ1331" t="str">
        <f>""</f>
        <v/>
      </c>
      <c r="BA1331" t="str">
        <f>""</f>
        <v/>
      </c>
      <c r="BB1331" t="str">
        <f>"22/07/2020 08:24:23"</f>
        <v>22/07/2020 08:24:23</v>
      </c>
      <c r="BC1331" t="str">
        <f>""</f>
        <v/>
      </c>
      <c r="BD1331" t="str">
        <f>""</f>
        <v/>
      </c>
      <c r="BE1331" t="str">
        <f>""</f>
        <v/>
      </c>
      <c r="BF1331" t="str">
        <f t="shared" si="650"/>
        <v>A</v>
      </c>
      <c r="BG1331" t="str">
        <f>"0,00"</f>
        <v>0,00</v>
      </c>
      <c r="BH1331" t="str">
        <f>"0,00"</f>
        <v>0,00</v>
      </c>
      <c r="BI1331" t="str">
        <f t="shared" si="674"/>
        <v>EVENTUAL</v>
      </c>
      <c r="BJ1331" t="str">
        <f t="shared" si="651"/>
        <v>1</v>
      </c>
      <c r="BK1331" t="str">
        <f t="shared" si="652"/>
        <v>Farmacia</v>
      </c>
      <c r="BL1331" t="str">
        <f>""</f>
        <v/>
      </c>
      <c r="BM1331" t="str">
        <f t="shared" si="670"/>
        <v>NÃO É VARILUX ESPECIALISTA</v>
      </c>
      <c r="BN1331" t="str">
        <f t="shared" si="671"/>
        <v>NA</v>
      </c>
      <c r="BO1331" t="str">
        <f>"FOCO KODAK 2"</f>
        <v>FOCO KODAK 2</v>
      </c>
      <c r="BP1331" t="str">
        <f>""</f>
        <v/>
      </c>
      <c r="BQ1331" t="str">
        <f>""</f>
        <v/>
      </c>
      <c r="BR1331" t="str">
        <f>"22/07/2020"</f>
        <v>22/07/2020</v>
      </c>
      <c r="BS1331" t="str">
        <f>""</f>
        <v/>
      </c>
      <c r="BT1331" t="str">
        <f>""</f>
        <v/>
      </c>
      <c r="BU1331" t="str">
        <f>""</f>
        <v/>
      </c>
      <c r="BV1331" t="str">
        <f>"6"</f>
        <v>6</v>
      </c>
      <c r="BW1331" t="str">
        <f>"85"</f>
        <v>85</v>
      </c>
    </row>
    <row r="1332" spans="1:75" x14ac:dyDescent="0.35">
      <c r="A1332">
        <v>157751</v>
      </c>
      <c r="B1332" t="str">
        <f t="shared" si="647"/>
        <v>A</v>
      </c>
      <c r="C1332" t="str">
        <f t="shared" si="648"/>
        <v>80</v>
      </c>
      <c r="D1332" t="str">
        <f t="shared" si="675"/>
        <v>11121004</v>
      </c>
      <c r="E1332" t="str">
        <f t="shared" si="676"/>
        <v>121004</v>
      </c>
      <c r="F1332" t="str">
        <f t="shared" si="677"/>
        <v>FABIANA GODOY</v>
      </c>
      <c r="G1332" t="str">
        <f>"80137979000183"</f>
        <v>80137979000183</v>
      </c>
      <c r="H1332" t="str">
        <f t="shared" si="668"/>
        <v>0</v>
      </c>
      <c r="I1332" t="str">
        <f t="shared" si="649"/>
        <v>CONTA OPTICA</v>
      </c>
      <c r="J1332" t="str">
        <f>"COMERCIO DE ARTIGOS OPTICOS MG LTDA EPP"</f>
        <v>COMERCIO DE ARTIGOS OPTICOS MG LTDA EPP</v>
      </c>
      <c r="K1332" t="str">
        <f>"OTICA SOBERANA (71)"</f>
        <v>OTICA SOBERANA (71)</v>
      </c>
      <c r="L1332" t="str">
        <f>""</f>
        <v/>
      </c>
      <c r="M1332" t="str">
        <f>""</f>
        <v/>
      </c>
      <c r="N1332" t="str">
        <f>"MG@OTICASOBERANA.COM.BR"</f>
        <v>MG@OTICASOBERANA.COM.BR</v>
      </c>
      <c r="O1332" t="str">
        <f>""</f>
        <v/>
      </c>
      <c r="P1332" t="str">
        <f>"RUA HERCILIO LUZ"</f>
        <v>RUA HERCILIO LUZ</v>
      </c>
      <c r="Q1332" t="str">
        <f>"443"</f>
        <v>443</v>
      </c>
      <c r="R1332" t="str">
        <f>""</f>
        <v/>
      </c>
      <c r="S1332" t="str">
        <f>"1261"</f>
        <v>1261</v>
      </c>
      <c r="T1332" t="str">
        <f>"88301001"</f>
        <v>88301001</v>
      </c>
      <c r="U1332" t="str">
        <f>"CENTRO"</f>
        <v>CENTRO</v>
      </c>
      <c r="V1332" t="str">
        <f>"ITAJAI"</f>
        <v>ITAJAI</v>
      </c>
      <c r="W1332" t="str">
        <f t="shared" si="672"/>
        <v>SC</v>
      </c>
      <c r="X1332" t="str">
        <f t="shared" si="669"/>
        <v>47</v>
      </c>
      <c r="Y1332" t="str">
        <f>"30452425"</f>
        <v>30452425</v>
      </c>
      <c r="Z1332" t="str">
        <f>""</f>
        <v/>
      </c>
      <c r="AA1332" t="str">
        <f>""</f>
        <v/>
      </c>
      <c r="AB1332" t="str">
        <f>""</f>
        <v/>
      </c>
      <c r="AC1332" t="str">
        <f>""</f>
        <v/>
      </c>
      <c r="AD1332" t="str">
        <f>""</f>
        <v/>
      </c>
      <c r="AE1332" t="str">
        <f>""</f>
        <v/>
      </c>
      <c r="AF1332" t="str">
        <f>""</f>
        <v/>
      </c>
      <c r="AG1332" t="str">
        <f>""</f>
        <v/>
      </c>
      <c r="AH1332" t="str">
        <f>""</f>
        <v/>
      </c>
      <c r="AI1332" t="str">
        <f>""</f>
        <v/>
      </c>
      <c r="AJ1332" t="str">
        <f>""</f>
        <v/>
      </c>
      <c r="AK1332" t="str">
        <f>""</f>
        <v/>
      </c>
      <c r="AL1332" t="str">
        <f>""</f>
        <v/>
      </c>
      <c r="AM1332" t="str">
        <f>""</f>
        <v/>
      </c>
      <c r="AN1332" t="str">
        <f>""</f>
        <v/>
      </c>
      <c r="AO1332" t="str">
        <f>""</f>
        <v/>
      </c>
      <c r="AP1332" t="str">
        <f>""</f>
        <v/>
      </c>
      <c r="AQ1332" t="str">
        <f>""</f>
        <v/>
      </c>
      <c r="AR1332" t="str">
        <f>""</f>
        <v/>
      </c>
      <c r="AS1332" t="str">
        <f>""</f>
        <v/>
      </c>
      <c r="AT1332" t="str">
        <f>""</f>
        <v/>
      </c>
      <c r="AU1332" t="str">
        <f>""</f>
        <v/>
      </c>
      <c r="AV1332" t="str">
        <f>""</f>
        <v/>
      </c>
      <c r="AW1332" t="str">
        <f>""</f>
        <v/>
      </c>
      <c r="AX1332" t="str">
        <f>""</f>
        <v/>
      </c>
      <c r="AY1332" t="str">
        <f>""</f>
        <v/>
      </c>
      <c r="AZ1332" t="str">
        <f>""</f>
        <v/>
      </c>
      <c r="BA1332" t="str">
        <f>""</f>
        <v/>
      </c>
      <c r="BB1332" t="str">
        <f>"11/07/2023 02:26:32"</f>
        <v>11/07/2023 02:26:32</v>
      </c>
      <c r="BC1332" t="str">
        <f>""</f>
        <v/>
      </c>
      <c r="BD1332" t="str">
        <f>""</f>
        <v/>
      </c>
      <c r="BE1332" t="str">
        <f>""</f>
        <v/>
      </c>
      <c r="BF1332" t="str">
        <f t="shared" si="650"/>
        <v>A</v>
      </c>
      <c r="BG1332" t="str">
        <f>""</f>
        <v/>
      </c>
      <c r="BH1332" t="str">
        <f>""</f>
        <v/>
      </c>
      <c r="BI1332" t="str">
        <f t="shared" si="674"/>
        <v>EVENTUAL</v>
      </c>
      <c r="BJ1332" t="str">
        <f t="shared" si="651"/>
        <v>1</v>
      </c>
      <c r="BK1332" t="str">
        <f t="shared" si="652"/>
        <v>Farmacia</v>
      </c>
      <c r="BL1332" t="str">
        <f>""</f>
        <v/>
      </c>
      <c r="BM1332" t="str">
        <f>""</f>
        <v/>
      </c>
      <c r="BN1332" t="str">
        <f>""</f>
        <v/>
      </c>
      <c r="BO1332" t="str">
        <f>""</f>
        <v/>
      </c>
      <c r="BP1332" t="str">
        <f>""</f>
        <v/>
      </c>
      <c r="BQ1332" t="str">
        <f>""</f>
        <v/>
      </c>
      <c r="BR1332" t="str">
        <f>"11/07/2023"</f>
        <v>11/07/2023</v>
      </c>
      <c r="BS1332" t="str">
        <f>""</f>
        <v/>
      </c>
      <c r="BT1332" t="str">
        <f>""</f>
        <v/>
      </c>
      <c r="BU1332" t="str">
        <f>""</f>
        <v/>
      </c>
      <c r="BV1332" t="str">
        <f>""</f>
        <v/>
      </c>
      <c r="BW1332" t="str">
        <f>"122"</f>
        <v>122</v>
      </c>
    </row>
    <row r="1333" spans="1:75" x14ac:dyDescent="0.35">
      <c r="A1333">
        <v>157766</v>
      </c>
      <c r="B1333" t="str">
        <f t="shared" si="647"/>
        <v>A</v>
      </c>
      <c r="C1333" t="str">
        <f t="shared" si="648"/>
        <v>80</v>
      </c>
      <c r="D1333" t="str">
        <f t="shared" si="675"/>
        <v>11121004</v>
      </c>
      <c r="E1333" t="str">
        <f t="shared" si="676"/>
        <v>121004</v>
      </c>
      <c r="F1333" t="str">
        <f t="shared" si="677"/>
        <v>FABIANA GODOY</v>
      </c>
      <c r="G1333" t="str">
        <f>"49463517000106"</f>
        <v>49463517000106</v>
      </c>
      <c r="H1333" t="str">
        <f t="shared" si="668"/>
        <v>0</v>
      </c>
      <c r="I1333" t="str">
        <f t="shared" si="649"/>
        <v>CONTA OPTICA</v>
      </c>
      <c r="J1333" t="str">
        <f>"COMERCIO DE METAIS DAL MAGRO LTDA"</f>
        <v>COMERCIO DE METAIS DAL MAGRO LTDA</v>
      </c>
      <c r="K1333" t="str">
        <f>"DAL MAGRO E-COMMERCE (4679)"</f>
        <v>DAL MAGRO E-COMMERCE (4679)</v>
      </c>
      <c r="L1333" t="str">
        <f>""</f>
        <v/>
      </c>
      <c r="M1333" t="str">
        <f>""</f>
        <v/>
      </c>
      <c r="N1333" t="str">
        <f>"DALMAGROMETAIS@GMAIL.COM"</f>
        <v>DALMAGROMETAIS@GMAIL.COM</v>
      </c>
      <c r="O1333" t="str">
        <f>""</f>
        <v/>
      </c>
      <c r="P1333" t="str">
        <f>"RUA ESTEFANO JOSE VANOLLI"</f>
        <v>RUA ESTEFANO JOSE VANOLLI</v>
      </c>
      <c r="Q1333" t="str">
        <f>"1588"</f>
        <v>1588</v>
      </c>
      <c r="R1333" t="str">
        <f>"1 ANDAR SL 01"</f>
        <v>1 ANDAR SL 01</v>
      </c>
      <c r="S1333" t="str">
        <f>""</f>
        <v/>
      </c>
      <c r="T1333" t="str">
        <f>"88309201"</f>
        <v>88309201</v>
      </c>
      <c r="U1333" t="str">
        <f>"SAO VICENTE"</f>
        <v>SAO VICENTE</v>
      </c>
      <c r="V1333" t="str">
        <f>"ITAJAI"</f>
        <v>ITAJAI</v>
      </c>
      <c r="W1333" t="str">
        <f t="shared" si="672"/>
        <v>SC</v>
      </c>
      <c r="X1333" t="str">
        <f t="shared" si="669"/>
        <v>47</v>
      </c>
      <c r="Y1333" t="str">
        <f>"32480138"</f>
        <v>32480138</v>
      </c>
      <c r="Z1333" t="str">
        <f>""</f>
        <v/>
      </c>
      <c r="AA1333" t="str">
        <f>""</f>
        <v/>
      </c>
      <c r="AB1333" t="str">
        <f>""</f>
        <v/>
      </c>
      <c r="AC1333" t="str">
        <f>""</f>
        <v/>
      </c>
      <c r="AD1333" t="str">
        <f>""</f>
        <v/>
      </c>
      <c r="AE1333" t="str">
        <f>""</f>
        <v/>
      </c>
      <c r="AF1333" t="str">
        <f>""</f>
        <v/>
      </c>
      <c r="AG1333" t="str">
        <f>""</f>
        <v/>
      </c>
      <c r="AH1333" t="str">
        <f>""</f>
        <v/>
      </c>
      <c r="AI1333" t="str">
        <f>""</f>
        <v/>
      </c>
      <c r="AJ1333" t="str">
        <f>""</f>
        <v/>
      </c>
      <c r="AK1333" t="str">
        <f>""</f>
        <v/>
      </c>
      <c r="AL1333" t="str">
        <f>""</f>
        <v/>
      </c>
      <c r="AM1333" t="str">
        <f>""</f>
        <v/>
      </c>
      <c r="AN1333" t="str">
        <f>""</f>
        <v/>
      </c>
      <c r="AO1333" t="str">
        <f>""</f>
        <v/>
      </c>
      <c r="AP1333" t="str">
        <f>""</f>
        <v/>
      </c>
      <c r="AQ1333" t="str">
        <f>""</f>
        <v/>
      </c>
      <c r="AR1333" t="str">
        <f>""</f>
        <v/>
      </c>
      <c r="AS1333" t="str">
        <f>""</f>
        <v/>
      </c>
      <c r="AT1333" t="str">
        <f>""</f>
        <v/>
      </c>
      <c r="AU1333" t="str">
        <f>""</f>
        <v/>
      </c>
      <c r="AV1333" t="str">
        <f>""</f>
        <v/>
      </c>
      <c r="AW1333" t="str">
        <f>""</f>
        <v/>
      </c>
      <c r="AX1333" t="str">
        <f>""</f>
        <v/>
      </c>
      <c r="AY1333" t="str">
        <f>""</f>
        <v/>
      </c>
      <c r="AZ1333" t="str">
        <f>""</f>
        <v/>
      </c>
      <c r="BA1333" t="str">
        <f>""</f>
        <v/>
      </c>
      <c r="BB1333" t="str">
        <f>"11/07/2023 02:26:32"</f>
        <v>11/07/2023 02:26:32</v>
      </c>
      <c r="BC1333" t="str">
        <f>""</f>
        <v/>
      </c>
      <c r="BD1333" t="str">
        <f>""</f>
        <v/>
      </c>
      <c r="BE1333" t="str">
        <f>""</f>
        <v/>
      </c>
      <c r="BF1333" t="str">
        <f t="shared" si="650"/>
        <v>A</v>
      </c>
      <c r="BG1333" t="str">
        <f>""</f>
        <v/>
      </c>
      <c r="BH1333" t="str">
        <f>""</f>
        <v/>
      </c>
      <c r="BI1333" t="str">
        <f t="shared" si="674"/>
        <v>EVENTUAL</v>
      </c>
      <c r="BJ1333" t="str">
        <f t="shared" si="651"/>
        <v>1</v>
      </c>
      <c r="BK1333" t="str">
        <f t="shared" si="652"/>
        <v>Farmacia</v>
      </c>
      <c r="BL1333" t="str">
        <f>""</f>
        <v/>
      </c>
      <c r="BM1333" t="str">
        <f>""</f>
        <v/>
      </c>
      <c r="BN1333" t="str">
        <f>""</f>
        <v/>
      </c>
      <c r="BO1333" t="str">
        <f>""</f>
        <v/>
      </c>
      <c r="BP1333" t="str">
        <f>""</f>
        <v/>
      </c>
      <c r="BQ1333" t="str">
        <f>""</f>
        <v/>
      </c>
      <c r="BR1333" t="str">
        <f>"11/07/2023"</f>
        <v>11/07/2023</v>
      </c>
      <c r="BS1333" t="str">
        <f>""</f>
        <v/>
      </c>
      <c r="BT1333" t="str">
        <f>""</f>
        <v/>
      </c>
      <c r="BU1333" t="str">
        <f>""</f>
        <v/>
      </c>
      <c r="BV1333" t="str">
        <f>""</f>
        <v/>
      </c>
      <c r="BW1333" t="str">
        <f>"Não visitado"</f>
        <v>Não visitado</v>
      </c>
    </row>
    <row r="1334" spans="1:75" x14ac:dyDescent="0.35">
      <c r="A1334">
        <v>137576</v>
      </c>
      <c r="B1334" t="str">
        <f t="shared" si="647"/>
        <v>A</v>
      </c>
      <c r="C1334" t="str">
        <f t="shared" si="648"/>
        <v>80</v>
      </c>
      <c r="D1334" t="str">
        <f t="shared" si="675"/>
        <v>11121004</v>
      </c>
      <c r="E1334" t="str">
        <f t="shared" si="676"/>
        <v>121004</v>
      </c>
      <c r="F1334" t="str">
        <f t="shared" si="677"/>
        <v>FABIANA GODOY</v>
      </c>
      <c r="G1334" t="str">
        <f>"22566121000138"</f>
        <v>22566121000138</v>
      </c>
      <c r="H1334" t="str">
        <f t="shared" si="668"/>
        <v>0</v>
      </c>
      <c r="I1334" t="str">
        <f t="shared" si="649"/>
        <v>CONTA OPTICA</v>
      </c>
      <c r="J1334" t="str">
        <f>"CVC APARELHOS AUDITIVOS E OTICA EIRELI"</f>
        <v>CVC APARELHOS AUDITIVOS E OTICA EIRELI</v>
      </c>
      <c r="K1334" t="str">
        <f>"TELESOM APARELHOS AUDITIVO E OTICA (4262)"</f>
        <v>TELESOM APARELHOS AUDITIVO E OTICA (4262)</v>
      </c>
      <c r="L1334" t="str">
        <f>""</f>
        <v/>
      </c>
      <c r="M1334" t="str">
        <f>""</f>
        <v/>
      </c>
      <c r="N1334" t="str">
        <f>"oticatelesom@gmail.com"</f>
        <v>oticatelesom@gmail.com</v>
      </c>
      <c r="O1334" t="str">
        <f>""</f>
        <v/>
      </c>
      <c r="P1334" t="str">
        <f>"RUA SETE DE SETEMBRO"</f>
        <v>RUA SETE DE SETEMBRO</v>
      </c>
      <c r="Q1334" t="str">
        <f>"1108"</f>
        <v>1108</v>
      </c>
      <c r="R1334" t="str">
        <f>"SALA 01"</f>
        <v>SALA 01</v>
      </c>
      <c r="S1334" t="str">
        <f>""</f>
        <v/>
      </c>
      <c r="T1334" t="str">
        <f>"89010204"</f>
        <v>89010204</v>
      </c>
      <c r="U1334" t="str">
        <f t="shared" ref="U1334:U1340" si="678">"CENTRO"</f>
        <v>CENTRO</v>
      </c>
      <c r="V1334" t="str">
        <f>"BLUMENAU"</f>
        <v>BLUMENAU</v>
      </c>
      <c r="W1334" t="str">
        <f t="shared" si="672"/>
        <v>SC</v>
      </c>
      <c r="X1334" t="str">
        <f t="shared" si="669"/>
        <v>47</v>
      </c>
      <c r="Y1334" t="str">
        <f>"33229000"</f>
        <v>33229000</v>
      </c>
      <c r="Z1334" t="str">
        <f>""</f>
        <v/>
      </c>
      <c r="AA1334" t="str">
        <f>""</f>
        <v/>
      </c>
      <c r="AB1334" t="str">
        <f>""</f>
        <v/>
      </c>
      <c r="AC1334" t="str">
        <f>""</f>
        <v/>
      </c>
      <c r="AD1334" t="str">
        <f>""</f>
        <v/>
      </c>
      <c r="AE1334" t="str">
        <f>""</f>
        <v/>
      </c>
      <c r="AF1334" t="str">
        <f>""</f>
        <v/>
      </c>
      <c r="AG1334" t="str">
        <f>"S"</f>
        <v>S</v>
      </c>
      <c r="AH1334" t="str">
        <f>""</f>
        <v/>
      </c>
      <c r="AI1334" t="str">
        <f>""</f>
        <v/>
      </c>
      <c r="AJ1334" t="str">
        <f>""</f>
        <v/>
      </c>
      <c r="AK1334" t="str">
        <f>""</f>
        <v/>
      </c>
      <c r="AL1334" t="str">
        <f>""</f>
        <v/>
      </c>
      <c r="AM1334" t="str">
        <f>""</f>
        <v/>
      </c>
      <c r="AN1334" t="str">
        <f>""</f>
        <v/>
      </c>
      <c r="AO1334" t="str">
        <f>""</f>
        <v/>
      </c>
      <c r="AP1334" t="str">
        <f>""</f>
        <v/>
      </c>
      <c r="AQ1334" t="str">
        <f t="shared" ref="AQ1334:AU1335" si="679">"N"</f>
        <v>N</v>
      </c>
      <c r="AR1334" t="str">
        <f t="shared" si="679"/>
        <v>N</v>
      </c>
      <c r="AS1334" t="str">
        <f t="shared" si="679"/>
        <v>N</v>
      </c>
      <c r="AT1334" t="str">
        <f t="shared" si="679"/>
        <v>N</v>
      </c>
      <c r="AU1334" t="str">
        <f t="shared" si="679"/>
        <v>N</v>
      </c>
      <c r="AV1334" t="str">
        <f>""</f>
        <v/>
      </c>
      <c r="AW1334" t="str">
        <f>""</f>
        <v/>
      </c>
      <c r="AX1334" t="str">
        <f>""</f>
        <v/>
      </c>
      <c r="AY1334" t="str">
        <f>""</f>
        <v/>
      </c>
      <c r="AZ1334" t="str">
        <f>""</f>
        <v/>
      </c>
      <c r="BA1334" t="str">
        <f>""</f>
        <v/>
      </c>
      <c r="BB1334" t="str">
        <f>"01/07/2021 13:53:04"</f>
        <v>01/07/2021 13:53:04</v>
      </c>
      <c r="BC1334" t="str">
        <f>"31/01/2023 16:08:17"</f>
        <v>31/01/2023 16:08:17</v>
      </c>
      <c r="BD1334" t="str">
        <f>""</f>
        <v/>
      </c>
      <c r="BE1334" t="str">
        <f>""</f>
        <v/>
      </c>
      <c r="BF1334" t="str">
        <f t="shared" si="650"/>
        <v>A</v>
      </c>
      <c r="BG1334" t="str">
        <f>""</f>
        <v/>
      </c>
      <c r="BH1334" t="str">
        <f>"0,00"</f>
        <v>0,00</v>
      </c>
      <c r="BI1334" t="str">
        <f t="shared" si="674"/>
        <v>EVENTUAL</v>
      </c>
      <c r="BJ1334" t="str">
        <f t="shared" si="651"/>
        <v>1</v>
      </c>
      <c r="BK1334" t="str">
        <f t="shared" si="652"/>
        <v>Farmacia</v>
      </c>
      <c r="BL1334" t="str">
        <f>""</f>
        <v/>
      </c>
      <c r="BM1334" t="str">
        <f>"NÃO É VARILUX ESPECIALISTA"</f>
        <v>NÃO É VARILUX ESPECIALISTA</v>
      </c>
      <c r="BN1334" t="str">
        <f>"NA"</f>
        <v>NA</v>
      </c>
      <c r="BO1334" t="str">
        <f>"FOCO VARILUX"</f>
        <v>FOCO VARILUX</v>
      </c>
      <c r="BP1334" t="str">
        <f>""</f>
        <v/>
      </c>
      <c r="BQ1334" t="str">
        <f>""</f>
        <v/>
      </c>
      <c r="BR1334" t="str">
        <f>"01/07/2021"</f>
        <v>01/07/2021</v>
      </c>
      <c r="BS1334" t="str">
        <f>"31/01/2023"</f>
        <v>31/01/2023</v>
      </c>
      <c r="BT1334" t="str">
        <f>""</f>
        <v/>
      </c>
      <c r="BU1334" t="str">
        <f>""</f>
        <v/>
      </c>
      <c r="BV1334" t="str">
        <f>""</f>
        <v/>
      </c>
      <c r="BW1334" t="str">
        <f>"50"</f>
        <v>50</v>
      </c>
    </row>
    <row r="1335" spans="1:75" x14ac:dyDescent="0.35">
      <c r="A1335">
        <v>137577</v>
      </c>
      <c r="B1335" t="str">
        <f t="shared" si="647"/>
        <v>A</v>
      </c>
      <c r="C1335" t="str">
        <f t="shared" si="648"/>
        <v>80</v>
      </c>
      <c r="D1335" t="str">
        <f t="shared" si="675"/>
        <v>11121004</v>
      </c>
      <c r="E1335" t="str">
        <f t="shared" si="676"/>
        <v>121004</v>
      </c>
      <c r="F1335" t="str">
        <f t="shared" si="677"/>
        <v>FABIANA GODOY</v>
      </c>
      <c r="G1335" t="str">
        <f>"10865175000115"</f>
        <v>10865175000115</v>
      </c>
      <c r="H1335" t="str">
        <f t="shared" si="668"/>
        <v>0</v>
      </c>
      <c r="I1335" t="str">
        <f t="shared" si="649"/>
        <v>CONTA OPTICA</v>
      </c>
      <c r="J1335" t="str">
        <f>"CZA COMERCIO DE PRODUTOS OPTICOS LTDA EPP"</f>
        <v>CZA COMERCIO DE PRODUTOS OPTICOS LTDA EPP</v>
      </c>
      <c r="K1335" t="str">
        <f>"OPTICA VEMAIS (1669)"</f>
        <v>OPTICA VEMAIS (1669)</v>
      </c>
      <c r="L1335" t="str">
        <f>""</f>
        <v/>
      </c>
      <c r="M1335" t="str">
        <f>""</f>
        <v/>
      </c>
      <c r="N1335" t="str">
        <f>"nfe@vemaisoptica.com.br"</f>
        <v>nfe@vemaisoptica.com.br</v>
      </c>
      <c r="O1335" t="str">
        <f>""</f>
        <v/>
      </c>
      <c r="P1335" t="str">
        <f>"RUA TIJUCAS"</f>
        <v>RUA TIJUCAS</v>
      </c>
      <c r="Q1335" t="str">
        <f>"55"</f>
        <v>55</v>
      </c>
      <c r="R1335" t="str">
        <f>"CENTRO"</f>
        <v>CENTRO</v>
      </c>
      <c r="S1335" t="str">
        <f>"1261"</f>
        <v>1261</v>
      </c>
      <c r="T1335" t="str">
        <f>"88301360"</f>
        <v>88301360</v>
      </c>
      <c r="U1335" t="str">
        <f t="shared" si="678"/>
        <v>CENTRO</v>
      </c>
      <c r="V1335" t="str">
        <f>"ITAJAÍ"</f>
        <v>ITAJAÍ</v>
      </c>
      <c r="W1335" t="str">
        <f t="shared" si="672"/>
        <v>SC</v>
      </c>
      <c r="X1335" t="str">
        <f t="shared" si="669"/>
        <v>47</v>
      </c>
      <c r="Y1335" t="str">
        <f>"33496097"</f>
        <v>33496097</v>
      </c>
      <c r="Z1335" t="str">
        <f>""</f>
        <v/>
      </c>
      <c r="AA1335" t="str">
        <f>""</f>
        <v/>
      </c>
      <c r="AB1335" t="str">
        <f>""</f>
        <v/>
      </c>
      <c r="AC1335" t="str">
        <f>""</f>
        <v/>
      </c>
      <c r="AD1335" t="str">
        <f>""</f>
        <v/>
      </c>
      <c r="AE1335" t="str">
        <f>""</f>
        <v/>
      </c>
      <c r="AF1335" t="str">
        <f>""</f>
        <v/>
      </c>
      <c r="AG1335" t="str">
        <f>"S"</f>
        <v>S</v>
      </c>
      <c r="AH1335" t="str">
        <f>""</f>
        <v/>
      </c>
      <c r="AI1335" t="str">
        <f>""</f>
        <v/>
      </c>
      <c r="AJ1335" t="str">
        <f>""</f>
        <v/>
      </c>
      <c r="AK1335" t="str">
        <f>""</f>
        <v/>
      </c>
      <c r="AL1335" t="str">
        <f>""</f>
        <v/>
      </c>
      <c r="AM1335" t="str">
        <f>""</f>
        <v/>
      </c>
      <c r="AN1335" t="str">
        <f>""</f>
        <v/>
      </c>
      <c r="AO1335" t="str">
        <f>""</f>
        <v/>
      </c>
      <c r="AP1335" t="str">
        <f>""</f>
        <v/>
      </c>
      <c r="AQ1335" t="str">
        <f t="shared" si="679"/>
        <v>N</v>
      </c>
      <c r="AR1335" t="str">
        <f t="shared" si="679"/>
        <v>N</v>
      </c>
      <c r="AS1335" t="str">
        <f t="shared" si="679"/>
        <v>N</v>
      </c>
      <c r="AT1335" t="str">
        <f t="shared" si="679"/>
        <v>N</v>
      </c>
      <c r="AU1335" t="str">
        <f t="shared" si="679"/>
        <v>N</v>
      </c>
      <c r="AV1335" t="str">
        <f>""</f>
        <v/>
      </c>
      <c r="AW1335" t="str">
        <f>""</f>
        <v/>
      </c>
      <c r="AX1335" t="str">
        <f>""</f>
        <v/>
      </c>
      <c r="AY1335" t="str">
        <f>""</f>
        <v/>
      </c>
      <c r="AZ1335" t="str">
        <f>""</f>
        <v/>
      </c>
      <c r="BA1335" t="str">
        <f>""</f>
        <v/>
      </c>
      <c r="BB1335" t="str">
        <f>"01/07/2021 13:53:04"</f>
        <v>01/07/2021 13:53:04</v>
      </c>
      <c r="BC1335" t="str">
        <f>"18/04/2022 17:07:19"</f>
        <v>18/04/2022 17:07:19</v>
      </c>
      <c r="BD1335" t="str">
        <f>""</f>
        <v/>
      </c>
      <c r="BE1335" t="str">
        <f>""</f>
        <v/>
      </c>
      <c r="BF1335" t="str">
        <f t="shared" si="650"/>
        <v>A</v>
      </c>
      <c r="BG1335" t="str">
        <f>""</f>
        <v/>
      </c>
      <c r="BH1335" t="str">
        <f>"0,00"</f>
        <v>0,00</v>
      </c>
      <c r="BI1335" t="str">
        <f t="shared" si="674"/>
        <v>EVENTUAL</v>
      </c>
      <c r="BJ1335" t="str">
        <f t="shared" si="651"/>
        <v>1</v>
      </c>
      <c r="BK1335" t="str">
        <f t="shared" si="652"/>
        <v>Farmacia</v>
      </c>
      <c r="BL1335" t="str">
        <f>""</f>
        <v/>
      </c>
      <c r="BM1335" t="str">
        <f>"CREDENCIADO VARILUX"</f>
        <v>CREDENCIADO VARILUX</v>
      </c>
      <c r="BN1335" t="str">
        <f>"EL360"</f>
        <v>EL360</v>
      </c>
      <c r="BO1335" t="str">
        <f>"FOCO VARILUX DIGITAL"</f>
        <v>FOCO VARILUX DIGITAL</v>
      </c>
      <c r="BP1335" t="str">
        <f>""</f>
        <v/>
      </c>
      <c r="BQ1335" t="str">
        <f>""</f>
        <v/>
      </c>
      <c r="BR1335" t="str">
        <f>"01/07/2021"</f>
        <v>01/07/2021</v>
      </c>
      <c r="BS1335" t="str">
        <f>"18/04/2022"</f>
        <v>18/04/2022</v>
      </c>
      <c r="BT1335" t="str">
        <f>""</f>
        <v/>
      </c>
      <c r="BU1335" t="str">
        <f>""</f>
        <v/>
      </c>
      <c r="BV1335" t="str">
        <f>""</f>
        <v/>
      </c>
      <c r="BW1335" t="str">
        <f>"7"</f>
        <v>7</v>
      </c>
    </row>
    <row r="1336" spans="1:75" x14ac:dyDescent="0.35">
      <c r="A1336">
        <v>151581</v>
      </c>
      <c r="B1336" t="str">
        <f t="shared" si="647"/>
        <v>A</v>
      </c>
      <c r="C1336" t="str">
        <f t="shared" si="648"/>
        <v>80</v>
      </c>
      <c r="D1336" t="str">
        <f t="shared" si="675"/>
        <v>11121004</v>
      </c>
      <c r="E1336" t="str">
        <f t="shared" si="676"/>
        <v>121004</v>
      </c>
      <c r="F1336" t="str">
        <f t="shared" si="677"/>
        <v>FABIANA GODOY</v>
      </c>
      <c r="G1336" t="str">
        <f>"23108423000206"</f>
        <v>23108423000206</v>
      </c>
      <c r="H1336" t="str">
        <f t="shared" si="668"/>
        <v>0</v>
      </c>
      <c r="I1336" t="str">
        <f t="shared" si="649"/>
        <v>CONTA OPTICA</v>
      </c>
      <c r="J1336" t="str">
        <f>"D W OTICA LTDA - ME"</f>
        <v>D W OTICA LTDA - ME</v>
      </c>
      <c r="K1336" t="str">
        <f>"OTICA CATARINENSE (3823)"</f>
        <v>OTICA CATARINENSE (3823)</v>
      </c>
      <c r="L1336" t="str">
        <f>""</f>
        <v/>
      </c>
      <c r="M1336" t="str">
        <f>""</f>
        <v/>
      </c>
      <c r="N1336" t="str">
        <f>"fabricadeoculosescritorio@gmail.com"</f>
        <v>fabricadeoculosescritorio@gmail.com</v>
      </c>
      <c r="O1336" t="str">
        <f>""</f>
        <v/>
      </c>
      <c r="P1336" t="str">
        <f>"RUA MARECHAL JOSE B. BORMANN - E"</f>
        <v>RUA MARECHAL JOSE B. BORMANN - E</v>
      </c>
      <c r="Q1336" t="str">
        <f>"240 E"</f>
        <v>240 E</v>
      </c>
      <c r="R1336" t="str">
        <f>""</f>
        <v/>
      </c>
      <c r="S1336" t="str">
        <f>"1287"</f>
        <v>1287</v>
      </c>
      <c r="T1336" t="str">
        <f>"89802120"</f>
        <v>89802120</v>
      </c>
      <c r="U1336" t="str">
        <f t="shared" si="678"/>
        <v>CENTRO</v>
      </c>
      <c r="V1336" t="str">
        <f>"CHAPECO"</f>
        <v>CHAPECO</v>
      </c>
      <c r="W1336" t="str">
        <f t="shared" si="672"/>
        <v>SC</v>
      </c>
      <c r="X1336" t="str">
        <f>"49"</f>
        <v>49</v>
      </c>
      <c r="Y1336" t="str">
        <f>"33120909"</f>
        <v>33120909</v>
      </c>
      <c r="Z1336" t="str">
        <f>""</f>
        <v/>
      </c>
      <c r="AA1336" t="str">
        <f>""</f>
        <v/>
      </c>
      <c r="AB1336" t="str">
        <f>""</f>
        <v/>
      </c>
      <c r="AC1336" t="str">
        <f>""</f>
        <v/>
      </c>
      <c r="AD1336" t="str">
        <f>""</f>
        <v/>
      </c>
      <c r="AE1336" t="str">
        <f>""</f>
        <v/>
      </c>
      <c r="AF1336" t="str">
        <f>""</f>
        <v/>
      </c>
      <c r="AG1336" t="str">
        <f>""</f>
        <v/>
      </c>
      <c r="AH1336" t="str">
        <f>""</f>
        <v/>
      </c>
      <c r="AI1336" t="str">
        <f>""</f>
        <v/>
      </c>
      <c r="AJ1336" t="str">
        <f>""</f>
        <v/>
      </c>
      <c r="AK1336" t="str">
        <f>""</f>
        <v/>
      </c>
      <c r="AL1336" t="str">
        <f>""</f>
        <v/>
      </c>
      <c r="AM1336" t="str">
        <f>""</f>
        <v/>
      </c>
      <c r="AN1336" t="str">
        <f>""</f>
        <v/>
      </c>
      <c r="AO1336" t="str">
        <f>""</f>
        <v/>
      </c>
      <c r="AP1336" t="str">
        <f>""</f>
        <v/>
      </c>
      <c r="AQ1336" t="str">
        <f>""</f>
        <v/>
      </c>
      <c r="AR1336" t="str">
        <f>""</f>
        <v/>
      </c>
      <c r="AS1336" t="str">
        <f>""</f>
        <v/>
      </c>
      <c r="AT1336" t="str">
        <f>""</f>
        <v/>
      </c>
      <c r="AU1336" t="str">
        <f>""</f>
        <v/>
      </c>
      <c r="AV1336" t="str">
        <f>""</f>
        <v/>
      </c>
      <c r="AW1336" t="str">
        <f>""</f>
        <v/>
      </c>
      <c r="AX1336" t="str">
        <f>""</f>
        <v/>
      </c>
      <c r="AY1336" t="str">
        <f>""</f>
        <v/>
      </c>
      <c r="AZ1336" t="str">
        <f>""</f>
        <v/>
      </c>
      <c r="BA1336" t="str">
        <f>""</f>
        <v/>
      </c>
      <c r="BB1336" t="str">
        <f>"28/10/2022 14:20:33"</f>
        <v>28/10/2022 14:20:33</v>
      </c>
      <c r="BC1336" t="str">
        <f>""</f>
        <v/>
      </c>
      <c r="BD1336" t="str">
        <f>""</f>
        <v/>
      </c>
      <c r="BE1336" t="str">
        <f>""</f>
        <v/>
      </c>
      <c r="BF1336" t="str">
        <f t="shared" si="650"/>
        <v>A</v>
      </c>
      <c r="BG1336" t="str">
        <f>""</f>
        <v/>
      </c>
      <c r="BH1336" t="str">
        <f>""</f>
        <v/>
      </c>
      <c r="BI1336" t="str">
        <f t="shared" si="674"/>
        <v>EVENTUAL</v>
      </c>
      <c r="BJ1336" t="str">
        <f t="shared" si="651"/>
        <v>1</v>
      </c>
      <c r="BK1336" t="str">
        <f t="shared" si="652"/>
        <v>Farmacia</v>
      </c>
      <c r="BL1336" t="str">
        <f>""</f>
        <v/>
      </c>
      <c r="BM1336" t="str">
        <f>""</f>
        <v/>
      </c>
      <c r="BN1336" t="str">
        <f>""</f>
        <v/>
      </c>
      <c r="BO1336" t="str">
        <f>""</f>
        <v/>
      </c>
      <c r="BP1336" t="str">
        <f>""</f>
        <v/>
      </c>
      <c r="BQ1336" t="str">
        <f>""</f>
        <v/>
      </c>
      <c r="BR1336" t="str">
        <f>"28/10/2022"</f>
        <v>28/10/2022</v>
      </c>
      <c r="BS1336" t="str">
        <f>""</f>
        <v/>
      </c>
      <c r="BT1336" t="str">
        <f>""</f>
        <v/>
      </c>
      <c r="BU1336" t="str">
        <f>""</f>
        <v/>
      </c>
      <c r="BV1336" t="str">
        <f>""</f>
        <v/>
      </c>
      <c r="BW1336" t="str">
        <f>"Não visitado"</f>
        <v>Não visitado</v>
      </c>
    </row>
    <row r="1337" spans="1:75" x14ac:dyDescent="0.35">
      <c r="A1337">
        <v>157097</v>
      </c>
      <c r="B1337" t="str">
        <f t="shared" si="647"/>
        <v>A</v>
      </c>
      <c r="C1337" t="str">
        <f t="shared" si="648"/>
        <v>80</v>
      </c>
      <c r="D1337" t="str">
        <f t="shared" si="675"/>
        <v>11121004</v>
      </c>
      <c r="E1337" t="str">
        <f t="shared" si="676"/>
        <v>121004</v>
      </c>
      <c r="F1337" t="str">
        <f t="shared" si="677"/>
        <v>FABIANA GODOY</v>
      </c>
      <c r="G1337" t="str">
        <f>"47124671000128"</f>
        <v>47124671000128</v>
      </c>
      <c r="H1337" t="str">
        <f t="shared" si="668"/>
        <v>0</v>
      </c>
      <c r="I1337" t="str">
        <f t="shared" si="649"/>
        <v>CONTA OPTICA</v>
      </c>
      <c r="J1337" t="str">
        <f>"DANDI COMERCIO DE OCULOS E ACESSORIOS LTDA"</f>
        <v>DANDI COMERCIO DE OCULOS E ACESSORIOS LTDA</v>
      </c>
      <c r="K1337" t="str">
        <f>"OUTLET DOS OCULOS (4579)"</f>
        <v>OUTLET DOS OCULOS (4579)</v>
      </c>
      <c r="L1337" t="str">
        <f>""</f>
        <v/>
      </c>
      <c r="M1337" t="str">
        <f>""</f>
        <v/>
      </c>
      <c r="N1337" t="str">
        <f>"OUTLETDOSOCULOSITAJAI@GMAIL.COM"</f>
        <v>OUTLETDOSOCULOSITAJAI@GMAIL.COM</v>
      </c>
      <c r="O1337" t="str">
        <f>""</f>
        <v/>
      </c>
      <c r="P1337" t="str">
        <f>"RUA DOUTOR JOSE BONIFACIO MALBURG"</f>
        <v>RUA DOUTOR JOSE BONIFACIO MALBURG</v>
      </c>
      <c r="Q1337" t="str">
        <f>"540"</f>
        <v>540</v>
      </c>
      <c r="R1337" t="str">
        <f>"SALA 02"</f>
        <v>SALA 02</v>
      </c>
      <c r="S1337" t="str">
        <f>"1261"</f>
        <v>1261</v>
      </c>
      <c r="T1337" t="str">
        <f>"88301350"</f>
        <v>88301350</v>
      </c>
      <c r="U1337" t="str">
        <f t="shared" si="678"/>
        <v>CENTRO</v>
      </c>
      <c r="V1337" t="str">
        <f>"ITAJAÍ"</f>
        <v>ITAJAÍ</v>
      </c>
      <c r="W1337" t="str">
        <f t="shared" si="672"/>
        <v>SC</v>
      </c>
      <c r="X1337" t="str">
        <f>"47"</f>
        <v>47</v>
      </c>
      <c r="Y1337" t="str">
        <f>"21251283"</f>
        <v>21251283</v>
      </c>
      <c r="Z1337" t="str">
        <f>""</f>
        <v/>
      </c>
      <c r="AA1337" t="str">
        <f>""</f>
        <v/>
      </c>
      <c r="AB1337" t="str">
        <f>""</f>
        <v/>
      </c>
      <c r="AC1337" t="str">
        <f>""</f>
        <v/>
      </c>
      <c r="AD1337" t="str">
        <f>""</f>
        <v/>
      </c>
      <c r="AE1337" t="str">
        <f>""</f>
        <v/>
      </c>
      <c r="AF1337" t="str">
        <f>""</f>
        <v/>
      </c>
      <c r="AG1337" t="str">
        <f>"S"</f>
        <v>S</v>
      </c>
      <c r="AH1337" t="str">
        <f>""</f>
        <v/>
      </c>
      <c r="AI1337" t="str">
        <f>""</f>
        <v/>
      </c>
      <c r="AJ1337" t="str">
        <f>""</f>
        <v/>
      </c>
      <c r="AK1337" t="str">
        <f>""</f>
        <v/>
      </c>
      <c r="AL1337" t="str">
        <f>""</f>
        <v/>
      </c>
      <c r="AM1337" t="str">
        <f>""</f>
        <v/>
      </c>
      <c r="AN1337" t="str">
        <f>""</f>
        <v/>
      </c>
      <c r="AO1337" t="str">
        <f>""</f>
        <v/>
      </c>
      <c r="AP1337" t="str">
        <f>""</f>
        <v/>
      </c>
      <c r="AQ1337" t="str">
        <f>"N"</f>
        <v>N</v>
      </c>
      <c r="AR1337" t="str">
        <f>"N"</f>
        <v>N</v>
      </c>
      <c r="AS1337" t="str">
        <f>"N"</f>
        <v>N</v>
      </c>
      <c r="AT1337" t="str">
        <f>"N"</f>
        <v>N</v>
      </c>
      <c r="AU1337" t="str">
        <f>"N"</f>
        <v>N</v>
      </c>
      <c r="AV1337" t="str">
        <f>""</f>
        <v/>
      </c>
      <c r="AW1337" t="str">
        <f>""</f>
        <v/>
      </c>
      <c r="AX1337" t="str">
        <f>""</f>
        <v/>
      </c>
      <c r="AY1337" t="str">
        <f>""</f>
        <v/>
      </c>
      <c r="AZ1337" t="str">
        <f>""</f>
        <v/>
      </c>
      <c r="BA1337" t="str">
        <f>""</f>
        <v/>
      </c>
      <c r="BB1337" t="str">
        <f>"06/07/2023 12:07:48"</f>
        <v>06/07/2023 12:07:48</v>
      </c>
      <c r="BC1337" t="str">
        <f>"07/07/2023 11:35:53"</f>
        <v>07/07/2023 11:35:53</v>
      </c>
      <c r="BD1337" t="str">
        <f>""</f>
        <v/>
      </c>
      <c r="BE1337" t="str">
        <f>""</f>
        <v/>
      </c>
      <c r="BF1337" t="str">
        <f t="shared" si="650"/>
        <v>A</v>
      </c>
      <c r="BG1337" t="str">
        <f>""</f>
        <v/>
      </c>
      <c r="BH1337" t="str">
        <f>"0,00"</f>
        <v>0,00</v>
      </c>
      <c r="BI1337" t="str">
        <f t="shared" si="674"/>
        <v>EVENTUAL</v>
      </c>
      <c r="BJ1337" t="str">
        <f t="shared" si="651"/>
        <v>1</v>
      </c>
      <c r="BK1337" t="str">
        <f t="shared" si="652"/>
        <v>Farmacia</v>
      </c>
      <c r="BL1337" t="str">
        <f>""</f>
        <v/>
      </c>
      <c r="BM1337" t="str">
        <f>""</f>
        <v/>
      </c>
      <c r="BN1337" t="str">
        <f>""</f>
        <v/>
      </c>
      <c r="BO1337" t="str">
        <f>""</f>
        <v/>
      </c>
      <c r="BP1337" t="str">
        <f>""</f>
        <v/>
      </c>
      <c r="BQ1337" t="str">
        <f>""</f>
        <v/>
      </c>
      <c r="BR1337" t="str">
        <f>"06/07/2023"</f>
        <v>06/07/2023</v>
      </c>
      <c r="BS1337" t="str">
        <f>"07/07/2023"</f>
        <v>07/07/2023</v>
      </c>
      <c r="BT1337" t="str">
        <f>""</f>
        <v/>
      </c>
      <c r="BU1337" t="str">
        <f>""</f>
        <v/>
      </c>
      <c r="BV1337" t="str">
        <f>""</f>
        <v/>
      </c>
      <c r="BW1337" t="str">
        <f>"4"</f>
        <v>4</v>
      </c>
    </row>
    <row r="1338" spans="1:75" x14ac:dyDescent="0.35">
      <c r="A1338">
        <v>157077</v>
      </c>
      <c r="B1338" t="str">
        <f t="shared" si="647"/>
        <v>A</v>
      </c>
      <c r="C1338" t="str">
        <f t="shared" si="648"/>
        <v>80</v>
      </c>
      <c r="D1338" t="str">
        <f t="shared" si="675"/>
        <v>11121004</v>
      </c>
      <c r="E1338" t="str">
        <f t="shared" si="676"/>
        <v>121004</v>
      </c>
      <c r="F1338" t="str">
        <f t="shared" si="677"/>
        <v>FABIANA GODOY</v>
      </c>
      <c r="G1338" t="str">
        <f>"79308649000205"</f>
        <v>79308649000205</v>
      </c>
      <c r="H1338" t="str">
        <f t="shared" si="668"/>
        <v>0</v>
      </c>
      <c r="I1338" t="str">
        <f t="shared" si="649"/>
        <v>CONTA OPTICA</v>
      </c>
      <c r="J1338" t="str">
        <f>"DANIEL DUARTE ME"</f>
        <v>DANIEL DUARTE ME</v>
      </c>
      <c r="K1338" t="str">
        <f>"DANIEL DUARTE ME (1377)"</f>
        <v>DANIEL DUARTE ME (1377)</v>
      </c>
      <c r="L1338" t="str">
        <f>""</f>
        <v/>
      </c>
      <c r="M1338" t="str">
        <f>""</f>
        <v/>
      </c>
      <c r="N1338" t="str">
        <f>""</f>
        <v/>
      </c>
      <c r="O1338" t="str">
        <f>""</f>
        <v/>
      </c>
      <c r="P1338" t="str">
        <f>"RUA QUINTINO BOCAIUVA"</f>
        <v>RUA QUINTINO BOCAIUVA</v>
      </c>
      <c r="Q1338" t="str">
        <f>"75"</f>
        <v>75</v>
      </c>
      <c r="R1338" t="str">
        <f>"SALA 3"</f>
        <v>SALA 3</v>
      </c>
      <c r="S1338" t="str">
        <f>"1275"</f>
        <v>1275</v>
      </c>
      <c r="T1338" t="str">
        <f>"89135000"</f>
        <v>89135000</v>
      </c>
      <c r="U1338" t="str">
        <f t="shared" si="678"/>
        <v>CENTRO</v>
      </c>
      <c r="V1338" t="str">
        <f>"APIUNA"</f>
        <v>APIUNA</v>
      </c>
      <c r="W1338" t="str">
        <f t="shared" si="672"/>
        <v>SC</v>
      </c>
      <c r="X1338" t="str">
        <f>"47"</f>
        <v>47</v>
      </c>
      <c r="Y1338" t="str">
        <f>"33530351"</f>
        <v>33530351</v>
      </c>
      <c r="Z1338" t="str">
        <f>""</f>
        <v/>
      </c>
      <c r="AA1338" t="str">
        <f>""</f>
        <v/>
      </c>
      <c r="AB1338" t="str">
        <f>""</f>
        <v/>
      </c>
      <c r="AC1338" t="str">
        <f>""</f>
        <v/>
      </c>
      <c r="AD1338" t="str">
        <f>""</f>
        <v/>
      </c>
      <c r="AE1338" t="str">
        <f>""</f>
        <v/>
      </c>
      <c r="AF1338" t="str">
        <f>""</f>
        <v/>
      </c>
      <c r="AG1338" t="str">
        <f>""</f>
        <v/>
      </c>
      <c r="AH1338" t="str">
        <f>""</f>
        <v/>
      </c>
      <c r="AI1338" t="str">
        <f>""</f>
        <v/>
      </c>
      <c r="AJ1338" t="str">
        <f>""</f>
        <v/>
      </c>
      <c r="AK1338" t="str">
        <f>""</f>
        <v/>
      </c>
      <c r="AL1338" t="str">
        <f>""</f>
        <v/>
      </c>
      <c r="AM1338" t="str">
        <f>""</f>
        <v/>
      </c>
      <c r="AN1338" t="str">
        <f>""</f>
        <v/>
      </c>
      <c r="AO1338" t="str">
        <f>""</f>
        <v/>
      </c>
      <c r="AP1338" t="str">
        <f>""</f>
        <v/>
      </c>
      <c r="AQ1338" t="str">
        <f>""</f>
        <v/>
      </c>
      <c r="AR1338" t="str">
        <f>""</f>
        <v/>
      </c>
      <c r="AS1338" t="str">
        <f>""</f>
        <v/>
      </c>
      <c r="AT1338" t="str">
        <f>""</f>
        <v/>
      </c>
      <c r="AU1338" t="str">
        <f>""</f>
        <v/>
      </c>
      <c r="AV1338" t="str">
        <f>""</f>
        <v/>
      </c>
      <c r="AW1338" t="str">
        <f>""</f>
        <v/>
      </c>
      <c r="AX1338" t="str">
        <f>""</f>
        <v/>
      </c>
      <c r="AY1338" t="str">
        <f>""</f>
        <v/>
      </c>
      <c r="AZ1338" t="str">
        <f>""</f>
        <v/>
      </c>
      <c r="BA1338" t="str">
        <f>""</f>
        <v/>
      </c>
      <c r="BB1338" t="str">
        <f>"06/07/2023 12:07:48"</f>
        <v>06/07/2023 12:07:48</v>
      </c>
      <c r="BC1338" t="str">
        <f>""</f>
        <v/>
      </c>
      <c r="BD1338" t="str">
        <f>""</f>
        <v/>
      </c>
      <c r="BE1338" t="str">
        <f>""</f>
        <v/>
      </c>
      <c r="BF1338" t="str">
        <f t="shared" si="650"/>
        <v>A</v>
      </c>
      <c r="BG1338" t="str">
        <f>""</f>
        <v/>
      </c>
      <c r="BH1338" t="str">
        <f>""</f>
        <v/>
      </c>
      <c r="BI1338" t="str">
        <f t="shared" si="674"/>
        <v>EVENTUAL</v>
      </c>
      <c r="BJ1338" t="str">
        <f t="shared" si="651"/>
        <v>1</v>
      </c>
      <c r="BK1338" t="str">
        <f t="shared" si="652"/>
        <v>Farmacia</v>
      </c>
      <c r="BL1338" t="str">
        <f>""</f>
        <v/>
      </c>
      <c r="BM1338" t="str">
        <f>""</f>
        <v/>
      </c>
      <c r="BN1338" t="str">
        <f>""</f>
        <v/>
      </c>
      <c r="BO1338" t="str">
        <f>""</f>
        <v/>
      </c>
      <c r="BP1338" t="str">
        <f>""</f>
        <v/>
      </c>
      <c r="BQ1338" t="str">
        <f>""</f>
        <v/>
      </c>
      <c r="BR1338" t="str">
        <f>"06/07/2023"</f>
        <v>06/07/2023</v>
      </c>
      <c r="BS1338" t="str">
        <f>""</f>
        <v/>
      </c>
      <c r="BT1338" t="str">
        <f>""</f>
        <v/>
      </c>
      <c r="BU1338" t="str">
        <f>""</f>
        <v/>
      </c>
      <c r="BV1338" t="str">
        <f>""</f>
        <v/>
      </c>
      <c r="BW1338" t="str">
        <f>"119"</f>
        <v>119</v>
      </c>
    </row>
    <row r="1339" spans="1:75" x14ac:dyDescent="0.35">
      <c r="A1339">
        <v>137578</v>
      </c>
      <c r="B1339" t="str">
        <f t="shared" si="647"/>
        <v>A</v>
      </c>
      <c r="C1339" t="str">
        <f t="shared" si="648"/>
        <v>80</v>
      </c>
      <c r="D1339" t="str">
        <f t="shared" si="675"/>
        <v>11121004</v>
      </c>
      <c r="E1339" t="str">
        <f t="shared" si="676"/>
        <v>121004</v>
      </c>
      <c r="F1339" t="str">
        <f t="shared" si="677"/>
        <v>FABIANA GODOY</v>
      </c>
      <c r="G1339" t="str">
        <f>"79308649000124"</f>
        <v>79308649000124</v>
      </c>
      <c r="H1339" t="str">
        <f t="shared" si="668"/>
        <v>0</v>
      </c>
      <c r="I1339" t="str">
        <f t="shared" si="649"/>
        <v>CONTA OPTICA</v>
      </c>
      <c r="J1339" t="str">
        <f>"DANIEL DUARTE ME"</f>
        <v>DANIEL DUARTE ME</v>
      </c>
      <c r="K1339" t="str">
        <f>"DANIEL DUARTE ME (99)"</f>
        <v>DANIEL DUARTE ME (99)</v>
      </c>
      <c r="L1339" t="str">
        <f>""</f>
        <v/>
      </c>
      <c r="M1339" t="str">
        <f>""</f>
        <v/>
      </c>
      <c r="N1339" t="str">
        <f>"oticaduarte@hotmail.com"</f>
        <v>oticaduarte@hotmail.com</v>
      </c>
      <c r="O1339" t="str">
        <f>""</f>
        <v/>
      </c>
      <c r="P1339" t="str">
        <f>"RUA BENJAMIM CONSTANT"</f>
        <v>RUA BENJAMIM CONSTANT</v>
      </c>
      <c r="Q1339" t="str">
        <f>"193"</f>
        <v>193</v>
      </c>
      <c r="R1339" t="str">
        <f>""</f>
        <v/>
      </c>
      <c r="S1339" t="str">
        <f>"1275"</f>
        <v>1275</v>
      </c>
      <c r="T1339" t="str">
        <f>"89138000"</f>
        <v>89138000</v>
      </c>
      <c r="U1339" t="str">
        <f t="shared" si="678"/>
        <v>CENTRO</v>
      </c>
      <c r="V1339" t="str">
        <f>"ASCURRA"</f>
        <v>ASCURRA</v>
      </c>
      <c r="W1339" t="str">
        <f t="shared" si="672"/>
        <v>SC</v>
      </c>
      <c r="X1339" t="str">
        <f>"47"</f>
        <v>47</v>
      </c>
      <c r="Y1339" t="str">
        <f>"33830300"</f>
        <v>33830300</v>
      </c>
      <c r="Z1339" t="str">
        <f>""</f>
        <v/>
      </c>
      <c r="AA1339" t="str">
        <f>""</f>
        <v/>
      </c>
      <c r="AB1339" t="str">
        <f>""</f>
        <v/>
      </c>
      <c r="AC1339" t="str">
        <f>""</f>
        <v/>
      </c>
      <c r="AD1339" t="str">
        <f>""</f>
        <v/>
      </c>
      <c r="AE1339" t="str">
        <f>""</f>
        <v/>
      </c>
      <c r="AF1339" t="str">
        <f>""</f>
        <v/>
      </c>
      <c r="AG1339" t="str">
        <f>"S"</f>
        <v>S</v>
      </c>
      <c r="AH1339" t="str">
        <f>""</f>
        <v/>
      </c>
      <c r="AI1339" t="str">
        <f>""</f>
        <v/>
      </c>
      <c r="AJ1339" t="str">
        <f>""</f>
        <v/>
      </c>
      <c r="AK1339" t="str">
        <f>""</f>
        <v/>
      </c>
      <c r="AL1339" t="str">
        <f>""</f>
        <v/>
      </c>
      <c r="AM1339" t="str">
        <f>""</f>
        <v/>
      </c>
      <c r="AN1339" t="str">
        <f>""</f>
        <v/>
      </c>
      <c r="AO1339" t="str">
        <f>""</f>
        <v/>
      </c>
      <c r="AP1339" t="str">
        <f>""</f>
        <v/>
      </c>
      <c r="AQ1339" t="str">
        <f t="shared" ref="AQ1339:AU1342" si="680">"N"</f>
        <v>N</v>
      </c>
      <c r="AR1339" t="str">
        <f t="shared" si="680"/>
        <v>N</v>
      </c>
      <c r="AS1339" t="str">
        <f t="shared" si="680"/>
        <v>N</v>
      </c>
      <c r="AT1339" t="str">
        <f t="shared" si="680"/>
        <v>N</v>
      </c>
      <c r="AU1339" t="str">
        <f t="shared" si="680"/>
        <v>N</v>
      </c>
      <c r="AV1339" t="str">
        <f>""</f>
        <v/>
      </c>
      <c r="AW1339" t="str">
        <f>""</f>
        <v/>
      </c>
      <c r="AX1339" t="str">
        <f>""</f>
        <v/>
      </c>
      <c r="AY1339" t="str">
        <f>""</f>
        <v/>
      </c>
      <c r="AZ1339" t="str">
        <f>""</f>
        <v/>
      </c>
      <c r="BA1339" t="str">
        <f>""</f>
        <v/>
      </c>
      <c r="BB1339" t="str">
        <f>"01/07/2021 13:53:04"</f>
        <v>01/07/2021 13:53:04</v>
      </c>
      <c r="BC1339" t="str">
        <f>"11/03/2022 14:42:05"</f>
        <v>11/03/2022 14:42:05</v>
      </c>
      <c r="BD1339" t="str">
        <f>""</f>
        <v/>
      </c>
      <c r="BE1339" t="str">
        <f>""</f>
        <v/>
      </c>
      <c r="BF1339" t="str">
        <f t="shared" si="650"/>
        <v>A</v>
      </c>
      <c r="BG1339" t="str">
        <f>""</f>
        <v/>
      </c>
      <c r="BH1339" t="str">
        <f>"0,00"</f>
        <v>0,00</v>
      </c>
      <c r="BI1339" t="str">
        <f t="shared" si="674"/>
        <v>EVENTUAL</v>
      </c>
      <c r="BJ1339" t="str">
        <f t="shared" si="651"/>
        <v>1</v>
      </c>
      <c r="BK1339" t="str">
        <f t="shared" si="652"/>
        <v>Farmacia</v>
      </c>
      <c r="BL1339" t="str">
        <f>""</f>
        <v/>
      </c>
      <c r="BM1339" t="str">
        <f>"NÃO É VARILUX ESPECIALISTA"</f>
        <v>NÃO É VARILUX ESPECIALISTA</v>
      </c>
      <c r="BN1339" t="str">
        <f>"NA"</f>
        <v>NA</v>
      </c>
      <c r="BO1339" t="str">
        <f>"FOCO VARILUX"</f>
        <v>FOCO VARILUX</v>
      </c>
      <c r="BP1339" t="str">
        <f>""</f>
        <v/>
      </c>
      <c r="BQ1339" t="str">
        <f>""</f>
        <v/>
      </c>
      <c r="BR1339" t="str">
        <f>"01/07/2021"</f>
        <v>01/07/2021</v>
      </c>
      <c r="BS1339" t="str">
        <f>"11/03/2022"</f>
        <v>11/03/2022</v>
      </c>
      <c r="BT1339" t="str">
        <f>""</f>
        <v/>
      </c>
      <c r="BU1339" t="str">
        <f>""</f>
        <v/>
      </c>
      <c r="BV1339" t="str">
        <f>""</f>
        <v/>
      </c>
      <c r="BW1339" t="str">
        <f>"119"</f>
        <v>119</v>
      </c>
    </row>
    <row r="1340" spans="1:75" x14ac:dyDescent="0.35">
      <c r="A1340">
        <v>137580</v>
      </c>
      <c r="B1340" t="str">
        <f t="shared" si="647"/>
        <v>A</v>
      </c>
      <c r="C1340" t="str">
        <f t="shared" si="648"/>
        <v>80</v>
      </c>
      <c r="D1340" t="str">
        <f t="shared" si="675"/>
        <v>11121004</v>
      </c>
      <c r="E1340" t="str">
        <f t="shared" si="676"/>
        <v>121004</v>
      </c>
      <c r="F1340" t="str">
        <f t="shared" si="677"/>
        <v>FABIANA GODOY</v>
      </c>
      <c r="G1340" t="str">
        <f>"33509269000157"</f>
        <v>33509269000157</v>
      </c>
      <c r="H1340" t="str">
        <f t="shared" si="668"/>
        <v>0</v>
      </c>
      <c r="I1340" t="str">
        <f t="shared" si="649"/>
        <v>CONTA OPTICA</v>
      </c>
      <c r="J1340" t="str">
        <f>"DANJU JOIAS E BIJUTERIAS EIRELI"</f>
        <v>DANJU JOIAS E BIJUTERIAS EIRELI</v>
      </c>
      <c r="K1340" t="str">
        <f>"DANJU JOIAS (4082)"</f>
        <v>DANJU JOIAS (4082)</v>
      </c>
      <c r="L1340" t="str">
        <f>""</f>
        <v/>
      </c>
      <c r="M1340" t="str">
        <f>""</f>
        <v/>
      </c>
      <c r="N1340" t="str">
        <f>"danjujoalheriaeotica@gmail.com"</f>
        <v>danjujoalheriaeotica@gmail.com</v>
      </c>
      <c r="O1340" t="str">
        <f>""</f>
        <v/>
      </c>
      <c r="P1340" t="str">
        <f>"RUA BAYER FILHO"</f>
        <v>RUA BAYER FILHO</v>
      </c>
      <c r="Q1340" t="str">
        <f>"853"</f>
        <v>853</v>
      </c>
      <c r="R1340" t="str">
        <f>"BOX 2-A"</f>
        <v>BOX 2-A</v>
      </c>
      <c r="S1340" t="str">
        <f>"1260"</f>
        <v>1260</v>
      </c>
      <c r="T1340" t="str">
        <f>"88200000"</f>
        <v>88200000</v>
      </c>
      <c r="U1340" t="str">
        <f t="shared" si="678"/>
        <v>CENTRO</v>
      </c>
      <c r="V1340" t="str">
        <f>"TIJUCAS"</f>
        <v>TIJUCAS</v>
      </c>
      <c r="W1340" t="str">
        <f t="shared" si="672"/>
        <v>SC</v>
      </c>
      <c r="X1340" t="str">
        <f>"48"</f>
        <v>48</v>
      </c>
      <c r="Y1340" t="str">
        <f>"32634624"</f>
        <v>32634624</v>
      </c>
      <c r="Z1340" t="str">
        <f>""</f>
        <v/>
      </c>
      <c r="AA1340" t="str">
        <f>""</f>
        <v/>
      </c>
      <c r="AB1340" t="str">
        <f>""</f>
        <v/>
      </c>
      <c r="AC1340" t="str">
        <f>""</f>
        <v/>
      </c>
      <c r="AD1340" t="str">
        <f>""</f>
        <v/>
      </c>
      <c r="AE1340" t="str">
        <f>""</f>
        <v/>
      </c>
      <c r="AF1340" t="str">
        <f>""</f>
        <v/>
      </c>
      <c r="AG1340" t="str">
        <f>"S"</f>
        <v>S</v>
      </c>
      <c r="AH1340" t="str">
        <f>""</f>
        <v/>
      </c>
      <c r="AI1340" t="str">
        <f>""</f>
        <v/>
      </c>
      <c r="AJ1340" t="str">
        <f>""</f>
        <v/>
      </c>
      <c r="AK1340" t="str">
        <f>""</f>
        <v/>
      </c>
      <c r="AL1340" t="str">
        <f>""</f>
        <v/>
      </c>
      <c r="AM1340" t="str">
        <f>""</f>
        <v/>
      </c>
      <c r="AN1340" t="str">
        <f>""</f>
        <v/>
      </c>
      <c r="AO1340" t="str">
        <f>""</f>
        <v/>
      </c>
      <c r="AP1340" t="str">
        <f>""</f>
        <v/>
      </c>
      <c r="AQ1340" t="str">
        <f t="shared" si="680"/>
        <v>N</v>
      </c>
      <c r="AR1340" t="str">
        <f t="shared" si="680"/>
        <v>N</v>
      </c>
      <c r="AS1340" t="str">
        <f t="shared" si="680"/>
        <v>N</v>
      </c>
      <c r="AT1340" t="str">
        <f t="shared" si="680"/>
        <v>N</v>
      </c>
      <c r="AU1340" t="str">
        <f t="shared" si="680"/>
        <v>N</v>
      </c>
      <c r="AV1340" t="str">
        <f>""</f>
        <v/>
      </c>
      <c r="AW1340" t="str">
        <f>""</f>
        <v/>
      </c>
      <c r="AX1340" t="str">
        <f>""</f>
        <v/>
      </c>
      <c r="AY1340" t="str">
        <f>""</f>
        <v/>
      </c>
      <c r="AZ1340" t="str">
        <f>""</f>
        <v/>
      </c>
      <c r="BA1340" t="str">
        <f>""</f>
        <v/>
      </c>
      <c r="BB1340" t="str">
        <f>"01/07/2021 13:53:04"</f>
        <v>01/07/2021 13:53:04</v>
      </c>
      <c r="BC1340" t="str">
        <f>"01/11/2022 08:41:23"</f>
        <v>01/11/2022 08:41:23</v>
      </c>
      <c r="BD1340" t="str">
        <f>""</f>
        <v/>
      </c>
      <c r="BE1340" t="str">
        <f>""</f>
        <v/>
      </c>
      <c r="BF1340" t="str">
        <f t="shared" si="650"/>
        <v>A</v>
      </c>
      <c r="BG1340" t="str">
        <f>""</f>
        <v/>
      </c>
      <c r="BH1340" t="str">
        <f>"0,00"</f>
        <v>0,00</v>
      </c>
      <c r="BI1340" t="str">
        <f t="shared" si="674"/>
        <v>EVENTUAL</v>
      </c>
      <c r="BJ1340" t="str">
        <f t="shared" si="651"/>
        <v>1</v>
      </c>
      <c r="BK1340" t="str">
        <f t="shared" si="652"/>
        <v>Farmacia</v>
      </c>
      <c r="BL1340" t="str">
        <f>""</f>
        <v/>
      </c>
      <c r="BM1340" t="str">
        <f>"NÃO É VARILUX ESPECIALISTA"</f>
        <v>NÃO É VARILUX ESPECIALISTA</v>
      </c>
      <c r="BN1340" t="str">
        <f>"NA"</f>
        <v>NA</v>
      </c>
      <c r="BO1340" t="str">
        <f>"FOCO VARILUX DIGITAL"</f>
        <v>FOCO VARILUX DIGITAL</v>
      </c>
      <c r="BP1340" t="str">
        <f>""</f>
        <v/>
      </c>
      <c r="BQ1340" t="str">
        <f>""</f>
        <v/>
      </c>
      <c r="BR1340" t="str">
        <f>"01/07/2021"</f>
        <v>01/07/2021</v>
      </c>
      <c r="BS1340" t="str">
        <f>"01/11/2022"</f>
        <v>01/11/2022</v>
      </c>
      <c r="BT1340" t="str">
        <f>""</f>
        <v/>
      </c>
      <c r="BU1340" t="str">
        <f>""</f>
        <v/>
      </c>
      <c r="BV1340" t="str">
        <f>""</f>
        <v/>
      </c>
      <c r="BW1340" t="str">
        <f>"Não visitado"</f>
        <v>Não visitado</v>
      </c>
    </row>
    <row r="1341" spans="1:75" x14ac:dyDescent="0.35">
      <c r="A1341">
        <v>137581</v>
      </c>
      <c r="B1341" t="str">
        <f t="shared" si="647"/>
        <v>A</v>
      </c>
      <c r="C1341" t="str">
        <f t="shared" si="648"/>
        <v>80</v>
      </c>
      <c r="D1341" t="str">
        <f t="shared" si="675"/>
        <v>11121004</v>
      </c>
      <c r="E1341" t="str">
        <f t="shared" si="676"/>
        <v>121004</v>
      </c>
      <c r="F1341" t="str">
        <f t="shared" si="677"/>
        <v>FABIANA GODOY</v>
      </c>
      <c r="G1341" t="str">
        <f>"33509269000238"</f>
        <v>33509269000238</v>
      </c>
      <c r="H1341" t="str">
        <f t="shared" si="668"/>
        <v>0</v>
      </c>
      <c r="I1341" t="str">
        <f t="shared" si="649"/>
        <v>CONTA OPTICA</v>
      </c>
      <c r="J1341" t="str">
        <f>"DANJU JOIAS E BIJUTERIAS EIRELI"</f>
        <v>DANJU JOIAS E BIJUTERIAS EIRELI</v>
      </c>
      <c r="K1341" t="str">
        <f>"DANJU JOIAS ITAPEMA (4132)"</f>
        <v>DANJU JOIAS ITAPEMA (4132)</v>
      </c>
      <c r="L1341" t="str">
        <f>""</f>
        <v/>
      </c>
      <c r="M1341" t="str">
        <f>""</f>
        <v/>
      </c>
      <c r="N1341" t="str">
        <f>"danjumeiapraiakoch@danjujoias.com"</f>
        <v>danjumeiapraiakoch@danjujoias.com</v>
      </c>
      <c r="O1341" t="str">
        <f>""</f>
        <v/>
      </c>
      <c r="P1341" t="str">
        <f>"RODOVIA MARG DA BR 101"</f>
        <v>RODOVIA MARG DA BR 101</v>
      </c>
      <c r="Q1341" t="str">
        <f>"5335"</f>
        <v>5335</v>
      </c>
      <c r="R1341" t="str">
        <f>"LJ04"</f>
        <v>LJ04</v>
      </c>
      <c r="S1341" t="str">
        <f>"1260"</f>
        <v>1260</v>
      </c>
      <c r="T1341" t="str">
        <f>"88220000"</f>
        <v>88220000</v>
      </c>
      <c r="U1341" t="str">
        <f>"MEIA PRAIA"</f>
        <v>MEIA PRAIA</v>
      </c>
      <c r="V1341" t="str">
        <f>"ITAPEMA"</f>
        <v>ITAPEMA</v>
      </c>
      <c r="W1341" t="str">
        <f t="shared" si="672"/>
        <v>SC</v>
      </c>
      <c r="X1341" t="str">
        <f>"47"</f>
        <v>47</v>
      </c>
      <c r="Y1341" t="str">
        <f>"33685983"</f>
        <v>33685983</v>
      </c>
      <c r="Z1341" t="str">
        <f>""</f>
        <v/>
      </c>
      <c r="AA1341" t="str">
        <f>""</f>
        <v/>
      </c>
      <c r="AB1341" t="str">
        <f>""</f>
        <v/>
      </c>
      <c r="AC1341" t="str">
        <f>""</f>
        <v/>
      </c>
      <c r="AD1341" t="str">
        <f>""</f>
        <v/>
      </c>
      <c r="AE1341" t="str">
        <f>""</f>
        <v/>
      </c>
      <c r="AF1341" t="str">
        <f>""</f>
        <v/>
      </c>
      <c r="AG1341" t="str">
        <f>"S"</f>
        <v>S</v>
      </c>
      <c r="AH1341" t="str">
        <f>""</f>
        <v/>
      </c>
      <c r="AI1341" t="str">
        <f>""</f>
        <v/>
      </c>
      <c r="AJ1341" t="str">
        <f>""</f>
        <v/>
      </c>
      <c r="AK1341" t="str">
        <f>""</f>
        <v/>
      </c>
      <c r="AL1341" t="str">
        <f>""</f>
        <v/>
      </c>
      <c r="AM1341" t="str">
        <f>""</f>
        <v/>
      </c>
      <c r="AN1341" t="str">
        <f>""</f>
        <v/>
      </c>
      <c r="AO1341" t="str">
        <f>""</f>
        <v/>
      </c>
      <c r="AP1341" t="str">
        <f>""</f>
        <v/>
      </c>
      <c r="AQ1341" t="str">
        <f t="shared" si="680"/>
        <v>N</v>
      </c>
      <c r="AR1341" t="str">
        <f t="shared" si="680"/>
        <v>N</v>
      </c>
      <c r="AS1341" t="str">
        <f t="shared" si="680"/>
        <v>N</v>
      </c>
      <c r="AT1341" t="str">
        <f t="shared" si="680"/>
        <v>N</v>
      </c>
      <c r="AU1341" t="str">
        <f t="shared" si="680"/>
        <v>N</v>
      </c>
      <c r="AV1341" t="str">
        <f>""</f>
        <v/>
      </c>
      <c r="AW1341" t="str">
        <f>""</f>
        <v/>
      </c>
      <c r="AX1341" t="str">
        <f>""</f>
        <v/>
      </c>
      <c r="AY1341" t="str">
        <f>""</f>
        <v/>
      </c>
      <c r="AZ1341" t="str">
        <f>""</f>
        <v/>
      </c>
      <c r="BA1341" t="str">
        <f>""</f>
        <v/>
      </c>
      <c r="BB1341" t="str">
        <f>"01/07/2021 13:53:04"</f>
        <v>01/07/2021 13:53:04</v>
      </c>
      <c r="BC1341" t="str">
        <f>"01/11/2022 08:41:41"</f>
        <v>01/11/2022 08:41:41</v>
      </c>
      <c r="BD1341" t="str">
        <f>""</f>
        <v/>
      </c>
      <c r="BE1341" t="str">
        <f>""</f>
        <v/>
      </c>
      <c r="BF1341" t="str">
        <f t="shared" si="650"/>
        <v>A</v>
      </c>
      <c r="BG1341" t="str">
        <f>""</f>
        <v/>
      </c>
      <c r="BH1341" t="str">
        <f>"0,00"</f>
        <v>0,00</v>
      </c>
      <c r="BI1341" t="str">
        <f t="shared" si="674"/>
        <v>EVENTUAL</v>
      </c>
      <c r="BJ1341" t="str">
        <f t="shared" si="651"/>
        <v>1</v>
      </c>
      <c r="BK1341" t="str">
        <f t="shared" si="652"/>
        <v>Farmacia</v>
      </c>
      <c r="BL1341" t="str">
        <f>""</f>
        <v/>
      </c>
      <c r="BM1341" t="str">
        <f>"VARILUX ESPECIALISTA SELECT"</f>
        <v>VARILUX ESPECIALISTA SELECT</v>
      </c>
      <c r="BN1341" t="str">
        <f>"NA"</f>
        <v>NA</v>
      </c>
      <c r="BO1341" t="str">
        <f>"FOCO VARILUX DIGITAL"</f>
        <v>FOCO VARILUX DIGITAL</v>
      </c>
      <c r="BP1341" t="str">
        <f>""</f>
        <v/>
      </c>
      <c r="BQ1341" t="str">
        <f>""</f>
        <v/>
      </c>
      <c r="BR1341" t="str">
        <f>"01/07/2021"</f>
        <v>01/07/2021</v>
      </c>
      <c r="BS1341" t="str">
        <f>"01/11/2022"</f>
        <v>01/11/2022</v>
      </c>
      <c r="BT1341" t="str">
        <f>""</f>
        <v/>
      </c>
      <c r="BU1341" t="str">
        <f>""</f>
        <v/>
      </c>
      <c r="BV1341" t="str">
        <f>""</f>
        <v/>
      </c>
      <c r="BW1341" t="str">
        <f>"Não visitado"</f>
        <v>Não visitado</v>
      </c>
    </row>
    <row r="1342" spans="1:75" x14ac:dyDescent="0.35">
      <c r="A1342">
        <v>137582</v>
      </c>
      <c r="B1342" t="str">
        <f t="shared" si="647"/>
        <v>A</v>
      </c>
      <c r="C1342" t="str">
        <f t="shared" si="648"/>
        <v>80</v>
      </c>
      <c r="D1342" t="str">
        <f t="shared" si="675"/>
        <v>11121004</v>
      </c>
      <c r="E1342" t="str">
        <f t="shared" si="676"/>
        <v>121004</v>
      </c>
      <c r="F1342" t="str">
        <f t="shared" si="677"/>
        <v>FABIANA GODOY</v>
      </c>
      <c r="G1342" t="str">
        <f>"33509269000319"</f>
        <v>33509269000319</v>
      </c>
      <c r="H1342" t="str">
        <f t="shared" si="668"/>
        <v>0</v>
      </c>
      <c r="I1342" t="str">
        <f t="shared" si="649"/>
        <v>CONTA OPTICA</v>
      </c>
      <c r="J1342" t="str">
        <f>"DANJU JOIAS E BIJUTERIAS EIRELI"</f>
        <v>DANJU JOIAS E BIJUTERIAS EIRELI</v>
      </c>
      <c r="K1342" t="str">
        <f>"DANJU JOIAS E BIJUTERIAS (4154)"</f>
        <v>DANJU JOIAS E BIJUTERIAS (4154)</v>
      </c>
      <c r="L1342" t="str">
        <f>""</f>
        <v/>
      </c>
      <c r="M1342" t="str">
        <f>""</f>
        <v/>
      </c>
      <c r="N1342" t="str">
        <f>"danjusjb@danjujoias.com"</f>
        <v>danjusjb@danjujoias.com</v>
      </c>
      <c r="O1342" t="str">
        <f>""</f>
        <v/>
      </c>
      <c r="P1342" t="str">
        <f>"RUA GETULIO VARGAS"</f>
        <v>RUA GETULIO VARGAS</v>
      </c>
      <c r="Q1342" t="str">
        <f>"817"</f>
        <v>817</v>
      </c>
      <c r="R1342" t="str">
        <f>"SALA 109 A 111"</f>
        <v>SALA 109 A 111</v>
      </c>
      <c r="S1342" t="str">
        <f>"1260"</f>
        <v>1260</v>
      </c>
      <c r="T1342" t="str">
        <f>"88240000"</f>
        <v>88240000</v>
      </c>
      <c r="U1342" t="str">
        <f>"CENTRO"</f>
        <v>CENTRO</v>
      </c>
      <c r="V1342" t="str">
        <f>"SÃO JOÃO BATISTA"</f>
        <v>SÃO JOÃO BATISTA</v>
      </c>
      <c r="W1342" t="str">
        <f t="shared" si="672"/>
        <v>SC</v>
      </c>
      <c r="X1342" t="str">
        <f>"48"</f>
        <v>48</v>
      </c>
      <c r="Y1342" t="str">
        <f>"32654124"</f>
        <v>32654124</v>
      </c>
      <c r="Z1342" t="str">
        <f>""</f>
        <v/>
      </c>
      <c r="AA1342" t="str">
        <f>""</f>
        <v/>
      </c>
      <c r="AB1342" t="str">
        <f>""</f>
        <v/>
      </c>
      <c r="AC1342" t="str">
        <f>""</f>
        <v/>
      </c>
      <c r="AD1342" t="str">
        <f>""</f>
        <v/>
      </c>
      <c r="AE1342" t="str">
        <f>""</f>
        <v/>
      </c>
      <c r="AF1342" t="str">
        <f>""</f>
        <v/>
      </c>
      <c r="AG1342" t="str">
        <f>"S"</f>
        <v>S</v>
      </c>
      <c r="AH1342" t="str">
        <f>""</f>
        <v/>
      </c>
      <c r="AI1342" t="str">
        <f>""</f>
        <v/>
      </c>
      <c r="AJ1342" t="str">
        <f>""</f>
        <v/>
      </c>
      <c r="AK1342" t="str">
        <f>""</f>
        <v/>
      </c>
      <c r="AL1342" t="str">
        <f>""</f>
        <v/>
      </c>
      <c r="AM1342" t="str">
        <f>""</f>
        <v/>
      </c>
      <c r="AN1342" t="str">
        <f>""</f>
        <v/>
      </c>
      <c r="AO1342" t="str">
        <f>""</f>
        <v/>
      </c>
      <c r="AP1342" t="str">
        <f>""</f>
        <v/>
      </c>
      <c r="AQ1342" t="str">
        <f t="shared" si="680"/>
        <v>N</v>
      </c>
      <c r="AR1342" t="str">
        <f t="shared" si="680"/>
        <v>N</v>
      </c>
      <c r="AS1342" t="str">
        <f t="shared" si="680"/>
        <v>N</v>
      </c>
      <c r="AT1342" t="str">
        <f t="shared" si="680"/>
        <v>N</v>
      </c>
      <c r="AU1342" t="str">
        <f t="shared" si="680"/>
        <v>N</v>
      </c>
      <c r="AV1342" t="str">
        <f>""</f>
        <v/>
      </c>
      <c r="AW1342" t="str">
        <f>""</f>
        <v/>
      </c>
      <c r="AX1342" t="str">
        <f>""</f>
        <v/>
      </c>
      <c r="AY1342" t="str">
        <f>""</f>
        <v/>
      </c>
      <c r="AZ1342" t="str">
        <f>""</f>
        <v/>
      </c>
      <c r="BA1342" t="str">
        <f>""</f>
        <v/>
      </c>
      <c r="BB1342" t="str">
        <f>"01/07/2021 13:53:04"</f>
        <v>01/07/2021 13:53:04</v>
      </c>
      <c r="BC1342" t="str">
        <f>"01/11/2022 08:41:58"</f>
        <v>01/11/2022 08:41:58</v>
      </c>
      <c r="BD1342" t="str">
        <f>""</f>
        <v/>
      </c>
      <c r="BE1342" t="str">
        <f>""</f>
        <v/>
      </c>
      <c r="BF1342" t="str">
        <f t="shared" si="650"/>
        <v>A</v>
      </c>
      <c r="BG1342" t="str">
        <f>""</f>
        <v/>
      </c>
      <c r="BH1342" t="str">
        <f>"0,00"</f>
        <v>0,00</v>
      </c>
      <c r="BI1342" t="str">
        <f t="shared" si="674"/>
        <v>EVENTUAL</v>
      </c>
      <c r="BJ1342" t="str">
        <f t="shared" si="651"/>
        <v>1</v>
      </c>
      <c r="BK1342" t="str">
        <f t="shared" si="652"/>
        <v>Farmacia</v>
      </c>
      <c r="BL1342" t="str">
        <f>""</f>
        <v/>
      </c>
      <c r="BM1342" t="str">
        <f>"NÃO É VARILUX ESPECIALISTA"</f>
        <v>NÃO É VARILUX ESPECIALISTA</v>
      </c>
      <c r="BN1342" t="str">
        <f>"NA"</f>
        <v>NA</v>
      </c>
      <c r="BO1342" t="str">
        <f>"FOCO VARILUX DIGITAL"</f>
        <v>FOCO VARILUX DIGITAL</v>
      </c>
      <c r="BP1342" t="str">
        <f>""</f>
        <v/>
      </c>
      <c r="BQ1342" t="str">
        <f>""</f>
        <v/>
      </c>
      <c r="BR1342" t="str">
        <f>"01/07/2021"</f>
        <v>01/07/2021</v>
      </c>
      <c r="BS1342" t="str">
        <f>"01/11/2022"</f>
        <v>01/11/2022</v>
      </c>
      <c r="BT1342" t="str">
        <f>""</f>
        <v/>
      </c>
      <c r="BU1342" t="str">
        <f>""</f>
        <v/>
      </c>
      <c r="BV1342" t="str">
        <f>""</f>
        <v/>
      </c>
      <c r="BW1342" t="str">
        <f>"Não visitado"</f>
        <v>Não visitado</v>
      </c>
    </row>
    <row r="1343" spans="1:75" x14ac:dyDescent="0.35">
      <c r="A1343">
        <v>157771</v>
      </c>
      <c r="B1343" t="str">
        <f t="shared" si="647"/>
        <v>A</v>
      </c>
      <c r="C1343" t="str">
        <f t="shared" si="648"/>
        <v>80</v>
      </c>
      <c r="D1343" t="str">
        <f t="shared" si="675"/>
        <v>11121004</v>
      </c>
      <c r="E1343" t="str">
        <f t="shared" si="676"/>
        <v>121004</v>
      </c>
      <c r="F1343" t="str">
        <f t="shared" si="677"/>
        <v>FABIANA GODOY</v>
      </c>
      <c r="G1343" t="str">
        <f>"46695593000159"</f>
        <v>46695593000159</v>
      </c>
      <c r="H1343" t="str">
        <f t="shared" si="668"/>
        <v>0</v>
      </c>
      <c r="I1343" t="str">
        <f t="shared" si="649"/>
        <v>CONTA OPTICA</v>
      </c>
      <c r="J1343" t="str">
        <f>"DEBORA CRISTINA DA SILVEIRA DE MELLO QUADROS 84806982091"</f>
        <v>DEBORA CRISTINA DA SILVEIRA DE MELLO QUADROS 84806982091</v>
      </c>
      <c r="K1343" t="str">
        <f>"HOUSE OTICA (4537)"</f>
        <v>HOUSE OTICA (4537)</v>
      </c>
      <c r="L1343" t="str">
        <f>""</f>
        <v/>
      </c>
      <c r="M1343" t="str">
        <f>""</f>
        <v/>
      </c>
      <c r="N1343" t="str">
        <f>"LUCASQUADROS79@GMAIL.COM"</f>
        <v>LUCASQUADROS79@GMAIL.COM</v>
      </c>
      <c r="O1343" t="str">
        <f>""</f>
        <v/>
      </c>
      <c r="P1343" t="str">
        <f>"RUA RIO PARAIBA"</f>
        <v>RUA RIO PARAIBA</v>
      </c>
      <c r="Q1343" t="str">
        <f>"232"</f>
        <v>232</v>
      </c>
      <c r="R1343" t="str">
        <f>"CASA 22"</f>
        <v>CASA 22</v>
      </c>
      <c r="S1343" t="str">
        <f>""</f>
        <v/>
      </c>
      <c r="T1343" t="str">
        <f>"88343838"</f>
        <v>88343838</v>
      </c>
      <c r="U1343" t="str">
        <f>"RIO PEQUENO"</f>
        <v>RIO PEQUENO</v>
      </c>
      <c r="V1343" t="str">
        <f>"CAMBORIU"</f>
        <v>CAMBORIU</v>
      </c>
      <c r="W1343" t="str">
        <f t="shared" si="672"/>
        <v>SC</v>
      </c>
      <c r="X1343" t="str">
        <f t="shared" ref="X1343:X1355" si="681">"47"</f>
        <v>47</v>
      </c>
      <c r="Y1343" t="str">
        <f>"999671478"</f>
        <v>999671478</v>
      </c>
      <c r="Z1343" t="str">
        <f>""</f>
        <v/>
      </c>
      <c r="AA1343" t="str">
        <f>""</f>
        <v/>
      </c>
      <c r="AB1343" t="str">
        <f>""</f>
        <v/>
      </c>
      <c r="AC1343" t="str">
        <f>""</f>
        <v/>
      </c>
      <c r="AD1343" t="str">
        <f>""</f>
        <v/>
      </c>
      <c r="AE1343" t="str">
        <f>""</f>
        <v/>
      </c>
      <c r="AF1343" t="str">
        <f>""</f>
        <v/>
      </c>
      <c r="AG1343" t="str">
        <f>""</f>
        <v/>
      </c>
      <c r="AH1343" t="str">
        <f>""</f>
        <v/>
      </c>
      <c r="AI1343" t="str">
        <f>""</f>
        <v/>
      </c>
      <c r="AJ1343" t="str">
        <f>""</f>
        <v/>
      </c>
      <c r="AK1343" t="str">
        <f>""</f>
        <v/>
      </c>
      <c r="AL1343" t="str">
        <f>""</f>
        <v/>
      </c>
      <c r="AM1343" t="str">
        <f>""</f>
        <v/>
      </c>
      <c r="AN1343" t="str">
        <f>""</f>
        <v/>
      </c>
      <c r="AO1343" t="str">
        <f>""</f>
        <v/>
      </c>
      <c r="AP1343" t="str">
        <f>""</f>
        <v/>
      </c>
      <c r="AQ1343" t="str">
        <f>""</f>
        <v/>
      </c>
      <c r="AR1343" t="str">
        <f>""</f>
        <v/>
      </c>
      <c r="AS1343" t="str">
        <f>""</f>
        <v/>
      </c>
      <c r="AT1343" t="str">
        <f>""</f>
        <v/>
      </c>
      <c r="AU1343" t="str">
        <f>""</f>
        <v/>
      </c>
      <c r="AV1343" t="str">
        <f>""</f>
        <v/>
      </c>
      <c r="AW1343" t="str">
        <f>""</f>
        <v/>
      </c>
      <c r="AX1343" t="str">
        <f>""</f>
        <v/>
      </c>
      <c r="AY1343" t="str">
        <f>""</f>
        <v/>
      </c>
      <c r="AZ1343" t="str">
        <f>""</f>
        <v/>
      </c>
      <c r="BA1343" t="str">
        <f>""</f>
        <v/>
      </c>
      <c r="BB1343" t="str">
        <f>"11/07/2023 02:26:32"</f>
        <v>11/07/2023 02:26:32</v>
      </c>
      <c r="BC1343" t="str">
        <f>""</f>
        <v/>
      </c>
      <c r="BD1343" t="str">
        <f>""</f>
        <v/>
      </c>
      <c r="BE1343" t="str">
        <f>""</f>
        <v/>
      </c>
      <c r="BF1343" t="str">
        <f t="shared" si="650"/>
        <v>A</v>
      </c>
      <c r="BG1343" t="str">
        <f>""</f>
        <v/>
      </c>
      <c r="BH1343" t="str">
        <f>""</f>
        <v/>
      </c>
      <c r="BI1343" t="str">
        <f t="shared" si="674"/>
        <v>EVENTUAL</v>
      </c>
      <c r="BJ1343" t="str">
        <f t="shared" si="651"/>
        <v>1</v>
      </c>
      <c r="BK1343" t="str">
        <f t="shared" si="652"/>
        <v>Farmacia</v>
      </c>
      <c r="BL1343" t="str">
        <f>""</f>
        <v/>
      </c>
      <c r="BM1343" t="str">
        <f>""</f>
        <v/>
      </c>
      <c r="BN1343" t="str">
        <f>""</f>
        <v/>
      </c>
      <c r="BO1343" t="str">
        <f>""</f>
        <v/>
      </c>
      <c r="BP1343" t="str">
        <f>""</f>
        <v/>
      </c>
      <c r="BQ1343" t="str">
        <f>""</f>
        <v/>
      </c>
      <c r="BR1343" t="str">
        <f>"11/07/2023"</f>
        <v>11/07/2023</v>
      </c>
      <c r="BS1343" t="str">
        <f>""</f>
        <v/>
      </c>
      <c r="BT1343" t="str">
        <f>""</f>
        <v/>
      </c>
      <c r="BU1343" t="str">
        <f>""</f>
        <v/>
      </c>
      <c r="BV1343" t="str">
        <f>""</f>
        <v/>
      </c>
      <c r="BW1343" t="str">
        <f>"Não visitado"</f>
        <v>Não visitado</v>
      </c>
    </row>
    <row r="1344" spans="1:75" x14ac:dyDescent="0.35">
      <c r="A1344">
        <v>157070</v>
      </c>
      <c r="B1344" t="str">
        <f t="shared" si="647"/>
        <v>A</v>
      </c>
      <c r="C1344" t="str">
        <f t="shared" si="648"/>
        <v>80</v>
      </c>
      <c r="D1344" t="str">
        <f t="shared" si="675"/>
        <v>11121004</v>
      </c>
      <c r="E1344" t="str">
        <f t="shared" si="676"/>
        <v>121004</v>
      </c>
      <c r="F1344" t="str">
        <f t="shared" si="677"/>
        <v>FABIANA GODOY</v>
      </c>
      <c r="G1344" t="str">
        <f>"18820974000187"</f>
        <v>18820974000187</v>
      </c>
      <c r="H1344" t="str">
        <f t="shared" si="668"/>
        <v>0</v>
      </c>
      <c r="I1344" t="str">
        <f t="shared" si="649"/>
        <v>CONTA OPTICA</v>
      </c>
      <c r="J1344" t="str">
        <f>"DELLA OTICA LTDA"</f>
        <v>DELLA OTICA LTDA</v>
      </c>
      <c r="K1344" t="str">
        <f>"DELLA OTICA (2202)"</f>
        <v>DELLA OTICA (2202)</v>
      </c>
      <c r="L1344" t="str">
        <f>""</f>
        <v/>
      </c>
      <c r="M1344" t="str">
        <f>""</f>
        <v/>
      </c>
      <c r="N1344" t="str">
        <f>"KIOTICA1@HOTMAIL.COM"</f>
        <v>KIOTICA1@HOTMAIL.COM</v>
      </c>
      <c r="O1344" t="str">
        <f>""</f>
        <v/>
      </c>
      <c r="P1344" t="str">
        <f>"RUA QUINZE DE NOVEMBRO"</f>
        <v>RUA QUINZE DE NOVEMBRO</v>
      </c>
      <c r="Q1344" t="str">
        <f>"1096"</f>
        <v>1096</v>
      </c>
      <c r="R1344" t="str">
        <f>""</f>
        <v/>
      </c>
      <c r="S1344" t="str">
        <f>"1271"</f>
        <v>1271</v>
      </c>
      <c r="T1344" t="str">
        <f>"89010002"</f>
        <v>89010002</v>
      </c>
      <c r="U1344" t="str">
        <f>"CENTRO"</f>
        <v>CENTRO</v>
      </c>
      <c r="V1344" t="str">
        <f>"BLUMENAU"</f>
        <v>BLUMENAU</v>
      </c>
      <c r="W1344" t="str">
        <f t="shared" si="672"/>
        <v>SC</v>
      </c>
      <c r="X1344" t="str">
        <f t="shared" si="681"/>
        <v>47</v>
      </c>
      <c r="Y1344" t="str">
        <f>"30410338"</f>
        <v>30410338</v>
      </c>
      <c r="Z1344" t="str">
        <f>""</f>
        <v/>
      </c>
      <c r="AA1344" t="str">
        <f>""</f>
        <v/>
      </c>
      <c r="AB1344" t="str">
        <f>""</f>
        <v/>
      </c>
      <c r="AC1344" t="str">
        <f>""</f>
        <v/>
      </c>
      <c r="AD1344" t="str">
        <f>""</f>
        <v/>
      </c>
      <c r="AE1344" t="str">
        <f>""</f>
        <v/>
      </c>
      <c r="AF1344" t="str">
        <f>""</f>
        <v/>
      </c>
      <c r="AG1344" t="str">
        <f>""</f>
        <v/>
      </c>
      <c r="AH1344" t="str">
        <f>""</f>
        <v/>
      </c>
      <c r="AI1344" t="str">
        <f>""</f>
        <v/>
      </c>
      <c r="AJ1344" t="str">
        <f>""</f>
        <v/>
      </c>
      <c r="AK1344" t="str">
        <f>""</f>
        <v/>
      </c>
      <c r="AL1344" t="str">
        <f>""</f>
        <v/>
      </c>
      <c r="AM1344" t="str">
        <f>""</f>
        <v/>
      </c>
      <c r="AN1344" t="str">
        <f>""</f>
        <v/>
      </c>
      <c r="AO1344" t="str">
        <f>""</f>
        <v/>
      </c>
      <c r="AP1344" t="str">
        <f>""</f>
        <v/>
      </c>
      <c r="AQ1344" t="str">
        <f>""</f>
        <v/>
      </c>
      <c r="AR1344" t="str">
        <f>""</f>
        <v/>
      </c>
      <c r="AS1344" t="str">
        <f>""</f>
        <v/>
      </c>
      <c r="AT1344" t="str">
        <f>""</f>
        <v/>
      </c>
      <c r="AU1344" t="str">
        <f>""</f>
        <v/>
      </c>
      <c r="AV1344" t="str">
        <f>""</f>
        <v/>
      </c>
      <c r="AW1344" t="str">
        <f>""</f>
        <v/>
      </c>
      <c r="AX1344" t="str">
        <f>""</f>
        <v/>
      </c>
      <c r="AY1344" t="str">
        <f>""</f>
        <v/>
      </c>
      <c r="AZ1344" t="str">
        <f>""</f>
        <v/>
      </c>
      <c r="BA1344" t="str">
        <f>""</f>
        <v/>
      </c>
      <c r="BB1344" t="str">
        <f>"06/07/2023 12:07:48"</f>
        <v>06/07/2023 12:07:48</v>
      </c>
      <c r="BC1344" t="str">
        <f>""</f>
        <v/>
      </c>
      <c r="BD1344" t="str">
        <f>""</f>
        <v/>
      </c>
      <c r="BE1344" t="str">
        <f>""</f>
        <v/>
      </c>
      <c r="BF1344" t="str">
        <f t="shared" si="650"/>
        <v>A</v>
      </c>
      <c r="BG1344" t="str">
        <f>""</f>
        <v/>
      </c>
      <c r="BH1344" t="str">
        <f>""</f>
        <v/>
      </c>
      <c r="BI1344" t="str">
        <f t="shared" si="674"/>
        <v>EVENTUAL</v>
      </c>
      <c r="BJ1344" t="str">
        <f t="shared" si="651"/>
        <v>1</v>
      </c>
      <c r="BK1344" t="str">
        <f t="shared" si="652"/>
        <v>Farmacia</v>
      </c>
      <c r="BL1344" t="str">
        <f>""</f>
        <v/>
      </c>
      <c r="BM1344" t="str">
        <f>""</f>
        <v/>
      </c>
      <c r="BN1344" t="str">
        <f>""</f>
        <v/>
      </c>
      <c r="BO1344" t="str">
        <f>""</f>
        <v/>
      </c>
      <c r="BP1344" t="str">
        <f>""</f>
        <v/>
      </c>
      <c r="BQ1344" t="str">
        <f>""</f>
        <v/>
      </c>
      <c r="BR1344" t="str">
        <f>"06/07/2023"</f>
        <v>06/07/2023</v>
      </c>
      <c r="BS1344" t="str">
        <f>""</f>
        <v/>
      </c>
      <c r="BT1344" t="str">
        <f>""</f>
        <v/>
      </c>
      <c r="BU1344" t="str">
        <f>""</f>
        <v/>
      </c>
      <c r="BV1344" t="str">
        <f>""</f>
        <v/>
      </c>
      <c r="BW1344" t="str">
        <f>"24"</f>
        <v>24</v>
      </c>
    </row>
    <row r="1345" spans="1:75" x14ac:dyDescent="0.35">
      <c r="A1345">
        <v>157102</v>
      </c>
      <c r="B1345" t="str">
        <f t="shared" si="647"/>
        <v>A</v>
      </c>
      <c r="C1345" t="str">
        <f t="shared" si="648"/>
        <v>80</v>
      </c>
      <c r="D1345" t="str">
        <f t="shared" si="675"/>
        <v>11121004</v>
      </c>
      <c r="E1345" t="str">
        <f t="shared" si="676"/>
        <v>121004</v>
      </c>
      <c r="F1345" t="str">
        <f t="shared" si="677"/>
        <v>FABIANA GODOY</v>
      </c>
      <c r="G1345" t="str">
        <f>"44035089000105"</f>
        <v>44035089000105</v>
      </c>
      <c r="H1345" t="str">
        <f t="shared" si="668"/>
        <v>0</v>
      </c>
      <c r="I1345" t="str">
        <f t="shared" si="649"/>
        <v>CONTA OPTICA</v>
      </c>
      <c r="J1345" t="str">
        <f>"DFX ITAJAI OTICA LTDA"</f>
        <v>DFX ITAJAI OTICA LTDA</v>
      </c>
      <c r="K1345" t="str">
        <f>"MERCADAO DOS OCULOS ITAJAI (4515)"</f>
        <v>MERCADAO DOS OCULOS ITAJAI (4515)</v>
      </c>
      <c r="L1345" t="str">
        <f>""</f>
        <v/>
      </c>
      <c r="M1345" t="str">
        <f>""</f>
        <v/>
      </c>
      <c r="N1345" t="str">
        <f>"GERENTE.MDOITAJAI02@GMAIL.COM"</f>
        <v>GERENTE.MDOITAJAI02@GMAIL.COM</v>
      </c>
      <c r="O1345" t="str">
        <f>""</f>
        <v/>
      </c>
      <c r="P1345" t="str">
        <f>"RUA TIJUCAS"</f>
        <v>RUA TIJUCAS</v>
      </c>
      <c r="Q1345" t="str">
        <f>"31"</f>
        <v>31</v>
      </c>
      <c r="R1345" t="str">
        <f>"SALA 01"</f>
        <v>SALA 01</v>
      </c>
      <c r="S1345" t="str">
        <f>"1261"</f>
        <v>1261</v>
      </c>
      <c r="T1345" t="str">
        <f>"88301360"</f>
        <v>88301360</v>
      </c>
      <c r="U1345" t="str">
        <f>"CENTRO"</f>
        <v>CENTRO</v>
      </c>
      <c r="V1345" t="str">
        <f>"ITAJAI"</f>
        <v>ITAJAI</v>
      </c>
      <c r="W1345" t="str">
        <f t="shared" si="672"/>
        <v>SC</v>
      </c>
      <c r="X1345" t="str">
        <f t="shared" si="681"/>
        <v>47</v>
      </c>
      <c r="Y1345" t="str">
        <f>"988446741"</f>
        <v>988446741</v>
      </c>
      <c r="Z1345" t="str">
        <f>""</f>
        <v/>
      </c>
      <c r="AA1345" t="str">
        <f>""</f>
        <v/>
      </c>
      <c r="AB1345" t="str">
        <f>""</f>
        <v/>
      </c>
      <c r="AC1345" t="str">
        <f>""</f>
        <v/>
      </c>
      <c r="AD1345" t="str">
        <f>""</f>
        <v/>
      </c>
      <c r="AE1345" t="str">
        <f>""</f>
        <v/>
      </c>
      <c r="AF1345" t="str">
        <f>""</f>
        <v/>
      </c>
      <c r="AG1345" t="str">
        <f>""</f>
        <v/>
      </c>
      <c r="AH1345" t="str">
        <f>""</f>
        <v/>
      </c>
      <c r="AI1345" t="str">
        <f>""</f>
        <v/>
      </c>
      <c r="AJ1345" t="str">
        <f>""</f>
        <v/>
      </c>
      <c r="AK1345" t="str">
        <f>""</f>
        <v/>
      </c>
      <c r="AL1345" t="str">
        <f>""</f>
        <v/>
      </c>
      <c r="AM1345" t="str">
        <f>""</f>
        <v/>
      </c>
      <c r="AN1345" t="str">
        <f>""</f>
        <v/>
      </c>
      <c r="AO1345" t="str">
        <f>""</f>
        <v/>
      </c>
      <c r="AP1345" t="str">
        <f>""</f>
        <v/>
      </c>
      <c r="AQ1345" t="str">
        <f>""</f>
        <v/>
      </c>
      <c r="AR1345" t="str">
        <f>""</f>
        <v/>
      </c>
      <c r="AS1345" t="str">
        <f>""</f>
        <v/>
      </c>
      <c r="AT1345" t="str">
        <f>""</f>
        <v/>
      </c>
      <c r="AU1345" t="str">
        <f>""</f>
        <v/>
      </c>
      <c r="AV1345" t="str">
        <f>""</f>
        <v/>
      </c>
      <c r="AW1345" t="str">
        <f>""</f>
        <v/>
      </c>
      <c r="AX1345" t="str">
        <f>""</f>
        <v/>
      </c>
      <c r="AY1345" t="str">
        <f>""</f>
        <v/>
      </c>
      <c r="AZ1345" t="str">
        <f>""</f>
        <v/>
      </c>
      <c r="BA1345" t="str">
        <f>""</f>
        <v/>
      </c>
      <c r="BB1345" t="str">
        <f>"06/07/2023 12:07:48"</f>
        <v>06/07/2023 12:07:48</v>
      </c>
      <c r="BC1345" t="str">
        <f>""</f>
        <v/>
      </c>
      <c r="BD1345" t="str">
        <f>""</f>
        <v/>
      </c>
      <c r="BE1345" t="str">
        <f>""</f>
        <v/>
      </c>
      <c r="BF1345" t="str">
        <f t="shared" si="650"/>
        <v>A</v>
      </c>
      <c r="BG1345" t="str">
        <f>""</f>
        <v/>
      </c>
      <c r="BH1345" t="str">
        <f>""</f>
        <v/>
      </c>
      <c r="BI1345" t="str">
        <f t="shared" si="674"/>
        <v>EVENTUAL</v>
      </c>
      <c r="BJ1345" t="str">
        <f t="shared" si="651"/>
        <v>1</v>
      </c>
      <c r="BK1345" t="str">
        <f t="shared" si="652"/>
        <v>Farmacia</v>
      </c>
      <c r="BL1345" t="str">
        <f>""</f>
        <v/>
      </c>
      <c r="BM1345" t="str">
        <f>""</f>
        <v/>
      </c>
      <c r="BN1345" t="str">
        <f>""</f>
        <v/>
      </c>
      <c r="BO1345" t="str">
        <f>""</f>
        <v/>
      </c>
      <c r="BP1345" t="str">
        <f>""</f>
        <v/>
      </c>
      <c r="BQ1345" t="str">
        <f>""</f>
        <v/>
      </c>
      <c r="BR1345" t="str">
        <f>"06/07/2023"</f>
        <v>06/07/2023</v>
      </c>
      <c r="BS1345" t="str">
        <f>""</f>
        <v/>
      </c>
      <c r="BT1345" t="str">
        <f>""</f>
        <v/>
      </c>
      <c r="BU1345" t="str">
        <f>""</f>
        <v/>
      </c>
      <c r="BV1345" t="str">
        <f>""</f>
        <v/>
      </c>
      <c r="BW1345" t="str">
        <f>"Não visitado"</f>
        <v>Não visitado</v>
      </c>
    </row>
    <row r="1346" spans="1:75" x14ac:dyDescent="0.35">
      <c r="A1346">
        <v>1233</v>
      </c>
      <c r="B1346" t="str">
        <f t="shared" ref="B1346:B1409" si="682">"A"</f>
        <v>A</v>
      </c>
      <c r="C1346" t="str">
        <f t="shared" ref="C1346:C1409" si="683">"80"</f>
        <v>80</v>
      </c>
      <c r="D1346" t="str">
        <f t="shared" si="675"/>
        <v>11121004</v>
      </c>
      <c r="E1346" t="str">
        <f t="shared" si="676"/>
        <v>121004</v>
      </c>
      <c r="F1346" t="str">
        <f t="shared" si="677"/>
        <v>FABIANA GODOY</v>
      </c>
      <c r="G1346" t="str">
        <f>"01399311000138"</f>
        <v>01399311000138</v>
      </c>
      <c r="H1346" t="str">
        <f>""</f>
        <v/>
      </c>
      <c r="I1346" t="str">
        <f t="shared" ref="I1346:I1409" si="684">"CONTA OPTICA"</f>
        <v>CONTA OPTICA</v>
      </c>
      <c r="J1346" t="str">
        <f>"DI PAOLA OTICA LTDA ME"</f>
        <v>DI PAOLA OTICA LTDA ME</v>
      </c>
      <c r="K1346" t="str">
        <f>"DI PAOLA OTICA LTDA (970)"</f>
        <v>DI PAOLA OTICA LTDA (970)</v>
      </c>
      <c r="L1346" t="str">
        <f>""</f>
        <v/>
      </c>
      <c r="M1346" t="str">
        <f>""</f>
        <v/>
      </c>
      <c r="N1346" t="str">
        <f>"dipaolaotica@gmail.com"</f>
        <v>dipaolaotica@gmail.com</v>
      </c>
      <c r="O1346" t="str">
        <f>""</f>
        <v/>
      </c>
      <c r="P1346" t="str">
        <f>"RUA BARAO DO RIO BRANCO"</f>
        <v>RUA BARAO DO RIO BRANCO</v>
      </c>
      <c r="Q1346" t="str">
        <f>"1112"</f>
        <v>1112</v>
      </c>
      <c r="R1346" t="str">
        <f>""</f>
        <v/>
      </c>
      <c r="S1346" t="str">
        <f>"1275"</f>
        <v>1275</v>
      </c>
      <c r="T1346" t="str">
        <f>"89136000"</f>
        <v>89136000</v>
      </c>
      <c r="U1346" t="str">
        <f>"CENTRO"</f>
        <v>CENTRO</v>
      </c>
      <c r="V1346" t="str">
        <f>"RODEIO"</f>
        <v>RODEIO</v>
      </c>
      <c r="W1346" t="str">
        <f t="shared" si="672"/>
        <v>SC</v>
      </c>
      <c r="X1346" t="str">
        <f t="shared" si="681"/>
        <v>47</v>
      </c>
      <c r="Y1346" t="str">
        <f>"33840852"</f>
        <v>33840852</v>
      </c>
      <c r="Z1346" t="str">
        <f>""</f>
        <v/>
      </c>
      <c r="AA1346" t="str">
        <f>""</f>
        <v/>
      </c>
      <c r="AB1346" t="str">
        <f>""</f>
        <v/>
      </c>
      <c r="AC1346" t="str">
        <f>""</f>
        <v/>
      </c>
      <c r="AD1346" t="str">
        <f>""</f>
        <v/>
      </c>
      <c r="AE1346" t="str">
        <f>""</f>
        <v/>
      </c>
      <c r="AF1346" t="str">
        <f>""</f>
        <v/>
      </c>
      <c r="AG1346" t="str">
        <f>""</f>
        <v/>
      </c>
      <c r="AH1346" t="str">
        <f>""</f>
        <v/>
      </c>
      <c r="AI1346" t="str">
        <f>""</f>
        <v/>
      </c>
      <c r="AJ1346" t="str">
        <f>"0"</f>
        <v>0</v>
      </c>
      <c r="AK1346" t="str">
        <f>"0"</f>
        <v>0</v>
      </c>
      <c r="AL1346" t="str">
        <f>"0"</f>
        <v>0</v>
      </c>
      <c r="AM1346" t="str">
        <f>""</f>
        <v/>
      </c>
      <c r="AN1346" t="str">
        <f>""</f>
        <v/>
      </c>
      <c r="AO1346" t="str">
        <f>""</f>
        <v/>
      </c>
      <c r="AP1346" t="str">
        <f>""</f>
        <v/>
      </c>
      <c r="AQ1346" t="str">
        <f>""</f>
        <v/>
      </c>
      <c r="AR1346" t="str">
        <f>""</f>
        <v/>
      </c>
      <c r="AS1346" t="str">
        <f>""</f>
        <v/>
      </c>
      <c r="AT1346" t="str">
        <f>""</f>
        <v/>
      </c>
      <c r="AU1346" t="str">
        <f>""</f>
        <v/>
      </c>
      <c r="AV1346" t="str">
        <f>""</f>
        <v/>
      </c>
      <c r="AW1346" t="str">
        <f>""</f>
        <v/>
      </c>
      <c r="AX1346" t="str">
        <f>""</f>
        <v/>
      </c>
      <c r="AY1346" t="str">
        <f>""</f>
        <v/>
      </c>
      <c r="AZ1346" t="str">
        <f>""</f>
        <v/>
      </c>
      <c r="BA1346" t="str">
        <f>""</f>
        <v/>
      </c>
      <c r="BB1346" t="str">
        <f>"27/07/2018 09:26:11"</f>
        <v>27/07/2018 09:26:11</v>
      </c>
      <c r="BC1346" t="str">
        <f>""</f>
        <v/>
      </c>
      <c r="BD1346" t="str">
        <f>""</f>
        <v/>
      </c>
      <c r="BE1346" t="str">
        <f>"1233"</f>
        <v>1233</v>
      </c>
      <c r="BF1346" t="str">
        <f t="shared" ref="BF1346:BF1409" si="685">"A"</f>
        <v>A</v>
      </c>
      <c r="BG1346" t="str">
        <f>"0,00"</f>
        <v>0,00</v>
      </c>
      <c r="BH1346" t="str">
        <f>"0,00"</f>
        <v>0,00</v>
      </c>
      <c r="BI1346" t="str">
        <f t="shared" si="674"/>
        <v>EVENTUAL</v>
      </c>
      <c r="BJ1346" t="str">
        <f t="shared" ref="BJ1346:BJ1409" si="686">"1"</f>
        <v>1</v>
      </c>
      <c r="BK1346" t="str">
        <f t="shared" ref="BK1346:BK1409" si="687">"Farmacia"</f>
        <v>Farmacia</v>
      </c>
      <c r="BL1346" t="str">
        <f>""</f>
        <v/>
      </c>
      <c r="BM1346" t="str">
        <f>"NÃO É VARILUX ESPECIALISTA"</f>
        <v>NÃO É VARILUX ESPECIALISTA</v>
      </c>
      <c r="BN1346" t="str">
        <f>"NA"</f>
        <v>NA</v>
      </c>
      <c r="BO1346" t="str">
        <f>"FOCO VARILUX DIGITAL"</f>
        <v>FOCO VARILUX DIGITAL</v>
      </c>
      <c r="BP1346" t="str">
        <f>""</f>
        <v/>
      </c>
      <c r="BQ1346" t="str">
        <f>""</f>
        <v/>
      </c>
      <c r="BR1346" t="str">
        <f>"27/07/2018"</f>
        <v>27/07/2018</v>
      </c>
      <c r="BS1346" t="str">
        <f>""</f>
        <v/>
      </c>
      <c r="BT1346" t="str">
        <f>""</f>
        <v/>
      </c>
      <c r="BU1346" t="str">
        <f>""</f>
        <v/>
      </c>
      <c r="BV1346" t="str">
        <f>"5"</f>
        <v>5</v>
      </c>
      <c r="BW1346" t="str">
        <f>"10"</f>
        <v>10</v>
      </c>
    </row>
    <row r="1347" spans="1:75" x14ac:dyDescent="0.35">
      <c r="A1347">
        <v>137587</v>
      </c>
      <c r="B1347" t="str">
        <f t="shared" si="682"/>
        <v>A</v>
      </c>
      <c r="C1347" t="str">
        <f t="shared" si="683"/>
        <v>80</v>
      </c>
      <c r="D1347" t="str">
        <f t="shared" si="675"/>
        <v>11121004</v>
      </c>
      <c r="E1347" t="str">
        <f t="shared" si="676"/>
        <v>121004</v>
      </c>
      <c r="F1347" t="str">
        <f t="shared" si="677"/>
        <v>FABIANA GODOY</v>
      </c>
      <c r="G1347" t="str">
        <f>"30644994000140"</f>
        <v>30644994000140</v>
      </c>
      <c r="H1347" t="str">
        <f>"0"</f>
        <v>0</v>
      </c>
      <c r="I1347" t="str">
        <f t="shared" si="684"/>
        <v>CONTA OPTICA</v>
      </c>
      <c r="J1347" t="str">
        <f>"DICLEI SALETE RODRIGUES DA SILVA GERHARDT"</f>
        <v>DICLEI SALETE RODRIGUES DA SILVA GERHARDT</v>
      </c>
      <c r="K1347" t="str">
        <f>"OTICA CAROL BC (3915)"</f>
        <v>OTICA CAROL BC (3915)</v>
      </c>
      <c r="L1347" t="str">
        <f>""</f>
        <v/>
      </c>
      <c r="M1347" t="str">
        <f>""</f>
        <v/>
      </c>
      <c r="N1347" t="str">
        <f>"paulolgerhardt@hotmail.com"</f>
        <v>paulolgerhardt@hotmail.com</v>
      </c>
      <c r="O1347" t="str">
        <f>""</f>
        <v/>
      </c>
      <c r="P1347" t="str">
        <f>"RUA SANTA CATARINA"</f>
        <v>RUA SANTA CATARINA</v>
      </c>
      <c r="Q1347" t="str">
        <f>"1"</f>
        <v>1</v>
      </c>
      <c r="R1347" t="str">
        <f>"LJ129"</f>
        <v>LJ129</v>
      </c>
      <c r="S1347" t="str">
        <f>"1262"</f>
        <v>1262</v>
      </c>
      <c r="T1347" t="str">
        <f>"88339005"</f>
        <v>88339005</v>
      </c>
      <c r="U1347" t="str">
        <f>"ESTADOS"</f>
        <v>ESTADOS</v>
      </c>
      <c r="V1347" t="str">
        <f>"BALNEARIO CAMBORIU"</f>
        <v>BALNEARIO CAMBORIU</v>
      </c>
      <c r="W1347" t="str">
        <f t="shared" si="672"/>
        <v>SC</v>
      </c>
      <c r="X1347" t="str">
        <f t="shared" si="681"/>
        <v>47</v>
      </c>
      <c r="Y1347" t="str">
        <f>"30627955"</f>
        <v>30627955</v>
      </c>
      <c r="Z1347" t="str">
        <f>""</f>
        <v/>
      </c>
      <c r="AA1347" t="str">
        <f>""</f>
        <v/>
      </c>
      <c r="AB1347" t="str">
        <f>""</f>
        <v/>
      </c>
      <c r="AC1347" t="str">
        <f>""</f>
        <v/>
      </c>
      <c r="AD1347" t="str">
        <f>""</f>
        <v/>
      </c>
      <c r="AE1347" t="str">
        <f>""</f>
        <v/>
      </c>
      <c r="AF1347" t="str">
        <f>""</f>
        <v/>
      </c>
      <c r="AG1347" t="str">
        <f>""</f>
        <v/>
      </c>
      <c r="AH1347" t="str">
        <f>""</f>
        <v/>
      </c>
      <c r="AI1347" t="str">
        <f>""</f>
        <v/>
      </c>
      <c r="AJ1347" t="str">
        <f>""</f>
        <v/>
      </c>
      <c r="AK1347" t="str">
        <f>""</f>
        <v/>
      </c>
      <c r="AL1347" t="str">
        <f>""</f>
        <v/>
      </c>
      <c r="AM1347" t="str">
        <f>""</f>
        <v/>
      </c>
      <c r="AN1347" t="str">
        <f>""</f>
        <v/>
      </c>
      <c r="AO1347" t="str">
        <f>""</f>
        <v/>
      </c>
      <c r="AP1347" t="str">
        <f>""</f>
        <v/>
      </c>
      <c r="AQ1347" t="str">
        <f>""</f>
        <v/>
      </c>
      <c r="AR1347" t="str">
        <f>""</f>
        <v/>
      </c>
      <c r="AS1347" t="str">
        <f>""</f>
        <v/>
      </c>
      <c r="AT1347" t="str">
        <f>""</f>
        <v/>
      </c>
      <c r="AU1347" t="str">
        <f>""</f>
        <v/>
      </c>
      <c r="AV1347" t="str">
        <f>""</f>
        <v/>
      </c>
      <c r="AW1347" t="str">
        <f>""</f>
        <v/>
      </c>
      <c r="AX1347" t="str">
        <f>""</f>
        <v/>
      </c>
      <c r="AY1347" t="str">
        <f>""</f>
        <v/>
      </c>
      <c r="AZ1347" t="str">
        <f>""</f>
        <v/>
      </c>
      <c r="BA1347" t="str">
        <f>""</f>
        <v/>
      </c>
      <c r="BB1347" t="str">
        <f>"01/07/2021 13:53:04"</f>
        <v>01/07/2021 13:53:04</v>
      </c>
      <c r="BC1347" t="str">
        <f>""</f>
        <v/>
      </c>
      <c r="BD1347" t="str">
        <f>""</f>
        <v/>
      </c>
      <c r="BE1347" t="str">
        <f>""</f>
        <v/>
      </c>
      <c r="BF1347" t="str">
        <f t="shared" si="685"/>
        <v>A</v>
      </c>
      <c r="BG1347" t="str">
        <f>""</f>
        <v/>
      </c>
      <c r="BH1347" t="str">
        <f>""</f>
        <v/>
      </c>
      <c r="BI1347" t="str">
        <f t="shared" si="674"/>
        <v>EVENTUAL</v>
      </c>
      <c r="BJ1347" t="str">
        <f t="shared" si="686"/>
        <v>1</v>
      </c>
      <c r="BK1347" t="str">
        <f t="shared" si="687"/>
        <v>Farmacia</v>
      </c>
      <c r="BL1347" t="str">
        <f>""</f>
        <v/>
      </c>
      <c r="BM1347" t="str">
        <f>"VARILUX ESPECIALISTA SELECT"</f>
        <v>VARILUX ESPECIALISTA SELECT</v>
      </c>
      <c r="BN1347" t="str">
        <f>"NA"</f>
        <v>NA</v>
      </c>
      <c r="BO1347" t="str">
        <f>"FOCO VARILUX DIGITAL"</f>
        <v>FOCO VARILUX DIGITAL</v>
      </c>
      <c r="BP1347" t="str">
        <f>""</f>
        <v/>
      </c>
      <c r="BQ1347" t="str">
        <f>""</f>
        <v/>
      </c>
      <c r="BR1347" t="str">
        <f>"01/07/2021"</f>
        <v>01/07/2021</v>
      </c>
      <c r="BS1347" t="str">
        <f>""</f>
        <v/>
      </c>
      <c r="BT1347" t="str">
        <f>""</f>
        <v/>
      </c>
      <c r="BU1347" t="str">
        <f>""</f>
        <v/>
      </c>
      <c r="BV1347" t="str">
        <f>""</f>
        <v/>
      </c>
      <c r="BW1347" t="str">
        <f>"2"</f>
        <v>2</v>
      </c>
    </row>
    <row r="1348" spans="1:75" x14ac:dyDescent="0.35">
      <c r="A1348">
        <v>143799</v>
      </c>
      <c r="B1348" t="str">
        <f t="shared" si="682"/>
        <v>A</v>
      </c>
      <c r="C1348" t="str">
        <f t="shared" si="683"/>
        <v>80</v>
      </c>
      <c r="D1348" t="str">
        <f t="shared" si="675"/>
        <v>11121004</v>
      </c>
      <c r="E1348" t="str">
        <f t="shared" si="676"/>
        <v>121004</v>
      </c>
      <c r="F1348" t="str">
        <f t="shared" si="677"/>
        <v>FABIANA GODOY</v>
      </c>
      <c r="G1348" t="str">
        <f>"24664290000136"</f>
        <v>24664290000136</v>
      </c>
      <c r="H1348" t="str">
        <f>""</f>
        <v/>
      </c>
      <c r="I1348" t="str">
        <f t="shared" si="684"/>
        <v>CONTA OPTICA</v>
      </c>
      <c r="J1348" t="str">
        <f>"DIONE ANGELI OTICA - ME"</f>
        <v>DIONE ANGELI OTICA - ME</v>
      </c>
      <c r="K1348" t="str">
        <f>"OTICA DIVISAO (3794)"</f>
        <v>OTICA DIVISAO (3794)</v>
      </c>
      <c r="L1348" t="str">
        <f>""</f>
        <v/>
      </c>
      <c r="M1348" t="str">
        <f>""</f>
        <v/>
      </c>
      <c r="N1348" t="str">
        <f>"divisaooptica2312@gmail.com"</f>
        <v>divisaooptica2312@gmail.com</v>
      </c>
      <c r="O1348" t="str">
        <f>""</f>
        <v/>
      </c>
      <c r="P1348" t="str">
        <f>"RUA LUIZ WALENDOWSKY"</f>
        <v>RUA LUIZ WALENDOWSKY</v>
      </c>
      <c r="Q1348" t="str">
        <f>"614"</f>
        <v>614</v>
      </c>
      <c r="R1348" t="str">
        <f>"SALA 3"</f>
        <v>SALA 3</v>
      </c>
      <c r="S1348" t="str">
        <f>"1260"</f>
        <v>1260</v>
      </c>
      <c r="T1348" t="str">
        <f>"88210000"</f>
        <v>88210000</v>
      </c>
      <c r="U1348" t="str">
        <f>"PEREQUE"</f>
        <v>PEREQUE</v>
      </c>
      <c r="V1348" t="str">
        <f>"PORTO BELO"</f>
        <v>PORTO BELO</v>
      </c>
      <c r="W1348" t="str">
        <f t="shared" si="672"/>
        <v>SC</v>
      </c>
      <c r="X1348" t="str">
        <f t="shared" si="681"/>
        <v>47</v>
      </c>
      <c r="Y1348" t="str">
        <f>"33695203"</f>
        <v>33695203</v>
      </c>
      <c r="Z1348" t="str">
        <f>""</f>
        <v/>
      </c>
      <c r="AA1348" t="str">
        <f>""</f>
        <v/>
      </c>
      <c r="AB1348" t="str">
        <f>""</f>
        <v/>
      </c>
      <c r="AC1348" t="str">
        <f>""</f>
        <v/>
      </c>
      <c r="AD1348" t="str">
        <f>""</f>
        <v/>
      </c>
      <c r="AE1348" t="str">
        <f>""</f>
        <v/>
      </c>
      <c r="AF1348" t="str">
        <f>""</f>
        <v/>
      </c>
      <c r="AG1348" t="str">
        <f>"S"</f>
        <v>S</v>
      </c>
      <c r="AH1348" t="str">
        <f>""</f>
        <v/>
      </c>
      <c r="AI1348" t="str">
        <f>""</f>
        <v/>
      </c>
      <c r="AJ1348" t="str">
        <f t="shared" ref="AJ1348:AL1350" si="688">"0"</f>
        <v>0</v>
      </c>
      <c r="AK1348" t="str">
        <f t="shared" si="688"/>
        <v>0</v>
      </c>
      <c r="AL1348" t="str">
        <f t="shared" si="688"/>
        <v>0</v>
      </c>
      <c r="AM1348" t="str">
        <f>""</f>
        <v/>
      </c>
      <c r="AN1348" t="str">
        <f>""</f>
        <v/>
      </c>
      <c r="AO1348" t="str">
        <f>""</f>
        <v/>
      </c>
      <c r="AP1348" t="str">
        <f>""</f>
        <v/>
      </c>
      <c r="AQ1348" t="str">
        <f>"N"</f>
        <v>N</v>
      </c>
      <c r="AR1348" t="str">
        <f>"N"</f>
        <v>N</v>
      </c>
      <c r="AS1348" t="str">
        <f>"N"</f>
        <v>N</v>
      </c>
      <c r="AT1348" t="str">
        <f>"N"</f>
        <v>N</v>
      </c>
      <c r="AU1348" t="str">
        <f>"N"</f>
        <v>N</v>
      </c>
      <c r="AV1348" t="str">
        <f>""</f>
        <v/>
      </c>
      <c r="AW1348" t="str">
        <f>""</f>
        <v/>
      </c>
      <c r="AX1348" t="str">
        <f>""</f>
        <v/>
      </c>
      <c r="AY1348" t="str">
        <f>""</f>
        <v/>
      </c>
      <c r="AZ1348" t="str">
        <f>""</f>
        <v/>
      </c>
      <c r="BA1348" t="str">
        <f>""</f>
        <v/>
      </c>
      <c r="BB1348" t="str">
        <f>""</f>
        <v/>
      </c>
      <c r="BC1348" t="str">
        <f>"01/02/2022 16:29:48"</f>
        <v>01/02/2022 16:29:48</v>
      </c>
      <c r="BD1348" t="str">
        <f>""</f>
        <v/>
      </c>
      <c r="BE1348" t="str">
        <f>""</f>
        <v/>
      </c>
      <c r="BF1348" t="str">
        <f t="shared" si="685"/>
        <v>A</v>
      </c>
      <c r="BG1348" t="str">
        <f t="shared" ref="BG1348:BH1350" si="689">"0,00"</f>
        <v>0,00</v>
      </c>
      <c r="BH1348" t="str">
        <f t="shared" si="689"/>
        <v>0,00</v>
      </c>
      <c r="BI1348" t="str">
        <f t="shared" si="674"/>
        <v>EVENTUAL</v>
      </c>
      <c r="BJ1348" t="str">
        <f t="shared" si="686"/>
        <v>1</v>
      </c>
      <c r="BK1348" t="str">
        <f t="shared" si="687"/>
        <v>Farmacia</v>
      </c>
      <c r="BL1348" t="str">
        <f>""</f>
        <v/>
      </c>
      <c r="BM1348" t="str">
        <f>"NÃO É VARILUX ESPECIALISTA"</f>
        <v>NÃO É VARILUX ESPECIALISTA</v>
      </c>
      <c r="BN1348" t="str">
        <f>"NA"</f>
        <v>NA</v>
      </c>
      <c r="BO1348" t="str">
        <f>"FOCO VARILUX"</f>
        <v>FOCO VARILUX</v>
      </c>
      <c r="BP1348" t="str">
        <f>""</f>
        <v/>
      </c>
      <c r="BQ1348" t="str">
        <f>""</f>
        <v/>
      </c>
      <c r="BR1348" t="str">
        <f>""</f>
        <v/>
      </c>
      <c r="BS1348" t="str">
        <f>"01/02/2022"</f>
        <v>01/02/2022</v>
      </c>
      <c r="BT1348" t="str">
        <f>""</f>
        <v/>
      </c>
      <c r="BU1348" t="str">
        <f>""</f>
        <v/>
      </c>
      <c r="BV1348" t="str">
        <f>"9"</f>
        <v>9</v>
      </c>
      <c r="BW1348" t="str">
        <f>"64"</f>
        <v>64</v>
      </c>
    </row>
    <row r="1349" spans="1:75" x14ac:dyDescent="0.35">
      <c r="A1349">
        <v>1301</v>
      </c>
      <c r="B1349" t="str">
        <f t="shared" si="682"/>
        <v>A</v>
      </c>
      <c r="C1349" t="str">
        <f t="shared" si="683"/>
        <v>80</v>
      </c>
      <c r="D1349" t="str">
        <f t="shared" si="675"/>
        <v>11121004</v>
      </c>
      <c r="E1349" t="str">
        <f t="shared" si="676"/>
        <v>121004</v>
      </c>
      <c r="F1349" t="str">
        <f t="shared" si="677"/>
        <v>FABIANA GODOY</v>
      </c>
      <c r="G1349" t="str">
        <f>"07662904000121"</f>
        <v>07662904000121</v>
      </c>
      <c r="H1349" t="str">
        <f>""</f>
        <v/>
      </c>
      <c r="I1349" t="str">
        <f t="shared" si="684"/>
        <v>CONTA OPTICA</v>
      </c>
      <c r="J1349" t="str">
        <f>"DK COMERCIO DE JOAIS LTDA ME"</f>
        <v>DK COMERCIO DE JOAIS LTDA ME</v>
      </c>
      <c r="K1349" t="str">
        <f>"DK COMERCIO DE JOAIS LTDA ME (1827)"</f>
        <v>DK COMERCIO DE JOAIS LTDA ME (1827)</v>
      </c>
      <c r="L1349" t="str">
        <f>""</f>
        <v/>
      </c>
      <c r="M1349" t="str">
        <f>""</f>
        <v/>
      </c>
      <c r="N1349" t="str">
        <f>"lojadayk@hotmail.com"</f>
        <v>lojadayk@hotmail.com</v>
      </c>
      <c r="O1349" t="str">
        <f>""</f>
        <v/>
      </c>
      <c r="P1349" t="str">
        <f>"AVENIDA JORGE LACERDA"</f>
        <v>AVENIDA JORGE LACERDA</v>
      </c>
      <c r="Q1349" t="str">
        <f>"872"</f>
        <v>872</v>
      </c>
      <c r="R1349" t="str">
        <f>"SALA 02"</f>
        <v>SALA 02</v>
      </c>
      <c r="S1349" t="str">
        <f>"1264"</f>
        <v>1264</v>
      </c>
      <c r="T1349" t="str">
        <f>"88443000"</f>
        <v>88443000</v>
      </c>
      <c r="U1349" t="str">
        <f>"CENTRO"</f>
        <v>CENTRO</v>
      </c>
      <c r="V1349" t="str">
        <f>"VIDAL RAMOS"</f>
        <v>VIDAL RAMOS</v>
      </c>
      <c r="W1349" t="str">
        <f t="shared" si="672"/>
        <v>SC</v>
      </c>
      <c r="X1349" t="str">
        <f t="shared" si="681"/>
        <v>47</v>
      </c>
      <c r="Y1349" t="str">
        <f>"33561009"</f>
        <v>33561009</v>
      </c>
      <c r="Z1349" t="str">
        <f>""</f>
        <v/>
      </c>
      <c r="AA1349" t="str">
        <f>""</f>
        <v/>
      </c>
      <c r="AB1349" t="str">
        <f>""</f>
        <v/>
      </c>
      <c r="AC1349" t="str">
        <f>""</f>
        <v/>
      </c>
      <c r="AD1349" t="str">
        <f>""</f>
        <v/>
      </c>
      <c r="AE1349" t="str">
        <f>""</f>
        <v/>
      </c>
      <c r="AF1349" t="str">
        <f>""</f>
        <v/>
      </c>
      <c r="AG1349" t="str">
        <f>""</f>
        <v/>
      </c>
      <c r="AH1349" t="str">
        <f>""</f>
        <v/>
      </c>
      <c r="AI1349" t="str">
        <f>""</f>
        <v/>
      </c>
      <c r="AJ1349" t="str">
        <f t="shared" si="688"/>
        <v>0</v>
      </c>
      <c r="AK1349" t="str">
        <f t="shared" si="688"/>
        <v>0</v>
      </c>
      <c r="AL1349" t="str">
        <f t="shared" si="688"/>
        <v>0</v>
      </c>
      <c r="AM1349" t="str">
        <f>""</f>
        <v/>
      </c>
      <c r="AN1349" t="str">
        <f>""</f>
        <v/>
      </c>
      <c r="AO1349" t="str">
        <f>""</f>
        <v/>
      </c>
      <c r="AP1349" t="str">
        <f>""</f>
        <v/>
      </c>
      <c r="AQ1349" t="str">
        <f>""</f>
        <v/>
      </c>
      <c r="AR1349" t="str">
        <f>""</f>
        <v/>
      </c>
      <c r="AS1349" t="str">
        <f>""</f>
        <v/>
      </c>
      <c r="AT1349" t="str">
        <f>""</f>
        <v/>
      </c>
      <c r="AU1349" t="str">
        <f>""</f>
        <v/>
      </c>
      <c r="AV1349" t="str">
        <f>""</f>
        <v/>
      </c>
      <c r="AW1349" t="str">
        <f>""</f>
        <v/>
      </c>
      <c r="AX1349" t="str">
        <f>""</f>
        <v/>
      </c>
      <c r="AY1349" t="str">
        <f>""</f>
        <v/>
      </c>
      <c r="AZ1349" t="str">
        <f>""</f>
        <v/>
      </c>
      <c r="BA1349" t="str">
        <f>""</f>
        <v/>
      </c>
      <c r="BB1349" t="str">
        <f>"27/07/2018 09:26:13"</f>
        <v>27/07/2018 09:26:13</v>
      </c>
      <c r="BC1349" t="str">
        <f>""</f>
        <v/>
      </c>
      <c r="BD1349" t="str">
        <f>""</f>
        <v/>
      </c>
      <c r="BE1349" t="str">
        <f>"1301"</f>
        <v>1301</v>
      </c>
      <c r="BF1349" t="str">
        <f t="shared" si="685"/>
        <v>A</v>
      </c>
      <c r="BG1349" t="str">
        <f t="shared" si="689"/>
        <v>0,00</v>
      </c>
      <c r="BH1349" t="str">
        <f t="shared" si="689"/>
        <v>0,00</v>
      </c>
      <c r="BI1349" t="str">
        <f t="shared" si="674"/>
        <v>EVENTUAL</v>
      </c>
      <c r="BJ1349" t="str">
        <f t="shared" si="686"/>
        <v>1</v>
      </c>
      <c r="BK1349" t="str">
        <f t="shared" si="687"/>
        <v>Farmacia</v>
      </c>
      <c r="BL1349" t="str">
        <f>""</f>
        <v/>
      </c>
      <c r="BM1349" t="str">
        <f>"NÃO É VARILUX ESPECIALISTA"</f>
        <v>NÃO É VARILUX ESPECIALISTA</v>
      </c>
      <c r="BN1349" t="str">
        <f>"NA"</f>
        <v>NA</v>
      </c>
      <c r="BO1349" t="str">
        <f>"FOCO VARILUX DIGITAL"</f>
        <v>FOCO VARILUX DIGITAL</v>
      </c>
      <c r="BP1349" t="str">
        <f>""</f>
        <v/>
      </c>
      <c r="BQ1349" t="str">
        <f>""</f>
        <v/>
      </c>
      <c r="BR1349" t="str">
        <f>"27/07/2018"</f>
        <v>27/07/2018</v>
      </c>
      <c r="BS1349" t="str">
        <f>""</f>
        <v/>
      </c>
      <c r="BT1349" t="str">
        <f>""</f>
        <v/>
      </c>
      <c r="BU1349" t="str">
        <f>""</f>
        <v/>
      </c>
      <c r="BV1349" t="str">
        <f>"9"</f>
        <v>9</v>
      </c>
      <c r="BW1349" t="str">
        <f>"16"</f>
        <v>16</v>
      </c>
    </row>
    <row r="1350" spans="1:75" x14ac:dyDescent="0.35">
      <c r="A1350">
        <v>117462</v>
      </c>
      <c r="B1350" t="str">
        <f t="shared" si="682"/>
        <v>A</v>
      </c>
      <c r="C1350" t="str">
        <f t="shared" si="683"/>
        <v>80</v>
      </c>
      <c r="D1350" t="str">
        <f t="shared" si="675"/>
        <v>11121004</v>
      </c>
      <c r="E1350" t="str">
        <f t="shared" si="676"/>
        <v>121004</v>
      </c>
      <c r="F1350" t="str">
        <f t="shared" si="677"/>
        <v>FABIANA GODOY</v>
      </c>
      <c r="G1350" t="str">
        <f>"09048502000167"</f>
        <v>09048502000167</v>
      </c>
      <c r="H1350" t="str">
        <f t="shared" ref="H1350:H1356" si="690">"0"</f>
        <v>0</v>
      </c>
      <c r="I1350" t="str">
        <f t="shared" si="684"/>
        <v>CONTA OPTICA</v>
      </c>
      <c r="J1350" t="str">
        <f>"DUWE E DUWE JOIAS E DESIGN LTDA ME"</f>
        <v>DUWE E DUWE JOIAS E DESIGN LTDA ME</v>
      </c>
      <c r="K1350" t="str">
        <f>"SANDRA DUWE (1929)"</f>
        <v>SANDRA DUWE (1929)</v>
      </c>
      <c r="L1350" t="str">
        <f>""</f>
        <v/>
      </c>
      <c r="M1350" t="str">
        <f>""</f>
        <v/>
      </c>
      <c r="N1350" t="str">
        <f>"thiagoduweotica@gmail.com"</f>
        <v>thiagoduweotica@gmail.com</v>
      </c>
      <c r="O1350" t="str">
        <f>""</f>
        <v/>
      </c>
      <c r="P1350" t="str">
        <f>"AVENIDA SANTA CATARINA"</f>
        <v>AVENIDA SANTA CATARINA</v>
      </c>
      <c r="Q1350" t="str">
        <f>"01"</f>
        <v>01</v>
      </c>
      <c r="R1350" t="str">
        <f>"LOJA 109"</f>
        <v>LOJA 109</v>
      </c>
      <c r="S1350" t="str">
        <f>"1262"</f>
        <v>1262</v>
      </c>
      <c r="T1350" t="str">
        <f>"88339005"</f>
        <v>88339005</v>
      </c>
      <c r="U1350" t="str">
        <f>"ESTADOS"</f>
        <v>ESTADOS</v>
      </c>
      <c r="V1350" t="str">
        <f>"BALNEÁRIO CAMBORIÚ"</f>
        <v>BALNEÁRIO CAMBORIÚ</v>
      </c>
      <c r="W1350" t="str">
        <f t="shared" si="672"/>
        <v>SC</v>
      </c>
      <c r="X1350" t="str">
        <f t="shared" si="681"/>
        <v>47</v>
      </c>
      <c r="Y1350" t="str">
        <f>"32638551"</f>
        <v>32638551</v>
      </c>
      <c r="Z1350" t="str">
        <f>""</f>
        <v/>
      </c>
      <c r="AA1350" t="str">
        <f>""</f>
        <v/>
      </c>
      <c r="AB1350" t="str">
        <f>""</f>
        <v/>
      </c>
      <c r="AC1350" t="str">
        <f>""</f>
        <v/>
      </c>
      <c r="AD1350" t="str">
        <f>""</f>
        <v/>
      </c>
      <c r="AE1350" t="str">
        <f>""</f>
        <v/>
      </c>
      <c r="AF1350" t="str">
        <f>""</f>
        <v/>
      </c>
      <c r="AG1350" t="str">
        <f>"S"</f>
        <v>S</v>
      </c>
      <c r="AH1350" t="str">
        <f>""</f>
        <v/>
      </c>
      <c r="AI1350" t="str">
        <f>""</f>
        <v/>
      </c>
      <c r="AJ1350" t="str">
        <f t="shared" si="688"/>
        <v>0</v>
      </c>
      <c r="AK1350" t="str">
        <f t="shared" si="688"/>
        <v>0</v>
      </c>
      <c r="AL1350" t="str">
        <f t="shared" si="688"/>
        <v>0</v>
      </c>
      <c r="AM1350" t="str">
        <f>""</f>
        <v/>
      </c>
      <c r="AN1350" t="str">
        <f>""</f>
        <v/>
      </c>
      <c r="AO1350" t="str">
        <f>""</f>
        <v/>
      </c>
      <c r="AP1350" t="str">
        <f>""</f>
        <v/>
      </c>
      <c r="AQ1350" t="str">
        <f>"N"</f>
        <v>N</v>
      </c>
      <c r="AR1350" t="str">
        <f>"N"</f>
        <v>N</v>
      </c>
      <c r="AS1350" t="str">
        <f>"N"</f>
        <v>N</v>
      </c>
      <c r="AT1350" t="str">
        <f>"N"</f>
        <v>N</v>
      </c>
      <c r="AU1350" t="str">
        <f>"N"</f>
        <v>N</v>
      </c>
      <c r="AV1350" t="str">
        <f>""</f>
        <v/>
      </c>
      <c r="AW1350" t="str">
        <f>""</f>
        <v/>
      </c>
      <c r="AX1350" t="str">
        <f>""</f>
        <v/>
      </c>
      <c r="AY1350" t="str">
        <f>""</f>
        <v/>
      </c>
      <c r="AZ1350" t="str">
        <f>""</f>
        <v/>
      </c>
      <c r="BA1350" t="str">
        <f>""</f>
        <v/>
      </c>
      <c r="BB1350" t="str">
        <f>"22/07/2020 08:24:23"</f>
        <v>22/07/2020 08:24:23</v>
      </c>
      <c r="BC1350" t="str">
        <f>"12/07/2023 14:59:01"</f>
        <v>12/07/2023 14:59:01</v>
      </c>
      <c r="BD1350" t="str">
        <f>""</f>
        <v/>
      </c>
      <c r="BE1350" t="str">
        <f>""</f>
        <v/>
      </c>
      <c r="BF1350" t="str">
        <f t="shared" si="685"/>
        <v>A</v>
      </c>
      <c r="BG1350" t="str">
        <f t="shared" si="689"/>
        <v>0,00</v>
      </c>
      <c r="BH1350" t="str">
        <f t="shared" si="689"/>
        <v>0,00</v>
      </c>
      <c r="BI1350" t="str">
        <f>"MENSAL"</f>
        <v>MENSAL</v>
      </c>
      <c r="BJ1350" t="str">
        <f t="shared" si="686"/>
        <v>1</v>
      </c>
      <c r="BK1350" t="str">
        <f t="shared" si="687"/>
        <v>Farmacia</v>
      </c>
      <c r="BL1350" t="str">
        <f>""</f>
        <v/>
      </c>
      <c r="BM1350" t="str">
        <f>"NÃO É VARILUX ESPECIALISTA"</f>
        <v>NÃO É VARILUX ESPECIALISTA</v>
      </c>
      <c r="BN1350" t="str">
        <f>"NA"</f>
        <v>NA</v>
      </c>
      <c r="BO1350" t="str">
        <f>"FOCO VARILUX DIGITAL"</f>
        <v>FOCO VARILUX DIGITAL</v>
      </c>
      <c r="BP1350" t="str">
        <f>""</f>
        <v/>
      </c>
      <c r="BQ1350" t="str">
        <f>""</f>
        <v/>
      </c>
      <c r="BR1350" t="str">
        <f>"22/07/2020"</f>
        <v>22/07/2020</v>
      </c>
      <c r="BS1350" t="str">
        <f>"12/07/2023"</f>
        <v>12/07/2023</v>
      </c>
      <c r="BT1350" t="str">
        <f>""</f>
        <v/>
      </c>
      <c r="BU1350" t="str">
        <f>""</f>
        <v/>
      </c>
      <c r="BV1350" t="str">
        <f>"1"</f>
        <v>1</v>
      </c>
      <c r="BW1350" t="str">
        <f>"17"</f>
        <v>17</v>
      </c>
    </row>
    <row r="1351" spans="1:75" x14ac:dyDescent="0.35">
      <c r="A1351">
        <v>157084</v>
      </c>
      <c r="B1351" t="str">
        <f t="shared" si="682"/>
        <v>A</v>
      </c>
      <c r="C1351" t="str">
        <f t="shared" si="683"/>
        <v>80</v>
      </c>
      <c r="D1351" t="str">
        <f t="shared" si="675"/>
        <v>11121004</v>
      </c>
      <c r="E1351" t="str">
        <f t="shared" si="676"/>
        <v>121004</v>
      </c>
      <c r="F1351" t="str">
        <f t="shared" si="677"/>
        <v>FABIANA GODOY</v>
      </c>
      <c r="G1351" t="str">
        <f>"82138728000220"</f>
        <v>82138728000220</v>
      </c>
      <c r="H1351" t="str">
        <f t="shared" si="690"/>
        <v>0</v>
      </c>
      <c r="I1351" t="str">
        <f t="shared" si="684"/>
        <v>CONTA OPTICA</v>
      </c>
      <c r="J1351" t="str">
        <f>"E. VEBER &amp; CIA LTDA - ME"</f>
        <v>E. VEBER &amp; CIA LTDA - ME</v>
      </c>
      <c r="K1351" t="str">
        <f>"RELOJOARIA OPTICA NANY (650)"</f>
        <v>RELOJOARIA OPTICA NANY (650)</v>
      </c>
      <c r="L1351" t="str">
        <f>""</f>
        <v/>
      </c>
      <c r="M1351" t="str">
        <f>""</f>
        <v/>
      </c>
      <c r="N1351" t="str">
        <f>"opticanany@ibest.com.br"</f>
        <v>opticanany@ibest.com.br</v>
      </c>
      <c r="O1351" t="str">
        <f>""</f>
        <v/>
      </c>
      <c r="P1351" t="str">
        <f>"RUA 7 DE SETEMBRO"</f>
        <v>RUA 7 DE SETEMBRO</v>
      </c>
      <c r="Q1351" t="str">
        <f>"17"</f>
        <v>17</v>
      </c>
      <c r="R1351" t="str">
        <f>""</f>
        <v/>
      </c>
      <c r="S1351" t="str">
        <f>"1276"</f>
        <v>1276</v>
      </c>
      <c r="T1351" t="str">
        <f>"89170000"</f>
        <v>89170000</v>
      </c>
      <c r="U1351" t="str">
        <f>"CENTRO"</f>
        <v>CENTRO</v>
      </c>
      <c r="V1351" t="str">
        <f>"LAURENTINO"</f>
        <v>LAURENTINO</v>
      </c>
      <c r="W1351" t="str">
        <f t="shared" si="672"/>
        <v>SC</v>
      </c>
      <c r="X1351" t="str">
        <f t="shared" si="681"/>
        <v>47</v>
      </c>
      <c r="Y1351" t="str">
        <f>"35461079"</f>
        <v>35461079</v>
      </c>
      <c r="Z1351" t="str">
        <f>""</f>
        <v/>
      </c>
      <c r="AA1351" t="str">
        <f>""</f>
        <v/>
      </c>
      <c r="AB1351" t="str">
        <f>""</f>
        <v/>
      </c>
      <c r="AC1351" t="str">
        <f>""</f>
        <v/>
      </c>
      <c r="AD1351" t="str">
        <f>""</f>
        <v/>
      </c>
      <c r="AE1351" t="str">
        <f>""</f>
        <v/>
      </c>
      <c r="AF1351" t="str">
        <f>""</f>
        <v/>
      </c>
      <c r="AG1351" t="str">
        <f>""</f>
        <v/>
      </c>
      <c r="AH1351" t="str">
        <f>""</f>
        <v/>
      </c>
      <c r="AI1351" t="str">
        <f>""</f>
        <v/>
      </c>
      <c r="AJ1351" t="str">
        <f>""</f>
        <v/>
      </c>
      <c r="AK1351" t="str">
        <f>""</f>
        <v/>
      </c>
      <c r="AL1351" t="str">
        <f>""</f>
        <v/>
      </c>
      <c r="AM1351" t="str">
        <f>""</f>
        <v/>
      </c>
      <c r="AN1351" t="str">
        <f>""</f>
        <v/>
      </c>
      <c r="AO1351" t="str">
        <f>""</f>
        <v/>
      </c>
      <c r="AP1351" t="str">
        <f>""</f>
        <v/>
      </c>
      <c r="AQ1351" t="str">
        <f>""</f>
        <v/>
      </c>
      <c r="AR1351" t="str">
        <f>""</f>
        <v/>
      </c>
      <c r="AS1351" t="str">
        <f>""</f>
        <v/>
      </c>
      <c r="AT1351" t="str">
        <f>""</f>
        <v/>
      </c>
      <c r="AU1351" t="str">
        <f>""</f>
        <v/>
      </c>
      <c r="AV1351" t="str">
        <f>""</f>
        <v/>
      </c>
      <c r="AW1351" t="str">
        <f>""</f>
        <v/>
      </c>
      <c r="AX1351" t="str">
        <f>""</f>
        <v/>
      </c>
      <c r="AY1351" t="str">
        <f>""</f>
        <v/>
      </c>
      <c r="AZ1351" t="str">
        <f>""</f>
        <v/>
      </c>
      <c r="BA1351" t="str">
        <f>""</f>
        <v/>
      </c>
      <c r="BB1351" t="str">
        <f>"06/07/2023 12:07:48"</f>
        <v>06/07/2023 12:07:48</v>
      </c>
      <c r="BC1351" t="str">
        <f>""</f>
        <v/>
      </c>
      <c r="BD1351" t="str">
        <f>""</f>
        <v/>
      </c>
      <c r="BE1351" t="str">
        <f>""</f>
        <v/>
      </c>
      <c r="BF1351" t="str">
        <f t="shared" si="685"/>
        <v>A</v>
      </c>
      <c r="BG1351" t="str">
        <f>""</f>
        <v/>
      </c>
      <c r="BH1351" t="str">
        <f>""</f>
        <v/>
      </c>
      <c r="BI1351" t="str">
        <f t="shared" ref="BI1351:BI1364" si="691">"EVENTUAL"</f>
        <v>EVENTUAL</v>
      </c>
      <c r="BJ1351" t="str">
        <f t="shared" si="686"/>
        <v>1</v>
      </c>
      <c r="BK1351" t="str">
        <f t="shared" si="687"/>
        <v>Farmacia</v>
      </c>
      <c r="BL1351" t="str">
        <f>""</f>
        <v/>
      </c>
      <c r="BM1351" t="str">
        <f>""</f>
        <v/>
      </c>
      <c r="BN1351" t="str">
        <f>""</f>
        <v/>
      </c>
      <c r="BO1351" t="str">
        <f>""</f>
        <v/>
      </c>
      <c r="BP1351" t="str">
        <f>""</f>
        <v/>
      </c>
      <c r="BQ1351" t="str">
        <f>""</f>
        <v/>
      </c>
      <c r="BR1351" t="str">
        <f>"06/07/2023"</f>
        <v>06/07/2023</v>
      </c>
      <c r="BS1351" t="str">
        <f>""</f>
        <v/>
      </c>
      <c r="BT1351" t="str">
        <f>""</f>
        <v/>
      </c>
      <c r="BU1351" t="str">
        <f>""</f>
        <v/>
      </c>
      <c r="BV1351" t="str">
        <f>""</f>
        <v/>
      </c>
      <c r="BW1351" t="str">
        <f>"Não visitado"</f>
        <v>Não visitado</v>
      </c>
    </row>
    <row r="1352" spans="1:75" x14ac:dyDescent="0.35">
      <c r="A1352">
        <v>157741</v>
      </c>
      <c r="B1352" t="str">
        <f t="shared" si="682"/>
        <v>A</v>
      </c>
      <c r="C1352" t="str">
        <f t="shared" si="683"/>
        <v>80</v>
      </c>
      <c r="D1352" t="str">
        <f t="shared" si="675"/>
        <v>11121004</v>
      </c>
      <c r="E1352" t="str">
        <f t="shared" si="676"/>
        <v>121004</v>
      </c>
      <c r="F1352" t="str">
        <f t="shared" si="677"/>
        <v>FABIANA GODOY</v>
      </c>
      <c r="G1352" t="str">
        <f>"08647487000100"</f>
        <v>08647487000100</v>
      </c>
      <c r="H1352" t="str">
        <f t="shared" si="690"/>
        <v>0</v>
      </c>
      <c r="I1352" t="str">
        <f t="shared" si="684"/>
        <v>CONTA OPTICA</v>
      </c>
      <c r="J1352" t="str">
        <f>"E.W.CARVALHO JOALHERIA LTDA ME"</f>
        <v>E.W.CARVALHO JOALHERIA LTDA ME</v>
      </c>
      <c r="K1352" t="str">
        <f>"JOALHERIA E OTICA CARVALHO (1744)"</f>
        <v>JOALHERIA E OTICA CARVALHO (1744)</v>
      </c>
      <c r="L1352" t="str">
        <f>""</f>
        <v/>
      </c>
      <c r="M1352" t="str">
        <f>""</f>
        <v/>
      </c>
      <c r="N1352" t="str">
        <f>"JOALHERIACARVALHO@HOTMAIL.COM"</f>
        <v>JOALHERIACARVALHO@HOTMAIL.COM</v>
      </c>
      <c r="O1352" t="str">
        <f>""</f>
        <v/>
      </c>
      <c r="P1352" t="str">
        <f>"GUILHERME KRIEGER JUNIOR"</f>
        <v>GUILHERME KRIEGER JUNIOR</v>
      </c>
      <c r="Q1352" t="str">
        <f>"39"</f>
        <v>39</v>
      </c>
      <c r="R1352" t="str">
        <f>"SALA 03"</f>
        <v>SALA 03</v>
      </c>
      <c r="S1352" t="str">
        <f>"1263"</f>
        <v>1263</v>
      </c>
      <c r="T1352" t="str">
        <f>"88350010"</f>
        <v>88350010</v>
      </c>
      <c r="U1352" t="str">
        <f>"CENTRO"</f>
        <v>CENTRO</v>
      </c>
      <c r="V1352" t="str">
        <f>"BRUSQUE"</f>
        <v>BRUSQUE</v>
      </c>
      <c r="W1352" t="str">
        <f t="shared" si="672"/>
        <v>SC</v>
      </c>
      <c r="X1352" t="str">
        <f t="shared" si="681"/>
        <v>47</v>
      </c>
      <c r="Y1352" t="str">
        <f>"33966532"</f>
        <v>33966532</v>
      </c>
      <c r="Z1352" t="str">
        <f>""</f>
        <v/>
      </c>
      <c r="AA1352" t="str">
        <f>""</f>
        <v/>
      </c>
      <c r="AB1352" t="str">
        <f>""</f>
        <v/>
      </c>
      <c r="AC1352" t="str">
        <f>""</f>
        <v/>
      </c>
      <c r="AD1352" t="str">
        <f>""</f>
        <v/>
      </c>
      <c r="AE1352" t="str">
        <f>""</f>
        <v/>
      </c>
      <c r="AF1352" t="str">
        <f>""</f>
        <v/>
      </c>
      <c r="AG1352" t="str">
        <f>""</f>
        <v/>
      </c>
      <c r="AH1352" t="str">
        <f>""</f>
        <v/>
      </c>
      <c r="AI1352" t="str">
        <f>""</f>
        <v/>
      </c>
      <c r="AJ1352" t="str">
        <f>""</f>
        <v/>
      </c>
      <c r="AK1352" t="str">
        <f>""</f>
        <v/>
      </c>
      <c r="AL1352" t="str">
        <f>""</f>
        <v/>
      </c>
      <c r="AM1352" t="str">
        <f>""</f>
        <v/>
      </c>
      <c r="AN1352" t="str">
        <f>""</f>
        <v/>
      </c>
      <c r="AO1352" t="str">
        <f>""</f>
        <v/>
      </c>
      <c r="AP1352" t="str">
        <f>""</f>
        <v/>
      </c>
      <c r="AQ1352" t="str">
        <f>""</f>
        <v/>
      </c>
      <c r="AR1352" t="str">
        <f>""</f>
        <v/>
      </c>
      <c r="AS1352" t="str">
        <f>""</f>
        <v/>
      </c>
      <c r="AT1352" t="str">
        <f>""</f>
        <v/>
      </c>
      <c r="AU1352" t="str">
        <f>""</f>
        <v/>
      </c>
      <c r="AV1352" t="str">
        <f>""</f>
        <v/>
      </c>
      <c r="AW1352" t="str">
        <f>""</f>
        <v/>
      </c>
      <c r="AX1352" t="str">
        <f>""</f>
        <v/>
      </c>
      <c r="AY1352" t="str">
        <f>""</f>
        <v/>
      </c>
      <c r="AZ1352" t="str">
        <f>""</f>
        <v/>
      </c>
      <c r="BA1352" t="str">
        <f>""</f>
        <v/>
      </c>
      <c r="BB1352" t="str">
        <f>"11/07/2023 02:26:32"</f>
        <v>11/07/2023 02:26:32</v>
      </c>
      <c r="BC1352" t="str">
        <f>""</f>
        <v/>
      </c>
      <c r="BD1352" t="str">
        <f>""</f>
        <v/>
      </c>
      <c r="BE1352" t="str">
        <f>""</f>
        <v/>
      </c>
      <c r="BF1352" t="str">
        <f t="shared" si="685"/>
        <v>A</v>
      </c>
      <c r="BG1352" t="str">
        <f>""</f>
        <v/>
      </c>
      <c r="BH1352" t="str">
        <f>""</f>
        <v/>
      </c>
      <c r="BI1352" t="str">
        <f t="shared" si="691"/>
        <v>EVENTUAL</v>
      </c>
      <c r="BJ1352" t="str">
        <f t="shared" si="686"/>
        <v>1</v>
      </c>
      <c r="BK1352" t="str">
        <f t="shared" si="687"/>
        <v>Farmacia</v>
      </c>
      <c r="BL1352" t="str">
        <f>""</f>
        <v/>
      </c>
      <c r="BM1352" t="str">
        <f>""</f>
        <v/>
      </c>
      <c r="BN1352" t="str">
        <f>""</f>
        <v/>
      </c>
      <c r="BO1352" t="str">
        <f>""</f>
        <v/>
      </c>
      <c r="BP1352" t="str">
        <f>""</f>
        <v/>
      </c>
      <c r="BQ1352" t="str">
        <f>""</f>
        <v/>
      </c>
      <c r="BR1352" t="str">
        <f>"11/07/2023"</f>
        <v>11/07/2023</v>
      </c>
      <c r="BS1352" t="str">
        <f>""</f>
        <v/>
      </c>
      <c r="BT1352" t="str">
        <f>""</f>
        <v/>
      </c>
      <c r="BU1352" t="str">
        <f>""</f>
        <v/>
      </c>
      <c r="BV1352" t="str">
        <f>""</f>
        <v/>
      </c>
      <c r="BW1352" t="str">
        <f>"51"</f>
        <v>51</v>
      </c>
    </row>
    <row r="1353" spans="1:75" x14ac:dyDescent="0.35">
      <c r="A1353">
        <v>157791</v>
      </c>
      <c r="B1353" t="str">
        <f t="shared" si="682"/>
        <v>A</v>
      </c>
      <c r="C1353" t="str">
        <f t="shared" si="683"/>
        <v>80</v>
      </c>
      <c r="D1353" t="str">
        <f t="shared" si="675"/>
        <v>11121004</v>
      </c>
      <c r="E1353" t="str">
        <f t="shared" si="676"/>
        <v>121004</v>
      </c>
      <c r="F1353" t="str">
        <f t="shared" si="677"/>
        <v>FABIANA GODOY</v>
      </c>
      <c r="G1353" t="str">
        <f>"21878263000178"</f>
        <v>21878263000178</v>
      </c>
      <c r="H1353" t="str">
        <f t="shared" si="690"/>
        <v>0</v>
      </c>
      <c r="I1353" t="str">
        <f t="shared" si="684"/>
        <v>CONTA OPTICA</v>
      </c>
      <c r="J1353" t="str">
        <f>"EDUARDO FRANCISCO VIEIRA"</f>
        <v>EDUARDO FRANCISCO VIEIRA</v>
      </c>
      <c r="K1353" t="str">
        <f>"OTICA POPULAR (2215)"</f>
        <v>OTICA POPULAR (2215)</v>
      </c>
      <c r="L1353" t="str">
        <f>""</f>
        <v/>
      </c>
      <c r="M1353" t="str">
        <f>""</f>
        <v/>
      </c>
      <c r="N1353" t="str">
        <f>"OTICAPOPULAR03@HOTMAIL.COM"</f>
        <v>OTICAPOPULAR03@HOTMAIL.COM</v>
      </c>
      <c r="O1353" t="str">
        <f>""</f>
        <v/>
      </c>
      <c r="P1353" t="str">
        <f>"2ª AVENIDA"</f>
        <v>2ª AVENIDA</v>
      </c>
      <c r="Q1353" t="str">
        <f>"707"</f>
        <v>707</v>
      </c>
      <c r="R1353" t="str">
        <f>"SALA 04"</f>
        <v>SALA 04</v>
      </c>
      <c r="S1353" t="str">
        <f>"1260"</f>
        <v>1260</v>
      </c>
      <c r="T1353" t="str">
        <f>"88220000"</f>
        <v>88220000</v>
      </c>
      <c r="U1353" t="str">
        <f>"MEIA PRAIA"</f>
        <v>MEIA PRAIA</v>
      </c>
      <c r="V1353" t="str">
        <f>"ITAPEMA"</f>
        <v>ITAPEMA</v>
      </c>
      <c r="W1353" t="str">
        <f t="shared" si="672"/>
        <v>SC</v>
      </c>
      <c r="X1353" t="str">
        <f t="shared" si="681"/>
        <v>47</v>
      </c>
      <c r="Y1353" t="str">
        <f>"33980149"</f>
        <v>33980149</v>
      </c>
      <c r="Z1353" t="str">
        <f>""</f>
        <v/>
      </c>
      <c r="AA1353" t="str">
        <f>""</f>
        <v/>
      </c>
      <c r="AB1353" t="str">
        <f>""</f>
        <v/>
      </c>
      <c r="AC1353" t="str">
        <f>""</f>
        <v/>
      </c>
      <c r="AD1353" t="str">
        <f>""</f>
        <v/>
      </c>
      <c r="AE1353" t="str">
        <f>""</f>
        <v/>
      </c>
      <c r="AF1353" t="str">
        <f>""</f>
        <v/>
      </c>
      <c r="AG1353" t="str">
        <f>""</f>
        <v/>
      </c>
      <c r="AH1353" t="str">
        <f>""</f>
        <v/>
      </c>
      <c r="AI1353" t="str">
        <f>""</f>
        <v/>
      </c>
      <c r="AJ1353" t="str">
        <f>""</f>
        <v/>
      </c>
      <c r="AK1353" t="str">
        <f>""</f>
        <v/>
      </c>
      <c r="AL1353" t="str">
        <f>""</f>
        <v/>
      </c>
      <c r="AM1353" t="str">
        <f>""</f>
        <v/>
      </c>
      <c r="AN1353" t="str">
        <f>""</f>
        <v/>
      </c>
      <c r="AO1353" t="str">
        <f>""</f>
        <v/>
      </c>
      <c r="AP1353" t="str">
        <f>""</f>
        <v/>
      </c>
      <c r="AQ1353" t="str">
        <f>""</f>
        <v/>
      </c>
      <c r="AR1353" t="str">
        <f>""</f>
        <v/>
      </c>
      <c r="AS1353" t="str">
        <f>""</f>
        <v/>
      </c>
      <c r="AT1353" t="str">
        <f>""</f>
        <v/>
      </c>
      <c r="AU1353" t="str">
        <f>""</f>
        <v/>
      </c>
      <c r="AV1353" t="str">
        <f>""</f>
        <v/>
      </c>
      <c r="AW1353" t="str">
        <f>""</f>
        <v/>
      </c>
      <c r="AX1353" t="str">
        <f>""</f>
        <v/>
      </c>
      <c r="AY1353" t="str">
        <f>""</f>
        <v/>
      </c>
      <c r="AZ1353" t="str">
        <f>""</f>
        <v/>
      </c>
      <c r="BA1353" t="str">
        <f>""</f>
        <v/>
      </c>
      <c r="BB1353" t="str">
        <f>"11/07/2023 02:26:32"</f>
        <v>11/07/2023 02:26:32</v>
      </c>
      <c r="BC1353" t="str">
        <f>""</f>
        <v/>
      </c>
      <c r="BD1353" t="str">
        <f>""</f>
        <v/>
      </c>
      <c r="BE1353" t="str">
        <f>""</f>
        <v/>
      </c>
      <c r="BF1353" t="str">
        <f t="shared" si="685"/>
        <v>A</v>
      </c>
      <c r="BG1353" t="str">
        <f>""</f>
        <v/>
      </c>
      <c r="BH1353" t="str">
        <f>""</f>
        <v/>
      </c>
      <c r="BI1353" t="str">
        <f t="shared" si="691"/>
        <v>EVENTUAL</v>
      </c>
      <c r="BJ1353" t="str">
        <f t="shared" si="686"/>
        <v>1</v>
      </c>
      <c r="BK1353" t="str">
        <f t="shared" si="687"/>
        <v>Farmacia</v>
      </c>
      <c r="BL1353" t="str">
        <f>""</f>
        <v/>
      </c>
      <c r="BM1353" t="str">
        <f>""</f>
        <v/>
      </c>
      <c r="BN1353" t="str">
        <f>""</f>
        <v/>
      </c>
      <c r="BO1353" t="str">
        <f>""</f>
        <v/>
      </c>
      <c r="BP1353" t="str">
        <f>""</f>
        <v/>
      </c>
      <c r="BQ1353" t="str">
        <f>""</f>
        <v/>
      </c>
      <c r="BR1353" t="str">
        <f>"11/07/2023"</f>
        <v>11/07/2023</v>
      </c>
      <c r="BS1353" t="str">
        <f>""</f>
        <v/>
      </c>
      <c r="BT1353" t="str">
        <f>""</f>
        <v/>
      </c>
      <c r="BU1353" t="str">
        <f>""</f>
        <v/>
      </c>
      <c r="BV1353" t="str">
        <f>""</f>
        <v/>
      </c>
      <c r="BW1353" t="str">
        <f>"Não visitado"</f>
        <v>Não visitado</v>
      </c>
    </row>
    <row r="1354" spans="1:75" x14ac:dyDescent="0.35">
      <c r="A1354">
        <v>157047</v>
      </c>
      <c r="B1354" t="str">
        <f t="shared" si="682"/>
        <v>A</v>
      </c>
      <c r="C1354" t="str">
        <f t="shared" si="683"/>
        <v>80</v>
      </c>
      <c r="D1354" t="str">
        <f t="shared" si="675"/>
        <v>11121004</v>
      </c>
      <c r="E1354" t="str">
        <f t="shared" si="676"/>
        <v>121004</v>
      </c>
      <c r="F1354" t="str">
        <f t="shared" si="677"/>
        <v>FABIANA GODOY</v>
      </c>
      <c r="G1354" t="str">
        <f>"41288080000100"</f>
        <v>41288080000100</v>
      </c>
      <c r="H1354" t="str">
        <f t="shared" si="690"/>
        <v>0</v>
      </c>
      <c r="I1354" t="str">
        <f t="shared" si="684"/>
        <v>CONTA OPTICA</v>
      </c>
      <c r="J1354" t="str">
        <f>"EJR FRANCHISING DE OTICA LTDA"</f>
        <v>EJR FRANCHISING DE OTICA LTDA</v>
      </c>
      <c r="K1354" t="str">
        <f>"MERCADAO DOS OCULOS (4676)"</f>
        <v>MERCADAO DOS OCULOS (4676)</v>
      </c>
      <c r="L1354" t="str">
        <f>""</f>
        <v/>
      </c>
      <c r="M1354" t="str">
        <f>""</f>
        <v/>
      </c>
      <c r="N1354" t="str">
        <f>"LISANDRA.ORTODONTIC@GMAIL.COM"</f>
        <v>LISANDRA.ORTODONTIC@GMAIL.COM</v>
      </c>
      <c r="O1354" t="str">
        <f>""</f>
        <v/>
      </c>
      <c r="P1354" t="str">
        <f>"RUA QUINZE DE NOVEMBRO"</f>
        <v>RUA QUINZE DE NOVEMBRO</v>
      </c>
      <c r="Q1354" t="str">
        <f>"962"</f>
        <v>962</v>
      </c>
      <c r="R1354" t="str">
        <f>""</f>
        <v/>
      </c>
      <c r="S1354" t="str">
        <f>"1271"</f>
        <v>1271</v>
      </c>
      <c r="T1354" t="str">
        <f>"89010002"</f>
        <v>89010002</v>
      </c>
      <c r="U1354" t="str">
        <f>"CENTRO"</f>
        <v>CENTRO</v>
      </c>
      <c r="V1354" t="str">
        <f>"BLUMENAU"</f>
        <v>BLUMENAU</v>
      </c>
      <c r="W1354" t="str">
        <f t="shared" si="672"/>
        <v>SC</v>
      </c>
      <c r="X1354" t="str">
        <f t="shared" si="681"/>
        <v>47</v>
      </c>
      <c r="Y1354" t="str">
        <f>"996034038"</f>
        <v>996034038</v>
      </c>
      <c r="Z1354" t="str">
        <f>""</f>
        <v/>
      </c>
      <c r="AA1354" t="str">
        <f>""</f>
        <v/>
      </c>
      <c r="AB1354" t="str">
        <f>""</f>
        <v/>
      </c>
      <c r="AC1354" t="str">
        <f>""</f>
        <v/>
      </c>
      <c r="AD1354" t="str">
        <f>""</f>
        <v/>
      </c>
      <c r="AE1354" t="str">
        <f>""</f>
        <v/>
      </c>
      <c r="AF1354" t="str">
        <f>""</f>
        <v/>
      </c>
      <c r="AG1354" t="str">
        <f>""</f>
        <v/>
      </c>
      <c r="AH1354" t="str">
        <f>""</f>
        <v/>
      </c>
      <c r="AI1354" t="str">
        <f>""</f>
        <v/>
      </c>
      <c r="AJ1354" t="str">
        <f>""</f>
        <v/>
      </c>
      <c r="AK1354" t="str">
        <f>""</f>
        <v/>
      </c>
      <c r="AL1354" t="str">
        <f>""</f>
        <v/>
      </c>
      <c r="AM1354" t="str">
        <f>""</f>
        <v/>
      </c>
      <c r="AN1354" t="str">
        <f>""</f>
        <v/>
      </c>
      <c r="AO1354" t="str">
        <f>""</f>
        <v/>
      </c>
      <c r="AP1354" t="str">
        <f>""</f>
        <v/>
      </c>
      <c r="AQ1354" t="str">
        <f>""</f>
        <v/>
      </c>
      <c r="AR1354" t="str">
        <f>""</f>
        <v/>
      </c>
      <c r="AS1354" t="str">
        <f>""</f>
        <v/>
      </c>
      <c r="AT1354" t="str">
        <f>""</f>
        <v/>
      </c>
      <c r="AU1354" t="str">
        <f>""</f>
        <v/>
      </c>
      <c r="AV1354" t="str">
        <f>""</f>
        <v/>
      </c>
      <c r="AW1354" t="str">
        <f>""</f>
        <v/>
      </c>
      <c r="AX1354" t="str">
        <f>""</f>
        <v/>
      </c>
      <c r="AY1354" t="str">
        <f>""</f>
        <v/>
      </c>
      <c r="AZ1354" t="str">
        <f>""</f>
        <v/>
      </c>
      <c r="BA1354" t="str">
        <f>""</f>
        <v/>
      </c>
      <c r="BB1354" t="str">
        <f>"06/07/2023 12:07:48"</f>
        <v>06/07/2023 12:07:48</v>
      </c>
      <c r="BC1354" t="str">
        <f>""</f>
        <v/>
      </c>
      <c r="BD1354" t="str">
        <f>""</f>
        <v/>
      </c>
      <c r="BE1354" t="str">
        <f>""</f>
        <v/>
      </c>
      <c r="BF1354" t="str">
        <f t="shared" si="685"/>
        <v>A</v>
      </c>
      <c r="BG1354" t="str">
        <f>""</f>
        <v/>
      </c>
      <c r="BH1354" t="str">
        <f>""</f>
        <v/>
      </c>
      <c r="BI1354" t="str">
        <f t="shared" si="691"/>
        <v>EVENTUAL</v>
      </c>
      <c r="BJ1354" t="str">
        <f t="shared" si="686"/>
        <v>1</v>
      </c>
      <c r="BK1354" t="str">
        <f t="shared" si="687"/>
        <v>Farmacia</v>
      </c>
      <c r="BL1354" t="str">
        <f>""</f>
        <v/>
      </c>
      <c r="BM1354" t="str">
        <f>""</f>
        <v/>
      </c>
      <c r="BN1354" t="str">
        <f>""</f>
        <v/>
      </c>
      <c r="BO1354" t="str">
        <f>""</f>
        <v/>
      </c>
      <c r="BP1354" t="str">
        <f>""</f>
        <v/>
      </c>
      <c r="BQ1354" t="str">
        <f>""</f>
        <v/>
      </c>
      <c r="BR1354" t="str">
        <f>"06/07/2023"</f>
        <v>06/07/2023</v>
      </c>
      <c r="BS1354" t="str">
        <f>""</f>
        <v/>
      </c>
      <c r="BT1354" t="str">
        <f>""</f>
        <v/>
      </c>
      <c r="BU1354" t="str">
        <f>""</f>
        <v/>
      </c>
      <c r="BV1354" t="str">
        <f>""</f>
        <v/>
      </c>
      <c r="BW1354" t="str">
        <f>"Não visitado"</f>
        <v>Não visitado</v>
      </c>
    </row>
    <row r="1355" spans="1:75" x14ac:dyDescent="0.35">
      <c r="A1355">
        <v>137594</v>
      </c>
      <c r="B1355" t="str">
        <f t="shared" si="682"/>
        <v>A</v>
      </c>
      <c r="C1355" t="str">
        <f t="shared" si="683"/>
        <v>80</v>
      </c>
      <c r="D1355" t="str">
        <f t="shared" si="675"/>
        <v>11121004</v>
      </c>
      <c r="E1355" t="str">
        <f t="shared" si="676"/>
        <v>121004</v>
      </c>
      <c r="F1355" t="str">
        <f t="shared" si="677"/>
        <v>FABIANA GODOY</v>
      </c>
      <c r="G1355" t="str">
        <f>"21267913000149"</f>
        <v>21267913000149</v>
      </c>
      <c r="H1355" t="str">
        <f t="shared" si="690"/>
        <v>0</v>
      </c>
      <c r="I1355" t="str">
        <f t="shared" si="684"/>
        <v>CONTA OPTICA</v>
      </c>
      <c r="J1355" t="str">
        <f>"EMG OPTICAS LTDA ME"</f>
        <v>EMG OPTICAS LTDA ME</v>
      </c>
      <c r="K1355" t="str">
        <f>"OTICAS OVERLOOK (2177)"</f>
        <v>OTICAS OVERLOOK (2177)</v>
      </c>
      <c r="L1355" t="str">
        <f>""</f>
        <v/>
      </c>
      <c r="M1355" t="str">
        <f>""</f>
        <v/>
      </c>
      <c r="N1355" t="str">
        <f>"overlook-adm@outlook.com"</f>
        <v>overlook-adm@outlook.com</v>
      </c>
      <c r="O1355" t="str">
        <f>""</f>
        <v/>
      </c>
      <c r="P1355" t="str">
        <f>"AVENIDA TERCEIRA AVENIDA"</f>
        <v>AVENIDA TERCEIRA AVENIDA</v>
      </c>
      <c r="Q1355" t="str">
        <f>"835"</f>
        <v>835</v>
      </c>
      <c r="R1355" t="str">
        <f>"SALA 01"</f>
        <v>SALA 01</v>
      </c>
      <c r="S1355" t="str">
        <f>"1262"</f>
        <v>1262</v>
      </c>
      <c r="T1355" t="str">
        <f>"88330091"</f>
        <v>88330091</v>
      </c>
      <c r="U1355" t="str">
        <f>"CENTRO"</f>
        <v>CENTRO</v>
      </c>
      <c r="V1355" t="str">
        <f>"BALNEÁRIO CAMBORIÚ"</f>
        <v>BALNEÁRIO CAMBORIÚ</v>
      </c>
      <c r="W1355" t="str">
        <f t="shared" si="672"/>
        <v>SC</v>
      </c>
      <c r="X1355" t="str">
        <f t="shared" si="681"/>
        <v>47</v>
      </c>
      <c r="Y1355" t="str">
        <f>"33632607"</f>
        <v>33632607</v>
      </c>
      <c r="Z1355" t="str">
        <f>""</f>
        <v/>
      </c>
      <c r="AA1355" t="str">
        <f>""</f>
        <v/>
      </c>
      <c r="AB1355" t="str">
        <f>""</f>
        <v/>
      </c>
      <c r="AC1355" t="str">
        <f>""</f>
        <v/>
      </c>
      <c r="AD1355" t="str">
        <f>""</f>
        <v/>
      </c>
      <c r="AE1355" t="str">
        <f>""</f>
        <v/>
      </c>
      <c r="AF1355" t="str">
        <f>""</f>
        <v/>
      </c>
      <c r="AG1355" t="str">
        <f>"S"</f>
        <v>S</v>
      </c>
      <c r="AH1355" t="str">
        <f>""</f>
        <v/>
      </c>
      <c r="AI1355" t="str">
        <f>""</f>
        <v/>
      </c>
      <c r="AJ1355" t="str">
        <f>""</f>
        <v/>
      </c>
      <c r="AK1355" t="str">
        <f>""</f>
        <v/>
      </c>
      <c r="AL1355" t="str">
        <f>""</f>
        <v/>
      </c>
      <c r="AM1355" t="str">
        <f>""</f>
        <v/>
      </c>
      <c r="AN1355" t="str">
        <f>""</f>
        <v/>
      </c>
      <c r="AO1355" t="str">
        <f>""</f>
        <v/>
      </c>
      <c r="AP1355" t="str">
        <f>""</f>
        <v/>
      </c>
      <c r="AQ1355" t="str">
        <f t="shared" ref="AQ1355:AU1356" si="692">"N"</f>
        <v>N</v>
      </c>
      <c r="AR1355" t="str">
        <f t="shared" si="692"/>
        <v>N</v>
      </c>
      <c r="AS1355" t="str">
        <f t="shared" si="692"/>
        <v>N</v>
      </c>
      <c r="AT1355" t="str">
        <f t="shared" si="692"/>
        <v>N</v>
      </c>
      <c r="AU1355" t="str">
        <f t="shared" si="692"/>
        <v>N</v>
      </c>
      <c r="AV1355" t="str">
        <f>""</f>
        <v/>
      </c>
      <c r="AW1355" t="str">
        <f>""</f>
        <v/>
      </c>
      <c r="AX1355" t="str">
        <f>""</f>
        <v/>
      </c>
      <c r="AY1355" t="str">
        <f>""</f>
        <v/>
      </c>
      <c r="AZ1355" t="str">
        <f>""</f>
        <v/>
      </c>
      <c r="BA1355" t="str">
        <f>""</f>
        <v/>
      </c>
      <c r="BB1355" t="str">
        <f>"01/07/2021 13:53:04"</f>
        <v>01/07/2021 13:53:04</v>
      </c>
      <c r="BC1355" t="str">
        <f>"11/01/2022 14:27:40"</f>
        <v>11/01/2022 14:27:40</v>
      </c>
      <c r="BD1355" t="str">
        <f>""</f>
        <v/>
      </c>
      <c r="BE1355" t="str">
        <f>""</f>
        <v/>
      </c>
      <c r="BF1355" t="str">
        <f t="shared" si="685"/>
        <v>A</v>
      </c>
      <c r="BG1355" t="str">
        <f>""</f>
        <v/>
      </c>
      <c r="BH1355" t="str">
        <f>"0,00"</f>
        <v>0,00</v>
      </c>
      <c r="BI1355" t="str">
        <f t="shared" si="691"/>
        <v>EVENTUAL</v>
      </c>
      <c r="BJ1355" t="str">
        <f t="shared" si="686"/>
        <v>1</v>
      </c>
      <c r="BK1355" t="str">
        <f t="shared" si="687"/>
        <v>Farmacia</v>
      </c>
      <c r="BL1355" t="str">
        <f>""</f>
        <v/>
      </c>
      <c r="BM1355" t="str">
        <f>"NÃO É VARILUX ESPECIALISTA"</f>
        <v>NÃO É VARILUX ESPECIALISTA</v>
      </c>
      <c r="BN1355" t="str">
        <f t="shared" ref="BN1355:BN1360" si="693">"NA"</f>
        <v>NA</v>
      </c>
      <c r="BO1355" t="str">
        <f>"FOCO VARILUX DIGITAL"</f>
        <v>FOCO VARILUX DIGITAL</v>
      </c>
      <c r="BP1355" t="str">
        <f>""</f>
        <v/>
      </c>
      <c r="BQ1355" t="str">
        <f>""</f>
        <v/>
      </c>
      <c r="BR1355" t="str">
        <f>"01/07/2021"</f>
        <v>01/07/2021</v>
      </c>
      <c r="BS1355" t="str">
        <f>"11/01/2022"</f>
        <v>11/01/2022</v>
      </c>
      <c r="BT1355" t="str">
        <f>""</f>
        <v/>
      </c>
      <c r="BU1355" t="str">
        <f>""</f>
        <v/>
      </c>
      <c r="BV1355" t="str">
        <f>""</f>
        <v/>
      </c>
      <c r="BW1355" t="str">
        <f>"58"</f>
        <v>58</v>
      </c>
    </row>
    <row r="1356" spans="1:75" x14ac:dyDescent="0.35">
      <c r="A1356">
        <v>137597</v>
      </c>
      <c r="B1356" t="str">
        <f t="shared" si="682"/>
        <v>A</v>
      </c>
      <c r="C1356" t="str">
        <f t="shared" si="683"/>
        <v>80</v>
      </c>
      <c r="D1356" t="str">
        <f t="shared" si="675"/>
        <v>11121004</v>
      </c>
      <c r="E1356" t="str">
        <f t="shared" si="676"/>
        <v>121004</v>
      </c>
      <c r="F1356" t="str">
        <f t="shared" si="677"/>
        <v>FABIANA GODOY</v>
      </c>
      <c r="G1356" t="str">
        <f>"38626253000148"</f>
        <v>38626253000148</v>
      </c>
      <c r="H1356" t="str">
        <f t="shared" si="690"/>
        <v>0</v>
      </c>
      <c r="I1356" t="str">
        <f t="shared" si="684"/>
        <v>CONTA OPTICA</v>
      </c>
      <c r="J1356" t="str">
        <f>"FABIANE LIMA DAL PASS 02049630018"</f>
        <v>FABIANE LIMA DAL PASS 02049630018</v>
      </c>
      <c r="K1356" t="str">
        <f>"LA BELLE (4196)"</f>
        <v>LA BELLE (4196)</v>
      </c>
      <c r="L1356" t="str">
        <f>""</f>
        <v/>
      </c>
      <c r="M1356" t="str">
        <f>""</f>
        <v/>
      </c>
      <c r="N1356" t="str">
        <f>"labelleateliedejoais@gmail.com"</f>
        <v>labelleateliedejoais@gmail.com</v>
      </c>
      <c r="O1356" t="str">
        <f>""</f>
        <v/>
      </c>
      <c r="P1356" t="str">
        <f>"AVENIDA BAYER FILHO"</f>
        <v>AVENIDA BAYER FILHO</v>
      </c>
      <c r="Q1356" t="str">
        <f>"967"</f>
        <v>967</v>
      </c>
      <c r="R1356" t="str">
        <f>"SALA 03"</f>
        <v>SALA 03</v>
      </c>
      <c r="S1356" t="str">
        <f>"1260"</f>
        <v>1260</v>
      </c>
      <c r="T1356" t="str">
        <f>"88200000"</f>
        <v>88200000</v>
      </c>
      <c r="U1356" t="str">
        <f>"CENTRO"</f>
        <v>CENTRO</v>
      </c>
      <c r="V1356" t="str">
        <f>"TIJUCAS"</f>
        <v>TIJUCAS</v>
      </c>
      <c r="W1356" t="str">
        <f t="shared" si="672"/>
        <v>SC</v>
      </c>
      <c r="X1356" t="str">
        <f>"48"</f>
        <v>48</v>
      </c>
      <c r="Y1356" t="str">
        <f>"999208900"</f>
        <v>999208900</v>
      </c>
      <c r="Z1356" t="str">
        <f>""</f>
        <v/>
      </c>
      <c r="AA1356" t="str">
        <f>""</f>
        <v/>
      </c>
      <c r="AB1356" t="str">
        <f>""</f>
        <v/>
      </c>
      <c r="AC1356" t="str">
        <f>""</f>
        <v/>
      </c>
      <c r="AD1356" t="str">
        <f>""</f>
        <v/>
      </c>
      <c r="AE1356" t="str">
        <f>""</f>
        <v/>
      </c>
      <c r="AF1356" t="str">
        <f>""</f>
        <v/>
      </c>
      <c r="AG1356" t="str">
        <f>"S"</f>
        <v>S</v>
      </c>
      <c r="AH1356" t="str">
        <f>""</f>
        <v/>
      </c>
      <c r="AI1356" t="str">
        <f>""</f>
        <v/>
      </c>
      <c r="AJ1356" t="str">
        <f>""</f>
        <v/>
      </c>
      <c r="AK1356" t="str">
        <f>""</f>
        <v/>
      </c>
      <c r="AL1356" t="str">
        <f>""</f>
        <v/>
      </c>
      <c r="AM1356" t="str">
        <f>""</f>
        <v/>
      </c>
      <c r="AN1356" t="str">
        <f>""</f>
        <v/>
      </c>
      <c r="AO1356" t="str">
        <f>""</f>
        <v/>
      </c>
      <c r="AP1356" t="str">
        <f>""</f>
        <v/>
      </c>
      <c r="AQ1356" t="str">
        <f t="shared" si="692"/>
        <v>N</v>
      </c>
      <c r="AR1356" t="str">
        <f t="shared" si="692"/>
        <v>N</v>
      </c>
      <c r="AS1356" t="str">
        <f t="shared" si="692"/>
        <v>N</v>
      </c>
      <c r="AT1356" t="str">
        <f t="shared" si="692"/>
        <v>N</v>
      </c>
      <c r="AU1356" t="str">
        <f t="shared" si="692"/>
        <v>N</v>
      </c>
      <c r="AV1356" t="str">
        <f>""</f>
        <v/>
      </c>
      <c r="AW1356" t="str">
        <f>""</f>
        <v/>
      </c>
      <c r="AX1356" t="str">
        <f>""</f>
        <v/>
      </c>
      <c r="AY1356" t="str">
        <f>""</f>
        <v/>
      </c>
      <c r="AZ1356" t="str">
        <f>""</f>
        <v/>
      </c>
      <c r="BA1356" t="str">
        <f>""</f>
        <v/>
      </c>
      <c r="BB1356" t="str">
        <f>"01/07/2021 13:53:04"</f>
        <v>01/07/2021 13:53:04</v>
      </c>
      <c r="BC1356" t="str">
        <f>"29/06/2023 10:57:11"</f>
        <v>29/06/2023 10:57:11</v>
      </c>
      <c r="BD1356" t="str">
        <f>""</f>
        <v/>
      </c>
      <c r="BE1356" t="str">
        <f>""</f>
        <v/>
      </c>
      <c r="BF1356" t="str">
        <f t="shared" si="685"/>
        <v>A</v>
      </c>
      <c r="BG1356" t="str">
        <f>""</f>
        <v/>
      </c>
      <c r="BH1356" t="str">
        <f>"0,00"</f>
        <v>0,00</v>
      </c>
      <c r="BI1356" t="str">
        <f t="shared" si="691"/>
        <v>EVENTUAL</v>
      </c>
      <c r="BJ1356" t="str">
        <f t="shared" si="686"/>
        <v>1</v>
      </c>
      <c r="BK1356" t="str">
        <f t="shared" si="687"/>
        <v>Farmacia</v>
      </c>
      <c r="BL1356" t="str">
        <f>""</f>
        <v/>
      </c>
      <c r="BM1356" t="str">
        <f>"NÃO É VARILUX ESPECIALISTA"</f>
        <v>NÃO É VARILUX ESPECIALISTA</v>
      </c>
      <c r="BN1356" t="str">
        <f t="shared" si="693"/>
        <v>NA</v>
      </c>
      <c r="BO1356" t="str">
        <f>"FOCO VARILUX DIGITAL"</f>
        <v>FOCO VARILUX DIGITAL</v>
      </c>
      <c r="BP1356" t="str">
        <f>""</f>
        <v/>
      </c>
      <c r="BQ1356" t="str">
        <f>""</f>
        <v/>
      </c>
      <c r="BR1356" t="str">
        <f>"01/07/2021"</f>
        <v>01/07/2021</v>
      </c>
      <c r="BS1356" t="str">
        <f>"29/06/2023"</f>
        <v>29/06/2023</v>
      </c>
      <c r="BT1356" t="str">
        <f>""</f>
        <v/>
      </c>
      <c r="BU1356" t="str">
        <f>""</f>
        <v/>
      </c>
      <c r="BV1356" t="str">
        <f>""</f>
        <v/>
      </c>
      <c r="BW1356" t="str">
        <f>"298"</f>
        <v>298</v>
      </c>
    </row>
    <row r="1357" spans="1:75" x14ac:dyDescent="0.35">
      <c r="A1357">
        <v>4787</v>
      </c>
      <c r="B1357" t="str">
        <f t="shared" si="682"/>
        <v>A</v>
      </c>
      <c r="C1357" t="str">
        <f t="shared" si="683"/>
        <v>80</v>
      </c>
      <c r="D1357" t="str">
        <f t="shared" si="675"/>
        <v>11121004</v>
      </c>
      <c r="E1357" t="str">
        <f t="shared" si="676"/>
        <v>121004</v>
      </c>
      <c r="F1357" t="str">
        <f t="shared" si="677"/>
        <v>FABIANA GODOY</v>
      </c>
      <c r="G1357" t="str">
        <f>"07884714000159"</f>
        <v>07884714000159</v>
      </c>
      <c r="H1357" t="str">
        <f>""</f>
        <v/>
      </c>
      <c r="I1357" t="str">
        <f t="shared" si="684"/>
        <v>CONTA OPTICA</v>
      </c>
      <c r="J1357" t="str">
        <f>"FABIANO MENDES FERNANDES ME"</f>
        <v>FABIANO MENDES FERNANDES ME</v>
      </c>
      <c r="K1357" t="str">
        <f>"KIOTICA (872)"</f>
        <v>KIOTICA (872)</v>
      </c>
      <c r="L1357" t="str">
        <f>""</f>
        <v/>
      </c>
      <c r="M1357" t="str">
        <f>""</f>
        <v/>
      </c>
      <c r="N1357" t="str">
        <f>"kiotica1@hotmail.com"</f>
        <v>kiotica1@hotmail.com</v>
      </c>
      <c r="O1357" t="str">
        <f>""</f>
        <v/>
      </c>
      <c r="P1357" t="str">
        <f>"RUA XV DE NOVEMBRO"</f>
        <v>RUA XV DE NOVEMBRO</v>
      </c>
      <c r="Q1357" t="str">
        <f>"1096"</f>
        <v>1096</v>
      </c>
      <c r="R1357" t="str">
        <f>"ANDAR TERREO"</f>
        <v>ANDAR TERREO</v>
      </c>
      <c r="S1357" t="str">
        <f>"1273"</f>
        <v>1273</v>
      </c>
      <c r="T1357" t="str">
        <f>"89010902"</f>
        <v>89010902</v>
      </c>
      <c r="U1357" t="str">
        <f>"NAO INFORMADO"</f>
        <v>NAO INFORMADO</v>
      </c>
      <c r="V1357" t="str">
        <f>"BLUMENAU"</f>
        <v>BLUMENAU</v>
      </c>
      <c r="W1357" t="str">
        <f t="shared" si="672"/>
        <v>SC</v>
      </c>
      <c r="X1357" t="str">
        <f>"47"</f>
        <v>47</v>
      </c>
      <c r="Y1357" t="str">
        <f>"30410338"</f>
        <v>30410338</v>
      </c>
      <c r="Z1357" t="str">
        <f>""</f>
        <v/>
      </c>
      <c r="AA1357" t="str">
        <f>""</f>
        <v/>
      </c>
      <c r="AB1357" t="str">
        <f>""</f>
        <v/>
      </c>
      <c r="AC1357" t="str">
        <f>""</f>
        <v/>
      </c>
      <c r="AD1357" t="str">
        <f>""</f>
        <v/>
      </c>
      <c r="AE1357" t="str">
        <f>""</f>
        <v/>
      </c>
      <c r="AF1357" t="str">
        <f>""</f>
        <v/>
      </c>
      <c r="AG1357" t="str">
        <f>""</f>
        <v/>
      </c>
      <c r="AH1357" t="str">
        <f>""</f>
        <v/>
      </c>
      <c r="AI1357" t="str">
        <f>""</f>
        <v/>
      </c>
      <c r="AJ1357" t="str">
        <f t="shared" ref="AJ1357:AL1358" si="694">"0"</f>
        <v>0</v>
      </c>
      <c r="AK1357" t="str">
        <f t="shared" si="694"/>
        <v>0</v>
      </c>
      <c r="AL1357" t="str">
        <f t="shared" si="694"/>
        <v>0</v>
      </c>
      <c r="AM1357" t="str">
        <f>""</f>
        <v/>
      </c>
      <c r="AN1357" t="str">
        <f>""</f>
        <v/>
      </c>
      <c r="AO1357" t="str">
        <f>""</f>
        <v/>
      </c>
      <c r="AP1357" t="str">
        <f>""</f>
        <v/>
      </c>
      <c r="AQ1357" t="str">
        <f>""</f>
        <v/>
      </c>
      <c r="AR1357" t="str">
        <f>""</f>
        <v/>
      </c>
      <c r="AS1357" t="str">
        <f>""</f>
        <v/>
      </c>
      <c r="AT1357" t="str">
        <f>""</f>
        <v/>
      </c>
      <c r="AU1357" t="str">
        <f>""</f>
        <v/>
      </c>
      <c r="AV1357" t="str">
        <f>""</f>
        <v/>
      </c>
      <c r="AW1357" t="str">
        <f>""</f>
        <v/>
      </c>
      <c r="AX1357" t="str">
        <f>""</f>
        <v/>
      </c>
      <c r="AY1357" t="str">
        <f>""</f>
        <v/>
      </c>
      <c r="AZ1357" t="str">
        <f>""</f>
        <v/>
      </c>
      <c r="BA1357" t="str">
        <f>""</f>
        <v/>
      </c>
      <c r="BB1357" t="str">
        <f>"30/08/2018 17:21:40"</f>
        <v>30/08/2018 17:21:40</v>
      </c>
      <c r="BC1357" t="str">
        <f>""</f>
        <v/>
      </c>
      <c r="BD1357" t="str">
        <f>""</f>
        <v/>
      </c>
      <c r="BE1357" t="str">
        <f>""</f>
        <v/>
      </c>
      <c r="BF1357" t="str">
        <f t="shared" si="685"/>
        <v>A</v>
      </c>
      <c r="BG1357" t="str">
        <f>"0,00"</f>
        <v>0,00</v>
      </c>
      <c r="BH1357" t="str">
        <f>"0,00"</f>
        <v>0,00</v>
      </c>
      <c r="BI1357" t="str">
        <f t="shared" si="691"/>
        <v>EVENTUAL</v>
      </c>
      <c r="BJ1357" t="str">
        <f t="shared" si="686"/>
        <v>1</v>
      </c>
      <c r="BK1357" t="str">
        <f t="shared" si="687"/>
        <v>Farmacia</v>
      </c>
      <c r="BL1357" t="str">
        <f>""</f>
        <v/>
      </c>
      <c r="BM1357" t="str">
        <f>"NÃO É VARILUX ESPECIALISTA"</f>
        <v>NÃO É VARILUX ESPECIALISTA</v>
      </c>
      <c r="BN1357" t="str">
        <f t="shared" si="693"/>
        <v>NA</v>
      </c>
      <c r="BO1357" t="str">
        <f>"OUTROS"</f>
        <v>OUTROS</v>
      </c>
      <c r="BP1357" t="str">
        <f>""</f>
        <v/>
      </c>
      <c r="BQ1357" t="str">
        <f>""</f>
        <v/>
      </c>
      <c r="BR1357" t="str">
        <f>"30/08/2018"</f>
        <v>30/08/2018</v>
      </c>
      <c r="BS1357" t="str">
        <f>""</f>
        <v/>
      </c>
      <c r="BT1357" t="str">
        <f>""</f>
        <v/>
      </c>
      <c r="BU1357" t="str">
        <f>""</f>
        <v/>
      </c>
      <c r="BV1357" t="str">
        <f>"9"</f>
        <v>9</v>
      </c>
      <c r="BW1357" t="str">
        <f>"Não visitado"</f>
        <v>Não visitado</v>
      </c>
    </row>
    <row r="1358" spans="1:75" x14ac:dyDescent="0.35">
      <c r="A1358">
        <v>1225</v>
      </c>
      <c r="B1358" t="str">
        <f t="shared" si="682"/>
        <v>A</v>
      </c>
      <c r="C1358" t="str">
        <f t="shared" si="683"/>
        <v>80</v>
      </c>
      <c r="D1358" t="str">
        <f t="shared" si="675"/>
        <v>11121004</v>
      </c>
      <c r="E1358" t="str">
        <f t="shared" si="676"/>
        <v>121004</v>
      </c>
      <c r="F1358" t="str">
        <f t="shared" si="677"/>
        <v>FABIANA GODOY</v>
      </c>
      <c r="G1358" t="str">
        <f>"00557731000132"</f>
        <v>00557731000132</v>
      </c>
      <c r="H1358" t="str">
        <f>""</f>
        <v/>
      </c>
      <c r="I1358" t="str">
        <f t="shared" si="684"/>
        <v>CONTA OPTICA</v>
      </c>
      <c r="J1358" t="str">
        <f>"FAVANI COMERCIO DE JOIAS LTDA ME"</f>
        <v>FAVANI COMERCIO DE JOIAS LTDA ME</v>
      </c>
      <c r="K1358" t="str">
        <f>"FAVANI COMERCIO DE JOIAS LTDA ME (1318)"</f>
        <v>FAVANI COMERCIO DE JOIAS LTDA ME (1318)</v>
      </c>
      <c r="L1358" t="str">
        <f>""</f>
        <v/>
      </c>
      <c r="M1358" t="str">
        <f>""</f>
        <v/>
      </c>
      <c r="N1358" t="str">
        <f>"relojoariacyma@tpa.com.br"</f>
        <v>relojoariacyma@tpa.com.br</v>
      </c>
      <c r="O1358" t="str">
        <f>""</f>
        <v/>
      </c>
      <c r="P1358" t="str">
        <f>"RUA MARECHAL FLORIANO PEIXOTO"</f>
        <v>RUA MARECHAL FLORIANO PEIXOTO</v>
      </c>
      <c r="Q1358" t="str">
        <f>"37"</f>
        <v>37</v>
      </c>
      <c r="R1358" t="str">
        <f>""</f>
        <v/>
      </c>
      <c r="S1358" t="str">
        <f>"1275"</f>
        <v>1275</v>
      </c>
      <c r="T1358" t="str">
        <f>"89120000"</f>
        <v>89120000</v>
      </c>
      <c r="U1358" t="str">
        <f>"CENTRO"</f>
        <v>CENTRO</v>
      </c>
      <c r="V1358" t="str">
        <f>"TIMBÓ"</f>
        <v>TIMBÓ</v>
      </c>
      <c r="W1358" t="str">
        <f t="shared" si="672"/>
        <v>SC</v>
      </c>
      <c r="X1358" t="str">
        <f>"47"</f>
        <v>47</v>
      </c>
      <c r="Y1358" t="str">
        <f>"33821109"</f>
        <v>33821109</v>
      </c>
      <c r="Z1358" t="str">
        <f>""</f>
        <v/>
      </c>
      <c r="AA1358" t="str">
        <f>""</f>
        <v/>
      </c>
      <c r="AB1358" t="str">
        <f>""</f>
        <v/>
      </c>
      <c r="AC1358" t="str">
        <f>""</f>
        <v/>
      </c>
      <c r="AD1358" t="str">
        <f>""</f>
        <v/>
      </c>
      <c r="AE1358" t="str">
        <f>""</f>
        <v/>
      </c>
      <c r="AF1358" t="str">
        <f>""</f>
        <v/>
      </c>
      <c r="AG1358" t="str">
        <f>""</f>
        <v/>
      </c>
      <c r="AH1358" t="str">
        <f>""</f>
        <v/>
      </c>
      <c r="AI1358" t="str">
        <f>""</f>
        <v/>
      </c>
      <c r="AJ1358" t="str">
        <f t="shared" si="694"/>
        <v>0</v>
      </c>
      <c r="AK1358" t="str">
        <f t="shared" si="694"/>
        <v>0</v>
      </c>
      <c r="AL1358" t="str">
        <f t="shared" si="694"/>
        <v>0</v>
      </c>
      <c r="AM1358" t="str">
        <f>""</f>
        <v/>
      </c>
      <c r="AN1358" t="str">
        <f>""</f>
        <v/>
      </c>
      <c r="AO1358" t="str">
        <f>""</f>
        <v/>
      </c>
      <c r="AP1358" t="str">
        <f>""</f>
        <v/>
      </c>
      <c r="AQ1358" t="str">
        <f>""</f>
        <v/>
      </c>
      <c r="AR1358" t="str">
        <f>""</f>
        <v/>
      </c>
      <c r="AS1358" t="str">
        <f>""</f>
        <v/>
      </c>
      <c r="AT1358" t="str">
        <f>""</f>
        <v/>
      </c>
      <c r="AU1358" t="str">
        <f>""</f>
        <v/>
      </c>
      <c r="AV1358" t="str">
        <f>""</f>
        <v/>
      </c>
      <c r="AW1358" t="str">
        <f>""</f>
        <v/>
      </c>
      <c r="AX1358" t="str">
        <f>""</f>
        <v/>
      </c>
      <c r="AY1358" t="str">
        <f>""</f>
        <v/>
      </c>
      <c r="AZ1358" t="str">
        <f>""</f>
        <v/>
      </c>
      <c r="BA1358" t="str">
        <f>""</f>
        <v/>
      </c>
      <c r="BB1358" t="str">
        <f>"27/07/2018 09:26:10"</f>
        <v>27/07/2018 09:26:10</v>
      </c>
      <c r="BC1358" t="str">
        <f>""</f>
        <v/>
      </c>
      <c r="BD1358" t="str">
        <f>""</f>
        <v/>
      </c>
      <c r="BE1358" t="str">
        <f>"1225"</f>
        <v>1225</v>
      </c>
      <c r="BF1358" t="str">
        <f t="shared" si="685"/>
        <v>A</v>
      </c>
      <c r="BG1358" t="str">
        <f>"0,00"</f>
        <v>0,00</v>
      </c>
      <c r="BH1358" t="str">
        <f>"0,00"</f>
        <v>0,00</v>
      </c>
      <c r="BI1358" t="str">
        <f t="shared" si="691"/>
        <v>EVENTUAL</v>
      </c>
      <c r="BJ1358" t="str">
        <f t="shared" si="686"/>
        <v>1</v>
      </c>
      <c r="BK1358" t="str">
        <f t="shared" si="687"/>
        <v>Farmacia</v>
      </c>
      <c r="BL1358" t="str">
        <f>""</f>
        <v/>
      </c>
      <c r="BM1358" t="str">
        <f>"NÃO É VARILUX ESPECIALISTA"</f>
        <v>NÃO É VARILUX ESPECIALISTA</v>
      </c>
      <c r="BN1358" t="str">
        <f t="shared" si="693"/>
        <v>NA</v>
      </c>
      <c r="BO1358" t="str">
        <f>"FOCO VARILUX DIGITAL"</f>
        <v>FOCO VARILUX DIGITAL</v>
      </c>
      <c r="BP1358" t="str">
        <f>""</f>
        <v/>
      </c>
      <c r="BQ1358" t="str">
        <f>""</f>
        <v/>
      </c>
      <c r="BR1358" t="str">
        <f>"27/07/2018"</f>
        <v>27/07/2018</v>
      </c>
      <c r="BS1358" t="str">
        <f>""</f>
        <v/>
      </c>
      <c r="BT1358" t="str">
        <f>""</f>
        <v/>
      </c>
      <c r="BU1358" t="str">
        <f>""</f>
        <v/>
      </c>
      <c r="BV1358" t="str">
        <f>"5"</f>
        <v>5</v>
      </c>
      <c r="BW1358" t="str">
        <f>"2"</f>
        <v>2</v>
      </c>
    </row>
    <row r="1359" spans="1:75" x14ac:dyDescent="0.35">
      <c r="A1359">
        <v>137600</v>
      </c>
      <c r="B1359" t="str">
        <f t="shared" si="682"/>
        <v>A</v>
      </c>
      <c r="C1359" t="str">
        <f t="shared" si="683"/>
        <v>80</v>
      </c>
      <c r="D1359" t="str">
        <f t="shared" si="675"/>
        <v>11121004</v>
      </c>
      <c r="E1359" t="str">
        <f t="shared" si="676"/>
        <v>121004</v>
      </c>
      <c r="F1359" t="str">
        <f t="shared" si="677"/>
        <v>FABIANA GODOY</v>
      </c>
      <c r="G1359" t="str">
        <f>"36044214000107"</f>
        <v>36044214000107</v>
      </c>
      <c r="H1359" t="str">
        <f t="shared" ref="H1359:H1370" si="695">"0"</f>
        <v>0</v>
      </c>
      <c r="I1359" t="str">
        <f t="shared" si="684"/>
        <v>CONTA OPTICA</v>
      </c>
      <c r="J1359" t="str">
        <f>"FDX BRUSQUE OTICA LTDA"</f>
        <v>FDX BRUSQUE OTICA LTDA</v>
      </c>
      <c r="K1359" t="str">
        <f>"MERCADAO DOS OCULOS BRUSQUE (4116)"</f>
        <v>MERCADAO DOS OCULOS BRUSQUE (4116)</v>
      </c>
      <c r="L1359" t="str">
        <f>""</f>
        <v/>
      </c>
      <c r="M1359" t="str">
        <f>""</f>
        <v/>
      </c>
      <c r="N1359" t="str">
        <f>"gerente.mdobrusque@gmail.com"</f>
        <v>gerente.mdobrusque@gmail.com</v>
      </c>
      <c r="O1359" t="str">
        <f>""</f>
        <v/>
      </c>
      <c r="P1359" t="str">
        <f>"AVENIDA AVENIDA CONSUL CARLOS RENAUX"</f>
        <v>AVENIDA AVENIDA CONSUL CARLOS RENAUX</v>
      </c>
      <c r="Q1359" t="str">
        <f>"137"</f>
        <v>137</v>
      </c>
      <c r="R1359" t="str">
        <f>"SALA 06"</f>
        <v>SALA 06</v>
      </c>
      <c r="S1359" t="str">
        <f>"1263"</f>
        <v>1263</v>
      </c>
      <c r="T1359" t="str">
        <f>"88350001"</f>
        <v>88350001</v>
      </c>
      <c r="U1359" t="str">
        <f>"CENTRO"</f>
        <v>CENTRO</v>
      </c>
      <c r="V1359" t="str">
        <f>"BRUSQUE"</f>
        <v>BRUSQUE</v>
      </c>
      <c r="W1359" t="str">
        <f t="shared" si="672"/>
        <v>SC</v>
      </c>
      <c r="X1359" t="str">
        <f>"47"</f>
        <v>47</v>
      </c>
      <c r="Y1359" t="str">
        <f>"996632989"</f>
        <v>996632989</v>
      </c>
      <c r="Z1359" t="str">
        <f>""</f>
        <v/>
      </c>
      <c r="AA1359" t="str">
        <f>""</f>
        <v/>
      </c>
      <c r="AB1359" t="str">
        <f>""</f>
        <v/>
      </c>
      <c r="AC1359" t="str">
        <f>""</f>
        <v/>
      </c>
      <c r="AD1359" t="str">
        <f>""</f>
        <v/>
      </c>
      <c r="AE1359" t="str">
        <f>""</f>
        <v/>
      </c>
      <c r="AF1359" t="str">
        <f>""</f>
        <v/>
      </c>
      <c r="AG1359" t="str">
        <f>"S"</f>
        <v>S</v>
      </c>
      <c r="AH1359" t="str">
        <f>""</f>
        <v/>
      </c>
      <c r="AI1359" t="str">
        <f>""</f>
        <v/>
      </c>
      <c r="AJ1359" t="str">
        <f>""</f>
        <v/>
      </c>
      <c r="AK1359" t="str">
        <f>""</f>
        <v/>
      </c>
      <c r="AL1359" t="str">
        <f>""</f>
        <v/>
      </c>
      <c r="AM1359" t="str">
        <f>""</f>
        <v/>
      </c>
      <c r="AN1359" t="str">
        <f>""</f>
        <v/>
      </c>
      <c r="AO1359" t="str">
        <f>""</f>
        <v/>
      </c>
      <c r="AP1359" t="str">
        <f>""</f>
        <v/>
      </c>
      <c r="AQ1359" t="str">
        <f>"N"</f>
        <v>N</v>
      </c>
      <c r="AR1359" t="str">
        <f>"N"</f>
        <v>N</v>
      </c>
      <c r="AS1359" t="str">
        <f>"N"</f>
        <v>N</v>
      </c>
      <c r="AT1359" t="str">
        <f>"N"</f>
        <v>N</v>
      </c>
      <c r="AU1359" t="str">
        <f>"N"</f>
        <v>N</v>
      </c>
      <c r="AV1359" t="str">
        <f>""</f>
        <v/>
      </c>
      <c r="AW1359" t="str">
        <f>""</f>
        <v/>
      </c>
      <c r="AX1359" t="str">
        <f>""</f>
        <v/>
      </c>
      <c r="AY1359" t="str">
        <f>""</f>
        <v/>
      </c>
      <c r="AZ1359" t="str">
        <f>""</f>
        <v/>
      </c>
      <c r="BA1359" t="str">
        <f>""</f>
        <v/>
      </c>
      <c r="BB1359" t="str">
        <f>"01/07/2021 13:53:04"</f>
        <v>01/07/2021 13:53:04</v>
      </c>
      <c r="BC1359" t="str">
        <f>"12/09/2022 11:49:22"</f>
        <v>12/09/2022 11:49:22</v>
      </c>
      <c r="BD1359" t="str">
        <f>""</f>
        <v/>
      </c>
      <c r="BE1359" t="str">
        <f>""</f>
        <v/>
      </c>
      <c r="BF1359" t="str">
        <f t="shared" si="685"/>
        <v>A</v>
      </c>
      <c r="BG1359" t="str">
        <f>""</f>
        <v/>
      </c>
      <c r="BH1359" t="str">
        <f>"0,00"</f>
        <v>0,00</v>
      </c>
      <c r="BI1359" t="str">
        <f t="shared" si="691"/>
        <v>EVENTUAL</v>
      </c>
      <c r="BJ1359" t="str">
        <f t="shared" si="686"/>
        <v>1</v>
      </c>
      <c r="BK1359" t="str">
        <f t="shared" si="687"/>
        <v>Farmacia</v>
      </c>
      <c r="BL1359" t="str">
        <f>""</f>
        <v/>
      </c>
      <c r="BM1359" t="str">
        <f>"NÃO É VARILUX ESPECIALISTA"</f>
        <v>NÃO É VARILUX ESPECIALISTA</v>
      </c>
      <c r="BN1359" t="str">
        <f t="shared" si="693"/>
        <v>NA</v>
      </c>
      <c r="BO1359" t="str">
        <f>"FOCO VARILUX"</f>
        <v>FOCO VARILUX</v>
      </c>
      <c r="BP1359" t="str">
        <f>""</f>
        <v/>
      </c>
      <c r="BQ1359" t="str">
        <f>""</f>
        <v/>
      </c>
      <c r="BR1359" t="str">
        <f>"01/07/2021"</f>
        <v>01/07/2021</v>
      </c>
      <c r="BS1359" t="str">
        <f>"12/09/2022"</f>
        <v>12/09/2022</v>
      </c>
      <c r="BT1359" t="str">
        <f>""</f>
        <v/>
      </c>
      <c r="BU1359" t="str">
        <f>""</f>
        <v/>
      </c>
      <c r="BV1359" t="str">
        <f>""</f>
        <v/>
      </c>
      <c r="BW1359" t="str">
        <f>"322"</f>
        <v>322</v>
      </c>
    </row>
    <row r="1360" spans="1:75" x14ac:dyDescent="0.35">
      <c r="A1360">
        <v>137601</v>
      </c>
      <c r="B1360" t="str">
        <f t="shared" si="682"/>
        <v>A</v>
      </c>
      <c r="C1360" t="str">
        <f t="shared" si="683"/>
        <v>80</v>
      </c>
      <c r="D1360" t="str">
        <f t="shared" si="675"/>
        <v>11121004</v>
      </c>
      <c r="E1360" t="str">
        <f t="shared" si="676"/>
        <v>121004</v>
      </c>
      <c r="F1360" t="str">
        <f t="shared" si="677"/>
        <v>FABIANA GODOY</v>
      </c>
      <c r="G1360" t="str">
        <f>"36655085000274"</f>
        <v>36655085000274</v>
      </c>
      <c r="H1360" t="str">
        <f t="shared" si="695"/>
        <v>0</v>
      </c>
      <c r="I1360" t="str">
        <f t="shared" si="684"/>
        <v>CONTA OPTICA</v>
      </c>
      <c r="J1360" t="str">
        <f>"FEISA COMERCIO DE PRODUTOS OTICOS LTDA"</f>
        <v>FEISA COMERCIO DE PRODUTOS OTICOS LTDA</v>
      </c>
      <c r="K1360" t="str">
        <f>"OTICAS CAROL (4131)"</f>
        <v>OTICAS CAROL (4131)</v>
      </c>
      <c r="L1360" t="str">
        <f>""</f>
        <v/>
      </c>
      <c r="M1360" t="str">
        <f>""</f>
        <v/>
      </c>
      <c r="N1360" t="str">
        <f>"oticascarolfloripa@gmail.com"</f>
        <v>oticascarolfloripa@gmail.com</v>
      </c>
      <c r="O1360" t="str">
        <f>""</f>
        <v/>
      </c>
      <c r="P1360" t="str">
        <f>"AVENIDA CONSUL CARLOS RENAUX"</f>
        <v>AVENIDA CONSUL CARLOS RENAUX</v>
      </c>
      <c r="Q1360" t="str">
        <f>"120"</f>
        <v>120</v>
      </c>
      <c r="R1360" t="str">
        <f>""</f>
        <v/>
      </c>
      <c r="S1360" t="str">
        <f>"1263"</f>
        <v>1263</v>
      </c>
      <c r="T1360" t="str">
        <f>"88350001"</f>
        <v>88350001</v>
      </c>
      <c r="U1360" t="str">
        <f>"CENTRO"</f>
        <v>CENTRO</v>
      </c>
      <c r="V1360" t="str">
        <f>"BRUSQUE"</f>
        <v>BRUSQUE</v>
      </c>
      <c r="W1360" t="str">
        <f t="shared" si="672"/>
        <v>SC</v>
      </c>
      <c r="X1360" t="str">
        <f>"48"</f>
        <v>48</v>
      </c>
      <c r="Y1360" t="str">
        <f>"32256592"</f>
        <v>32256592</v>
      </c>
      <c r="Z1360" t="str">
        <f>""</f>
        <v/>
      </c>
      <c r="AA1360" t="str">
        <f>""</f>
        <v/>
      </c>
      <c r="AB1360" t="str">
        <f>""</f>
        <v/>
      </c>
      <c r="AC1360" t="str">
        <f>""</f>
        <v/>
      </c>
      <c r="AD1360" t="str">
        <f>""</f>
        <v/>
      </c>
      <c r="AE1360" t="str">
        <f>""</f>
        <v/>
      </c>
      <c r="AF1360" t="str">
        <f>""</f>
        <v/>
      </c>
      <c r="AG1360" t="str">
        <f>""</f>
        <v/>
      </c>
      <c r="AH1360" t="str">
        <f>""</f>
        <v/>
      </c>
      <c r="AI1360" t="str">
        <f>""</f>
        <v/>
      </c>
      <c r="AJ1360" t="str">
        <f>""</f>
        <v/>
      </c>
      <c r="AK1360" t="str">
        <f>""</f>
        <v/>
      </c>
      <c r="AL1360" t="str">
        <f>""</f>
        <v/>
      </c>
      <c r="AM1360" t="str">
        <f>""</f>
        <v/>
      </c>
      <c r="AN1360" t="str">
        <f>""</f>
        <v/>
      </c>
      <c r="AO1360" t="str">
        <f>""</f>
        <v/>
      </c>
      <c r="AP1360" t="str">
        <f>""</f>
        <v/>
      </c>
      <c r="AQ1360" t="str">
        <f>""</f>
        <v/>
      </c>
      <c r="AR1360" t="str">
        <f>""</f>
        <v/>
      </c>
      <c r="AS1360" t="str">
        <f>""</f>
        <v/>
      </c>
      <c r="AT1360" t="str">
        <f>""</f>
        <v/>
      </c>
      <c r="AU1360" t="str">
        <f>""</f>
        <v/>
      </c>
      <c r="AV1360" t="str">
        <f>""</f>
        <v/>
      </c>
      <c r="AW1360" t="str">
        <f>""</f>
        <v/>
      </c>
      <c r="AX1360" t="str">
        <f>""</f>
        <v/>
      </c>
      <c r="AY1360" t="str">
        <f>""</f>
        <v/>
      </c>
      <c r="AZ1360" t="str">
        <f>""</f>
        <v/>
      </c>
      <c r="BA1360" t="str">
        <f>""</f>
        <v/>
      </c>
      <c r="BB1360" t="str">
        <f>"01/07/2021 13:53:04"</f>
        <v>01/07/2021 13:53:04</v>
      </c>
      <c r="BC1360" t="str">
        <f>""</f>
        <v/>
      </c>
      <c r="BD1360" t="str">
        <f>""</f>
        <v/>
      </c>
      <c r="BE1360" t="str">
        <f>""</f>
        <v/>
      </c>
      <c r="BF1360" t="str">
        <f t="shared" si="685"/>
        <v>A</v>
      </c>
      <c r="BG1360" t="str">
        <f>""</f>
        <v/>
      </c>
      <c r="BH1360" t="str">
        <f>""</f>
        <v/>
      </c>
      <c r="BI1360" t="str">
        <f t="shared" si="691"/>
        <v>EVENTUAL</v>
      </c>
      <c r="BJ1360" t="str">
        <f t="shared" si="686"/>
        <v>1</v>
      </c>
      <c r="BK1360" t="str">
        <f t="shared" si="687"/>
        <v>Farmacia</v>
      </c>
      <c r="BL1360" t="str">
        <f>""</f>
        <v/>
      </c>
      <c r="BM1360" t="str">
        <f>"CREDENCIADO VARILUX"</f>
        <v>CREDENCIADO VARILUX</v>
      </c>
      <c r="BN1360" t="str">
        <f t="shared" si="693"/>
        <v>NA</v>
      </c>
      <c r="BO1360" t="str">
        <f>"FOCO VARILUX DIGITAL"</f>
        <v>FOCO VARILUX DIGITAL</v>
      </c>
      <c r="BP1360" t="str">
        <f>""</f>
        <v/>
      </c>
      <c r="BQ1360" t="str">
        <f>""</f>
        <v/>
      </c>
      <c r="BR1360" t="str">
        <f>"01/07/2021"</f>
        <v>01/07/2021</v>
      </c>
      <c r="BS1360" t="str">
        <f>""</f>
        <v/>
      </c>
      <c r="BT1360" t="str">
        <f>""</f>
        <v/>
      </c>
      <c r="BU1360" t="str">
        <f>""</f>
        <v/>
      </c>
      <c r="BV1360" t="str">
        <f>""</f>
        <v/>
      </c>
      <c r="BW1360" t="str">
        <f>"Não visitado"</f>
        <v>Não visitado</v>
      </c>
    </row>
    <row r="1361" spans="1:75" x14ac:dyDescent="0.35">
      <c r="A1361">
        <v>157784</v>
      </c>
      <c r="B1361" t="str">
        <f t="shared" si="682"/>
        <v>A</v>
      </c>
      <c r="C1361" t="str">
        <f t="shared" si="683"/>
        <v>80</v>
      </c>
      <c r="D1361" t="str">
        <f t="shared" si="675"/>
        <v>11121004</v>
      </c>
      <c r="E1361" t="str">
        <f t="shared" si="676"/>
        <v>121004</v>
      </c>
      <c r="F1361" t="str">
        <f t="shared" si="677"/>
        <v>FABIANA GODOY</v>
      </c>
      <c r="G1361" t="str">
        <f>"32766857000103"</f>
        <v>32766857000103</v>
      </c>
      <c r="H1361" t="str">
        <f t="shared" si="695"/>
        <v>0</v>
      </c>
      <c r="I1361" t="str">
        <f t="shared" si="684"/>
        <v>CONTA OPTICA</v>
      </c>
      <c r="J1361" t="str">
        <f>"FERNANDO DE SOUZA ÓPTICA"</f>
        <v>FERNANDO DE SOUZA ÓPTICA</v>
      </c>
      <c r="K1361" t="str">
        <f>"REPUBLIC OTICA (3991)"</f>
        <v>REPUBLIC OTICA (3991)</v>
      </c>
      <c r="L1361" t="str">
        <f>""</f>
        <v/>
      </c>
      <c r="M1361" t="str">
        <f>""</f>
        <v/>
      </c>
      <c r="N1361" t="str">
        <f>"FERNANDOSELFOR@GMAIL.COM"</f>
        <v>FERNANDOSELFOR@GMAIL.COM</v>
      </c>
      <c r="O1361" t="str">
        <f>""</f>
        <v/>
      </c>
      <c r="P1361" t="str">
        <f>"RUA 1822"</f>
        <v>RUA 1822</v>
      </c>
      <c r="Q1361" t="str">
        <f>"375"</f>
        <v>375</v>
      </c>
      <c r="R1361" t="str">
        <f>""</f>
        <v/>
      </c>
      <c r="S1361" t="str">
        <f>""</f>
        <v/>
      </c>
      <c r="T1361" t="str">
        <f>"88330484"</f>
        <v>88330484</v>
      </c>
      <c r="U1361" t="str">
        <f>"CENTRO"</f>
        <v>CENTRO</v>
      </c>
      <c r="V1361" t="str">
        <f>"BALNEARIO CAMBORIU"</f>
        <v>BALNEARIO CAMBORIU</v>
      </c>
      <c r="W1361" t="str">
        <f t="shared" si="672"/>
        <v>SC</v>
      </c>
      <c r="X1361" t="str">
        <f>"47"</f>
        <v>47</v>
      </c>
      <c r="Y1361" t="str">
        <f>"988056255"</f>
        <v>988056255</v>
      </c>
      <c r="Z1361" t="str">
        <f>""</f>
        <v/>
      </c>
      <c r="AA1361" t="str">
        <f>""</f>
        <v/>
      </c>
      <c r="AB1361" t="str">
        <f>""</f>
        <v/>
      </c>
      <c r="AC1361" t="str">
        <f>""</f>
        <v/>
      </c>
      <c r="AD1361" t="str">
        <f>""</f>
        <v/>
      </c>
      <c r="AE1361" t="str">
        <f>""</f>
        <v/>
      </c>
      <c r="AF1361" t="str">
        <f>""</f>
        <v/>
      </c>
      <c r="AG1361" t="str">
        <f>""</f>
        <v/>
      </c>
      <c r="AH1361" t="str">
        <f>""</f>
        <v/>
      </c>
      <c r="AI1361" t="str">
        <f>""</f>
        <v/>
      </c>
      <c r="AJ1361" t="str">
        <f>""</f>
        <v/>
      </c>
      <c r="AK1361" t="str">
        <f>""</f>
        <v/>
      </c>
      <c r="AL1361" t="str">
        <f>""</f>
        <v/>
      </c>
      <c r="AM1361" t="str">
        <f>""</f>
        <v/>
      </c>
      <c r="AN1361" t="str">
        <f>""</f>
        <v/>
      </c>
      <c r="AO1361" t="str">
        <f>""</f>
        <v/>
      </c>
      <c r="AP1361" t="str">
        <f>""</f>
        <v/>
      </c>
      <c r="AQ1361" t="str">
        <f>""</f>
        <v/>
      </c>
      <c r="AR1361" t="str">
        <f>""</f>
        <v/>
      </c>
      <c r="AS1361" t="str">
        <f>""</f>
        <v/>
      </c>
      <c r="AT1361" t="str">
        <f>""</f>
        <v/>
      </c>
      <c r="AU1361" t="str">
        <f>""</f>
        <v/>
      </c>
      <c r="AV1361" t="str">
        <f>""</f>
        <v/>
      </c>
      <c r="AW1361" t="str">
        <f>""</f>
        <v/>
      </c>
      <c r="AX1361" t="str">
        <f>""</f>
        <v/>
      </c>
      <c r="AY1361" t="str">
        <f>""</f>
        <v/>
      </c>
      <c r="AZ1361" t="str">
        <f>""</f>
        <v/>
      </c>
      <c r="BA1361" t="str">
        <f>""</f>
        <v/>
      </c>
      <c r="BB1361" t="str">
        <f>"11/07/2023 02:26:32"</f>
        <v>11/07/2023 02:26:32</v>
      </c>
      <c r="BC1361" t="str">
        <f>""</f>
        <v/>
      </c>
      <c r="BD1361" t="str">
        <f>""</f>
        <v/>
      </c>
      <c r="BE1361" t="str">
        <f>""</f>
        <v/>
      </c>
      <c r="BF1361" t="str">
        <f t="shared" si="685"/>
        <v>A</v>
      </c>
      <c r="BG1361" t="str">
        <f>""</f>
        <v/>
      </c>
      <c r="BH1361" t="str">
        <f>""</f>
        <v/>
      </c>
      <c r="BI1361" t="str">
        <f t="shared" si="691"/>
        <v>EVENTUAL</v>
      </c>
      <c r="BJ1361" t="str">
        <f t="shared" si="686"/>
        <v>1</v>
      </c>
      <c r="BK1361" t="str">
        <f t="shared" si="687"/>
        <v>Farmacia</v>
      </c>
      <c r="BL1361" t="str">
        <f>""</f>
        <v/>
      </c>
      <c r="BM1361" t="str">
        <f>""</f>
        <v/>
      </c>
      <c r="BN1361" t="str">
        <f>""</f>
        <v/>
      </c>
      <c r="BO1361" t="str">
        <f>""</f>
        <v/>
      </c>
      <c r="BP1361" t="str">
        <f>""</f>
        <v/>
      </c>
      <c r="BQ1361" t="str">
        <f>""</f>
        <v/>
      </c>
      <c r="BR1361" t="str">
        <f>"11/07/2023"</f>
        <v>11/07/2023</v>
      </c>
      <c r="BS1361" t="str">
        <f>""</f>
        <v/>
      </c>
      <c r="BT1361" t="str">
        <f>""</f>
        <v/>
      </c>
      <c r="BU1361" t="str">
        <f>""</f>
        <v/>
      </c>
      <c r="BV1361" t="str">
        <f>""</f>
        <v/>
      </c>
      <c r="BW1361" t="str">
        <f>"Não visitado"</f>
        <v>Não visitado</v>
      </c>
    </row>
    <row r="1362" spans="1:75" x14ac:dyDescent="0.35">
      <c r="A1362">
        <v>137603</v>
      </c>
      <c r="B1362" t="str">
        <f t="shared" si="682"/>
        <v>A</v>
      </c>
      <c r="C1362" t="str">
        <f t="shared" si="683"/>
        <v>80</v>
      </c>
      <c r="D1362" t="str">
        <f t="shared" si="675"/>
        <v>11121004</v>
      </c>
      <c r="E1362" t="str">
        <f t="shared" si="676"/>
        <v>121004</v>
      </c>
      <c r="F1362" t="str">
        <f t="shared" si="677"/>
        <v>FABIANA GODOY</v>
      </c>
      <c r="G1362" t="str">
        <f>"37705749000144"</f>
        <v>37705749000144</v>
      </c>
      <c r="H1362" t="str">
        <f t="shared" si="695"/>
        <v>0</v>
      </c>
      <c r="I1362" t="str">
        <f t="shared" si="684"/>
        <v>CONTA OPTICA</v>
      </c>
      <c r="J1362" t="str">
        <f>"FINA OTICA COMERCIO DE OCULOS, LENTES E ARMACOES LTDA"</f>
        <v>FINA OTICA COMERCIO DE OCULOS, LENTES E ARMACOES LTDA</v>
      </c>
      <c r="K1362" t="str">
        <f>"FINA OTICA (4268)"</f>
        <v>FINA OTICA (4268)</v>
      </c>
      <c r="L1362" t="str">
        <f>""</f>
        <v/>
      </c>
      <c r="M1362" t="str">
        <f>""</f>
        <v/>
      </c>
      <c r="N1362" t="str">
        <f>"finaoticabrusque@gmail.com"</f>
        <v>finaoticabrusque@gmail.com</v>
      </c>
      <c r="O1362" t="str">
        <f>""</f>
        <v/>
      </c>
      <c r="P1362" t="str">
        <f>"RUA BARAO DO RIO BRANCO"</f>
        <v>RUA BARAO DO RIO BRANCO</v>
      </c>
      <c r="Q1362" t="str">
        <f>"12"</f>
        <v>12</v>
      </c>
      <c r="R1362" t="str">
        <f>"SALA 04"</f>
        <v>SALA 04</v>
      </c>
      <c r="S1362" t="str">
        <f>""</f>
        <v/>
      </c>
      <c r="T1362" t="str">
        <f>"88350200"</f>
        <v>88350200</v>
      </c>
      <c r="U1362" t="str">
        <f>"CENTRO I - URBANO"</f>
        <v>CENTRO I - URBANO</v>
      </c>
      <c r="V1362" t="str">
        <f>"BRUSQUE"</f>
        <v>BRUSQUE</v>
      </c>
      <c r="W1362" t="str">
        <f t="shared" si="672"/>
        <v>SC</v>
      </c>
      <c r="X1362" t="str">
        <f>"47"</f>
        <v>47</v>
      </c>
      <c r="Y1362" t="str">
        <f>"30490520"</f>
        <v>30490520</v>
      </c>
      <c r="Z1362" t="str">
        <f>""</f>
        <v/>
      </c>
      <c r="AA1362" t="str">
        <f>""</f>
        <v/>
      </c>
      <c r="AB1362" t="str">
        <f>""</f>
        <v/>
      </c>
      <c r="AC1362" t="str">
        <f>""</f>
        <v/>
      </c>
      <c r="AD1362" t="str">
        <f>""</f>
        <v/>
      </c>
      <c r="AE1362" t="str">
        <f>""</f>
        <v/>
      </c>
      <c r="AF1362" t="str">
        <f>""</f>
        <v/>
      </c>
      <c r="AG1362" t="str">
        <f>"S"</f>
        <v>S</v>
      </c>
      <c r="AH1362" t="str">
        <f>""</f>
        <v/>
      </c>
      <c r="AI1362" t="str">
        <f>""</f>
        <v/>
      </c>
      <c r="AJ1362" t="str">
        <f>""</f>
        <v/>
      </c>
      <c r="AK1362" t="str">
        <f>""</f>
        <v/>
      </c>
      <c r="AL1362" t="str">
        <f>""</f>
        <v/>
      </c>
      <c r="AM1362" t="str">
        <f>""</f>
        <v/>
      </c>
      <c r="AN1362" t="str">
        <f>""</f>
        <v/>
      </c>
      <c r="AO1362" t="str">
        <f>""</f>
        <v/>
      </c>
      <c r="AP1362" t="str">
        <f>""</f>
        <v/>
      </c>
      <c r="AQ1362" t="str">
        <f>"N"</f>
        <v>N</v>
      </c>
      <c r="AR1362" t="str">
        <f>"N"</f>
        <v>N</v>
      </c>
      <c r="AS1362" t="str">
        <f>"N"</f>
        <v>N</v>
      </c>
      <c r="AT1362" t="str">
        <f>"N"</f>
        <v>N</v>
      </c>
      <c r="AU1362" t="str">
        <f>"N"</f>
        <v>N</v>
      </c>
      <c r="AV1362" t="str">
        <f>""</f>
        <v/>
      </c>
      <c r="AW1362" t="str">
        <f>""</f>
        <v/>
      </c>
      <c r="AX1362" t="str">
        <f>""</f>
        <v/>
      </c>
      <c r="AY1362" t="str">
        <f>""</f>
        <v/>
      </c>
      <c r="AZ1362" t="str">
        <f>""</f>
        <v/>
      </c>
      <c r="BA1362" t="str">
        <f>""</f>
        <v/>
      </c>
      <c r="BB1362" t="str">
        <f>"01/07/2021 13:53:04"</f>
        <v>01/07/2021 13:53:04</v>
      </c>
      <c r="BC1362" t="str">
        <f>"22/03/2022 11:20:26"</f>
        <v>22/03/2022 11:20:26</v>
      </c>
      <c r="BD1362" t="str">
        <f>""</f>
        <v/>
      </c>
      <c r="BE1362" t="str">
        <f>""</f>
        <v/>
      </c>
      <c r="BF1362" t="str">
        <f t="shared" si="685"/>
        <v>A</v>
      </c>
      <c r="BG1362" t="str">
        <f>""</f>
        <v/>
      </c>
      <c r="BH1362" t="str">
        <f>"0,00"</f>
        <v>0,00</v>
      </c>
      <c r="BI1362" t="str">
        <f t="shared" si="691"/>
        <v>EVENTUAL</v>
      </c>
      <c r="BJ1362" t="str">
        <f t="shared" si="686"/>
        <v>1</v>
      </c>
      <c r="BK1362" t="str">
        <f t="shared" si="687"/>
        <v>Farmacia</v>
      </c>
      <c r="BL1362" t="str">
        <f>""</f>
        <v/>
      </c>
      <c r="BM1362" t="str">
        <f>"NÃO É VARILUX ESPECIALISTA"</f>
        <v>NÃO É VARILUX ESPECIALISTA</v>
      </c>
      <c r="BN1362" t="str">
        <f>"NA"</f>
        <v>NA</v>
      </c>
      <c r="BO1362" t="str">
        <f>"OUTROS"</f>
        <v>OUTROS</v>
      </c>
      <c r="BP1362" t="str">
        <f>""</f>
        <v/>
      </c>
      <c r="BQ1362" t="str">
        <f>""</f>
        <v/>
      </c>
      <c r="BR1362" t="str">
        <f>"01/07/2021"</f>
        <v>01/07/2021</v>
      </c>
      <c r="BS1362" t="str">
        <f>"22/03/2022"</f>
        <v>22/03/2022</v>
      </c>
      <c r="BT1362" t="str">
        <f>""</f>
        <v/>
      </c>
      <c r="BU1362" t="str">
        <f>""</f>
        <v/>
      </c>
      <c r="BV1362" t="str">
        <f>""</f>
        <v/>
      </c>
      <c r="BW1362" t="str">
        <f>"52"</f>
        <v>52</v>
      </c>
    </row>
    <row r="1363" spans="1:75" x14ac:dyDescent="0.35">
      <c r="A1363">
        <v>127565</v>
      </c>
      <c r="B1363" t="str">
        <f t="shared" si="682"/>
        <v>A</v>
      </c>
      <c r="C1363" t="str">
        <f t="shared" si="683"/>
        <v>80</v>
      </c>
      <c r="D1363" t="str">
        <f t="shared" si="675"/>
        <v>11121004</v>
      </c>
      <c r="E1363" t="str">
        <f t="shared" si="676"/>
        <v>121004</v>
      </c>
      <c r="F1363" t="str">
        <f t="shared" si="677"/>
        <v>FABIANA GODOY</v>
      </c>
      <c r="G1363" t="str">
        <f>"07034395000192"</f>
        <v>07034395000192</v>
      </c>
      <c r="H1363" t="str">
        <f t="shared" si="695"/>
        <v>0</v>
      </c>
      <c r="I1363" t="str">
        <f t="shared" si="684"/>
        <v>CONTA OPTICA</v>
      </c>
      <c r="J1363" t="str">
        <f>"FIRME JOIAS E BIJUTERIAS LIMITADA ME"</f>
        <v>FIRME JOIAS E BIJUTERIAS LIMITADA ME</v>
      </c>
      <c r="K1363" t="str">
        <f>"DANJU JOIAS (3324)"</f>
        <v>DANJU JOIAS (3324)</v>
      </c>
      <c r="L1363" t="str">
        <f>""</f>
        <v/>
      </c>
      <c r="M1363" t="str">
        <f>""</f>
        <v/>
      </c>
      <c r="N1363" t="str">
        <f>"danjutj@hotmail.com"</f>
        <v>danjutj@hotmail.com</v>
      </c>
      <c r="O1363" t="str">
        <f>""</f>
        <v/>
      </c>
      <c r="P1363" t="str">
        <f>"AVENIDA NEREU RAMOS"</f>
        <v>AVENIDA NEREU RAMOS</v>
      </c>
      <c r="Q1363" t="str">
        <f>"4700"</f>
        <v>4700</v>
      </c>
      <c r="R1363" t="str">
        <f>"SALA 02"</f>
        <v>SALA 02</v>
      </c>
      <c r="S1363" t="str">
        <f>"1260"</f>
        <v>1260</v>
      </c>
      <c r="T1363" t="str">
        <f>"88220000"</f>
        <v>88220000</v>
      </c>
      <c r="U1363" t="str">
        <f>"MEIA PRAIA"</f>
        <v>MEIA PRAIA</v>
      </c>
      <c r="V1363" t="str">
        <f>"ITAPEMA"</f>
        <v>ITAPEMA</v>
      </c>
      <c r="W1363" t="str">
        <f t="shared" si="672"/>
        <v>SC</v>
      </c>
      <c r="X1363" t="str">
        <f>"47"</f>
        <v>47</v>
      </c>
      <c r="Y1363" t="str">
        <f>"32645266"</f>
        <v>32645266</v>
      </c>
      <c r="Z1363" t="str">
        <f>""</f>
        <v/>
      </c>
      <c r="AA1363" t="str">
        <f>""</f>
        <v/>
      </c>
      <c r="AB1363" t="str">
        <f>""</f>
        <v/>
      </c>
      <c r="AC1363" t="str">
        <f>""</f>
        <v/>
      </c>
      <c r="AD1363" t="str">
        <f>""</f>
        <v/>
      </c>
      <c r="AE1363" t="str">
        <f>""</f>
        <v/>
      </c>
      <c r="AF1363" t="str">
        <f>""</f>
        <v/>
      </c>
      <c r="AG1363" t="str">
        <f>""</f>
        <v/>
      </c>
      <c r="AH1363" t="str">
        <f>""</f>
        <v/>
      </c>
      <c r="AI1363" t="str">
        <f>""</f>
        <v/>
      </c>
      <c r="AJ1363" t="str">
        <f>"0"</f>
        <v>0</v>
      </c>
      <c r="AK1363" t="str">
        <f>"0"</f>
        <v>0</v>
      </c>
      <c r="AL1363" t="str">
        <f>"0"</f>
        <v>0</v>
      </c>
      <c r="AM1363" t="str">
        <f>""</f>
        <v/>
      </c>
      <c r="AN1363" t="str">
        <f>""</f>
        <v/>
      </c>
      <c r="AO1363" t="str">
        <f>""</f>
        <v/>
      </c>
      <c r="AP1363" t="str">
        <f>""</f>
        <v/>
      </c>
      <c r="AQ1363" t="str">
        <f>""</f>
        <v/>
      </c>
      <c r="AR1363" t="str">
        <f>""</f>
        <v/>
      </c>
      <c r="AS1363" t="str">
        <f>""</f>
        <v/>
      </c>
      <c r="AT1363" t="str">
        <f>""</f>
        <v/>
      </c>
      <c r="AU1363" t="str">
        <f>""</f>
        <v/>
      </c>
      <c r="AV1363" t="str">
        <f>""</f>
        <v/>
      </c>
      <c r="AW1363" t="str">
        <f>""</f>
        <v/>
      </c>
      <c r="AX1363" t="str">
        <f>""</f>
        <v/>
      </c>
      <c r="AY1363" t="str">
        <f>""</f>
        <v/>
      </c>
      <c r="AZ1363" t="str">
        <f>""</f>
        <v/>
      </c>
      <c r="BA1363" t="str">
        <f>""</f>
        <v/>
      </c>
      <c r="BB1363" t="str">
        <f>"07/10/2020 09:08:38"</f>
        <v>07/10/2020 09:08:38</v>
      </c>
      <c r="BC1363" t="str">
        <f>""</f>
        <v/>
      </c>
      <c r="BD1363" t="str">
        <f>""</f>
        <v/>
      </c>
      <c r="BE1363" t="str">
        <f>""</f>
        <v/>
      </c>
      <c r="BF1363" t="str">
        <f t="shared" si="685"/>
        <v>A</v>
      </c>
      <c r="BG1363" t="str">
        <f>"0,00"</f>
        <v>0,00</v>
      </c>
      <c r="BH1363" t="str">
        <f>"0,00"</f>
        <v>0,00</v>
      </c>
      <c r="BI1363" t="str">
        <f t="shared" si="691"/>
        <v>EVENTUAL</v>
      </c>
      <c r="BJ1363" t="str">
        <f t="shared" si="686"/>
        <v>1</v>
      </c>
      <c r="BK1363" t="str">
        <f t="shared" si="687"/>
        <v>Farmacia</v>
      </c>
      <c r="BL1363" t="str">
        <f>""</f>
        <v/>
      </c>
      <c r="BM1363" t="str">
        <f>"NÃO É VARILUX ESPECIALISTA"</f>
        <v>NÃO É VARILUX ESPECIALISTA</v>
      </c>
      <c r="BN1363" t="str">
        <f>"EL360"</f>
        <v>EL360</v>
      </c>
      <c r="BO1363" t="str">
        <f>"FOCO VARILUX DIGITAL"</f>
        <v>FOCO VARILUX DIGITAL</v>
      </c>
      <c r="BP1363" t="str">
        <f>""</f>
        <v/>
      </c>
      <c r="BQ1363" t="str">
        <f>""</f>
        <v/>
      </c>
      <c r="BR1363" t="str">
        <f>"07/10/2020"</f>
        <v>07/10/2020</v>
      </c>
      <c r="BS1363" t="str">
        <f>""</f>
        <v/>
      </c>
      <c r="BT1363" t="str">
        <f>""</f>
        <v/>
      </c>
      <c r="BU1363" t="str">
        <f>""</f>
        <v/>
      </c>
      <c r="BV1363" t="str">
        <f>"5"</f>
        <v>5</v>
      </c>
      <c r="BW1363" t="str">
        <f>"108"</f>
        <v>108</v>
      </c>
    </row>
    <row r="1364" spans="1:75" x14ac:dyDescent="0.35">
      <c r="A1364">
        <v>157740</v>
      </c>
      <c r="B1364" t="str">
        <f t="shared" si="682"/>
        <v>A</v>
      </c>
      <c r="C1364" t="str">
        <f t="shared" si="683"/>
        <v>80</v>
      </c>
      <c r="D1364" t="str">
        <f t="shared" si="675"/>
        <v>11121004</v>
      </c>
      <c r="E1364" t="str">
        <f t="shared" si="676"/>
        <v>121004</v>
      </c>
      <c r="F1364" t="str">
        <f t="shared" si="677"/>
        <v>FABIANA GODOY</v>
      </c>
      <c r="G1364" t="str">
        <f>"07034395000605"</f>
        <v>07034395000605</v>
      </c>
      <c r="H1364" t="str">
        <f t="shared" si="695"/>
        <v>0</v>
      </c>
      <c r="I1364" t="str">
        <f t="shared" si="684"/>
        <v>CONTA OPTICA</v>
      </c>
      <c r="J1364" t="str">
        <f>"FIRME JOIAS E BIJUTERIAS LIMITADA ME"</f>
        <v>FIRME JOIAS E BIJUTERIAS LIMITADA ME</v>
      </c>
      <c r="K1364" t="str">
        <f>"DANJU JOIAS (3325)"</f>
        <v>DANJU JOIAS (3325)</v>
      </c>
      <c r="L1364" t="str">
        <f>""</f>
        <v/>
      </c>
      <c r="M1364" t="str">
        <f>""</f>
        <v/>
      </c>
      <c r="N1364" t="str">
        <f>"DANJUTJ@HOTMAIL.COM"</f>
        <v>DANJUTJ@HOTMAIL.COM</v>
      </c>
      <c r="O1364" t="str">
        <f>""</f>
        <v/>
      </c>
      <c r="P1364" t="str">
        <f>"RUA PASTOR SANDRESCKY"</f>
        <v>RUA PASTOR SANDRESCKY</v>
      </c>
      <c r="Q1364" t="str">
        <f>"153"</f>
        <v>153</v>
      </c>
      <c r="R1364" t="str">
        <f>""</f>
        <v/>
      </c>
      <c r="S1364" t="str">
        <f>"1263"</f>
        <v>1263</v>
      </c>
      <c r="T1364" t="str">
        <f>"88350040"</f>
        <v>88350040</v>
      </c>
      <c r="U1364" t="str">
        <f>"CENTRO"</f>
        <v>CENTRO</v>
      </c>
      <c r="V1364" t="str">
        <f>"BRUSQUE"</f>
        <v>BRUSQUE</v>
      </c>
      <c r="W1364" t="str">
        <f t="shared" si="672"/>
        <v>SC</v>
      </c>
      <c r="X1364" t="str">
        <f>"47"</f>
        <v>47</v>
      </c>
      <c r="Y1364" t="str">
        <f>"33556142"</f>
        <v>33556142</v>
      </c>
      <c r="Z1364" t="str">
        <f>""</f>
        <v/>
      </c>
      <c r="AA1364" t="str">
        <f>""</f>
        <v/>
      </c>
      <c r="AB1364" t="str">
        <f>""</f>
        <v/>
      </c>
      <c r="AC1364" t="str">
        <f>""</f>
        <v/>
      </c>
      <c r="AD1364" t="str">
        <f>""</f>
        <v/>
      </c>
      <c r="AE1364" t="str">
        <f>""</f>
        <v/>
      </c>
      <c r="AF1364" t="str">
        <f>""</f>
        <v/>
      </c>
      <c r="AG1364" t="str">
        <f>""</f>
        <v/>
      </c>
      <c r="AH1364" t="str">
        <f>""</f>
        <v/>
      </c>
      <c r="AI1364" t="str">
        <f>""</f>
        <v/>
      </c>
      <c r="AJ1364" t="str">
        <f>""</f>
        <v/>
      </c>
      <c r="AK1364" t="str">
        <f>""</f>
        <v/>
      </c>
      <c r="AL1364" t="str">
        <f>""</f>
        <v/>
      </c>
      <c r="AM1364" t="str">
        <f>""</f>
        <v/>
      </c>
      <c r="AN1364" t="str">
        <f>""</f>
        <v/>
      </c>
      <c r="AO1364" t="str">
        <f>""</f>
        <v/>
      </c>
      <c r="AP1364" t="str">
        <f>""</f>
        <v/>
      </c>
      <c r="AQ1364" t="str">
        <f>""</f>
        <v/>
      </c>
      <c r="AR1364" t="str">
        <f>""</f>
        <v/>
      </c>
      <c r="AS1364" t="str">
        <f>""</f>
        <v/>
      </c>
      <c r="AT1364" t="str">
        <f>""</f>
        <v/>
      </c>
      <c r="AU1364" t="str">
        <f>""</f>
        <v/>
      </c>
      <c r="AV1364" t="str">
        <f>""</f>
        <v/>
      </c>
      <c r="AW1364" t="str">
        <f>""</f>
        <v/>
      </c>
      <c r="AX1364" t="str">
        <f>""</f>
        <v/>
      </c>
      <c r="AY1364" t="str">
        <f>""</f>
        <v/>
      </c>
      <c r="AZ1364" t="str">
        <f>""</f>
        <v/>
      </c>
      <c r="BA1364" t="str">
        <f>""</f>
        <v/>
      </c>
      <c r="BB1364" t="str">
        <f>"11/07/2023 02:26:32"</f>
        <v>11/07/2023 02:26:32</v>
      </c>
      <c r="BC1364" t="str">
        <f>""</f>
        <v/>
      </c>
      <c r="BD1364" t="str">
        <f>""</f>
        <v/>
      </c>
      <c r="BE1364" t="str">
        <f>""</f>
        <v/>
      </c>
      <c r="BF1364" t="str">
        <f t="shared" si="685"/>
        <v>A</v>
      </c>
      <c r="BG1364" t="str">
        <f>""</f>
        <v/>
      </c>
      <c r="BH1364" t="str">
        <f>""</f>
        <v/>
      </c>
      <c r="BI1364" t="str">
        <f t="shared" si="691"/>
        <v>EVENTUAL</v>
      </c>
      <c r="BJ1364" t="str">
        <f t="shared" si="686"/>
        <v>1</v>
      </c>
      <c r="BK1364" t="str">
        <f t="shared" si="687"/>
        <v>Farmacia</v>
      </c>
      <c r="BL1364" t="str">
        <f>""</f>
        <v/>
      </c>
      <c r="BM1364" t="str">
        <f>""</f>
        <v/>
      </c>
      <c r="BN1364" t="str">
        <f>""</f>
        <v/>
      </c>
      <c r="BO1364" t="str">
        <f>""</f>
        <v/>
      </c>
      <c r="BP1364" t="str">
        <f>""</f>
        <v/>
      </c>
      <c r="BQ1364" t="str">
        <f>""</f>
        <v/>
      </c>
      <c r="BR1364" t="str">
        <f>"11/07/2023"</f>
        <v>11/07/2023</v>
      </c>
      <c r="BS1364" t="str">
        <f>""</f>
        <v/>
      </c>
      <c r="BT1364" t="str">
        <f>""</f>
        <v/>
      </c>
      <c r="BU1364" t="str">
        <f>""</f>
        <v/>
      </c>
      <c r="BV1364" t="str">
        <f>""</f>
        <v/>
      </c>
      <c r="BW1364" t="str">
        <f>"107"</f>
        <v>107</v>
      </c>
    </row>
    <row r="1365" spans="1:75" x14ac:dyDescent="0.35">
      <c r="A1365">
        <v>157749</v>
      </c>
      <c r="B1365" t="str">
        <f t="shared" si="682"/>
        <v>A</v>
      </c>
      <c r="C1365" t="str">
        <f t="shared" si="683"/>
        <v>80</v>
      </c>
      <c r="D1365" t="str">
        <f t="shared" si="675"/>
        <v>11121004</v>
      </c>
      <c r="E1365" t="str">
        <f t="shared" si="676"/>
        <v>121004</v>
      </c>
      <c r="F1365" t="str">
        <f t="shared" si="677"/>
        <v>FABIANA GODOY</v>
      </c>
      <c r="G1365" t="str">
        <f>"07034395000516"</f>
        <v>07034395000516</v>
      </c>
      <c r="H1365" t="str">
        <f t="shared" si="695"/>
        <v>0</v>
      </c>
      <c r="I1365" t="str">
        <f t="shared" si="684"/>
        <v>CONTA OPTICA</v>
      </c>
      <c r="J1365" t="str">
        <f>"FIRME JOIAS E BIJUTERIAS LTDA ME"</f>
        <v>FIRME JOIAS E BIJUTERIAS LTDA ME</v>
      </c>
      <c r="K1365" t="str">
        <f>"DANJU JOIAS (2273)"</f>
        <v>DANJU JOIAS (2273)</v>
      </c>
      <c r="L1365" t="str">
        <f>""</f>
        <v/>
      </c>
      <c r="M1365" t="str">
        <f>""</f>
        <v/>
      </c>
      <c r="N1365" t="str">
        <f>""</f>
        <v/>
      </c>
      <c r="O1365" t="str">
        <f>""</f>
        <v/>
      </c>
      <c r="P1365" t="str">
        <f>"RUA FLORIANOPOLIS"</f>
        <v>RUA FLORIANOPOLIS</v>
      </c>
      <c r="Q1365" t="str">
        <f>"35"</f>
        <v>35</v>
      </c>
      <c r="R1365" t="str">
        <f>"SALA 01"</f>
        <v>SALA 01</v>
      </c>
      <c r="S1365" t="str">
        <f>"1260"</f>
        <v>1260</v>
      </c>
      <c r="T1365" t="str">
        <f>"88200000"</f>
        <v>88200000</v>
      </c>
      <c r="U1365" t="str">
        <f>"CENTRO"</f>
        <v>CENTRO</v>
      </c>
      <c r="V1365" t="str">
        <f>"TIJUCAS"</f>
        <v>TIJUCAS</v>
      </c>
      <c r="W1365" t="str">
        <f t="shared" si="672"/>
        <v>SC</v>
      </c>
      <c r="X1365" t="str">
        <f>"48"</f>
        <v>48</v>
      </c>
      <c r="Y1365" t="str">
        <f>"32637355"</f>
        <v>32637355</v>
      </c>
      <c r="Z1365" t="str">
        <f>""</f>
        <v/>
      </c>
      <c r="AA1365" t="str">
        <f>""</f>
        <v/>
      </c>
      <c r="AB1365" t="str">
        <f>""</f>
        <v/>
      </c>
      <c r="AC1365" t="str">
        <f>""</f>
        <v/>
      </c>
      <c r="AD1365" t="str">
        <f>""</f>
        <v/>
      </c>
      <c r="AE1365" t="str">
        <f>""</f>
        <v/>
      </c>
      <c r="AF1365" t="str">
        <f>""</f>
        <v/>
      </c>
      <c r="AG1365" t="str">
        <f>"S"</f>
        <v>S</v>
      </c>
      <c r="AH1365" t="str">
        <f>""</f>
        <v/>
      </c>
      <c r="AI1365" t="str">
        <f>""</f>
        <v/>
      </c>
      <c r="AJ1365" t="str">
        <f>""</f>
        <v/>
      </c>
      <c r="AK1365" t="str">
        <f>""</f>
        <v/>
      </c>
      <c r="AL1365" t="str">
        <f>""</f>
        <v/>
      </c>
      <c r="AM1365" t="str">
        <f>""</f>
        <v/>
      </c>
      <c r="AN1365" t="str">
        <f>""</f>
        <v/>
      </c>
      <c r="AO1365" t="str">
        <f>""</f>
        <v/>
      </c>
      <c r="AP1365" t="str">
        <f>""</f>
        <v/>
      </c>
      <c r="AQ1365" t="str">
        <f>"N"</f>
        <v>N</v>
      </c>
      <c r="AR1365" t="str">
        <f>"N"</f>
        <v>N</v>
      </c>
      <c r="AS1365" t="str">
        <f>"N"</f>
        <v>N</v>
      </c>
      <c r="AT1365" t="str">
        <f>"N"</f>
        <v>N</v>
      </c>
      <c r="AU1365" t="str">
        <f>"N"</f>
        <v>N</v>
      </c>
      <c r="AV1365" t="str">
        <f>""</f>
        <v/>
      </c>
      <c r="AW1365" t="str">
        <f>""</f>
        <v/>
      </c>
      <c r="AX1365" t="str">
        <f>""</f>
        <v/>
      </c>
      <c r="AY1365" t="str">
        <f>""</f>
        <v/>
      </c>
      <c r="AZ1365" t="str">
        <f>""</f>
        <v/>
      </c>
      <c r="BA1365" t="str">
        <f>""</f>
        <v/>
      </c>
      <c r="BB1365" t="str">
        <f>"11/07/2023 02:26:32"</f>
        <v>11/07/2023 02:26:32</v>
      </c>
      <c r="BC1365" t="str">
        <f>"24/07/2023 16:33:52"</f>
        <v>24/07/2023 16:33:52</v>
      </c>
      <c r="BD1365" t="str">
        <f>""</f>
        <v/>
      </c>
      <c r="BE1365" t="str">
        <f>""</f>
        <v/>
      </c>
      <c r="BF1365" t="str">
        <f t="shared" si="685"/>
        <v>A</v>
      </c>
      <c r="BG1365" t="str">
        <f>""</f>
        <v/>
      </c>
      <c r="BH1365" t="str">
        <f>"0,00"</f>
        <v>0,00</v>
      </c>
      <c r="BI1365" t="str">
        <f>"MENSAL"</f>
        <v>MENSAL</v>
      </c>
      <c r="BJ1365" t="str">
        <f t="shared" si="686"/>
        <v>1</v>
      </c>
      <c r="BK1365" t="str">
        <f t="shared" si="687"/>
        <v>Farmacia</v>
      </c>
      <c r="BL1365" t="str">
        <f>""</f>
        <v/>
      </c>
      <c r="BM1365" t="str">
        <f>""</f>
        <v/>
      </c>
      <c r="BN1365" t="str">
        <f>""</f>
        <v/>
      </c>
      <c r="BO1365" t="str">
        <f>""</f>
        <v/>
      </c>
      <c r="BP1365" t="str">
        <f>""</f>
        <v/>
      </c>
      <c r="BQ1365" t="str">
        <f>""</f>
        <v/>
      </c>
      <c r="BR1365" t="str">
        <f>"11/07/2023"</f>
        <v>11/07/2023</v>
      </c>
      <c r="BS1365" t="str">
        <f>"24/07/2023"</f>
        <v>24/07/2023</v>
      </c>
      <c r="BT1365" t="str">
        <f>""</f>
        <v/>
      </c>
      <c r="BU1365" t="str">
        <f>""</f>
        <v/>
      </c>
      <c r="BV1365" t="str">
        <f>""</f>
        <v/>
      </c>
      <c r="BW1365" t="str">
        <f>"28"</f>
        <v>28</v>
      </c>
    </row>
    <row r="1366" spans="1:75" x14ac:dyDescent="0.35">
      <c r="A1366">
        <v>157806</v>
      </c>
      <c r="B1366" t="str">
        <f t="shared" si="682"/>
        <v>A</v>
      </c>
      <c r="C1366" t="str">
        <f t="shared" si="683"/>
        <v>80</v>
      </c>
      <c r="D1366" t="str">
        <f t="shared" si="675"/>
        <v>11121004</v>
      </c>
      <c r="E1366" t="str">
        <f t="shared" si="676"/>
        <v>121004</v>
      </c>
      <c r="F1366" t="str">
        <f t="shared" si="677"/>
        <v>FABIANA GODOY</v>
      </c>
      <c r="G1366" t="str">
        <f>"07034395000273"</f>
        <v>07034395000273</v>
      </c>
      <c r="H1366" t="str">
        <f t="shared" si="695"/>
        <v>0</v>
      </c>
      <c r="I1366" t="str">
        <f t="shared" si="684"/>
        <v>CONTA OPTICA</v>
      </c>
      <c r="J1366" t="str">
        <f>"FIRME JOIAS E BIJUTERIAS LTDA ME"</f>
        <v>FIRME JOIAS E BIJUTERIAS LTDA ME</v>
      </c>
      <c r="K1366" t="str">
        <f>"DANJU JOIAS (1340)"</f>
        <v>DANJU JOIAS (1340)</v>
      </c>
      <c r="L1366" t="str">
        <f>""</f>
        <v/>
      </c>
      <c r="M1366" t="str">
        <f>""</f>
        <v/>
      </c>
      <c r="N1366" t="str">
        <f>"DANJUTJOTICA@DANJUJOIAS.COM"</f>
        <v>DANJUTJOTICA@DANJUJOIAS.COM</v>
      </c>
      <c r="O1366" t="str">
        <f>""</f>
        <v/>
      </c>
      <c r="P1366" t="str">
        <f>"BAYER FILHO"</f>
        <v>BAYER FILHO</v>
      </c>
      <c r="Q1366" t="str">
        <f>"1695"</f>
        <v>1695</v>
      </c>
      <c r="R1366" t="str">
        <f>"BOX 2A"</f>
        <v>BOX 2A</v>
      </c>
      <c r="S1366" t="str">
        <f>"1260"</f>
        <v>1260</v>
      </c>
      <c r="T1366" t="str">
        <f>"88200000"</f>
        <v>88200000</v>
      </c>
      <c r="U1366" t="str">
        <f>"CENTRO"</f>
        <v>CENTRO</v>
      </c>
      <c r="V1366" t="str">
        <f>"TIJUCAS"</f>
        <v>TIJUCAS</v>
      </c>
      <c r="W1366" t="str">
        <f t="shared" si="672"/>
        <v>SC</v>
      </c>
      <c r="X1366" t="str">
        <f>"48"</f>
        <v>48</v>
      </c>
      <c r="Y1366" t="str">
        <f>"32634091"</f>
        <v>32634091</v>
      </c>
      <c r="Z1366" t="str">
        <f>""</f>
        <v/>
      </c>
      <c r="AA1366" t="str">
        <f>""</f>
        <v/>
      </c>
      <c r="AB1366" t="str">
        <f>""</f>
        <v/>
      </c>
      <c r="AC1366" t="str">
        <f>""</f>
        <v/>
      </c>
      <c r="AD1366" t="str">
        <f>""</f>
        <v/>
      </c>
      <c r="AE1366" t="str">
        <f>""</f>
        <v/>
      </c>
      <c r="AF1366" t="str">
        <f>""</f>
        <v/>
      </c>
      <c r="AG1366" t="str">
        <f>""</f>
        <v/>
      </c>
      <c r="AH1366" t="str">
        <f>""</f>
        <v/>
      </c>
      <c r="AI1366" t="str">
        <f>""</f>
        <v/>
      </c>
      <c r="AJ1366" t="str">
        <f>""</f>
        <v/>
      </c>
      <c r="AK1366" t="str">
        <f>""</f>
        <v/>
      </c>
      <c r="AL1366" t="str">
        <f>""</f>
        <v/>
      </c>
      <c r="AM1366" t="str">
        <f>""</f>
        <v/>
      </c>
      <c r="AN1366" t="str">
        <f>""</f>
        <v/>
      </c>
      <c r="AO1366" t="str">
        <f>""</f>
        <v/>
      </c>
      <c r="AP1366" t="str">
        <f>""</f>
        <v/>
      </c>
      <c r="AQ1366" t="str">
        <f>""</f>
        <v/>
      </c>
      <c r="AR1366" t="str">
        <f>""</f>
        <v/>
      </c>
      <c r="AS1366" t="str">
        <f>""</f>
        <v/>
      </c>
      <c r="AT1366" t="str">
        <f>""</f>
        <v/>
      </c>
      <c r="AU1366" t="str">
        <f>""</f>
        <v/>
      </c>
      <c r="AV1366" t="str">
        <f>""</f>
        <v/>
      </c>
      <c r="AW1366" t="str">
        <f>""</f>
        <v/>
      </c>
      <c r="AX1366" t="str">
        <f>""</f>
        <v/>
      </c>
      <c r="AY1366" t="str">
        <f>""</f>
        <v/>
      </c>
      <c r="AZ1366" t="str">
        <f>""</f>
        <v/>
      </c>
      <c r="BA1366" t="str">
        <f>""</f>
        <v/>
      </c>
      <c r="BB1366" t="str">
        <f>"11/07/2023 02:26:32"</f>
        <v>11/07/2023 02:26:32</v>
      </c>
      <c r="BC1366" t="str">
        <f>""</f>
        <v/>
      </c>
      <c r="BD1366" t="str">
        <f>""</f>
        <v/>
      </c>
      <c r="BE1366" t="str">
        <f>""</f>
        <v/>
      </c>
      <c r="BF1366" t="str">
        <f t="shared" si="685"/>
        <v>A</v>
      </c>
      <c r="BG1366" t="str">
        <f>""</f>
        <v/>
      </c>
      <c r="BH1366" t="str">
        <f>""</f>
        <v/>
      </c>
      <c r="BI1366" t="str">
        <f t="shared" ref="BI1366:BI1373" si="696">"EVENTUAL"</f>
        <v>EVENTUAL</v>
      </c>
      <c r="BJ1366" t="str">
        <f t="shared" si="686"/>
        <v>1</v>
      </c>
      <c r="BK1366" t="str">
        <f t="shared" si="687"/>
        <v>Farmacia</v>
      </c>
      <c r="BL1366" t="str">
        <f>""</f>
        <v/>
      </c>
      <c r="BM1366" t="str">
        <f>""</f>
        <v/>
      </c>
      <c r="BN1366" t="str">
        <f>""</f>
        <v/>
      </c>
      <c r="BO1366" t="str">
        <f>""</f>
        <v/>
      </c>
      <c r="BP1366" t="str">
        <f>""</f>
        <v/>
      </c>
      <c r="BQ1366" t="str">
        <f>""</f>
        <v/>
      </c>
      <c r="BR1366" t="str">
        <f>"11/07/2023"</f>
        <v>11/07/2023</v>
      </c>
      <c r="BS1366" t="str">
        <f>""</f>
        <v/>
      </c>
      <c r="BT1366" t="str">
        <f>""</f>
        <v/>
      </c>
      <c r="BU1366" t="str">
        <f>""</f>
        <v/>
      </c>
      <c r="BV1366" t="str">
        <f>""</f>
        <v/>
      </c>
      <c r="BW1366" t="str">
        <f>"Não visitado"</f>
        <v>Não visitado</v>
      </c>
    </row>
    <row r="1367" spans="1:75" x14ac:dyDescent="0.35">
      <c r="A1367">
        <v>157776</v>
      </c>
      <c r="B1367" t="str">
        <f t="shared" si="682"/>
        <v>A</v>
      </c>
      <c r="C1367" t="str">
        <f t="shared" si="683"/>
        <v>80</v>
      </c>
      <c r="D1367" t="str">
        <f t="shared" si="675"/>
        <v>11121004</v>
      </c>
      <c r="E1367" t="str">
        <f t="shared" si="676"/>
        <v>121004</v>
      </c>
      <c r="F1367" t="str">
        <f t="shared" si="677"/>
        <v>FABIANA GODOY</v>
      </c>
      <c r="G1367" t="str">
        <f>"40318287000117"</f>
        <v>40318287000117</v>
      </c>
      <c r="H1367" t="str">
        <f t="shared" si="695"/>
        <v>0</v>
      </c>
      <c r="I1367" t="str">
        <f t="shared" si="684"/>
        <v>CONTA OPTICA</v>
      </c>
      <c r="J1367" t="str">
        <f>"FLAVIA STEIL ABEID 39136776823"</f>
        <v>FLAVIA STEIL ABEID 39136776823</v>
      </c>
      <c r="K1367" t="str">
        <f>"STEIL TREND OTICA (4266)"</f>
        <v>STEIL TREND OTICA (4266)</v>
      </c>
      <c r="L1367" t="str">
        <f>""</f>
        <v/>
      </c>
      <c r="M1367" t="str">
        <f>""</f>
        <v/>
      </c>
      <c r="N1367" t="str">
        <f>"FLAVIO_ABEID@HOTMAIL.COM"</f>
        <v>FLAVIO_ABEID@HOTMAIL.COM</v>
      </c>
      <c r="O1367" t="str">
        <f>""</f>
        <v/>
      </c>
      <c r="P1367" t="str">
        <f>"RUA SAO BARTOLOMEU"</f>
        <v>RUA SAO BARTOLOMEU</v>
      </c>
      <c r="Q1367" t="str">
        <f>"78"</f>
        <v>78</v>
      </c>
      <c r="R1367" t="str">
        <f>""</f>
        <v/>
      </c>
      <c r="S1367" t="str">
        <f>""</f>
        <v/>
      </c>
      <c r="T1367" t="str">
        <f>"88343235"</f>
        <v>88343235</v>
      </c>
      <c r="U1367" t="str">
        <f>"SAO FRANCISCO DE ASSIS"</f>
        <v>SAO FRANCISCO DE ASSIS</v>
      </c>
      <c r="V1367" t="str">
        <f>"CAMBORIU"</f>
        <v>CAMBORIU</v>
      </c>
      <c r="W1367" t="str">
        <f t="shared" si="672"/>
        <v>SC</v>
      </c>
      <c r="X1367" t="str">
        <f>"11"</f>
        <v>11</v>
      </c>
      <c r="Y1367" t="str">
        <f>"995124001"</f>
        <v>995124001</v>
      </c>
      <c r="Z1367" t="str">
        <f>""</f>
        <v/>
      </c>
      <c r="AA1367" t="str">
        <f>""</f>
        <v/>
      </c>
      <c r="AB1367" t="str">
        <f>""</f>
        <v/>
      </c>
      <c r="AC1367" t="str">
        <f>""</f>
        <v/>
      </c>
      <c r="AD1367" t="str">
        <f>""</f>
        <v/>
      </c>
      <c r="AE1367" t="str">
        <f>""</f>
        <v/>
      </c>
      <c r="AF1367" t="str">
        <f>""</f>
        <v/>
      </c>
      <c r="AG1367" t="str">
        <f>""</f>
        <v/>
      </c>
      <c r="AH1367" t="str">
        <f>""</f>
        <v/>
      </c>
      <c r="AI1367" t="str">
        <f>""</f>
        <v/>
      </c>
      <c r="AJ1367" t="str">
        <f>""</f>
        <v/>
      </c>
      <c r="AK1367" t="str">
        <f>""</f>
        <v/>
      </c>
      <c r="AL1367" t="str">
        <f>""</f>
        <v/>
      </c>
      <c r="AM1367" t="str">
        <f>""</f>
        <v/>
      </c>
      <c r="AN1367" t="str">
        <f>""</f>
        <v/>
      </c>
      <c r="AO1367" t="str">
        <f>""</f>
        <v/>
      </c>
      <c r="AP1367" t="str">
        <f>""</f>
        <v/>
      </c>
      <c r="AQ1367" t="str">
        <f>""</f>
        <v/>
      </c>
      <c r="AR1367" t="str">
        <f>""</f>
        <v/>
      </c>
      <c r="AS1367" t="str">
        <f>""</f>
        <v/>
      </c>
      <c r="AT1367" t="str">
        <f>""</f>
        <v/>
      </c>
      <c r="AU1367" t="str">
        <f>""</f>
        <v/>
      </c>
      <c r="AV1367" t="str">
        <f>""</f>
        <v/>
      </c>
      <c r="AW1367" t="str">
        <f>""</f>
        <v/>
      </c>
      <c r="AX1367" t="str">
        <f>""</f>
        <v/>
      </c>
      <c r="AY1367" t="str">
        <f>""</f>
        <v/>
      </c>
      <c r="AZ1367" t="str">
        <f>""</f>
        <v/>
      </c>
      <c r="BA1367" t="str">
        <f>""</f>
        <v/>
      </c>
      <c r="BB1367" t="str">
        <f>"11/07/2023 02:26:32"</f>
        <v>11/07/2023 02:26:32</v>
      </c>
      <c r="BC1367" t="str">
        <f>""</f>
        <v/>
      </c>
      <c r="BD1367" t="str">
        <f>""</f>
        <v/>
      </c>
      <c r="BE1367" t="str">
        <f>""</f>
        <v/>
      </c>
      <c r="BF1367" t="str">
        <f t="shared" si="685"/>
        <v>A</v>
      </c>
      <c r="BG1367" t="str">
        <f>""</f>
        <v/>
      </c>
      <c r="BH1367" t="str">
        <f>""</f>
        <v/>
      </c>
      <c r="BI1367" t="str">
        <f t="shared" si="696"/>
        <v>EVENTUAL</v>
      </c>
      <c r="BJ1367" t="str">
        <f t="shared" si="686"/>
        <v>1</v>
      </c>
      <c r="BK1367" t="str">
        <f t="shared" si="687"/>
        <v>Farmacia</v>
      </c>
      <c r="BL1367" t="str">
        <f>""</f>
        <v/>
      </c>
      <c r="BM1367" t="str">
        <f>""</f>
        <v/>
      </c>
      <c r="BN1367" t="str">
        <f>""</f>
        <v/>
      </c>
      <c r="BO1367" t="str">
        <f>""</f>
        <v/>
      </c>
      <c r="BP1367" t="str">
        <f>""</f>
        <v/>
      </c>
      <c r="BQ1367" t="str">
        <f>""</f>
        <v/>
      </c>
      <c r="BR1367" t="str">
        <f>"11/07/2023"</f>
        <v>11/07/2023</v>
      </c>
      <c r="BS1367" t="str">
        <f>""</f>
        <v/>
      </c>
      <c r="BT1367" t="str">
        <f>""</f>
        <v/>
      </c>
      <c r="BU1367" t="str">
        <f>""</f>
        <v/>
      </c>
      <c r="BV1367" t="str">
        <f>""</f>
        <v/>
      </c>
      <c r="BW1367" t="str">
        <f>"Não visitado"</f>
        <v>Não visitado</v>
      </c>
    </row>
    <row r="1368" spans="1:75" x14ac:dyDescent="0.35">
      <c r="A1368">
        <v>137611</v>
      </c>
      <c r="B1368" t="str">
        <f t="shared" si="682"/>
        <v>A</v>
      </c>
      <c r="C1368" t="str">
        <f t="shared" si="683"/>
        <v>80</v>
      </c>
      <c r="D1368" t="str">
        <f t="shared" si="675"/>
        <v>11121004</v>
      </c>
      <c r="E1368" t="str">
        <f t="shared" si="676"/>
        <v>121004</v>
      </c>
      <c r="F1368" t="str">
        <f t="shared" si="677"/>
        <v>FABIANA GODOY</v>
      </c>
      <c r="G1368" t="str">
        <f>"28146213000145"</f>
        <v>28146213000145</v>
      </c>
      <c r="H1368" t="str">
        <f t="shared" si="695"/>
        <v>0</v>
      </c>
      <c r="I1368" t="str">
        <f t="shared" si="684"/>
        <v>CONTA OPTICA</v>
      </c>
      <c r="J1368" t="str">
        <f>"FLLY BLUMENAU COMERCIO LTDA"</f>
        <v>FLLY BLUMENAU COMERCIO LTDA</v>
      </c>
      <c r="K1368" t="str">
        <f>"CHILLI BEANS NORTE SHOPPING (3925)"</f>
        <v>CHILLI BEANS NORTE SHOPPING (3925)</v>
      </c>
      <c r="L1368" t="str">
        <f>""</f>
        <v/>
      </c>
      <c r="M1368" t="str">
        <f>""</f>
        <v/>
      </c>
      <c r="N1368" t="str">
        <f>"allan@grupofllfy.com.br"</f>
        <v>allan@grupofllfy.com.br</v>
      </c>
      <c r="O1368" t="str">
        <f>""</f>
        <v/>
      </c>
      <c r="P1368" t="str">
        <f>"RUA BR-470"</f>
        <v>RUA BR-470</v>
      </c>
      <c r="Q1368" t="str">
        <f>"3000"</f>
        <v>3000</v>
      </c>
      <c r="R1368" t="str">
        <f>"SALA 03"</f>
        <v>SALA 03</v>
      </c>
      <c r="S1368" t="str">
        <f>"1273"</f>
        <v>1273</v>
      </c>
      <c r="T1368" t="str">
        <f>"89065800"</f>
        <v>89065800</v>
      </c>
      <c r="U1368" t="str">
        <f>"SALTO DO NORTE"</f>
        <v>SALTO DO NORTE</v>
      </c>
      <c r="V1368" t="str">
        <f>"BLUMENAU"</f>
        <v>BLUMENAU</v>
      </c>
      <c r="W1368" t="str">
        <f t="shared" si="672"/>
        <v>SC</v>
      </c>
      <c r="X1368" t="str">
        <f>"47"</f>
        <v>47</v>
      </c>
      <c r="Y1368" t="str">
        <f>"30572474"</f>
        <v>30572474</v>
      </c>
      <c r="Z1368" t="str">
        <f>""</f>
        <v/>
      </c>
      <c r="AA1368" t="str">
        <f>""</f>
        <v/>
      </c>
      <c r="AB1368" t="str">
        <f>""</f>
        <v/>
      </c>
      <c r="AC1368" t="str">
        <f>""</f>
        <v/>
      </c>
      <c r="AD1368" t="str">
        <f>""</f>
        <v/>
      </c>
      <c r="AE1368" t="str">
        <f>""</f>
        <v/>
      </c>
      <c r="AF1368" t="str">
        <f>""</f>
        <v/>
      </c>
      <c r="AG1368" t="str">
        <f>"S"</f>
        <v>S</v>
      </c>
      <c r="AH1368" t="str">
        <f>""</f>
        <v/>
      </c>
      <c r="AI1368" t="str">
        <f>""</f>
        <v/>
      </c>
      <c r="AJ1368" t="str">
        <f>""</f>
        <v/>
      </c>
      <c r="AK1368" t="str">
        <f>""</f>
        <v/>
      </c>
      <c r="AL1368" t="str">
        <f>""</f>
        <v/>
      </c>
      <c r="AM1368" t="str">
        <f>""</f>
        <v/>
      </c>
      <c r="AN1368" t="str">
        <f>""</f>
        <v/>
      </c>
      <c r="AO1368" t="str">
        <f>""</f>
        <v/>
      </c>
      <c r="AP1368" t="str">
        <f>""</f>
        <v/>
      </c>
      <c r="AQ1368" t="str">
        <f>"N"</f>
        <v>N</v>
      </c>
      <c r="AR1368" t="str">
        <f>"N"</f>
        <v>N</v>
      </c>
      <c r="AS1368" t="str">
        <f>"N"</f>
        <v>N</v>
      </c>
      <c r="AT1368" t="str">
        <f>"N"</f>
        <v>N</v>
      </c>
      <c r="AU1368" t="str">
        <f>"N"</f>
        <v>N</v>
      </c>
      <c r="AV1368" t="str">
        <f>""</f>
        <v/>
      </c>
      <c r="AW1368" t="str">
        <f>""</f>
        <v/>
      </c>
      <c r="AX1368" t="str">
        <f>""</f>
        <v/>
      </c>
      <c r="AY1368" t="str">
        <f>""</f>
        <v/>
      </c>
      <c r="AZ1368" t="str">
        <f>""</f>
        <v/>
      </c>
      <c r="BA1368" t="str">
        <f>""</f>
        <v/>
      </c>
      <c r="BB1368" t="str">
        <f>"01/07/2021 13:53:04"</f>
        <v>01/07/2021 13:53:04</v>
      </c>
      <c r="BC1368" t="str">
        <f>"29/12/2021 14:44:10"</f>
        <v>29/12/2021 14:44:10</v>
      </c>
      <c r="BD1368" t="str">
        <f>""</f>
        <v/>
      </c>
      <c r="BE1368" t="str">
        <f>""</f>
        <v/>
      </c>
      <c r="BF1368" t="str">
        <f t="shared" si="685"/>
        <v>A</v>
      </c>
      <c r="BG1368" t="str">
        <f>""</f>
        <v/>
      </c>
      <c r="BH1368" t="str">
        <f>"0,00"</f>
        <v>0,00</v>
      </c>
      <c r="BI1368" t="str">
        <f t="shared" si="696"/>
        <v>EVENTUAL</v>
      </c>
      <c r="BJ1368" t="str">
        <f t="shared" si="686"/>
        <v>1</v>
      </c>
      <c r="BK1368" t="str">
        <f t="shared" si="687"/>
        <v>Farmacia</v>
      </c>
      <c r="BL1368" t="str">
        <f>""</f>
        <v/>
      </c>
      <c r="BM1368" t="str">
        <f>"NÃO É VARILUX ESPECIALISTA"</f>
        <v>NÃO É VARILUX ESPECIALISTA</v>
      </c>
      <c r="BN1368" t="str">
        <f>"NA"</f>
        <v>NA</v>
      </c>
      <c r="BO1368" t="str">
        <f>""</f>
        <v/>
      </c>
      <c r="BP1368" t="str">
        <f>""</f>
        <v/>
      </c>
      <c r="BQ1368" t="str">
        <f>""</f>
        <v/>
      </c>
      <c r="BR1368" t="str">
        <f>"01/07/2021"</f>
        <v>01/07/2021</v>
      </c>
      <c r="BS1368" t="str">
        <f>"29/12/2021"</f>
        <v>29/12/2021</v>
      </c>
      <c r="BT1368" t="str">
        <f>""</f>
        <v/>
      </c>
      <c r="BU1368" t="str">
        <f>""</f>
        <v/>
      </c>
      <c r="BV1368" t="str">
        <f>""</f>
        <v/>
      </c>
      <c r="BW1368" t="str">
        <f>"36"</f>
        <v>36</v>
      </c>
    </row>
    <row r="1369" spans="1:75" x14ac:dyDescent="0.35">
      <c r="A1369">
        <v>137612</v>
      </c>
      <c r="B1369" t="str">
        <f t="shared" si="682"/>
        <v>A</v>
      </c>
      <c r="C1369" t="str">
        <f t="shared" si="683"/>
        <v>80</v>
      </c>
      <c r="D1369" t="str">
        <f t="shared" si="675"/>
        <v>11121004</v>
      </c>
      <c r="E1369" t="str">
        <f t="shared" si="676"/>
        <v>121004</v>
      </c>
      <c r="F1369" t="str">
        <f t="shared" si="677"/>
        <v>FABIANA GODOY</v>
      </c>
      <c r="G1369" t="str">
        <f>"25276260000115"</f>
        <v>25276260000115</v>
      </c>
      <c r="H1369" t="str">
        <f t="shared" si="695"/>
        <v>0</v>
      </c>
      <c r="I1369" t="str">
        <f t="shared" si="684"/>
        <v>CONTA OPTICA</v>
      </c>
      <c r="J1369" t="str">
        <f>"FLLY COMERCIO LTDA - EPP"</f>
        <v>FLLY COMERCIO LTDA - EPP</v>
      </c>
      <c r="K1369" t="str">
        <f>"CHILLI BEANS (3867)"</f>
        <v>CHILLI BEANS (3867)</v>
      </c>
      <c r="L1369" t="str">
        <f>""</f>
        <v/>
      </c>
      <c r="M1369" t="str">
        <f>""</f>
        <v/>
      </c>
      <c r="N1369" t="str">
        <f>"allan_matias@hotmail.com"</f>
        <v>allan_matias@hotmail.com</v>
      </c>
      <c r="O1369" t="str">
        <f>""</f>
        <v/>
      </c>
      <c r="P1369" t="str">
        <f>"RUA BARAO DE SCHNEEBURG"</f>
        <v>RUA BARAO DE SCHNEEBURG</v>
      </c>
      <c r="Q1369" t="str">
        <f>"22"</f>
        <v>22</v>
      </c>
      <c r="R1369" t="str">
        <f>""</f>
        <v/>
      </c>
      <c r="S1369" t="str">
        <f>"1263"</f>
        <v>1263</v>
      </c>
      <c r="T1369" t="str">
        <f>"88350345"</f>
        <v>88350345</v>
      </c>
      <c r="U1369" t="str">
        <f>"CENTRO"</f>
        <v>CENTRO</v>
      </c>
      <c r="V1369" t="str">
        <f>"BRUSQUE"</f>
        <v>BRUSQUE</v>
      </c>
      <c r="W1369" t="str">
        <f t="shared" si="672"/>
        <v>SC</v>
      </c>
      <c r="X1369" t="str">
        <f>"47"</f>
        <v>47</v>
      </c>
      <c r="Y1369" t="str">
        <f>"84494348"</f>
        <v>84494348</v>
      </c>
      <c r="Z1369" t="str">
        <f>""</f>
        <v/>
      </c>
      <c r="AA1369" t="str">
        <f>""</f>
        <v/>
      </c>
      <c r="AB1369" t="str">
        <f>""</f>
        <v/>
      </c>
      <c r="AC1369" t="str">
        <f>""</f>
        <v/>
      </c>
      <c r="AD1369" t="str">
        <f>""</f>
        <v/>
      </c>
      <c r="AE1369" t="str">
        <f>""</f>
        <v/>
      </c>
      <c r="AF1369" t="str">
        <f>""</f>
        <v/>
      </c>
      <c r="AG1369" t="str">
        <f>""</f>
        <v/>
      </c>
      <c r="AH1369" t="str">
        <f>""</f>
        <v/>
      </c>
      <c r="AI1369" t="str">
        <f>""</f>
        <v/>
      </c>
      <c r="AJ1369" t="str">
        <f>""</f>
        <v/>
      </c>
      <c r="AK1369" t="str">
        <f>""</f>
        <v/>
      </c>
      <c r="AL1369" t="str">
        <f>""</f>
        <v/>
      </c>
      <c r="AM1369" t="str">
        <f>""</f>
        <v/>
      </c>
      <c r="AN1369" t="str">
        <f>""</f>
        <v/>
      </c>
      <c r="AO1369" t="str">
        <f>""</f>
        <v/>
      </c>
      <c r="AP1369" t="str">
        <f>""</f>
        <v/>
      </c>
      <c r="AQ1369" t="str">
        <f>""</f>
        <v/>
      </c>
      <c r="AR1369" t="str">
        <f>""</f>
        <v/>
      </c>
      <c r="AS1369" t="str">
        <f>""</f>
        <v/>
      </c>
      <c r="AT1369" t="str">
        <f>""</f>
        <v/>
      </c>
      <c r="AU1369" t="str">
        <f>""</f>
        <v/>
      </c>
      <c r="AV1369" t="str">
        <f>""</f>
        <v/>
      </c>
      <c r="AW1369" t="str">
        <f>""</f>
        <v/>
      </c>
      <c r="AX1369" t="str">
        <f>""</f>
        <v/>
      </c>
      <c r="AY1369" t="str">
        <f>""</f>
        <v/>
      </c>
      <c r="AZ1369" t="str">
        <f>""</f>
        <v/>
      </c>
      <c r="BA1369" t="str">
        <f>""</f>
        <v/>
      </c>
      <c r="BB1369" t="str">
        <f>"01/07/2021 13:53:04"</f>
        <v>01/07/2021 13:53:04</v>
      </c>
      <c r="BC1369" t="str">
        <f>""</f>
        <v/>
      </c>
      <c r="BD1369" t="str">
        <f>""</f>
        <v/>
      </c>
      <c r="BE1369" t="str">
        <f>""</f>
        <v/>
      </c>
      <c r="BF1369" t="str">
        <f t="shared" si="685"/>
        <v>A</v>
      </c>
      <c r="BG1369" t="str">
        <f>""</f>
        <v/>
      </c>
      <c r="BH1369" t="str">
        <f>""</f>
        <v/>
      </c>
      <c r="BI1369" t="str">
        <f t="shared" si="696"/>
        <v>EVENTUAL</v>
      </c>
      <c r="BJ1369" t="str">
        <f t="shared" si="686"/>
        <v>1</v>
      </c>
      <c r="BK1369" t="str">
        <f t="shared" si="687"/>
        <v>Farmacia</v>
      </c>
      <c r="BL1369" t="str">
        <f>""</f>
        <v/>
      </c>
      <c r="BM1369" t="str">
        <f>"NÃO É VARILUX ESPECIALISTA"</f>
        <v>NÃO É VARILUX ESPECIALISTA</v>
      </c>
      <c r="BN1369" t="str">
        <f>"NA"</f>
        <v>NA</v>
      </c>
      <c r="BO1369" t="str">
        <f>"FOCO VARILUX"</f>
        <v>FOCO VARILUX</v>
      </c>
      <c r="BP1369" t="str">
        <f>""</f>
        <v/>
      </c>
      <c r="BQ1369" t="str">
        <f>""</f>
        <v/>
      </c>
      <c r="BR1369" t="str">
        <f>"01/07/2021"</f>
        <v>01/07/2021</v>
      </c>
      <c r="BS1369" t="str">
        <f>""</f>
        <v/>
      </c>
      <c r="BT1369" t="str">
        <f>""</f>
        <v/>
      </c>
      <c r="BU1369" t="str">
        <f>""</f>
        <v/>
      </c>
      <c r="BV1369" t="str">
        <f>""</f>
        <v/>
      </c>
      <c r="BW1369" t="str">
        <f>"Não visitado"</f>
        <v>Não visitado</v>
      </c>
    </row>
    <row r="1370" spans="1:75" x14ac:dyDescent="0.35">
      <c r="A1370">
        <v>137613</v>
      </c>
      <c r="B1370" t="str">
        <f t="shared" si="682"/>
        <v>A</v>
      </c>
      <c r="C1370" t="str">
        <f t="shared" si="683"/>
        <v>80</v>
      </c>
      <c r="D1370" t="str">
        <f t="shared" si="675"/>
        <v>11121004</v>
      </c>
      <c r="E1370" t="str">
        <f t="shared" si="676"/>
        <v>121004</v>
      </c>
      <c r="F1370" t="str">
        <f t="shared" si="677"/>
        <v>FABIANA GODOY</v>
      </c>
      <c r="G1370" t="str">
        <f>"30358452000100"</f>
        <v>30358452000100</v>
      </c>
      <c r="H1370" t="str">
        <f t="shared" si="695"/>
        <v>0</v>
      </c>
      <c r="I1370" t="str">
        <f t="shared" si="684"/>
        <v>CONTA OPTICA</v>
      </c>
      <c r="J1370" t="str">
        <f>"FLLY NKT COMERCIO DE OPTICA LTDA"</f>
        <v>FLLY NKT COMERCIO DE OPTICA LTDA</v>
      </c>
      <c r="K1370" t="str">
        <f>"CHILLI BEANS NEUMARKT (3924)"</f>
        <v>CHILLI BEANS NEUMARKT (3924)</v>
      </c>
      <c r="L1370" t="str">
        <f>""</f>
        <v/>
      </c>
      <c r="M1370" t="str">
        <f>""</f>
        <v/>
      </c>
      <c r="N1370" t="str">
        <f>""</f>
        <v/>
      </c>
      <c r="O1370" t="str">
        <f>""</f>
        <v/>
      </c>
      <c r="P1370" t="str">
        <f>"RUA SETE DE SETEMBRO"</f>
        <v>RUA SETE DE SETEMBRO</v>
      </c>
      <c r="Q1370" t="str">
        <f>"1213"</f>
        <v>1213</v>
      </c>
      <c r="R1370" t="str">
        <f>"SALA L68"</f>
        <v>SALA L68</v>
      </c>
      <c r="S1370" t="str">
        <f>"1273"</f>
        <v>1273</v>
      </c>
      <c r="T1370" t="str">
        <f>"89010911"</f>
        <v>89010911</v>
      </c>
      <c r="U1370" t="str">
        <f>"CENTRO"</f>
        <v>CENTRO</v>
      </c>
      <c r="V1370" t="str">
        <f>"BLUMENAU"</f>
        <v>BLUMENAU</v>
      </c>
      <c r="W1370" t="str">
        <f t="shared" si="672"/>
        <v>SC</v>
      </c>
      <c r="X1370" t="str">
        <f>"47"</f>
        <v>47</v>
      </c>
      <c r="Y1370" t="str">
        <f>"30420897"</f>
        <v>30420897</v>
      </c>
      <c r="Z1370" t="str">
        <f>""</f>
        <v/>
      </c>
      <c r="AA1370" t="str">
        <f>""</f>
        <v/>
      </c>
      <c r="AB1370" t="str">
        <f>""</f>
        <v/>
      </c>
      <c r="AC1370" t="str">
        <f>""</f>
        <v/>
      </c>
      <c r="AD1370" t="str">
        <f>""</f>
        <v/>
      </c>
      <c r="AE1370" t="str">
        <f>""</f>
        <v/>
      </c>
      <c r="AF1370" t="str">
        <f>""</f>
        <v/>
      </c>
      <c r="AG1370" t="str">
        <f>""</f>
        <v/>
      </c>
      <c r="AH1370" t="str">
        <f>""</f>
        <v/>
      </c>
      <c r="AI1370" t="str">
        <f>""</f>
        <v/>
      </c>
      <c r="AJ1370" t="str">
        <f>""</f>
        <v/>
      </c>
      <c r="AK1370" t="str">
        <f>""</f>
        <v/>
      </c>
      <c r="AL1370" t="str">
        <f>""</f>
        <v/>
      </c>
      <c r="AM1370" t="str">
        <f>""</f>
        <v/>
      </c>
      <c r="AN1370" t="str">
        <f>""</f>
        <v/>
      </c>
      <c r="AO1370" t="str">
        <f>""</f>
        <v/>
      </c>
      <c r="AP1370" t="str">
        <f>""</f>
        <v/>
      </c>
      <c r="AQ1370" t="str">
        <f>""</f>
        <v/>
      </c>
      <c r="AR1370" t="str">
        <f>""</f>
        <v/>
      </c>
      <c r="AS1370" t="str">
        <f>""</f>
        <v/>
      </c>
      <c r="AT1370" t="str">
        <f>""</f>
        <v/>
      </c>
      <c r="AU1370" t="str">
        <f>""</f>
        <v/>
      </c>
      <c r="AV1370" t="str">
        <f>""</f>
        <v/>
      </c>
      <c r="AW1370" t="str">
        <f>""</f>
        <v/>
      </c>
      <c r="AX1370" t="str">
        <f>""</f>
        <v/>
      </c>
      <c r="AY1370" t="str">
        <f>""</f>
        <v/>
      </c>
      <c r="AZ1370" t="str">
        <f>""</f>
        <v/>
      </c>
      <c r="BA1370" t="str">
        <f>""</f>
        <v/>
      </c>
      <c r="BB1370" t="str">
        <f>"01/07/2021 13:53:04"</f>
        <v>01/07/2021 13:53:04</v>
      </c>
      <c r="BC1370" t="str">
        <f>""</f>
        <v/>
      </c>
      <c r="BD1370" t="str">
        <f>""</f>
        <v/>
      </c>
      <c r="BE1370" t="str">
        <f>""</f>
        <v/>
      </c>
      <c r="BF1370" t="str">
        <f t="shared" si="685"/>
        <v>A</v>
      </c>
      <c r="BG1370" t="str">
        <f>""</f>
        <v/>
      </c>
      <c r="BH1370" t="str">
        <f>""</f>
        <v/>
      </c>
      <c r="BI1370" t="str">
        <f t="shared" si="696"/>
        <v>EVENTUAL</v>
      </c>
      <c r="BJ1370" t="str">
        <f t="shared" si="686"/>
        <v>1</v>
      </c>
      <c r="BK1370" t="str">
        <f t="shared" si="687"/>
        <v>Farmacia</v>
      </c>
      <c r="BL1370" t="str">
        <f>""</f>
        <v/>
      </c>
      <c r="BM1370" t="str">
        <f>"NÃO É VARILUX ESPECIALISTA"</f>
        <v>NÃO É VARILUX ESPECIALISTA</v>
      </c>
      <c r="BN1370" t="str">
        <f>"NA"</f>
        <v>NA</v>
      </c>
      <c r="BO1370" t="str">
        <f>"FOCO VARILUX DIGITAL"</f>
        <v>FOCO VARILUX DIGITAL</v>
      </c>
      <c r="BP1370" t="str">
        <f>""</f>
        <v/>
      </c>
      <c r="BQ1370" t="str">
        <f>""</f>
        <v/>
      </c>
      <c r="BR1370" t="str">
        <f>"01/07/2021"</f>
        <v>01/07/2021</v>
      </c>
      <c r="BS1370" t="str">
        <f>""</f>
        <v/>
      </c>
      <c r="BT1370" t="str">
        <f>""</f>
        <v/>
      </c>
      <c r="BU1370" t="str">
        <f>""</f>
        <v/>
      </c>
      <c r="BV1370" t="str">
        <f>""</f>
        <v/>
      </c>
      <c r="BW1370" t="str">
        <f>"67"</f>
        <v>67</v>
      </c>
    </row>
    <row r="1371" spans="1:75" x14ac:dyDescent="0.35">
      <c r="A1371">
        <v>118739</v>
      </c>
      <c r="B1371" t="str">
        <f t="shared" si="682"/>
        <v>A</v>
      </c>
      <c r="C1371" t="str">
        <f t="shared" si="683"/>
        <v>80</v>
      </c>
      <c r="D1371" t="str">
        <f t="shared" si="675"/>
        <v>11121004</v>
      </c>
      <c r="E1371" t="str">
        <f t="shared" si="676"/>
        <v>121004</v>
      </c>
      <c r="F1371" t="str">
        <f t="shared" si="677"/>
        <v>FABIANA GODOY</v>
      </c>
      <c r="G1371" t="str">
        <f>"03680924000174"</f>
        <v>03680924000174</v>
      </c>
      <c r="H1371" t="str">
        <f>""</f>
        <v/>
      </c>
      <c r="I1371" t="str">
        <f t="shared" si="684"/>
        <v>CONTA OPTICA</v>
      </c>
      <c r="J1371" t="str">
        <f>"FOTO VIDEO ESSER LTDA"</f>
        <v>FOTO VIDEO ESSER LTDA</v>
      </c>
      <c r="K1371" t="str">
        <f>"FOTO VIDEO ESSER LTDA (950)"</f>
        <v>FOTO VIDEO ESSER LTDA (950)</v>
      </c>
      <c r="L1371" t="str">
        <f>""</f>
        <v/>
      </c>
      <c r="M1371" t="str">
        <f>""</f>
        <v/>
      </c>
      <c r="N1371" t="str">
        <f>"fotoesser@gmail.com"</f>
        <v>fotoesser@gmail.com</v>
      </c>
      <c r="O1371" t="str">
        <f>""</f>
        <v/>
      </c>
      <c r="P1371" t="str">
        <f>"RUA 29 DE DEZEMBRO"</f>
        <v>RUA 29 DE DEZEMBRO</v>
      </c>
      <c r="Q1371" t="str">
        <f>"791"</f>
        <v>791</v>
      </c>
      <c r="R1371" t="str">
        <f>""</f>
        <v/>
      </c>
      <c r="S1371" t="str">
        <f>"1276"</f>
        <v>1276</v>
      </c>
      <c r="T1371" t="str">
        <f>"89198000"</f>
        <v>89198000</v>
      </c>
      <c r="U1371" t="str">
        <f>"CENTRO"</f>
        <v>CENTRO</v>
      </c>
      <c r="V1371" t="str">
        <f>"RIO DO CAMPO"</f>
        <v>RIO DO CAMPO</v>
      </c>
      <c r="W1371" t="str">
        <f t="shared" si="672"/>
        <v>SC</v>
      </c>
      <c r="X1371" t="str">
        <f>"47"</f>
        <v>47</v>
      </c>
      <c r="Y1371" t="str">
        <f>"35641285"</f>
        <v>35641285</v>
      </c>
      <c r="Z1371" t="str">
        <f>""</f>
        <v/>
      </c>
      <c r="AA1371" t="str">
        <f>""</f>
        <v/>
      </c>
      <c r="AB1371" t="str">
        <f>""</f>
        <v/>
      </c>
      <c r="AC1371" t="str">
        <f>""</f>
        <v/>
      </c>
      <c r="AD1371" t="str">
        <f>""</f>
        <v/>
      </c>
      <c r="AE1371" t="str">
        <f>""</f>
        <v/>
      </c>
      <c r="AF1371" t="str">
        <f>""</f>
        <v/>
      </c>
      <c r="AG1371" t="str">
        <f>""</f>
        <v/>
      </c>
      <c r="AH1371" t="str">
        <f>""</f>
        <v/>
      </c>
      <c r="AI1371" t="str">
        <f>""</f>
        <v/>
      </c>
      <c r="AJ1371" t="str">
        <f>"0"</f>
        <v>0</v>
      </c>
      <c r="AK1371" t="str">
        <f>"0"</f>
        <v>0</v>
      </c>
      <c r="AL1371" t="str">
        <f>"0"</f>
        <v>0</v>
      </c>
      <c r="AM1371" t="str">
        <f>""</f>
        <v/>
      </c>
      <c r="AN1371" t="str">
        <f>""</f>
        <v/>
      </c>
      <c r="AO1371" t="str">
        <f>""</f>
        <v/>
      </c>
      <c r="AP1371" t="str">
        <f>""</f>
        <v/>
      </c>
      <c r="AQ1371" t="str">
        <f>""</f>
        <v/>
      </c>
      <c r="AR1371" t="str">
        <f>""</f>
        <v/>
      </c>
      <c r="AS1371" t="str">
        <f>""</f>
        <v/>
      </c>
      <c r="AT1371" t="str">
        <f>""</f>
        <v/>
      </c>
      <c r="AU1371" t="str">
        <f>""</f>
        <v/>
      </c>
      <c r="AV1371" t="str">
        <f>""</f>
        <v/>
      </c>
      <c r="AW1371" t="str">
        <f>""</f>
        <v/>
      </c>
      <c r="AX1371" t="str">
        <f>""</f>
        <v/>
      </c>
      <c r="AY1371" t="str">
        <f>""</f>
        <v/>
      </c>
      <c r="AZ1371" t="str">
        <f>""</f>
        <v/>
      </c>
      <c r="BA1371" t="str">
        <f>""</f>
        <v/>
      </c>
      <c r="BB1371" t="str">
        <f>""</f>
        <v/>
      </c>
      <c r="BC1371" t="str">
        <f>""</f>
        <v/>
      </c>
      <c r="BD1371" t="str">
        <f>""</f>
        <v/>
      </c>
      <c r="BE1371" t="str">
        <f>""</f>
        <v/>
      </c>
      <c r="BF1371" t="str">
        <f t="shared" si="685"/>
        <v>A</v>
      </c>
      <c r="BG1371" t="str">
        <f>"0,00"</f>
        <v>0,00</v>
      </c>
      <c r="BH1371" t="str">
        <f>"0,00"</f>
        <v>0,00</v>
      </c>
      <c r="BI1371" t="str">
        <f t="shared" si="696"/>
        <v>EVENTUAL</v>
      </c>
      <c r="BJ1371" t="str">
        <f t="shared" si="686"/>
        <v>1</v>
      </c>
      <c r="BK1371" t="str">
        <f t="shared" si="687"/>
        <v>Farmacia</v>
      </c>
      <c r="BL1371" t="str">
        <f>""</f>
        <v/>
      </c>
      <c r="BM1371" t="str">
        <f>"NÃO É VARILUX ESPECIALISTA"</f>
        <v>NÃO É VARILUX ESPECIALISTA</v>
      </c>
      <c r="BN1371" t="str">
        <f>"NA"</f>
        <v>NA</v>
      </c>
      <c r="BO1371" t="str">
        <f>"OUTROS"</f>
        <v>OUTROS</v>
      </c>
      <c r="BP1371" t="str">
        <f>""</f>
        <v/>
      </c>
      <c r="BQ1371" t="str">
        <f>""</f>
        <v/>
      </c>
      <c r="BR1371" t="str">
        <f>""</f>
        <v/>
      </c>
      <c r="BS1371" t="str">
        <f>""</f>
        <v/>
      </c>
      <c r="BT1371" t="str">
        <f>""</f>
        <v/>
      </c>
      <c r="BU1371" t="str">
        <f>""</f>
        <v/>
      </c>
      <c r="BV1371" t="str">
        <f>"9"</f>
        <v>9</v>
      </c>
      <c r="BW1371" t="str">
        <f>"31"</f>
        <v>31</v>
      </c>
    </row>
    <row r="1372" spans="1:75" x14ac:dyDescent="0.35">
      <c r="A1372">
        <v>157051</v>
      </c>
      <c r="B1372" t="str">
        <f t="shared" si="682"/>
        <v>A</v>
      </c>
      <c r="C1372" t="str">
        <f t="shared" si="683"/>
        <v>80</v>
      </c>
      <c r="D1372" t="str">
        <f t="shared" si="675"/>
        <v>11121004</v>
      </c>
      <c r="E1372" t="str">
        <f t="shared" si="676"/>
        <v>121004</v>
      </c>
      <c r="F1372" t="str">
        <f t="shared" si="677"/>
        <v>FABIANA GODOY</v>
      </c>
      <c r="G1372" t="str">
        <f>"47795245000116"</f>
        <v>47795245000116</v>
      </c>
      <c r="H1372" t="str">
        <f>"0"</f>
        <v>0</v>
      </c>
      <c r="I1372" t="str">
        <f t="shared" si="684"/>
        <v>CONTA OPTICA</v>
      </c>
      <c r="J1372" t="str">
        <f>"FP COMERCIO LTDA"</f>
        <v>FP COMERCIO LTDA</v>
      </c>
      <c r="K1372" t="str">
        <f>"CHILLI BEANS (4600)"</f>
        <v>CHILLI BEANS (4600)</v>
      </c>
      <c r="L1372" t="str">
        <f>""</f>
        <v/>
      </c>
      <c r="M1372" t="str">
        <f>""</f>
        <v/>
      </c>
      <c r="N1372" t="str">
        <f>"RIODOSUL.LJR@LOJASCHILLIBEANS.COM.BR"</f>
        <v>RIODOSUL.LJR@LOJASCHILLIBEANS.COM.BR</v>
      </c>
      <c r="O1372" t="str">
        <f>""</f>
        <v/>
      </c>
      <c r="P1372" t="str">
        <f>"RUA DOUTOR GUILHERME GEMBALLA"</f>
        <v>RUA DOUTOR GUILHERME GEMBALLA</v>
      </c>
      <c r="Q1372" t="str">
        <f>"276"</f>
        <v>276</v>
      </c>
      <c r="R1372" t="str">
        <f>"SALA 03"</f>
        <v>SALA 03</v>
      </c>
      <c r="S1372" t="str">
        <f>""</f>
        <v/>
      </c>
      <c r="T1372" t="str">
        <f>"89160188"</f>
        <v>89160188</v>
      </c>
      <c r="U1372" t="str">
        <f>"JARDIM AMERICA"</f>
        <v>JARDIM AMERICA</v>
      </c>
      <c r="V1372" t="str">
        <f>"RIO DO SUL"</f>
        <v>RIO DO SUL</v>
      </c>
      <c r="W1372" t="str">
        <f t="shared" si="672"/>
        <v>SC</v>
      </c>
      <c r="X1372" t="str">
        <f>"47"</f>
        <v>47</v>
      </c>
      <c r="Y1372" t="str">
        <f>"999479457"</f>
        <v>999479457</v>
      </c>
      <c r="Z1372" t="str">
        <f>""</f>
        <v/>
      </c>
      <c r="AA1372" t="str">
        <f>""</f>
        <v/>
      </c>
      <c r="AB1372" t="str">
        <f>""</f>
        <v/>
      </c>
      <c r="AC1372" t="str">
        <f>""</f>
        <v/>
      </c>
      <c r="AD1372" t="str">
        <f>""</f>
        <v/>
      </c>
      <c r="AE1372" t="str">
        <f>""</f>
        <v/>
      </c>
      <c r="AF1372" t="str">
        <f>""</f>
        <v/>
      </c>
      <c r="AG1372" t="str">
        <f>""</f>
        <v/>
      </c>
      <c r="AH1372" t="str">
        <f>""</f>
        <v/>
      </c>
      <c r="AI1372" t="str">
        <f>""</f>
        <v/>
      </c>
      <c r="AJ1372" t="str">
        <f>""</f>
        <v/>
      </c>
      <c r="AK1372" t="str">
        <f>""</f>
        <v/>
      </c>
      <c r="AL1372" t="str">
        <f>""</f>
        <v/>
      </c>
      <c r="AM1372" t="str">
        <f>""</f>
        <v/>
      </c>
      <c r="AN1372" t="str">
        <f>""</f>
        <v/>
      </c>
      <c r="AO1372" t="str">
        <f>""</f>
        <v/>
      </c>
      <c r="AP1372" t="str">
        <f>""</f>
        <v/>
      </c>
      <c r="AQ1372" t="str">
        <f>""</f>
        <v/>
      </c>
      <c r="AR1372" t="str">
        <f>""</f>
        <v/>
      </c>
      <c r="AS1372" t="str">
        <f>""</f>
        <v/>
      </c>
      <c r="AT1372" t="str">
        <f>""</f>
        <v/>
      </c>
      <c r="AU1372" t="str">
        <f>""</f>
        <v/>
      </c>
      <c r="AV1372" t="str">
        <f>""</f>
        <v/>
      </c>
      <c r="AW1372" t="str">
        <f>""</f>
        <v/>
      </c>
      <c r="AX1372" t="str">
        <f>""</f>
        <v/>
      </c>
      <c r="AY1372" t="str">
        <f>""</f>
        <v/>
      </c>
      <c r="AZ1372" t="str">
        <f>""</f>
        <v/>
      </c>
      <c r="BA1372" t="str">
        <f>""</f>
        <v/>
      </c>
      <c r="BB1372" t="str">
        <f>"06/07/2023 12:07:48"</f>
        <v>06/07/2023 12:07:48</v>
      </c>
      <c r="BC1372" t="str">
        <f>""</f>
        <v/>
      </c>
      <c r="BD1372" t="str">
        <f>""</f>
        <v/>
      </c>
      <c r="BE1372" t="str">
        <f>""</f>
        <v/>
      </c>
      <c r="BF1372" t="str">
        <f t="shared" si="685"/>
        <v>A</v>
      </c>
      <c r="BG1372" t="str">
        <f>""</f>
        <v/>
      </c>
      <c r="BH1372" t="str">
        <f>""</f>
        <v/>
      </c>
      <c r="BI1372" t="str">
        <f t="shared" si="696"/>
        <v>EVENTUAL</v>
      </c>
      <c r="BJ1372" t="str">
        <f t="shared" si="686"/>
        <v>1</v>
      </c>
      <c r="BK1372" t="str">
        <f t="shared" si="687"/>
        <v>Farmacia</v>
      </c>
      <c r="BL1372" t="str">
        <f>""</f>
        <v/>
      </c>
      <c r="BM1372" t="str">
        <f>""</f>
        <v/>
      </c>
      <c r="BN1372" t="str">
        <f>""</f>
        <v/>
      </c>
      <c r="BO1372" t="str">
        <f>""</f>
        <v/>
      </c>
      <c r="BP1372" t="str">
        <f>""</f>
        <v/>
      </c>
      <c r="BQ1372" t="str">
        <f>""</f>
        <v/>
      </c>
      <c r="BR1372" t="str">
        <f>"06/07/2023"</f>
        <v>06/07/2023</v>
      </c>
      <c r="BS1372" t="str">
        <f>""</f>
        <v/>
      </c>
      <c r="BT1372" t="str">
        <f>""</f>
        <v/>
      </c>
      <c r="BU1372" t="str">
        <f>""</f>
        <v/>
      </c>
      <c r="BV1372" t="str">
        <f>""</f>
        <v/>
      </c>
      <c r="BW1372" t="str">
        <f>"66"</f>
        <v>66</v>
      </c>
    </row>
    <row r="1373" spans="1:75" x14ac:dyDescent="0.35">
      <c r="A1373">
        <v>137616</v>
      </c>
      <c r="B1373" t="str">
        <f t="shared" si="682"/>
        <v>A</v>
      </c>
      <c r="C1373" t="str">
        <f t="shared" si="683"/>
        <v>80</v>
      </c>
      <c r="D1373" t="str">
        <f t="shared" si="675"/>
        <v>11121004</v>
      </c>
      <c r="E1373" t="str">
        <f t="shared" si="676"/>
        <v>121004</v>
      </c>
      <c r="F1373" t="str">
        <f t="shared" si="677"/>
        <v>FABIANA GODOY</v>
      </c>
      <c r="G1373" t="str">
        <f>"37107673000155"</f>
        <v>37107673000155</v>
      </c>
      <c r="H1373" t="str">
        <f>"0"</f>
        <v>0</v>
      </c>
      <c r="I1373" t="str">
        <f t="shared" si="684"/>
        <v>CONTA OPTICA</v>
      </c>
      <c r="J1373" t="str">
        <f>"FT ARTIGOS OPTICOS LTDA"</f>
        <v>FT ARTIGOS OPTICOS LTDA</v>
      </c>
      <c r="K1373" t="str">
        <f>"MERCADAO DOS OCULOS ITAPEMA (4127)"</f>
        <v>MERCADAO DOS OCULOS ITAPEMA (4127)</v>
      </c>
      <c r="L1373" t="str">
        <f>""</f>
        <v/>
      </c>
      <c r="M1373" t="str">
        <f>""</f>
        <v/>
      </c>
      <c r="N1373" t="str">
        <f>"fernando.turra@hotmail.com"</f>
        <v>fernando.turra@hotmail.com</v>
      </c>
      <c r="O1373" t="str">
        <f>""</f>
        <v/>
      </c>
      <c r="P1373" t="str">
        <f>"AVENIDA NEREU RAMOS"</f>
        <v>AVENIDA NEREU RAMOS</v>
      </c>
      <c r="Q1373" t="str">
        <f>"3982"</f>
        <v>3982</v>
      </c>
      <c r="R1373" t="str">
        <f>"ESQ.C/RUA 252 S"</f>
        <v>ESQ.C/RUA 252 S</v>
      </c>
      <c r="S1373" t="str">
        <f>"1260"</f>
        <v>1260</v>
      </c>
      <c r="T1373" t="str">
        <f>"88220000"</f>
        <v>88220000</v>
      </c>
      <c r="U1373" t="str">
        <f>"MEIA PRAIA"</f>
        <v>MEIA PRAIA</v>
      </c>
      <c r="V1373" t="str">
        <f>"ITAPEMA"</f>
        <v>ITAPEMA</v>
      </c>
      <c r="W1373" t="str">
        <f t="shared" si="672"/>
        <v>SC</v>
      </c>
      <c r="X1373" t="str">
        <f>"48"</f>
        <v>48</v>
      </c>
      <c r="Y1373" t="str">
        <f>"991432953"</f>
        <v>991432953</v>
      </c>
      <c r="Z1373" t="str">
        <f>""</f>
        <v/>
      </c>
      <c r="AA1373" t="str">
        <f>""</f>
        <v/>
      </c>
      <c r="AB1373" t="str">
        <f>""</f>
        <v/>
      </c>
      <c r="AC1373" t="str">
        <f>""</f>
        <v/>
      </c>
      <c r="AD1373" t="str">
        <f>""</f>
        <v/>
      </c>
      <c r="AE1373" t="str">
        <f>""</f>
        <v/>
      </c>
      <c r="AF1373" t="str">
        <f>""</f>
        <v/>
      </c>
      <c r="AG1373" t="str">
        <f>"S"</f>
        <v>S</v>
      </c>
      <c r="AH1373" t="str">
        <f>""</f>
        <v/>
      </c>
      <c r="AI1373" t="str">
        <f>""</f>
        <v/>
      </c>
      <c r="AJ1373" t="str">
        <f>""</f>
        <v/>
      </c>
      <c r="AK1373" t="str">
        <f>""</f>
        <v/>
      </c>
      <c r="AL1373" t="str">
        <f>""</f>
        <v/>
      </c>
      <c r="AM1373" t="str">
        <f>""</f>
        <v/>
      </c>
      <c r="AN1373" t="str">
        <f>""</f>
        <v/>
      </c>
      <c r="AO1373" t="str">
        <f>""</f>
        <v/>
      </c>
      <c r="AP1373" t="str">
        <f>""</f>
        <v/>
      </c>
      <c r="AQ1373" t="str">
        <f t="shared" ref="AQ1373:AU1377" si="697">"N"</f>
        <v>N</v>
      </c>
      <c r="AR1373" t="str">
        <f t="shared" si="697"/>
        <v>N</v>
      </c>
      <c r="AS1373" t="str">
        <f t="shared" si="697"/>
        <v>N</v>
      </c>
      <c r="AT1373" t="str">
        <f t="shared" si="697"/>
        <v>N</v>
      </c>
      <c r="AU1373" t="str">
        <f t="shared" si="697"/>
        <v>N</v>
      </c>
      <c r="AV1373" t="str">
        <f>""</f>
        <v/>
      </c>
      <c r="AW1373" t="str">
        <f>""</f>
        <v/>
      </c>
      <c r="AX1373" t="str">
        <f>""</f>
        <v/>
      </c>
      <c r="AY1373" t="str">
        <f>""</f>
        <v/>
      </c>
      <c r="AZ1373" t="str">
        <f>""</f>
        <v/>
      </c>
      <c r="BA1373" t="str">
        <f>""</f>
        <v/>
      </c>
      <c r="BB1373" t="str">
        <f>"01/07/2021 13:53:04"</f>
        <v>01/07/2021 13:53:04</v>
      </c>
      <c r="BC1373" t="str">
        <f>"07/07/2023 12:10:04"</f>
        <v>07/07/2023 12:10:04</v>
      </c>
      <c r="BD1373" t="str">
        <f>""</f>
        <v/>
      </c>
      <c r="BE1373" t="str">
        <f>""</f>
        <v/>
      </c>
      <c r="BF1373" t="str">
        <f t="shared" si="685"/>
        <v>A</v>
      </c>
      <c r="BG1373" t="str">
        <f>""</f>
        <v/>
      </c>
      <c r="BH1373" t="str">
        <f>"0,00"</f>
        <v>0,00</v>
      </c>
      <c r="BI1373" t="str">
        <f t="shared" si="696"/>
        <v>EVENTUAL</v>
      </c>
      <c r="BJ1373" t="str">
        <f t="shared" si="686"/>
        <v>1</v>
      </c>
      <c r="BK1373" t="str">
        <f t="shared" si="687"/>
        <v>Farmacia</v>
      </c>
      <c r="BL1373" t="str">
        <f>""</f>
        <v/>
      </c>
      <c r="BM1373" t="str">
        <f>"NÃO É VARILUX ESPECIALISTA"</f>
        <v>NÃO É VARILUX ESPECIALISTA</v>
      </c>
      <c r="BN1373" t="str">
        <f>"NA"</f>
        <v>NA</v>
      </c>
      <c r="BO1373" t="str">
        <f>"OUTROS"</f>
        <v>OUTROS</v>
      </c>
      <c r="BP1373" t="str">
        <f>""</f>
        <v/>
      </c>
      <c r="BQ1373" t="str">
        <f>""</f>
        <v/>
      </c>
      <c r="BR1373" t="str">
        <f>"01/07/2021"</f>
        <v>01/07/2021</v>
      </c>
      <c r="BS1373" t="str">
        <f>"07/07/2023"</f>
        <v>07/07/2023</v>
      </c>
      <c r="BT1373" t="str">
        <f>""</f>
        <v/>
      </c>
      <c r="BU1373" t="str">
        <f>""</f>
        <v/>
      </c>
      <c r="BV1373" t="str">
        <f>""</f>
        <v/>
      </c>
      <c r="BW1373" t="str">
        <f>"86"</f>
        <v>86</v>
      </c>
    </row>
    <row r="1374" spans="1:75" x14ac:dyDescent="0.35">
      <c r="A1374">
        <v>118736</v>
      </c>
      <c r="B1374" t="str">
        <f t="shared" si="682"/>
        <v>A</v>
      </c>
      <c r="C1374" t="str">
        <f t="shared" si="683"/>
        <v>80</v>
      </c>
      <c r="D1374" t="str">
        <f t="shared" si="675"/>
        <v>11121004</v>
      </c>
      <c r="E1374" t="str">
        <f t="shared" si="676"/>
        <v>121004</v>
      </c>
      <c r="F1374" t="str">
        <f t="shared" si="677"/>
        <v>FABIANA GODOY</v>
      </c>
      <c r="G1374" t="str">
        <f>"01331462000154"</f>
        <v>01331462000154</v>
      </c>
      <c r="H1374" t="str">
        <f>""</f>
        <v/>
      </c>
      <c r="I1374" t="str">
        <f t="shared" si="684"/>
        <v>CONTA OPTICA</v>
      </c>
      <c r="J1374" t="str">
        <f>"GARGANY RELOJOARIA E OPTICA LTDA ME"</f>
        <v>GARGANY RELOJOARIA E OPTICA LTDA ME</v>
      </c>
      <c r="K1374" t="str">
        <f>"GARGANY RELOJOARIA E OPTICA LTDA ME (220)"</f>
        <v>GARGANY RELOJOARIA E OPTICA LTDA ME (220)</v>
      </c>
      <c r="L1374" t="str">
        <f>""</f>
        <v/>
      </c>
      <c r="M1374" t="str">
        <f>""</f>
        <v/>
      </c>
      <c r="N1374" t="str">
        <f>"oticagargany@hotmail.com"</f>
        <v>oticagargany@hotmail.com</v>
      </c>
      <c r="O1374" t="str">
        <f>""</f>
        <v/>
      </c>
      <c r="P1374" t="str">
        <f>"RUA FRANCISCO VAHLDIECK"</f>
        <v>RUA FRANCISCO VAHLDIECK</v>
      </c>
      <c r="Q1374" t="str">
        <f>"1279"</f>
        <v>1279</v>
      </c>
      <c r="R1374" t="str">
        <f>"SALA 02"</f>
        <v>SALA 02</v>
      </c>
      <c r="S1374" t="str">
        <f>"1273"</f>
        <v>1273</v>
      </c>
      <c r="T1374" t="str">
        <f>"89057000"</f>
        <v>89057000</v>
      </c>
      <c r="U1374" t="str">
        <f>"FORTALEZA"</f>
        <v>FORTALEZA</v>
      </c>
      <c r="V1374" t="str">
        <f>"BLUMENAU"</f>
        <v>BLUMENAU</v>
      </c>
      <c r="W1374" t="str">
        <f t="shared" si="672"/>
        <v>SC</v>
      </c>
      <c r="X1374" t="str">
        <f t="shared" ref="X1374:X1379" si="698">"47"</f>
        <v>47</v>
      </c>
      <c r="Y1374" t="str">
        <f>"33391758"</f>
        <v>33391758</v>
      </c>
      <c r="Z1374" t="str">
        <f>""</f>
        <v/>
      </c>
      <c r="AA1374" t="str">
        <f>""</f>
        <v/>
      </c>
      <c r="AB1374" t="str">
        <f>""</f>
        <v/>
      </c>
      <c r="AC1374" t="str">
        <f>""</f>
        <v/>
      </c>
      <c r="AD1374" t="str">
        <f>""</f>
        <v/>
      </c>
      <c r="AE1374" t="str">
        <f>""</f>
        <v/>
      </c>
      <c r="AF1374" t="str">
        <f>""</f>
        <v/>
      </c>
      <c r="AG1374" t="str">
        <f>"S"</f>
        <v>S</v>
      </c>
      <c r="AH1374" t="str">
        <f>""</f>
        <v/>
      </c>
      <c r="AI1374" t="str">
        <f>""</f>
        <v/>
      </c>
      <c r="AJ1374" t="str">
        <f>"0"</f>
        <v>0</v>
      </c>
      <c r="AK1374" t="str">
        <f>"0"</f>
        <v>0</v>
      </c>
      <c r="AL1374" t="str">
        <f>"0"</f>
        <v>0</v>
      </c>
      <c r="AM1374" t="str">
        <f>""</f>
        <v/>
      </c>
      <c r="AN1374" t="str">
        <f>""</f>
        <v/>
      </c>
      <c r="AO1374" t="str">
        <f>""</f>
        <v/>
      </c>
      <c r="AP1374" t="str">
        <f>""</f>
        <v/>
      </c>
      <c r="AQ1374" t="str">
        <f t="shared" si="697"/>
        <v>N</v>
      </c>
      <c r="AR1374" t="str">
        <f t="shared" si="697"/>
        <v>N</v>
      </c>
      <c r="AS1374" t="str">
        <f t="shared" si="697"/>
        <v>N</v>
      </c>
      <c r="AT1374" t="str">
        <f t="shared" si="697"/>
        <v>N</v>
      </c>
      <c r="AU1374" t="str">
        <f t="shared" si="697"/>
        <v>N</v>
      </c>
      <c r="AV1374" t="str">
        <f>""</f>
        <v/>
      </c>
      <c r="AW1374" t="str">
        <f>""</f>
        <v/>
      </c>
      <c r="AX1374" t="str">
        <f>""</f>
        <v/>
      </c>
      <c r="AY1374" t="str">
        <f>""</f>
        <v/>
      </c>
      <c r="AZ1374" t="str">
        <f>""</f>
        <v/>
      </c>
      <c r="BA1374" t="str">
        <f>""</f>
        <v/>
      </c>
      <c r="BB1374" t="str">
        <f>""</f>
        <v/>
      </c>
      <c r="BC1374" t="str">
        <f>"14/07/2023 15:18:20"</f>
        <v>14/07/2023 15:18:20</v>
      </c>
      <c r="BD1374" t="str">
        <f>""</f>
        <v/>
      </c>
      <c r="BE1374" t="str">
        <f>""</f>
        <v/>
      </c>
      <c r="BF1374" t="str">
        <f t="shared" si="685"/>
        <v>A</v>
      </c>
      <c r="BG1374" t="str">
        <f>"0,00"</f>
        <v>0,00</v>
      </c>
      <c r="BH1374" t="str">
        <f>"0,00"</f>
        <v>0,00</v>
      </c>
      <c r="BI1374" t="str">
        <f>"MENSAL"</f>
        <v>MENSAL</v>
      </c>
      <c r="BJ1374" t="str">
        <f t="shared" si="686"/>
        <v>1</v>
      </c>
      <c r="BK1374" t="str">
        <f t="shared" si="687"/>
        <v>Farmacia</v>
      </c>
      <c r="BL1374" t="str">
        <f>""</f>
        <v/>
      </c>
      <c r="BM1374" t="str">
        <f>"NÃO É VARILUX ESPECIALISTA"</f>
        <v>NÃO É VARILUX ESPECIALISTA</v>
      </c>
      <c r="BN1374" t="str">
        <f>"NA"</f>
        <v>NA</v>
      </c>
      <c r="BO1374" t="str">
        <f>"OUTROS"</f>
        <v>OUTROS</v>
      </c>
      <c r="BP1374" t="str">
        <f>""</f>
        <v/>
      </c>
      <c r="BQ1374" t="str">
        <f>""</f>
        <v/>
      </c>
      <c r="BR1374" t="str">
        <f>""</f>
        <v/>
      </c>
      <c r="BS1374" t="str">
        <f>"14/07/2023"</f>
        <v>14/07/2023</v>
      </c>
      <c r="BT1374" t="str">
        <f>""</f>
        <v/>
      </c>
      <c r="BU1374" t="str">
        <f>""</f>
        <v/>
      </c>
      <c r="BV1374" t="str">
        <f>"8"</f>
        <v>8</v>
      </c>
      <c r="BW1374" t="str">
        <f>"16"</f>
        <v>16</v>
      </c>
    </row>
    <row r="1375" spans="1:75" x14ac:dyDescent="0.35">
      <c r="A1375">
        <v>137618</v>
      </c>
      <c r="B1375" t="str">
        <f t="shared" si="682"/>
        <v>A</v>
      </c>
      <c r="C1375" t="str">
        <f t="shared" si="683"/>
        <v>80</v>
      </c>
      <c r="D1375" t="str">
        <f t="shared" si="675"/>
        <v>11121004</v>
      </c>
      <c r="E1375" t="str">
        <f t="shared" si="676"/>
        <v>121004</v>
      </c>
      <c r="F1375" t="str">
        <f t="shared" si="677"/>
        <v>FABIANA GODOY</v>
      </c>
      <c r="G1375" t="str">
        <f>"76572874000185"</f>
        <v>76572874000185</v>
      </c>
      <c r="H1375" t="str">
        <f t="shared" ref="H1375:H1411" si="699">"0"</f>
        <v>0</v>
      </c>
      <c r="I1375" t="str">
        <f t="shared" si="684"/>
        <v>CONTA OPTICA</v>
      </c>
      <c r="J1375" t="str">
        <f>"GELINDO JOSE DARUI EPP"</f>
        <v>GELINDO JOSE DARUI EPP</v>
      </c>
      <c r="K1375" t="str">
        <f>"RELOJOARIA E OTICA DARUI (1264)"</f>
        <v>RELOJOARIA E OTICA DARUI (1264)</v>
      </c>
      <c r="L1375" t="str">
        <f>""</f>
        <v/>
      </c>
      <c r="M1375" t="str">
        <f>""</f>
        <v/>
      </c>
      <c r="N1375" t="str">
        <f>"oticadarui@ibest.com.br"</f>
        <v>oticadarui@ibest.com.br</v>
      </c>
      <c r="O1375" t="str">
        <f>""</f>
        <v/>
      </c>
      <c r="P1375" t="str">
        <f>"AVENIDA SETE DE SETEMBRO"</f>
        <v>AVENIDA SETE DE SETEMBRO</v>
      </c>
      <c r="Q1375" t="str">
        <f>"33"</f>
        <v>33</v>
      </c>
      <c r="R1375" t="str">
        <f>""</f>
        <v/>
      </c>
      <c r="S1375" t="str">
        <f>"1275"</f>
        <v>1275</v>
      </c>
      <c r="T1375" t="str">
        <f>"89120000"</f>
        <v>89120000</v>
      </c>
      <c r="U1375" t="str">
        <f t="shared" ref="U1375:U1384" si="700">"CENTRO"</f>
        <v>CENTRO</v>
      </c>
      <c r="V1375" t="str">
        <f>"TIMBÓ"</f>
        <v>TIMBÓ</v>
      </c>
      <c r="W1375" t="str">
        <f t="shared" si="672"/>
        <v>SC</v>
      </c>
      <c r="X1375" t="str">
        <f t="shared" si="698"/>
        <v>47</v>
      </c>
      <c r="Y1375" t="str">
        <f>"33821924"</f>
        <v>33821924</v>
      </c>
      <c r="Z1375" t="str">
        <f>""</f>
        <v/>
      </c>
      <c r="AA1375" t="str">
        <f>""</f>
        <v/>
      </c>
      <c r="AB1375" t="str">
        <f>""</f>
        <v/>
      </c>
      <c r="AC1375" t="str">
        <f>""</f>
        <v/>
      </c>
      <c r="AD1375" t="str">
        <f>""</f>
        <v/>
      </c>
      <c r="AE1375" t="str">
        <f>""</f>
        <v/>
      </c>
      <c r="AF1375" t="str">
        <f>""</f>
        <v/>
      </c>
      <c r="AG1375" t="str">
        <f>"S"</f>
        <v>S</v>
      </c>
      <c r="AH1375" t="str">
        <f>""</f>
        <v/>
      </c>
      <c r="AI1375" t="str">
        <f>""</f>
        <v/>
      </c>
      <c r="AJ1375" t="str">
        <f>""</f>
        <v/>
      </c>
      <c r="AK1375" t="str">
        <f>""</f>
        <v/>
      </c>
      <c r="AL1375" t="str">
        <f>""</f>
        <v/>
      </c>
      <c r="AM1375" t="str">
        <f>""</f>
        <v/>
      </c>
      <c r="AN1375" t="str">
        <f>""</f>
        <v/>
      </c>
      <c r="AO1375" t="str">
        <f>""</f>
        <v/>
      </c>
      <c r="AP1375" t="str">
        <f>""</f>
        <v/>
      </c>
      <c r="AQ1375" t="str">
        <f t="shared" si="697"/>
        <v>N</v>
      </c>
      <c r="AR1375" t="str">
        <f t="shared" si="697"/>
        <v>N</v>
      </c>
      <c r="AS1375" t="str">
        <f t="shared" si="697"/>
        <v>N</v>
      </c>
      <c r="AT1375" t="str">
        <f t="shared" si="697"/>
        <v>N</v>
      </c>
      <c r="AU1375" t="str">
        <f t="shared" si="697"/>
        <v>N</v>
      </c>
      <c r="AV1375" t="str">
        <f>""</f>
        <v/>
      </c>
      <c r="AW1375" t="str">
        <f>""</f>
        <v/>
      </c>
      <c r="AX1375" t="str">
        <f>""</f>
        <v/>
      </c>
      <c r="AY1375" t="str">
        <f>""</f>
        <v/>
      </c>
      <c r="AZ1375" t="str">
        <f>""</f>
        <v/>
      </c>
      <c r="BA1375" t="str">
        <f>""</f>
        <v/>
      </c>
      <c r="BB1375" t="str">
        <f>"01/07/2021 13:53:04"</f>
        <v>01/07/2021 13:53:04</v>
      </c>
      <c r="BC1375" t="str">
        <f>"05/04/2022 16:58:40"</f>
        <v>05/04/2022 16:58:40</v>
      </c>
      <c r="BD1375" t="str">
        <f>""</f>
        <v/>
      </c>
      <c r="BE1375" t="str">
        <f>""</f>
        <v/>
      </c>
      <c r="BF1375" t="str">
        <f t="shared" si="685"/>
        <v>A</v>
      </c>
      <c r="BG1375" t="str">
        <f>""</f>
        <v/>
      </c>
      <c r="BH1375" t="str">
        <f>"0,00"</f>
        <v>0,00</v>
      </c>
      <c r="BI1375" t="str">
        <f>"EVENTUAL"</f>
        <v>EVENTUAL</v>
      </c>
      <c r="BJ1375" t="str">
        <f t="shared" si="686"/>
        <v>1</v>
      </c>
      <c r="BK1375" t="str">
        <f t="shared" si="687"/>
        <v>Farmacia</v>
      </c>
      <c r="BL1375" t="str">
        <f>""</f>
        <v/>
      </c>
      <c r="BM1375" t="str">
        <f>"NÃO É VARILUX ESPECIALISTA"</f>
        <v>NÃO É VARILUX ESPECIALISTA</v>
      </c>
      <c r="BN1375" t="str">
        <f>"EL360"</f>
        <v>EL360</v>
      </c>
      <c r="BO1375" t="str">
        <f>"FOCO KODAK 2"</f>
        <v>FOCO KODAK 2</v>
      </c>
      <c r="BP1375" t="str">
        <f>""</f>
        <v/>
      </c>
      <c r="BQ1375" t="str">
        <f>""</f>
        <v/>
      </c>
      <c r="BR1375" t="str">
        <f>"01/07/2021"</f>
        <v>01/07/2021</v>
      </c>
      <c r="BS1375" t="str">
        <f>"05/04/2022"</f>
        <v>05/04/2022</v>
      </c>
      <c r="BT1375" t="str">
        <f>""</f>
        <v/>
      </c>
      <c r="BU1375" t="str">
        <f>""</f>
        <v/>
      </c>
      <c r="BV1375" t="str">
        <f>""</f>
        <v/>
      </c>
      <c r="BW1375" t="str">
        <f>"15"</f>
        <v>15</v>
      </c>
    </row>
    <row r="1376" spans="1:75" x14ac:dyDescent="0.35">
      <c r="A1376">
        <v>137619</v>
      </c>
      <c r="B1376" t="str">
        <f t="shared" si="682"/>
        <v>A</v>
      </c>
      <c r="C1376" t="str">
        <f t="shared" si="683"/>
        <v>80</v>
      </c>
      <c r="D1376" t="str">
        <f t="shared" si="675"/>
        <v>11121004</v>
      </c>
      <c r="E1376" t="str">
        <f t="shared" si="676"/>
        <v>121004</v>
      </c>
      <c r="F1376" t="str">
        <f t="shared" si="677"/>
        <v>FABIANA GODOY</v>
      </c>
      <c r="G1376" t="str">
        <f>"82981770000127"</f>
        <v>82981770000127</v>
      </c>
      <c r="H1376" t="str">
        <f t="shared" si="699"/>
        <v>0</v>
      </c>
      <c r="I1376" t="str">
        <f t="shared" si="684"/>
        <v>CONTA OPTICA</v>
      </c>
      <c r="J1376" t="str">
        <f>"GEVAERD JOALHEIROS LTDA ME"</f>
        <v>GEVAERD JOALHEIROS LTDA ME</v>
      </c>
      <c r="K1376" t="str">
        <f>"GEVAERD JOALHEIROS LTDA (120)"</f>
        <v>GEVAERD JOALHEIROS LTDA (120)</v>
      </c>
      <c r="L1376" t="str">
        <f>""</f>
        <v/>
      </c>
      <c r="M1376" t="str">
        <f>""</f>
        <v/>
      </c>
      <c r="N1376" t="str">
        <f>"gevaerdjoalheiros@gmail.com"</f>
        <v>gevaerdjoalheiros@gmail.com</v>
      </c>
      <c r="O1376" t="str">
        <f>""</f>
        <v/>
      </c>
      <c r="P1376" t="str">
        <f>"RUA ADRIANO SCHAEFER"</f>
        <v>RUA ADRIANO SCHAEFER</v>
      </c>
      <c r="Q1376" t="str">
        <f>"78"</f>
        <v>78</v>
      </c>
      <c r="R1376" t="str">
        <f>""</f>
        <v/>
      </c>
      <c r="S1376" t="str">
        <f>"1263"</f>
        <v>1263</v>
      </c>
      <c r="T1376" t="str">
        <f>"88350330"</f>
        <v>88350330</v>
      </c>
      <c r="U1376" t="str">
        <f t="shared" si="700"/>
        <v>CENTRO</v>
      </c>
      <c r="V1376" t="str">
        <f>"BRUSQUE"</f>
        <v>BRUSQUE</v>
      </c>
      <c r="W1376" t="str">
        <f t="shared" si="672"/>
        <v>SC</v>
      </c>
      <c r="X1376" t="str">
        <f t="shared" si="698"/>
        <v>47</v>
      </c>
      <c r="Y1376" t="str">
        <f>"33514144"</f>
        <v>33514144</v>
      </c>
      <c r="Z1376" t="str">
        <f>""</f>
        <v/>
      </c>
      <c r="AA1376" t="str">
        <f>""</f>
        <v/>
      </c>
      <c r="AB1376" t="str">
        <f>""</f>
        <v/>
      </c>
      <c r="AC1376" t="str">
        <f>""</f>
        <v/>
      </c>
      <c r="AD1376" t="str">
        <f>""</f>
        <v/>
      </c>
      <c r="AE1376" t="str">
        <f>""</f>
        <v/>
      </c>
      <c r="AF1376" t="str">
        <f>""</f>
        <v/>
      </c>
      <c r="AG1376" t="str">
        <f>"S"</f>
        <v>S</v>
      </c>
      <c r="AH1376" t="str">
        <f>""</f>
        <v/>
      </c>
      <c r="AI1376" t="str">
        <f>""</f>
        <v/>
      </c>
      <c r="AJ1376" t="str">
        <f>""</f>
        <v/>
      </c>
      <c r="AK1376" t="str">
        <f>""</f>
        <v/>
      </c>
      <c r="AL1376" t="str">
        <f>""</f>
        <v/>
      </c>
      <c r="AM1376" t="str">
        <f>""</f>
        <v/>
      </c>
      <c r="AN1376" t="str">
        <f>""</f>
        <v/>
      </c>
      <c r="AO1376" t="str">
        <f>""</f>
        <v/>
      </c>
      <c r="AP1376" t="str">
        <f>""</f>
        <v/>
      </c>
      <c r="AQ1376" t="str">
        <f t="shared" si="697"/>
        <v>N</v>
      </c>
      <c r="AR1376" t="str">
        <f t="shared" si="697"/>
        <v>N</v>
      </c>
      <c r="AS1376" t="str">
        <f t="shared" si="697"/>
        <v>N</v>
      </c>
      <c r="AT1376" t="str">
        <f t="shared" si="697"/>
        <v>N</v>
      </c>
      <c r="AU1376" t="str">
        <f t="shared" si="697"/>
        <v>N</v>
      </c>
      <c r="AV1376" t="str">
        <f>""</f>
        <v/>
      </c>
      <c r="AW1376" t="str">
        <f>""</f>
        <v/>
      </c>
      <c r="AX1376" t="str">
        <f>""</f>
        <v/>
      </c>
      <c r="AY1376" t="str">
        <f>""</f>
        <v/>
      </c>
      <c r="AZ1376" t="str">
        <f>""</f>
        <v/>
      </c>
      <c r="BA1376" t="str">
        <f>""</f>
        <v/>
      </c>
      <c r="BB1376" t="str">
        <f>"01/07/2021 13:53:04"</f>
        <v>01/07/2021 13:53:04</v>
      </c>
      <c r="BC1376" t="str">
        <f>"07/07/2023 17:51:17"</f>
        <v>07/07/2023 17:51:17</v>
      </c>
      <c r="BD1376" t="str">
        <f>""</f>
        <v/>
      </c>
      <c r="BE1376" t="str">
        <f>""</f>
        <v/>
      </c>
      <c r="BF1376" t="str">
        <f t="shared" si="685"/>
        <v>A</v>
      </c>
      <c r="BG1376" t="str">
        <f>""</f>
        <v/>
      </c>
      <c r="BH1376" t="str">
        <f>"0,00"</f>
        <v>0,00</v>
      </c>
      <c r="BI1376" t="str">
        <f>"EVENTUAL"</f>
        <v>EVENTUAL</v>
      </c>
      <c r="BJ1376" t="str">
        <f t="shared" si="686"/>
        <v>1</v>
      </c>
      <c r="BK1376" t="str">
        <f t="shared" si="687"/>
        <v>Farmacia</v>
      </c>
      <c r="BL1376" t="str">
        <f>""</f>
        <v/>
      </c>
      <c r="BM1376" t="str">
        <f>"VARILUX ESPECIALISTA SELECT"</f>
        <v>VARILUX ESPECIALISTA SELECT</v>
      </c>
      <c r="BN1376" t="str">
        <f>"NA"</f>
        <v>NA</v>
      </c>
      <c r="BO1376" t="str">
        <f>"FOCO VARILUX DIGITAL"</f>
        <v>FOCO VARILUX DIGITAL</v>
      </c>
      <c r="BP1376" t="str">
        <f>""</f>
        <v/>
      </c>
      <c r="BQ1376" t="str">
        <f>""</f>
        <v/>
      </c>
      <c r="BR1376" t="str">
        <f>"01/07/2021"</f>
        <v>01/07/2021</v>
      </c>
      <c r="BS1376" t="str">
        <f>"07/07/2023"</f>
        <v>07/07/2023</v>
      </c>
      <c r="BT1376" t="str">
        <f>""</f>
        <v/>
      </c>
      <c r="BU1376" t="str">
        <f>""</f>
        <v/>
      </c>
      <c r="BV1376" t="str">
        <f>""</f>
        <v/>
      </c>
      <c r="BW1376" t="str">
        <f>"35"</f>
        <v>35</v>
      </c>
    </row>
    <row r="1377" spans="1:75" x14ac:dyDescent="0.35">
      <c r="A1377">
        <v>137620</v>
      </c>
      <c r="B1377" t="str">
        <f t="shared" si="682"/>
        <v>A</v>
      </c>
      <c r="C1377" t="str">
        <f t="shared" si="683"/>
        <v>80</v>
      </c>
      <c r="D1377" t="str">
        <f t="shared" si="675"/>
        <v>11121004</v>
      </c>
      <c r="E1377" t="str">
        <f t="shared" si="676"/>
        <v>121004</v>
      </c>
      <c r="F1377" t="str">
        <f t="shared" si="677"/>
        <v>FABIANA GODOY</v>
      </c>
      <c r="G1377" t="str">
        <f>"73733131000151"</f>
        <v>73733131000151</v>
      </c>
      <c r="H1377" t="str">
        <f t="shared" si="699"/>
        <v>0</v>
      </c>
      <c r="I1377" t="str">
        <f t="shared" si="684"/>
        <v>CONTA OPTICA</v>
      </c>
      <c r="J1377" t="str">
        <f>"GILCINEA DOS ANJOS ME"</f>
        <v>GILCINEA DOS ANJOS ME</v>
      </c>
      <c r="K1377" t="str">
        <f>"GILCINEA DOS ANJOS ME (421)"</f>
        <v>GILCINEA DOS ANJOS ME (421)</v>
      </c>
      <c r="L1377" t="str">
        <f>""</f>
        <v/>
      </c>
      <c r="M1377" t="str">
        <f>""</f>
        <v/>
      </c>
      <c r="N1377" t="str">
        <f>"neia_dos_anjos@yahoo.com.br"</f>
        <v>neia_dos_anjos@yahoo.com.br</v>
      </c>
      <c r="O1377" t="str">
        <f>""</f>
        <v/>
      </c>
      <c r="P1377" t="str">
        <f>"AVENIDA VEREADOR MANOEL JOSE DOS SANTOS"</f>
        <v>AVENIDA VEREADOR MANOEL JOSE DOS SANTOS</v>
      </c>
      <c r="Q1377" t="str">
        <f>"1493"</f>
        <v>1493</v>
      </c>
      <c r="R1377" t="str">
        <f>"SALA 2"</f>
        <v>SALA 2</v>
      </c>
      <c r="S1377" t="str">
        <f>"1260"</f>
        <v>1260</v>
      </c>
      <c r="T1377" t="str">
        <f>"88215000"</f>
        <v>88215000</v>
      </c>
      <c r="U1377" t="str">
        <f t="shared" si="700"/>
        <v>CENTRO</v>
      </c>
      <c r="V1377" t="str">
        <f>"BOMBINHAS"</f>
        <v>BOMBINHAS</v>
      </c>
      <c r="W1377" t="str">
        <f t="shared" si="672"/>
        <v>SC</v>
      </c>
      <c r="X1377" t="str">
        <f t="shared" si="698"/>
        <v>47</v>
      </c>
      <c r="Y1377" t="str">
        <f>"33692618"</f>
        <v>33692618</v>
      </c>
      <c r="Z1377" t="str">
        <f>""</f>
        <v/>
      </c>
      <c r="AA1377" t="str">
        <f>""</f>
        <v/>
      </c>
      <c r="AB1377" t="str">
        <f>""</f>
        <v/>
      </c>
      <c r="AC1377" t="str">
        <f>""</f>
        <v/>
      </c>
      <c r="AD1377" t="str">
        <f>""</f>
        <v/>
      </c>
      <c r="AE1377" t="str">
        <f>""</f>
        <v/>
      </c>
      <c r="AF1377" t="str">
        <f>""</f>
        <v/>
      </c>
      <c r="AG1377" t="str">
        <f>"S"</f>
        <v>S</v>
      </c>
      <c r="AH1377" t="str">
        <f>""</f>
        <v/>
      </c>
      <c r="AI1377" t="str">
        <f>""</f>
        <v/>
      </c>
      <c r="AJ1377" t="str">
        <f>""</f>
        <v/>
      </c>
      <c r="AK1377" t="str">
        <f>""</f>
        <v/>
      </c>
      <c r="AL1377" t="str">
        <f>""</f>
        <v/>
      </c>
      <c r="AM1377" t="str">
        <f>""</f>
        <v/>
      </c>
      <c r="AN1377" t="str">
        <f>""</f>
        <v/>
      </c>
      <c r="AO1377" t="str">
        <f>""</f>
        <v/>
      </c>
      <c r="AP1377" t="str">
        <f>""</f>
        <v/>
      </c>
      <c r="AQ1377" t="str">
        <f t="shared" si="697"/>
        <v>N</v>
      </c>
      <c r="AR1377" t="str">
        <f t="shared" si="697"/>
        <v>N</v>
      </c>
      <c r="AS1377" t="str">
        <f t="shared" si="697"/>
        <v>N</v>
      </c>
      <c r="AT1377" t="str">
        <f t="shared" si="697"/>
        <v>N</v>
      </c>
      <c r="AU1377" t="str">
        <f t="shared" si="697"/>
        <v>N</v>
      </c>
      <c r="AV1377" t="str">
        <f>""</f>
        <v/>
      </c>
      <c r="AW1377" t="str">
        <f>""</f>
        <v/>
      </c>
      <c r="AX1377" t="str">
        <f>""</f>
        <v/>
      </c>
      <c r="AY1377" t="str">
        <f>""</f>
        <v/>
      </c>
      <c r="AZ1377" t="str">
        <f>""</f>
        <v/>
      </c>
      <c r="BA1377" t="str">
        <f>""</f>
        <v/>
      </c>
      <c r="BB1377" t="str">
        <f>"01/07/2021 13:53:04"</f>
        <v>01/07/2021 13:53:04</v>
      </c>
      <c r="BC1377" t="str">
        <f>"12/07/2023 10:49:59"</f>
        <v>12/07/2023 10:49:59</v>
      </c>
      <c r="BD1377" t="str">
        <f>""</f>
        <v/>
      </c>
      <c r="BE1377" t="str">
        <f>""</f>
        <v/>
      </c>
      <c r="BF1377" t="str">
        <f t="shared" si="685"/>
        <v>A</v>
      </c>
      <c r="BG1377" t="str">
        <f>""</f>
        <v/>
      </c>
      <c r="BH1377" t="str">
        <f>"0,00"</f>
        <v>0,00</v>
      </c>
      <c r="BI1377" t="str">
        <f>"MENSAL"</f>
        <v>MENSAL</v>
      </c>
      <c r="BJ1377" t="str">
        <f t="shared" si="686"/>
        <v>1</v>
      </c>
      <c r="BK1377" t="str">
        <f t="shared" si="687"/>
        <v>Farmacia</v>
      </c>
      <c r="BL1377" t="str">
        <f>""</f>
        <v/>
      </c>
      <c r="BM1377" t="str">
        <f>"VARILUX ESPECIALISTA SELECT"</f>
        <v>VARILUX ESPECIALISTA SELECT</v>
      </c>
      <c r="BN1377" t="str">
        <f>"NA"</f>
        <v>NA</v>
      </c>
      <c r="BO1377" t="str">
        <f>"FOCO VARILUX DIGITAL"</f>
        <v>FOCO VARILUX DIGITAL</v>
      </c>
      <c r="BP1377" t="str">
        <f>""</f>
        <v/>
      </c>
      <c r="BQ1377" t="str">
        <f>""</f>
        <v/>
      </c>
      <c r="BR1377" t="str">
        <f>"01/07/2021"</f>
        <v>01/07/2021</v>
      </c>
      <c r="BS1377" t="str">
        <f>"12/07/2023"</f>
        <v>12/07/2023</v>
      </c>
      <c r="BT1377" t="str">
        <f>""</f>
        <v/>
      </c>
      <c r="BU1377" t="str">
        <f>""</f>
        <v/>
      </c>
      <c r="BV1377" t="str">
        <f>""</f>
        <v/>
      </c>
      <c r="BW1377" t="str">
        <f>"14"</f>
        <v>14</v>
      </c>
    </row>
    <row r="1378" spans="1:75" x14ac:dyDescent="0.35">
      <c r="A1378">
        <v>157788</v>
      </c>
      <c r="B1378" t="str">
        <f t="shared" si="682"/>
        <v>A</v>
      </c>
      <c r="C1378" t="str">
        <f t="shared" si="683"/>
        <v>80</v>
      </c>
      <c r="D1378" t="str">
        <f t="shared" si="675"/>
        <v>11121004</v>
      </c>
      <c r="E1378" t="str">
        <f t="shared" si="676"/>
        <v>121004</v>
      </c>
      <c r="F1378" t="str">
        <f t="shared" si="677"/>
        <v>FABIANA GODOY</v>
      </c>
      <c r="G1378" t="str">
        <f>"73733131000313"</f>
        <v>73733131000313</v>
      </c>
      <c r="H1378" t="str">
        <f t="shared" si="699"/>
        <v>0</v>
      </c>
      <c r="I1378" t="str">
        <f t="shared" si="684"/>
        <v>CONTA OPTICA</v>
      </c>
      <c r="J1378" t="str">
        <f>"GILCINEIA DOS ANJOS ME"</f>
        <v>GILCINEIA DOS ANJOS ME</v>
      </c>
      <c r="K1378" t="str">
        <f>"GILCINEIA DOS ANJOS ME (2286)"</f>
        <v>GILCINEIA DOS ANJOS ME (2286)</v>
      </c>
      <c r="L1378" t="str">
        <f>""</f>
        <v/>
      </c>
      <c r="M1378" t="str">
        <f>""</f>
        <v/>
      </c>
      <c r="N1378" t="str">
        <f>"NEIA_DOS_ANJOS@YAHOO.COM.BR"</f>
        <v>NEIA_DOS_ANJOS@YAHOO.COM.BR</v>
      </c>
      <c r="O1378" t="str">
        <f>""</f>
        <v/>
      </c>
      <c r="P1378" t="str">
        <f>"VEREADOR MANOEL JOSE DOS SANTOS"</f>
        <v>VEREADOR MANOEL JOSE DOS SANTOS</v>
      </c>
      <c r="Q1378" t="str">
        <f>"1144"</f>
        <v>1144</v>
      </c>
      <c r="R1378" t="str">
        <f>"SALA 18"</f>
        <v>SALA 18</v>
      </c>
      <c r="S1378" t="str">
        <f>"1260"</f>
        <v>1260</v>
      </c>
      <c r="T1378" t="str">
        <f>"88215000"</f>
        <v>88215000</v>
      </c>
      <c r="U1378" t="str">
        <f t="shared" si="700"/>
        <v>CENTRO</v>
      </c>
      <c r="V1378" t="str">
        <f>"BOMBINHAS"</f>
        <v>BOMBINHAS</v>
      </c>
      <c r="W1378" t="str">
        <f t="shared" si="672"/>
        <v>SC</v>
      </c>
      <c r="X1378" t="str">
        <f t="shared" si="698"/>
        <v>47</v>
      </c>
      <c r="Y1378" t="str">
        <f>"32646341"</f>
        <v>32646341</v>
      </c>
      <c r="Z1378" t="str">
        <f>""</f>
        <v/>
      </c>
      <c r="AA1378" t="str">
        <f>""</f>
        <v/>
      </c>
      <c r="AB1378" t="str">
        <f>""</f>
        <v/>
      </c>
      <c r="AC1378" t="str">
        <f>""</f>
        <v/>
      </c>
      <c r="AD1378" t="str">
        <f>""</f>
        <v/>
      </c>
      <c r="AE1378" t="str">
        <f>""</f>
        <v/>
      </c>
      <c r="AF1378" t="str">
        <f>""</f>
        <v/>
      </c>
      <c r="AG1378" t="str">
        <f>""</f>
        <v/>
      </c>
      <c r="AH1378" t="str">
        <f>""</f>
        <v/>
      </c>
      <c r="AI1378" t="str">
        <f>""</f>
        <v/>
      </c>
      <c r="AJ1378" t="str">
        <f>""</f>
        <v/>
      </c>
      <c r="AK1378" t="str">
        <f>""</f>
        <v/>
      </c>
      <c r="AL1378" t="str">
        <f>""</f>
        <v/>
      </c>
      <c r="AM1378" t="str">
        <f>""</f>
        <v/>
      </c>
      <c r="AN1378" t="str">
        <f>""</f>
        <v/>
      </c>
      <c r="AO1378" t="str">
        <f>""</f>
        <v/>
      </c>
      <c r="AP1378" t="str">
        <f>""</f>
        <v/>
      </c>
      <c r="AQ1378" t="str">
        <f>""</f>
        <v/>
      </c>
      <c r="AR1378" t="str">
        <f>""</f>
        <v/>
      </c>
      <c r="AS1378" t="str">
        <f>""</f>
        <v/>
      </c>
      <c r="AT1378" t="str">
        <f>""</f>
        <v/>
      </c>
      <c r="AU1378" t="str">
        <f>""</f>
        <v/>
      </c>
      <c r="AV1378" t="str">
        <f>""</f>
        <v/>
      </c>
      <c r="AW1378" t="str">
        <f>""</f>
        <v/>
      </c>
      <c r="AX1378" t="str">
        <f>""</f>
        <v/>
      </c>
      <c r="AY1378" t="str">
        <f>""</f>
        <v/>
      </c>
      <c r="AZ1378" t="str">
        <f>""</f>
        <v/>
      </c>
      <c r="BA1378" t="str">
        <f>""</f>
        <v/>
      </c>
      <c r="BB1378" t="str">
        <f>"11/07/2023 02:26:32"</f>
        <v>11/07/2023 02:26:32</v>
      </c>
      <c r="BC1378" t="str">
        <f>""</f>
        <v/>
      </c>
      <c r="BD1378" t="str">
        <f>""</f>
        <v/>
      </c>
      <c r="BE1378" t="str">
        <f>""</f>
        <v/>
      </c>
      <c r="BF1378" t="str">
        <f t="shared" si="685"/>
        <v>A</v>
      </c>
      <c r="BG1378" t="str">
        <f>""</f>
        <v/>
      </c>
      <c r="BH1378" t="str">
        <f>""</f>
        <v/>
      </c>
      <c r="BI1378" t="str">
        <f>"EVENTUAL"</f>
        <v>EVENTUAL</v>
      </c>
      <c r="BJ1378" t="str">
        <f t="shared" si="686"/>
        <v>1</v>
      </c>
      <c r="BK1378" t="str">
        <f t="shared" si="687"/>
        <v>Farmacia</v>
      </c>
      <c r="BL1378" t="str">
        <f>""</f>
        <v/>
      </c>
      <c r="BM1378" t="str">
        <f>""</f>
        <v/>
      </c>
      <c r="BN1378" t="str">
        <f>""</f>
        <v/>
      </c>
      <c r="BO1378" t="str">
        <f>""</f>
        <v/>
      </c>
      <c r="BP1378" t="str">
        <f>""</f>
        <v/>
      </c>
      <c r="BQ1378" t="str">
        <f>""</f>
        <v/>
      </c>
      <c r="BR1378" t="str">
        <f>"11/07/2023"</f>
        <v>11/07/2023</v>
      </c>
      <c r="BS1378" t="str">
        <f>""</f>
        <v/>
      </c>
      <c r="BT1378" t="str">
        <f>""</f>
        <v/>
      </c>
      <c r="BU1378" t="str">
        <f>""</f>
        <v/>
      </c>
      <c r="BV1378" t="str">
        <f>""</f>
        <v/>
      </c>
      <c r="BW1378" t="str">
        <f>"77"</f>
        <v>77</v>
      </c>
    </row>
    <row r="1379" spans="1:75" x14ac:dyDescent="0.35">
      <c r="A1379">
        <v>137622</v>
      </c>
      <c r="B1379" t="str">
        <f t="shared" si="682"/>
        <v>A</v>
      </c>
      <c r="C1379" t="str">
        <f t="shared" si="683"/>
        <v>80</v>
      </c>
      <c r="D1379" t="str">
        <f t="shared" si="675"/>
        <v>11121004</v>
      </c>
      <c r="E1379" t="str">
        <f t="shared" si="676"/>
        <v>121004</v>
      </c>
      <c r="F1379" t="str">
        <f t="shared" si="677"/>
        <v>FABIANA GODOY</v>
      </c>
      <c r="G1379" t="str">
        <f>"20934806000164"</f>
        <v>20934806000164</v>
      </c>
      <c r="H1379" t="str">
        <f t="shared" si="699"/>
        <v>0</v>
      </c>
      <c r="I1379" t="str">
        <f t="shared" si="684"/>
        <v>CONTA OPTICA</v>
      </c>
      <c r="J1379" t="str">
        <f>"GLEDSON CARDOSO 04285882981"</f>
        <v>GLEDSON CARDOSO 04285882981</v>
      </c>
      <c r="K1379" t="str">
        <f>"RELOJOARIA BEATRIZ (3334)"</f>
        <v>RELOJOARIA BEATRIZ (3334)</v>
      </c>
      <c r="L1379" t="str">
        <f>""</f>
        <v/>
      </c>
      <c r="M1379" t="str">
        <f>""</f>
        <v/>
      </c>
      <c r="N1379" t="str">
        <f>"oticabeatriz_@hotmail.com"</f>
        <v>oticabeatriz_@hotmail.com</v>
      </c>
      <c r="O1379" t="str">
        <f>""</f>
        <v/>
      </c>
      <c r="P1379" t="str">
        <f>"RUA PRESIDENTE NEREU"</f>
        <v>RUA PRESIDENTE NEREU</v>
      </c>
      <c r="Q1379" t="str">
        <f>"368"</f>
        <v>368</v>
      </c>
      <c r="R1379" t="str">
        <f>""</f>
        <v/>
      </c>
      <c r="S1379" t="str">
        <f>"1264"</f>
        <v>1264</v>
      </c>
      <c r="T1379" t="str">
        <f>"88400000"</f>
        <v>88400000</v>
      </c>
      <c r="U1379" t="str">
        <f t="shared" si="700"/>
        <v>CENTRO</v>
      </c>
      <c r="V1379" t="str">
        <f>"ITUPORANGA"</f>
        <v>ITUPORANGA</v>
      </c>
      <c r="W1379" t="str">
        <f t="shared" si="672"/>
        <v>SC</v>
      </c>
      <c r="X1379" t="str">
        <f t="shared" si="698"/>
        <v>47</v>
      </c>
      <c r="Y1379" t="str">
        <f>"35335292"</f>
        <v>35335292</v>
      </c>
      <c r="Z1379" t="str">
        <f>""</f>
        <v/>
      </c>
      <c r="AA1379" t="str">
        <f>""</f>
        <v/>
      </c>
      <c r="AB1379" t="str">
        <f>""</f>
        <v/>
      </c>
      <c r="AC1379" t="str">
        <f>""</f>
        <v/>
      </c>
      <c r="AD1379" t="str">
        <f>""</f>
        <v/>
      </c>
      <c r="AE1379" t="str">
        <f>""</f>
        <v/>
      </c>
      <c r="AF1379" t="str">
        <f>""</f>
        <v/>
      </c>
      <c r="AG1379" t="str">
        <f>"S"</f>
        <v>S</v>
      </c>
      <c r="AH1379" t="str">
        <f>""</f>
        <v/>
      </c>
      <c r="AI1379" t="str">
        <f>""</f>
        <v/>
      </c>
      <c r="AJ1379" t="str">
        <f>""</f>
        <v/>
      </c>
      <c r="AK1379" t="str">
        <f>""</f>
        <v/>
      </c>
      <c r="AL1379" t="str">
        <f>""</f>
        <v/>
      </c>
      <c r="AM1379" t="str">
        <f>""</f>
        <v/>
      </c>
      <c r="AN1379" t="str">
        <f>""</f>
        <v/>
      </c>
      <c r="AO1379" t="str">
        <f>""</f>
        <v/>
      </c>
      <c r="AP1379" t="str">
        <f>""</f>
        <v/>
      </c>
      <c r="AQ1379" t="str">
        <f t="shared" ref="AQ1379:AU1383" si="701">"N"</f>
        <v>N</v>
      </c>
      <c r="AR1379" t="str">
        <f t="shared" si="701"/>
        <v>N</v>
      </c>
      <c r="AS1379" t="str">
        <f t="shared" si="701"/>
        <v>N</v>
      </c>
      <c r="AT1379" t="str">
        <f t="shared" si="701"/>
        <v>N</v>
      </c>
      <c r="AU1379" t="str">
        <f t="shared" si="701"/>
        <v>N</v>
      </c>
      <c r="AV1379" t="str">
        <f>""</f>
        <v/>
      </c>
      <c r="AW1379" t="str">
        <f>""</f>
        <v/>
      </c>
      <c r="AX1379" t="str">
        <f>""</f>
        <v/>
      </c>
      <c r="AY1379" t="str">
        <f>""</f>
        <v/>
      </c>
      <c r="AZ1379" t="str">
        <f>""</f>
        <v/>
      </c>
      <c r="BA1379" t="str">
        <f>""</f>
        <v/>
      </c>
      <c r="BB1379" t="str">
        <f>"01/07/2021 13:53:04"</f>
        <v>01/07/2021 13:53:04</v>
      </c>
      <c r="BC1379" t="str">
        <f>"07/02/2022 16:21:24"</f>
        <v>07/02/2022 16:21:24</v>
      </c>
      <c r="BD1379" t="str">
        <f>""</f>
        <v/>
      </c>
      <c r="BE1379" t="str">
        <f>""</f>
        <v/>
      </c>
      <c r="BF1379" t="str">
        <f t="shared" si="685"/>
        <v>A</v>
      </c>
      <c r="BG1379" t="str">
        <f>""</f>
        <v/>
      </c>
      <c r="BH1379" t="str">
        <f>"0,00"</f>
        <v>0,00</v>
      </c>
      <c r="BI1379" t="str">
        <f>"EVENTUAL"</f>
        <v>EVENTUAL</v>
      </c>
      <c r="BJ1379" t="str">
        <f t="shared" si="686"/>
        <v>1</v>
      </c>
      <c r="BK1379" t="str">
        <f t="shared" si="687"/>
        <v>Farmacia</v>
      </c>
      <c r="BL1379" t="str">
        <f>""</f>
        <v/>
      </c>
      <c r="BM1379" t="str">
        <f>"NÃO É VARILUX ESPECIALISTA"</f>
        <v>NÃO É VARILUX ESPECIALISTA</v>
      </c>
      <c r="BN1379" t="str">
        <f>"NA"</f>
        <v>NA</v>
      </c>
      <c r="BO1379" t="str">
        <f>"FOCO VARILUX"</f>
        <v>FOCO VARILUX</v>
      </c>
      <c r="BP1379" t="str">
        <f>""</f>
        <v/>
      </c>
      <c r="BQ1379" t="str">
        <f>""</f>
        <v/>
      </c>
      <c r="BR1379" t="str">
        <f>"01/07/2021"</f>
        <v>01/07/2021</v>
      </c>
      <c r="BS1379" t="str">
        <f>"07/02/2022"</f>
        <v>07/02/2022</v>
      </c>
      <c r="BT1379" t="str">
        <f>""</f>
        <v/>
      </c>
      <c r="BU1379" t="str">
        <f>""</f>
        <v/>
      </c>
      <c r="BV1379" t="str">
        <f>""</f>
        <v/>
      </c>
      <c r="BW1379" t="str">
        <f>"39"</f>
        <v>39</v>
      </c>
    </row>
    <row r="1380" spans="1:75" x14ac:dyDescent="0.35">
      <c r="A1380">
        <v>117518</v>
      </c>
      <c r="B1380" t="str">
        <f t="shared" si="682"/>
        <v>A</v>
      </c>
      <c r="C1380" t="str">
        <f t="shared" si="683"/>
        <v>80</v>
      </c>
      <c r="D1380" t="str">
        <f t="shared" si="675"/>
        <v>11121004</v>
      </c>
      <c r="E1380" t="str">
        <f t="shared" si="676"/>
        <v>121004</v>
      </c>
      <c r="F1380" t="str">
        <f t="shared" si="677"/>
        <v>FABIANA GODOY</v>
      </c>
      <c r="G1380" t="str">
        <f>"05242116000150"</f>
        <v>05242116000150</v>
      </c>
      <c r="H1380" t="str">
        <f t="shared" si="699"/>
        <v>0</v>
      </c>
      <c r="I1380" t="str">
        <f t="shared" si="684"/>
        <v>CONTA OPTICA</v>
      </c>
      <c r="J1380" t="str">
        <f>"GONCALVES E SANTOS JOALHERIA E OTICA EIRELI"</f>
        <v>GONCALVES E SANTOS JOALHERIA E OTICA EIRELI</v>
      </c>
      <c r="K1380" t="str">
        <f>"ANA JOIAS (1696)"</f>
        <v>ANA JOIAS (1696)</v>
      </c>
      <c r="L1380" t="str">
        <f>""</f>
        <v/>
      </c>
      <c r="M1380" t="str">
        <f>""</f>
        <v/>
      </c>
      <c r="N1380" t="str">
        <f>"annajoias@hotmail.com"</f>
        <v>annajoias@hotmail.com</v>
      </c>
      <c r="O1380" t="str">
        <f>""</f>
        <v/>
      </c>
      <c r="P1380" t="str">
        <f>"RUA RODOVIA SC 411 KM 10"</f>
        <v>RUA RODOVIA SC 411 KM 10</v>
      </c>
      <c r="Q1380" t="str">
        <f>"1717"</f>
        <v>1717</v>
      </c>
      <c r="R1380" t="str">
        <f>"SL 02"</f>
        <v>SL 02</v>
      </c>
      <c r="S1380" t="str">
        <f>"1260"</f>
        <v>1260</v>
      </c>
      <c r="T1380" t="str">
        <f>"88230000"</f>
        <v>88230000</v>
      </c>
      <c r="U1380" t="str">
        <f t="shared" si="700"/>
        <v>CENTRO</v>
      </c>
      <c r="V1380" t="str">
        <f>"CANELINHA"</f>
        <v>CANELINHA</v>
      </c>
      <c r="W1380" t="str">
        <f t="shared" si="672"/>
        <v>SC</v>
      </c>
      <c r="X1380" t="str">
        <f>"48"</f>
        <v>48</v>
      </c>
      <c r="Y1380" t="str">
        <f>"32640893"</f>
        <v>32640893</v>
      </c>
      <c r="Z1380" t="str">
        <f>""</f>
        <v/>
      </c>
      <c r="AA1380" t="str">
        <f>""</f>
        <v/>
      </c>
      <c r="AB1380" t="str">
        <f>""</f>
        <v/>
      </c>
      <c r="AC1380" t="str">
        <f>""</f>
        <v/>
      </c>
      <c r="AD1380" t="str">
        <f>""</f>
        <v/>
      </c>
      <c r="AE1380" t="str">
        <f>""</f>
        <v/>
      </c>
      <c r="AF1380" t="str">
        <f>""</f>
        <v/>
      </c>
      <c r="AG1380" t="str">
        <f>"S"</f>
        <v>S</v>
      </c>
      <c r="AH1380" t="str">
        <f>""</f>
        <v/>
      </c>
      <c r="AI1380" t="str">
        <f>""</f>
        <v/>
      </c>
      <c r="AJ1380" t="str">
        <f>"0"</f>
        <v>0</v>
      </c>
      <c r="AK1380" t="str">
        <f>"0"</f>
        <v>0</v>
      </c>
      <c r="AL1380" t="str">
        <f>"0"</f>
        <v>0</v>
      </c>
      <c r="AM1380" t="str">
        <f>""</f>
        <v/>
      </c>
      <c r="AN1380" t="str">
        <f>""</f>
        <v/>
      </c>
      <c r="AO1380" t="str">
        <f>""</f>
        <v/>
      </c>
      <c r="AP1380" t="str">
        <f>""</f>
        <v/>
      </c>
      <c r="AQ1380" t="str">
        <f t="shared" si="701"/>
        <v>N</v>
      </c>
      <c r="AR1380" t="str">
        <f t="shared" si="701"/>
        <v>N</v>
      </c>
      <c r="AS1380" t="str">
        <f t="shared" si="701"/>
        <v>N</v>
      </c>
      <c r="AT1380" t="str">
        <f t="shared" si="701"/>
        <v>N</v>
      </c>
      <c r="AU1380" t="str">
        <f t="shared" si="701"/>
        <v>N</v>
      </c>
      <c r="AV1380" t="str">
        <f>""</f>
        <v/>
      </c>
      <c r="AW1380" t="str">
        <f>""</f>
        <v/>
      </c>
      <c r="AX1380" t="str">
        <f>""</f>
        <v/>
      </c>
      <c r="AY1380" t="str">
        <f>""</f>
        <v/>
      </c>
      <c r="AZ1380" t="str">
        <f>""</f>
        <v/>
      </c>
      <c r="BA1380" t="str">
        <f>""</f>
        <v/>
      </c>
      <c r="BB1380" t="str">
        <f>"22/07/2020 08:24:23"</f>
        <v>22/07/2020 08:24:23</v>
      </c>
      <c r="BC1380" t="str">
        <f>"18/07/2023 14:39:15"</f>
        <v>18/07/2023 14:39:15</v>
      </c>
      <c r="BD1380" t="str">
        <f>""</f>
        <v/>
      </c>
      <c r="BE1380" t="str">
        <f>""</f>
        <v/>
      </c>
      <c r="BF1380" t="str">
        <f t="shared" si="685"/>
        <v>A</v>
      </c>
      <c r="BG1380" t="str">
        <f>"0,00"</f>
        <v>0,00</v>
      </c>
      <c r="BH1380" t="str">
        <f>"0,00"</f>
        <v>0,00</v>
      </c>
      <c r="BI1380" t="str">
        <f>"MENSAL"</f>
        <v>MENSAL</v>
      </c>
      <c r="BJ1380" t="str">
        <f t="shared" si="686"/>
        <v>1</v>
      </c>
      <c r="BK1380" t="str">
        <f t="shared" si="687"/>
        <v>Farmacia</v>
      </c>
      <c r="BL1380" t="str">
        <f>""</f>
        <v/>
      </c>
      <c r="BM1380" t="str">
        <f>"NÃO É VARILUX ESPECIALISTA"</f>
        <v>NÃO É VARILUX ESPECIALISTA</v>
      </c>
      <c r="BN1380" t="str">
        <f>"NA"</f>
        <v>NA</v>
      </c>
      <c r="BO1380" t="str">
        <f>"FOCO VARILUX DIGITAL"</f>
        <v>FOCO VARILUX DIGITAL</v>
      </c>
      <c r="BP1380" t="str">
        <f>""</f>
        <v/>
      </c>
      <c r="BQ1380" t="str">
        <f>""</f>
        <v/>
      </c>
      <c r="BR1380" t="str">
        <f>"22/07/2020"</f>
        <v>22/07/2020</v>
      </c>
      <c r="BS1380" t="str">
        <f>"18/07/2023"</f>
        <v>18/07/2023</v>
      </c>
      <c r="BT1380" t="str">
        <f>""</f>
        <v/>
      </c>
      <c r="BU1380" t="str">
        <f>""</f>
        <v/>
      </c>
      <c r="BV1380" t="str">
        <f>"9"</f>
        <v>9</v>
      </c>
      <c r="BW1380" t="str">
        <f>"3"</f>
        <v>3</v>
      </c>
    </row>
    <row r="1381" spans="1:75" x14ac:dyDescent="0.35">
      <c r="A1381">
        <v>137624</v>
      </c>
      <c r="B1381" t="str">
        <f t="shared" si="682"/>
        <v>A</v>
      </c>
      <c r="C1381" t="str">
        <f t="shared" si="683"/>
        <v>80</v>
      </c>
      <c r="D1381" t="str">
        <f t="shared" si="675"/>
        <v>11121004</v>
      </c>
      <c r="E1381" t="str">
        <f t="shared" si="676"/>
        <v>121004</v>
      </c>
      <c r="F1381" t="str">
        <f t="shared" si="677"/>
        <v>FABIANA GODOY</v>
      </c>
      <c r="G1381" t="str">
        <f>"15421245000160"</f>
        <v>15421245000160</v>
      </c>
      <c r="H1381" t="str">
        <f t="shared" si="699"/>
        <v>0</v>
      </c>
      <c r="I1381" t="str">
        <f t="shared" si="684"/>
        <v>CONTA OPTICA</v>
      </c>
      <c r="J1381" t="str">
        <f>"GRACIELE FATIMA GROSS ME LTDA"</f>
        <v>GRACIELE FATIMA GROSS ME LTDA</v>
      </c>
      <c r="K1381" t="str">
        <f>"CHEIA DE CHARME ACESSORIOS (4039)"</f>
        <v>CHEIA DE CHARME ACESSORIOS (4039)</v>
      </c>
      <c r="L1381" t="str">
        <f>""</f>
        <v/>
      </c>
      <c r="M1381" t="str">
        <f>""</f>
        <v/>
      </c>
      <c r="N1381" t="str">
        <f>"gracielegross@yahoo.com.br"</f>
        <v>gracielegross@yahoo.com.br</v>
      </c>
      <c r="O1381" t="str">
        <f>""</f>
        <v/>
      </c>
      <c r="P1381" t="str">
        <f>"RUA XV DE NOVEMBRO"</f>
        <v>RUA XV DE NOVEMBRO</v>
      </c>
      <c r="Q1381" t="str">
        <f>"327"</f>
        <v>327</v>
      </c>
      <c r="R1381" t="str">
        <f>"SALA D1"</f>
        <v>SALA D1</v>
      </c>
      <c r="S1381" t="str">
        <f>"1273"</f>
        <v>1273</v>
      </c>
      <c r="T1381" t="str">
        <f>"89107000"</f>
        <v>89107000</v>
      </c>
      <c r="U1381" t="str">
        <f t="shared" si="700"/>
        <v>CENTRO</v>
      </c>
      <c r="V1381" t="str">
        <f>"POMERODE"</f>
        <v>POMERODE</v>
      </c>
      <c r="W1381" t="str">
        <f t="shared" si="672"/>
        <v>SC</v>
      </c>
      <c r="X1381" t="str">
        <f>"47"</f>
        <v>47</v>
      </c>
      <c r="Y1381" t="str">
        <f>"33942932"</f>
        <v>33942932</v>
      </c>
      <c r="Z1381" t="str">
        <f>""</f>
        <v/>
      </c>
      <c r="AA1381" t="str">
        <f>""</f>
        <v/>
      </c>
      <c r="AB1381" t="str">
        <f>""</f>
        <v/>
      </c>
      <c r="AC1381" t="str">
        <f>""</f>
        <v/>
      </c>
      <c r="AD1381" t="str">
        <f>""</f>
        <v/>
      </c>
      <c r="AE1381" t="str">
        <f>""</f>
        <v/>
      </c>
      <c r="AF1381" t="str">
        <f>""</f>
        <v/>
      </c>
      <c r="AG1381" t="str">
        <f>"S"</f>
        <v>S</v>
      </c>
      <c r="AH1381" t="str">
        <f>""</f>
        <v/>
      </c>
      <c r="AI1381" t="str">
        <f>""</f>
        <v/>
      </c>
      <c r="AJ1381" t="str">
        <f>""</f>
        <v/>
      </c>
      <c r="AK1381" t="str">
        <f>""</f>
        <v/>
      </c>
      <c r="AL1381" t="str">
        <f>""</f>
        <v/>
      </c>
      <c r="AM1381" t="str">
        <f>""</f>
        <v/>
      </c>
      <c r="AN1381" t="str">
        <f>""</f>
        <v/>
      </c>
      <c r="AO1381" t="str">
        <f>""</f>
        <v/>
      </c>
      <c r="AP1381" t="str">
        <f>""</f>
        <v/>
      </c>
      <c r="AQ1381" t="str">
        <f t="shared" si="701"/>
        <v>N</v>
      </c>
      <c r="AR1381" t="str">
        <f t="shared" si="701"/>
        <v>N</v>
      </c>
      <c r="AS1381" t="str">
        <f t="shared" si="701"/>
        <v>N</v>
      </c>
      <c r="AT1381" t="str">
        <f t="shared" si="701"/>
        <v>N</v>
      </c>
      <c r="AU1381" t="str">
        <f t="shared" si="701"/>
        <v>N</v>
      </c>
      <c r="AV1381" t="str">
        <f>""</f>
        <v/>
      </c>
      <c r="AW1381" t="str">
        <f>""</f>
        <v/>
      </c>
      <c r="AX1381" t="str">
        <f>""</f>
        <v/>
      </c>
      <c r="AY1381" t="str">
        <f>""</f>
        <v/>
      </c>
      <c r="AZ1381" t="str">
        <f>""</f>
        <v/>
      </c>
      <c r="BA1381" t="str">
        <f>""</f>
        <v/>
      </c>
      <c r="BB1381" t="str">
        <f>"01/07/2021 13:53:04"</f>
        <v>01/07/2021 13:53:04</v>
      </c>
      <c r="BC1381" t="str">
        <f>"12/07/2023 16:33:43"</f>
        <v>12/07/2023 16:33:43</v>
      </c>
      <c r="BD1381" t="str">
        <f>""</f>
        <v/>
      </c>
      <c r="BE1381" t="str">
        <f>""</f>
        <v/>
      </c>
      <c r="BF1381" t="str">
        <f t="shared" si="685"/>
        <v>A</v>
      </c>
      <c r="BG1381" t="str">
        <f>""</f>
        <v/>
      </c>
      <c r="BH1381" t="str">
        <f>"0,00"</f>
        <v>0,00</v>
      </c>
      <c r="BI1381" t="str">
        <f>"MENSAL"</f>
        <v>MENSAL</v>
      </c>
      <c r="BJ1381" t="str">
        <f t="shared" si="686"/>
        <v>1</v>
      </c>
      <c r="BK1381" t="str">
        <f t="shared" si="687"/>
        <v>Farmacia</v>
      </c>
      <c r="BL1381" t="str">
        <f>""</f>
        <v/>
      </c>
      <c r="BM1381" t="str">
        <f>"NÃO É VARILUX ESPECIALISTA"</f>
        <v>NÃO É VARILUX ESPECIALISTA</v>
      </c>
      <c r="BN1381" t="str">
        <f>"NA"</f>
        <v>NA</v>
      </c>
      <c r="BO1381" t="str">
        <f>"FOCO VARILUX"</f>
        <v>FOCO VARILUX</v>
      </c>
      <c r="BP1381" t="str">
        <f>""</f>
        <v/>
      </c>
      <c r="BQ1381" t="str">
        <f>""</f>
        <v/>
      </c>
      <c r="BR1381" t="str">
        <f>"01/07/2021"</f>
        <v>01/07/2021</v>
      </c>
      <c r="BS1381" t="str">
        <f>"12/07/2023"</f>
        <v>12/07/2023</v>
      </c>
      <c r="BT1381" t="str">
        <f>""</f>
        <v/>
      </c>
      <c r="BU1381" t="str">
        <f>""</f>
        <v/>
      </c>
      <c r="BV1381" t="str">
        <f>""</f>
        <v/>
      </c>
      <c r="BW1381" t="str">
        <f>"17"</f>
        <v>17</v>
      </c>
    </row>
    <row r="1382" spans="1:75" x14ac:dyDescent="0.35">
      <c r="A1382">
        <v>137625</v>
      </c>
      <c r="B1382" t="str">
        <f t="shared" si="682"/>
        <v>A</v>
      </c>
      <c r="C1382" t="str">
        <f t="shared" si="683"/>
        <v>80</v>
      </c>
      <c r="D1382" t="str">
        <f t="shared" si="675"/>
        <v>11121004</v>
      </c>
      <c r="E1382" t="str">
        <f t="shared" si="676"/>
        <v>121004</v>
      </c>
      <c r="F1382" t="str">
        <f t="shared" si="677"/>
        <v>FABIANA GODOY</v>
      </c>
      <c r="G1382" t="str">
        <f>"81319428000101"</f>
        <v>81319428000101</v>
      </c>
      <c r="H1382" t="str">
        <f t="shared" si="699"/>
        <v>0</v>
      </c>
      <c r="I1382" t="str">
        <f t="shared" si="684"/>
        <v>CONTA OPTICA</v>
      </c>
      <c r="J1382" t="str">
        <f>"GUI PRESENTES LTDA ME"</f>
        <v>GUI PRESENTES LTDA ME</v>
      </c>
      <c r="K1382" t="str">
        <f>"OTICA GUI PRESENTES (569)"</f>
        <v>OTICA GUI PRESENTES (569)</v>
      </c>
      <c r="L1382" t="str">
        <f>""</f>
        <v/>
      </c>
      <c r="M1382" t="str">
        <f>""</f>
        <v/>
      </c>
      <c r="N1382" t="str">
        <f>"oticaguipresentes@gmail.com"</f>
        <v>oticaguipresentes@gmail.com</v>
      </c>
      <c r="O1382" t="str">
        <f>""</f>
        <v/>
      </c>
      <c r="P1382" t="str">
        <f>"AVENIDA BRASIL"</f>
        <v>AVENIDA BRASIL</v>
      </c>
      <c r="Q1382" t="str">
        <f>"1854"</f>
        <v>1854</v>
      </c>
      <c r="R1382" t="str">
        <f>""</f>
        <v/>
      </c>
      <c r="S1382" t="str">
        <f>"1262"</f>
        <v>1262</v>
      </c>
      <c r="T1382" t="str">
        <f>"88330657"</f>
        <v>88330657</v>
      </c>
      <c r="U1382" t="str">
        <f t="shared" si="700"/>
        <v>CENTRO</v>
      </c>
      <c r="V1382" t="str">
        <f>"BALNEÁRIO CAMBORIÚ"</f>
        <v>BALNEÁRIO CAMBORIÚ</v>
      </c>
      <c r="W1382" t="str">
        <f t="shared" si="672"/>
        <v>SC</v>
      </c>
      <c r="X1382" t="str">
        <f>"47"</f>
        <v>47</v>
      </c>
      <c r="Y1382" t="str">
        <f>"33670285"</f>
        <v>33670285</v>
      </c>
      <c r="Z1382" t="str">
        <f>""</f>
        <v/>
      </c>
      <c r="AA1382" t="str">
        <f>""</f>
        <v/>
      </c>
      <c r="AB1382" t="str">
        <f>""</f>
        <v/>
      </c>
      <c r="AC1382" t="str">
        <f>""</f>
        <v/>
      </c>
      <c r="AD1382" t="str">
        <f>""</f>
        <v/>
      </c>
      <c r="AE1382" t="str">
        <f>""</f>
        <v/>
      </c>
      <c r="AF1382" t="str">
        <f>""</f>
        <v/>
      </c>
      <c r="AG1382" t="str">
        <f>"S"</f>
        <v>S</v>
      </c>
      <c r="AH1382" t="str">
        <f>""</f>
        <v/>
      </c>
      <c r="AI1382" t="str">
        <f>""</f>
        <v/>
      </c>
      <c r="AJ1382" t="str">
        <f>""</f>
        <v/>
      </c>
      <c r="AK1382" t="str">
        <f>""</f>
        <v/>
      </c>
      <c r="AL1382" t="str">
        <f>""</f>
        <v/>
      </c>
      <c r="AM1382" t="str">
        <f>""</f>
        <v/>
      </c>
      <c r="AN1382" t="str">
        <f>""</f>
        <v/>
      </c>
      <c r="AO1382" t="str">
        <f>""</f>
        <v/>
      </c>
      <c r="AP1382" t="str">
        <f>""</f>
        <v/>
      </c>
      <c r="AQ1382" t="str">
        <f t="shared" si="701"/>
        <v>N</v>
      </c>
      <c r="AR1382" t="str">
        <f t="shared" si="701"/>
        <v>N</v>
      </c>
      <c r="AS1382" t="str">
        <f t="shared" si="701"/>
        <v>N</v>
      </c>
      <c r="AT1382" t="str">
        <f t="shared" si="701"/>
        <v>N</v>
      </c>
      <c r="AU1382" t="str">
        <f t="shared" si="701"/>
        <v>N</v>
      </c>
      <c r="AV1382" t="str">
        <f>""</f>
        <v/>
      </c>
      <c r="AW1382" t="str">
        <f>""</f>
        <v/>
      </c>
      <c r="AX1382" t="str">
        <f>""</f>
        <v/>
      </c>
      <c r="AY1382" t="str">
        <f>""</f>
        <v/>
      </c>
      <c r="AZ1382" t="str">
        <f>""</f>
        <v/>
      </c>
      <c r="BA1382" t="str">
        <f>""</f>
        <v/>
      </c>
      <c r="BB1382" t="str">
        <f>"01/07/2021 13:53:04"</f>
        <v>01/07/2021 13:53:04</v>
      </c>
      <c r="BC1382" t="str">
        <f>"21/01/2022 16:12:06"</f>
        <v>21/01/2022 16:12:06</v>
      </c>
      <c r="BD1382" t="str">
        <f>""</f>
        <v/>
      </c>
      <c r="BE1382" t="str">
        <f>""</f>
        <v/>
      </c>
      <c r="BF1382" t="str">
        <f t="shared" si="685"/>
        <v>A</v>
      </c>
      <c r="BG1382" t="str">
        <f>""</f>
        <v/>
      </c>
      <c r="BH1382" t="str">
        <f>"0,00"</f>
        <v>0,00</v>
      </c>
      <c r="BI1382" t="str">
        <f>"EVENTUAL"</f>
        <v>EVENTUAL</v>
      </c>
      <c r="BJ1382" t="str">
        <f t="shared" si="686"/>
        <v>1</v>
      </c>
      <c r="BK1382" t="str">
        <f t="shared" si="687"/>
        <v>Farmacia</v>
      </c>
      <c r="BL1382" t="str">
        <f>""</f>
        <v/>
      </c>
      <c r="BM1382" t="str">
        <f>"VARILUX ESPECIALISTA PLATINE"</f>
        <v>VARILUX ESPECIALISTA PLATINE</v>
      </c>
      <c r="BN1382" t="str">
        <f>"NA"</f>
        <v>NA</v>
      </c>
      <c r="BO1382" t="str">
        <f>"FOCO VARILUX DIGITAL"</f>
        <v>FOCO VARILUX DIGITAL</v>
      </c>
      <c r="BP1382" t="str">
        <f>""</f>
        <v/>
      </c>
      <c r="BQ1382" t="str">
        <f>""</f>
        <v/>
      </c>
      <c r="BR1382" t="str">
        <f>"01/07/2021"</f>
        <v>01/07/2021</v>
      </c>
      <c r="BS1382" t="str">
        <f>"21/01/2022"</f>
        <v>21/01/2022</v>
      </c>
      <c r="BT1382" t="str">
        <f>""</f>
        <v/>
      </c>
      <c r="BU1382" t="str">
        <f>""</f>
        <v/>
      </c>
      <c r="BV1382" t="str">
        <f>""</f>
        <v/>
      </c>
      <c r="BW1382" t="str">
        <f>"1"</f>
        <v>1</v>
      </c>
    </row>
    <row r="1383" spans="1:75" x14ac:dyDescent="0.35">
      <c r="A1383">
        <v>137627</v>
      </c>
      <c r="B1383" t="str">
        <f t="shared" si="682"/>
        <v>A</v>
      </c>
      <c r="C1383" t="str">
        <f t="shared" si="683"/>
        <v>80</v>
      </c>
      <c r="D1383" t="str">
        <f t="shared" si="675"/>
        <v>11121004</v>
      </c>
      <c r="E1383" t="str">
        <f t="shared" si="676"/>
        <v>121004</v>
      </c>
      <c r="F1383" t="str">
        <f t="shared" si="677"/>
        <v>FABIANA GODOY</v>
      </c>
      <c r="G1383" t="str">
        <f>"28456537000180"</f>
        <v>28456537000180</v>
      </c>
      <c r="H1383" t="str">
        <f t="shared" si="699"/>
        <v>0</v>
      </c>
      <c r="I1383" t="str">
        <f t="shared" si="684"/>
        <v>CONTA OPTICA</v>
      </c>
      <c r="J1383" t="str">
        <f>"HEITORANA COMERCIO DE PRODUTOS DE OPTICA - EIRELI - ME"</f>
        <v>HEITORANA COMERCIO DE PRODUTOS DE OPTICA - EIRELI - ME</v>
      </c>
      <c r="K1383" t="str">
        <f>"VISIONARI OPTICA (3841)"</f>
        <v>VISIONARI OPTICA (3841)</v>
      </c>
      <c r="L1383" t="str">
        <f>""</f>
        <v/>
      </c>
      <c r="M1383" t="str">
        <f>""</f>
        <v/>
      </c>
      <c r="N1383" t="str">
        <f>"visionarioptica@hotmail.com"</f>
        <v>visionarioptica@hotmail.com</v>
      </c>
      <c r="O1383" t="str">
        <f>""</f>
        <v/>
      </c>
      <c r="P1383" t="str">
        <f>"RUA NEREU RAMOS"</f>
        <v>RUA NEREU RAMOS</v>
      </c>
      <c r="Q1383" t="str">
        <f>"295"</f>
        <v>295</v>
      </c>
      <c r="R1383" t="str">
        <f>"SALA 03"</f>
        <v>SALA 03</v>
      </c>
      <c r="S1383" t="str">
        <f>"1260"</f>
        <v>1260</v>
      </c>
      <c r="T1383" t="str">
        <f>"88240000"</f>
        <v>88240000</v>
      </c>
      <c r="U1383" t="str">
        <f t="shared" si="700"/>
        <v>CENTRO</v>
      </c>
      <c r="V1383" t="str">
        <f>"SÃO JOÃO BATISTA"</f>
        <v>SÃO JOÃO BATISTA</v>
      </c>
      <c r="W1383" t="str">
        <f t="shared" si="672"/>
        <v>SC</v>
      </c>
      <c r="X1383" t="str">
        <f>"48"</f>
        <v>48</v>
      </c>
      <c r="Y1383" t="str">
        <f>"32650068"</f>
        <v>32650068</v>
      </c>
      <c r="Z1383" t="str">
        <f>""</f>
        <v/>
      </c>
      <c r="AA1383" t="str">
        <f>""</f>
        <v/>
      </c>
      <c r="AB1383" t="str">
        <f>""</f>
        <v/>
      </c>
      <c r="AC1383" t="str">
        <f>""</f>
        <v/>
      </c>
      <c r="AD1383" t="str">
        <f>""</f>
        <v/>
      </c>
      <c r="AE1383" t="str">
        <f>""</f>
        <v/>
      </c>
      <c r="AF1383" t="str">
        <f>""</f>
        <v/>
      </c>
      <c r="AG1383" t="str">
        <f>"S"</f>
        <v>S</v>
      </c>
      <c r="AH1383" t="str">
        <f>""</f>
        <v/>
      </c>
      <c r="AI1383" t="str">
        <f>""</f>
        <v/>
      </c>
      <c r="AJ1383" t="str">
        <f>""</f>
        <v/>
      </c>
      <c r="AK1383" t="str">
        <f>""</f>
        <v/>
      </c>
      <c r="AL1383" t="str">
        <f>""</f>
        <v/>
      </c>
      <c r="AM1383" t="str">
        <f>""</f>
        <v/>
      </c>
      <c r="AN1383" t="str">
        <f>""</f>
        <v/>
      </c>
      <c r="AO1383" t="str">
        <f>""</f>
        <v/>
      </c>
      <c r="AP1383" t="str">
        <f>""</f>
        <v/>
      </c>
      <c r="AQ1383" t="str">
        <f t="shared" si="701"/>
        <v>N</v>
      </c>
      <c r="AR1383" t="str">
        <f t="shared" si="701"/>
        <v>N</v>
      </c>
      <c r="AS1383" t="str">
        <f t="shared" si="701"/>
        <v>N</v>
      </c>
      <c r="AT1383" t="str">
        <f t="shared" si="701"/>
        <v>N</v>
      </c>
      <c r="AU1383" t="str">
        <f t="shared" si="701"/>
        <v>N</v>
      </c>
      <c r="AV1383" t="str">
        <f>""</f>
        <v/>
      </c>
      <c r="AW1383" t="str">
        <f>""</f>
        <v/>
      </c>
      <c r="AX1383" t="str">
        <f>""</f>
        <v/>
      </c>
      <c r="AY1383" t="str">
        <f>""</f>
        <v/>
      </c>
      <c r="AZ1383" t="str">
        <f>""</f>
        <v/>
      </c>
      <c r="BA1383" t="str">
        <f>""</f>
        <v/>
      </c>
      <c r="BB1383" t="str">
        <f>"01/07/2021 13:53:04"</f>
        <v>01/07/2021 13:53:04</v>
      </c>
      <c r="BC1383" t="str">
        <f>"18/07/2023 14:42:20"</f>
        <v>18/07/2023 14:42:20</v>
      </c>
      <c r="BD1383" t="str">
        <f>""</f>
        <v/>
      </c>
      <c r="BE1383" t="str">
        <f>""</f>
        <v/>
      </c>
      <c r="BF1383" t="str">
        <f t="shared" si="685"/>
        <v>A</v>
      </c>
      <c r="BG1383" t="str">
        <f>""</f>
        <v/>
      </c>
      <c r="BH1383" t="str">
        <f>"0,00"</f>
        <v>0,00</v>
      </c>
      <c r="BI1383" t="str">
        <f>"MENSAL"</f>
        <v>MENSAL</v>
      </c>
      <c r="BJ1383" t="str">
        <f t="shared" si="686"/>
        <v>1</v>
      </c>
      <c r="BK1383" t="str">
        <f t="shared" si="687"/>
        <v>Farmacia</v>
      </c>
      <c r="BL1383" t="str">
        <f>""</f>
        <v/>
      </c>
      <c r="BM1383" t="str">
        <f>"NÃO É VARILUX ESPECIALISTA"</f>
        <v>NÃO É VARILUX ESPECIALISTA</v>
      </c>
      <c r="BN1383" t="str">
        <f>"EL360"</f>
        <v>EL360</v>
      </c>
      <c r="BO1383" t="str">
        <f>"FOCO VARILUX DIGITAL"</f>
        <v>FOCO VARILUX DIGITAL</v>
      </c>
      <c r="BP1383" t="str">
        <f>""</f>
        <v/>
      </c>
      <c r="BQ1383" t="str">
        <f>""</f>
        <v/>
      </c>
      <c r="BR1383" t="str">
        <f>"01/07/2021"</f>
        <v>01/07/2021</v>
      </c>
      <c r="BS1383" t="str">
        <f>"18/07/2023"</f>
        <v>18/07/2023</v>
      </c>
      <c r="BT1383" t="str">
        <f>""</f>
        <v/>
      </c>
      <c r="BU1383" t="str">
        <f>""</f>
        <v/>
      </c>
      <c r="BV1383" t="str">
        <f>""</f>
        <v/>
      </c>
      <c r="BW1383" t="str">
        <f>"3"</f>
        <v>3</v>
      </c>
    </row>
    <row r="1384" spans="1:75" x14ac:dyDescent="0.35">
      <c r="A1384">
        <v>120523</v>
      </c>
      <c r="B1384" t="str">
        <f t="shared" si="682"/>
        <v>A</v>
      </c>
      <c r="C1384" t="str">
        <f t="shared" si="683"/>
        <v>80</v>
      </c>
      <c r="D1384" t="str">
        <f t="shared" si="675"/>
        <v>11121004</v>
      </c>
      <c r="E1384" t="str">
        <f t="shared" si="676"/>
        <v>121004</v>
      </c>
      <c r="F1384" t="str">
        <f t="shared" si="677"/>
        <v>FABIANA GODOY</v>
      </c>
      <c r="G1384" t="str">
        <f>"04001211000108"</f>
        <v>04001211000108</v>
      </c>
      <c r="H1384" t="str">
        <f t="shared" si="699"/>
        <v>0</v>
      </c>
      <c r="I1384" t="str">
        <f t="shared" si="684"/>
        <v>CONTA OPTICA</v>
      </c>
      <c r="J1384" t="str">
        <f>"HERBERT KELM JUNIOR ME"</f>
        <v>HERBERT KELM JUNIOR ME</v>
      </c>
      <c r="K1384" t="str">
        <f>"HERBERT RELOJOARIA (1722)"</f>
        <v>HERBERT RELOJOARIA (1722)</v>
      </c>
      <c r="L1384" t="str">
        <f>""</f>
        <v/>
      </c>
      <c r="M1384" t="str">
        <f>""</f>
        <v/>
      </c>
      <c r="N1384" t="str">
        <f>""</f>
        <v/>
      </c>
      <c r="O1384" t="str">
        <f>""</f>
        <v/>
      </c>
      <c r="P1384" t="str">
        <f>"RUA 07 DE SETEMBRO"</f>
        <v>RUA 07 DE SETEMBRO</v>
      </c>
      <c r="Q1384" t="str">
        <f>"760"</f>
        <v>760</v>
      </c>
      <c r="R1384" t="str">
        <f>"SALA 03"</f>
        <v>SALA 03</v>
      </c>
      <c r="S1384" t="str">
        <f>"1271"</f>
        <v>1271</v>
      </c>
      <c r="T1384" t="str">
        <f>"89010200"</f>
        <v>89010200</v>
      </c>
      <c r="U1384" t="str">
        <f t="shared" si="700"/>
        <v>CENTRO</v>
      </c>
      <c r="V1384" t="str">
        <f>"BLUMENAU"</f>
        <v>BLUMENAU</v>
      </c>
      <c r="W1384" t="str">
        <f t="shared" si="672"/>
        <v>SC</v>
      </c>
      <c r="X1384" t="str">
        <f t="shared" ref="X1384:X1391" si="702">"47"</f>
        <v>47</v>
      </c>
      <c r="Y1384" t="str">
        <f>"30353261"</f>
        <v>30353261</v>
      </c>
      <c r="Z1384" t="str">
        <f>""</f>
        <v/>
      </c>
      <c r="AA1384" t="str">
        <f>""</f>
        <v/>
      </c>
      <c r="AB1384" t="str">
        <f>""</f>
        <v/>
      </c>
      <c r="AC1384" t="str">
        <f>""</f>
        <v/>
      </c>
      <c r="AD1384" t="str">
        <f>""</f>
        <v/>
      </c>
      <c r="AE1384" t="str">
        <f>""</f>
        <v/>
      </c>
      <c r="AF1384" t="str">
        <f>""</f>
        <v/>
      </c>
      <c r="AG1384" t="str">
        <f>""</f>
        <v/>
      </c>
      <c r="AH1384" t="str">
        <f>""</f>
        <v/>
      </c>
      <c r="AI1384" t="str">
        <f>""</f>
        <v/>
      </c>
      <c r="AJ1384" t="str">
        <f>""</f>
        <v/>
      </c>
      <c r="AK1384" t="str">
        <f>""</f>
        <v/>
      </c>
      <c r="AL1384" t="str">
        <f>""</f>
        <v/>
      </c>
      <c r="AM1384" t="str">
        <f>""</f>
        <v/>
      </c>
      <c r="AN1384" t="str">
        <f>""</f>
        <v/>
      </c>
      <c r="AO1384" t="str">
        <f>""</f>
        <v/>
      </c>
      <c r="AP1384" t="str">
        <f>""</f>
        <v/>
      </c>
      <c r="AQ1384" t="str">
        <f>""</f>
        <v/>
      </c>
      <c r="AR1384" t="str">
        <f>""</f>
        <v/>
      </c>
      <c r="AS1384" t="str">
        <f>""</f>
        <v/>
      </c>
      <c r="AT1384" t="str">
        <f>""</f>
        <v/>
      </c>
      <c r="AU1384" t="str">
        <f>""</f>
        <v/>
      </c>
      <c r="AV1384" t="str">
        <f>""</f>
        <v/>
      </c>
      <c r="AW1384" t="str">
        <f>""</f>
        <v/>
      </c>
      <c r="AX1384" t="str">
        <f>""</f>
        <v/>
      </c>
      <c r="AY1384" t="str">
        <f>""</f>
        <v/>
      </c>
      <c r="AZ1384" t="str">
        <f>""</f>
        <v/>
      </c>
      <c r="BA1384" t="str">
        <f>""</f>
        <v/>
      </c>
      <c r="BB1384" t="str">
        <f>"22/09/2020 15:29:33"</f>
        <v>22/09/2020 15:29:33</v>
      </c>
      <c r="BC1384" t="str">
        <f>""</f>
        <v/>
      </c>
      <c r="BD1384" t="str">
        <f>""</f>
        <v/>
      </c>
      <c r="BE1384" t="str">
        <f>""</f>
        <v/>
      </c>
      <c r="BF1384" t="str">
        <f t="shared" si="685"/>
        <v>A</v>
      </c>
      <c r="BG1384" t="str">
        <f>""</f>
        <v/>
      </c>
      <c r="BH1384" t="str">
        <f>""</f>
        <v/>
      </c>
      <c r="BI1384" t="str">
        <f>"EVENTUAL"</f>
        <v>EVENTUAL</v>
      </c>
      <c r="BJ1384" t="str">
        <f t="shared" si="686"/>
        <v>1</v>
      </c>
      <c r="BK1384" t="str">
        <f t="shared" si="687"/>
        <v>Farmacia</v>
      </c>
      <c r="BL1384" t="str">
        <f>""</f>
        <v/>
      </c>
      <c r="BM1384" t="str">
        <f>"NÃO É VARILUX ESPECIALISTA"</f>
        <v>NÃO É VARILUX ESPECIALISTA</v>
      </c>
      <c r="BN1384" t="str">
        <f>"NA"</f>
        <v>NA</v>
      </c>
      <c r="BO1384" t="str">
        <f>"OUTROS"</f>
        <v>OUTROS</v>
      </c>
      <c r="BP1384" t="str">
        <f>""</f>
        <v/>
      </c>
      <c r="BQ1384" t="str">
        <f>""</f>
        <v/>
      </c>
      <c r="BR1384" t="str">
        <f>"22/09/2020"</f>
        <v>22/09/2020</v>
      </c>
      <c r="BS1384" t="str">
        <f>""</f>
        <v/>
      </c>
      <c r="BT1384" t="str">
        <f>""</f>
        <v/>
      </c>
      <c r="BU1384" t="str">
        <f>""</f>
        <v/>
      </c>
      <c r="BV1384" t="str">
        <f>"9"</f>
        <v>9</v>
      </c>
      <c r="BW1384" t="str">
        <f>"Não visitado"</f>
        <v>Não visitado</v>
      </c>
    </row>
    <row r="1385" spans="1:75" x14ac:dyDescent="0.35">
      <c r="A1385">
        <v>137629</v>
      </c>
      <c r="B1385" t="str">
        <f t="shared" si="682"/>
        <v>A</v>
      </c>
      <c r="C1385" t="str">
        <f t="shared" si="683"/>
        <v>80</v>
      </c>
      <c r="D1385" t="str">
        <f t="shared" si="675"/>
        <v>11121004</v>
      </c>
      <c r="E1385" t="str">
        <f t="shared" si="676"/>
        <v>121004</v>
      </c>
      <c r="F1385" t="str">
        <f t="shared" si="677"/>
        <v>FABIANA GODOY</v>
      </c>
      <c r="G1385" t="str">
        <f>"33665137000114"</f>
        <v>33665137000114</v>
      </c>
      <c r="H1385" t="str">
        <f t="shared" si="699"/>
        <v>0</v>
      </c>
      <c r="I1385" t="str">
        <f t="shared" si="684"/>
        <v>CONTA OPTICA</v>
      </c>
      <c r="J1385" t="str">
        <f>"HIGOR PEREIRA DE ANDRADE 79267289500"</f>
        <v>HIGOR PEREIRA DE ANDRADE 79267289500</v>
      </c>
      <c r="K1385" t="str">
        <f>"HR CLINICA (4343)"</f>
        <v>HR CLINICA (4343)</v>
      </c>
      <c r="L1385" t="str">
        <f>""</f>
        <v/>
      </c>
      <c r="M1385" t="str">
        <f>""</f>
        <v/>
      </c>
      <c r="N1385" t="str">
        <f>"HRCLINICA.CAMBORIU@GMAIL.COM"</f>
        <v>HRCLINICA.CAMBORIU@GMAIL.COM</v>
      </c>
      <c r="O1385" t="str">
        <f>""</f>
        <v/>
      </c>
      <c r="P1385" t="str">
        <f>"RUA JOSE FRANCISCO BERNARDES"</f>
        <v>RUA JOSE FRANCISCO BERNARDES</v>
      </c>
      <c r="Q1385" t="str">
        <f>"804"</f>
        <v>804</v>
      </c>
      <c r="R1385" t="str">
        <f>"LOJA 04"</f>
        <v>LOJA 04</v>
      </c>
      <c r="S1385" t="str">
        <f>"1262"</f>
        <v>1262</v>
      </c>
      <c r="T1385" t="str">
        <f>"88345006"</f>
        <v>88345006</v>
      </c>
      <c r="U1385" t="str">
        <f>"AREIAS"</f>
        <v>AREIAS</v>
      </c>
      <c r="V1385" t="str">
        <f>"CAMBORIÚ"</f>
        <v>CAMBORIÚ</v>
      </c>
      <c r="W1385" t="str">
        <f t="shared" si="672"/>
        <v>SC</v>
      </c>
      <c r="X1385" t="str">
        <f t="shared" si="702"/>
        <v>47</v>
      </c>
      <c r="Y1385" t="str">
        <f>"999337484"</f>
        <v>999337484</v>
      </c>
      <c r="Z1385" t="str">
        <f>""</f>
        <v/>
      </c>
      <c r="AA1385" t="str">
        <f>""</f>
        <v/>
      </c>
      <c r="AB1385" t="str">
        <f>""</f>
        <v/>
      </c>
      <c r="AC1385" t="str">
        <f>""</f>
        <v/>
      </c>
      <c r="AD1385" t="str">
        <f>""</f>
        <v/>
      </c>
      <c r="AE1385" t="str">
        <f>""</f>
        <v/>
      </c>
      <c r="AF1385" t="str">
        <f>""</f>
        <v/>
      </c>
      <c r="AG1385" t="str">
        <f>"S"</f>
        <v>S</v>
      </c>
      <c r="AH1385" t="str">
        <f>""</f>
        <v/>
      </c>
      <c r="AI1385" t="str">
        <f>""</f>
        <v/>
      </c>
      <c r="AJ1385" t="str">
        <f>""</f>
        <v/>
      </c>
      <c r="AK1385" t="str">
        <f>""</f>
        <v/>
      </c>
      <c r="AL1385" t="str">
        <f>""</f>
        <v/>
      </c>
      <c r="AM1385" t="str">
        <f>""</f>
        <v/>
      </c>
      <c r="AN1385" t="str">
        <f>""</f>
        <v/>
      </c>
      <c r="AO1385" t="str">
        <f>""</f>
        <v/>
      </c>
      <c r="AP1385" t="str">
        <f>""</f>
        <v/>
      </c>
      <c r="AQ1385" t="str">
        <f t="shared" ref="AQ1385:AU1386" si="703">"N"</f>
        <v>N</v>
      </c>
      <c r="AR1385" t="str">
        <f t="shared" si="703"/>
        <v>N</v>
      </c>
      <c r="AS1385" t="str">
        <f t="shared" si="703"/>
        <v>N</v>
      </c>
      <c r="AT1385" t="str">
        <f t="shared" si="703"/>
        <v>N</v>
      </c>
      <c r="AU1385" t="str">
        <f t="shared" si="703"/>
        <v>N</v>
      </c>
      <c r="AV1385" t="str">
        <f>""</f>
        <v/>
      </c>
      <c r="AW1385" t="str">
        <f>""</f>
        <v/>
      </c>
      <c r="AX1385" t="str">
        <f>""</f>
        <v/>
      </c>
      <c r="AY1385" t="str">
        <f>""</f>
        <v/>
      </c>
      <c r="AZ1385" t="str">
        <f>""</f>
        <v/>
      </c>
      <c r="BA1385" t="str">
        <f>""</f>
        <v/>
      </c>
      <c r="BB1385" t="str">
        <f>"01/07/2021 13:53:04"</f>
        <v>01/07/2021 13:53:04</v>
      </c>
      <c r="BC1385" t="str">
        <f>"29/07/2022 12:03:03"</f>
        <v>29/07/2022 12:03:03</v>
      </c>
      <c r="BD1385" t="str">
        <f>""</f>
        <v/>
      </c>
      <c r="BE1385" t="str">
        <f>""</f>
        <v/>
      </c>
      <c r="BF1385" t="str">
        <f t="shared" si="685"/>
        <v>A</v>
      </c>
      <c r="BG1385" t="str">
        <f>""</f>
        <v/>
      </c>
      <c r="BH1385" t="str">
        <f>"0,00"</f>
        <v>0,00</v>
      </c>
      <c r="BI1385" t="str">
        <f>"EVENTUAL"</f>
        <v>EVENTUAL</v>
      </c>
      <c r="BJ1385" t="str">
        <f t="shared" si="686"/>
        <v>1</v>
      </c>
      <c r="BK1385" t="str">
        <f t="shared" si="687"/>
        <v>Farmacia</v>
      </c>
      <c r="BL1385" t="str">
        <f>""</f>
        <v/>
      </c>
      <c r="BM1385" t="str">
        <f>"NÃO É VARILUX ESPECIALISTA"</f>
        <v>NÃO É VARILUX ESPECIALISTA</v>
      </c>
      <c r="BN1385" t="str">
        <f>"NA"</f>
        <v>NA</v>
      </c>
      <c r="BO1385" t="str">
        <f>""</f>
        <v/>
      </c>
      <c r="BP1385" t="str">
        <f>""</f>
        <v/>
      </c>
      <c r="BQ1385" t="str">
        <f>""</f>
        <v/>
      </c>
      <c r="BR1385" t="str">
        <f>"01/07/2021"</f>
        <v>01/07/2021</v>
      </c>
      <c r="BS1385" t="str">
        <f>"29/07/2022"</f>
        <v>29/07/2022</v>
      </c>
      <c r="BT1385" t="str">
        <f>""</f>
        <v/>
      </c>
      <c r="BU1385" t="str">
        <f>""</f>
        <v/>
      </c>
      <c r="BV1385" t="str">
        <f>""</f>
        <v/>
      </c>
      <c r="BW1385" t="str">
        <f>"178"</f>
        <v>178</v>
      </c>
    </row>
    <row r="1386" spans="1:75" x14ac:dyDescent="0.35">
      <c r="A1386">
        <v>117447</v>
      </c>
      <c r="B1386" t="str">
        <f t="shared" si="682"/>
        <v>A</v>
      </c>
      <c r="C1386" t="str">
        <f t="shared" si="683"/>
        <v>80</v>
      </c>
      <c r="D1386" t="str">
        <f t="shared" si="675"/>
        <v>11121004</v>
      </c>
      <c r="E1386" t="str">
        <f t="shared" si="676"/>
        <v>121004</v>
      </c>
      <c r="F1386" t="str">
        <f t="shared" si="677"/>
        <v>FABIANA GODOY</v>
      </c>
      <c r="G1386" t="str">
        <f>"00242262000162"</f>
        <v>00242262000162</v>
      </c>
      <c r="H1386" t="str">
        <f t="shared" si="699"/>
        <v>0</v>
      </c>
      <c r="I1386" t="str">
        <f t="shared" si="684"/>
        <v>CONTA OPTICA</v>
      </c>
      <c r="J1386" t="str">
        <f>"HT LUCHESI CIA LTDA ME"</f>
        <v>HT LUCHESI CIA LTDA ME</v>
      </c>
      <c r="K1386" t="str">
        <f>"OTICA FERRAZ (1241)"</f>
        <v>OTICA FERRAZ (1241)</v>
      </c>
      <c r="L1386" t="str">
        <f>""</f>
        <v/>
      </c>
      <c r="M1386" t="str">
        <f>""</f>
        <v/>
      </c>
      <c r="N1386" t="str">
        <f>"h.t.luchesi@hotmail.com"</f>
        <v>h.t.luchesi@hotmail.com</v>
      </c>
      <c r="O1386" t="str">
        <f>""</f>
        <v/>
      </c>
      <c r="P1386" t="str">
        <f>"AVENIDA DO ESTADO DALMO VIEIRA"</f>
        <v>AVENIDA DO ESTADO DALMO VIEIRA</v>
      </c>
      <c r="Q1386" t="str">
        <f>"1771"</f>
        <v>1771</v>
      </c>
      <c r="R1386" t="str">
        <f>"SALA 14"</f>
        <v>SALA 14</v>
      </c>
      <c r="S1386" t="str">
        <f>"1262"</f>
        <v>1262</v>
      </c>
      <c r="T1386" t="str">
        <f>"88331150"</f>
        <v>88331150</v>
      </c>
      <c r="U1386" t="str">
        <f>"PIONEIROS"</f>
        <v>PIONEIROS</v>
      </c>
      <c r="V1386" t="str">
        <f>"BALNEÁRIO CAMBORIÚ"</f>
        <v>BALNEÁRIO CAMBORIÚ</v>
      </c>
      <c r="W1386" t="str">
        <f t="shared" si="672"/>
        <v>SC</v>
      </c>
      <c r="X1386" t="str">
        <f t="shared" si="702"/>
        <v>47</v>
      </c>
      <c r="Y1386" t="str">
        <f>"33607966"</f>
        <v>33607966</v>
      </c>
      <c r="Z1386" t="str">
        <f>""</f>
        <v/>
      </c>
      <c r="AA1386" t="str">
        <f>""</f>
        <v/>
      </c>
      <c r="AB1386" t="str">
        <f>""</f>
        <v/>
      </c>
      <c r="AC1386" t="str">
        <f>""</f>
        <v/>
      </c>
      <c r="AD1386" t="str">
        <f>""</f>
        <v/>
      </c>
      <c r="AE1386" t="str">
        <f>""</f>
        <v/>
      </c>
      <c r="AF1386" t="str">
        <f>""</f>
        <v/>
      </c>
      <c r="AG1386" t="str">
        <f>"S"</f>
        <v>S</v>
      </c>
      <c r="AH1386" t="str">
        <f>""</f>
        <v/>
      </c>
      <c r="AI1386" t="str">
        <f>""</f>
        <v/>
      </c>
      <c r="AJ1386" t="str">
        <f>"0"</f>
        <v>0</v>
      </c>
      <c r="AK1386" t="str">
        <f>"0"</f>
        <v>0</v>
      </c>
      <c r="AL1386" t="str">
        <f>"0"</f>
        <v>0</v>
      </c>
      <c r="AM1386" t="str">
        <f>""</f>
        <v/>
      </c>
      <c r="AN1386" t="str">
        <f>""</f>
        <v/>
      </c>
      <c r="AO1386" t="str">
        <f>""</f>
        <v/>
      </c>
      <c r="AP1386" t="str">
        <f>""</f>
        <v/>
      </c>
      <c r="AQ1386" t="str">
        <f t="shared" si="703"/>
        <v>N</v>
      </c>
      <c r="AR1386" t="str">
        <f t="shared" si="703"/>
        <v>N</v>
      </c>
      <c r="AS1386" t="str">
        <f t="shared" si="703"/>
        <v>N</v>
      </c>
      <c r="AT1386" t="str">
        <f t="shared" si="703"/>
        <v>N</v>
      </c>
      <c r="AU1386" t="str">
        <f t="shared" si="703"/>
        <v>N</v>
      </c>
      <c r="AV1386" t="str">
        <f>""</f>
        <v/>
      </c>
      <c r="AW1386" t="str">
        <f>""</f>
        <v/>
      </c>
      <c r="AX1386" t="str">
        <f>""</f>
        <v/>
      </c>
      <c r="AY1386" t="str">
        <f>""</f>
        <v/>
      </c>
      <c r="AZ1386" t="str">
        <f>""</f>
        <v/>
      </c>
      <c r="BA1386" t="str">
        <f>""</f>
        <v/>
      </c>
      <c r="BB1386" t="str">
        <f>"22/07/2020 08:24:23"</f>
        <v>22/07/2020 08:24:23</v>
      </c>
      <c r="BC1386" t="str">
        <f>"17/07/2023 17:43:37"</f>
        <v>17/07/2023 17:43:37</v>
      </c>
      <c r="BD1386" t="str">
        <f>""</f>
        <v/>
      </c>
      <c r="BE1386" t="str">
        <f>""</f>
        <v/>
      </c>
      <c r="BF1386" t="str">
        <f t="shared" si="685"/>
        <v>A</v>
      </c>
      <c r="BG1386" t="str">
        <f>"0,00"</f>
        <v>0,00</v>
      </c>
      <c r="BH1386" t="str">
        <f>"0,00"</f>
        <v>0,00</v>
      </c>
      <c r="BI1386" t="str">
        <f>"MENSAL"</f>
        <v>MENSAL</v>
      </c>
      <c r="BJ1386" t="str">
        <f t="shared" si="686"/>
        <v>1</v>
      </c>
      <c r="BK1386" t="str">
        <f t="shared" si="687"/>
        <v>Farmacia</v>
      </c>
      <c r="BL1386" t="str">
        <f>""</f>
        <v/>
      </c>
      <c r="BM1386" t="str">
        <f>"NÃO É VARILUX ESPECIALISTA"</f>
        <v>NÃO É VARILUX ESPECIALISTA</v>
      </c>
      <c r="BN1386" t="str">
        <f>"NA"</f>
        <v>NA</v>
      </c>
      <c r="BO1386" t="str">
        <f>"FOCO KODAK 2"</f>
        <v>FOCO KODAK 2</v>
      </c>
      <c r="BP1386" t="str">
        <f>""</f>
        <v/>
      </c>
      <c r="BQ1386" t="str">
        <f>""</f>
        <v/>
      </c>
      <c r="BR1386" t="str">
        <f>"22/07/2020"</f>
        <v>22/07/2020</v>
      </c>
      <c r="BS1386" t="str">
        <f>"17/07/2023"</f>
        <v>17/07/2023</v>
      </c>
      <c r="BT1386" t="str">
        <f>""</f>
        <v/>
      </c>
      <c r="BU1386" t="str">
        <f>""</f>
        <v/>
      </c>
      <c r="BV1386" t="str">
        <f>"6"</f>
        <v>6</v>
      </c>
      <c r="BW1386" t="str">
        <f>"7"</f>
        <v>7</v>
      </c>
    </row>
    <row r="1387" spans="1:75" x14ac:dyDescent="0.35">
      <c r="A1387">
        <v>157085</v>
      </c>
      <c r="B1387" t="str">
        <f t="shared" si="682"/>
        <v>A</v>
      </c>
      <c r="C1387" t="str">
        <f t="shared" si="683"/>
        <v>80</v>
      </c>
      <c r="D1387" t="str">
        <f t="shared" si="675"/>
        <v>11121004</v>
      </c>
      <c r="E1387" t="str">
        <f t="shared" si="676"/>
        <v>121004</v>
      </c>
      <c r="F1387" t="str">
        <f t="shared" si="677"/>
        <v>FABIANA GODOY</v>
      </c>
      <c r="G1387" t="str">
        <f>"85395408000162"</f>
        <v>85395408000162</v>
      </c>
      <c r="H1387" t="str">
        <f t="shared" si="699"/>
        <v>0</v>
      </c>
      <c r="I1387" t="str">
        <f t="shared" si="684"/>
        <v>CONTA OPTICA</v>
      </c>
      <c r="J1387" t="str">
        <f>"IGLUS RELOJOARIA E OPTICA LTDA ME"</f>
        <v>IGLUS RELOJOARIA E OPTICA LTDA ME</v>
      </c>
      <c r="K1387" t="str">
        <f>"IGLUS RELOJOARIA E OPTICA ME (577)"</f>
        <v>IGLUS RELOJOARIA E OPTICA ME (577)</v>
      </c>
      <c r="L1387" t="str">
        <f>""</f>
        <v/>
      </c>
      <c r="M1387" t="str">
        <f>""</f>
        <v/>
      </c>
      <c r="N1387" t="str">
        <f>"iglusoptica@hotmail.com"</f>
        <v>iglusoptica@hotmail.com</v>
      </c>
      <c r="O1387" t="str">
        <f>""</f>
        <v/>
      </c>
      <c r="P1387" t="str">
        <f>"RUA LUIS BERTOLI"</f>
        <v>RUA LUIS BERTOLI</v>
      </c>
      <c r="Q1387" t="str">
        <f>"565"</f>
        <v>565</v>
      </c>
      <c r="R1387" t="str">
        <f>"SALA 1"</f>
        <v>SALA 1</v>
      </c>
      <c r="S1387" t="str">
        <f>"1276"</f>
        <v>1276</v>
      </c>
      <c r="T1387" t="str">
        <f>"89196000"</f>
        <v>89196000</v>
      </c>
      <c r="U1387" t="str">
        <f>"CENTRO"</f>
        <v>CENTRO</v>
      </c>
      <c r="V1387" t="str">
        <f>"SALETE"</f>
        <v>SALETE</v>
      </c>
      <c r="W1387" t="str">
        <f t="shared" si="672"/>
        <v>SC</v>
      </c>
      <c r="X1387" t="str">
        <f t="shared" si="702"/>
        <v>47</v>
      </c>
      <c r="Y1387" t="str">
        <f>"35630293"</f>
        <v>35630293</v>
      </c>
      <c r="Z1387" t="str">
        <f>""</f>
        <v/>
      </c>
      <c r="AA1387" t="str">
        <f>""</f>
        <v/>
      </c>
      <c r="AB1387" t="str">
        <f>""</f>
        <v/>
      </c>
      <c r="AC1387" t="str">
        <f>""</f>
        <v/>
      </c>
      <c r="AD1387" t="str">
        <f>""</f>
        <v/>
      </c>
      <c r="AE1387" t="str">
        <f>""</f>
        <v/>
      </c>
      <c r="AF1387" t="str">
        <f>""</f>
        <v/>
      </c>
      <c r="AG1387" t="str">
        <f>""</f>
        <v/>
      </c>
      <c r="AH1387" t="str">
        <f>""</f>
        <v/>
      </c>
      <c r="AI1387" t="str">
        <f>""</f>
        <v/>
      </c>
      <c r="AJ1387" t="str">
        <f>""</f>
        <v/>
      </c>
      <c r="AK1387" t="str">
        <f>""</f>
        <v/>
      </c>
      <c r="AL1387" t="str">
        <f>""</f>
        <v/>
      </c>
      <c r="AM1387" t="str">
        <f>""</f>
        <v/>
      </c>
      <c r="AN1387" t="str">
        <f>""</f>
        <v/>
      </c>
      <c r="AO1387" t="str">
        <f>""</f>
        <v/>
      </c>
      <c r="AP1387" t="str">
        <f>""</f>
        <v/>
      </c>
      <c r="AQ1387" t="str">
        <f>""</f>
        <v/>
      </c>
      <c r="AR1387" t="str">
        <f>""</f>
        <v/>
      </c>
      <c r="AS1387" t="str">
        <f>""</f>
        <v/>
      </c>
      <c r="AT1387" t="str">
        <f>""</f>
        <v/>
      </c>
      <c r="AU1387" t="str">
        <f>""</f>
        <v/>
      </c>
      <c r="AV1387" t="str">
        <f>""</f>
        <v/>
      </c>
      <c r="AW1387" t="str">
        <f>""</f>
        <v/>
      </c>
      <c r="AX1387" t="str">
        <f>""</f>
        <v/>
      </c>
      <c r="AY1387" t="str">
        <f>""</f>
        <v/>
      </c>
      <c r="AZ1387" t="str">
        <f>""</f>
        <v/>
      </c>
      <c r="BA1387" t="str">
        <f>""</f>
        <v/>
      </c>
      <c r="BB1387" t="str">
        <f>"06/07/2023 12:07:48"</f>
        <v>06/07/2023 12:07:48</v>
      </c>
      <c r="BC1387" t="str">
        <f>""</f>
        <v/>
      </c>
      <c r="BD1387" t="str">
        <f>""</f>
        <v/>
      </c>
      <c r="BE1387" t="str">
        <f>""</f>
        <v/>
      </c>
      <c r="BF1387" t="str">
        <f t="shared" si="685"/>
        <v>A</v>
      </c>
      <c r="BG1387" t="str">
        <f>""</f>
        <v/>
      </c>
      <c r="BH1387" t="str">
        <f>""</f>
        <v/>
      </c>
      <c r="BI1387" t="str">
        <f t="shared" ref="BI1387:BI1408" si="704">"EVENTUAL"</f>
        <v>EVENTUAL</v>
      </c>
      <c r="BJ1387" t="str">
        <f t="shared" si="686"/>
        <v>1</v>
      </c>
      <c r="BK1387" t="str">
        <f t="shared" si="687"/>
        <v>Farmacia</v>
      </c>
      <c r="BL1387" t="str">
        <f>""</f>
        <v/>
      </c>
      <c r="BM1387" t="str">
        <f>""</f>
        <v/>
      </c>
      <c r="BN1387" t="str">
        <f>""</f>
        <v/>
      </c>
      <c r="BO1387" t="str">
        <f>""</f>
        <v/>
      </c>
      <c r="BP1387" t="str">
        <f>""</f>
        <v/>
      </c>
      <c r="BQ1387" t="str">
        <f>""</f>
        <v/>
      </c>
      <c r="BR1387" t="str">
        <f>"06/07/2023"</f>
        <v>06/07/2023</v>
      </c>
      <c r="BS1387" t="str">
        <f>""</f>
        <v/>
      </c>
      <c r="BT1387" t="str">
        <f>""</f>
        <v/>
      </c>
      <c r="BU1387" t="str">
        <f>""</f>
        <v/>
      </c>
      <c r="BV1387" t="str">
        <f>""</f>
        <v/>
      </c>
      <c r="BW1387" t="str">
        <f>"Não visitado"</f>
        <v>Não visitado</v>
      </c>
    </row>
    <row r="1388" spans="1:75" x14ac:dyDescent="0.35">
      <c r="A1388">
        <v>137632</v>
      </c>
      <c r="B1388" t="str">
        <f t="shared" si="682"/>
        <v>A</v>
      </c>
      <c r="C1388" t="str">
        <f t="shared" si="683"/>
        <v>80</v>
      </c>
      <c r="D1388" t="str">
        <f t="shared" si="675"/>
        <v>11121004</v>
      </c>
      <c r="E1388" t="str">
        <f t="shared" si="676"/>
        <v>121004</v>
      </c>
      <c r="F1388" t="str">
        <f t="shared" si="677"/>
        <v>FABIANA GODOY</v>
      </c>
      <c r="G1388" t="str">
        <f>"12187723000120"</f>
        <v>12187723000120</v>
      </c>
      <c r="H1388" t="str">
        <f t="shared" si="699"/>
        <v>0</v>
      </c>
      <c r="I1388" t="str">
        <f t="shared" si="684"/>
        <v>CONTA OPTICA</v>
      </c>
      <c r="J1388" t="str">
        <f>"INNOVARE OTICA LTDA ME"</f>
        <v>INNOVARE OTICA LTDA ME</v>
      </c>
      <c r="K1388" t="str">
        <f>"OTICA ETHOS (1745)"</f>
        <v>OTICA ETHOS (1745)</v>
      </c>
      <c r="L1388" t="str">
        <f>""</f>
        <v/>
      </c>
      <c r="M1388" t="str">
        <f>""</f>
        <v/>
      </c>
      <c r="N1388" t="str">
        <f>"contato@oticaethos.com.br"</f>
        <v>contato@oticaethos.com.br</v>
      </c>
      <c r="O1388" t="str">
        <f>""</f>
        <v/>
      </c>
      <c r="P1388" t="str">
        <f>"RUA ANTONIO AGNELO DE SANTANA"</f>
        <v>RUA ANTONIO AGNELO DE SANTANA</v>
      </c>
      <c r="Q1388" t="str">
        <f>"188"</f>
        <v>188</v>
      </c>
      <c r="R1388" t="str">
        <f>"SALA 01"</f>
        <v>SALA 01</v>
      </c>
      <c r="S1388" t="str">
        <f>"1263"</f>
        <v>1263</v>
      </c>
      <c r="T1388" t="str">
        <f>"88380000"</f>
        <v>88380000</v>
      </c>
      <c r="U1388" t="str">
        <f>"CENTRO"</f>
        <v>CENTRO</v>
      </c>
      <c r="V1388" t="str">
        <f>"BALNEÁRIO PIÇARRAS"</f>
        <v>BALNEÁRIO PIÇARRAS</v>
      </c>
      <c r="W1388" t="str">
        <f t="shared" si="672"/>
        <v>SC</v>
      </c>
      <c r="X1388" t="str">
        <f t="shared" si="702"/>
        <v>47</v>
      </c>
      <c r="Y1388" t="str">
        <f>"33618148"</f>
        <v>33618148</v>
      </c>
      <c r="Z1388" t="str">
        <f>""</f>
        <v/>
      </c>
      <c r="AA1388" t="str">
        <f>""</f>
        <v/>
      </c>
      <c r="AB1388" t="str">
        <f>""</f>
        <v/>
      </c>
      <c r="AC1388" t="str">
        <f>""</f>
        <v/>
      </c>
      <c r="AD1388" t="str">
        <f>""</f>
        <v/>
      </c>
      <c r="AE1388" t="str">
        <f>""</f>
        <v/>
      </c>
      <c r="AF1388" t="str">
        <f>""</f>
        <v/>
      </c>
      <c r="AG1388" t="str">
        <f>"S"</f>
        <v>S</v>
      </c>
      <c r="AH1388" t="str">
        <f>""</f>
        <v/>
      </c>
      <c r="AI1388" t="str">
        <f>""</f>
        <v/>
      </c>
      <c r="AJ1388" t="str">
        <f>""</f>
        <v/>
      </c>
      <c r="AK1388" t="str">
        <f>""</f>
        <v/>
      </c>
      <c r="AL1388" t="str">
        <f>""</f>
        <v/>
      </c>
      <c r="AM1388" t="str">
        <f>""</f>
        <v/>
      </c>
      <c r="AN1388" t="str">
        <f>""</f>
        <v/>
      </c>
      <c r="AO1388" t="str">
        <f>""</f>
        <v/>
      </c>
      <c r="AP1388" t="str">
        <f>""</f>
        <v/>
      </c>
      <c r="AQ1388" t="str">
        <f>"N"</f>
        <v>N</v>
      </c>
      <c r="AR1388" t="str">
        <f>"N"</f>
        <v>N</v>
      </c>
      <c r="AS1388" t="str">
        <f>"N"</f>
        <v>N</v>
      </c>
      <c r="AT1388" t="str">
        <f>"N"</f>
        <v>N</v>
      </c>
      <c r="AU1388" t="str">
        <f>"N"</f>
        <v>N</v>
      </c>
      <c r="AV1388" t="str">
        <f>""</f>
        <v/>
      </c>
      <c r="AW1388" t="str">
        <f>""</f>
        <v/>
      </c>
      <c r="AX1388" t="str">
        <f>""</f>
        <v/>
      </c>
      <c r="AY1388" t="str">
        <f>""</f>
        <v/>
      </c>
      <c r="AZ1388" t="str">
        <f>""</f>
        <v/>
      </c>
      <c r="BA1388" t="str">
        <f>""</f>
        <v/>
      </c>
      <c r="BB1388" t="str">
        <f>"01/07/2021 13:53:04"</f>
        <v>01/07/2021 13:53:04</v>
      </c>
      <c r="BC1388" t="str">
        <f>"24/06/2022 11:41:11"</f>
        <v>24/06/2022 11:41:11</v>
      </c>
      <c r="BD1388" t="str">
        <f>""</f>
        <v/>
      </c>
      <c r="BE1388" t="str">
        <f>""</f>
        <v/>
      </c>
      <c r="BF1388" t="str">
        <f t="shared" si="685"/>
        <v>A</v>
      </c>
      <c r="BG1388" t="str">
        <f>""</f>
        <v/>
      </c>
      <c r="BH1388" t="str">
        <f>"0,00"</f>
        <v>0,00</v>
      </c>
      <c r="BI1388" t="str">
        <f t="shared" si="704"/>
        <v>EVENTUAL</v>
      </c>
      <c r="BJ1388" t="str">
        <f t="shared" si="686"/>
        <v>1</v>
      </c>
      <c r="BK1388" t="str">
        <f t="shared" si="687"/>
        <v>Farmacia</v>
      </c>
      <c r="BL1388" t="str">
        <f>""</f>
        <v/>
      </c>
      <c r="BM1388" t="str">
        <f>"NÃO É VARILUX ESPECIALISTA"</f>
        <v>NÃO É VARILUX ESPECIALISTA</v>
      </c>
      <c r="BN1388" t="str">
        <f>"EL360"</f>
        <v>EL360</v>
      </c>
      <c r="BO1388" t="str">
        <f>"FOCO VARILUX DIGITAL"</f>
        <v>FOCO VARILUX DIGITAL</v>
      </c>
      <c r="BP1388" t="str">
        <f>""</f>
        <v/>
      </c>
      <c r="BQ1388" t="str">
        <f>""</f>
        <v/>
      </c>
      <c r="BR1388" t="str">
        <f>"01/07/2021"</f>
        <v>01/07/2021</v>
      </c>
      <c r="BS1388" t="str">
        <f>"24/06/2022"</f>
        <v>24/06/2022</v>
      </c>
      <c r="BT1388" t="str">
        <f>""</f>
        <v/>
      </c>
      <c r="BU1388" t="str">
        <f>""</f>
        <v/>
      </c>
      <c r="BV1388" t="str">
        <f>""</f>
        <v/>
      </c>
      <c r="BW1388" t="str">
        <f>"627"</f>
        <v>627</v>
      </c>
    </row>
    <row r="1389" spans="1:75" x14ac:dyDescent="0.35">
      <c r="A1389">
        <v>157091</v>
      </c>
      <c r="B1389" t="str">
        <f t="shared" si="682"/>
        <v>A</v>
      </c>
      <c r="C1389" t="str">
        <f t="shared" si="683"/>
        <v>80</v>
      </c>
      <c r="D1389" t="str">
        <f t="shared" si="675"/>
        <v>11121004</v>
      </c>
      <c r="E1389" t="str">
        <f t="shared" si="676"/>
        <v>121004</v>
      </c>
      <c r="F1389" t="str">
        <f t="shared" si="677"/>
        <v>FABIANA GODOY</v>
      </c>
      <c r="G1389" t="str">
        <f>"49697420000168"</f>
        <v>49697420000168</v>
      </c>
      <c r="H1389" t="str">
        <f t="shared" si="699"/>
        <v>0</v>
      </c>
      <c r="I1389" t="str">
        <f t="shared" si="684"/>
        <v>CONTA OPTICA</v>
      </c>
      <c r="J1389" t="str">
        <f>"INOVARE 6000 DISTRIBUIDORA COMERCIO E SERVICOS LTDA"</f>
        <v>INOVARE 6000 DISTRIBUIDORA COMERCIO E SERVICOS LTDA</v>
      </c>
      <c r="K1389" t="str">
        <f>"INOVARE (4665)"</f>
        <v>INOVARE (4665)</v>
      </c>
      <c r="L1389" t="str">
        <f>""</f>
        <v/>
      </c>
      <c r="M1389" t="str">
        <f>""</f>
        <v/>
      </c>
      <c r="N1389" t="str">
        <f>"INOVARE6000@GMAIL.COM"</f>
        <v>INOVARE6000@GMAIL.COM</v>
      </c>
      <c r="O1389" t="str">
        <f>""</f>
        <v/>
      </c>
      <c r="P1389" t="str">
        <f>"RUA TAILANDIA"</f>
        <v>RUA TAILANDIA</v>
      </c>
      <c r="Q1389" t="str">
        <f>"72"</f>
        <v>72</v>
      </c>
      <c r="R1389" t="str">
        <f>"SL 10 BOX 16"</f>
        <v>SL 10 BOX 16</v>
      </c>
      <c r="S1389" t="str">
        <f>""</f>
        <v/>
      </c>
      <c r="T1389" t="str">
        <f>"88338150"</f>
        <v>88338150</v>
      </c>
      <c r="U1389" t="str">
        <f>"NACOES"</f>
        <v>NACOES</v>
      </c>
      <c r="V1389" t="str">
        <f>"BALNEARIO CAMBORIU"</f>
        <v>BALNEARIO CAMBORIU</v>
      </c>
      <c r="W1389" t="str">
        <f t="shared" si="672"/>
        <v>SC</v>
      </c>
      <c r="X1389" t="str">
        <f t="shared" si="702"/>
        <v>47</v>
      </c>
      <c r="Y1389" t="str">
        <f>"999443168"</f>
        <v>999443168</v>
      </c>
      <c r="Z1389" t="str">
        <f>""</f>
        <v/>
      </c>
      <c r="AA1389" t="str">
        <f>""</f>
        <v/>
      </c>
      <c r="AB1389" t="str">
        <f>""</f>
        <v/>
      </c>
      <c r="AC1389" t="str">
        <f>""</f>
        <v/>
      </c>
      <c r="AD1389" t="str">
        <f>""</f>
        <v/>
      </c>
      <c r="AE1389" t="str">
        <f>""</f>
        <v/>
      </c>
      <c r="AF1389" t="str">
        <f>""</f>
        <v/>
      </c>
      <c r="AG1389" t="str">
        <f>""</f>
        <v/>
      </c>
      <c r="AH1389" t="str">
        <f>""</f>
        <v/>
      </c>
      <c r="AI1389" t="str">
        <f>""</f>
        <v/>
      </c>
      <c r="AJ1389" t="str">
        <f>""</f>
        <v/>
      </c>
      <c r="AK1389" t="str">
        <f>""</f>
        <v/>
      </c>
      <c r="AL1389" t="str">
        <f>""</f>
        <v/>
      </c>
      <c r="AM1389" t="str">
        <f>""</f>
        <v/>
      </c>
      <c r="AN1389" t="str">
        <f>""</f>
        <v/>
      </c>
      <c r="AO1389" t="str">
        <f>""</f>
        <v/>
      </c>
      <c r="AP1389" t="str">
        <f>""</f>
        <v/>
      </c>
      <c r="AQ1389" t="str">
        <f>""</f>
        <v/>
      </c>
      <c r="AR1389" t="str">
        <f>""</f>
        <v/>
      </c>
      <c r="AS1389" t="str">
        <f>""</f>
        <v/>
      </c>
      <c r="AT1389" t="str">
        <f>""</f>
        <v/>
      </c>
      <c r="AU1389" t="str">
        <f>""</f>
        <v/>
      </c>
      <c r="AV1389" t="str">
        <f>""</f>
        <v/>
      </c>
      <c r="AW1389" t="str">
        <f>""</f>
        <v/>
      </c>
      <c r="AX1389" t="str">
        <f>""</f>
        <v/>
      </c>
      <c r="AY1389" t="str">
        <f>""</f>
        <v/>
      </c>
      <c r="AZ1389" t="str">
        <f>""</f>
        <v/>
      </c>
      <c r="BA1389" t="str">
        <f>""</f>
        <v/>
      </c>
      <c r="BB1389" t="str">
        <f>"06/07/2023 12:07:48"</f>
        <v>06/07/2023 12:07:48</v>
      </c>
      <c r="BC1389" t="str">
        <f>""</f>
        <v/>
      </c>
      <c r="BD1389" t="str">
        <f>""</f>
        <v/>
      </c>
      <c r="BE1389" t="str">
        <f>""</f>
        <v/>
      </c>
      <c r="BF1389" t="str">
        <f t="shared" si="685"/>
        <v>A</v>
      </c>
      <c r="BG1389" t="str">
        <f>""</f>
        <v/>
      </c>
      <c r="BH1389" t="str">
        <f>""</f>
        <v/>
      </c>
      <c r="BI1389" t="str">
        <f t="shared" si="704"/>
        <v>EVENTUAL</v>
      </c>
      <c r="BJ1389" t="str">
        <f t="shared" si="686"/>
        <v>1</v>
      </c>
      <c r="BK1389" t="str">
        <f t="shared" si="687"/>
        <v>Farmacia</v>
      </c>
      <c r="BL1389" t="str">
        <f>""</f>
        <v/>
      </c>
      <c r="BM1389" t="str">
        <f>""</f>
        <v/>
      </c>
      <c r="BN1389" t="str">
        <f>""</f>
        <v/>
      </c>
      <c r="BO1389" t="str">
        <f>""</f>
        <v/>
      </c>
      <c r="BP1389" t="str">
        <f>""</f>
        <v/>
      </c>
      <c r="BQ1389" t="str">
        <f>""</f>
        <v/>
      </c>
      <c r="BR1389" t="str">
        <f>"06/07/2023"</f>
        <v>06/07/2023</v>
      </c>
      <c r="BS1389" t="str">
        <f>""</f>
        <v/>
      </c>
      <c r="BT1389" t="str">
        <f>""</f>
        <v/>
      </c>
      <c r="BU1389" t="str">
        <f>""</f>
        <v/>
      </c>
      <c r="BV1389" t="str">
        <f>""</f>
        <v/>
      </c>
      <c r="BW1389" t="str">
        <f>"66"</f>
        <v>66</v>
      </c>
    </row>
    <row r="1390" spans="1:75" x14ac:dyDescent="0.35">
      <c r="A1390">
        <v>144252</v>
      </c>
      <c r="B1390" t="str">
        <f t="shared" si="682"/>
        <v>A</v>
      </c>
      <c r="C1390" t="str">
        <f t="shared" si="683"/>
        <v>80</v>
      </c>
      <c r="D1390" t="str">
        <f t="shared" si="675"/>
        <v>11121004</v>
      </c>
      <c r="E1390" t="str">
        <f t="shared" si="676"/>
        <v>121004</v>
      </c>
      <c r="F1390" t="str">
        <f t="shared" si="677"/>
        <v>FABIANA GODOY</v>
      </c>
      <c r="G1390" t="str">
        <f>"39277450000161"</f>
        <v>39277450000161</v>
      </c>
      <c r="H1390" t="str">
        <f t="shared" si="699"/>
        <v>0</v>
      </c>
      <c r="I1390" t="str">
        <f t="shared" si="684"/>
        <v>CONTA OPTICA</v>
      </c>
      <c r="J1390" t="str">
        <f>"ISA RELOJOARIA E OTICA LTDA"</f>
        <v>ISA RELOJOARIA E OTICA LTDA</v>
      </c>
      <c r="K1390" t="str">
        <f>"ISA RELOJOARIA E OTICA (4430)"</f>
        <v>ISA RELOJOARIA E OTICA (4430)</v>
      </c>
      <c r="L1390" t="str">
        <f>""</f>
        <v/>
      </c>
      <c r="M1390" t="str">
        <f>""</f>
        <v/>
      </c>
      <c r="N1390" t="str">
        <f>"ISARELOJOARIAEOTICA@GMAIL.COM"</f>
        <v>ISARELOJOARIAEOTICA@GMAIL.COM</v>
      </c>
      <c r="O1390" t="str">
        <f>""</f>
        <v/>
      </c>
      <c r="P1390" t="str">
        <f>"AVENIDA QUINTA AVENIDA"</f>
        <v>AVENIDA QUINTA AVENIDA</v>
      </c>
      <c r="Q1390" t="str">
        <f>"512"</f>
        <v>512</v>
      </c>
      <c r="R1390" t="str">
        <f>""</f>
        <v/>
      </c>
      <c r="S1390" t="str">
        <f>"1262"</f>
        <v>1262</v>
      </c>
      <c r="T1390" t="str">
        <f>"88337010"</f>
        <v>88337010</v>
      </c>
      <c r="U1390" t="str">
        <f>"VILA REAL"</f>
        <v>VILA REAL</v>
      </c>
      <c r="V1390" t="str">
        <f>"BALNEÁRIO CAMBORIÚ"</f>
        <v>BALNEÁRIO CAMBORIÚ</v>
      </c>
      <c r="W1390" t="str">
        <f t="shared" si="672"/>
        <v>SC</v>
      </c>
      <c r="X1390" t="str">
        <f t="shared" si="702"/>
        <v>47</v>
      </c>
      <c r="Y1390" t="str">
        <f>"999377849"</f>
        <v>999377849</v>
      </c>
      <c r="Z1390" t="str">
        <f>""</f>
        <v/>
      </c>
      <c r="AA1390" t="str">
        <f>""</f>
        <v/>
      </c>
      <c r="AB1390" t="str">
        <f>""</f>
        <v/>
      </c>
      <c r="AC1390" t="str">
        <f>""</f>
        <v/>
      </c>
      <c r="AD1390" t="str">
        <f>""</f>
        <v/>
      </c>
      <c r="AE1390" t="str">
        <f>""</f>
        <v/>
      </c>
      <c r="AF1390" t="str">
        <f>""</f>
        <v/>
      </c>
      <c r="AG1390" t="str">
        <f>"S"</f>
        <v>S</v>
      </c>
      <c r="AH1390" t="str">
        <f>""</f>
        <v/>
      </c>
      <c r="AI1390" t="str">
        <f>""</f>
        <v/>
      </c>
      <c r="AJ1390" t="str">
        <f>""</f>
        <v/>
      </c>
      <c r="AK1390" t="str">
        <f>""</f>
        <v/>
      </c>
      <c r="AL1390" t="str">
        <f>""</f>
        <v/>
      </c>
      <c r="AM1390" t="str">
        <f>""</f>
        <v/>
      </c>
      <c r="AN1390" t="str">
        <f>""</f>
        <v/>
      </c>
      <c r="AO1390" t="str">
        <f>""</f>
        <v/>
      </c>
      <c r="AP1390" t="str">
        <f>""</f>
        <v/>
      </c>
      <c r="AQ1390" t="str">
        <f>"N"</f>
        <v>N</v>
      </c>
      <c r="AR1390" t="str">
        <f>"N"</f>
        <v>N</v>
      </c>
      <c r="AS1390" t="str">
        <f>"N"</f>
        <v>N</v>
      </c>
      <c r="AT1390" t="str">
        <f>"N"</f>
        <v>N</v>
      </c>
      <c r="AU1390" t="str">
        <f>"N"</f>
        <v>N</v>
      </c>
      <c r="AV1390" t="str">
        <f>""</f>
        <v/>
      </c>
      <c r="AW1390" t="str">
        <f>""</f>
        <v/>
      </c>
      <c r="AX1390" t="str">
        <f>""</f>
        <v/>
      </c>
      <c r="AY1390" t="str">
        <f>""</f>
        <v/>
      </c>
      <c r="AZ1390" t="str">
        <f>""</f>
        <v/>
      </c>
      <c r="BA1390" t="str">
        <f>""</f>
        <v/>
      </c>
      <c r="BB1390" t="str">
        <f>"13/12/2021 15:10:29"</f>
        <v>13/12/2021 15:10:29</v>
      </c>
      <c r="BC1390" t="str">
        <f>"11/02/2022 08:40:17"</f>
        <v>11/02/2022 08:40:17</v>
      </c>
      <c r="BD1390" t="str">
        <f>""</f>
        <v/>
      </c>
      <c r="BE1390" t="str">
        <f>""</f>
        <v/>
      </c>
      <c r="BF1390" t="str">
        <f t="shared" si="685"/>
        <v>A</v>
      </c>
      <c r="BG1390" t="str">
        <f>""</f>
        <v/>
      </c>
      <c r="BH1390" t="str">
        <f>"0,00"</f>
        <v>0,00</v>
      </c>
      <c r="BI1390" t="str">
        <f t="shared" si="704"/>
        <v>EVENTUAL</v>
      </c>
      <c r="BJ1390" t="str">
        <f t="shared" si="686"/>
        <v>1</v>
      </c>
      <c r="BK1390" t="str">
        <f t="shared" si="687"/>
        <v>Farmacia</v>
      </c>
      <c r="BL1390" t="str">
        <f>""</f>
        <v/>
      </c>
      <c r="BM1390" t="str">
        <f>""</f>
        <v/>
      </c>
      <c r="BN1390" t="str">
        <f>""</f>
        <v/>
      </c>
      <c r="BO1390" t="str">
        <f>"OUTROS"</f>
        <v>OUTROS</v>
      </c>
      <c r="BP1390" t="str">
        <f>""</f>
        <v/>
      </c>
      <c r="BQ1390" t="str">
        <f>""</f>
        <v/>
      </c>
      <c r="BR1390" t="str">
        <f>"13/12/2021"</f>
        <v>13/12/2021</v>
      </c>
      <c r="BS1390" t="str">
        <f>"11/02/2022"</f>
        <v>11/02/2022</v>
      </c>
      <c r="BT1390" t="str">
        <f>""</f>
        <v/>
      </c>
      <c r="BU1390" t="str">
        <f>""</f>
        <v/>
      </c>
      <c r="BV1390" t="str">
        <f>""</f>
        <v/>
      </c>
      <c r="BW1390" t="str">
        <f>"141"</f>
        <v>141</v>
      </c>
    </row>
    <row r="1391" spans="1:75" x14ac:dyDescent="0.35">
      <c r="A1391">
        <v>157125</v>
      </c>
      <c r="B1391" t="str">
        <f t="shared" si="682"/>
        <v>A</v>
      </c>
      <c r="C1391" t="str">
        <f t="shared" si="683"/>
        <v>80</v>
      </c>
      <c r="D1391" t="str">
        <f t="shared" si="675"/>
        <v>11121004</v>
      </c>
      <c r="E1391" t="str">
        <f t="shared" si="676"/>
        <v>121004</v>
      </c>
      <c r="F1391" t="str">
        <f t="shared" si="677"/>
        <v>FABIANA GODOY</v>
      </c>
      <c r="G1391" t="str">
        <f>"21569032000182"</f>
        <v>21569032000182</v>
      </c>
      <c r="H1391" t="str">
        <f t="shared" si="699"/>
        <v>0</v>
      </c>
      <c r="I1391" t="str">
        <f t="shared" si="684"/>
        <v>CONTA OPTICA</v>
      </c>
      <c r="J1391" t="str">
        <f>"ISOLDE PEREIRA E CIA LTDA ME"</f>
        <v>ISOLDE PEREIRA E CIA LTDA ME</v>
      </c>
      <c r="K1391" t="str">
        <f>"OTICA ISOLDE (2218)"</f>
        <v>OTICA ISOLDE (2218)</v>
      </c>
      <c r="L1391" t="str">
        <f>""</f>
        <v/>
      </c>
      <c r="M1391" t="str">
        <f>""</f>
        <v/>
      </c>
      <c r="N1391" t="str">
        <f>"ISOLDEPEREIRA@HOTMAIL.COM"</f>
        <v>ISOLDEPEREIRA@HOTMAIL.COM</v>
      </c>
      <c r="O1391" t="str">
        <f>""</f>
        <v/>
      </c>
      <c r="P1391" t="str">
        <f>"RUA FELIPE SCHMIDT"</f>
        <v>RUA FELIPE SCHMIDT</v>
      </c>
      <c r="Q1391" t="str">
        <f>"338"</f>
        <v>338</v>
      </c>
      <c r="R1391" t="str">
        <f>"SALA 02"</f>
        <v>SALA 02</v>
      </c>
      <c r="S1391" t="str">
        <f>"1261"</f>
        <v>1261</v>
      </c>
      <c r="T1391" t="str">
        <f>"88301041"</f>
        <v>88301041</v>
      </c>
      <c r="U1391" t="str">
        <f>"CENTRO"</f>
        <v>CENTRO</v>
      </c>
      <c r="V1391" t="str">
        <f>"ITAJAI"</f>
        <v>ITAJAI</v>
      </c>
      <c r="W1391" t="str">
        <f t="shared" si="672"/>
        <v>SC</v>
      </c>
      <c r="X1391" t="str">
        <f t="shared" si="702"/>
        <v>47</v>
      </c>
      <c r="Y1391" t="str">
        <f>"33498383"</f>
        <v>33498383</v>
      </c>
      <c r="Z1391" t="str">
        <f>""</f>
        <v/>
      </c>
      <c r="AA1391" t="str">
        <f>""</f>
        <v/>
      </c>
      <c r="AB1391" t="str">
        <f>""</f>
        <v/>
      </c>
      <c r="AC1391" t="str">
        <f>""</f>
        <v/>
      </c>
      <c r="AD1391" t="str">
        <f>""</f>
        <v/>
      </c>
      <c r="AE1391" t="str">
        <f>""</f>
        <v/>
      </c>
      <c r="AF1391" t="str">
        <f>""</f>
        <v/>
      </c>
      <c r="AG1391" t="str">
        <f>""</f>
        <v/>
      </c>
      <c r="AH1391" t="str">
        <f>""</f>
        <v/>
      </c>
      <c r="AI1391" t="str">
        <f>""</f>
        <v/>
      </c>
      <c r="AJ1391" t="str">
        <f>""</f>
        <v/>
      </c>
      <c r="AK1391" t="str">
        <f>""</f>
        <v/>
      </c>
      <c r="AL1391" t="str">
        <f>""</f>
        <v/>
      </c>
      <c r="AM1391" t="str">
        <f>""</f>
        <v/>
      </c>
      <c r="AN1391" t="str">
        <f>""</f>
        <v/>
      </c>
      <c r="AO1391" t="str">
        <f>""</f>
        <v/>
      </c>
      <c r="AP1391" t="str">
        <f>""</f>
        <v/>
      </c>
      <c r="AQ1391" t="str">
        <f>""</f>
        <v/>
      </c>
      <c r="AR1391" t="str">
        <f>""</f>
        <v/>
      </c>
      <c r="AS1391" t="str">
        <f>""</f>
        <v/>
      </c>
      <c r="AT1391" t="str">
        <f>""</f>
        <v/>
      </c>
      <c r="AU1391" t="str">
        <f>""</f>
        <v/>
      </c>
      <c r="AV1391" t="str">
        <f>""</f>
        <v/>
      </c>
      <c r="AW1391" t="str">
        <f>""</f>
        <v/>
      </c>
      <c r="AX1391" t="str">
        <f>""</f>
        <v/>
      </c>
      <c r="AY1391" t="str">
        <f>""</f>
        <v/>
      </c>
      <c r="AZ1391" t="str">
        <f>""</f>
        <v/>
      </c>
      <c r="BA1391" t="str">
        <f>""</f>
        <v/>
      </c>
      <c r="BB1391" t="str">
        <f>"06/07/2023 12:07:48"</f>
        <v>06/07/2023 12:07:48</v>
      </c>
      <c r="BC1391" t="str">
        <f>""</f>
        <v/>
      </c>
      <c r="BD1391" t="str">
        <f>""</f>
        <v/>
      </c>
      <c r="BE1391" t="str">
        <f>""</f>
        <v/>
      </c>
      <c r="BF1391" t="str">
        <f t="shared" si="685"/>
        <v>A</v>
      </c>
      <c r="BG1391" t="str">
        <f>""</f>
        <v/>
      </c>
      <c r="BH1391" t="str">
        <f>""</f>
        <v/>
      </c>
      <c r="BI1391" t="str">
        <f t="shared" si="704"/>
        <v>EVENTUAL</v>
      </c>
      <c r="BJ1391" t="str">
        <f t="shared" si="686"/>
        <v>1</v>
      </c>
      <c r="BK1391" t="str">
        <f t="shared" si="687"/>
        <v>Farmacia</v>
      </c>
      <c r="BL1391" t="str">
        <f>""</f>
        <v/>
      </c>
      <c r="BM1391" t="str">
        <f>""</f>
        <v/>
      </c>
      <c r="BN1391" t="str">
        <f>""</f>
        <v/>
      </c>
      <c r="BO1391" t="str">
        <f>""</f>
        <v/>
      </c>
      <c r="BP1391" t="str">
        <f>""</f>
        <v/>
      </c>
      <c r="BQ1391" t="str">
        <f>""</f>
        <v/>
      </c>
      <c r="BR1391" t="str">
        <f>"06/07/2023"</f>
        <v>06/07/2023</v>
      </c>
      <c r="BS1391" t="str">
        <f>""</f>
        <v/>
      </c>
      <c r="BT1391" t="str">
        <f>""</f>
        <v/>
      </c>
      <c r="BU1391" t="str">
        <f>""</f>
        <v/>
      </c>
      <c r="BV1391" t="str">
        <f>""</f>
        <v/>
      </c>
      <c r="BW1391" t="str">
        <f>"Não visitado"</f>
        <v>Não visitado</v>
      </c>
    </row>
    <row r="1392" spans="1:75" x14ac:dyDescent="0.35">
      <c r="A1392">
        <v>139964</v>
      </c>
      <c r="B1392" t="str">
        <f t="shared" si="682"/>
        <v>A</v>
      </c>
      <c r="C1392" t="str">
        <f t="shared" si="683"/>
        <v>80</v>
      </c>
      <c r="D1392" t="str">
        <f t="shared" si="675"/>
        <v>11121004</v>
      </c>
      <c r="E1392" t="str">
        <f t="shared" si="676"/>
        <v>121004</v>
      </c>
      <c r="F1392" t="str">
        <f t="shared" si="677"/>
        <v>FABIANA GODOY</v>
      </c>
      <c r="G1392" t="str">
        <f>"42714373000174"</f>
        <v>42714373000174</v>
      </c>
      <c r="H1392" t="str">
        <f t="shared" si="699"/>
        <v>0</v>
      </c>
      <c r="I1392" t="str">
        <f t="shared" si="684"/>
        <v>CONTA OPTICA</v>
      </c>
      <c r="J1392" t="str">
        <f>"ITAPETI COMERCIO DE PRODUTOS OTICOS LTDA"</f>
        <v>ITAPETI COMERCIO DE PRODUTOS OTICOS LTDA</v>
      </c>
      <c r="K1392" t="str">
        <f>"OTICAS CAROL (4375)"</f>
        <v>OTICAS CAROL (4375)</v>
      </c>
      <c r="L1392" t="str">
        <f>""</f>
        <v/>
      </c>
      <c r="M1392" t="str">
        <f>""</f>
        <v/>
      </c>
      <c r="N1392" t="str">
        <f>"ADM.SC@OTICASCAROL.COM.BR"</f>
        <v>ADM.SC@OTICASCAROL.COM.BR</v>
      </c>
      <c r="O1392" t="str">
        <f>""</f>
        <v/>
      </c>
      <c r="P1392" t="str">
        <f>"AVENIDA NEREU RAMOS"</f>
        <v>AVENIDA NEREU RAMOS</v>
      </c>
      <c r="Q1392" t="str">
        <f>"3137"</f>
        <v>3137</v>
      </c>
      <c r="R1392" t="str">
        <f>"SALA 05"</f>
        <v>SALA 05</v>
      </c>
      <c r="S1392" t="str">
        <f>"1260"</f>
        <v>1260</v>
      </c>
      <c r="T1392" t="str">
        <f>"88220000"</f>
        <v>88220000</v>
      </c>
      <c r="U1392" t="str">
        <f>"MEIA PRAIA"</f>
        <v>MEIA PRAIA</v>
      </c>
      <c r="V1392" t="str">
        <f>"ITAPEMA"</f>
        <v>ITAPEMA</v>
      </c>
      <c r="W1392" t="str">
        <f t="shared" ref="W1392:W1455" si="705">"SC"</f>
        <v>SC</v>
      </c>
      <c r="X1392" t="str">
        <f>"48"</f>
        <v>48</v>
      </c>
      <c r="Y1392" t="str">
        <f>"32256592"</f>
        <v>32256592</v>
      </c>
      <c r="Z1392" t="str">
        <f>""</f>
        <v/>
      </c>
      <c r="AA1392" t="str">
        <f>""</f>
        <v/>
      </c>
      <c r="AB1392" t="str">
        <f>""</f>
        <v/>
      </c>
      <c r="AC1392" t="str">
        <f>""</f>
        <v/>
      </c>
      <c r="AD1392" t="str">
        <f>""</f>
        <v/>
      </c>
      <c r="AE1392" t="str">
        <f>""</f>
        <v/>
      </c>
      <c r="AF1392" t="str">
        <f>""</f>
        <v/>
      </c>
      <c r="AG1392" t="str">
        <f>"S"</f>
        <v>S</v>
      </c>
      <c r="AH1392" t="str">
        <f>""</f>
        <v/>
      </c>
      <c r="AI1392" t="str">
        <f>""</f>
        <v/>
      </c>
      <c r="AJ1392" t="str">
        <f>""</f>
        <v/>
      </c>
      <c r="AK1392" t="str">
        <f>""</f>
        <v/>
      </c>
      <c r="AL1392" t="str">
        <f>""</f>
        <v/>
      </c>
      <c r="AM1392" t="str">
        <f>""</f>
        <v/>
      </c>
      <c r="AN1392" t="str">
        <f>""</f>
        <v/>
      </c>
      <c r="AO1392" t="str">
        <f>""</f>
        <v/>
      </c>
      <c r="AP1392" t="str">
        <f>""</f>
        <v/>
      </c>
      <c r="AQ1392" t="str">
        <f>"N"</f>
        <v>N</v>
      </c>
      <c r="AR1392" t="str">
        <f>"N"</f>
        <v>N</v>
      </c>
      <c r="AS1392" t="str">
        <f>"N"</f>
        <v>N</v>
      </c>
      <c r="AT1392" t="str">
        <f>"N"</f>
        <v>N</v>
      </c>
      <c r="AU1392" t="str">
        <f>"N"</f>
        <v>N</v>
      </c>
      <c r="AV1392" t="str">
        <f>""</f>
        <v/>
      </c>
      <c r="AW1392" t="str">
        <f>""</f>
        <v/>
      </c>
      <c r="AX1392" t="str">
        <f>""</f>
        <v/>
      </c>
      <c r="AY1392" t="str">
        <f>""</f>
        <v/>
      </c>
      <c r="AZ1392" t="str">
        <f>""</f>
        <v/>
      </c>
      <c r="BA1392" t="str">
        <f>""</f>
        <v/>
      </c>
      <c r="BB1392" t="str">
        <f>"18/08/2021 08:46:18"</f>
        <v>18/08/2021 08:46:18</v>
      </c>
      <c r="BC1392" t="str">
        <f>"31/03/2022 17:17:09"</f>
        <v>31/03/2022 17:17:09</v>
      </c>
      <c r="BD1392" t="str">
        <f>""</f>
        <v/>
      </c>
      <c r="BE1392" t="str">
        <f>""</f>
        <v/>
      </c>
      <c r="BF1392" t="str">
        <f t="shared" si="685"/>
        <v>A</v>
      </c>
      <c r="BG1392" t="str">
        <f>""</f>
        <v/>
      </c>
      <c r="BH1392" t="str">
        <f>"0,00"</f>
        <v>0,00</v>
      </c>
      <c r="BI1392" t="str">
        <f t="shared" si="704"/>
        <v>EVENTUAL</v>
      </c>
      <c r="BJ1392" t="str">
        <f t="shared" si="686"/>
        <v>1</v>
      </c>
      <c r="BK1392" t="str">
        <f t="shared" si="687"/>
        <v>Farmacia</v>
      </c>
      <c r="BL1392" t="str">
        <f>""</f>
        <v/>
      </c>
      <c r="BM1392" t="str">
        <f>"NÃO É VARILUX ESPECIALISTA"</f>
        <v>NÃO É VARILUX ESPECIALISTA</v>
      </c>
      <c r="BN1392" t="str">
        <f>"NA"</f>
        <v>NA</v>
      </c>
      <c r="BO1392" t="str">
        <f>"FOCO VARILUX DIGITAL"</f>
        <v>FOCO VARILUX DIGITAL</v>
      </c>
      <c r="BP1392" t="str">
        <f>""</f>
        <v/>
      </c>
      <c r="BQ1392" t="str">
        <f>""</f>
        <v/>
      </c>
      <c r="BR1392" t="str">
        <f>"18/08/2021"</f>
        <v>18/08/2021</v>
      </c>
      <c r="BS1392" t="str">
        <f>"31/03/2022"</f>
        <v>31/03/2022</v>
      </c>
      <c r="BT1392" t="str">
        <f>""</f>
        <v/>
      </c>
      <c r="BU1392" t="str">
        <f>""</f>
        <v/>
      </c>
      <c r="BV1392" t="str">
        <f>""</f>
        <v/>
      </c>
      <c r="BW1392" t="str">
        <f>"175"</f>
        <v>175</v>
      </c>
    </row>
    <row r="1393" spans="1:75" x14ac:dyDescent="0.35">
      <c r="A1393">
        <v>139592</v>
      </c>
      <c r="B1393" t="str">
        <f t="shared" si="682"/>
        <v>A</v>
      </c>
      <c r="C1393" t="str">
        <f t="shared" si="683"/>
        <v>80</v>
      </c>
      <c r="D1393" t="str">
        <f t="shared" si="675"/>
        <v>11121004</v>
      </c>
      <c r="E1393" t="str">
        <f t="shared" si="676"/>
        <v>121004</v>
      </c>
      <c r="F1393" t="str">
        <f t="shared" si="677"/>
        <v>FABIANA GODOY</v>
      </c>
      <c r="G1393" t="str">
        <f>"42714373000255"</f>
        <v>42714373000255</v>
      </c>
      <c r="H1393" t="str">
        <f t="shared" si="699"/>
        <v>0</v>
      </c>
      <c r="I1393" t="str">
        <f t="shared" si="684"/>
        <v>CONTA OPTICA</v>
      </c>
      <c r="J1393" t="str">
        <f>"ITAPETI COMERCIO DE PRODUTOS OTICOS LTDA"</f>
        <v>ITAPETI COMERCIO DE PRODUTOS OTICOS LTDA</v>
      </c>
      <c r="K1393" t="str">
        <f>"OTICAS CAROL (4373)"</f>
        <v>OTICAS CAROL (4373)</v>
      </c>
      <c r="L1393" t="str">
        <f>""</f>
        <v/>
      </c>
      <c r="M1393" t="str">
        <f>""</f>
        <v/>
      </c>
      <c r="N1393" t="str">
        <f>""</f>
        <v/>
      </c>
      <c r="O1393" t="str">
        <f>""</f>
        <v/>
      </c>
      <c r="P1393" t="str">
        <f>"RUA FLORIANÓPOLIS"</f>
        <v>RUA FLORIANÓPOLIS</v>
      </c>
      <c r="Q1393" t="str">
        <f>"180"</f>
        <v>180</v>
      </c>
      <c r="R1393" t="str">
        <f>"SALA 02"</f>
        <v>SALA 02</v>
      </c>
      <c r="S1393" t="str">
        <f>"1260"</f>
        <v>1260</v>
      </c>
      <c r="T1393" t="str">
        <f>"88200000"</f>
        <v>88200000</v>
      </c>
      <c r="U1393" t="str">
        <f>"CENTRO"</f>
        <v>CENTRO</v>
      </c>
      <c r="V1393" t="str">
        <f>"TIJUCAS"</f>
        <v>TIJUCAS</v>
      </c>
      <c r="W1393" t="str">
        <f t="shared" si="705"/>
        <v>SC</v>
      </c>
      <c r="X1393" t="str">
        <f>"48"</f>
        <v>48</v>
      </c>
      <c r="Y1393" t="str">
        <f>"988289617"</f>
        <v>988289617</v>
      </c>
      <c r="Z1393" t="str">
        <f>""</f>
        <v/>
      </c>
      <c r="AA1393" t="str">
        <f>""</f>
        <v/>
      </c>
      <c r="AB1393" t="str">
        <f>""</f>
        <v/>
      </c>
      <c r="AC1393" t="str">
        <f>""</f>
        <v/>
      </c>
      <c r="AD1393" t="str">
        <f>""</f>
        <v/>
      </c>
      <c r="AE1393" t="str">
        <f>""</f>
        <v/>
      </c>
      <c r="AF1393" t="str">
        <f>""</f>
        <v/>
      </c>
      <c r="AG1393" t="str">
        <f>""</f>
        <v/>
      </c>
      <c r="AH1393" t="str">
        <f>""</f>
        <v/>
      </c>
      <c r="AI1393" t="str">
        <f>""</f>
        <v/>
      </c>
      <c r="AJ1393" t="str">
        <f>""</f>
        <v/>
      </c>
      <c r="AK1393" t="str">
        <f>""</f>
        <v/>
      </c>
      <c r="AL1393" t="str">
        <f>""</f>
        <v/>
      </c>
      <c r="AM1393" t="str">
        <f>""</f>
        <v/>
      </c>
      <c r="AN1393" t="str">
        <f>""</f>
        <v/>
      </c>
      <c r="AO1393" t="str">
        <f>""</f>
        <v/>
      </c>
      <c r="AP1393" t="str">
        <f>""</f>
        <v/>
      </c>
      <c r="AQ1393" t="str">
        <f>""</f>
        <v/>
      </c>
      <c r="AR1393" t="str">
        <f>""</f>
        <v/>
      </c>
      <c r="AS1393" t="str">
        <f>""</f>
        <v/>
      </c>
      <c r="AT1393" t="str">
        <f>""</f>
        <v/>
      </c>
      <c r="AU1393" t="str">
        <f>""</f>
        <v/>
      </c>
      <c r="AV1393" t="str">
        <f>""</f>
        <v/>
      </c>
      <c r="AW1393" t="str">
        <f>""</f>
        <v/>
      </c>
      <c r="AX1393" t="str">
        <f>""</f>
        <v/>
      </c>
      <c r="AY1393" t="str">
        <f>""</f>
        <v/>
      </c>
      <c r="AZ1393" t="str">
        <f>""</f>
        <v/>
      </c>
      <c r="BA1393" t="str">
        <f>""</f>
        <v/>
      </c>
      <c r="BB1393" t="str">
        <f>"09/08/2021 12:02:51"</f>
        <v>09/08/2021 12:02:51</v>
      </c>
      <c r="BC1393" t="str">
        <f>""</f>
        <v/>
      </c>
      <c r="BD1393" t="str">
        <f>""</f>
        <v/>
      </c>
      <c r="BE1393" t="str">
        <f>""</f>
        <v/>
      </c>
      <c r="BF1393" t="str">
        <f t="shared" si="685"/>
        <v>A</v>
      </c>
      <c r="BG1393" t="str">
        <f>""</f>
        <v/>
      </c>
      <c r="BH1393" t="str">
        <f>""</f>
        <v/>
      </c>
      <c r="BI1393" t="str">
        <f t="shared" si="704"/>
        <v>EVENTUAL</v>
      </c>
      <c r="BJ1393" t="str">
        <f t="shared" si="686"/>
        <v>1</v>
      </c>
      <c r="BK1393" t="str">
        <f t="shared" si="687"/>
        <v>Farmacia</v>
      </c>
      <c r="BL1393" t="str">
        <f>""</f>
        <v/>
      </c>
      <c r="BM1393" t="str">
        <f>"NÃO É VARILUX ESPECIALISTA"</f>
        <v>NÃO É VARILUX ESPECIALISTA</v>
      </c>
      <c r="BN1393" t="str">
        <f>"NA"</f>
        <v>NA</v>
      </c>
      <c r="BO1393" t="str">
        <f>"FOCO VARILUX"</f>
        <v>FOCO VARILUX</v>
      </c>
      <c r="BP1393" t="str">
        <f>""</f>
        <v/>
      </c>
      <c r="BQ1393" t="str">
        <f>""</f>
        <v/>
      </c>
      <c r="BR1393" t="str">
        <f>"09/08/2021"</f>
        <v>09/08/2021</v>
      </c>
      <c r="BS1393" t="str">
        <f>""</f>
        <v/>
      </c>
      <c r="BT1393" t="str">
        <f>""</f>
        <v/>
      </c>
      <c r="BU1393" t="str">
        <f>""</f>
        <v/>
      </c>
      <c r="BV1393" t="str">
        <f>""</f>
        <v/>
      </c>
      <c r="BW1393" t="str">
        <f>"317"</f>
        <v>317</v>
      </c>
    </row>
    <row r="1394" spans="1:75" x14ac:dyDescent="0.35">
      <c r="A1394">
        <v>157107</v>
      </c>
      <c r="B1394" t="str">
        <f t="shared" si="682"/>
        <v>A</v>
      </c>
      <c r="C1394" t="str">
        <f t="shared" si="683"/>
        <v>80</v>
      </c>
      <c r="D1394" t="str">
        <f t="shared" si="675"/>
        <v>11121004</v>
      </c>
      <c r="E1394" t="str">
        <f t="shared" si="676"/>
        <v>121004</v>
      </c>
      <c r="F1394" t="str">
        <f t="shared" si="677"/>
        <v>FABIANA GODOY</v>
      </c>
      <c r="G1394" t="str">
        <f>"34919168000117"</f>
        <v>34919168000117</v>
      </c>
      <c r="H1394" t="str">
        <f t="shared" si="699"/>
        <v>0</v>
      </c>
      <c r="I1394" t="str">
        <f t="shared" si="684"/>
        <v>CONTA OPTICA</v>
      </c>
      <c r="J1394" t="str">
        <f>"IVAN DE PAULA SOUZA JUNIOR"</f>
        <v>IVAN DE PAULA SOUZA JUNIOR</v>
      </c>
      <c r="K1394" t="str">
        <f>"OTICAS DI VALENTI (4461)"</f>
        <v>OTICAS DI VALENTI (4461)</v>
      </c>
      <c r="L1394" t="str">
        <f>""</f>
        <v/>
      </c>
      <c r="M1394" t="str">
        <f>""</f>
        <v/>
      </c>
      <c r="N1394" t="str">
        <f>"OTICASDIVALENTIBC@GMAIL.COM"</f>
        <v>OTICASDIVALENTIBC@GMAIL.COM</v>
      </c>
      <c r="O1394" t="str">
        <f>""</f>
        <v/>
      </c>
      <c r="P1394" t="str">
        <f>"4A AVENIDA"</f>
        <v>4A AVENIDA</v>
      </c>
      <c r="Q1394" t="str">
        <f>"1150"</f>
        <v>1150</v>
      </c>
      <c r="R1394" t="str">
        <f>"SALA 01"</f>
        <v>SALA 01</v>
      </c>
      <c r="S1394" t="str">
        <f>""</f>
        <v/>
      </c>
      <c r="T1394" t="str">
        <f>"88330112"</f>
        <v>88330112</v>
      </c>
      <c r="U1394" t="str">
        <f>"CENTRO"</f>
        <v>CENTRO</v>
      </c>
      <c r="V1394" t="str">
        <f>"BALNEÁRIO CAMBORIÚ"</f>
        <v>BALNEÁRIO CAMBORIÚ</v>
      </c>
      <c r="W1394" t="str">
        <f t="shared" si="705"/>
        <v>SC</v>
      </c>
      <c r="X1394" t="str">
        <f>"47"</f>
        <v>47</v>
      </c>
      <c r="Y1394" t="str">
        <f>"32691867"</f>
        <v>32691867</v>
      </c>
      <c r="Z1394" t="str">
        <f>""</f>
        <v/>
      </c>
      <c r="AA1394" t="str">
        <f>""</f>
        <v/>
      </c>
      <c r="AB1394" t="str">
        <f>""</f>
        <v/>
      </c>
      <c r="AC1394" t="str">
        <f>""</f>
        <v/>
      </c>
      <c r="AD1394" t="str">
        <f>""</f>
        <v/>
      </c>
      <c r="AE1394" t="str">
        <f>""</f>
        <v/>
      </c>
      <c r="AF1394" t="str">
        <f>""</f>
        <v/>
      </c>
      <c r="AG1394" t="str">
        <f>"S"</f>
        <v>S</v>
      </c>
      <c r="AH1394" t="str">
        <f>""</f>
        <v/>
      </c>
      <c r="AI1394" t="str">
        <f>""</f>
        <v/>
      </c>
      <c r="AJ1394" t="str">
        <f>""</f>
        <v/>
      </c>
      <c r="AK1394" t="str">
        <f>""</f>
        <v/>
      </c>
      <c r="AL1394" t="str">
        <f>""</f>
        <v/>
      </c>
      <c r="AM1394" t="str">
        <f>""</f>
        <v/>
      </c>
      <c r="AN1394" t="str">
        <f>""</f>
        <v/>
      </c>
      <c r="AO1394" t="str">
        <f>""</f>
        <v/>
      </c>
      <c r="AP1394" t="str">
        <f>""</f>
        <v/>
      </c>
      <c r="AQ1394" t="str">
        <f>"N"</f>
        <v>N</v>
      </c>
      <c r="AR1394" t="str">
        <f>"N"</f>
        <v>N</v>
      </c>
      <c r="AS1394" t="str">
        <f>"N"</f>
        <v>N</v>
      </c>
      <c r="AT1394" t="str">
        <f>"N"</f>
        <v>N</v>
      </c>
      <c r="AU1394" t="str">
        <f>"N"</f>
        <v>N</v>
      </c>
      <c r="AV1394" t="str">
        <f>""</f>
        <v/>
      </c>
      <c r="AW1394" t="str">
        <f>""</f>
        <v/>
      </c>
      <c r="AX1394" t="str">
        <f>""</f>
        <v/>
      </c>
      <c r="AY1394" t="str">
        <f>""</f>
        <v/>
      </c>
      <c r="AZ1394" t="str">
        <f>""</f>
        <v/>
      </c>
      <c r="BA1394" t="str">
        <f>""</f>
        <v/>
      </c>
      <c r="BB1394" t="str">
        <f>"06/07/2023 12:07:48"</f>
        <v>06/07/2023 12:07:48</v>
      </c>
      <c r="BC1394" t="str">
        <f>"07/07/2023 16:51:04"</f>
        <v>07/07/2023 16:51:04</v>
      </c>
      <c r="BD1394" t="str">
        <f>""</f>
        <v/>
      </c>
      <c r="BE1394" t="str">
        <f>""</f>
        <v/>
      </c>
      <c r="BF1394" t="str">
        <f t="shared" si="685"/>
        <v>A</v>
      </c>
      <c r="BG1394" t="str">
        <f>""</f>
        <v/>
      </c>
      <c r="BH1394" t="str">
        <f>"0,00"</f>
        <v>0,00</v>
      </c>
      <c r="BI1394" t="str">
        <f t="shared" si="704"/>
        <v>EVENTUAL</v>
      </c>
      <c r="BJ1394" t="str">
        <f t="shared" si="686"/>
        <v>1</v>
      </c>
      <c r="BK1394" t="str">
        <f t="shared" si="687"/>
        <v>Farmacia</v>
      </c>
      <c r="BL1394" t="str">
        <f>""</f>
        <v/>
      </c>
      <c r="BM1394" t="str">
        <f>""</f>
        <v/>
      </c>
      <c r="BN1394" t="str">
        <f>""</f>
        <v/>
      </c>
      <c r="BO1394" t="str">
        <f>""</f>
        <v/>
      </c>
      <c r="BP1394" t="str">
        <f>""</f>
        <v/>
      </c>
      <c r="BQ1394" t="str">
        <f>""</f>
        <v/>
      </c>
      <c r="BR1394" t="str">
        <f>"06/07/2023"</f>
        <v>06/07/2023</v>
      </c>
      <c r="BS1394" t="str">
        <f>"07/07/2023"</f>
        <v>07/07/2023</v>
      </c>
      <c r="BT1394" t="str">
        <f>""</f>
        <v/>
      </c>
      <c r="BU1394" t="str">
        <f>""</f>
        <v/>
      </c>
      <c r="BV1394" t="str">
        <f>""</f>
        <v/>
      </c>
      <c r="BW1394" t="str">
        <f>"79"</f>
        <v>79</v>
      </c>
    </row>
    <row r="1395" spans="1:75" x14ac:dyDescent="0.35">
      <c r="A1395">
        <v>157783</v>
      </c>
      <c r="B1395" t="str">
        <f t="shared" si="682"/>
        <v>A</v>
      </c>
      <c r="C1395" t="str">
        <f t="shared" si="683"/>
        <v>80</v>
      </c>
      <c r="D1395" t="str">
        <f t="shared" ref="D1395:D1458" si="706">"11121004"</f>
        <v>11121004</v>
      </c>
      <c r="E1395" t="str">
        <f t="shared" ref="E1395:E1458" si="707">"121004"</f>
        <v>121004</v>
      </c>
      <c r="F1395" t="str">
        <f t="shared" ref="F1395:F1458" si="708">"FABIANA GODOY"</f>
        <v>FABIANA GODOY</v>
      </c>
      <c r="G1395" t="str">
        <f>"18144202000172"</f>
        <v>18144202000172</v>
      </c>
      <c r="H1395" t="str">
        <f t="shared" si="699"/>
        <v>0</v>
      </c>
      <c r="I1395" t="str">
        <f t="shared" si="684"/>
        <v>CONTA OPTICA</v>
      </c>
      <c r="J1395" t="str">
        <f>"IVETE A. DE OLIVEIRA DE MACENA"</f>
        <v>IVETE A. DE OLIVEIRA DE MACENA</v>
      </c>
      <c r="K1395" t="str">
        <f>"OPTICA PAULISTA (4047)"</f>
        <v>OPTICA PAULISTA (4047)</v>
      </c>
      <c r="L1395" t="str">
        <f>""</f>
        <v/>
      </c>
      <c r="M1395" t="str">
        <f>""</f>
        <v/>
      </c>
      <c r="N1395" t="str">
        <f>"IVETGAMA@GMAIL.COM"</f>
        <v>IVETGAMA@GMAIL.COM</v>
      </c>
      <c r="O1395" t="str">
        <f>""</f>
        <v/>
      </c>
      <c r="P1395" t="str">
        <f>"RUA MARECHAL DEODORO"</f>
        <v>RUA MARECHAL DEODORO</v>
      </c>
      <c r="Q1395" t="str">
        <f>"260"</f>
        <v>260</v>
      </c>
      <c r="R1395" t="str">
        <f>""</f>
        <v/>
      </c>
      <c r="S1395" t="str">
        <f>"1260"</f>
        <v>1260</v>
      </c>
      <c r="T1395" t="str">
        <f>"88200000"</f>
        <v>88200000</v>
      </c>
      <c r="U1395" t="str">
        <f>"CENTRO"</f>
        <v>CENTRO</v>
      </c>
      <c r="V1395" t="str">
        <f>"TIJUCAS"</f>
        <v>TIJUCAS</v>
      </c>
      <c r="W1395" t="str">
        <f t="shared" si="705"/>
        <v>SC</v>
      </c>
      <c r="X1395" t="str">
        <f>"48"</f>
        <v>48</v>
      </c>
      <c r="Y1395" t="str">
        <f>"32634441"</f>
        <v>32634441</v>
      </c>
      <c r="Z1395" t="str">
        <f>""</f>
        <v/>
      </c>
      <c r="AA1395" t="str">
        <f>""</f>
        <v/>
      </c>
      <c r="AB1395" t="str">
        <f>""</f>
        <v/>
      </c>
      <c r="AC1395" t="str">
        <f>""</f>
        <v/>
      </c>
      <c r="AD1395" t="str">
        <f>""</f>
        <v/>
      </c>
      <c r="AE1395" t="str">
        <f>""</f>
        <v/>
      </c>
      <c r="AF1395" t="str">
        <f>""</f>
        <v/>
      </c>
      <c r="AG1395" t="str">
        <f>""</f>
        <v/>
      </c>
      <c r="AH1395" t="str">
        <f>""</f>
        <v/>
      </c>
      <c r="AI1395" t="str">
        <f>""</f>
        <v/>
      </c>
      <c r="AJ1395" t="str">
        <f>""</f>
        <v/>
      </c>
      <c r="AK1395" t="str">
        <f>""</f>
        <v/>
      </c>
      <c r="AL1395" t="str">
        <f>""</f>
        <v/>
      </c>
      <c r="AM1395" t="str">
        <f>""</f>
        <v/>
      </c>
      <c r="AN1395" t="str">
        <f>""</f>
        <v/>
      </c>
      <c r="AO1395" t="str">
        <f>""</f>
        <v/>
      </c>
      <c r="AP1395" t="str">
        <f>""</f>
        <v/>
      </c>
      <c r="AQ1395" t="str">
        <f>""</f>
        <v/>
      </c>
      <c r="AR1395" t="str">
        <f>""</f>
        <v/>
      </c>
      <c r="AS1395" t="str">
        <f>""</f>
        <v/>
      </c>
      <c r="AT1395" t="str">
        <f>""</f>
        <v/>
      </c>
      <c r="AU1395" t="str">
        <f>""</f>
        <v/>
      </c>
      <c r="AV1395" t="str">
        <f>""</f>
        <v/>
      </c>
      <c r="AW1395" t="str">
        <f>""</f>
        <v/>
      </c>
      <c r="AX1395" t="str">
        <f>""</f>
        <v/>
      </c>
      <c r="AY1395" t="str">
        <f>""</f>
        <v/>
      </c>
      <c r="AZ1395" t="str">
        <f>""</f>
        <v/>
      </c>
      <c r="BA1395" t="str">
        <f>""</f>
        <v/>
      </c>
      <c r="BB1395" t="str">
        <f>"11/07/2023 02:26:32"</f>
        <v>11/07/2023 02:26:32</v>
      </c>
      <c r="BC1395" t="str">
        <f>""</f>
        <v/>
      </c>
      <c r="BD1395" t="str">
        <f>""</f>
        <v/>
      </c>
      <c r="BE1395" t="str">
        <f>""</f>
        <v/>
      </c>
      <c r="BF1395" t="str">
        <f t="shared" si="685"/>
        <v>A</v>
      </c>
      <c r="BG1395" t="str">
        <f>""</f>
        <v/>
      </c>
      <c r="BH1395" t="str">
        <f>""</f>
        <v/>
      </c>
      <c r="BI1395" t="str">
        <f t="shared" si="704"/>
        <v>EVENTUAL</v>
      </c>
      <c r="BJ1395" t="str">
        <f t="shared" si="686"/>
        <v>1</v>
      </c>
      <c r="BK1395" t="str">
        <f t="shared" si="687"/>
        <v>Farmacia</v>
      </c>
      <c r="BL1395" t="str">
        <f>""</f>
        <v/>
      </c>
      <c r="BM1395" t="str">
        <f>""</f>
        <v/>
      </c>
      <c r="BN1395" t="str">
        <f>""</f>
        <v/>
      </c>
      <c r="BO1395" t="str">
        <f>""</f>
        <v/>
      </c>
      <c r="BP1395" t="str">
        <f>""</f>
        <v/>
      </c>
      <c r="BQ1395" t="str">
        <f>""</f>
        <v/>
      </c>
      <c r="BR1395" t="str">
        <f>"11/07/2023"</f>
        <v>11/07/2023</v>
      </c>
      <c r="BS1395" t="str">
        <f>""</f>
        <v/>
      </c>
      <c r="BT1395" t="str">
        <f>""</f>
        <v/>
      </c>
      <c r="BU1395" t="str">
        <f>""</f>
        <v/>
      </c>
      <c r="BV1395" t="str">
        <f>""</f>
        <v/>
      </c>
      <c r="BW1395" t="str">
        <f>"Não visitado"</f>
        <v>Não visitado</v>
      </c>
    </row>
    <row r="1396" spans="1:75" x14ac:dyDescent="0.35">
      <c r="A1396">
        <v>127547</v>
      </c>
      <c r="B1396" t="str">
        <f t="shared" si="682"/>
        <v>A</v>
      </c>
      <c r="C1396" t="str">
        <f t="shared" si="683"/>
        <v>80</v>
      </c>
      <c r="D1396" t="str">
        <f t="shared" si="706"/>
        <v>11121004</v>
      </c>
      <c r="E1396" t="str">
        <f t="shared" si="707"/>
        <v>121004</v>
      </c>
      <c r="F1396" t="str">
        <f t="shared" si="708"/>
        <v>FABIANA GODOY</v>
      </c>
      <c r="G1396" t="str">
        <f>"00960853000175"</f>
        <v>00960853000175</v>
      </c>
      <c r="H1396" t="str">
        <f t="shared" si="699"/>
        <v>0</v>
      </c>
      <c r="I1396" t="str">
        <f t="shared" si="684"/>
        <v>CONTA OPTICA</v>
      </c>
      <c r="J1396" t="str">
        <f>"J E V COMERCIO DE OCULOS EIRELI ME"</f>
        <v>J E V COMERCIO DE OCULOS EIRELI ME</v>
      </c>
      <c r="K1396" t="str">
        <f>"OTICA SOBERANA (1145)"</f>
        <v>OTICA SOBERANA (1145)</v>
      </c>
      <c r="L1396" t="str">
        <f>""</f>
        <v/>
      </c>
      <c r="M1396" t="str">
        <f>""</f>
        <v/>
      </c>
      <c r="N1396" t="str">
        <f>"oticasoberana@oticasoberana.com.br"</f>
        <v>oticasoberana@oticasoberana.com.br</v>
      </c>
      <c r="O1396" t="str">
        <f>""</f>
        <v/>
      </c>
      <c r="P1396" t="str">
        <f>"AVENIDA MARCOS KONDER"</f>
        <v>AVENIDA MARCOS KONDER</v>
      </c>
      <c r="Q1396" t="str">
        <f>"1313"</f>
        <v>1313</v>
      </c>
      <c r="R1396" t="str">
        <f>"LOJA 14"</f>
        <v>LOJA 14</v>
      </c>
      <c r="S1396" t="str">
        <f>"1261"</f>
        <v>1261</v>
      </c>
      <c r="T1396" t="str">
        <f>"88301122"</f>
        <v>88301122</v>
      </c>
      <c r="U1396" t="str">
        <f>"NAO INFORMADO"</f>
        <v>NAO INFORMADO</v>
      </c>
      <c r="V1396" t="str">
        <f>"ITAJAI"</f>
        <v>ITAJAI</v>
      </c>
      <c r="W1396" t="str">
        <f t="shared" si="705"/>
        <v>SC</v>
      </c>
      <c r="X1396" t="str">
        <f>"47"</f>
        <v>47</v>
      </c>
      <c r="Y1396" t="str">
        <f>"33482153"</f>
        <v>33482153</v>
      </c>
      <c r="Z1396" t="str">
        <f>""</f>
        <v/>
      </c>
      <c r="AA1396" t="str">
        <f>""</f>
        <v/>
      </c>
      <c r="AB1396" t="str">
        <f>""</f>
        <v/>
      </c>
      <c r="AC1396" t="str">
        <f>""</f>
        <v/>
      </c>
      <c r="AD1396" t="str">
        <f>""</f>
        <v/>
      </c>
      <c r="AE1396" t="str">
        <f>""</f>
        <v/>
      </c>
      <c r="AF1396" t="str">
        <f>""</f>
        <v/>
      </c>
      <c r="AG1396" t="str">
        <f>""</f>
        <v/>
      </c>
      <c r="AH1396" t="str">
        <f>""</f>
        <v/>
      </c>
      <c r="AI1396" t="str">
        <f>""</f>
        <v/>
      </c>
      <c r="AJ1396" t="str">
        <f>""</f>
        <v/>
      </c>
      <c r="AK1396" t="str">
        <f>""</f>
        <v/>
      </c>
      <c r="AL1396" t="str">
        <f>""</f>
        <v/>
      </c>
      <c r="AM1396" t="str">
        <f>""</f>
        <v/>
      </c>
      <c r="AN1396" t="str">
        <f>""</f>
        <v/>
      </c>
      <c r="AO1396" t="str">
        <f>""</f>
        <v/>
      </c>
      <c r="AP1396" t="str">
        <f>""</f>
        <v/>
      </c>
      <c r="AQ1396" t="str">
        <f>""</f>
        <v/>
      </c>
      <c r="AR1396" t="str">
        <f>""</f>
        <v/>
      </c>
      <c r="AS1396" t="str">
        <f>""</f>
        <v/>
      </c>
      <c r="AT1396" t="str">
        <f>""</f>
        <v/>
      </c>
      <c r="AU1396" t="str">
        <f>""</f>
        <v/>
      </c>
      <c r="AV1396" t="str">
        <f>""</f>
        <v/>
      </c>
      <c r="AW1396" t="str">
        <f>""</f>
        <v/>
      </c>
      <c r="AX1396" t="str">
        <f>""</f>
        <v/>
      </c>
      <c r="AY1396" t="str">
        <f>""</f>
        <v/>
      </c>
      <c r="AZ1396" t="str">
        <f>""</f>
        <v/>
      </c>
      <c r="BA1396" t="str">
        <f>""</f>
        <v/>
      </c>
      <c r="BB1396" t="str">
        <f>"07/10/2020 09:08:38"</f>
        <v>07/10/2020 09:08:38</v>
      </c>
      <c r="BC1396" t="str">
        <f>""</f>
        <v/>
      </c>
      <c r="BD1396" t="str">
        <f>""</f>
        <v/>
      </c>
      <c r="BE1396" t="str">
        <f>""</f>
        <v/>
      </c>
      <c r="BF1396" t="str">
        <f t="shared" si="685"/>
        <v>A</v>
      </c>
      <c r="BG1396" t="str">
        <f>""</f>
        <v/>
      </c>
      <c r="BH1396" t="str">
        <f>""</f>
        <v/>
      </c>
      <c r="BI1396" t="str">
        <f t="shared" si="704"/>
        <v>EVENTUAL</v>
      </c>
      <c r="BJ1396" t="str">
        <f t="shared" si="686"/>
        <v>1</v>
      </c>
      <c r="BK1396" t="str">
        <f t="shared" si="687"/>
        <v>Farmacia</v>
      </c>
      <c r="BL1396" t="str">
        <f>""</f>
        <v/>
      </c>
      <c r="BM1396" t="str">
        <f>"NÃO É VARILUX ESPECIALISTA"</f>
        <v>NÃO É VARILUX ESPECIALISTA</v>
      </c>
      <c r="BN1396" t="str">
        <f>"NA"</f>
        <v>NA</v>
      </c>
      <c r="BO1396" t="str">
        <f>"OUTROS"</f>
        <v>OUTROS</v>
      </c>
      <c r="BP1396" t="str">
        <f>""</f>
        <v/>
      </c>
      <c r="BQ1396" t="str">
        <f>""</f>
        <v/>
      </c>
      <c r="BR1396" t="str">
        <f>"07/10/2020"</f>
        <v>07/10/2020</v>
      </c>
      <c r="BS1396" t="str">
        <f>""</f>
        <v/>
      </c>
      <c r="BT1396" t="str">
        <f>""</f>
        <v/>
      </c>
      <c r="BU1396" t="str">
        <f>""</f>
        <v/>
      </c>
      <c r="BV1396" t="str">
        <f>"9"</f>
        <v>9</v>
      </c>
      <c r="BW1396" t="str">
        <f>"2"</f>
        <v>2</v>
      </c>
    </row>
    <row r="1397" spans="1:75" x14ac:dyDescent="0.35">
      <c r="A1397">
        <v>157087</v>
      </c>
      <c r="B1397" t="str">
        <f t="shared" si="682"/>
        <v>A</v>
      </c>
      <c r="C1397" t="str">
        <f t="shared" si="683"/>
        <v>80</v>
      </c>
      <c r="D1397" t="str">
        <f t="shared" si="706"/>
        <v>11121004</v>
      </c>
      <c r="E1397" t="str">
        <f t="shared" si="707"/>
        <v>121004</v>
      </c>
      <c r="F1397" t="str">
        <f t="shared" si="708"/>
        <v>FABIANA GODOY</v>
      </c>
      <c r="G1397" t="str">
        <f>"81558082000196"</f>
        <v>81558082000196</v>
      </c>
      <c r="H1397" t="str">
        <f t="shared" si="699"/>
        <v>0</v>
      </c>
      <c r="I1397" t="str">
        <f t="shared" si="684"/>
        <v>CONTA OPTICA</v>
      </c>
      <c r="J1397" t="str">
        <f>"J NIEDERMAIER EIRELI"</f>
        <v>J NIEDERMAIER EIRELI</v>
      </c>
      <c r="K1397" t="str">
        <f>"RELOJOARIA E OTICA PRECISAO (243)"</f>
        <v>RELOJOARIA E OTICA PRECISAO (243)</v>
      </c>
      <c r="L1397" t="str">
        <f>""</f>
        <v/>
      </c>
      <c r="M1397" t="str">
        <f>""</f>
        <v/>
      </c>
      <c r="N1397" t="str">
        <f>"JOSIANENIEDERMAIER@HOTMAIL.COM"</f>
        <v>JOSIANENIEDERMAIER@HOTMAIL.COM</v>
      </c>
      <c r="O1397" t="str">
        <f>""</f>
        <v/>
      </c>
      <c r="P1397" t="str">
        <f>"RUA CORONEL FEDDERSEN"</f>
        <v>RUA CORONEL FEDDERSEN</v>
      </c>
      <c r="Q1397" t="str">
        <f>"562"</f>
        <v>562</v>
      </c>
      <c r="R1397" t="str">
        <f>"LOJA"</f>
        <v>LOJA</v>
      </c>
      <c r="S1397" t="str">
        <f>"1276"</f>
        <v>1276</v>
      </c>
      <c r="T1397" t="str">
        <f>"89190000"</f>
        <v>89190000</v>
      </c>
      <c r="U1397" t="str">
        <f>"CENTRO"</f>
        <v>CENTRO</v>
      </c>
      <c r="V1397" t="str">
        <f>"TAIÓ"</f>
        <v>TAIÓ</v>
      </c>
      <c r="W1397" t="str">
        <f t="shared" si="705"/>
        <v>SC</v>
      </c>
      <c r="X1397" t="str">
        <f>"47"</f>
        <v>47</v>
      </c>
      <c r="Y1397" t="str">
        <f>"35620549"</f>
        <v>35620549</v>
      </c>
      <c r="Z1397" t="str">
        <f>""</f>
        <v/>
      </c>
      <c r="AA1397" t="str">
        <f>""</f>
        <v/>
      </c>
      <c r="AB1397" t="str">
        <f>""</f>
        <v/>
      </c>
      <c r="AC1397" t="str">
        <f>""</f>
        <v/>
      </c>
      <c r="AD1397" t="str">
        <f>""</f>
        <v/>
      </c>
      <c r="AE1397" t="str">
        <f>""</f>
        <v/>
      </c>
      <c r="AF1397" t="str">
        <f>""</f>
        <v/>
      </c>
      <c r="AG1397" t="str">
        <f>"S"</f>
        <v>S</v>
      </c>
      <c r="AH1397" t="str">
        <f>""</f>
        <v/>
      </c>
      <c r="AI1397" t="str">
        <f>""</f>
        <v/>
      </c>
      <c r="AJ1397" t="str">
        <f>""</f>
        <v/>
      </c>
      <c r="AK1397" t="str">
        <f>""</f>
        <v/>
      </c>
      <c r="AL1397" t="str">
        <f>""</f>
        <v/>
      </c>
      <c r="AM1397" t="str">
        <f>""</f>
        <v/>
      </c>
      <c r="AN1397" t="str">
        <f>""</f>
        <v/>
      </c>
      <c r="AO1397" t="str">
        <f>""</f>
        <v/>
      </c>
      <c r="AP1397" t="str">
        <f>""</f>
        <v/>
      </c>
      <c r="AQ1397" t="str">
        <f>"N"</f>
        <v>N</v>
      </c>
      <c r="AR1397" t="str">
        <f>"N"</f>
        <v>N</v>
      </c>
      <c r="AS1397" t="str">
        <f>"N"</f>
        <v>N</v>
      </c>
      <c r="AT1397" t="str">
        <f>"N"</f>
        <v>N</v>
      </c>
      <c r="AU1397" t="str">
        <f>"N"</f>
        <v>N</v>
      </c>
      <c r="AV1397" t="str">
        <f>""</f>
        <v/>
      </c>
      <c r="AW1397" t="str">
        <f>""</f>
        <v/>
      </c>
      <c r="AX1397" t="str">
        <f>""</f>
        <v/>
      </c>
      <c r="AY1397" t="str">
        <f>""</f>
        <v/>
      </c>
      <c r="AZ1397" t="str">
        <f>""</f>
        <v/>
      </c>
      <c r="BA1397" t="str">
        <f>""</f>
        <v/>
      </c>
      <c r="BB1397" t="str">
        <f>"06/07/2023 12:07:48"</f>
        <v>06/07/2023 12:07:48</v>
      </c>
      <c r="BC1397" t="str">
        <f>"10/07/2023 17:52:50"</f>
        <v>10/07/2023 17:52:50</v>
      </c>
      <c r="BD1397" t="str">
        <f>""</f>
        <v/>
      </c>
      <c r="BE1397" t="str">
        <f>""</f>
        <v/>
      </c>
      <c r="BF1397" t="str">
        <f t="shared" si="685"/>
        <v>A</v>
      </c>
      <c r="BG1397" t="str">
        <f>""</f>
        <v/>
      </c>
      <c r="BH1397" t="str">
        <f>"0,00"</f>
        <v>0,00</v>
      </c>
      <c r="BI1397" t="str">
        <f t="shared" si="704"/>
        <v>EVENTUAL</v>
      </c>
      <c r="BJ1397" t="str">
        <f t="shared" si="686"/>
        <v>1</v>
      </c>
      <c r="BK1397" t="str">
        <f t="shared" si="687"/>
        <v>Farmacia</v>
      </c>
      <c r="BL1397" t="str">
        <f>""</f>
        <v/>
      </c>
      <c r="BM1397" t="str">
        <f>""</f>
        <v/>
      </c>
      <c r="BN1397" t="str">
        <f>""</f>
        <v/>
      </c>
      <c r="BO1397" t="str">
        <f>""</f>
        <v/>
      </c>
      <c r="BP1397" t="str">
        <f>""</f>
        <v/>
      </c>
      <c r="BQ1397" t="str">
        <f>""</f>
        <v/>
      </c>
      <c r="BR1397" t="str">
        <f>"06/07/2023"</f>
        <v>06/07/2023</v>
      </c>
      <c r="BS1397" t="str">
        <f>"10/07/2023"</f>
        <v>10/07/2023</v>
      </c>
      <c r="BT1397" t="str">
        <f>""</f>
        <v/>
      </c>
      <c r="BU1397" t="str">
        <f>""</f>
        <v/>
      </c>
      <c r="BV1397" t="str">
        <f>""</f>
        <v/>
      </c>
      <c r="BW1397" t="str">
        <f>"137"</f>
        <v>137</v>
      </c>
    </row>
    <row r="1398" spans="1:75" x14ac:dyDescent="0.35">
      <c r="A1398">
        <v>157095</v>
      </c>
      <c r="B1398" t="str">
        <f t="shared" si="682"/>
        <v>A</v>
      </c>
      <c r="C1398" t="str">
        <f t="shared" si="683"/>
        <v>80</v>
      </c>
      <c r="D1398" t="str">
        <f t="shared" si="706"/>
        <v>11121004</v>
      </c>
      <c r="E1398" t="str">
        <f t="shared" si="707"/>
        <v>121004</v>
      </c>
      <c r="F1398" t="str">
        <f t="shared" si="708"/>
        <v>FABIANA GODOY</v>
      </c>
      <c r="G1398" t="str">
        <f>"42065957000166"</f>
        <v>42065957000166</v>
      </c>
      <c r="H1398" t="str">
        <f t="shared" si="699"/>
        <v>0</v>
      </c>
      <c r="I1398" t="str">
        <f t="shared" si="684"/>
        <v>CONTA OPTICA</v>
      </c>
      <c r="J1398" t="str">
        <f>"J. ORBEN RELOJOARIA LTDA"</f>
        <v>J. ORBEN RELOJOARIA LTDA</v>
      </c>
      <c r="K1398" t="str">
        <f>"ORBEN RELOJOARIA E OTICA (4633)"</f>
        <v>ORBEN RELOJOARIA E OTICA (4633)</v>
      </c>
      <c r="L1398" t="str">
        <f>""</f>
        <v/>
      </c>
      <c r="M1398" t="str">
        <f>""</f>
        <v/>
      </c>
      <c r="N1398" t="str">
        <f>"FINANCEIROLOJAMORRETES@ORBEN.COM.BR"</f>
        <v>FINANCEIROLOJAMORRETES@ORBEN.COM.BR</v>
      </c>
      <c r="O1398" t="str">
        <f>""</f>
        <v/>
      </c>
      <c r="P1398" t="str">
        <f>"RUA 428"</f>
        <v>RUA 428</v>
      </c>
      <c r="Q1398" t="str">
        <f>"304"</f>
        <v>304</v>
      </c>
      <c r="R1398" t="str">
        <f>"SALA 01"</f>
        <v>SALA 01</v>
      </c>
      <c r="S1398" t="str">
        <f>"1260"</f>
        <v>1260</v>
      </c>
      <c r="T1398" t="str">
        <f>"88220000"</f>
        <v>88220000</v>
      </c>
      <c r="U1398" t="str">
        <f>"MORRETES"</f>
        <v>MORRETES</v>
      </c>
      <c r="V1398" t="str">
        <f>"ITAPEMA"</f>
        <v>ITAPEMA</v>
      </c>
      <c r="W1398" t="str">
        <f t="shared" si="705"/>
        <v>SC</v>
      </c>
      <c r="X1398" t="str">
        <f>"49"</f>
        <v>49</v>
      </c>
      <c r="Y1398" t="str">
        <f>"33637924"</f>
        <v>33637924</v>
      </c>
      <c r="Z1398" t="str">
        <f>""</f>
        <v/>
      </c>
      <c r="AA1398" t="str">
        <f>""</f>
        <v/>
      </c>
      <c r="AB1398" t="str">
        <f>""</f>
        <v/>
      </c>
      <c r="AC1398" t="str">
        <f>""</f>
        <v/>
      </c>
      <c r="AD1398" t="str">
        <f>""</f>
        <v/>
      </c>
      <c r="AE1398" t="str">
        <f>""</f>
        <v/>
      </c>
      <c r="AF1398" t="str">
        <f>""</f>
        <v/>
      </c>
      <c r="AG1398" t="str">
        <f>""</f>
        <v/>
      </c>
      <c r="AH1398" t="str">
        <f>""</f>
        <v/>
      </c>
      <c r="AI1398" t="str">
        <f>""</f>
        <v/>
      </c>
      <c r="AJ1398" t="str">
        <f>""</f>
        <v/>
      </c>
      <c r="AK1398" t="str">
        <f>""</f>
        <v/>
      </c>
      <c r="AL1398" t="str">
        <f>""</f>
        <v/>
      </c>
      <c r="AM1398" t="str">
        <f>""</f>
        <v/>
      </c>
      <c r="AN1398" t="str">
        <f>""</f>
        <v/>
      </c>
      <c r="AO1398" t="str">
        <f>""</f>
        <v/>
      </c>
      <c r="AP1398" t="str">
        <f>""</f>
        <v/>
      </c>
      <c r="AQ1398" t="str">
        <f>""</f>
        <v/>
      </c>
      <c r="AR1398" t="str">
        <f>""</f>
        <v/>
      </c>
      <c r="AS1398" t="str">
        <f>""</f>
        <v/>
      </c>
      <c r="AT1398" t="str">
        <f>""</f>
        <v/>
      </c>
      <c r="AU1398" t="str">
        <f>""</f>
        <v/>
      </c>
      <c r="AV1398" t="str">
        <f>""</f>
        <v/>
      </c>
      <c r="AW1398" t="str">
        <f>""</f>
        <v/>
      </c>
      <c r="AX1398" t="str">
        <f>""</f>
        <v/>
      </c>
      <c r="AY1398" t="str">
        <f>""</f>
        <v/>
      </c>
      <c r="AZ1398" t="str">
        <f>""</f>
        <v/>
      </c>
      <c r="BA1398" t="str">
        <f>""</f>
        <v/>
      </c>
      <c r="BB1398" t="str">
        <f>"06/07/2023 12:07:48"</f>
        <v>06/07/2023 12:07:48</v>
      </c>
      <c r="BC1398" t="str">
        <f>""</f>
        <v/>
      </c>
      <c r="BD1398" t="str">
        <f>""</f>
        <v/>
      </c>
      <c r="BE1398" t="str">
        <f>""</f>
        <v/>
      </c>
      <c r="BF1398" t="str">
        <f t="shared" si="685"/>
        <v>A</v>
      </c>
      <c r="BG1398" t="str">
        <f>""</f>
        <v/>
      </c>
      <c r="BH1398" t="str">
        <f>""</f>
        <v/>
      </c>
      <c r="BI1398" t="str">
        <f t="shared" si="704"/>
        <v>EVENTUAL</v>
      </c>
      <c r="BJ1398" t="str">
        <f t="shared" si="686"/>
        <v>1</v>
      </c>
      <c r="BK1398" t="str">
        <f t="shared" si="687"/>
        <v>Farmacia</v>
      </c>
      <c r="BL1398" t="str">
        <f>""</f>
        <v/>
      </c>
      <c r="BM1398" t="str">
        <f>""</f>
        <v/>
      </c>
      <c r="BN1398" t="str">
        <f>""</f>
        <v/>
      </c>
      <c r="BO1398" t="str">
        <f>""</f>
        <v/>
      </c>
      <c r="BP1398" t="str">
        <f>""</f>
        <v/>
      </c>
      <c r="BQ1398" t="str">
        <f>""</f>
        <v/>
      </c>
      <c r="BR1398" t="str">
        <f>"06/07/2023"</f>
        <v>06/07/2023</v>
      </c>
      <c r="BS1398" t="str">
        <f>""</f>
        <v/>
      </c>
      <c r="BT1398" t="str">
        <f>""</f>
        <v/>
      </c>
      <c r="BU1398" t="str">
        <f>""</f>
        <v/>
      </c>
      <c r="BV1398" t="str">
        <f>""</f>
        <v/>
      </c>
      <c r="BW1398" t="str">
        <f>"56"</f>
        <v>56</v>
      </c>
    </row>
    <row r="1399" spans="1:75" x14ac:dyDescent="0.35">
      <c r="A1399">
        <v>157804</v>
      </c>
      <c r="B1399" t="str">
        <f t="shared" si="682"/>
        <v>A</v>
      </c>
      <c r="C1399" t="str">
        <f t="shared" si="683"/>
        <v>80</v>
      </c>
      <c r="D1399" t="str">
        <f t="shared" si="706"/>
        <v>11121004</v>
      </c>
      <c r="E1399" t="str">
        <f t="shared" si="707"/>
        <v>121004</v>
      </c>
      <c r="F1399" t="str">
        <f t="shared" si="708"/>
        <v>FABIANA GODOY</v>
      </c>
      <c r="G1399" t="str">
        <f>"12211616000190"</f>
        <v>12211616000190</v>
      </c>
      <c r="H1399" t="str">
        <f t="shared" si="699"/>
        <v>0</v>
      </c>
      <c r="I1399" t="str">
        <f t="shared" si="684"/>
        <v>CONTA OPTICA</v>
      </c>
      <c r="J1399" t="str">
        <f>"JA JOALHERIA E OTICA LTDA"</f>
        <v>JA JOALHERIA E OTICA LTDA</v>
      </c>
      <c r="K1399" t="str">
        <f>"JA JOALHERIA E OTICA LTDA (1779)"</f>
        <v>JA JOALHERIA E OTICA LTDA (1779)</v>
      </c>
      <c r="L1399" t="str">
        <f>""</f>
        <v/>
      </c>
      <c r="M1399" t="str">
        <f>""</f>
        <v/>
      </c>
      <c r="N1399" t="str">
        <f>"FINANCEIRO@VISAOOTICA.COM.BR"</f>
        <v>FINANCEIRO@VISAOOTICA.COM.BR</v>
      </c>
      <c r="O1399" t="str">
        <f>""</f>
        <v/>
      </c>
      <c r="P1399" t="str">
        <f>"VIDAL RAMOS"</f>
        <v>VIDAL RAMOS</v>
      </c>
      <c r="Q1399" t="str">
        <f>"201"</f>
        <v>201</v>
      </c>
      <c r="R1399" t="str">
        <f>"SALA 01"</f>
        <v>SALA 01</v>
      </c>
      <c r="S1399" t="str">
        <f>"1261"</f>
        <v>1261</v>
      </c>
      <c r="T1399" t="str">
        <f>"88301010"</f>
        <v>88301010</v>
      </c>
      <c r="U1399" t="str">
        <f>"CENTRO"</f>
        <v>CENTRO</v>
      </c>
      <c r="V1399" t="str">
        <f>"ITAJAI"</f>
        <v>ITAJAI</v>
      </c>
      <c r="W1399" t="str">
        <f t="shared" si="705"/>
        <v>SC</v>
      </c>
      <c r="X1399" t="str">
        <f t="shared" ref="X1399:X1408" si="709">"47"</f>
        <v>47</v>
      </c>
      <c r="Y1399" t="str">
        <f>"30486260"</f>
        <v>30486260</v>
      </c>
      <c r="Z1399" t="str">
        <f>""</f>
        <v/>
      </c>
      <c r="AA1399" t="str">
        <f>""</f>
        <v/>
      </c>
      <c r="AB1399" t="str">
        <f>""</f>
        <v/>
      </c>
      <c r="AC1399" t="str">
        <f>""</f>
        <v/>
      </c>
      <c r="AD1399" t="str">
        <f>""</f>
        <v/>
      </c>
      <c r="AE1399" t="str">
        <f>""</f>
        <v/>
      </c>
      <c r="AF1399" t="str">
        <f>""</f>
        <v/>
      </c>
      <c r="AG1399" t="str">
        <f>""</f>
        <v/>
      </c>
      <c r="AH1399" t="str">
        <f>""</f>
        <v/>
      </c>
      <c r="AI1399" t="str">
        <f>""</f>
        <v/>
      </c>
      <c r="AJ1399" t="str">
        <f>""</f>
        <v/>
      </c>
      <c r="AK1399" t="str">
        <f>""</f>
        <v/>
      </c>
      <c r="AL1399" t="str">
        <f>""</f>
        <v/>
      </c>
      <c r="AM1399" t="str">
        <f>""</f>
        <v/>
      </c>
      <c r="AN1399" t="str">
        <f>""</f>
        <v/>
      </c>
      <c r="AO1399" t="str">
        <f>""</f>
        <v/>
      </c>
      <c r="AP1399" t="str">
        <f>""</f>
        <v/>
      </c>
      <c r="AQ1399" t="str">
        <f>""</f>
        <v/>
      </c>
      <c r="AR1399" t="str">
        <f>""</f>
        <v/>
      </c>
      <c r="AS1399" t="str">
        <f>""</f>
        <v/>
      </c>
      <c r="AT1399" t="str">
        <f>""</f>
        <v/>
      </c>
      <c r="AU1399" t="str">
        <f>""</f>
        <v/>
      </c>
      <c r="AV1399" t="str">
        <f>""</f>
        <v/>
      </c>
      <c r="AW1399" t="str">
        <f>""</f>
        <v/>
      </c>
      <c r="AX1399" t="str">
        <f>""</f>
        <v/>
      </c>
      <c r="AY1399" t="str">
        <f>""</f>
        <v/>
      </c>
      <c r="AZ1399" t="str">
        <f>""</f>
        <v/>
      </c>
      <c r="BA1399" t="str">
        <f>""</f>
        <v/>
      </c>
      <c r="BB1399" t="str">
        <f>"11/07/2023 02:26:32"</f>
        <v>11/07/2023 02:26:32</v>
      </c>
      <c r="BC1399" t="str">
        <f>""</f>
        <v/>
      </c>
      <c r="BD1399" t="str">
        <f>""</f>
        <v/>
      </c>
      <c r="BE1399" t="str">
        <f>""</f>
        <v/>
      </c>
      <c r="BF1399" t="str">
        <f t="shared" si="685"/>
        <v>A</v>
      </c>
      <c r="BG1399" t="str">
        <f>""</f>
        <v/>
      </c>
      <c r="BH1399" t="str">
        <f>""</f>
        <v/>
      </c>
      <c r="BI1399" t="str">
        <f t="shared" si="704"/>
        <v>EVENTUAL</v>
      </c>
      <c r="BJ1399" t="str">
        <f t="shared" si="686"/>
        <v>1</v>
      </c>
      <c r="BK1399" t="str">
        <f t="shared" si="687"/>
        <v>Farmacia</v>
      </c>
      <c r="BL1399" t="str">
        <f>""</f>
        <v/>
      </c>
      <c r="BM1399" t="str">
        <f>""</f>
        <v/>
      </c>
      <c r="BN1399" t="str">
        <f>""</f>
        <v/>
      </c>
      <c r="BO1399" t="str">
        <f>""</f>
        <v/>
      </c>
      <c r="BP1399" t="str">
        <f>""</f>
        <v/>
      </c>
      <c r="BQ1399" t="str">
        <f>""</f>
        <v/>
      </c>
      <c r="BR1399" t="str">
        <f>"11/07/2023"</f>
        <v>11/07/2023</v>
      </c>
      <c r="BS1399" t="str">
        <f>""</f>
        <v/>
      </c>
      <c r="BT1399" t="str">
        <f>""</f>
        <v/>
      </c>
      <c r="BU1399" t="str">
        <f>""</f>
        <v/>
      </c>
      <c r="BV1399" t="str">
        <f>""</f>
        <v/>
      </c>
      <c r="BW1399" t="str">
        <f>"Não visitado"</f>
        <v>Não visitado</v>
      </c>
    </row>
    <row r="1400" spans="1:75" x14ac:dyDescent="0.35">
      <c r="A1400">
        <v>157131</v>
      </c>
      <c r="B1400" t="str">
        <f t="shared" si="682"/>
        <v>A</v>
      </c>
      <c r="C1400" t="str">
        <f t="shared" si="683"/>
        <v>80</v>
      </c>
      <c r="D1400" t="str">
        <f t="shared" si="706"/>
        <v>11121004</v>
      </c>
      <c r="E1400" t="str">
        <f t="shared" si="707"/>
        <v>121004</v>
      </c>
      <c r="F1400" t="str">
        <f t="shared" si="708"/>
        <v>FABIANA GODOY</v>
      </c>
      <c r="G1400" t="str">
        <f>"80424419000100"</f>
        <v>80424419000100</v>
      </c>
      <c r="H1400" t="str">
        <f t="shared" si="699"/>
        <v>0</v>
      </c>
      <c r="I1400" t="str">
        <f t="shared" si="684"/>
        <v>CONTA OPTICA</v>
      </c>
      <c r="J1400" t="str">
        <f>"JAIR BIANCO ORBEN ME"</f>
        <v>JAIR BIANCO ORBEN ME</v>
      </c>
      <c r="K1400" t="str">
        <f>"OTICA ORBEN (718)"</f>
        <v>OTICA ORBEN (718)</v>
      </c>
      <c r="L1400" t="str">
        <f>""</f>
        <v/>
      </c>
      <c r="M1400" t="str">
        <f>""</f>
        <v/>
      </c>
      <c r="N1400" t="str">
        <f>"FINANCEIROPEREQUE@ORBEN.COM.BR"</f>
        <v>FINANCEIROPEREQUE@ORBEN.COM.BR</v>
      </c>
      <c r="O1400" t="str">
        <f>""</f>
        <v/>
      </c>
      <c r="P1400" t="str">
        <f>"HIRONIDO CONCEICAO DOS SANTOS"</f>
        <v>HIRONIDO CONCEICAO DOS SANTOS</v>
      </c>
      <c r="Q1400" t="str">
        <f>"292"</f>
        <v>292</v>
      </c>
      <c r="R1400" t="str">
        <f>"SALA 04"</f>
        <v>SALA 04</v>
      </c>
      <c r="S1400" t="str">
        <f>"1260"</f>
        <v>1260</v>
      </c>
      <c r="T1400" t="str">
        <f>"88210000"</f>
        <v>88210000</v>
      </c>
      <c r="U1400" t="str">
        <f>"JARDIM DOURADO"</f>
        <v>JARDIM DOURADO</v>
      </c>
      <c r="V1400" t="str">
        <f>"PORTO BELO"</f>
        <v>PORTO BELO</v>
      </c>
      <c r="W1400" t="str">
        <f t="shared" si="705"/>
        <v>SC</v>
      </c>
      <c r="X1400" t="str">
        <f t="shared" si="709"/>
        <v>47</v>
      </c>
      <c r="Y1400" t="str">
        <f>"34300217"</f>
        <v>34300217</v>
      </c>
      <c r="Z1400" t="str">
        <f>""</f>
        <v/>
      </c>
      <c r="AA1400" t="str">
        <f>""</f>
        <v/>
      </c>
      <c r="AB1400" t="str">
        <f>""</f>
        <v/>
      </c>
      <c r="AC1400" t="str">
        <f>""</f>
        <v/>
      </c>
      <c r="AD1400" t="str">
        <f>""</f>
        <v/>
      </c>
      <c r="AE1400" t="str">
        <f>""</f>
        <v/>
      </c>
      <c r="AF1400" t="str">
        <f>""</f>
        <v/>
      </c>
      <c r="AG1400" t="str">
        <f>""</f>
        <v/>
      </c>
      <c r="AH1400" t="str">
        <f>""</f>
        <v/>
      </c>
      <c r="AI1400" t="str">
        <f>""</f>
        <v/>
      </c>
      <c r="AJ1400" t="str">
        <f>""</f>
        <v/>
      </c>
      <c r="AK1400" t="str">
        <f>""</f>
        <v/>
      </c>
      <c r="AL1400" t="str">
        <f>""</f>
        <v/>
      </c>
      <c r="AM1400" t="str">
        <f>""</f>
        <v/>
      </c>
      <c r="AN1400" t="str">
        <f>""</f>
        <v/>
      </c>
      <c r="AO1400" t="str">
        <f>""</f>
        <v/>
      </c>
      <c r="AP1400" t="str">
        <f>""</f>
        <v/>
      </c>
      <c r="AQ1400" t="str">
        <f>""</f>
        <v/>
      </c>
      <c r="AR1400" t="str">
        <f>""</f>
        <v/>
      </c>
      <c r="AS1400" t="str">
        <f>""</f>
        <v/>
      </c>
      <c r="AT1400" t="str">
        <f>""</f>
        <v/>
      </c>
      <c r="AU1400" t="str">
        <f>""</f>
        <v/>
      </c>
      <c r="AV1400" t="str">
        <f>""</f>
        <v/>
      </c>
      <c r="AW1400" t="str">
        <f>""</f>
        <v/>
      </c>
      <c r="AX1400" t="str">
        <f>""</f>
        <v/>
      </c>
      <c r="AY1400" t="str">
        <f>""</f>
        <v/>
      </c>
      <c r="AZ1400" t="str">
        <f>""</f>
        <v/>
      </c>
      <c r="BA1400" t="str">
        <f>""</f>
        <v/>
      </c>
      <c r="BB1400" t="str">
        <f>"06/07/2023 12:07:48"</f>
        <v>06/07/2023 12:07:48</v>
      </c>
      <c r="BC1400" t="str">
        <f>""</f>
        <v/>
      </c>
      <c r="BD1400" t="str">
        <f>""</f>
        <v/>
      </c>
      <c r="BE1400" t="str">
        <f>""</f>
        <v/>
      </c>
      <c r="BF1400" t="str">
        <f t="shared" si="685"/>
        <v>A</v>
      </c>
      <c r="BG1400" t="str">
        <f>""</f>
        <v/>
      </c>
      <c r="BH1400" t="str">
        <f>""</f>
        <v/>
      </c>
      <c r="BI1400" t="str">
        <f t="shared" si="704"/>
        <v>EVENTUAL</v>
      </c>
      <c r="BJ1400" t="str">
        <f t="shared" si="686"/>
        <v>1</v>
      </c>
      <c r="BK1400" t="str">
        <f t="shared" si="687"/>
        <v>Farmacia</v>
      </c>
      <c r="BL1400" t="str">
        <f>""</f>
        <v/>
      </c>
      <c r="BM1400" t="str">
        <f>""</f>
        <v/>
      </c>
      <c r="BN1400" t="str">
        <f>""</f>
        <v/>
      </c>
      <c r="BO1400" t="str">
        <f>""</f>
        <v/>
      </c>
      <c r="BP1400" t="str">
        <f>""</f>
        <v/>
      </c>
      <c r="BQ1400" t="str">
        <f>""</f>
        <v/>
      </c>
      <c r="BR1400" t="str">
        <f>"06/07/2023"</f>
        <v>06/07/2023</v>
      </c>
      <c r="BS1400" t="str">
        <f>""</f>
        <v/>
      </c>
      <c r="BT1400" t="str">
        <f>""</f>
        <v/>
      </c>
      <c r="BU1400" t="str">
        <f>""</f>
        <v/>
      </c>
      <c r="BV1400" t="str">
        <f>""</f>
        <v/>
      </c>
      <c r="BW1400" t="str">
        <f>"Não visitado"</f>
        <v>Não visitado</v>
      </c>
    </row>
    <row r="1401" spans="1:75" x14ac:dyDescent="0.35">
      <c r="A1401">
        <v>137639</v>
      </c>
      <c r="B1401" t="str">
        <f t="shared" si="682"/>
        <v>A</v>
      </c>
      <c r="C1401" t="str">
        <f t="shared" si="683"/>
        <v>80</v>
      </c>
      <c r="D1401" t="str">
        <f t="shared" si="706"/>
        <v>11121004</v>
      </c>
      <c r="E1401" t="str">
        <f t="shared" si="707"/>
        <v>121004</v>
      </c>
      <c r="F1401" t="str">
        <f t="shared" si="708"/>
        <v>FABIANA GODOY</v>
      </c>
      <c r="G1401" t="str">
        <f>"15072370000101"</f>
        <v>15072370000101</v>
      </c>
      <c r="H1401" t="str">
        <f t="shared" si="699"/>
        <v>0</v>
      </c>
      <c r="I1401" t="str">
        <f t="shared" si="684"/>
        <v>CONTA OPTICA</v>
      </c>
      <c r="J1401" t="str">
        <f>"JAIR DA SILVA COMERCIANTE"</f>
        <v>JAIR DA SILVA COMERCIANTE</v>
      </c>
      <c r="K1401" t="str">
        <f>"EMPIRE (3876)"</f>
        <v>EMPIRE (3876)</v>
      </c>
      <c r="L1401" t="str">
        <f>""</f>
        <v/>
      </c>
      <c r="M1401" t="str">
        <f>""</f>
        <v/>
      </c>
      <c r="N1401" t="str">
        <f>"osmar@skalacontabilidade.com.br"</f>
        <v>osmar@skalacontabilidade.com.br</v>
      </c>
      <c r="O1401" t="str">
        <f>""</f>
        <v/>
      </c>
      <c r="P1401" t="str">
        <f>"RUA BRASIL"</f>
        <v>RUA BRASIL</v>
      </c>
      <c r="Q1401" t="str">
        <f>"820"</f>
        <v>820</v>
      </c>
      <c r="R1401" t="str">
        <f>"SALA 02"</f>
        <v>SALA 02</v>
      </c>
      <c r="S1401" t="str">
        <f>"1262"</f>
        <v>1262</v>
      </c>
      <c r="T1401" t="str">
        <f>"88330040"</f>
        <v>88330040</v>
      </c>
      <c r="U1401" t="str">
        <f>"CENTRO"</f>
        <v>CENTRO</v>
      </c>
      <c r="V1401" t="str">
        <f>"BALNEARIO CAMBORIU"</f>
        <v>BALNEARIO CAMBORIU</v>
      </c>
      <c r="W1401" t="str">
        <f t="shared" si="705"/>
        <v>SC</v>
      </c>
      <c r="X1401" t="str">
        <f t="shared" si="709"/>
        <v>47</v>
      </c>
      <c r="Y1401" t="str">
        <f>"33609853"</f>
        <v>33609853</v>
      </c>
      <c r="Z1401" t="str">
        <f>""</f>
        <v/>
      </c>
      <c r="AA1401" t="str">
        <f>""</f>
        <v/>
      </c>
      <c r="AB1401" t="str">
        <f>""</f>
        <v/>
      </c>
      <c r="AC1401" t="str">
        <f>""</f>
        <v/>
      </c>
      <c r="AD1401" t="str">
        <f>""</f>
        <v/>
      </c>
      <c r="AE1401" t="str">
        <f>""</f>
        <v/>
      </c>
      <c r="AF1401" t="str">
        <f>""</f>
        <v/>
      </c>
      <c r="AG1401" t="str">
        <f>""</f>
        <v/>
      </c>
      <c r="AH1401" t="str">
        <f>""</f>
        <v/>
      </c>
      <c r="AI1401" t="str">
        <f>""</f>
        <v/>
      </c>
      <c r="AJ1401" t="str">
        <f>""</f>
        <v/>
      </c>
      <c r="AK1401" t="str">
        <f>""</f>
        <v/>
      </c>
      <c r="AL1401" t="str">
        <f>""</f>
        <v/>
      </c>
      <c r="AM1401" t="str">
        <f>""</f>
        <v/>
      </c>
      <c r="AN1401" t="str">
        <f>""</f>
        <v/>
      </c>
      <c r="AO1401" t="str">
        <f>""</f>
        <v/>
      </c>
      <c r="AP1401" t="str">
        <f>""</f>
        <v/>
      </c>
      <c r="AQ1401" t="str">
        <f>""</f>
        <v/>
      </c>
      <c r="AR1401" t="str">
        <f>""</f>
        <v/>
      </c>
      <c r="AS1401" t="str">
        <f>""</f>
        <v/>
      </c>
      <c r="AT1401" t="str">
        <f>""</f>
        <v/>
      </c>
      <c r="AU1401" t="str">
        <f>""</f>
        <v/>
      </c>
      <c r="AV1401" t="str">
        <f>""</f>
        <v/>
      </c>
      <c r="AW1401" t="str">
        <f>""</f>
        <v/>
      </c>
      <c r="AX1401" t="str">
        <f>""</f>
        <v/>
      </c>
      <c r="AY1401" t="str">
        <f>""</f>
        <v/>
      </c>
      <c r="AZ1401" t="str">
        <f>""</f>
        <v/>
      </c>
      <c r="BA1401" t="str">
        <f>""</f>
        <v/>
      </c>
      <c r="BB1401" t="str">
        <f>"01/07/2021 13:53:04"</f>
        <v>01/07/2021 13:53:04</v>
      </c>
      <c r="BC1401" t="str">
        <f>""</f>
        <v/>
      </c>
      <c r="BD1401" t="str">
        <f>""</f>
        <v/>
      </c>
      <c r="BE1401" t="str">
        <f>""</f>
        <v/>
      </c>
      <c r="BF1401" t="str">
        <f t="shared" si="685"/>
        <v>A</v>
      </c>
      <c r="BG1401" t="str">
        <f>""</f>
        <v/>
      </c>
      <c r="BH1401" t="str">
        <f>""</f>
        <v/>
      </c>
      <c r="BI1401" t="str">
        <f t="shared" si="704"/>
        <v>EVENTUAL</v>
      </c>
      <c r="BJ1401" t="str">
        <f t="shared" si="686"/>
        <v>1</v>
      </c>
      <c r="BK1401" t="str">
        <f t="shared" si="687"/>
        <v>Farmacia</v>
      </c>
      <c r="BL1401" t="str">
        <f>""</f>
        <v/>
      </c>
      <c r="BM1401" t="str">
        <f>"NÃO É VARILUX ESPECIALISTA"</f>
        <v>NÃO É VARILUX ESPECIALISTA</v>
      </c>
      <c r="BN1401" t="str">
        <f>"NA"</f>
        <v>NA</v>
      </c>
      <c r="BO1401" t="str">
        <f>"OUTROS"</f>
        <v>OUTROS</v>
      </c>
      <c r="BP1401" t="str">
        <f>""</f>
        <v/>
      </c>
      <c r="BQ1401" t="str">
        <f>""</f>
        <v/>
      </c>
      <c r="BR1401" t="str">
        <f>"01/07/2021"</f>
        <v>01/07/2021</v>
      </c>
      <c r="BS1401" t="str">
        <f>""</f>
        <v/>
      </c>
      <c r="BT1401" t="str">
        <f>""</f>
        <v/>
      </c>
      <c r="BU1401" t="str">
        <f>""</f>
        <v/>
      </c>
      <c r="BV1401" t="str">
        <f>""</f>
        <v/>
      </c>
      <c r="BW1401" t="str">
        <f>"Não visitado"</f>
        <v>Não visitado</v>
      </c>
    </row>
    <row r="1402" spans="1:75" x14ac:dyDescent="0.35">
      <c r="A1402">
        <v>137640</v>
      </c>
      <c r="B1402" t="str">
        <f t="shared" si="682"/>
        <v>A</v>
      </c>
      <c r="C1402" t="str">
        <f t="shared" si="683"/>
        <v>80</v>
      </c>
      <c r="D1402" t="str">
        <f t="shared" si="706"/>
        <v>11121004</v>
      </c>
      <c r="E1402" t="str">
        <f t="shared" si="707"/>
        <v>121004</v>
      </c>
      <c r="F1402" t="str">
        <f t="shared" si="708"/>
        <v>FABIANA GODOY</v>
      </c>
      <c r="G1402" t="str">
        <f>"80652498000106"</f>
        <v>80652498000106</v>
      </c>
      <c r="H1402" t="str">
        <f t="shared" si="699"/>
        <v>0</v>
      </c>
      <c r="I1402" t="str">
        <f t="shared" si="684"/>
        <v>CONTA OPTICA</v>
      </c>
      <c r="J1402" t="str">
        <f>"JAIR KRAMEL ME"</f>
        <v>JAIR KRAMEL ME</v>
      </c>
      <c r="K1402" t="str">
        <f>"RELOJOARIA BAZAR JK (652)"</f>
        <v>RELOJOARIA BAZAR JK (652)</v>
      </c>
      <c r="L1402" t="str">
        <f>""</f>
        <v/>
      </c>
      <c r="M1402" t="str">
        <f>""</f>
        <v/>
      </c>
      <c r="N1402" t="str">
        <f>"ticiane_kramel@hotmail.com"</f>
        <v>ticiane_kramel@hotmail.com</v>
      </c>
      <c r="O1402" t="str">
        <f>""</f>
        <v/>
      </c>
      <c r="P1402" t="str">
        <f>"RUA 23 JULHO"</f>
        <v>RUA 23 JULHO</v>
      </c>
      <c r="Q1402" t="str">
        <f>"1180"</f>
        <v>1180</v>
      </c>
      <c r="R1402" t="str">
        <f>"SALA 01"</f>
        <v>SALA 01</v>
      </c>
      <c r="S1402" t="str">
        <f>"1276"</f>
        <v>1276</v>
      </c>
      <c r="T1402" t="str">
        <f>"89172000"</f>
        <v>89172000</v>
      </c>
      <c r="U1402" t="str">
        <f>"CENTRO"</f>
        <v>CENTRO</v>
      </c>
      <c r="V1402" t="str">
        <f>"POUSO REDONDO"</f>
        <v>POUSO REDONDO</v>
      </c>
      <c r="W1402" t="str">
        <f t="shared" si="705"/>
        <v>SC</v>
      </c>
      <c r="X1402" t="str">
        <f t="shared" si="709"/>
        <v>47</v>
      </c>
      <c r="Y1402" t="str">
        <f>"35451782"</f>
        <v>35451782</v>
      </c>
      <c r="Z1402" t="str">
        <f>""</f>
        <v/>
      </c>
      <c r="AA1402" t="str">
        <f>""</f>
        <v/>
      </c>
      <c r="AB1402" t="str">
        <f>""</f>
        <v/>
      </c>
      <c r="AC1402" t="str">
        <f>""</f>
        <v/>
      </c>
      <c r="AD1402" t="str">
        <f>""</f>
        <v/>
      </c>
      <c r="AE1402" t="str">
        <f>""</f>
        <v/>
      </c>
      <c r="AF1402" t="str">
        <f>""</f>
        <v/>
      </c>
      <c r="AG1402" t="str">
        <f>"S"</f>
        <v>S</v>
      </c>
      <c r="AH1402" t="str">
        <f>""</f>
        <v/>
      </c>
      <c r="AI1402" t="str">
        <f>""</f>
        <v/>
      </c>
      <c r="AJ1402" t="str">
        <f>""</f>
        <v/>
      </c>
      <c r="AK1402" t="str">
        <f>""</f>
        <v/>
      </c>
      <c r="AL1402" t="str">
        <f>""</f>
        <v/>
      </c>
      <c r="AM1402" t="str">
        <f>""</f>
        <v/>
      </c>
      <c r="AN1402" t="str">
        <f>""</f>
        <v/>
      </c>
      <c r="AO1402" t="str">
        <f>""</f>
        <v/>
      </c>
      <c r="AP1402" t="str">
        <f>""</f>
        <v/>
      </c>
      <c r="AQ1402" t="str">
        <f>"N"</f>
        <v>N</v>
      </c>
      <c r="AR1402" t="str">
        <f>"N"</f>
        <v>N</v>
      </c>
      <c r="AS1402" t="str">
        <f>"N"</f>
        <v>N</v>
      </c>
      <c r="AT1402" t="str">
        <f>"N"</f>
        <v>N</v>
      </c>
      <c r="AU1402" t="str">
        <f>"N"</f>
        <v>N</v>
      </c>
      <c r="AV1402" t="str">
        <f>""</f>
        <v/>
      </c>
      <c r="AW1402" t="str">
        <f>""</f>
        <v/>
      </c>
      <c r="AX1402" t="str">
        <f>""</f>
        <v/>
      </c>
      <c r="AY1402" t="str">
        <f>""</f>
        <v/>
      </c>
      <c r="AZ1402" t="str">
        <f>""</f>
        <v/>
      </c>
      <c r="BA1402" t="str">
        <f>""</f>
        <v/>
      </c>
      <c r="BB1402" t="str">
        <f>"01/07/2021 13:53:04"</f>
        <v>01/07/2021 13:53:04</v>
      </c>
      <c r="BC1402" t="str">
        <f>"03/03/2022 15:11:27"</f>
        <v>03/03/2022 15:11:27</v>
      </c>
      <c r="BD1402" t="str">
        <f>""</f>
        <v/>
      </c>
      <c r="BE1402" t="str">
        <f>""</f>
        <v/>
      </c>
      <c r="BF1402" t="str">
        <f t="shared" si="685"/>
        <v>A</v>
      </c>
      <c r="BG1402" t="str">
        <f>""</f>
        <v/>
      </c>
      <c r="BH1402" t="str">
        <f>"0,00"</f>
        <v>0,00</v>
      </c>
      <c r="BI1402" t="str">
        <f t="shared" si="704"/>
        <v>EVENTUAL</v>
      </c>
      <c r="BJ1402" t="str">
        <f t="shared" si="686"/>
        <v>1</v>
      </c>
      <c r="BK1402" t="str">
        <f t="shared" si="687"/>
        <v>Farmacia</v>
      </c>
      <c r="BL1402" t="str">
        <f>""</f>
        <v/>
      </c>
      <c r="BM1402" t="str">
        <f>"NÃO É VARILUX ESPECIALISTA"</f>
        <v>NÃO É VARILUX ESPECIALISTA</v>
      </c>
      <c r="BN1402" t="str">
        <f>"NA"</f>
        <v>NA</v>
      </c>
      <c r="BO1402" t="str">
        <f>"FOCO VARILUX"</f>
        <v>FOCO VARILUX</v>
      </c>
      <c r="BP1402" t="str">
        <f>""</f>
        <v/>
      </c>
      <c r="BQ1402" t="str">
        <f>""</f>
        <v/>
      </c>
      <c r="BR1402" t="str">
        <f>"01/07/2021"</f>
        <v>01/07/2021</v>
      </c>
      <c r="BS1402" t="str">
        <f>"03/03/2022"</f>
        <v>03/03/2022</v>
      </c>
      <c r="BT1402" t="str">
        <f>""</f>
        <v/>
      </c>
      <c r="BU1402" t="str">
        <f>""</f>
        <v/>
      </c>
      <c r="BV1402" t="str">
        <f>""</f>
        <v/>
      </c>
      <c r="BW1402" t="str">
        <f>"213"</f>
        <v>213</v>
      </c>
    </row>
    <row r="1403" spans="1:75" x14ac:dyDescent="0.35">
      <c r="A1403">
        <v>117521</v>
      </c>
      <c r="B1403" t="str">
        <f t="shared" si="682"/>
        <v>A</v>
      </c>
      <c r="C1403" t="str">
        <f t="shared" si="683"/>
        <v>80</v>
      </c>
      <c r="D1403" t="str">
        <f t="shared" si="706"/>
        <v>11121004</v>
      </c>
      <c r="E1403" t="str">
        <f t="shared" si="707"/>
        <v>121004</v>
      </c>
      <c r="F1403" t="str">
        <f t="shared" si="708"/>
        <v>FABIANA GODOY</v>
      </c>
      <c r="G1403" t="str">
        <f>"07248322000101"</f>
        <v>07248322000101</v>
      </c>
      <c r="H1403" t="str">
        <f t="shared" si="699"/>
        <v>0</v>
      </c>
      <c r="I1403" t="str">
        <f t="shared" si="684"/>
        <v>CONTA OPTICA</v>
      </c>
      <c r="J1403" t="str">
        <f>"JANIFFER ORBEN SOUZA ME"</f>
        <v>JANIFFER ORBEN SOUZA ME</v>
      </c>
      <c r="K1403" t="str">
        <f>"VISUAL JOALHEIRA E OTICA (730)"</f>
        <v>VISUAL JOALHEIRA E OTICA (730)</v>
      </c>
      <c r="L1403" t="str">
        <f>""</f>
        <v/>
      </c>
      <c r="M1403" t="str">
        <f>""</f>
        <v/>
      </c>
      <c r="N1403" t="str">
        <f>"visualotica@hotmail.com"</f>
        <v>visualotica@hotmail.com</v>
      </c>
      <c r="O1403" t="str">
        <f>""</f>
        <v/>
      </c>
      <c r="P1403" t="str">
        <f>"AVENIDA NEREU RAMOS"</f>
        <v>AVENIDA NEREU RAMOS</v>
      </c>
      <c r="Q1403" t="str">
        <f>"4000"</f>
        <v>4000</v>
      </c>
      <c r="R1403" t="str">
        <f>"SALA 03"</f>
        <v>SALA 03</v>
      </c>
      <c r="S1403" t="str">
        <f>"1260"</f>
        <v>1260</v>
      </c>
      <c r="T1403" t="str">
        <f>"88220000"</f>
        <v>88220000</v>
      </c>
      <c r="U1403" t="str">
        <f>"MEIA PRAIA"</f>
        <v>MEIA PRAIA</v>
      </c>
      <c r="V1403" t="str">
        <f>"ITAPEMA"</f>
        <v>ITAPEMA</v>
      </c>
      <c r="W1403" t="str">
        <f t="shared" si="705"/>
        <v>SC</v>
      </c>
      <c r="X1403" t="str">
        <f t="shared" si="709"/>
        <v>47</v>
      </c>
      <c r="Y1403" t="str">
        <f>"33681150"</f>
        <v>33681150</v>
      </c>
      <c r="Z1403" t="str">
        <f>""</f>
        <v/>
      </c>
      <c r="AA1403" t="str">
        <f>""</f>
        <v/>
      </c>
      <c r="AB1403" t="str">
        <f>""</f>
        <v/>
      </c>
      <c r="AC1403" t="str">
        <f>""</f>
        <v/>
      </c>
      <c r="AD1403" t="str">
        <f>""</f>
        <v/>
      </c>
      <c r="AE1403" t="str">
        <f>""</f>
        <v/>
      </c>
      <c r="AF1403" t="str">
        <f>""</f>
        <v/>
      </c>
      <c r="AG1403" t="str">
        <f>""</f>
        <v/>
      </c>
      <c r="AH1403" t="str">
        <f>""</f>
        <v/>
      </c>
      <c r="AI1403" t="str">
        <f>""</f>
        <v/>
      </c>
      <c r="AJ1403" t="str">
        <f>"0"</f>
        <v>0</v>
      </c>
      <c r="AK1403" t="str">
        <f>"0"</f>
        <v>0</v>
      </c>
      <c r="AL1403" t="str">
        <f>"0"</f>
        <v>0</v>
      </c>
      <c r="AM1403" t="str">
        <f>""</f>
        <v/>
      </c>
      <c r="AN1403" t="str">
        <f>""</f>
        <v/>
      </c>
      <c r="AO1403" t="str">
        <f>""</f>
        <v/>
      </c>
      <c r="AP1403" t="str">
        <f>""</f>
        <v/>
      </c>
      <c r="AQ1403" t="str">
        <f>""</f>
        <v/>
      </c>
      <c r="AR1403" t="str">
        <f>""</f>
        <v/>
      </c>
      <c r="AS1403" t="str">
        <f>""</f>
        <v/>
      </c>
      <c r="AT1403" t="str">
        <f>""</f>
        <v/>
      </c>
      <c r="AU1403" t="str">
        <f>""</f>
        <v/>
      </c>
      <c r="AV1403" t="str">
        <f>""</f>
        <v/>
      </c>
      <c r="AW1403" t="str">
        <f>""</f>
        <v/>
      </c>
      <c r="AX1403" t="str">
        <f>""</f>
        <v/>
      </c>
      <c r="AY1403" t="str">
        <f>""</f>
        <v/>
      </c>
      <c r="AZ1403" t="str">
        <f>""</f>
        <v/>
      </c>
      <c r="BA1403" t="str">
        <f>""</f>
        <v/>
      </c>
      <c r="BB1403" t="str">
        <f>"22/07/2020 08:24:23"</f>
        <v>22/07/2020 08:24:23</v>
      </c>
      <c r="BC1403" t="str">
        <f>""</f>
        <v/>
      </c>
      <c r="BD1403" t="str">
        <f>""</f>
        <v/>
      </c>
      <c r="BE1403" t="str">
        <f>""</f>
        <v/>
      </c>
      <c r="BF1403" t="str">
        <f t="shared" si="685"/>
        <v>A</v>
      </c>
      <c r="BG1403" t="str">
        <f>"0,00"</f>
        <v>0,00</v>
      </c>
      <c r="BH1403" t="str">
        <f>"0,00"</f>
        <v>0,00</v>
      </c>
      <c r="BI1403" t="str">
        <f t="shared" si="704"/>
        <v>EVENTUAL</v>
      </c>
      <c r="BJ1403" t="str">
        <f t="shared" si="686"/>
        <v>1</v>
      </c>
      <c r="BK1403" t="str">
        <f t="shared" si="687"/>
        <v>Farmacia</v>
      </c>
      <c r="BL1403" t="str">
        <f>""</f>
        <v/>
      </c>
      <c r="BM1403" t="str">
        <f>"NÃO É VARILUX ESPECIALISTA"</f>
        <v>NÃO É VARILUX ESPECIALISTA</v>
      </c>
      <c r="BN1403" t="str">
        <f>"NA"</f>
        <v>NA</v>
      </c>
      <c r="BO1403" t="str">
        <f>"FOCO VARILUX DIGITAL"</f>
        <v>FOCO VARILUX DIGITAL</v>
      </c>
      <c r="BP1403" t="str">
        <f>""</f>
        <v/>
      </c>
      <c r="BQ1403" t="str">
        <f>""</f>
        <v/>
      </c>
      <c r="BR1403" t="str">
        <f>"22/07/2020"</f>
        <v>22/07/2020</v>
      </c>
      <c r="BS1403" t="str">
        <f>""</f>
        <v/>
      </c>
      <c r="BT1403" t="str">
        <f>""</f>
        <v/>
      </c>
      <c r="BU1403" t="str">
        <f>""</f>
        <v/>
      </c>
      <c r="BV1403" t="str">
        <f>"7"</f>
        <v>7</v>
      </c>
      <c r="BW1403" t="str">
        <f>"Não visitado"</f>
        <v>Não visitado</v>
      </c>
    </row>
    <row r="1404" spans="1:75" x14ac:dyDescent="0.35">
      <c r="A1404">
        <v>157045</v>
      </c>
      <c r="B1404" t="str">
        <f t="shared" si="682"/>
        <v>A</v>
      </c>
      <c r="C1404" t="str">
        <f t="shared" si="683"/>
        <v>80</v>
      </c>
      <c r="D1404" t="str">
        <f t="shared" si="706"/>
        <v>11121004</v>
      </c>
      <c r="E1404" t="str">
        <f t="shared" si="707"/>
        <v>121004</v>
      </c>
      <c r="F1404" t="str">
        <f t="shared" si="708"/>
        <v>FABIANA GODOY</v>
      </c>
      <c r="G1404" t="str">
        <f>"49381492000100"</f>
        <v>49381492000100</v>
      </c>
      <c r="H1404" t="str">
        <f t="shared" si="699"/>
        <v>0</v>
      </c>
      <c r="I1404" t="str">
        <f t="shared" si="684"/>
        <v>CONTA OPTICA</v>
      </c>
      <c r="J1404" t="str">
        <f>"JAQUELINE BATISTA DE ALBUQUERQUE OPTICA"</f>
        <v>JAQUELINE BATISTA DE ALBUQUERQUE OPTICA</v>
      </c>
      <c r="K1404" t="str">
        <f>"INSTITUTO DOS OCULOS (4700)"</f>
        <v>INSTITUTO DOS OCULOS (4700)</v>
      </c>
      <c r="L1404" t="str">
        <f>""</f>
        <v/>
      </c>
      <c r="M1404" t="str">
        <f>""</f>
        <v/>
      </c>
      <c r="N1404" t="str">
        <f>"JAQUELINE@SONOFLEXCOLCHOES.COM"</f>
        <v>JAQUELINE@SONOFLEXCOLCHOES.COM</v>
      </c>
      <c r="O1404" t="str">
        <f>""</f>
        <v/>
      </c>
      <c r="P1404" t="str">
        <f>"RUA GENERAL OSORIO"</f>
        <v>RUA GENERAL OSORIO</v>
      </c>
      <c r="Q1404" t="str">
        <f>"25"</f>
        <v>25</v>
      </c>
      <c r="R1404" t="str">
        <f>"SALA 02 A"</f>
        <v>SALA 02 A</v>
      </c>
      <c r="S1404" t="str">
        <f>"1275"</f>
        <v>1275</v>
      </c>
      <c r="T1404" t="str">
        <f>"89120000"</f>
        <v>89120000</v>
      </c>
      <c r="U1404" t="str">
        <f>"CENTRO"</f>
        <v>CENTRO</v>
      </c>
      <c r="V1404" t="str">
        <f>"TIMBO"</f>
        <v>TIMBO</v>
      </c>
      <c r="W1404" t="str">
        <f t="shared" si="705"/>
        <v>SC</v>
      </c>
      <c r="X1404" t="str">
        <f t="shared" si="709"/>
        <v>47</v>
      </c>
      <c r="Y1404" t="str">
        <f>"991499522"</f>
        <v>991499522</v>
      </c>
      <c r="Z1404" t="str">
        <f>""</f>
        <v/>
      </c>
      <c r="AA1404" t="str">
        <f>""</f>
        <v/>
      </c>
      <c r="AB1404" t="str">
        <f>""</f>
        <v/>
      </c>
      <c r="AC1404" t="str">
        <f>""</f>
        <v/>
      </c>
      <c r="AD1404" t="str">
        <f>""</f>
        <v/>
      </c>
      <c r="AE1404" t="str">
        <f>""</f>
        <v/>
      </c>
      <c r="AF1404" t="str">
        <f>""</f>
        <v/>
      </c>
      <c r="AG1404" t="str">
        <f>""</f>
        <v/>
      </c>
      <c r="AH1404" t="str">
        <f>""</f>
        <v/>
      </c>
      <c r="AI1404" t="str">
        <f>""</f>
        <v/>
      </c>
      <c r="AJ1404" t="str">
        <f>""</f>
        <v/>
      </c>
      <c r="AK1404" t="str">
        <f>""</f>
        <v/>
      </c>
      <c r="AL1404" t="str">
        <f>""</f>
        <v/>
      </c>
      <c r="AM1404" t="str">
        <f>""</f>
        <v/>
      </c>
      <c r="AN1404" t="str">
        <f>""</f>
        <v/>
      </c>
      <c r="AO1404" t="str">
        <f>""</f>
        <v/>
      </c>
      <c r="AP1404" t="str">
        <f>""</f>
        <v/>
      </c>
      <c r="AQ1404" t="str">
        <f>""</f>
        <v/>
      </c>
      <c r="AR1404" t="str">
        <f>""</f>
        <v/>
      </c>
      <c r="AS1404" t="str">
        <f>""</f>
        <v/>
      </c>
      <c r="AT1404" t="str">
        <f>""</f>
        <v/>
      </c>
      <c r="AU1404" t="str">
        <f>""</f>
        <v/>
      </c>
      <c r="AV1404" t="str">
        <f>""</f>
        <v/>
      </c>
      <c r="AW1404" t="str">
        <f>""</f>
        <v/>
      </c>
      <c r="AX1404" t="str">
        <f>""</f>
        <v/>
      </c>
      <c r="AY1404" t="str">
        <f>""</f>
        <v/>
      </c>
      <c r="AZ1404" t="str">
        <f>""</f>
        <v/>
      </c>
      <c r="BA1404" t="str">
        <f>""</f>
        <v/>
      </c>
      <c r="BB1404" t="str">
        <f>"06/07/2023 12:07:48"</f>
        <v>06/07/2023 12:07:48</v>
      </c>
      <c r="BC1404" t="str">
        <f>""</f>
        <v/>
      </c>
      <c r="BD1404" t="str">
        <f>""</f>
        <v/>
      </c>
      <c r="BE1404" t="str">
        <f>""</f>
        <v/>
      </c>
      <c r="BF1404" t="str">
        <f t="shared" si="685"/>
        <v>A</v>
      </c>
      <c r="BG1404" t="str">
        <f>""</f>
        <v/>
      </c>
      <c r="BH1404" t="str">
        <f>""</f>
        <v/>
      </c>
      <c r="BI1404" t="str">
        <f t="shared" si="704"/>
        <v>EVENTUAL</v>
      </c>
      <c r="BJ1404" t="str">
        <f t="shared" si="686"/>
        <v>1</v>
      </c>
      <c r="BK1404" t="str">
        <f t="shared" si="687"/>
        <v>Farmacia</v>
      </c>
      <c r="BL1404" t="str">
        <f>""</f>
        <v/>
      </c>
      <c r="BM1404" t="str">
        <f>""</f>
        <v/>
      </c>
      <c r="BN1404" t="str">
        <f>""</f>
        <v/>
      </c>
      <c r="BO1404" t="str">
        <f>""</f>
        <v/>
      </c>
      <c r="BP1404" t="str">
        <f>""</f>
        <v/>
      </c>
      <c r="BQ1404" t="str">
        <f>""</f>
        <v/>
      </c>
      <c r="BR1404" t="str">
        <f>"06/07/2023"</f>
        <v>06/07/2023</v>
      </c>
      <c r="BS1404" t="str">
        <f>""</f>
        <v/>
      </c>
      <c r="BT1404" t="str">
        <f>""</f>
        <v/>
      </c>
      <c r="BU1404" t="str">
        <f>""</f>
        <v/>
      </c>
      <c r="BV1404" t="str">
        <f>""</f>
        <v/>
      </c>
      <c r="BW1404" t="str">
        <f>"37"</f>
        <v>37</v>
      </c>
    </row>
    <row r="1405" spans="1:75" x14ac:dyDescent="0.35">
      <c r="A1405">
        <v>137643</v>
      </c>
      <c r="B1405" t="str">
        <f t="shared" si="682"/>
        <v>A</v>
      </c>
      <c r="C1405" t="str">
        <f t="shared" si="683"/>
        <v>80</v>
      </c>
      <c r="D1405" t="str">
        <f t="shared" si="706"/>
        <v>11121004</v>
      </c>
      <c r="E1405" t="str">
        <f t="shared" si="707"/>
        <v>121004</v>
      </c>
      <c r="F1405" t="str">
        <f t="shared" si="708"/>
        <v>FABIANA GODOY</v>
      </c>
      <c r="G1405" t="str">
        <f>"35124442000124"</f>
        <v>35124442000124</v>
      </c>
      <c r="H1405" t="str">
        <f t="shared" si="699"/>
        <v>0</v>
      </c>
      <c r="I1405" t="str">
        <f t="shared" si="684"/>
        <v>CONTA OPTICA</v>
      </c>
      <c r="J1405" t="str">
        <f>"JEFFANI ORBEN SOUZA"</f>
        <v>JEFFANI ORBEN SOUZA</v>
      </c>
      <c r="K1405" t="str">
        <f>"CIA DO OCULOS (4146)"</f>
        <v>CIA DO OCULOS (4146)</v>
      </c>
      <c r="L1405" t="str">
        <f>""</f>
        <v/>
      </c>
      <c r="M1405" t="str">
        <f>""</f>
        <v/>
      </c>
      <c r="N1405" t="str">
        <f>"ciadooculos_@hotmail.com"</f>
        <v>ciadooculos_@hotmail.com</v>
      </c>
      <c r="O1405" t="str">
        <f>""</f>
        <v/>
      </c>
      <c r="P1405" t="str">
        <f>"AVENIDA LEOPOLDO ZARLING"</f>
        <v>AVENIDA LEOPOLDO ZARLING</v>
      </c>
      <c r="Q1405" t="str">
        <f>"1821"</f>
        <v>1821</v>
      </c>
      <c r="R1405" t="str">
        <f>"SALA 03"</f>
        <v>SALA 03</v>
      </c>
      <c r="S1405" t="str">
        <f>"1260"</f>
        <v>1260</v>
      </c>
      <c r="T1405" t="str">
        <f>"88215000"</f>
        <v>88215000</v>
      </c>
      <c r="U1405" t="str">
        <f>"BOMBAS"</f>
        <v>BOMBAS</v>
      </c>
      <c r="V1405" t="str">
        <f>"BOMBINHAS"</f>
        <v>BOMBINHAS</v>
      </c>
      <c r="W1405" t="str">
        <f t="shared" si="705"/>
        <v>SC</v>
      </c>
      <c r="X1405" t="str">
        <f t="shared" si="709"/>
        <v>47</v>
      </c>
      <c r="Y1405" t="str">
        <f>"33692870"</f>
        <v>33692870</v>
      </c>
      <c r="Z1405" t="str">
        <f>""</f>
        <v/>
      </c>
      <c r="AA1405" t="str">
        <f>""</f>
        <v/>
      </c>
      <c r="AB1405" t="str">
        <f>""</f>
        <v/>
      </c>
      <c r="AC1405" t="str">
        <f>""</f>
        <v/>
      </c>
      <c r="AD1405" t="str">
        <f>""</f>
        <v/>
      </c>
      <c r="AE1405" t="str">
        <f>""</f>
        <v/>
      </c>
      <c r="AF1405" t="str">
        <f>""</f>
        <v/>
      </c>
      <c r="AG1405" t="str">
        <f>"S"</f>
        <v>S</v>
      </c>
      <c r="AH1405" t="str">
        <f>""</f>
        <v/>
      </c>
      <c r="AI1405" t="str">
        <f>""</f>
        <v/>
      </c>
      <c r="AJ1405" t="str">
        <f>""</f>
        <v/>
      </c>
      <c r="AK1405" t="str">
        <f>""</f>
        <v/>
      </c>
      <c r="AL1405" t="str">
        <f>""</f>
        <v/>
      </c>
      <c r="AM1405" t="str">
        <f>""</f>
        <v/>
      </c>
      <c r="AN1405" t="str">
        <f>""</f>
        <v/>
      </c>
      <c r="AO1405" t="str">
        <f>""</f>
        <v/>
      </c>
      <c r="AP1405" t="str">
        <f>""</f>
        <v/>
      </c>
      <c r="AQ1405" t="str">
        <f t="shared" ref="AQ1405:AU1406" si="710">"N"</f>
        <v>N</v>
      </c>
      <c r="AR1405" t="str">
        <f t="shared" si="710"/>
        <v>N</v>
      </c>
      <c r="AS1405" t="str">
        <f t="shared" si="710"/>
        <v>N</v>
      </c>
      <c r="AT1405" t="str">
        <f t="shared" si="710"/>
        <v>N</v>
      </c>
      <c r="AU1405" t="str">
        <f t="shared" si="710"/>
        <v>N</v>
      </c>
      <c r="AV1405" t="str">
        <f>""</f>
        <v/>
      </c>
      <c r="AW1405" t="str">
        <f>""</f>
        <v/>
      </c>
      <c r="AX1405" t="str">
        <f>""</f>
        <v/>
      </c>
      <c r="AY1405" t="str">
        <f>""</f>
        <v/>
      </c>
      <c r="AZ1405" t="str">
        <f>""</f>
        <v/>
      </c>
      <c r="BA1405" t="str">
        <f>""</f>
        <v/>
      </c>
      <c r="BB1405" t="str">
        <f>"01/07/2021 13:53:04"</f>
        <v>01/07/2021 13:53:04</v>
      </c>
      <c r="BC1405" t="str">
        <f>"16/09/2022 15:36:34"</f>
        <v>16/09/2022 15:36:34</v>
      </c>
      <c r="BD1405" t="str">
        <f>""</f>
        <v/>
      </c>
      <c r="BE1405" t="str">
        <f>""</f>
        <v/>
      </c>
      <c r="BF1405" t="str">
        <f t="shared" si="685"/>
        <v>A</v>
      </c>
      <c r="BG1405" t="str">
        <f>""</f>
        <v/>
      </c>
      <c r="BH1405" t="str">
        <f>"0,00"</f>
        <v>0,00</v>
      </c>
      <c r="BI1405" t="str">
        <f t="shared" si="704"/>
        <v>EVENTUAL</v>
      </c>
      <c r="BJ1405" t="str">
        <f t="shared" si="686"/>
        <v>1</v>
      </c>
      <c r="BK1405" t="str">
        <f t="shared" si="687"/>
        <v>Farmacia</v>
      </c>
      <c r="BL1405" t="str">
        <f>""</f>
        <v/>
      </c>
      <c r="BM1405" t="str">
        <f>"NÃO É VARILUX ESPECIALISTA"</f>
        <v>NÃO É VARILUX ESPECIALISTA</v>
      </c>
      <c r="BN1405" t="str">
        <f>"NA"</f>
        <v>NA</v>
      </c>
      <c r="BO1405" t="str">
        <f>"FOCO VARILUX"</f>
        <v>FOCO VARILUX</v>
      </c>
      <c r="BP1405" t="str">
        <f>""</f>
        <v/>
      </c>
      <c r="BQ1405" t="str">
        <f>""</f>
        <v/>
      </c>
      <c r="BR1405" t="str">
        <f>"01/07/2021"</f>
        <v>01/07/2021</v>
      </c>
      <c r="BS1405" t="str">
        <f>"16/09/2022"</f>
        <v>16/09/2022</v>
      </c>
      <c r="BT1405" t="str">
        <f>""</f>
        <v/>
      </c>
      <c r="BU1405" t="str">
        <f>""</f>
        <v/>
      </c>
      <c r="BV1405" t="str">
        <f>""</f>
        <v/>
      </c>
      <c r="BW1405" t="str">
        <f>"4"</f>
        <v>4</v>
      </c>
    </row>
    <row r="1406" spans="1:75" x14ac:dyDescent="0.35">
      <c r="A1406">
        <v>137644</v>
      </c>
      <c r="B1406" t="str">
        <f t="shared" si="682"/>
        <v>A</v>
      </c>
      <c r="C1406" t="str">
        <f t="shared" si="683"/>
        <v>80</v>
      </c>
      <c r="D1406" t="str">
        <f t="shared" si="706"/>
        <v>11121004</v>
      </c>
      <c r="E1406" t="str">
        <f t="shared" si="707"/>
        <v>121004</v>
      </c>
      <c r="F1406" t="str">
        <f t="shared" si="708"/>
        <v>FABIANA GODOY</v>
      </c>
      <c r="G1406" t="str">
        <f>"22827519000180"</f>
        <v>22827519000180</v>
      </c>
      <c r="H1406" t="str">
        <f t="shared" si="699"/>
        <v>0</v>
      </c>
      <c r="I1406" t="str">
        <f t="shared" si="684"/>
        <v>CONTA OPTICA</v>
      </c>
      <c r="J1406" t="str">
        <f>"JENNIFER CARDOSO VALENTE 05148399961"</f>
        <v>JENNIFER CARDOSO VALENTE 05148399961</v>
      </c>
      <c r="K1406" t="str">
        <f>"OPTIK (3335)"</f>
        <v>OPTIK (3335)</v>
      </c>
      <c r="L1406" t="str">
        <f>""</f>
        <v/>
      </c>
      <c r="M1406" t="str">
        <f>""</f>
        <v/>
      </c>
      <c r="N1406" t="str">
        <f>"optik.otica@gmail.com"</f>
        <v>optik.otica@gmail.com</v>
      </c>
      <c r="O1406" t="str">
        <f>""</f>
        <v/>
      </c>
      <c r="P1406" t="str">
        <f>"AVENIDA BRASIL"</f>
        <v>AVENIDA BRASIL</v>
      </c>
      <c r="Q1406" t="str">
        <f>"720"</f>
        <v>720</v>
      </c>
      <c r="R1406" t="str">
        <f>""</f>
        <v/>
      </c>
      <c r="S1406" t="str">
        <f>""</f>
        <v/>
      </c>
      <c r="T1406" t="str">
        <f>"88330043"</f>
        <v>88330043</v>
      </c>
      <c r="U1406" t="str">
        <f>"CENTRO"</f>
        <v>CENTRO</v>
      </c>
      <c r="V1406" t="str">
        <f>"BALNEÁRIO CAMBORIÚ"</f>
        <v>BALNEÁRIO CAMBORIÚ</v>
      </c>
      <c r="W1406" t="str">
        <f t="shared" si="705"/>
        <v>SC</v>
      </c>
      <c r="X1406" t="str">
        <f t="shared" si="709"/>
        <v>47</v>
      </c>
      <c r="Y1406" t="str">
        <f>"41080189"</f>
        <v>41080189</v>
      </c>
      <c r="Z1406" t="str">
        <f>""</f>
        <v/>
      </c>
      <c r="AA1406" t="str">
        <f>""</f>
        <v/>
      </c>
      <c r="AB1406" t="str">
        <f>""</f>
        <v/>
      </c>
      <c r="AC1406" t="str">
        <f>""</f>
        <v/>
      </c>
      <c r="AD1406" t="str">
        <f>""</f>
        <v/>
      </c>
      <c r="AE1406" t="str">
        <f>""</f>
        <v/>
      </c>
      <c r="AF1406" t="str">
        <f>""</f>
        <v/>
      </c>
      <c r="AG1406" t="str">
        <f>"S"</f>
        <v>S</v>
      </c>
      <c r="AH1406" t="str">
        <f>""</f>
        <v/>
      </c>
      <c r="AI1406" t="str">
        <f>""</f>
        <v/>
      </c>
      <c r="AJ1406" t="str">
        <f>""</f>
        <v/>
      </c>
      <c r="AK1406" t="str">
        <f>""</f>
        <v/>
      </c>
      <c r="AL1406" t="str">
        <f>""</f>
        <v/>
      </c>
      <c r="AM1406" t="str">
        <f>""</f>
        <v/>
      </c>
      <c r="AN1406" t="str">
        <f>""</f>
        <v/>
      </c>
      <c r="AO1406" t="str">
        <f>""</f>
        <v/>
      </c>
      <c r="AP1406" t="str">
        <f>""</f>
        <v/>
      </c>
      <c r="AQ1406" t="str">
        <f t="shared" si="710"/>
        <v>N</v>
      </c>
      <c r="AR1406" t="str">
        <f t="shared" si="710"/>
        <v>N</v>
      </c>
      <c r="AS1406" t="str">
        <f t="shared" si="710"/>
        <v>N</v>
      </c>
      <c r="AT1406" t="str">
        <f t="shared" si="710"/>
        <v>N</v>
      </c>
      <c r="AU1406" t="str">
        <f t="shared" si="710"/>
        <v>N</v>
      </c>
      <c r="AV1406" t="str">
        <f>""</f>
        <v/>
      </c>
      <c r="AW1406" t="str">
        <f>""</f>
        <v/>
      </c>
      <c r="AX1406" t="str">
        <f>""</f>
        <v/>
      </c>
      <c r="AY1406" t="str">
        <f>""</f>
        <v/>
      </c>
      <c r="AZ1406" t="str">
        <f>""</f>
        <v/>
      </c>
      <c r="BA1406" t="str">
        <f>""</f>
        <v/>
      </c>
      <c r="BB1406" t="str">
        <f>"01/07/2021 13:53:04"</f>
        <v>01/07/2021 13:53:04</v>
      </c>
      <c r="BC1406" t="str">
        <f>"26/01/2022 16:47:57"</f>
        <v>26/01/2022 16:47:57</v>
      </c>
      <c r="BD1406" t="str">
        <f>""</f>
        <v/>
      </c>
      <c r="BE1406" t="str">
        <f>""</f>
        <v/>
      </c>
      <c r="BF1406" t="str">
        <f t="shared" si="685"/>
        <v>A</v>
      </c>
      <c r="BG1406" t="str">
        <f>""</f>
        <v/>
      </c>
      <c r="BH1406" t="str">
        <f>"0,00"</f>
        <v>0,00</v>
      </c>
      <c r="BI1406" t="str">
        <f t="shared" si="704"/>
        <v>EVENTUAL</v>
      </c>
      <c r="BJ1406" t="str">
        <f t="shared" si="686"/>
        <v>1</v>
      </c>
      <c r="BK1406" t="str">
        <f t="shared" si="687"/>
        <v>Farmacia</v>
      </c>
      <c r="BL1406" t="str">
        <f>""</f>
        <v/>
      </c>
      <c r="BM1406" t="str">
        <f>"VARILUX ESPECIALISTA SELECT"</f>
        <v>VARILUX ESPECIALISTA SELECT</v>
      </c>
      <c r="BN1406" t="str">
        <f>"NA"</f>
        <v>NA</v>
      </c>
      <c r="BO1406" t="str">
        <f>"FOCO VARILUX DIGITAL"</f>
        <v>FOCO VARILUX DIGITAL</v>
      </c>
      <c r="BP1406" t="str">
        <f>""</f>
        <v/>
      </c>
      <c r="BQ1406" t="str">
        <f>""</f>
        <v/>
      </c>
      <c r="BR1406" t="str">
        <f>"01/07/2021"</f>
        <v>01/07/2021</v>
      </c>
      <c r="BS1406" t="str">
        <f>"26/01/2022"</f>
        <v>26/01/2022</v>
      </c>
      <c r="BT1406" t="str">
        <f>""</f>
        <v/>
      </c>
      <c r="BU1406" t="str">
        <f>""</f>
        <v/>
      </c>
      <c r="BV1406" t="str">
        <f>""</f>
        <v/>
      </c>
      <c r="BW1406" t="str">
        <f>"16"</f>
        <v>16</v>
      </c>
    </row>
    <row r="1407" spans="1:75" x14ac:dyDescent="0.35">
      <c r="A1407">
        <v>157064</v>
      </c>
      <c r="B1407" t="str">
        <f t="shared" si="682"/>
        <v>A</v>
      </c>
      <c r="C1407" t="str">
        <f t="shared" si="683"/>
        <v>80</v>
      </c>
      <c r="D1407" t="str">
        <f t="shared" si="706"/>
        <v>11121004</v>
      </c>
      <c r="E1407" t="str">
        <f t="shared" si="707"/>
        <v>121004</v>
      </c>
      <c r="F1407" t="str">
        <f t="shared" si="708"/>
        <v>FABIANA GODOY</v>
      </c>
      <c r="G1407" t="str">
        <f>"44262543000152"</f>
        <v>44262543000152</v>
      </c>
      <c r="H1407" t="str">
        <f t="shared" si="699"/>
        <v>0</v>
      </c>
      <c r="I1407" t="str">
        <f t="shared" si="684"/>
        <v>CONTA OPTICA</v>
      </c>
      <c r="J1407" t="str">
        <f>"JEYSI DAIANE BUZZI NINOW 08775111950"</f>
        <v>JEYSI DAIANE BUZZI NINOW 08775111950</v>
      </c>
      <c r="K1407" t="str">
        <f>"ATRIOS JOIAS E OCULOS (4438)"</f>
        <v>ATRIOS JOIAS E OCULOS (4438)</v>
      </c>
      <c r="L1407" t="str">
        <f>""</f>
        <v/>
      </c>
      <c r="M1407" t="str">
        <f>""</f>
        <v/>
      </c>
      <c r="N1407" t="str">
        <f>"JEYSININOW@GMAIL.COM"</f>
        <v>JEYSININOW@GMAIL.COM</v>
      </c>
      <c r="O1407" t="str">
        <f>""</f>
        <v/>
      </c>
      <c r="P1407" t="str">
        <f>"RUA ERWIN REGUSE"</f>
        <v>RUA ERWIN REGUSE</v>
      </c>
      <c r="Q1407" t="str">
        <f>"550"</f>
        <v>550</v>
      </c>
      <c r="R1407" t="str">
        <f>"LOTE 66"</f>
        <v>LOTE 66</v>
      </c>
      <c r="S1407" t="str">
        <f>"1275"</f>
        <v>1275</v>
      </c>
      <c r="T1407" t="str">
        <f>"89120000"</f>
        <v>89120000</v>
      </c>
      <c r="U1407" t="str">
        <f>"DOS ESTADOS"</f>
        <v>DOS ESTADOS</v>
      </c>
      <c r="V1407" t="str">
        <f>"TIMBO"</f>
        <v>TIMBO</v>
      </c>
      <c r="W1407" t="str">
        <f t="shared" si="705"/>
        <v>SC</v>
      </c>
      <c r="X1407" t="str">
        <f t="shared" si="709"/>
        <v>47</v>
      </c>
      <c r="Y1407" t="str">
        <f>"988685772"</f>
        <v>988685772</v>
      </c>
      <c r="Z1407" t="str">
        <f>""</f>
        <v/>
      </c>
      <c r="AA1407" t="str">
        <f>""</f>
        <v/>
      </c>
      <c r="AB1407" t="str">
        <f>""</f>
        <v/>
      </c>
      <c r="AC1407" t="str">
        <f>""</f>
        <v/>
      </c>
      <c r="AD1407" t="str">
        <f>""</f>
        <v/>
      </c>
      <c r="AE1407" t="str">
        <f>""</f>
        <v/>
      </c>
      <c r="AF1407" t="str">
        <f>""</f>
        <v/>
      </c>
      <c r="AG1407" t="str">
        <f>""</f>
        <v/>
      </c>
      <c r="AH1407" t="str">
        <f>""</f>
        <v/>
      </c>
      <c r="AI1407" t="str">
        <f>""</f>
        <v/>
      </c>
      <c r="AJ1407" t="str">
        <f>""</f>
        <v/>
      </c>
      <c r="AK1407" t="str">
        <f>""</f>
        <v/>
      </c>
      <c r="AL1407" t="str">
        <f>""</f>
        <v/>
      </c>
      <c r="AM1407" t="str">
        <f>""</f>
        <v/>
      </c>
      <c r="AN1407" t="str">
        <f>""</f>
        <v/>
      </c>
      <c r="AO1407" t="str">
        <f>""</f>
        <v/>
      </c>
      <c r="AP1407" t="str">
        <f>""</f>
        <v/>
      </c>
      <c r="AQ1407" t="str">
        <f>""</f>
        <v/>
      </c>
      <c r="AR1407" t="str">
        <f>""</f>
        <v/>
      </c>
      <c r="AS1407" t="str">
        <f>""</f>
        <v/>
      </c>
      <c r="AT1407" t="str">
        <f>""</f>
        <v/>
      </c>
      <c r="AU1407" t="str">
        <f>""</f>
        <v/>
      </c>
      <c r="AV1407" t="str">
        <f>""</f>
        <v/>
      </c>
      <c r="AW1407" t="str">
        <f>""</f>
        <v/>
      </c>
      <c r="AX1407" t="str">
        <f>""</f>
        <v/>
      </c>
      <c r="AY1407" t="str">
        <f>""</f>
        <v/>
      </c>
      <c r="AZ1407" t="str">
        <f>""</f>
        <v/>
      </c>
      <c r="BA1407" t="str">
        <f>""</f>
        <v/>
      </c>
      <c r="BB1407" t="str">
        <f>"06/07/2023 12:07:48"</f>
        <v>06/07/2023 12:07:48</v>
      </c>
      <c r="BC1407" t="str">
        <f>""</f>
        <v/>
      </c>
      <c r="BD1407" t="str">
        <f>""</f>
        <v/>
      </c>
      <c r="BE1407" t="str">
        <f>""</f>
        <v/>
      </c>
      <c r="BF1407" t="str">
        <f t="shared" si="685"/>
        <v>A</v>
      </c>
      <c r="BG1407" t="str">
        <f>""</f>
        <v/>
      </c>
      <c r="BH1407" t="str">
        <f>""</f>
        <v/>
      </c>
      <c r="BI1407" t="str">
        <f t="shared" si="704"/>
        <v>EVENTUAL</v>
      </c>
      <c r="BJ1407" t="str">
        <f t="shared" si="686"/>
        <v>1</v>
      </c>
      <c r="BK1407" t="str">
        <f t="shared" si="687"/>
        <v>Farmacia</v>
      </c>
      <c r="BL1407" t="str">
        <f>""</f>
        <v/>
      </c>
      <c r="BM1407" t="str">
        <f>""</f>
        <v/>
      </c>
      <c r="BN1407" t="str">
        <f>""</f>
        <v/>
      </c>
      <c r="BO1407" t="str">
        <f>""</f>
        <v/>
      </c>
      <c r="BP1407" t="str">
        <f>""</f>
        <v/>
      </c>
      <c r="BQ1407" t="str">
        <f>""</f>
        <v/>
      </c>
      <c r="BR1407" t="str">
        <f>"06/07/2023"</f>
        <v>06/07/2023</v>
      </c>
      <c r="BS1407" t="str">
        <f>""</f>
        <v/>
      </c>
      <c r="BT1407" t="str">
        <f>""</f>
        <v/>
      </c>
      <c r="BU1407" t="str">
        <f>""</f>
        <v/>
      </c>
      <c r="BV1407" t="str">
        <f>""</f>
        <v/>
      </c>
      <c r="BW1407" t="str">
        <f>"66"</f>
        <v>66</v>
      </c>
    </row>
    <row r="1408" spans="1:75" x14ac:dyDescent="0.35">
      <c r="A1408">
        <v>157753</v>
      </c>
      <c r="B1408" t="str">
        <f t="shared" si="682"/>
        <v>A</v>
      </c>
      <c r="C1408" t="str">
        <f t="shared" si="683"/>
        <v>80</v>
      </c>
      <c r="D1408" t="str">
        <f t="shared" si="706"/>
        <v>11121004</v>
      </c>
      <c r="E1408" t="str">
        <f t="shared" si="707"/>
        <v>121004</v>
      </c>
      <c r="F1408" t="str">
        <f t="shared" si="708"/>
        <v>FABIANA GODOY</v>
      </c>
      <c r="G1408" t="str">
        <f>"28301530000199"</f>
        <v>28301530000199</v>
      </c>
      <c r="H1408" t="str">
        <f t="shared" si="699"/>
        <v>0</v>
      </c>
      <c r="I1408" t="str">
        <f t="shared" si="684"/>
        <v>CONTA OPTICA</v>
      </c>
      <c r="J1408" t="str">
        <f>"JG COMERCIO DE OCULOS LTDA"</f>
        <v>JG COMERCIO DE OCULOS LTDA</v>
      </c>
      <c r="K1408" t="str">
        <f>"VISION OPTICAL CENTER (3829)"</f>
        <v>VISION OPTICAL CENTER (3829)</v>
      </c>
      <c r="L1408" t="str">
        <f>""</f>
        <v/>
      </c>
      <c r="M1408" t="str">
        <f>""</f>
        <v/>
      </c>
      <c r="N1408" t="str">
        <f>"DIRCEREINKE@GMAIL.COM"</f>
        <v>DIRCEREINKE@GMAIL.COM</v>
      </c>
      <c r="O1408" t="str">
        <f>""</f>
        <v/>
      </c>
      <c r="P1408" t="str">
        <f>"RUA PRESIDENTE COSTA E SILVA"</f>
        <v>RUA PRESIDENTE COSTA E SILVA</v>
      </c>
      <c r="Q1408" t="str">
        <f>"150"</f>
        <v>150</v>
      </c>
      <c r="R1408" t="str">
        <f>""</f>
        <v/>
      </c>
      <c r="S1408" t="str">
        <f>"1273"</f>
        <v>1273</v>
      </c>
      <c r="T1408" t="str">
        <f>"89107000"</f>
        <v>89107000</v>
      </c>
      <c r="U1408" t="str">
        <f>"TESTO REGA"</f>
        <v>TESTO REGA</v>
      </c>
      <c r="V1408" t="str">
        <f>"POMERODE"</f>
        <v>POMERODE</v>
      </c>
      <c r="W1408" t="str">
        <f t="shared" si="705"/>
        <v>SC</v>
      </c>
      <c r="X1408" t="str">
        <f t="shared" si="709"/>
        <v>47</v>
      </c>
      <c r="Y1408" t="str">
        <f>"30273398"</f>
        <v>30273398</v>
      </c>
      <c r="Z1408" t="str">
        <f>""</f>
        <v/>
      </c>
      <c r="AA1408" t="str">
        <f>""</f>
        <v/>
      </c>
      <c r="AB1408" t="str">
        <f>""</f>
        <v/>
      </c>
      <c r="AC1408" t="str">
        <f>""</f>
        <v/>
      </c>
      <c r="AD1408" t="str">
        <f>""</f>
        <v/>
      </c>
      <c r="AE1408" t="str">
        <f>""</f>
        <v/>
      </c>
      <c r="AF1408" t="str">
        <f>""</f>
        <v/>
      </c>
      <c r="AG1408" t="str">
        <f>""</f>
        <v/>
      </c>
      <c r="AH1408" t="str">
        <f>""</f>
        <v/>
      </c>
      <c r="AI1408" t="str">
        <f>""</f>
        <v/>
      </c>
      <c r="AJ1408" t="str">
        <f>""</f>
        <v/>
      </c>
      <c r="AK1408" t="str">
        <f>""</f>
        <v/>
      </c>
      <c r="AL1408" t="str">
        <f>""</f>
        <v/>
      </c>
      <c r="AM1408" t="str">
        <f>""</f>
        <v/>
      </c>
      <c r="AN1408" t="str">
        <f>""</f>
        <v/>
      </c>
      <c r="AO1408" t="str">
        <f>""</f>
        <v/>
      </c>
      <c r="AP1408" t="str">
        <f>""</f>
        <v/>
      </c>
      <c r="AQ1408" t="str">
        <f>""</f>
        <v/>
      </c>
      <c r="AR1408" t="str">
        <f>""</f>
        <v/>
      </c>
      <c r="AS1408" t="str">
        <f>""</f>
        <v/>
      </c>
      <c r="AT1408" t="str">
        <f>""</f>
        <v/>
      </c>
      <c r="AU1408" t="str">
        <f>""</f>
        <v/>
      </c>
      <c r="AV1408" t="str">
        <f>""</f>
        <v/>
      </c>
      <c r="AW1408" t="str">
        <f>""</f>
        <v/>
      </c>
      <c r="AX1408" t="str">
        <f>""</f>
        <v/>
      </c>
      <c r="AY1408" t="str">
        <f>""</f>
        <v/>
      </c>
      <c r="AZ1408" t="str">
        <f>""</f>
        <v/>
      </c>
      <c r="BA1408" t="str">
        <f>""</f>
        <v/>
      </c>
      <c r="BB1408" t="str">
        <f>"11/07/2023 02:26:32"</f>
        <v>11/07/2023 02:26:32</v>
      </c>
      <c r="BC1408" t="str">
        <f>""</f>
        <v/>
      </c>
      <c r="BD1408" t="str">
        <f>""</f>
        <v/>
      </c>
      <c r="BE1408" t="str">
        <f>""</f>
        <v/>
      </c>
      <c r="BF1408" t="str">
        <f t="shared" si="685"/>
        <v>A</v>
      </c>
      <c r="BG1408" t="str">
        <f>""</f>
        <v/>
      </c>
      <c r="BH1408" t="str">
        <f>""</f>
        <v/>
      </c>
      <c r="BI1408" t="str">
        <f t="shared" si="704"/>
        <v>EVENTUAL</v>
      </c>
      <c r="BJ1408" t="str">
        <f t="shared" si="686"/>
        <v>1</v>
      </c>
      <c r="BK1408" t="str">
        <f t="shared" si="687"/>
        <v>Farmacia</v>
      </c>
      <c r="BL1408" t="str">
        <f>""</f>
        <v/>
      </c>
      <c r="BM1408" t="str">
        <f>""</f>
        <v/>
      </c>
      <c r="BN1408" t="str">
        <f>""</f>
        <v/>
      </c>
      <c r="BO1408" t="str">
        <f>""</f>
        <v/>
      </c>
      <c r="BP1408" t="str">
        <f>""</f>
        <v/>
      </c>
      <c r="BQ1408" t="str">
        <f>""</f>
        <v/>
      </c>
      <c r="BR1408" t="str">
        <f>"11/07/2023"</f>
        <v>11/07/2023</v>
      </c>
      <c r="BS1408" t="str">
        <f>""</f>
        <v/>
      </c>
      <c r="BT1408" t="str">
        <f>""</f>
        <v/>
      </c>
      <c r="BU1408" t="str">
        <f>""</f>
        <v/>
      </c>
      <c r="BV1408" t="str">
        <f>""</f>
        <v/>
      </c>
      <c r="BW1408" t="str">
        <f>"Não visitado"</f>
        <v>Não visitado</v>
      </c>
    </row>
    <row r="1409" spans="1:75" x14ac:dyDescent="0.35">
      <c r="A1409">
        <v>157098</v>
      </c>
      <c r="B1409" t="str">
        <f t="shared" si="682"/>
        <v>A</v>
      </c>
      <c r="C1409" t="str">
        <f t="shared" si="683"/>
        <v>80</v>
      </c>
      <c r="D1409" t="str">
        <f t="shared" si="706"/>
        <v>11121004</v>
      </c>
      <c r="E1409" t="str">
        <f t="shared" si="707"/>
        <v>121004</v>
      </c>
      <c r="F1409" t="str">
        <f t="shared" si="708"/>
        <v>FABIANA GODOY</v>
      </c>
      <c r="G1409" t="str">
        <f>"46814337000133"</f>
        <v>46814337000133</v>
      </c>
      <c r="H1409" t="str">
        <f t="shared" si="699"/>
        <v>0</v>
      </c>
      <c r="I1409" t="str">
        <f t="shared" si="684"/>
        <v>CONTA OPTICA</v>
      </c>
      <c r="J1409" t="str">
        <f>"JG3 OTICA E ACESSORIOS LTDA"</f>
        <v>JG3 OTICA E ACESSORIOS LTDA</v>
      </c>
      <c r="K1409" t="str">
        <f>"CHILLI BEANS (4567)"</f>
        <v>CHILLI BEANS (4567)</v>
      </c>
      <c r="L1409" t="str">
        <f>""</f>
        <v/>
      </c>
      <c r="M1409" t="str">
        <f>""</f>
        <v/>
      </c>
      <c r="N1409" t="str">
        <f>"JANASCHEFFER@HOTMAIL.COM"</f>
        <v>JANASCHEFFER@HOTMAIL.COM</v>
      </c>
      <c r="O1409" t="str">
        <f>""</f>
        <v/>
      </c>
      <c r="P1409" t="str">
        <f>"JOAO SACAVEM"</f>
        <v>JOAO SACAVEM</v>
      </c>
      <c r="Q1409" t="str">
        <f>"264"</f>
        <v>264</v>
      </c>
      <c r="R1409" t="str">
        <f>""</f>
        <v/>
      </c>
      <c r="S1409" t="str">
        <f>""</f>
        <v/>
      </c>
      <c r="T1409" t="str">
        <f>"88370438"</f>
        <v>88370438</v>
      </c>
      <c r="U1409" t="str">
        <f>"CENTRO"</f>
        <v>CENTRO</v>
      </c>
      <c r="V1409" t="str">
        <f>"NAVEGANTES"</f>
        <v>NAVEGANTES</v>
      </c>
      <c r="W1409" t="str">
        <f t="shared" si="705"/>
        <v>SC</v>
      </c>
      <c r="X1409" t="str">
        <f>"46"</f>
        <v>46</v>
      </c>
      <c r="Y1409" t="str">
        <f>"999158208"</f>
        <v>999158208</v>
      </c>
      <c r="Z1409" t="str">
        <f>""</f>
        <v/>
      </c>
      <c r="AA1409" t="str">
        <f>""</f>
        <v/>
      </c>
      <c r="AB1409" t="str">
        <f>""</f>
        <v/>
      </c>
      <c r="AC1409" t="str">
        <f>""</f>
        <v/>
      </c>
      <c r="AD1409" t="str">
        <f>""</f>
        <v/>
      </c>
      <c r="AE1409" t="str">
        <f>""</f>
        <v/>
      </c>
      <c r="AF1409" t="str">
        <f>""</f>
        <v/>
      </c>
      <c r="AG1409" t="str">
        <f>"S"</f>
        <v>S</v>
      </c>
      <c r="AH1409" t="str">
        <f>""</f>
        <v/>
      </c>
      <c r="AI1409" t="str">
        <f>""</f>
        <v/>
      </c>
      <c r="AJ1409" t="str">
        <f>""</f>
        <v/>
      </c>
      <c r="AK1409" t="str">
        <f>""</f>
        <v/>
      </c>
      <c r="AL1409" t="str">
        <f>""</f>
        <v/>
      </c>
      <c r="AM1409" t="str">
        <f>""</f>
        <v/>
      </c>
      <c r="AN1409" t="str">
        <f>""</f>
        <v/>
      </c>
      <c r="AO1409" t="str">
        <f>""</f>
        <v/>
      </c>
      <c r="AP1409" t="str">
        <f>""</f>
        <v/>
      </c>
      <c r="AQ1409" t="str">
        <f t="shared" ref="AQ1409:AU1411" si="711">"N"</f>
        <v>N</v>
      </c>
      <c r="AR1409" t="str">
        <f t="shared" si="711"/>
        <v>N</v>
      </c>
      <c r="AS1409" t="str">
        <f t="shared" si="711"/>
        <v>N</v>
      </c>
      <c r="AT1409" t="str">
        <f t="shared" si="711"/>
        <v>N</v>
      </c>
      <c r="AU1409" t="str">
        <f t="shared" si="711"/>
        <v>N</v>
      </c>
      <c r="AV1409" t="str">
        <f>""</f>
        <v/>
      </c>
      <c r="AW1409" t="str">
        <f>""</f>
        <v/>
      </c>
      <c r="AX1409" t="str">
        <f>""</f>
        <v/>
      </c>
      <c r="AY1409" t="str">
        <f>""</f>
        <v/>
      </c>
      <c r="AZ1409" t="str">
        <f>""</f>
        <v/>
      </c>
      <c r="BA1409" t="str">
        <f>""</f>
        <v/>
      </c>
      <c r="BB1409" t="str">
        <f>"06/07/2023 12:07:48"</f>
        <v>06/07/2023 12:07:48</v>
      </c>
      <c r="BC1409" t="str">
        <f>"14/07/2023 10:45:21"</f>
        <v>14/07/2023 10:45:21</v>
      </c>
      <c r="BD1409" t="str">
        <f>""</f>
        <v/>
      </c>
      <c r="BE1409" t="str">
        <f>""</f>
        <v/>
      </c>
      <c r="BF1409" t="str">
        <f t="shared" si="685"/>
        <v>A</v>
      </c>
      <c r="BG1409" t="str">
        <f>""</f>
        <v/>
      </c>
      <c r="BH1409" t="str">
        <f>"0,00"</f>
        <v>0,00</v>
      </c>
      <c r="BI1409" t="str">
        <f>"MENSAL"</f>
        <v>MENSAL</v>
      </c>
      <c r="BJ1409" t="str">
        <f t="shared" si="686"/>
        <v>1</v>
      </c>
      <c r="BK1409" t="str">
        <f t="shared" si="687"/>
        <v>Farmacia</v>
      </c>
      <c r="BL1409" t="str">
        <f>""</f>
        <v/>
      </c>
      <c r="BM1409" t="str">
        <f>""</f>
        <v/>
      </c>
      <c r="BN1409" t="str">
        <f>""</f>
        <v/>
      </c>
      <c r="BO1409" t="str">
        <f>""</f>
        <v/>
      </c>
      <c r="BP1409" t="str">
        <f>""</f>
        <v/>
      </c>
      <c r="BQ1409" t="str">
        <f>""</f>
        <v/>
      </c>
      <c r="BR1409" t="str">
        <f>"06/07/2023"</f>
        <v>06/07/2023</v>
      </c>
      <c r="BS1409" t="str">
        <f>"14/07/2023"</f>
        <v>14/07/2023</v>
      </c>
      <c r="BT1409" t="str">
        <f>""</f>
        <v/>
      </c>
      <c r="BU1409" t="str">
        <f>""</f>
        <v/>
      </c>
      <c r="BV1409" t="str">
        <f>""</f>
        <v/>
      </c>
      <c r="BW1409" t="str">
        <f>"16"</f>
        <v>16</v>
      </c>
    </row>
    <row r="1410" spans="1:75" x14ac:dyDescent="0.35">
      <c r="A1410">
        <v>137646</v>
      </c>
      <c r="B1410" t="str">
        <f t="shared" ref="B1410:B1473" si="712">"A"</f>
        <v>A</v>
      </c>
      <c r="C1410" t="str">
        <f t="shared" ref="C1410:C1473" si="713">"80"</f>
        <v>80</v>
      </c>
      <c r="D1410" t="str">
        <f t="shared" si="706"/>
        <v>11121004</v>
      </c>
      <c r="E1410" t="str">
        <f t="shared" si="707"/>
        <v>121004</v>
      </c>
      <c r="F1410" t="str">
        <f t="shared" si="708"/>
        <v>FABIANA GODOY</v>
      </c>
      <c r="G1410" t="str">
        <f>"21511537000196"</f>
        <v>21511537000196</v>
      </c>
      <c r="H1410" t="str">
        <f t="shared" si="699"/>
        <v>0</v>
      </c>
      <c r="I1410" t="str">
        <f t="shared" ref="I1410:I1473" si="714">"CONTA OPTICA"</f>
        <v>CONTA OPTICA</v>
      </c>
      <c r="J1410" t="str">
        <f>"JMN OTICA LTDA - ME"</f>
        <v>JMN OTICA LTDA - ME</v>
      </c>
      <c r="K1410" t="str">
        <f>"OTICA BELLAVISORAMA (2254)"</f>
        <v>OTICA BELLAVISORAMA (2254)</v>
      </c>
      <c r="L1410" t="str">
        <f>""</f>
        <v/>
      </c>
      <c r="M1410" t="str">
        <f>""</f>
        <v/>
      </c>
      <c r="N1410" t="str">
        <f>"oticabellavisorama@gmail.com"</f>
        <v>oticabellavisorama@gmail.com</v>
      </c>
      <c r="O1410" t="str">
        <f>""</f>
        <v/>
      </c>
      <c r="P1410" t="str">
        <f>"RUA SETE DE SETEMBRO"</f>
        <v>RUA SETE DE SETEMBRO</v>
      </c>
      <c r="Q1410" t="str">
        <f>"2068"</f>
        <v>2068</v>
      </c>
      <c r="R1410" t="str">
        <f>"SALA 01"</f>
        <v>SALA 01</v>
      </c>
      <c r="S1410" t="str">
        <f>"1275"</f>
        <v>1275</v>
      </c>
      <c r="T1410" t="str">
        <f>"89157000"</f>
        <v>89157000</v>
      </c>
      <c r="U1410" t="str">
        <f>"CENTRO"</f>
        <v>CENTRO</v>
      </c>
      <c r="V1410" t="str">
        <f>"WITMARSUM"</f>
        <v>WITMARSUM</v>
      </c>
      <c r="W1410" t="str">
        <f t="shared" si="705"/>
        <v>SC</v>
      </c>
      <c r="X1410" t="str">
        <f t="shared" ref="X1410:X1432" si="715">"47"</f>
        <v>47</v>
      </c>
      <c r="Y1410" t="str">
        <f>"33522114"</f>
        <v>33522114</v>
      </c>
      <c r="Z1410" t="str">
        <f>""</f>
        <v/>
      </c>
      <c r="AA1410" t="str">
        <f>""</f>
        <v/>
      </c>
      <c r="AB1410" t="str">
        <f>""</f>
        <v/>
      </c>
      <c r="AC1410" t="str">
        <f>""</f>
        <v/>
      </c>
      <c r="AD1410" t="str">
        <f>""</f>
        <v/>
      </c>
      <c r="AE1410" t="str">
        <f>""</f>
        <v/>
      </c>
      <c r="AF1410" t="str">
        <f>""</f>
        <v/>
      </c>
      <c r="AG1410" t="str">
        <f>"S"</f>
        <v>S</v>
      </c>
      <c r="AH1410" t="str">
        <f>""</f>
        <v/>
      </c>
      <c r="AI1410" t="str">
        <f>""</f>
        <v/>
      </c>
      <c r="AJ1410" t="str">
        <f>""</f>
        <v/>
      </c>
      <c r="AK1410" t="str">
        <f>""</f>
        <v/>
      </c>
      <c r="AL1410" t="str">
        <f>""</f>
        <v/>
      </c>
      <c r="AM1410" t="str">
        <f>""</f>
        <v/>
      </c>
      <c r="AN1410" t="str">
        <f>""</f>
        <v/>
      </c>
      <c r="AO1410" t="str">
        <f>""</f>
        <v/>
      </c>
      <c r="AP1410" t="str">
        <f>""</f>
        <v/>
      </c>
      <c r="AQ1410" t="str">
        <f t="shared" si="711"/>
        <v>N</v>
      </c>
      <c r="AR1410" t="str">
        <f t="shared" si="711"/>
        <v>N</v>
      </c>
      <c r="AS1410" t="str">
        <f t="shared" si="711"/>
        <v>N</v>
      </c>
      <c r="AT1410" t="str">
        <f t="shared" si="711"/>
        <v>N</v>
      </c>
      <c r="AU1410" t="str">
        <f t="shared" si="711"/>
        <v>N</v>
      </c>
      <c r="AV1410" t="str">
        <f>""</f>
        <v/>
      </c>
      <c r="AW1410" t="str">
        <f>""</f>
        <v/>
      </c>
      <c r="AX1410" t="str">
        <f>""</f>
        <v/>
      </c>
      <c r="AY1410" t="str">
        <f>""</f>
        <v/>
      </c>
      <c r="AZ1410" t="str">
        <f>""</f>
        <v/>
      </c>
      <c r="BA1410" t="str">
        <f>""</f>
        <v/>
      </c>
      <c r="BB1410" t="str">
        <f>"01/07/2021 13:53:04"</f>
        <v>01/07/2021 13:53:04</v>
      </c>
      <c r="BC1410" t="str">
        <f>"24/02/2022 17:54:20"</f>
        <v>24/02/2022 17:54:20</v>
      </c>
      <c r="BD1410" t="str">
        <f>""</f>
        <v/>
      </c>
      <c r="BE1410" t="str">
        <f>""</f>
        <v/>
      </c>
      <c r="BF1410" t="str">
        <f t="shared" ref="BF1410:BF1473" si="716">"A"</f>
        <v>A</v>
      </c>
      <c r="BG1410" t="str">
        <f>""</f>
        <v/>
      </c>
      <c r="BH1410" t="str">
        <f>"0,00"</f>
        <v>0,00</v>
      </c>
      <c r="BI1410" t="str">
        <f t="shared" ref="BI1410:BI1416" si="717">"EVENTUAL"</f>
        <v>EVENTUAL</v>
      </c>
      <c r="BJ1410" t="str">
        <f t="shared" ref="BJ1410:BJ1473" si="718">"1"</f>
        <v>1</v>
      </c>
      <c r="BK1410" t="str">
        <f t="shared" ref="BK1410:BK1473" si="719">"Farmacia"</f>
        <v>Farmacia</v>
      </c>
      <c r="BL1410" t="str">
        <f>""</f>
        <v/>
      </c>
      <c r="BM1410" t="str">
        <f>"NÃO É VARILUX ESPECIALISTA"</f>
        <v>NÃO É VARILUX ESPECIALISTA</v>
      </c>
      <c r="BN1410" t="str">
        <f>"NA"</f>
        <v>NA</v>
      </c>
      <c r="BO1410" t="str">
        <f>"OUTROS"</f>
        <v>OUTROS</v>
      </c>
      <c r="BP1410" t="str">
        <f>""</f>
        <v/>
      </c>
      <c r="BQ1410" t="str">
        <f>""</f>
        <v/>
      </c>
      <c r="BR1410" t="str">
        <f>"01/07/2021"</f>
        <v>01/07/2021</v>
      </c>
      <c r="BS1410" t="str">
        <f>"24/02/2022"</f>
        <v>24/02/2022</v>
      </c>
      <c r="BT1410" t="str">
        <f>""</f>
        <v/>
      </c>
      <c r="BU1410" t="str">
        <f>""</f>
        <v/>
      </c>
      <c r="BV1410" t="str">
        <f>""</f>
        <v/>
      </c>
      <c r="BW1410" t="str">
        <f>"745"</f>
        <v>745</v>
      </c>
    </row>
    <row r="1411" spans="1:75" x14ac:dyDescent="0.35">
      <c r="A1411">
        <v>137647</v>
      </c>
      <c r="B1411" t="str">
        <f t="shared" si="712"/>
        <v>A</v>
      </c>
      <c r="C1411" t="str">
        <f t="shared" si="713"/>
        <v>80</v>
      </c>
      <c r="D1411" t="str">
        <f t="shared" si="706"/>
        <v>11121004</v>
      </c>
      <c r="E1411" t="str">
        <f t="shared" si="707"/>
        <v>121004</v>
      </c>
      <c r="F1411" t="str">
        <f t="shared" si="708"/>
        <v>FABIANA GODOY</v>
      </c>
      <c r="G1411" t="str">
        <f>"85311751000181"</f>
        <v>85311751000181</v>
      </c>
      <c r="H1411" t="str">
        <f t="shared" si="699"/>
        <v>0</v>
      </c>
      <c r="I1411" t="str">
        <f t="shared" si="714"/>
        <v>CONTA OPTICA</v>
      </c>
      <c r="J1411" t="str">
        <f>"JOALHERIA CELSO LTDA ME"</f>
        <v>JOALHERIA CELSO LTDA ME</v>
      </c>
      <c r="K1411" t="str">
        <f>"JOALHERIA CELSO LTDA ME (475)"</f>
        <v>JOALHERIA CELSO LTDA ME (475)</v>
      </c>
      <c r="L1411" t="str">
        <f>""</f>
        <v/>
      </c>
      <c r="M1411" t="str">
        <f>""</f>
        <v/>
      </c>
      <c r="N1411" t="str">
        <f>"priscila.ferreira@oticacelso.com.br"</f>
        <v>priscila.ferreira@oticacelso.com.br</v>
      </c>
      <c r="O1411" t="str">
        <f>""</f>
        <v/>
      </c>
      <c r="P1411" t="str">
        <f>"RUA MARECHAL FLORIANO PEIXOTO"</f>
        <v>RUA MARECHAL FLORIANO PEIXOTO</v>
      </c>
      <c r="Q1411" t="str">
        <f>"89"</f>
        <v>89</v>
      </c>
      <c r="R1411" t="str">
        <f>""</f>
        <v/>
      </c>
      <c r="S1411" t="str">
        <f>"1272"</f>
        <v>1272</v>
      </c>
      <c r="T1411" t="str">
        <f>"89010500"</f>
        <v>89010500</v>
      </c>
      <c r="U1411" t="str">
        <f>"CENTRO"</f>
        <v>CENTRO</v>
      </c>
      <c r="V1411" t="str">
        <f>"BLUMENAU"</f>
        <v>BLUMENAU</v>
      </c>
      <c r="W1411" t="str">
        <f t="shared" si="705"/>
        <v>SC</v>
      </c>
      <c r="X1411" t="str">
        <f t="shared" si="715"/>
        <v>47</v>
      </c>
      <c r="Y1411" t="str">
        <f>"32222780"</f>
        <v>32222780</v>
      </c>
      <c r="Z1411" t="str">
        <f>""</f>
        <v/>
      </c>
      <c r="AA1411" t="str">
        <f>""</f>
        <v/>
      </c>
      <c r="AB1411" t="str">
        <f>""</f>
        <v/>
      </c>
      <c r="AC1411" t="str">
        <f>""</f>
        <v/>
      </c>
      <c r="AD1411" t="str">
        <f>""</f>
        <v/>
      </c>
      <c r="AE1411" t="str">
        <f>""</f>
        <v/>
      </c>
      <c r="AF1411" t="str">
        <f>""</f>
        <v/>
      </c>
      <c r="AG1411" t="str">
        <f>"S"</f>
        <v>S</v>
      </c>
      <c r="AH1411" t="str">
        <f>""</f>
        <v/>
      </c>
      <c r="AI1411" t="str">
        <f>""</f>
        <v/>
      </c>
      <c r="AJ1411" t="str">
        <f>""</f>
        <v/>
      </c>
      <c r="AK1411" t="str">
        <f>""</f>
        <v/>
      </c>
      <c r="AL1411" t="str">
        <f>""</f>
        <v/>
      </c>
      <c r="AM1411" t="str">
        <f>""</f>
        <v/>
      </c>
      <c r="AN1411" t="str">
        <f>""</f>
        <v/>
      </c>
      <c r="AO1411" t="str">
        <f>""</f>
        <v/>
      </c>
      <c r="AP1411" t="str">
        <f>""</f>
        <v/>
      </c>
      <c r="AQ1411" t="str">
        <f t="shared" si="711"/>
        <v>N</v>
      </c>
      <c r="AR1411" t="str">
        <f t="shared" si="711"/>
        <v>N</v>
      </c>
      <c r="AS1411" t="str">
        <f t="shared" si="711"/>
        <v>N</v>
      </c>
      <c r="AT1411" t="str">
        <f t="shared" si="711"/>
        <v>N</v>
      </c>
      <c r="AU1411" t="str">
        <f t="shared" si="711"/>
        <v>N</v>
      </c>
      <c r="AV1411" t="str">
        <f>""</f>
        <v/>
      </c>
      <c r="AW1411" t="str">
        <f>""</f>
        <v/>
      </c>
      <c r="AX1411" t="str">
        <f>""</f>
        <v/>
      </c>
      <c r="AY1411" t="str">
        <f>""</f>
        <v/>
      </c>
      <c r="AZ1411" t="str">
        <f>""</f>
        <v/>
      </c>
      <c r="BA1411" t="str">
        <f>""</f>
        <v/>
      </c>
      <c r="BB1411" t="str">
        <f>"01/07/2021 13:53:04"</f>
        <v>01/07/2021 13:53:04</v>
      </c>
      <c r="BC1411" t="str">
        <f>"13/01/2022 09:21:51"</f>
        <v>13/01/2022 09:21:51</v>
      </c>
      <c r="BD1411" t="str">
        <f>""</f>
        <v/>
      </c>
      <c r="BE1411" t="str">
        <f>""</f>
        <v/>
      </c>
      <c r="BF1411" t="str">
        <f t="shared" si="716"/>
        <v>A</v>
      </c>
      <c r="BG1411" t="str">
        <f>""</f>
        <v/>
      </c>
      <c r="BH1411" t="str">
        <f>"0,00"</f>
        <v>0,00</v>
      </c>
      <c r="BI1411" t="str">
        <f t="shared" si="717"/>
        <v>EVENTUAL</v>
      </c>
      <c r="BJ1411" t="str">
        <f t="shared" si="718"/>
        <v>1</v>
      </c>
      <c r="BK1411" t="str">
        <f t="shared" si="719"/>
        <v>Farmacia</v>
      </c>
      <c r="BL1411" t="str">
        <f>""</f>
        <v/>
      </c>
      <c r="BM1411" t="str">
        <f>"VARILUX ESPECIALISTA SELECT"</f>
        <v>VARILUX ESPECIALISTA SELECT</v>
      </c>
      <c r="BN1411" t="str">
        <f>"NA"</f>
        <v>NA</v>
      </c>
      <c r="BO1411" t="str">
        <f>"FOCO VARILUX DIGITAL"</f>
        <v>FOCO VARILUX DIGITAL</v>
      </c>
      <c r="BP1411" t="str">
        <f>""</f>
        <v/>
      </c>
      <c r="BQ1411" t="str">
        <f>""</f>
        <v/>
      </c>
      <c r="BR1411" t="str">
        <f>"01/07/2021"</f>
        <v>01/07/2021</v>
      </c>
      <c r="BS1411" t="str">
        <f>"13/01/2022"</f>
        <v>13/01/2022</v>
      </c>
      <c r="BT1411" t="str">
        <f>""</f>
        <v/>
      </c>
      <c r="BU1411" t="str">
        <f>""</f>
        <v/>
      </c>
      <c r="BV1411" t="str">
        <f>""</f>
        <v/>
      </c>
      <c r="BW1411" t="str">
        <f>"45"</f>
        <v>45</v>
      </c>
    </row>
    <row r="1412" spans="1:75" x14ac:dyDescent="0.35">
      <c r="A1412">
        <v>1255</v>
      </c>
      <c r="B1412" t="str">
        <f t="shared" si="712"/>
        <v>A</v>
      </c>
      <c r="C1412" t="str">
        <f t="shared" si="713"/>
        <v>80</v>
      </c>
      <c r="D1412" t="str">
        <f t="shared" si="706"/>
        <v>11121004</v>
      </c>
      <c r="E1412" t="str">
        <f t="shared" si="707"/>
        <v>121004</v>
      </c>
      <c r="F1412" t="str">
        <f t="shared" si="708"/>
        <v>FABIANA GODOY</v>
      </c>
      <c r="G1412" t="str">
        <f>"03157060000100"</f>
        <v>03157060000100</v>
      </c>
      <c r="H1412" t="str">
        <f>""</f>
        <v/>
      </c>
      <c r="I1412" t="str">
        <f t="shared" si="714"/>
        <v>CONTA OPTICA</v>
      </c>
      <c r="J1412" t="str">
        <f>"JOALHERIA E OPTICA DIETRICH LTDA ME"</f>
        <v>JOALHERIA E OPTICA DIETRICH LTDA ME</v>
      </c>
      <c r="K1412" t="str">
        <f>"JOALHERIA E OPTICA DIETRICH LTDA ME (1200)"</f>
        <v>JOALHERIA E OPTICA DIETRICH LTDA ME (1200)</v>
      </c>
      <c r="L1412" t="str">
        <f>""</f>
        <v/>
      </c>
      <c r="M1412" t="str">
        <f>""</f>
        <v/>
      </c>
      <c r="N1412" t="str">
        <f>"oticadietrich@ig.com.br"</f>
        <v>oticadietrich@ig.com.br</v>
      </c>
      <c r="O1412" t="str">
        <f>""</f>
        <v/>
      </c>
      <c r="P1412" t="str">
        <f>"RUA GENERAL OSORIO"</f>
        <v>RUA GENERAL OSORIO</v>
      </c>
      <c r="Q1412" t="str">
        <f>"2125"</f>
        <v>2125</v>
      </c>
      <c r="R1412" t="str">
        <f>"SALA 05"</f>
        <v>SALA 05</v>
      </c>
      <c r="S1412" t="str">
        <f>"1273"</f>
        <v>1273</v>
      </c>
      <c r="T1412" t="str">
        <f>"89041003"</f>
        <v>89041003</v>
      </c>
      <c r="U1412" t="str">
        <f>"VELHA"</f>
        <v>VELHA</v>
      </c>
      <c r="V1412" t="str">
        <f>"BLUMENAU"</f>
        <v>BLUMENAU</v>
      </c>
      <c r="W1412" t="str">
        <f t="shared" si="705"/>
        <v>SC</v>
      </c>
      <c r="X1412" t="str">
        <f t="shared" si="715"/>
        <v>47</v>
      </c>
      <c r="Y1412" t="str">
        <f>"33280836"</f>
        <v>33280836</v>
      </c>
      <c r="Z1412" t="str">
        <f>""</f>
        <v/>
      </c>
      <c r="AA1412" t="str">
        <f>""</f>
        <v/>
      </c>
      <c r="AB1412" t="str">
        <f>""</f>
        <v/>
      </c>
      <c r="AC1412" t="str">
        <f>""</f>
        <v/>
      </c>
      <c r="AD1412" t="str">
        <f>""</f>
        <v/>
      </c>
      <c r="AE1412" t="str">
        <f>""</f>
        <v/>
      </c>
      <c r="AF1412" t="str">
        <f>""</f>
        <v/>
      </c>
      <c r="AG1412" t="str">
        <f>""</f>
        <v/>
      </c>
      <c r="AH1412" t="str">
        <f>""</f>
        <v/>
      </c>
      <c r="AI1412" t="str">
        <f>""</f>
        <v/>
      </c>
      <c r="AJ1412" t="str">
        <f>"0"</f>
        <v>0</v>
      </c>
      <c r="AK1412" t="str">
        <f>"0"</f>
        <v>0</v>
      </c>
      <c r="AL1412" t="str">
        <f>"0"</f>
        <v>0</v>
      </c>
      <c r="AM1412" t="str">
        <f>""</f>
        <v/>
      </c>
      <c r="AN1412" t="str">
        <f>""</f>
        <v/>
      </c>
      <c r="AO1412" t="str">
        <f>""</f>
        <v/>
      </c>
      <c r="AP1412" t="str">
        <f>""</f>
        <v/>
      </c>
      <c r="AQ1412" t="str">
        <f>""</f>
        <v/>
      </c>
      <c r="AR1412" t="str">
        <f>""</f>
        <v/>
      </c>
      <c r="AS1412" t="str">
        <f>""</f>
        <v/>
      </c>
      <c r="AT1412" t="str">
        <f>""</f>
        <v/>
      </c>
      <c r="AU1412" t="str">
        <f>""</f>
        <v/>
      </c>
      <c r="AV1412" t="str">
        <f>""</f>
        <v/>
      </c>
      <c r="AW1412" t="str">
        <f>""</f>
        <v/>
      </c>
      <c r="AX1412" t="str">
        <f>""</f>
        <v/>
      </c>
      <c r="AY1412" t="str">
        <f>""</f>
        <v/>
      </c>
      <c r="AZ1412" t="str">
        <f>""</f>
        <v/>
      </c>
      <c r="BA1412" t="str">
        <f>""</f>
        <v/>
      </c>
      <c r="BB1412" t="str">
        <f>"27/07/2018 09:26:11"</f>
        <v>27/07/2018 09:26:11</v>
      </c>
      <c r="BC1412" t="str">
        <f>""</f>
        <v/>
      </c>
      <c r="BD1412" t="str">
        <f>""</f>
        <v/>
      </c>
      <c r="BE1412" t="str">
        <f>"1255"</f>
        <v>1255</v>
      </c>
      <c r="BF1412" t="str">
        <f t="shared" si="716"/>
        <v>A</v>
      </c>
      <c r="BG1412" t="str">
        <f>"0,00"</f>
        <v>0,00</v>
      </c>
      <c r="BH1412" t="str">
        <f>"0,00"</f>
        <v>0,00</v>
      </c>
      <c r="BI1412" t="str">
        <f t="shared" si="717"/>
        <v>EVENTUAL</v>
      </c>
      <c r="BJ1412" t="str">
        <f t="shared" si="718"/>
        <v>1</v>
      </c>
      <c r="BK1412" t="str">
        <f t="shared" si="719"/>
        <v>Farmacia</v>
      </c>
      <c r="BL1412" t="str">
        <f>""</f>
        <v/>
      </c>
      <c r="BM1412" t="str">
        <f>"NÃO É VARILUX ESPECIALISTA"</f>
        <v>NÃO É VARILUX ESPECIALISTA</v>
      </c>
      <c r="BN1412" t="str">
        <f>"NA"</f>
        <v>NA</v>
      </c>
      <c r="BO1412" t="str">
        <f>"FOCO VARILUX DIGITAL"</f>
        <v>FOCO VARILUX DIGITAL</v>
      </c>
      <c r="BP1412" t="str">
        <f>""</f>
        <v/>
      </c>
      <c r="BQ1412" t="str">
        <f>""</f>
        <v/>
      </c>
      <c r="BR1412" t="str">
        <f>"27/07/2018"</f>
        <v>27/07/2018</v>
      </c>
      <c r="BS1412" t="str">
        <f>""</f>
        <v/>
      </c>
      <c r="BT1412" t="str">
        <f>""</f>
        <v/>
      </c>
      <c r="BU1412" t="str">
        <f>""</f>
        <v/>
      </c>
      <c r="BV1412" t="str">
        <f>"3"</f>
        <v>3</v>
      </c>
      <c r="BW1412" t="str">
        <f>"31"</f>
        <v>31</v>
      </c>
    </row>
    <row r="1413" spans="1:75" x14ac:dyDescent="0.35">
      <c r="A1413">
        <v>157760</v>
      </c>
      <c r="B1413" t="str">
        <f t="shared" si="712"/>
        <v>A</v>
      </c>
      <c r="C1413" t="str">
        <f t="shared" si="713"/>
        <v>80</v>
      </c>
      <c r="D1413" t="str">
        <f t="shared" si="706"/>
        <v>11121004</v>
      </c>
      <c r="E1413" t="str">
        <f t="shared" si="707"/>
        <v>121004</v>
      </c>
      <c r="F1413" t="str">
        <f t="shared" si="708"/>
        <v>FABIANA GODOY</v>
      </c>
      <c r="G1413" t="str">
        <f>"13665892000191"</f>
        <v>13665892000191</v>
      </c>
      <c r="H1413" t="str">
        <f t="shared" ref="H1413:H1418" si="720">"0"</f>
        <v>0</v>
      </c>
      <c r="I1413" t="str">
        <f t="shared" si="714"/>
        <v>CONTA OPTICA</v>
      </c>
      <c r="J1413" t="str">
        <f>"JOALHERIA E OPTICA REQUINTE LTDA ME"</f>
        <v>JOALHERIA E OPTICA REQUINTE LTDA ME</v>
      </c>
      <c r="K1413" t="str">
        <f>"JOALHERIA E OPTICA REQUINTE LTDA ME (1829)"</f>
        <v>JOALHERIA E OPTICA REQUINTE LTDA ME (1829)</v>
      </c>
      <c r="L1413" t="str">
        <f>""</f>
        <v/>
      </c>
      <c r="M1413" t="str">
        <f>""</f>
        <v/>
      </c>
      <c r="N1413" t="str">
        <f>"JOALHERIAREQUINTE@HOTMAIL.COM"</f>
        <v>JOALHERIAREQUINTE@HOTMAIL.COM</v>
      </c>
      <c r="O1413" t="str">
        <f>""</f>
        <v/>
      </c>
      <c r="P1413" t="str">
        <f>"RUA MARECHAL DEODORO DA FONSECA"</f>
        <v>RUA MARECHAL DEODORO DA FONSECA</v>
      </c>
      <c r="Q1413" t="str">
        <f>"143"</f>
        <v>143</v>
      </c>
      <c r="R1413" t="str">
        <f>"CENTRO"</f>
        <v>CENTRO</v>
      </c>
      <c r="S1413" t="str">
        <f>"1275"</f>
        <v>1275</v>
      </c>
      <c r="T1413" t="str">
        <f>"89130000"</f>
        <v>89130000</v>
      </c>
      <c r="U1413" t="str">
        <f>"CENTRO"</f>
        <v>CENTRO</v>
      </c>
      <c r="V1413" t="str">
        <f>"INDAIAL"</f>
        <v>INDAIAL</v>
      </c>
      <c r="W1413" t="str">
        <f t="shared" si="705"/>
        <v>SC</v>
      </c>
      <c r="X1413" t="str">
        <f t="shared" si="715"/>
        <v>47</v>
      </c>
      <c r="Y1413" t="str">
        <f>"33335180"</f>
        <v>33335180</v>
      </c>
      <c r="Z1413" t="str">
        <f>""</f>
        <v/>
      </c>
      <c r="AA1413" t="str">
        <f>""</f>
        <v/>
      </c>
      <c r="AB1413" t="str">
        <f>""</f>
        <v/>
      </c>
      <c r="AC1413" t="str">
        <f>""</f>
        <v/>
      </c>
      <c r="AD1413" t="str">
        <f>""</f>
        <v/>
      </c>
      <c r="AE1413" t="str">
        <f>""</f>
        <v/>
      </c>
      <c r="AF1413" t="str">
        <f>""</f>
        <v/>
      </c>
      <c r="AG1413" t="str">
        <f>""</f>
        <v/>
      </c>
      <c r="AH1413" t="str">
        <f>""</f>
        <v/>
      </c>
      <c r="AI1413" t="str">
        <f>""</f>
        <v/>
      </c>
      <c r="AJ1413" t="str">
        <f>""</f>
        <v/>
      </c>
      <c r="AK1413" t="str">
        <f>""</f>
        <v/>
      </c>
      <c r="AL1413" t="str">
        <f>""</f>
        <v/>
      </c>
      <c r="AM1413" t="str">
        <f>""</f>
        <v/>
      </c>
      <c r="AN1413" t="str">
        <f>""</f>
        <v/>
      </c>
      <c r="AO1413" t="str">
        <f>""</f>
        <v/>
      </c>
      <c r="AP1413" t="str">
        <f>""</f>
        <v/>
      </c>
      <c r="AQ1413" t="str">
        <f>""</f>
        <v/>
      </c>
      <c r="AR1413" t="str">
        <f>""</f>
        <v/>
      </c>
      <c r="AS1413" t="str">
        <f>""</f>
        <v/>
      </c>
      <c r="AT1413" t="str">
        <f>""</f>
        <v/>
      </c>
      <c r="AU1413" t="str">
        <f>""</f>
        <v/>
      </c>
      <c r="AV1413" t="str">
        <f>""</f>
        <v/>
      </c>
      <c r="AW1413" t="str">
        <f>""</f>
        <v/>
      </c>
      <c r="AX1413" t="str">
        <f>""</f>
        <v/>
      </c>
      <c r="AY1413" t="str">
        <f>""</f>
        <v/>
      </c>
      <c r="AZ1413" t="str">
        <f>""</f>
        <v/>
      </c>
      <c r="BA1413" t="str">
        <f>""</f>
        <v/>
      </c>
      <c r="BB1413" t="str">
        <f>"11/07/2023 02:26:32"</f>
        <v>11/07/2023 02:26:32</v>
      </c>
      <c r="BC1413" t="str">
        <f>""</f>
        <v/>
      </c>
      <c r="BD1413" t="str">
        <f>""</f>
        <v/>
      </c>
      <c r="BE1413" t="str">
        <f>""</f>
        <v/>
      </c>
      <c r="BF1413" t="str">
        <f t="shared" si="716"/>
        <v>A</v>
      </c>
      <c r="BG1413" t="str">
        <f>""</f>
        <v/>
      </c>
      <c r="BH1413" t="str">
        <f>""</f>
        <v/>
      </c>
      <c r="BI1413" t="str">
        <f t="shared" si="717"/>
        <v>EVENTUAL</v>
      </c>
      <c r="BJ1413" t="str">
        <f t="shared" si="718"/>
        <v>1</v>
      </c>
      <c r="BK1413" t="str">
        <f t="shared" si="719"/>
        <v>Farmacia</v>
      </c>
      <c r="BL1413" t="str">
        <f>""</f>
        <v/>
      </c>
      <c r="BM1413" t="str">
        <f>""</f>
        <v/>
      </c>
      <c r="BN1413" t="str">
        <f>""</f>
        <v/>
      </c>
      <c r="BO1413" t="str">
        <f>""</f>
        <v/>
      </c>
      <c r="BP1413" t="str">
        <f>""</f>
        <v/>
      </c>
      <c r="BQ1413" t="str">
        <f>""</f>
        <v/>
      </c>
      <c r="BR1413" t="str">
        <f>"11/07/2023"</f>
        <v>11/07/2023</v>
      </c>
      <c r="BS1413" t="str">
        <f>""</f>
        <v/>
      </c>
      <c r="BT1413" t="str">
        <f>""</f>
        <v/>
      </c>
      <c r="BU1413" t="str">
        <f>""</f>
        <v/>
      </c>
      <c r="BV1413" t="str">
        <f>""</f>
        <v/>
      </c>
      <c r="BW1413" t="str">
        <f>"Não visitado"</f>
        <v>Não visitado</v>
      </c>
    </row>
    <row r="1414" spans="1:75" x14ac:dyDescent="0.35">
      <c r="A1414">
        <v>157083</v>
      </c>
      <c r="B1414" t="str">
        <f t="shared" si="712"/>
        <v>A</v>
      </c>
      <c r="C1414" t="str">
        <f t="shared" si="713"/>
        <v>80</v>
      </c>
      <c r="D1414" t="str">
        <f t="shared" si="706"/>
        <v>11121004</v>
      </c>
      <c r="E1414" t="str">
        <f t="shared" si="707"/>
        <v>121004</v>
      </c>
      <c r="F1414" t="str">
        <f t="shared" si="708"/>
        <v>FABIANA GODOY</v>
      </c>
      <c r="G1414" t="str">
        <f>"81787426000139"</f>
        <v>81787426000139</v>
      </c>
      <c r="H1414" t="str">
        <f t="shared" si="720"/>
        <v>0</v>
      </c>
      <c r="I1414" t="str">
        <f t="shared" si="714"/>
        <v>CONTA OPTICA</v>
      </c>
      <c r="J1414" t="str">
        <f>"JOALHERIA E OPTICA VEBER"</f>
        <v>JOALHERIA E OPTICA VEBER</v>
      </c>
      <c r="K1414" t="str">
        <f>"JOALHERIA E OPTICA VEBER (783)"</f>
        <v>JOALHERIA E OPTICA VEBER (783)</v>
      </c>
      <c r="L1414" t="str">
        <f>""</f>
        <v/>
      </c>
      <c r="M1414" t="str">
        <f>""</f>
        <v/>
      </c>
      <c r="N1414" t="str">
        <f>"JOALHERIAEOPTICAVEBER@HOTMAIL.COM"</f>
        <v>JOALHERIAEOPTICAVEBER@HOTMAIL.COM</v>
      </c>
      <c r="O1414" t="str">
        <f>""</f>
        <v/>
      </c>
      <c r="P1414" t="str">
        <f>"RUA 7 DE SETEMBRO"</f>
        <v>RUA 7 DE SETEMBRO</v>
      </c>
      <c r="Q1414" t="str">
        <f>"531"</f>
        <v>531</v>
      </c>
      <c r="R1414" t="str">
        <f>"SALA 02"</f>
        <v>SALA 02</v>
      </c>
      <c r="S1414" t="str">
        <f>"1276"</f>
        <v>1276</v>
      </c>
      <c r="T1414" t="str">
        <f>"89180000"</f>
        <v>89180000</v>
      </c>
      <c r="U1414" t="str">
        <f>"NAO INFORMADO"</f>
        <v>NAO INFORMADO</v>
      </c>
      <c r="V1414" t="str">
        <f>"RIO DO OESTE"</f>
        <v>RIO DO OESTE</v>
      </c>
      <c r="W1414" t="str">
        <f t="shared" si="705"/>
        <v>SC</v>
      </c>
      <c r="X1414" t="str">
        <f t="shared" si="715"/>
        <v>47</v>
      </c>
      <c r="Y1414" t="str">
        <f>"35430010"</f>
        <v>35430010</v>
      </c>
      <c r="Z1414" t="str">
        <f>""</f>
        <v/>
      </c>
      <c r="AA1414" t="str">
        <f>""</f>
        <v/>
      </c>
      <c r="AB1414" t="str">
        <f>""</f>
        <v/>
      </c>
      <c r="AC1414" t="str">
        <f>""</f>
        <v/>
      </c>
      <c r="AD1414" t="str">
        <f>""</f>
        <v/>
      </c>
      <c r="AE1414" t="str">
        <f>""</f>
        <v/>
      </c>
      <c r="AF1414" t="str">
        <f>""</f>
        <v/>
      </c>
      <c r="AG1414" t="str">
        <f>""</f>
        <v/>
      </c>
      <c r="AH1414" t="str">
        <f>""</f>
        <v/>
      </c>
      <c r="AI1414" t="str">
        <f>""</f>
        <v/>
      </c>
      <c r="AJ1414" t="str">
        <f>""</f>
        <v/>
      </c>
      <c r="AK1414" t="str">
        <f>""</f>
        <v/>
      </c>
      <c r="AL1414" t="str">
        <f>""</f>
        <v/>
      </c>
      <c r="AM1414" t="str">
        <f>""</f>
        <v/>
      </c>
      <c r="AN1414" t="str">
        <f>""</f>
        <v/>
      </c>
      <c r="AO1414" t="str">
        <f>""</f>
        <v/>
      </c>
      <c r="AP1414" t="str">
        <f>""</f>
        <v/>
      </c>
      <c r="AQ1414" t="str">
        <f>""</f>
        <v/>
      </c>
      <c r="AR1414" t="str">
        <f>""</f>
        <v/>
      </c>
      <c r="AS1414" t="str">
        <f>""</f>
        <v/>
      </c>
      <c r="AT1414" t="str">
        <f>""</f>
        <v/>
      </c>
      <c r="AU1414" t="str">
        <f>""</f>
        <v/>
      </c>
      <c r="AV1414" t="str">
        <f>""</f>
        <v/>
      </c>
      <c r="AW1414" t="str">
        <f>""</f>
        <v/>
      </c>
      <c r="AX1414" t="str">
        <f>""</f>
        <v/>
      </c>
      <c r="AY1414" t="str">
        <f>""</f>
        <v/>
      </c>
      <c r="AZ1414" t="str">
        <f>""</f>
        <v/>
      </c>
      <c r="BA1414" t="str">
        <f>""</f>
        <v/>
      </c>
      <c r="BB1414" t="str">
        <f>"06/07/2023 12:07:48"</f>
        <v>06/07/2023 12:07:48</v>
      </c>
      <c r="BC1414" t="str">
        <f>""</f>
        <v/>
      </c>
      <c r="BD1414" t="str">
        <f>""</f>
        <v/>
      </c>
      <c r="BE1414" t="str">
        <f>""</f>
        <v/>
      </c>
      <c r="BF1414" t="str">
        <f t="shared" si="716"/>
        <v>A</v>
      </c>
      <c r="BG1414" t="str">
        <f>""</f>
        <v/>
      </c>
      <c r="BH1414" t="str">
        <f>""</f>
        <v/>
      </c>
      <c r="BI1414" t="str">
        <f t="shared" si="717"/>
        <v>EVENTUAL</v>
      </c>
      <c r="BJ1414" t="str">
        <f t="shared" si="718"/>
        <v>1</v>
      </c>
      <c r="BK1414" t="str">
        <f t="shared" si="719"/>
        <v>Farmacia</v>
      </c>
      <c r="BL1414" t="str">
        <f>""</f>
        <v/>
      </c>
      <c r="BM1414" t="str">
        <f>""</f>
        <v/>
      </c>
      <c r="BN1414" t="str">
        <f>""</f>
        <v/>
      </c>
      <c r="BO1414" t="str">
        <f>""</f>
        <v/>
      </c>
      <c r="BP1414" t="str">
        <f>""</f>
        <v/>
      </c>
      <c r="BQ1414" t="str">
        <f>""</f>
        <v/>
      </c>
      <c r="BR1414" t="str">
        <f>"06/07/2023"</f>
        <v>06/07/2023</v>
      </c>
      <c r="BS1414" t="str">
        <f>""</f>
        <v/>
      </c>
      <c r="BT1414" t="str">
        <f>""</f>
        <v/>
      </c>
      <c r="BU1414" t="str">
        <f>""</f>
        <v/>
      </c>
      <c r="BV1414" t="str">
        <f>""</f>
        <v/>
      </c>
      <c r="BW1414" t="str">
        <f>"Não visitado"</f>
        <v>Não visitado</v>
      </c>
    </row>
    <row r="1415" spans="1:75" x14ac:dyDescent="0.35">
      <c r="A1415">
        <v>137652</v>
      </c>
      <c r="B1415" t="str">
        <f t="shared" si="712"/>
        <v>A</v>
      </c>
      <c r="C1415" t="str">
        <f t="shared" si="713"/>
        <v>80</v>
      </c>
      <c r="D1415" t="str">
        <f t="shared" si="706"/>
        <v>11121004</v>
      </c>
      <c r="E1415" t="str">
        <f t="shared" si="707"/>
        <v>121004</v>
      </c>
      <c r="F1415" t="str">
        <f t="shared" si="708"/>
        <v>FABIANA GODOY</v>
      </c>
      <c r="G1415" t="str">
        <f>"30318751000111"</f>
        <v>30318751000111</v>
      </c>
      <c r="H1415" t="str">
        <f t="shared" si="720"/>
        <v>0</v>
      </c>
      <c r="I1415" t="str">
        <f t="shared" si="714"/>
        <v>CONTA OPTICA</v>
      </c>
      <c r="J1415" t="str">
        <f>"JOALHERIA E OPTICA VICTORIA LTDA"</f>
        <v>JOALHERIA E OPTICA VICTORIA LTDA</v>
      </c>
      <c r="K1415" t="str">
        <f>"OPTICA REZINI (4232)"</f>
        <v>OPTICA REZINI (4232)</v>
      </c>
      <c r="L1415" t="str">
        <f>""</f>
        <v/>
      </c>
      <c r="M1415" t="str">
        <f>""</f>
        <v/>
      </c>
      <c r="N1415" t="str">
        <f>"edilofw@outlook.com"</f>
        <v>edilofw@outlook.com</v>
      </c>
      <c r="O1415" t="str">
        <f>""</f>
        <v/>
      </c>
      <c r="P1415" t="str">
        <f>"RUA BRUSQUE"</f>
        <v>RUA BRUSQUE</v>
      </c>
      <c r="Q1415" t="str">
        <f>"358"</f>
        <v>358</v>
      </c>
      <c r="R1415" t="str">
        <f>"SL 03 ANEXO ANG"</f>
        <v>SL 03 ANEXO ANG</v>
      </c>
      <c r="S1415" t="str">
        <f>"1261"</f>
        <v>1261</v>
      </c>
      <c r="T1415" t="str">
        <f>"88303000"</f>
        <v>88303000</v>
      </c>
      <c r="U1415" t="str">
        <f>"CENTRO"</f>
        <v>CENTRO</v>
      </c>
      <c r="V1415" t="str">
        <f>"ITAJAÍ"</f>
        <v>ITAJAÍ</v>
      </c>
      <c r="W1415" t="str">
        <f t="shared" si="705"/>
        <v>SC</v>
      </c>
      <c r="X1415" t="str">
        <f t="shared" si="715"/>
        <v>47</v>
      </c>
      <c r="Y1415" t="str">
        <f>"991083353"</f>
        <v>991083353</v>
      </c>
      <c r="Z1415" t="str">
        <f>""</f>
        <v/>
      </c>
      <c r="AA1415" t="str">
        <f>""</f>
        <v/>
      </c>
      <c r="AB1415" t="str">
        <f>""</f>
        <v/>
      </c>
      <c r="AC1415" t="str">
        <f>""</f>
        <v/>
      </c>
      <c r="AD1415" t="str">
        <f>""</f>
        <v/>
      </c>
      <c r="AE1415" t="str">
        <f>""</f>
        <v/>
      </c>
      <c r="AF1415" t="str">
        <f>""</f>
        <v/>
      </c>
      <c r="AG1415" t="str">
        <f>"S"</f>
        <v>S</v>
      </c>
      <c r="AH1415" t="str">
        <f>""</f>
        <v/>
      </c>
      <c r="AI1415" t="str">
        <f>""</f>
        <v/>
      </c>
      <c r="AJ1415" t="str">
        <f>""</f>
        <v/>
      </c>
      <c r="AK1415" t="str">
        <f>""</f>
        <v/>
      </c>
      <c r="AL1415" t="str">
        <f>""</f>
        <v/>
      </c>
      <c r="AM1415" t="str">
        <f>""</f>
        <v/>
      </c>
      <c r="AN1415" t="str">
        <f>""</f>
        <v/>
      </c>
      <c r="AO1415" t="str">
        <f>""</f>
        <v/>
      </c>
      <c r="AP1415" t="str">
        <f>""</f>
        <v/>
      </c>
      <c r="AQ1415" t="str">
        <f t="shared" ref="AQ1415:AU1418" si="721">"N"</f>
        <v>N</v>
      </c>
      <c r="AR1415" t="str">
        <f t="shared" si="721"/>
        <v>N</v>
      </c>
      <c r="AS1415" t="str">
        <f t="shared" si="721"/>
        <v>N</v>
      </c>
      <c r="AT1415" t="str">
        <f t="shared" si="721"/>
        <v>N</v>
      </c>
      <c r="AU1415" t="str">
        <f t="shared" si="721"/>
        <v>N</v>
      </c>
      <c r="AV1415" t="str">
        <f>""</f>
        <v/>
      </c>
      <c r="AW1415" t="str">
        <f>""</f>
        <v/>
      </c>
      <c r="AX1415" t="str">
        <f>""</f>
        <v/>
      </c>
      <c r="AY1415" t="str">
        <f>""</f>
        <v/>
      </c>
      <c r="AZ1415" t="str">
        <f>""</f>
        <v/>
      </c>
      <c r="BA1415" t="str">
        <f>""</f>
        <v/>
      </c>
      <c r="BB1415" t="str">
        <f>"01/07/2021 13:53:04"</f>
        <v>01/07/2021 13:53:04</v>
      </c>
      <c r="BC1415" t="str">
        <f>"20/01/2022 17:31:27"</f>
        <v>20/01/2022 17:31:27</v>
      </c>
      <c r="BD1415" t="str">
        <f>""</f>
        <v/>
      </c>
      <c r="BE1415" t="str">
        <f>""</f>
        <v/>
      </c>
      <c r="BF1415" t="str">
        <f t="shared" si="716"/>
        <v>A</v>
      </c>
      <c r="BG1415" t="str">
        <f>""</f>
        <v/>
      </c>
      <c r="BH1415" t="str">
        <f t="shared" ref="BH1415:BH1427" si="722">"0,00"</f>
        <v>0,00</v>
      </c>
      <c r="BI1415" t="str">
        <f t="shared" si="717"/>
        <v>EVENTUAL</v>
      </c>
      <c r="BJ1415" t="str">
        <f t="shared" si="718"/>
        <v>1</v>
      </c>
      <c r="BK1415" t="str">
        <f t="shared" si="719"/>
        <v>Farmacia</v>
      </c>
      <c r="BL1415" t="str">
        <f>""</f>
        <v/>
      </c>
      <c r="BM1415" t="str">
        <f>"NÃO É VARILUX ESPECIALISTA"</f>
        <v>NÃO É VARILUX ESPECIALISTA</v>
      </c>
      <c r="BN1415" t="str">
        <f>"EL360"</f>
        <v>EL360</v>
      </c>
      <c r="BO1415" t="str">
        <f>"FOCO VARILUX"</f>
        <v>FOCO VARILUX</v>
      </c>
      <c r="BP1415" t="str">
        <f>""</f>
        <v/>
      </c>
      <c r="BQ1415" t="str">
        <f>""</f>
        <v/>
      </c>
      <c r="BR1415" t="str">
        <f>"01/07/2021"</f>
        <v>01/07/2021</v>
      </c>
      <c r="BS1415" t="str">
        <f>"20/01/2022"</f>
        <v>20/01/2022</v>
      </c>
      <c r="BT1415" t="str">
        <f>""</f>
        <v/>
      </c>
      <c r="BU1415" t="str">
        <f>""</f>
        <v/>
      </c>
      <c r="BV1415" t="str">
        <f>""</f>
        <v/>
      </c>
      <c r="BW1415" t="str">
        <f>"455"</f>
        <v>455</v>
      </c>
    </row>
    <row r="1416" spans="1:75" x14ac:dyDescent="0.35">
      <c r="A1416">
        <v>137653</v>
      </c>
      <c r="B1416" t="str">
        <f t="shared" si="712"/>
        <v>A</v>
      </c>
      <c r="C1416" t="str">
        <f t="shared" si="713"/>
        <v>80</v>
      </c>
      <c r="D1416" t="str">
        <f t="shared" si="706"/>
        <v>11121004</v>
      </c>
      <c r="E1416" t="str">
        <f t="shared" si="707"/>
        <v>121004</v>
      </c>
      <c r="F1416" t="str">
        <f t="shared" si="708"/>
        <v>FABIANA GODOY</v>
      </c>
      <c r="G1416" t="str">
        <f>"79024576000149"</f>
        <v>79024576000149</v>
      </c>
      <c r="H1416" t="str">
        <f t="shared" si="720"/>
        <v>0</v>
      </c>
      <c r="I1416" t="str">
        <f t="shared" si="714"/>
        <v>CONTA OPTICA</v>
      </c>
      <c r="J1416" t="str">
        <f>"JOALHERIA E OTICA CAMBORIU LTDA EPP"</f>
        <v>JOALHERIA E OTICA CAMBORIU LTDA EPP</v>
      </c>
      <c r="K1416" t="str">
        <f>"JOALHERIA E OTICA CAMBORIU LTDA EPP (153)"</f>
        <v>JOALHERIA E OTICA CAMBORIU LTDA EPP (153)</v>
      </c>
      <c r="L1416" t="str">
        <f>""</f>
        <v/>
      </c>
      <c r="M1416" t="str">
        <f>""</f>
        <v/>
      </c>
      <c r="N1416" t="str">
        <f>"financeiro.loch@gmail.com"</f>
        <v>financeiro.loch@gmail.com</v>
      </c>
      <c r="O1416" t="str">
        <f>""</f>
        <v/>
      </c>
      <c r="P1416" t="str">
        <f>"RUA BRASIL"</f>
        <v>RUA BRASIL</v>
      </c>
      <c r="Q1416" t="str">
        <f>"1698"</f>
        <v>1698</v>
      </c>
      <c r="R1416" t="str">
        <f>"SL 01"</f>
        <v>SL 01</v>
      </c>
      <c r="S1416" t="str">
        <f>"1262"</f>
        <v>1262</v>
      </c>
      <c r="T1416" t="str">
        <f>"88330050"</f>
        <v>88330050</v>
      </c>
      <c r="U1416" t="str">
        <f>"CENTRO"</f>
        <v>CENTRO</v>
      </c>
      <c r="V1416" t="str">
        <f>"BALNEÁRIO CAMBORIÚ"</f>
        <v>BALNEÁRIO CAMBORIÚ</v>
      </c>
      <c r="W1416" t="str">
        <f t="shared" si="705"/>
        <v>SC</v>
      </c>
      <c r="X1416" t="str">
        <f t="shared" si="715"/>
        <v>47</v>
      </c>
      <c r="Y1416" t="str">
        <f>"33670357"</f>
        <v>33670357</v>
      </c>
      <c r="Z1416" t="str">
        <f>""</f>
        <v/>
      </c>
      <c r="AA1416" t="str">
        <f>""</f>
        <v/>
      </c>
      <c r="AB1416" t="str">
        <f>""</f>
        <v/>
      </c>
      <c r="AC1416" t="str">
        <f>""</f>
        <v/>
      </c>
      <c r="AD1416" t="str">
        <f>""</f>
        <v/>
      </c>
      <c r="AE1416" t="str">
        <f>""</f>
        <v/>
      </c>
      <c r="AF1416" t="str">
        <f>""</f>
        <v/>
      </c>
      <c r="AG1416" t="str">
        <f>"S"</f>
        <v>S</v>
      </c>
      <c r="AH1416" t="str">
        <f>""</f>
        <v/>
      </c>
      <c r="AI1416" t="str">
        <f>""</f>
        <v/>
      </c>
      <c r="AJ1416" t="str">
        <f>""</f>
        <v/>
      </c>
      <c r="AK1416" t="str">
        <f>""</f>
        <v/>
      </c>
      <c r="AL1416" t="str">
        <f>""</f>
        <v/>
      </c>
      <c r="AM1416" t="str">
        <f>""</f>
        <v/>
      </c>
      <c r="AN1416" t="str">
        <f>""</f>
        <v/>
      </c>
      <c r="AO1416" t="str">
        <f>""</f>
        <v/>
      </c>
      <c r="AP1416" t="str">
        <f>""</f>
        <v/>
      </c>
      <c r="AQ1416" t="str">
        <f t="shared" si="721"/>
        <v>N</v>
      </c>
      <c r="AR1416" t="str">
        <f t="shared" si="721"/>
        <v>N</v>
      </c>
      <c r="AS1416" t="str">
        <f t="shared" si="721"/>
        <v>N</v>
      </c>
      <c r="AT1416" t="str">
        <f t="shared" si="721"/>
        <v>N</v>
      </c>
      <c r="AU1416" t="str">
        <f t="shared" si="721"/>
        <v>N</v>
      </c>
      <c r="AV1416" t="str">
        <f>""</f>
        <v/>
      </c>
      <c r="AW1416" t="str">
        <f>""</f>
        <v/>
      </c>
      <c r="AX1416" t="str">
        <f>""</f>
        <v/>
      </c>
      <c r="AY1416" t="str">
        <f>""</f>
        <v/>
      </c>
      <c r="AZ1416" t="str">
        <f>""</f>
        <v/>
      </c>
      <c r="BA1416" t="str">
        <f>""</f>
        <v/>
      </c>
      <c r="BB1416" t="str">
        <f>"01/07/2021 13:53:04"</f>
        <v>01/07/2021 13:53:04</v>
      </c>
      <c r="BC1416" t="str">
        <f>"21/02/2022 10:08:11"</f>
        <v>21/02/2022 10:08:11</v>
      </c>
      <c r="BD1416" t="str">
        <f>""</f>
        <v/>
      </c>
      <c r="BE1416" t="str">
        <f>""</f>
        <v/>
      </c>
      <c r="BF1416" t="str">
        <f t="shared" si="716"/>
        <v>A</v>
      </c>
      <c r="BG1416" t="str">
        <f>""</f>
        <v/>
      </c>
      <c r="BH1416" t="str">
        <f t="shared" si="722"/>
        <v>0,00</v>
      </c>
      <c r="BI1416" t="str">
        <f t="shared" si="717"/>
        <v>EVENTUAL</v>
      </c>
      <c r="BJ1416" t="str">
        <f t="shared" si="718"/>
        <v>1</v>
      </c>
      <c r="BK1416" t="str">
        <f t="shared" si="719"/>
        <v>Farmacia</v>
      </c>
      <c r="BL1416" t="str">
        <f>""</f>
        <v/>
      </c>
      <c r="BM1416" t="str">
        <f>"VARILUX ESPECIALISTA SELECT"</f>
        <v>VARILUX ESPECIALISTA SELECT</v>
      </c>
      <c r="BN1416" t="str">
        <f t="shared" ref="BN1416:BN1423" si="723">"NA"</f>
        <v>NA</v>
      </c>
      <c r="BO1416" t="str">
        <f>"FOCO VARILUX DIGITAL"</f>
        <v>FOCO VARILUX DIGITAL</v>
      </c>
      <c r="BP1416" t="str">
        <f>""</f>
        <v/>
      </c>
      <c r="BQ1416" t="str">
        <f>""</f>
        <v/>
      </c>
      <c r="BR1416" t="str">
        <f>"01/07/2021"</f>
        <v>01/07/2021</v>
      </c>
      <c r="BS1416" t="str">
        <f>"21/02/2022"</f>
        <v>21/02/2022</v>
      </c>
      <c r="BT1416" t="str">
        <f>""</f>
        <v/>
      </c>
      <c r="BU1416" t="str">
        <f>""</f>
        <v/>
      </c>
      <c r="BV1416" t="str">
        <f>""</f>
        <v/>
      </c>
      <c r="BW1416" t="str">
        <f>"16"</f>
        <v>16</v>
      </c>
    </row>
    <row r="1417" spans="1:75" x14ac:dyDescent="0.35">
      <c r="A1417">
        <v>117454</v>
      </c>
      <c r="B1417" t="str">
        <f t="shared" si="712"/>
        <v>A</v>
      </c>
      <c r="C1417" t="str">
        <f t="shared" si="713"/>
        <v>80</v>
      </c>
      <c r="D1417" t="str">
        <f t="shared" si="706"/>
        <v>11121004</v>
      </c>
      <c r="E1417" t="str">
        <f t="shared" si="707"/>
        <v>121004</v>
      </c>
      <c r="F1417" t="str">
        <f t="shared" si="708"/>
        <v>FABIANA GODOY</v>
      </c>
      <c r="G1417" t="str">
        <f>"04145591000146"</f>
        <v>04145591000146</v>
      </c>
      <c r="H1417" t="str">
        <f t="shared" si="720"/>
        <v>0</v>
      </c>
      <c r="I1417" t="str">
        <f t="shared" si="714"/>
        <v>CONTA OPTICA</v>
      </c>
      <c r="J1417" t="str">
        <f>"JOALHERIA E OTICA ECONOMICA LTDA ME"</f>
        <v>JOALHERIA E OTICA ECONOMICA LTDA ME</v>
      </c>
      <c r="K1417" t="str">
        <f>"ECONOMICA (1228)"</f>
        <v>ECONOMICA (1228)</v>
      </c>
      <c r="L1417" t="str">
        <f>""</f>
        <v/>
      </c>
      <c r="M1417" t="str">
        <f>""</f>
        <v/>
      </c>
      <c r="N1417" t="str">
        <f>"otica@vinheski.com.br"</f>
        <v>otica@vinheski.com.br</v>
      </c>
      <c r="O1417" t="str">
        <f>""</f>
        <v/>
      </c>
      <c r="P1417" t="str">
        <f>"AVENIDA BRASIL"</f>
        <v>AVENIDA BRASIL</v>
      </c>
      <c r="Q1417" t="str">
        <f>"1670"</f>
        <v>1670</v>
      </c>
      <c r="R1417" t="str">
        <f>"SALA 102"</f>
        <v>SALA 102</v>
      </c>
      <c r="S1417" t="str">
        <f>"1262"</f>
        <v>1262</v>
      </c>
      <c r="T1417" t="str">
        <f>"88330000"</f>
        <v>88330000</v>
      </c>
      <c r="U1417" t="str">
        <f>"CENTRO"</f>
        <v>CENTRO</v>
      </c>
      <c r="V1417" t="str">
        <f>"BALNEARIO CAMBORIU"</f>
        <v>BALNEARIO CAMBORIU</v>
      </c>
      <c r="W1417" t="str">
        <f t="shared" si="705"/>
        <v>SC</v>
      </c>
      <c r="X1417" t="str">
        <f t="shared" si="715"/>
        <v>47</v>
      </c>
      <c r="Y1417" t="str">
        <f>"33618444"</f>
        <v>33618444</v>
      </c>
      <c r="Z1417" t="str">
        <f>""</f>
        <v/>
      </c>
      <c r="AA1417" t="str">
        <f>""</f>
        <v/>
      </c>
      <c r="AB1417" t="str">
        <f>""</f>
        <v/>
      </c>
      <c r="AC1417" t="str">
        <f>""</f>
        <v/>
      </c>
      <c r="AD1417" t="str">
        <f>""</f>
        <v/>
      </c>
      <c r="AE1417" t="str">
        <f>""</f>
        <v/>
      </c>
      <c r="AF1417" t="str">
        <f>""</f>
        <v/>
      </c>
      <c r="AG1417" t="str">
        <f>"S"</f>
        <v>S</v>
      </c>
      <c r="AH1417" t="str">
        <f>""</f>
        <v/>
      </c>
      <c r="AI1417" t="str">
        <f>""</f>
        <v/>
      </c>
      <c r="AJ1417" t="str">
        <f>"0"</f>
        <v>0</v>
      </c>
      <c r="AK1417" t="str">
        <f>"0"</f>
        <v>0</v>
      </c>
      <c r="AL1417" t="str">
        <f>"0"</f>
        <v>0</v>
      </c>
      <c r="AM1417" t="str">
        <f>""</f>
        <v/>
      </c>
      <c r="AN1417" t="str">
        <f>""</f>
        <v/>
      </c>
      <c r="AO1417" t="str">
        <f>""</f>
        <v/>
      </c>
      <c r="AP1417" t="str">
        <f>""</f>
        <v/>
      </c>
      <c r="AQ1417" t="str">
        <f t="shared" si="721"/>
        <v>N</v>
      </c>
      <c r="AR1417" t="str">
        <f t="shared" si="721"/>
        <v>N</v>
      </c>
      <c r="AS1417" t="str">
        <f t="shared" si="721"/>
        <v>N</v>
      </c>
      <c r="AT1417" t="str">
        <f t="shared" si="721"/>
        <v>N</v>
      </c>
      <c r="AU1417" t="str">
        <f t="shared" si="721"/>
        <v>N</v>
      </c>
      <c r="AV1417" t="str">
        <f>""</f>
        <v/>
      </c>
      <c r="AW1417" t="str">
        <f>""</f>
        <v/>
      </c>
      <c r="AX1417" t="str">
        <f>""</f>
        <v/>
      </c>
      <c r="AY1417" t="str">
        <f>""</f>
        <v/>
      </c>
      <c r="AZ1417" t="str">
        <f>""</f>
        <v/>
      </c>
      <c r="BA1417" t="str">
        <f>""</f>
        <v/>
      </c>
      <c r="BB1417" t="str">
        <f>"22/07/2020 08:24:23"</f>
        <v>22/07/2020 08:24:23</v>
      </c>
      <c r="BC1417" t="str">
        <f>"19/07/2023 17:25:52"</f>
        <v>19/07/2023 17:25:52</v>
      </c>
      <c r="BD1417" t="str">
        <f>""</f>
        <v/>
      </c>
      <c r="BE1417" t="str">
        <f>""</f>
        <v/>
      </c>
      <c r="BF1417" t="str">
        <f t="shared" si="716"/>
        <v>A</v>
      </c>
      <c r="BG1417" t="str">
        <f>"0,00"</f>
        <v>0,00</v>
      </c>
      <c r="BH1417" t="str">
        <f t="shared" si="722"/>
        <v>0,00</v>
      </c>
      <c r="BI1417" t="str">
        <f>"MENSAL"</f>
        <v>MENSAL</v>
      </c>
      <c r="BJ1417" t="str">
        <f t="shared" si="718"/>
        <v>1</v>
      </c>
      <c r="BK1417" t="str">
        <f t="shared" si="719"/>
        <v>Farmacia</v>
      </c>
      <c r="BL1417" t="str">
        <f>""</f>
        <v/>
      </c>
      <c r="BM1417" t="str">
        <f>"NÃO É VARILUX ESPECIALISTA"</f>
        <v>NÃO É VARILUX ESPECIALISTA</v>
      </c>
      <c r="BN1417" t="str">
        <f t="shared" si="723"/>
        <v>NA</v>
      </c>
      <c r="BO1417" t="str">
        <f>"FOCO VARILUX DIGITAL"</f>
        <v>FOCO VARILUX DIGITAL</v>
      </c>
      <c r="BP1417" t="str">
        <f>""</f>
        <v/>
      </c>
      <c r="BQ1417" t="str">
        <f>""</f>
        <v/>
      </c>
      <c r="BR1417" t="str">
        <f>"22/07/2020"</f>
        <v>22/07/2020</v>
      </c>
      <c r="BS1417" t="str">
        <f>"19/07/2023"</f>
        <v>19/07/2023</v>
      </c>
      <c r="BT1417" t="str">
        <f>""</f>
        <v/>
      </c>
      <c r="BU1417" t="str">
        <f>""</f>
        <v/>
      </c>
      <c r="BV1417" t="str">
        <f>"5"</f>
        <v>5</v>
      </c>
      <c r="BW1417" t="str">
        <f>"46"</f>
        <v>46</v>
      </c>
    </row>
    <row r="1418" spans="1:75" x14ac:dyDescent="0.35">
      <c r="A1418">
        <v>137655</v>
      </c>
      <c r="B1418" t="str">
        <f t="shared" si="712"/>
        <v>A</v>
      </c>
      <c r="C1418" t="str">
        <f t="shared" si="713"/>
        <v>80</v>
      </c>
      <c r="D1418" t="str">
        <f t="shared" si="706"/>
        <v>11121004</v>
      </c>
      <c r="E1418" t="str">
        <f t="shared" si="707"/>
        <v>121004</v>
      </c>
      <c r="F1418" t="str">
        <f t="shared" si="708"/>
        <v>FABIANA GODOY</v>
      </c>
      <c r="G1418" t="str">
        <f>"75772905000189"</f>
        <v>75772905000189</v>
      </c>
      <c r="H1418" t="str">
        <f t="shared" si="720"/>
        <v>0</v>
      </c>
      <c r="I1418" t="str">
        <f t="shared" si="714"/>
        <v>CONTA OPTICA</v>
      </c>
      <c r="J1418" t="str">
        <f>"JOALHERIA E OTICA FLOHR LTDA ME"</f>
        <v>JOALHERIA E OTICA FLOHR LTDA ME</v>
      </c>
      <c r="K1418" t="str">
        <f>"JOALHERIA E OTICA FLOHR LTDA (156)"</f>
        <v>JOALHERIA E OTICA FLOHR LTDA (156)</v>
      </c>
      <c r="L1418" t="str">
        <f>""</f>
        <v/>
      </c>
      <c r="M1418" t="str">
        <f>""</f>
        <v/>
      </c>
      <c r="N1418" t="str">
        <f>"flohr.bnu@terra.com.br"</f>
        <v>flohr.bnu@terra.com.br</v>
      </c>
      <c r="O1418" t="str">
        <f>""</f>
        <v/>
      </c>
      <c r="P1418" t="str">
        <f>"RUA FREDERICO WEEGE"</f>
        <v>RUA FREDERICO WEEGE</v>
      </c>
      <c r="Q1418" t="str">
        <f>"22"</f>
        <v>22</v>
      </c>
      <c r="R1418" t="str">
        <f>""</f>
        <v/>
      </c>
      <c r="S1418" t="str">
        <f>"1273"</f>
        <v>1273</v>
      </c>
      <c r="T1418" t="str">
        <f>"89107000"</f>
        <v>89107000</v>
      </c>
      <c r="U1418" t="str">
        <f>"CENTRO"</f>
        <v>CENTRO</v>
      </c>
      <c r="V1418" t="str">
        <f>"POMERODE"</f>
        <v>POMERODE</v>
      </c>
      <c r="W1418" t="str">
        <f t="shared" si="705"/>
        <v>SC</v>
      </c>
      <c r="X1418" t="str">
        <f t="shared" si="715"/>
        <v>47</v>
      </c>
      <c r="Y1418" t="str">
        <f>"33870907"</f>
        <v>33870907</v>
      </c>
      <c r="Z1418" t="str">
        <f>""</f>
        <v/>
      </c>
      <c r="AA1418" t="str">
        <f>""</f>
        <v/>
      </c>
      <c r="AB1418" t="str">
        <f>""</f>
        <v/>
      </c>
      <c r="AC1418" t="str">
        <f>""</f>
        <v/>
      </c>
      <c r="AD1418" t="str">
        <f>""</f>
        <v/>
      </c>
      <c r="AE1418" t="str">
        <f>""</f>
        <v/>
      </c>
      <c r="AF1418" t="str">
        <f>""</f>
        <v/>
      </c>
      <c r="AG1418" t="str">
        <f>"S"</f>
        <v>S</v>
      </c>
      <c r="AH1418" t="str">
        <f>""</f>
        <v/>
      </c>
      <c r="AI1418" t="str">
        <f>""</f>
        <v/>
      </c>
      <c r="AJ1418" t="str">
        <f>""</f>
        <v/>
      </c>
      <c r="AK1418" t="str">
        <f>""</f>
        <v/>
      </c>
      <c r="AL1418" t="str">
        <f>""</f>
        <v/>
      </c>
      <c r="AM1418" t="str">
        <f>""</f>
        <v/>
      </c>
      <c r="AN1418" t="str">
        <f>""</f>
        <v/>
      </c>
      <c r="AO1418" t="str">
        <f>""</f>
        <v/>
      </c>
      <c r="AP1418" t="str">
        <f>""</f>
        <v/>
      </c>
      <c r="AQ1418" t="str">
        <f t="shared" si="721"/>
        <v>N</v>
      </c>
      <c r="AR1418" t="str">
        <f t="shared" si="721"/>
        <v>N</v>
      </c>
      <c r="AS1418" t="str">
        <f t="shared" si="721"/>
        <v>N</v>
      </c>
      <c r="AT1418" t="str">
        <f t="shared" si="721"/>
        <v>N</v>
      </c>
      <c r="AU1418" t="str">
        <f t="shared" si="721"/>
        <v>N</v>
      </c>
      <c r="AV1418" t="str">
        <f>""</f>
        <v/>
      </c>
      <c r="AW1418" t="str">
        <f>""</f>
        <v/>
      </c>
      <c r="AX1418" t="str">
        <f>""</f>
        <v/>
      </c>
      <c r="AY1418" t="str">
        <f>""</f>
        <v/>
      </c>
      <c r="AZ1418" t="str">
        <f>""</f>
        <v/>
      </c>
      <c r="BA1418" t="str">
        <f>""</f>
        <v/>
      </c>
      <c r="BB1418" t="str">
        <f>"01/07/2021 13:53:04"</f>
        <v>01/07/2021 13:53:04</v>
      </c>
      <c r="BC1418" t="str">
        <f>"11/02/2022 17:42:44"</f>
        <v>11/02/2022 17:42:44</v>
      </c>
      <c r="BD1418" t="str">
        <f>""</f>
        <v/>
      </c>
      <c r="BE1418" t="str">
        <f>""</f>
        <v/>
      </c>
      <c r="BF1418" t="str">
        <f t="shared" si="716"/>
        <v>A</v>
      </c>
      <c r="BG1418" t="str">
        <f>""</f>
        <v/>
      </c>
      <c r="BH1418" t="str">
        <f t="shared" si="722"/>
        <v>0,00</v>
      </c>
      <c r="BI1418" t="str">
        <f>"EVENTUAL"</f>
        <v>EVENTUAL</v>
      </c>
      <c r="BJ1418" t="str">
        <f t="shared" si="718"/>
        <v>1</v>
      </c>
      <c r="BK1418" t="str">
        <f t="shared" si="719"/>
        <v>Farmacia</v>
      </c>
      <c r="BL1418" t="str">
        <f>""</f>
        <v/>
      </c>
      <c r="BM1418" t="str">
        <f>"VARILUX ESPECIALISTA SELECT"</f>
        <v>VARILUX ESPECIALISTA SELECT</v>
      </c>
      <c r="BN1418" t="str">
        <f t="shared" si="723"/>
        <v>NA</v>
      </c>
      <c r="BO1418" t="str">
        <f>"FOCO VARILUX DIGITAL"</f>
        <v>FOCO VARILUX DIGITAL</v>
      </c>
      <c r="BP1418" t="str">
        <f>""</f>
        <v/>
      </c>
      <c r="BQ1418" t="str">
        <f>""</f>
        <v/>
      </c>
      <c r="BR1418" t="str">
        <f>"01/07/2021"</f>
        <v>01/07/2021</v>
      </c>
      <c r="BS1418" t="str">
        <f>"11/02/2022"</f>
        <v>11/02/2022</v>
      </c>
      <c r="BT1418" t="str">
        <f>""</f>
        <v/>
      </c>
      <c r="BU1418" t="str">
        <f>""</f>
        <v/>
      </c>
      <c r="BV1418" t="str">
        <f>""</f>
        <v/>
      </c>
      <c r="BW1418" t="str">
        <f>"44"</f>
        <v>44</v>
      </c>
    </row>
    <row r="1419" spans="1:75" x14ac:dyDescent="0.35">
      <c r="A1419">
        <v>1320</v>
      </c>
      <c r="B1419" t="str">
        <f t="shared" si="712"/>
        <v>A</v>
      </c>
      <c r="C1419" t="str">
        <f t="shared" si="713"/>
        <v>80</v>
      </c>
      <c r="D1419" t="str">
        <f t="shared" si="706"/>
        <v>11121004</v>
      </c>
      <c r="E1419" t="str">
        <f t="shared" si="707"/>
        <v>121004</v>
      </c>
      <c r="F1419" t="str">
        <f t="shared" si="708"/>
        <v>FABIANA GODOY</v>
      </c>
      <c r="G1419" t="str">
        <f>"08766124000194"</f>
        <v>08766124000194</v>
      </c>
      <c r="H1419" t="str">
        <f>""</f>
        <v/>
      </c>
      <c r="I1419" t="str">
        <f t="shared" si="714"/>
        <v>CONTA OPTICA</v>
      </c>
      <c r="J1419" t="str">
        <f>"JOALHERIA E OTICA KLEMANN LTDA ME"</f>
        <v>JOALHERIA E OTICA KLEMANN LTDA ME</v>
      </c>
      <c r="K1419" t="str">
        <f>"JOALHERIA E OTICA KLEMANN LTDA ME (1673)"</f>
        <v>JOALHERIA E OTICA KLEMANN LTDA ME (1673)</v>
      </c>
      <c r="L1419" t="str">
        <f>""</f>
        <v/>
      </c>
      <c r="M1419" t="str">
        <f>""</f>
        <v/>
      </c>
      <c r="N1419" t="str">
        <f>"oticarelojoias@yahoo.com.br"</f>
        <v>oticarelojoias@yahoo.com.br</v>
      </c>
      <c r="O1419" t="str">
        <f>""</f>
        <v/>
      </c>
      <c r="P1419" t="str">
        <f>"RUA PRES COSTA E SILVA"</f>
        <v>RUA PRES COSTA E SILVA</v>
      </c>
      <c r="Q1419" t="str">
        <f>"415"</f>
        <v>415</v>
      </c>
      <c r="R1419" t="str">
        <f>""</f>
        <v/>
      </c>
      <c r="S1419" t="str">
        <f>"1273"</f>
        <v>1273</v>
      </c>
      <c r="T1419" t="str">
        <f>"89107000"</f>
        <v>89107000</v>
      </c>
      <c r="U1419" t="str">
        <f>"TESTO REGA"</f>
        <v>TESTO REGA</v>
      </c>
      <c r="V1419" t="str">
        <f>"POMERODE"</f>
        <v>POMERODE</v>
      </c>
      <c r="W1419" t="str">
        <f t="shared" si="705"/>
        <v>SC</v>
      </c>
      <c r="X1419" t="str">
        <f t="shared" si="715"/>
        <v>47</v>
      </c>
      <c r="Y1419" t="str">
        <f>"33876237"</f>
        <v>33876237</v>
      </c>
      <c r="Z1419" t="str">
        <f>""</f>
        <v/>
      </c>
      <c r="AA1419" t="str">
        <f>""</f>
        <v/>
      </c>
      <c r="AB1419" t="str">
        <f>""</f>
        <v/>
      </c>
      <c r="AC1419" t="str">
        <f>""</f>
        <v/>
      </c>
      <c r="AD1419" t="str">
        <f>""</f>
        <v/>
      </c>
      <c r="AE1419" t="str">
        <f>""</f>
        <v/>
      </c>
      <c r="AF1419" t="str">
        <f>""</f>
        <v/>
      </c>
      <c r="AG1419" t="str">
        <f>""</f>
        <v/>
      </c>
      <c r="AH1419" t="str">
        <f>""</f>
        <v/>
      </c>
      <c r="AI1419" t="str">
        <f>""</f>
        <v/>
      </c>
      <c r="AJ1419" t="str">
        <f>"0"</f>
        <v>0</v>
      </c>
      <c r="AK1419" t="str">
        <f>"0"</f>
        <v>0</v>
      </c>
      <c r="AL1419" t="str">
        <f>"0"</f>
        <v>0</v>
      </c>
      <c r="AM1419" t="str">
        <f>""</f>
        <v/>
      </c>
      <c r="AN1419" t="str">
        <f>""</f>
        <v/>
      </c>
      <c r="AO1419" t="str">
        <f>""</f>
        <v/>
      </c>
      <c r="AP1419" t="str">
        <f>""</f>
        <v/>
      </c>
      <c r="AQ1419" t="str">
        <f>""</f>
        <v/>
      </c>
      <c r="AR1419" t="str">
        <f>""</f>
        <v/>
      </c>
      <c r="AS1419" t="str">
        <f>""</f>
        <v/>
      </c>
      <c r="AT1419" t="str">
        <f>""</f>
        <v/>
      </c>
      <c r="AU1419" t="str">
        <f>""</f>
        <v/>
      </c>
      <c r="AV1419" t="str">
        <f>""</f>
        <v/>
      </c>
      <c r="AW1419" t="str">
        <f>""</f>
        <v/>
      </c>
      <c r="AX1419" t="str">
        <f>""</f>
        <v/>
      </c>
      <c r="AY1419" t="str">
        <f>""</f>
        <v/>
      </c>
      <c r="AZ1419" t="str">
        <f>""</f>
        <v/>
      </c>
      <c r="BA1419" t="str">
        <f>""</f>
        <v/>
      </c>
      <c r="BB1419" t="str">
        <f>"27/07/2018 09:26:14"</f>
        <v>27/07/2018 09:26:14</v>
      </c>
      <c r="BC1419" t="str">
        <f>""</f>
        <v/>
      </c>
      <c r="BD1419" t="str">
        <f>""</f>
        <v/>
      </c>
      <c r="BE1419" t="str">
        <f>"1320"</f>
        <v>1320</v>
      </c>
      <c r="BF1419" t="str">
        <f t="shared" si="716"/>
        <v>A</v>
      </c>
      <c r="BG1419" t="str">
        <f>"0,00"</f>
        <v>0,00</v>
      </c>
      <c r="BH1419" t="str">
        <f t="shared" si="722"/>
        <v>0,00</v>
      </c>
      <c r="BI1419" t="str">
        <f>"EVENTUAL"</f>
        <v>EVENTUAL</v>
      </c>
      <c r="BJ1419" t="str">
        <f t="shared" si="718"/>
        <v>1</v>
      </c>
      <c r="BK1419" t="str">
        <f t="shared" si="719"/>
        <v>Farmacia</v>
      </c>
      <c r="BL1419" t="str">
        <f>""</f>
        <v/>
      </c>
      <c r="BM1419" t="str">
        <f>"NÃO É VARILUX ESPECIALISTA"</f>
        <v>NÃO É VARILUX ESPECIALISTA</v>
      </c>
      <c r="BN1419" t="str">
        <f t="shared" si="723"/>
        <v>NA</v>
      </c>
      <c r="BO1419" t="str">
        <f>"FOCO VARILUX"</f>
        <v>FOCO VARILUX</v>
      </c>
      <c r="BP1419" t="str">
        <f>""</f>
        <v/>
      </c>
      <c r="BQ1419" t="str">
        <f>""</f>
        <v/>
      </c>
      <c r="BR1419" t="str">
        <f>"27/07/2018"</f>
        <v>27/07/2018</v>
      </c>
      <c r="BS1419" t="str">
        <f>""</f>
        <v/>
      </c>
      <c r="BT1419" t="str">
        <f>""</f>
        <v/>
      </c>
      <c r="BU1419" t="str">
        <f>""</f>
        <v/>
      </c>
      <c r="BV1419" t="str">
        <f>"5"</f>
        <v>5</v>
      </c>
      <c r="BW1419" t="str">
        <f>"16"</f>
        <v>16</v>
      </c>
    </row>
    <row r="1420" spans="1:75" x14ac:dyDescent="0.35">
      <c r="A1420">
        <v>137657</v>
      </c>
      <c r="B1420" t="str">
        <f t="shared" si="712"/>
        <v>A</v>
      </c>
      <c r="C1420" t="str">
        <f t="shared" si="713"/>
        <v>80</v>
      </c>
      <c r="D1420" t="str">
        <f t="shared" si="706"/>
        <v>11121004</v>
      </c>
      <c r="E1420" t="str">
        <f t="shared" si="707"/>
        <v>121004</v>
      </c>
      <c r="F1420" t="str">
        <f t="shared" si="708"/>
        <v>FABIANA GODOY</v>
      </c>
      <c r="G1420" t="str">
        <f>"80688955000112"</f>
        <v>80688955000112</v>
      </c>
      <c r="H1420" t="str">
        <f t="shared" ref="H1420:H1447" si="724">"0"</f>
        <v>0</v>
      </c>
      <c r="I1420" t="str">
        <f t="shared" si="714"/>
        <v>CONTA OPTICA</v>
      </c>
      <c r="J1420" t="str">
        <f>"JOALHERIA E OTICA KLUG LTDA"</f>
        <v>JOALHERIA E OTICA KLUG LTDA</v>
      </c>
      <c r="K1420" t="str">
        <f>"JOALHERIA E OTICA KLUG LTDA (779)"</f>
        <v>JOALHERIA E OTICA KLUG LTDA (779)</v>
      </c>
      <c r="L1420" t="str">
        <f>""</f>
        <v/>
      </c>
      <c r="M1420" t="str">
        <f>""</f>
        <v/>
      </c>
      <c r="N1420" t="str">
        <f>"otica.klug@hotmail.com"</f>
        <v>otica.klug@hotmail.com</v>
      </c>
      <c r="O1420" t="str">
        <f>""</f>
        <v/>
      </c>
      <c r="P1420" t="str">
        <f>"RUA CASTELO BRANCO"</f>
        <v>RUA CASTELO BRANCO</v>
      </c>
      <c r="Q1420" t="str">
        <f>"109"</f>
        <v>109</v>
      </c>
      <c r="R1420" t="str">
        <f>""</f>
        <v/>
      </c>
      <c r="S1420" t="str">
        <f>"1273"</f>
        <v>1273</v>
      </c>
      <c r="T1420" t="str">
        <f>"89107000"</f>
        <v>89107000</v>
      </c>
      <c r="U1420" t="str">
        <f t="shared" ref="U1420:U1431" si="725">"CENTRO"</f>
        <v>CENTRO</v>
      </c>
      <c r="V1420" t="str">
        <f>"POMERODE"</f>
        <v>POMERODE</v>
      </c>
      <c r="W1420" t="str">
        <f t="shared" si="705"/>
        <v>SC</v>
      </c>
      <c r="X1420" t="str">
        <f t="shared" si="715"/>
        <v>47</v>
      </c>
      <c r="Y1420" t="str">
        <f>"33872744"</f>
        <v>33872744</v>
      </c>
      <c r="Z1420" t="str">
        <f>""</f>
        <v/>
      </c>
      <c r="AA1420" t="str">
        <f>""</f>
        <v/>
      </c>
      <c r="AB1420" t="str">
        <f>""</f>
        <v/>
      </c>
      <c r="AC1420" t="str">
        <f>""</f>
        <v/>
      </c>
      <c r="AD1420" t="str">
        <f>""</f>
        <v/>
      </c>
      <c r="AE1420" t="str">
        <f>""</f>
        <v/>
      </c>
      <c r="AF1420" t="str">
        <f>""</f>
        <v/>
      </c>
      <c r="AG1420" t="str">
        <f t="shared" ref="AG1420:AG1427" si="726">"S"</f>
        <v>S</v>
      </c>
      <c r="AH1420" t="str">
        <f>""</f>
        <v/>
      </c>
      <c r="AI1420" t="str">
        <f>""</f>
        <v/>
      </c>
      <c r="AJ1420" t="str">
        <f>""</f>
        <v/>
      </c>
      <c r="AK1420" t="str">
        <f>""</f>
        <v/>
      </c>
      <c r="AL1420" t="str">
        <f>""</f>
        <v/>
      </c>
      <c r="AM1420" t="str">
        <f>""</f>
        <v/>
      </c>
      <c r="AN1420" t="str">
        <f>""</f>
        <v/>
      </c>
      <c r="AO1420" t="str">
        <f>""</f>
        <v/>
      </c>
      <c r="AP1420" t="str">
        <f>""</f>
        <v/>
      </c>
      <c r="AQ1420" t="str">
        <f t="shared" ref="AQ1420:AU1427" si="727">"N"</f>
        <v>N</v>
      </c>
      <c r="AR1420" t="str">
        <f t="shared" si="727"/>
        <v>N</v>
      </c>
      <c r="AS1420" t="str">
        <f t="shared" si="727"/>
        <v>N</v>
      </c>
      <c r="AT1420" t="str">
        <f t="shared" si="727"/>
        <v>N</v>
      </c>
      <c r="AU1420" t="str">
        <f t="shared" si="727"/>
        <v>N</v>
      </c>
      <c r="AV1420" t="str">
        <f>""</f>
        <v/>
      </c>
      <c r="AW1420" t="str">
        <f>""</f>
        <v/>
      </c>
      <c r="AX1420" t="str">
        <f>""</f>
        <v/>
      </c>
      <c r="AY1420" t="str">
        <f>""</f>
        <v/>
      </c>
      <c r="AZ1420" t="str">
        <f>""</f>
        <v/>
      </c>
      <c r="BA1420" t="str">
        <f>""</f>
        <v/>
      </c>
      <c r="BB1420" t="str">
        <f t="shared" ref="BB1420:BB1425" si="728">"01/07/2021 13:53:04"</f>
        <v>01/07/2021 13:53:04</v>
      </c>
      <c r="BC1420" t="str">
        <f>"01/02/2022 15:45:01"</f>
        <v>01/02/2022 15:45:01</v>
      </c>
      <c r="BD1420" t="str">
        <f>""</f>
        <v/>
      </c>
      <c r="BE1420" t="str">
        <f>""</f>
        <v/>
      </c>
      <c r="BF1420" t="str">
        <f t="shared" si="716"/>
        <v>A</v>
      </c>
      <c r="BG1420" t="str">
        <f>""</f>
        <v/>
      </c>
      <c r="BH1420" t="str">
        <f t="shared" si="722"/>
        <v>0,00</v>
      </c>
      <c r="BI1420" t="str">
        <f>"EVENTUAL"</f>
        <v>EVENTUAL</v>
      </c>
      <c r="BJ1420" t="str">
        <f t="shared" si="718"/>
        <v>1</v>
      </c>
      <c r="BK1420" t="str">
        <f t="shared" si="719"/>
        <v>Farmacia</v>
      </c>
      <c r="BL1420" t="str">
        <f>""</f>
        <v/>
      </c>
      <c r="BM1420" t="str">
        <f>"VARILUX ESPECIALISTA SELECT"</f>
        <v>VARILUX ESPECIALISTA SELECT</v>
      </c>
      <c r="BN1420" t="str">
        <f t="shared" si="723"/>
        <v>NA</v>
      </c>
      <c r="BO1420" t="str">
        <f>"FOCO VARILUX DIGITAL"</f>
        <v>FOCO VARILUX DIGITAL</v>
      </c>
      <c r="BP1420" t="str">
        <f>""</f>
        <v/>
      </c>
      <c r="BQ1420" t="str">
        <f>""</f>
        <v/>
      </c>
      <c r="BR1420" t="str">
        <f t="shared" ref="BR1420:BR1425" si="729">"01/07/2021"</f>
        <v>01/07/2021</v>
      </c>
      <c r="BS1420" t="str">
        <f>"01/02/2022"</f>
        <v>01/02/2022</v>
      </c>
      <c r="BT1420" t="str">
        <f>""</f>
        <v/>
      </c>
      <c r="BU1420" t="str">
        <f>""</f>
        <v/>
      </c>
      <c r="BV1420" t="str">
        <f>""</f>
        <v/>
      </c>
      <c r="BW1420" t="str">
        <f>"31"</f>
        <v>31</v>
      </c>
    </row>
    <row r="1421" spans="1:75" x14ac:dyDescent="0.35">
      <c r="A1421">
        <v>137658</v>
      </c>
      <c r="B1421" t="str">
        <f t="shared" si="712"/>
        <v>A</v>
      </c>
      <c r="C1421" t="str">
        <f t="shared" si="713"/>
        <v>80</v>
      </c>
      <c r="D1421" t="str">
        <f t="shared" si="706"/>
        <v>11121004</v>
      </c>
      <c r="E1421" t="str">
        <f t="shared" si="707"/>
        <v>121004</v>
      </c>
      <c r="F1421" t="str">
        <f t="shared" si="708"/>
        <v>FABIANA GODOY</v>
      </c>
      <c r="G1421" t="str">
        <f>"72190978000174"</f>
        <v>72190978000174</v>
      </c>
      <c r="H1421" t="str">
        <f t="shared" si="724"/>
        <v>0</v>
      </c>
      <c r="I1421" t="str">
        <f t="shared" si="714"/>
        <v>CONTA OPTICA</v>
      </c>
      <c r="J1421" t="str">
        <f>"JOALHERIA E OTICA LITORAL LTDA ME"</f>
        <v>JOALHERIA E OTICA LITORAL LTDA ME</v>
      </c>
      <c r="K1421" t="str">
        <f>"JOALHERIA E OTICA LITORAL LTDA ME (543)"</f>
        <v>JOALHERIA E OTICA LITORAL LTDA ME (543)</v>
      </c>
      <c r="L1421" t="str">
        <f>""</f>
        <v/>
      </c>
      <c r="M1421" t="str">
        <f>""</f>
        <v/>
      </c>
      <c r="N1421" t="str">
        <f>"joalheriaoticalitoral@gmail.com"</f>
        <v>joalheriaoticalitoral@gmail.com</v>
      </c>
      <c r="O1421" t="str">
        <f>""</f>
        <v/>
      </c>
      <c r="P1421" t="str">
        <f>"RUA GUSTAVO RICHARD"</f>
        <v>RUA GUSTAVO RICHARD</v>
      </c>
      <c r="Q1421" t="str">
        <f>"117"</f>
        <v>117</v>
      </c>
      <c r="R1421" t="str">
        <f>""</f>
        <v/>
      </c>
      <c r="S1421" t="str">
        <f>"1262"</f>
        <v>1262</v>
      </c>
      <c r="T1421" t="str">
        <f>"88340281"</f>
        <v>88340281</v>
      </c>
      <c r="U1421" t="str">
        <f t="shared" si="725"/>
        <v>CENTRO</v>
      </c>
      <c r="V1421" t="str">
        <f>"CAMBORIÚ"</f>
        <v>CAMBORIÚ</v>
      </c>
      <c r="W1421" t="str">
        <f t="shared" si="705"/>
        <v>SC</v>
      </c>
      <c r="X1421" t="str">
        <f t="shared" si="715"/>
        <v>47</v>
      </c>
      <c r="Y1421" t="str">
        <f>"33651638"</f>
        <v>33651638</v>
      </c>
      <c r="Z1421" t="str">
        <f>""</f>
        <v/>
      </c>
      <c r="AA1421" t="str">
        <f>""</f>
        <v/>
      </c>
      <c r="AB1421" t="str">
        <f>""</f>
        <v/>
      </c>
      <c r="AC1421" t="str">
        <f>""</f>
        <v/>
      </c>
      <c r="AD1421" t="str">
        <f>""</f>
        <v/>
      </c>
      <c r="AE1421" t="str">
        <f>""</f>
        <v/>
      </c>
      <c r="AF1421" t="str">
        <f>""</f>
        <v/>
      </c>
      <c r="AG1421" t="str">
        <f t="shared" si="726"/>
        <v>S</v>
      </c>
      <c r="AH1421" t="str">
        <f>""</f>
        <v/>
      </c>
      <c r="AI1421" t="str">
        <f>""</f>
        <v/>
      </c>
      <c r="AJ1421" t="str">
        <f>""</f>
        <v/>
      </c>
      <c r="AK1421" t="str">
        <f>""</f>
        <v/>
      </c>
      <c r="AL1421" t="str">
        <f>""</f>
        <v/>
      </c>
      <c r="AM1421" t="str">
        <f>""</f>
        <v/>
      </c>
      <c r="AN1421" t="str">
        <f>""</f>
        <v/>
      </c>
      <c r="AO1421" t="str">
        <f>""</f>
        <v/>
      </c>
      <c r="AP1421" t="str">
        <f>""</f>
        <v/>
      </c>
      <c r="AQ1421" t="str">
        <f t="shared" si="727"/>
        <v>N</v>
      </c>
      <c r="AR1421" t="str">
        <f t="shared" si="727"/>
        <v>N</v>
      </c>
      <c r="AS1421" t="str">
        <f t="shared" si="727"/>
        <v>N</v>
      </c>
      <c r="AT1421" t="str">
        <f t="shared" si="727"/>
        <v>N</v>
      </c>
      <c r="AU1421" t="str">
        <f t="shared" si="727"/>
        <v>N</v>
      </c>
      <c r="AV1421" t="str">
        <f>""</f>
        <v/>
      </c>
      <c r="AW1421" t="str">
        <f>""</f>
        <v/>
      </c>
      <c r="AX1421" t="str">
        <f>""</f>
        <v/>
      </c>
      <c r="AY1421" t="str">
        <f>""</f>
        <v/>
      </c>
      <c r="AZ1421" t="str">
        <f>""</f>
        <v/>
      </c>
      <c r="BA1421" t="str">
        <f>""</f>
        <v/>
      </c>
      <c r="BB1421" t="str">
        <f t="shared" si="728"/>
        <v>01/07/2021 13:53:04</v>
      </c>
      <c r="BC1421" t="str">
        <f>"31/03/2022 17:22:50"</f>
        <v>31/03/2022 17:22:50</v>
      </c>
      <c r="BD1421" t="str">
        <f>""</f>
        <v/>
      </c>
      <c r="BE1421" t="str">
        <f>""</f>
        <v/>
      </c>
      <c r="BF1421" t="str">
        <f t="shared" si="716"/>
        <v>A</v>
      </c>
      <c r="BG1421" t="str">
        <f>""</f>
        <v/>
      </c>
      <c r="BH1421" t="str">
        <f t="shared" si="722"/>
        <v>0,00</v>
      </c>
      <c r="BI1421" t="str">
        <f>"EVENTUAL"</f>
        <v>EVENTUAL</v>
      </c>
      <c r="BJ1421" t="str">
        <f t="shared" si="718"/>
        <v>1</v>
      </c>
      <c r="BK1421" t="str">
        <f t="shared" si="719"/>
        <v>Farmacia</v>
      </c>
      <c r="BL1421" t="str">
        <f>""</f>
        <v/>
      </c>
      <c r="BM1421" t="str">
        <f>"NÃO É VARILUX ESPECIALISTA"</f>
        <v>NÃO É VARILUX ESPECIALISTA</v>
      </c>
      <c r="BN1421" t="str">
        <f t="shared" si="723"/>
        <v>NA</v>
      </c>
      <c r="BO1421" t="str">
        <f>"OUTROS"</f>
        <v>OUTROS</v>
      </c>
      <c r="BP1421" t="str">
        <f>""</f>
        <v/>
      </c>
      <c r="BQ1421" t="str">
        <f>""</f>
        <v/>
      </c>
      <c r="BR1421" t="str">
        <f t="shared" si="729"/>
        <v>01/07/2021</v>
      </c>
      <c r="BS1421" t="str">
        <f>"31/03/2022"</f>
        <v>31/03/2022</v>
      </c>
      <c r="BT1421" t="str">
        <f>""</f>
        <v/>
      </c>
      <c r="BU1421" t="str">
        <f>""</f>
        <v/>
      </c>
      <c r="BV1421" t="str">
        <f>""</f>
        <v/>
      </c>
      <c r="BW1421" t="str">
        <f>"826"</f>
        <v>826</v>
      </c>
    </row>
    <row r="1422" spans="1:75" x14ac:dyDescent="0.35">
      <c r="A1422">
        <v>137659</v>
      </c>
      <c r="B1422" t="str">
        <f t="shared" si="712"/>
        <v>A</v>
      </c>
      <c r="C1422" t="str">
        <f t="shared" si="713"/>
        <v>80</v>
      </c>
      <c r="D1422" t="str">
        <f t="shared" si="706"/>
        <v>11121004</v>
      </c>
      <c r="E1422" t="str">
        <f t="shared" si="707"/>
        <v>121004</v>
      </c>
      <c r="F1422" t="str">
        <f t="shared" si="708"/>
        <v>FABIANA GODOY</v>
      </c>
      <c r="G1422" t="str">
        <f>"83823328000135"</f>
        <v>83823328000135</v>
      </c>
      <c r="H1422" t="str">
        <f t="shared" si="724"/>
        <v>0</v>
      </c>
      <c r="I1422" t="str">
        <f t="shared" si="714"/>
        <v>CONTA OPTICA</v>
      </c>
      <c r="J1422" t="str">
        <f>"JOALHERIA E OTICA LOCH LTDA - EPP"</f>
        <v>JOALHERIA E OTICA LOCH LTDA - EPP</v>
      </c>
      <c r="K1422" t="str">
        <f>"JOALHERIA E OTICA LOCH LTDA (160)"</f>
        <v>JOALHERIA E OTICA LOCH LTDA (160)</v>
      </c>
      <c r="L1422" t="str">
        <f>""</f>
        <v/>
      </c>
      <c r="M1422" t="str">
        <f>""</f>
        <v/>
      </c>
      <c r="N1422" t="str">
        <f>"financeiro.loch@gmail.com"</f>
        <v>financeiro.loch@gmail.com</v>
      </c>
      <c r="O1422" t="str">
        <f>""</f>
        <v/>
      </c>
      <c r="P1422" t="str">
        <f>"AVENIDA BRASIL"</f>
        <v>AVENIDA BRASIL</v>
      </c>
      <c r="Q1422" t="str">
        <f>"1704"</f>
        <v>1704</v>
      </c>
      <c r="R1422" t="str">
        <f>""</f>
        <v/>
      </c>
      <c r="S1422" t="str">
        <f>"1262"</f>
        <v>1262</v>
      </c>
      <c r="T1422" t="str">
        <f>"88330657"</f>
        <v>88330657</v>
      </c>
      <c r="U1422" t="str">
        <f t="shared" si="725"/>
        <v>CENTRO</v>
      </c>
      <c r="V1422" t="str">
        <f>"BALNEÁRIO CAMBORIÚ"</f>
        <v>BALNEÁRIO CAMBORIÚ</v>
      </c>
      <c r="W1422" t="str">
        <f t="shared" si="705"/>
        <v>SC</v>
      </c>
      <c r="X1422" t="str">
        <f t="shared" si="715"/>
        <v>47</v>
      </c>
      <c r="Y1422" t="str">
        <f>"33670357"</f>
        <v>33670357</v>
      </c>
      <c r="Z1422" t="str">
        <f>""</f>
        <v/>
      </c>
      <c r="AA1422" t="str">
        <f>""</f>
        <v/>
      </c>
      <c r="AB1422" t="str">
        <f>""</f>
        <v/>
      </c>
      <c r="AC1422" t="str">
        <f>""</f>
        <v/>
      </c>
      <c r="AD1422" t="str">
        <f>""</f>
        <v/>
      </c>
      <c r="AE1422" t="str">
        <f>""</f>
        <v/>
      </c>
      <c r="AF1422" t="str">
        <f>""</f>
        <v/>
      </c>
      <c r="AG1422" t="str">
        <f t="shared" si="726"/>
        <v>S</v>
      </c>
      <c r="AH1422" t="str">
        <f>""</f>
        <v/>
      </c>
      <c r="AI1422" t="str">
        <f>""</f>
        <v/>
      </c>
      <c r="AJ1422" t="str">
        <f>""</f>
        <v/>
      </c>
      <c r="AK1422" t="str">
        <f>""</f>
        <v/>
      </c>
      <c r="AL1422" t="str">
        <f>""</f>
        <v/>
      </c>
      <c r="AM1422" t="str">
        <f>""</f>
        <v/>
      </c>
      <c r="AN1422" t="str">
        <f>""</f>
        <v/>
      </c>
      <c r="AO1422" t="str">
        <f>""</f>
        <v/>
      </c>
      <c r="AP1422" t="str">
        <f>""</f>
        <v/>
      </c>
      <c r="AQ1422" t="str">
        <f t="shared" si="727"/>
        <v>N</v>
      </c>
      <c r="AR1422" t="str">
        <f t="shared" si="727"/>
        <v>N</v>
      </c>
      <c r="AS1422" t="str">
        <f t="shared" si="727"/>
        <v>N</v>
      </c>
      <c r="AT1422" t="str">
        <f t="shared" si="727"/>
        <v>N</v>
      </c>
      <c r="AU1422" t="str">
        <f t="shared" si="727"/>
        <v>N</v>
      </c>
      <c r="AV1422" t="str">
        <f>""</f>
        <v/>
      </c>
      <c r="AW1422" t="str">
        <f>""</f>
        <v/>
      </c>
      <c r="AX1422" t="str">
        <f>""</f>
        <v/>
      </c>
      <c r="AY1422" t="str">
        <f>""</f>
        <v/>
      </c>
      <c r="AZ1422" t="str">
        <f>""</f>
        <v/>
      </c>
      <c r="BA1422" t="str">
        <f>""</f>
        <v/>
      </c>
      <c r="BB1422" t="str">
        <f t="shared" si="728"/>
        <v>01/07/2021 13:53:04</v>
      </c>
      <c r="BC1422" t="str">
        <f>"03/03/2022 18:02:24"</f>
        <v>03/03/2022 18:02:24</v>
      </c>
      <c r="BD1422" t="str">
        <f>""</f>
        <v/>
      </c>
      <c r="BE1422" t="str">
        <f>""</f>
        <v/>
      </c>
      <c r="BF1422" t="str">
        <f t="shared" si="716"/>
        <v>A</v>
      </c>
      <c r="BG1422" t="str">
        <f>""</f>
        <v/>
      </c>
      <c r="BH1422" t="str">
        <f t="shared" si="722"/>
        <v>0,00</v>
      </c>
      <c r="BI1422" t="str">
        <f>"EVENTUAL"</f>
        <v>EVENTUAL</v>
      </c>
      <c r="BJ1422" t="str">
        <f t="shared" si="718"/>
        <v>1</v>
      </c>
      <c r="BK1422" t="str">
        <f t="shared" si="719"/>
        <v>Farmacia</v>
      </c>
      <c r="BL1422" t="str">
        <f>""</f>
        <v/>
      </c>
      <c r="BM1422" t="str">
        <f>"NÃO É VARILUX ESPECIALISTA"</f>
        <v>NÃO É VARILUX ESPECIALISTA</v>
      </c>
      <c r="BN1422" t="str">
        <f t="shared" si="723"/>
        <v>NA</v>
      </c>
      <c r="BO1422" t="str">
        <f>"FOCO VARILUX DIGITAL"</f>
        <v>FOCO VARILUX DIGITAL</v>
      </c>
      <c r="BP1422" t="str">
        <f>""</f>
        <v/>
      </c>
      <c r="BQ1422" t="str">
        <f>""</f>
        <v/>
      </c>
      <c r="BR1422" t="str">
        <f t="shared" si="729"/>
        <v>01/07/2021</v>
      </c>
      <c r="BS1422" t="str">
        <f>"03/03/2022"</f>
        <v>03/03/2022</v>
      </c>
      <c r="BT1422" t="str">
        <f>""</f>
        <v/>
      </c>
      <c r="BU1422" t="str">
        <f>""</f>
        <v/>
      </c>
      <c r="BV1422" t="str">
        <f>""</f>
        <v/>
      </c>
      <c r="BW1422" t="str">
        <f>"8"</f>
        <v>8</v>
      </c>
    </row>
    <row r="1423" spans="1:75" x14ac:dyDescent="0.35">
      <c r="A1423">
        <v>137660</v>
      </c>
      <c r="B1423" t="str">
        <f t="shared" si="712"/>
        <v>A</v>
      </c>
      <c r="C1423" t="str">
        <f t="shared" si="713"/>
        <v>80</v>
      </c>
      <c r="D1423" t="str">
        <f t="shared" si="706"/>
        <v>11121004</v>
      </c>
      <c r="E1423" t="str">
        <f t="shared" si="707"/>
        <v>121004</v>
      </c>
      <c r="F1423" t="str">
        <f t="shared" si="708"/>
        <v>FABIANA GODOY</v>
      </c>
      <c r="G1423" t="str">
        <f>"83447979000178"</f>
        <v>83447979000178</v>
      </c>
      <c r="H1423" t="str">
        <f t="shared" si="724"/>
        <v>0</v>
      </c>
      <c r="I1423" t="str">
        <f t="shared" si="714"/>
        <v>CONTA OPTICA</v>
      </c>
      <c r="J1423" t="str">
        <f>"JOALHERIA E OTICA PRESIDENTE LTDA"</f>
        <v>JOALHERIA E OTICA PRESIDENTE LTDA</v>
      </c>
      <c r="K1423" t="str">
        <f>"JOALHERIA E OTICA PRESIDENTE LTDA (1270)"</f>
        <v>JOALHERIA E OTICA PRESIDENTE LTDA (1270)</v>
      </c>
      <c r="L1423" t="str">
        <f>""</f>
        <v/>
      </c>
      <c r="M1423" t="str">
        <f>""</f>
        <v/>
      </c>
      <c r="N1423" t="str">
        <f>"rafael@joalheriapresidente.com.br"</f>
        <v>rafael@joalheriapresidente.com.br</v>
      </c>
      <c r="O1423" t="str">
        <f>""</f>
        <v/>
      </c>
      <c r="P1423" t="str">
        <f>"RUA AMADEU FELIPE DA LUZ"</f>
        <v>RUA AMADEU FELIPE DA LUZ</v>
      </c>
      <c r="Q1423" t="str">
        <f>"29"</f>
        <v>29</v>
      </c>
      <c r="R1423" t="str">
        <f>""</f>
        <v/>
      </c>
      <c r="S1423" t="str">
        <f>""</f>
        <v/>
      </c>
      <c r="T1423" t="str">
        <f>"89080024"</f>
        <v>89080024</v>
      </c>
      <c r="U1423" t="str">
        <f t="shared" si="725"/>
        <v>CENTRO</v>
      </c>
      <c r="V1423" t="str">
        <f>"INDAIAL"</f>
        <v>INDAIAL</v>
      </c>
      <c r="W1423" t="str">
        <f t="shared" si="705"/>
        <v>SC</v>
      </c>
      <c r="X1423" t="str">
        <f t="shared" si="715"/>
        <v>47</v>
      </c>
      <c r="Y1423" t="str">
        <f>"33330657"</f>
        <v>33330657</v>
      </c>
      <c r="Z1423" t="str">
        <f>""</f>
        <v/>
      </c>
      <c r="AA1423" t="str">
        <f>""</f>
        <v/>
      </c>
      <c r="AB1423" t="str">
        <f>""</f>
        <v/>
      </c>
      <c r="AC1423" t="str">
        <f>""</f>
        <v/>
      </c>
      <c r="AD1423" t="str">
        <f>""</f>
        <v/>
      </c>
      <c r="AE1423" t="str">
        <f>""</f>
        <v/>
      </c>
      <c r="AF1423" t="str">
        <f>""</f>
        <v/>
      </c>
      <c r="AG1423" t="str">
        <f t="shared" si="726"/>
        <v>S</v>
      </c>
      <c r="AH1423" t="str">
        <f>""</f>
        <v/>
      </c>
      <c r="AI1423" t="str">
        <f>""</f>
        <v/>
      </c>
      <c r="AJ1423" t="str">
        <f>""</f>
        <v/>
      </c>
      <c r="AK1423" t="str">
        <f>""</f>
        <v/>
      </c>
      <c r="AL1423" t="str">
        <f>""</f>
        <v/>
      </c>
      <c r="AM1423" t="str">
        <f>""</f>
        <v/>
      </c>
      <c r="AN1423" t="str">
        <f>""</f>
        <v/>
      </c>
      <c r="AO1423" t="str">
        <f>""</f>
        <v/>
      </c>
      <c r="AP1423" t="str">
        <f>""</f>
        <v/>
      </c>
      <c r="AQ1423" t="str">
        <f t="shared" si="727"/>
        <v>N</v>
      </c>
      <c r="AR1423" t="str">
        <f t="shared" si="727"/>
        <v>N</v>
      </c>
      <c r="AS1423" t="str">
        <f t="shared" si="727"/>
        <v>N</v>
      </c>
      <c r="AT1423" t="str">
        <f t="shared" si="727"/>
        <v>N</v>
      </c>
      <c r="AU1423" t="str">
        <f t="shared" si="727"/>
        <v>N</v>
      </c>
      <c r="AV1423" t="str">
        <f>""</f>
        <v/>
      </c>
      <c r="AW1423" t="str">
        <f>""</f>
        <v/>
      </c>
      <c r="AX1423" t="str">
        <f>""</f>
        <v/>
      </c>
      <c r="AY1423" t="str">
        <f>""</f>
        <v/>
      </c>
      <c r="AZ1423" t="str">
        <f>""</f>
        <v/>
      </c>
      <c r="BA1423" t="str">
        <f>""</f>
        <v/>
      </c>
      <c r="BB1423" t="str">
        <f t="shared" si="728"/>
        <v>01/07/2021 13:53:04</v>
      </c>
      <c r="BC1423" t="str">
        <f>"12/07/2023 10:00:34"</f>
        <v>12/07/2023 10:00:34</v>
      </c>
      <c r="BD1423" t="str">
        <f>""</f>
        <v/>
      </c>
      <c r="BE1423" t="str">
        <f>""</f>
        <v/>
      </c>
      <c r="BF1423" t="str">
        <f t="shared" si="716"/>
        <v>A</v>
      </c>
      <c r="BG1423" t="str">
        <f>""</f>
        <v/>
      </c>
      <c r="BH1423" t="str">
        <f t="shared" si="722"/>
        <v>0,00</v>
      </c>
      <c r="BI1423" t="str">
        <f>"MENSAL"</f>
        <v>MENSAL</v>
      </c>
      <c r="BJ1423" t="str">
        <f t="shared" si="718"/>
        <v>1</v>
      </c>
      <c r="BK1423" t="str">
        <f t="shared" si="719"/>
        <v>Farmacia</v>
      </c>
      <c r="BL1423" t="str">
        <f>""</f>
        <v/>
      </c>
      <c r="BM1423" t="str">
        <f>"VARILUX ESPECIALISTA SELECT"</f>
        <v>VARILUX ESPECIALISTA SELECT</v>
      </c>
      <c r="BN1423" t="str">
        <f t="shared" si="723"/>
        <v>NA</v>
      </c>
      <c r="BO1423" t="str">
        <f>"FOCO VARILUX DIGITAL"</f>
        <v>FOCO VARILUX DIGITAL</v>
      </c>
      <c r="BP1423" t="str">
        <f>""</f>
        <v/>
      </c>
      <c r="BQ1423" t="str">
        <f>""</f>
        <v/>
      </c>
      <c r="BR1423" t="str">
        <f t="shared" si="729"/>
        <v>01/07/2021</v>
      </c>
      <c r="BS1423" t="str">
        <f>"12/07/2023"</f>
        <v>12/07/2023</v>
      </c>
      <c r="BT1423" t="str">
        <f>""</f>
        <v/>
      </c>
      <c r="BU1423" t="str">
        <f>""</f>
        <v/>
      </c>
      <c r="BV1423" t="str">
        <f>""</f>
        <v/>
      </c>
      <c r="BW1423" t="str">
        <f>"8"</f>
        <v>8</v>
      </c>
    </row>
    <row r="1424" spans="1:75" x14ac:dyDescent="0.35">
      <c r="A1424">
        <v>137661</v>
      </c>
      <c r="B1424" t="str">
        <f t="shared" si="712"/>
        <v>A</v>
      </c>
      <c r="C1424" t="str">
        <f t="shared" si="713"/>
        <v>80</v>
      </c>
      <c r="D1424" t="str">
        <f t="shared" si="706"/>
        <v>11121004</v>
      </c>
      <c r="E1424" t="str">
        <f t="shared" si="707"/>
        <v>121004</v>
      </c>
      <c r="F1424" t="str">
        <f t="shared" si="708"/>
        <v>FABIANA GODOY</v>
      </c>
      <c r="G1424" t="str">
        <f>"82641846000175"</f>
        <v>82641846000175</v>
      </c>
      <c r="H1424" t="str">
        <f t="shared" si="724"/>
        <v>0</v>
      </c>
      <c r="I1424" t="str">
        <f t="shared" si="714"/>
        <v>CONTA OPTICA</v>
      </c>
      <c r="J1424" t="str">
        <f>"JOALHERIA E OTICA SCHWABE LTDA"</f>
        <v>JOALHERIA E OTICA SCHWABE LTDA</v>
      </c>
      <c r="K1424" t="str">
        <f>"JOALHERIA E OTICA SCHWABE (165)"</f>
        <v>JOALHERIA E OTICA SCHWABE (165)</v>
      </c>
      <c r="L1424" t="str">
        <f>""</f>
        <v/>
      </c>
      <c r="M1424" t="str">
        <f>""</f>
        <v/>
      </c>
      <c r="N1424" t="str">
        <f>"joalheriaeoticaschwabe@gmail.com"</f>
        <v>joalheriaeoticaschwabe@gmail.com</v>
      </c>
      <c r="O1424" t="str">
        <f>""</f>
        <v/>
      </c>
      <c r="P1424" t="str">
        <f>"RUA QUINZE DE NOVEMBRO"</f>
        <v>RUA QUINZE DE NOVEMBRO</v>
      </c>
      <c r="Q1424" t="str">
        <f>"770"</f>
        <v>770</v>
      </c>
      <c r="R1424" t="str">
        <f>""</f>
        <v/>
      </c>
      <c r="S1424" t="str">
        <f>"1271"</f>
        <v>1271</v>
      </c>
      <c r="T1424" t="str">
        <f>"89010000"</f>
        <v>89010000</v>
      </c>
      <c r="U1424" t="str">
        <f t="shared" si="725"/>
        <v>CENTRO</v>
      </c>
      <c r="V1424" t="str">
        <f>"BLUMENAU"</f>
        <v>BLUMENAU</v>
      </c>
      <c r="W1424" t="str">
        <f t="shared" si="705"/>
        <v>SC</v>
      </c>
      <c r="X1424" t="str">
        <f t="shared" si="715"/>
        <v>47</v>
      </c>
      <c r="Y1424" t="str">
        <f>"33228822"</f>
        <v>33228822</v>
      </c>
      <c r="Z1424" t="str">
        <f>""</f>
        <v/>
      </c>
      <c r="AA1424" t="str">
        <f>""</f>
        <v/>
      </c>
      <c r="AB1424" t="str">
        <f>""</f>
        <v/>
      </c>
      <c r="AC1424" t="str">
        <f>""</f>
        <v/>
      </c>
      <c r="AD1424" t="str">
        <f>""</f>
        <v/>
      </c>
      <c r="AE1424" t="str">
        <f>""</f>
        <v/>
      </c>
      <c r="AF1424" t="str">
        <f>""</f>
        <v/>
      </c>
      <c r="AG1424" t="str">
        <f t="shared" si="726"/>
        <v>S</v>
      </c>
      <c r="AH1424" t="str">
        <f>""</f>
        <v/>
      </c>
      <c r="AI1424" t="str">
        <f>""</f>
        <v/>
      </c>
      <c r="AJ1424" t="str">
        <f>""</f>
        <v/>
      </c>
      <c r="AK1424" t="str">
        <f>""</f>
        <v/>
      </c>
      <c r="AL1424" t="str">
        <f>""</f>
        <v/>
      </c>
      <c r="AM1424" t="str">
        <f>""</f>
        <v/>
      </c>
      <c r="AN1424" t="str">
        <f>""</f>
        <v/>
      </c>
      <c r="AO1424" t="str">
        <f>""</f>
        <v/>
      </c>
      <c r="AP1424" t="str">
        <f>""</f>
        <v/>
      </c>
      <c r="AQ1424" t="str">
        <f t="shared" si="727"/>
        <v>N</v>
      </c>
      <c r="AR1424" t="str">
        <f t="shared" si="727"/>
        <v>N</v>
      </c>
      <c r="AS1424" t="str">
        <f t="shared" si="727"/>
        <v>N</v>
      </c>
      <c r="AT1424" t="str">
        <f t="shared" si="727"/>
        <v>N</v>
      </c>
      <c r="AU1424" t="str">
        <f t="shared" si="727"/>
        <v>N</v>
      </c>
      <c r="AV1424" t="str">
        <f>""</f>
        <v/>
      </c>
      <c r="AW1424" t="str">
        <f>""</f>
        <v/>
      </c>
      <c r="AX1424" t="str">
        <f>""</f>
        <v/>
      </c>
      <c r="AY1424" t="str">
        <f>""</f>
        <v/>
      </c>
      <c r="AZ1424" t="str">
        <f>""</f>
        <v/>
      </c>
      <c r="BA1424" t="str">
        <f>""</f>
        <v/>
      </c>
      <c r="BB1424" t="str">
        <f t="shared" si="728"/>
        <v>01/07/2021 13:53:04</v>
      </c>
      <c r="BC1424" t="str">
        <f>"21/07/2023 17:36:30"</f>
        <v>21/07/2023 17:36:30</v>
      </c>
      <c r="BD1424" t="str">
        <f>""</f>
        <v/>
      </c>
      <c r="BE1424" t="str">
        <f>""</f>
        <v/>
      </c>
      <c r="BF1424" t="str">
        <f t="shared" si="716"/>
        <v>A</v>
      </c>
      <c r="BG1424" t="str">
        <f>""</f>
        <v/>
      </c>
      <c r="BH1424" t="str">
        <f t="shared" si="722"/>
        <v>0,00</v>
      </c>
      <c r="BI1424" t="str">
        <f>"MENSAL"</f>
        <v>MENSAL</v>
      </c>
      <c r="BJ1424" t="str">
        <f t="shared" si="718"/>
        <v>1</v>
      </c>
      <c r="BK1424" t="str">
        <f t="shared" si="719"/>
        <v>Farmacia</v>
      </c>
      <c r="BL1424" t="str">
        <f>""</f>
        <v/>
      </c>
      <c r="BM1424" t="str">
        <f>"NÃO É VARILUX ESPECIALISTA"</f>
        <v>NÃO É VARILUX ESPECIALISTA</v>
      </c>
      <c r="BN1424" t="str">
        <f>"EL360"</f>
        <v>EL360</v>
      </c>
      <c r="BO1424" t="str">
        <f>"FOCO VARILUX DIGITAL"</f>
        <v>FOCO VARILUX DIGITAL</v>
      </c>
      <c r="BP1424" t="str">
        <f>""</f>
        <v/>
      </c>
      <c r="BQ1424" t="str">
        <f>""</f>
        <v/>
      </c>
      <c r="BR1424" t="str">
        <f t="shared" si="729"/>
        <v>01/07/2021</v>
      </c>
      <c r="BS1424" t="str">
        <f>"21/07/2023"</f>
        <v>21/07/2023</v>
      </c>
      <c r="BT1424" t="str">
        <f>""</f>
        <v/>
      </c>
      <c r="BU1424" t="str">
        <f>""</f>
        <v/>
      </c>
      <c r="BV1424" t="str">
        <f>""</f>
        <v/>
      </c>
      <c r="BW1424" t="str">
        <f>"2"</f>
        <v>2</v>
      </c>
    </row>
    <row r="1425" spans="1:75" x14ac:dyDescent="0.35">
      <c r="A1425">
        <v>137662</v>
      </c>
      <c r="B1425" t="str">
        <f t="shared" si="712"/>
        <v>A</v>
      </c>
      <c r="C1425" t="str">
        <f t="shared" si="713"/>
        <v>80</v>
      </c>
      <c r="D1425" t="str">
        <f t="shared" si="706"/>
        <v>11121004</v>
      </c>
      <c r="E1425" t="str">
        <f t="shared" si="707"/>
        <v>121004</v>
      </c>
      <c r="F1425" t="str">
        <f t="shared" si="708"/>
        <v>FABIANA GODOY</v>
      </c>
      <c r="G1425" t="str">
        <f>"29893170000124"</f>
        <v>29893170000124</v>
      </c>
      <c r="H1425" t="str">
        <f t="shared" si="724"/>
        <v>0</v>
      </c>
      <c r="I1425" t="str">
        <f t="shared" si="714"/>
        <v>CONTA OPTICA</v>
      </c>
      <c r="J1425" t="str">
        <f>"JOCIMERE MATIAS"</f>
        <v>JOCIMERE MATIAS</v>
      </c>
      <c r="K1425" t="str">
        <f>"RELOJOARIA E OTICA D MERE (3879)"</f>
        <v>RELOJOARIA E OTICA D MERE (3879)</v>
      </c>
      <c r="L1425" t="str">
        <f>""</f>
        <v/>
      </c>
      <c r="M1425" t="str">
        <f>""</f>
        <v/>
      </c>
      <c r="N1425" t="str">
        <f>"opticamere@gmail.com"</f>
        <v>opticamere@gmail.com</v>
      </c>
      <c r="O1425" t="str">
        <f>""</f>
        <v/>
      </c>
      <c r="P1425" t="str">
        <f>"RUA CORONEL BENJAMIN VIEIRA"</f>
        <v>RUA CORONEL BENJAMIN VIEIRA</v>
      </c>
      <c r="Q1425" t="str">
        <f>"10"</f>
        <v>10</v>
      </c>
      <c r="R1425" t="str">
        <f>"SL04"</f>
        <v>SL04</v>
      </c>
      <c r="S1425" t="str">
        <f>"1262"</f>
        <v>1262</v>
      </c>
      <c r="T1425" t="str">
        <f>"88340356"</f>
        <v>88340356</v>
      </c>
      <c r="U1425" t="str">
        <f t="shared" si="725"/>
        <v>CENTRO</v>
      </c>
      <c r="V1425" t="str">
        <f>"CAMBORIÚ"</f>
        <v>CAMBORIÚ</v>
      </c>
      <c r="W1425" t="str">
        <f t="shared" si="705"/>
        <v>SC</v>
      </c>
      <c r="X1425" t="str">
        <f t="shared" si="715"/>
        <v>47</v>
      </c>
      <c r="Y1425" t="str">
        <f>"33655556"</f>
        <v>33655556</v>
      </c>
      <c r="Z1425" t="str">
        <f>""</f>
        <v/>
      </c>
      <c r="AA1425" t="str">
        <f>""</f>
        <v/>
      </c>
      <c r="AB1425" t="str">
        <f>""</f>
        <v/>
      </c>
      <c r="AC1425" t="str">
        <f>""</f>
        <v/>
      </c>
      <c r="AD1425" t="str">
        <f>""</f>
        <v/>
      </c>
      <c r="AE1425" t="str">
        <f>""</f>
        <v/>
      </c>
      <c r="AF1425" t="str">
        <f>""</f>
        <v/>
      </c>
      <c r="AG1425" t="str">
        <f t="shared" si="726"/>
        <v>S</v>
      </c>
      <c r="AH1425" t="str">
        <f>""</f>
        <v/>
      </c>
      <c r="AI1425" t="str">
        <f>""</f>
        <v/>
      </c>
      <c r="AJ1425" t="str">
        <f>""</f>
        <v/>
      </c>
      <c r="AK1425" t="str">
        <f>""</f>
        <v/>
      </c>
      <c r="AL1425" t="str">
        <f>""</f>
        <v/>
      </c>
      <c r="AM1425" t="str">
        <f>""</f>
        <v/>
      </c>
      <c r="AN1425" t="str">
        <f>""</f>
        <v/>
      </c>
      <c r="AO1425" t="str">
        <f>""</f>
        <v/>
      </c>
      <c r="AP1425" t="str">
        <f>""</f>
        <v/>
      </c>
      <c r="AQ1425" t="str">
        <f t="shared" si="727"/>
        <v>N</v>
      </c>
      <c r="AR1425" t="str">
        <f t="shared" si="727"/>
        <v>N</v>
      </c>
      <c r="AS1425" t="str">
        <f t="shared" si="727"/>
        <v>N</v>
      </c>
      <c r="AT1425" t="str">
        <f t="shared" si="727"/>
        <v>N</v>
      </c>
      <c r="AU1425" t="str">
        <f t="shared" si="727"/>
        <v>N</v>
      </c>
      <c r="AV1425" t="str">
        <f>""</f>
        <v/>
      </c>
      <c r="AW1425" t="str">
        <f>""</f>
        <v/>
      </c>
      <c r="AX1425" t="str">
        <f>""</f>
        <v/>
      </c>
      <c r="AY1425" t="str">
        <f>""</f>
        <v/>
      </c>
      <c r="AZ1425" t="str">
        <f>""</f>
        <v/>
      </c>
      <c r="BA1425" t="str">
        <f>""</f>
        <v/>
      </c>
      <c r="BB1425" t="str">
        <f t="shared" si="728"/>
        <v>01/07/2021 13:53:04</v>
      </c>
      <c r="BC1425" t="str">
        <f>"17/07/2023 15:03:53"</f>
        <v>17/07/2023 15:03:53</v>
      </c>
      <c r="BD1425" t="str">
        <f>""</f>
        <v/>
      </c>
      <c r="BE1425" t="str">
        <f>""</f>
        <v/>
      </c>
      <c r="BF1425" t="str">
        <f t="shared" si="716"/>
        <v>A</v>
      </c>
      <c r="BG1425" t="str">
        <f>""</f>
        <v/>
      </c>
      <c r="BH1425" t="str">
        <f t="shared" si="722"/>
        <v>0,00</v>
      </c>
      <c r="BI1425" t="str">
        <f>"MENSAL"</f>
        <v>MENSAL</v>
      </c>
      <c r="BJ1425" t="str">
        <f t="shared" si="718"/>
        <v>1</v>
      </c>
      <c r="BK1425" t="str">
        <f t="shared" si="719"/>
        <v>Farmacia</v>
      </c>
      <c r="BL1425" t="str">
        <f>""</f>
        <v/>
      </c>
      <c r="BM1425" t="str">
        <f>"NÃO É VARILUX ESPECIALISTA"</f>
        <v>NÃO É VARILUX ESPECIALISTA</v>
      </c>
      <c r="BN1425" t="str">
        <f>"NA"</f>
        <v>NA</v>
      </c>
      <c r="BO1425" t="str">
        <f>"FOCO VARILUX DIGITAL"</f>
        <v>FOCO VARILUX DIGITAL</v>
      </c>
      <c r="BP1425" t="str">
        <f>""</f>
        <v/>
      </c>
      <c r="BQ1425" t="str">
        <f>""</f>
        <v/>
      </c>
      <c r="BR1425" t="str">
        <f t="shared" si="729"/>
        <v>01/07/2021</v>
      </c>
      <c r="BS1425" t="str">
        <f>"17/07/2023"</f>
        <v>17/07/2023</v>
      </c>
      <c r="BT1425" t="str">
        <f>""</f>
        <v/>
      </c>
      <c r="BU1425" t="str">
        <f>""</f>
        <v/>
      </c>
      <c r="BV1425" t="str">
        <f>""</f>
        <v/>
      </c>
      <c r="BW1425" t="str">
        <f>"4"</f>
        <v>4</v>
      </c>
    </row>
    <row r="1426" spans="1:75" x14ac:dyDescent="0.35">
      <c r="A1426">
        <v>157100</v>
      </c>
      <c r="B1426" t="str">
        <f t="shared" si="712"/>
        <v>A</v>
      </c>
      <c r="C1426" t="str">
        <f t="shared" si="713"/>
        <v>80</v>
      </c>
      <c r="D1426" t="str">
        <f t="shared" si="706"/>
        <v>11121004</v>
      </c>
      <c r="E1426" t="str">
        <f t="shared" si="707"/>
        <v>121004</v>
      </c>
      <c r="F1426" t="str">
        <f t="shared" si="708"/>
        <v>FABIANA GODOY</v>
      </c>
      <c r="G1426" t="str">
        <f>"29893170000205"</f>
        <v>29893170000205</v>
      </c>
      <c r="H1426" t="str">
        <f t="shared" si="724"/>
        <v>0</v>
      </c>
      <c r="I1426" t="str">
        <f t="shared" si="714"/>
        <v>CONTA OPTICA</v>
      </c>
      <c r="J1426" t="str">
        <f>"JOCIMERE MATIAS"</f>
        <v>JOCIMERE MATIAS</v>
      </c>
      <c r="K1426" t="str">
        <f>"RELOJOARIA E OTICA MERE (4545)"</f>
        <v>RELOJOARIA E OTICA MERE (4545)</v>
      </c>
      <c r="L1426" t="str">
        <f>""</f>
        <v/>
      </c>
      <c r="M1426" t="str">
        <f>""</f>
        <v/>
      </c>
      <c r="N1426" t="str">
        <f>"OPTICAMERE@GMAIL.COM"</f>
        <v>OPTICAMERE@GMAIL.COM</v>
      </c>
      <c r="O1426" t="str">
        <f>""</f>
        <v/>
      </c>
      <c r="P1426" t="str">
        <f>"QUARTA AVENIDA"</f>
        <v>QUARTA AVENIDA</v>
      </c>
      <c r="Q1426" t="str">
        <f>"580"</f>
        <v>580</v>
      </c>
      <c r="R1426" t="str">
        <f>"SALA 02"</f>
        <v>SALA 02</v>
      </c>
      <c r="S1426" t="str">
        <f>"1262"</f>
        <v>1262</v>
      </c>
      <c r="T1426" t="str">
        <f>"88330110"</f>
        <v>88330110</v>
      </c>
      <c r="U1426" t="str">
        <f t="shared" si="725"/>
        <v>CENTRO</v>
      </c>
      <c r="V1426" t="str">
        <f>"BALNEÁRIO CAMBORIÚ"</f>
        <v>BALNEÁRIO CAMBORIÚ</v>
      </c>
      <c r="W1426" t="str">
        <f t="shared" si="705"/>
        <v>SC</v>
      </c>
      <c r="X1426" t="str">
        <f t="shared" si="715"/>
        <v>47</v>
      </c>
      <c r="Y1426" t="str">
        <f>"30470880"</f>
        <v>30470880</v>
      </c>
      <c r="Z1426" t="str">
        <f>""</f>
        <v/>
      </c>
      <c r="AA1426" t="str">
        <f>""</f>
        <v/>
      </c>
      <c r="AB1426" t="str">
        <f>""</f>
        <v/>
      </c>
      <c r="AC1426" t="str">
        <f>""</f>
        <v/>
      </c>
      <c r="AD1426" t="str">
        <f>""</f>
        <v/>
      </c>
      <c r="AE1426" t="str">
        <f>""</f>
        <v/>
      </c>
      <c r="AF1426" t="str">
        <f>""</f>
        <v/>
      </c>
      <c r="AG1426" t="str">
        <f t="shared" si="726"/>
        <v>S</v>
      </c>
      <c r="AH1426" t="str">
        <f>""</f>
        <v/>
      </c>
      <c r="AI1426" t="str">
        <f>""</f>
        <v/>
      </c>
      <c r="AJ1426" t="str">
        <f>""</f>
        <v/>
      </c>
      <c r="AK1426" t="str">
        <f>""</f>
        <v/>
      </c>
      <c r="AL1426" t="str">
        <f>""</f>
        <v/>
      </c>
      <c r="AM1426" t="str">
        <f>""</f>
        <v/>
      </c>
      <c r="AN1426" t="str">
        <f>""</f>
        <v/>
      </c>
      <c r="AO1426" t="str">
        <f>""</f>
        <v/>
      </c>
      <c r="AP1426" t="str">
        <f>""</f>
        <v/>
      </c>
      <c r="AQ1426" t="str">
        <f t="shared" si="727"/>
        <v>N</v>
      </c>
      <c r="AR1426" t="str">
        <f t="shared" si="727"/>
        <v>N</v>
      </c>
      <c r="AS1426" t="str">
        <f t="shared" si="727"/>
        <v>N</v>
      </c>
      <c r="AT1426" t="str">
        <f t="shared" si="727"/>
        <v>N</v>
      </c>
      <c r="AU1426" t="str">
        <f t="shared" si="727"/>
        <v>N</v>
      </c>
      <c r="AV1426" t="str">
        <f>""</f>
        <v/>
      </c>
      <c r="AW1426" t="str">
        <f>""</f>
        <v/>
      </c>
      <c r="AX1426" t="str">
        <f>""</f>
        <v/>
      </c>
      <c r="AY1426" t="str">
        <f>""</f>
        <v/>
      </c>
      <c r="AZ1426" t="str">
        <f>""</f>
        <v/>
      </c>
      <c r="BA1426" t="str">
        <f>""</f>
        <v/>
      </c>
      <c r="BB1426" t="str">
        <f>"06/07/2023 12:07:48"</f>
        <v>06/07/2023 12:07:48</v>
      </c>
      <c r="BC1426" t="str">
        <f>"17/07/2023 15:02:40"</f>
        <v>17/07/2023 15:02:40</v>
      </c>
      <c r="BD1426" t="str">
        <f>""</f>
        <v/>
      </c>
      <c r="BE1426" t="str">
        <f>""</f>
        <v/>
      </c>
      <c r="BF1426" t="str">
        <f t="shared" si="716"/>
        <v>A</v>
      </c>
      <c r="BG1426" t="str">
        <f>""</f>
        <v/>
      </c>
      <c r="BH1426" t="str">
        <f t="shared" si="722"/>
        <v>0,00</v>
      </c>
      <c r="BI1426" t="str">
        <f>"MENSAL"</f>
        <v>MENSAL</v>
      </c>
      <c r="BJ1426" t="str">
        <f t="shared" si="718"/>
        <v>1</v>
      </c>
      <c r="BK1426" t="str">
        <f t="shared" si="719"/>
        <v>Farmacia</v>
      </c>
      <c r="BL1426" t="str">
        <f>""</f>
        <v/>
      </c>
      <c r="BM1426" t="str">
        <f>""</f>
        <v/>
      </c>
      <c r="BN1426" t="str">
        <f>""</f>
        <v/>
      </c>
      <c r="BO1426" t="str">
        <f>""</f>
        <v/>
      </c>
      <c r="BP1426" t="str">
        <f>""</f>
        <v/>
      </c>
      <c r="BQ1426" t="str">
        <f>""</f>
        <v/>
      </c>
      <c r="BR1426" t="str">
        <f>"06/07/2023"</f>
        <v>06/07/2023</v>
      </c>
      <c r="BS1426" t="str">
        <f>"17/07/2023"</f>
        <v>17/07/2023</v>
      </c>
      <c r="BT1426" t="str">
        <f>""</f>
        <v/>
      </c>
      <c r="BU1426" t="str">
        <f>""</f>
        <v/>
      </c>
      <c r="BV1426" t="str">
        <f>""</f>
        <v/>
      </c>
      <c r="BW1426" t="str">
        <f>"4"</f>
        <v>4</v>
      </c>
    </row>
    <row r="1427" spans="1:75" x14ac:dyDescent="0.35">
      <c r="A1427">
        <v>137664</v>
      </c>
      <c r="B1427" t="str">
        <f t="shared" si="712"/>
        <v>A</v>
      </c>
      <c r="C1427" t="str">
        <f t="shared" si="713"/>
        <v>80</v>
      </c>
      <c r="D1427" t="str">
        <f t="shared" si="706"/>
        <v>11121004</v>
      </c>
      <c r="E1427" t="str">
        <f t="shared" si="707"/>
        <v>121004</v>
      </c>
      <c r="F1427" t="str">
        <f t="shared" si="708"/>
        <v>FABIANA GODOY</v>
      </c>
      <c r="G1427" t="str">
        <f>"83822494000117"</f>
        <v>83822494000117</v>
      </c>
      <c r="H1427" t="str">
        <f t="shared" si="724"/>
        <v>0</v>
      </c>
      <c r="I1427" t="str">
        <f t="shared" si="714"/>
        <v>CONTA OPTICA</v>
      </c>
      <c r="J1427" t="str">
        <f>"JORMIM OTICA LTDA EPP"</f>
        <v>JORMIM OTICA LTDA EPP</v>
      </c>
      <c r="K1427" t="str">
        <f>"JORMIM OTICA LTDA EPP (185)"</f>
        <v>JORMIM OTICA LTDA EPP (185)</v>
      </c>
      <c r="L1427" t="str">
        <f>""</f>
        <v/>
      </c>
      <c r="M1427" t="str">
        <f>""</f>
        <v/>
      </c>
      <c r="N1427" t="str">
        <f>""</f>
        <v/>
      </c>
      <c r="O1427" t="str">
        <f>""</f>
        <v/>
      </c>
      <c r="P1427" t="str">
        <f>"RUA HERCILIO LUZ"</f>
        <v>RUA HERCILIO LUZ</v>
      </c>
      <c r="Q1427" t="str">
        <f>"197"</f>
        <v>197</v>
      </c>
      <c r="R1427" t="str">
        <f>""</f>
        <v/>
      </c>
      <c r="S1427" t="str">
        <f>"1261"</f>
        <v>1261</v>
      </c>
      <c r="T1427" t="str">
        <f>"88301001"</f>
        <v>88301001</v>
      </c>
      <c r="U1427" t="str">
        <f t="shared" si="725"/>
        <v>CENTRO</v>
      </c>
      <c r="V1427" t="str">
        <f>"ITAJAÍ"</f>
        <v>ITAJAÍ</v>
      </c>
      <c r="W1427" t="str">
        <f t="shared" si="705"/>
        <v>SC</v>
      </c>
      <c r="X1427" t="str">
        <f t="shared" si="715"/>
        <v>47</v>
      </c>
      <c r="Y1427" t="str">
        <f>"33486891"</f>
        <v>33486891</v>
      </c>
      <c r="Z1427" t="str">
        <f>""</f>
        <v/>
      </c>
      <c r="AA1427" t="str">
        <f>""</f>
        <v/>
      </c>
      <c r="AB1427" t="str">
        <f>""</f>
        <v/>
      </c>
      <c r="AC1427" t="str">
        <f>""</f>
        <v/>
      </c>
      <c r="AD1427" t="str">
        <f>""</f>
        <v/>
      </c>
      <c r="AE1427" t="str">
        <f>""</f>
        <v/>
      </c>
      <c r="AF1427" t="str">
        <f>""</f>
        <v/>
      </c>
      <c r="AG1427" t="str">
        <f t="shared" si="726"/>
        <v>S</v>
      </c>
      <c r="AH1427" t="str">
        <f>""</f>
        <v/>
      </c>
      <c r="AI1427" t="str">
        <f>""</f>
        <v/>
      </c>
      <c r="AJ1427" t="str">
        <f>""</f>
        <v/>
      </c>
      <c r="AK1427" t="str">
        <f>""</f>
        <v/>
      </c>
      <c r="AL1427" t="str">
        <f>""</f>
        <v/>
      </c>
      <c r="AM1427" t="str">
        <f>""</f>
        <v/>
      </c>
      <c r="AN1427" t="str">
        <f>""</f>
        <v/>
      </c>
      <c r="AO1427" t="str">
        <f>""</f>
        <v/>
      </c>
      <c r="AP1427" t="str">
        <f>""</f>
        <v/>
      </c>
      <c r="AQ1427" t="str">
        <f t="shared" si="727"/>
        <v>N</v>
      </c>
      <c r="AR1427" t="str">
        <f t="shared" si="727"/>
        <v>N</v>
      </c>
      <c r="AS1427" t="str">
        <f t="shared" si="727"/>
        <v>N</v>
      </c>
      <c r="AT1427" t="str">
        <f t="shared" si="727"/>
        <v>N</v>
      </c>
      <c r="AU1427" t="str">
        <f t="shared" si="727"/>
        <v>N</v>
      </c>
      <c r="AV1427" t="str">
        <f>""</f>
        <v/>
      </c>
      <c r="AW1427" t="str">
        <f>""</f>
        <v/>
      </c>
      <c r="AX1427" t="str">
        <f>""</f>
        <v/>
      </c>
      <c r="AY1427" t="str">
        <f>""</f>
        <v/>
      </c>
      <c r="AZ1427" t="str">
        <f>""</f>
        <v/>
      </c>
      <c r="BA1427" t="str">
        <f>""</f>
        <v/>
      </c>
      <c r="BB1427" t="str">
        <f>"01/07/2021 13:53:04"</f>
        <v>01/07/2021 13:53:04</v>
      </c>
      <c r="BC1427" t="str">
        <f>"13/07/2023 15:00:23"</f>
        <v>13/07/2023 15:00:23</v>
      </c>
      <c r="BD1427" t="str">
        <f>""</f>
        <v/>
      </c>
      <c r="BE1427" t="str">
        <f>""</f>
        <v/>
      </c>
      <c r="BF1427" t="str">
        <f t="shared" si="716"/>
        <v>A</v>
      </c>
      <c r="BG1427" t="str">
        <f>""</f>
        <v/>
      </c>
      <c r="BH1427" t="str">
        <f t="shared" si="722"/>
        <v>0,00</v>
      </c>
      <c r="BI1427" t="str">
        <f>"MENSAL"</f>
        <v>MENSAL</v>
      </c>
      <c r="BJ1427" t="str">
        <f t="shared" si="718"/>
        <v>1</v>
      </c>
      <c r="BK1427" t="str">
        <f t="shared" si="719"/>
        <v>Farmacia</v>
      </c>
      <c r="BL1427" t="str">
        <f>""</f>
        <v/>
      </c>
      <c r="BM1427" t="str">
        <f>"VARILUX ESPECIALISTA SELECT"</f>
        <v>VARILUX ESPECIALISTA SELECT</v>
      </c>
      <c r="BN1427" t="str">
        <f>"NA"</f>
        <v>NA</v>
      </c>
      <c r="BO1427" t="str">
        <f>"FOCO VARILUX DIGITAL"</f>
        <v>FOCO VARILUX DIGITAL</v>
      </c>
      <c r="BP1427" t="str">
        <f>""</f>
        <v/>
      </c>
      <c r="BQ1427" t="str">
        <f>""</f>
        <v/>
      </c>
      <c r="BR1427" t="str">
        <f>"01/07/2021"</f>
        <v>01/07/2021</v>
      </c>
      <c r="BS1427" t="str">
        <f>"13/07/2023"</f>
        <v>13/07/2023</v>
      </c>
      <c r="BT1427" t="str">
        <f>""</f>
        <v/>
      </c>
      <c r="BU1427" t="str">
        <f>""</f>
        <v/>
      </c>
      <c r="BV1427" t="str">
        <f>""</f>
        <v/>
      </c>
      <c r="BW1427" t="str">
        <f>"8"</f>
        <v>8</v>
      </c>
    </row>
    <row r="1428" spans="1:75" x14ac:dyDescent="0.35">
      <c r="A1428">
        <v>157119</v>
      </c>
      <c r="B1428" t="str">
        <f t="shared" si="712"/>
        <v>A</v>
      </c>
      <c r="C1428" t="str">
        <f t="shared" si="713"/>
        <v>80</v>
      </c>
      <c r="D1428" t="str">
        <f t="shared" si="706"/>
        <v>11121004</v>
      </c>
      <c r="E1428" t="str">
        <f t="shared" si="707"/>
        <v>121004</v>
      </c>
      <c r="F1428" t="str">
        <f t="shared" si="708"/>
        <v>FABIANA GODOY</v>
      </c>
      <c r="G1428" t="str">
        <f>"10844761000183"</f>
        <v>10844761000183</v>
      </c>
      <c r="H1428" t="str">
        <f t="shared" si="724"/>
        <v>0</v>
      </c>
      <c r="I1428" t="str">
        <f t="shared" si="714"/>
        <v>CONTA OPTICA</v>
      </c>
      <c r="J1428" t="str">
        <f>"JOSE VILMAR DA ROSA"</f>
        <v>JOSE VILMAR DA ROSA</v>
      </c>
      <c r="K1428" t="str">
        <f>"OPTICA HORA CERTA (3312)"</f>
        <v>OPTICA HORA CERTA (3312)</v>
      </c>
      <c r="L1428" t="str">
        <f>""</f>
        <v/>
      </c>
      <c r="M1428" t="str">
        <f>""</f>
        <v/>
      </c>
      <c r="N1428" t="str">
        <f>"HORACERTA.PB@GMAIL.COM"</f>
        <v>HORACERTA.PB@GMAIL.COM</v>
      </c>
      <c r="O1428" t="str">
        <f>""</f>
        <v/>
      </c>
      <c r="P1428" t="str">
        <f>"GOVERNADOR CELSO RAMOS"</f>
        <v>GOVERNADOR CELSO RAMOS</v>
      </c>
      <c r="Q1428" t="str">
        <f>"2705"</f>
        <v>2705</v>
      </c>
      <c r="R1428" t="str">
        <f>""</f>
        <v/>
      </c>
      <c r="S1428" t="str">
        <f>"1260"</f>
        <v>1260</v>
      </c>
      <c r="T1428" t="str">
        <f>"88210000"</f>
        <v>88210000</v>
      </c>
      <c r="U1428" t="str">
        <f t="shared" si="725"/>
        <v>CENTRO</v>
      </c>
      <c r="V1428" t="str">
        <f>"PORTO BELO"</f>
        <v>PORTO BELO</v>
      </c>
      <c r="W1428" t="str">
        <f t="shared" si="705"/>
        <v>SC</v>
      </c>
      <c r="X1428" t="str">
        <f t="shared" si="715"/>
        <v>47</v>
      </c>
      <c r="Y1428" t="str">
        <f>"33696265"</f>
        <v>33696265</v>
      </c>
      <c r="Z1428" t="str">
        <f>""</f>
        <v/>
      </c>
      <c r="AA1428" t="str">
        <f>""</f>
        <v/>
      </c>
      <c r="AB1428" t="str">
        <f>""</f>
        <v/>
      </c>
      <c r="AC1428" t="str">
        <f>""</f>
        <v/>
      </c>
      <c r="AD1428" t="str">
        <f>""</f>
        <v/>
      </c>
      <c r="AE1428" t="str">
        <f>""</f>
        <v/>
      </c>
      <c r="AF1428" t="str">
        <f>""</f>
        <v/>
      </c>
      <c r="AG1428" t="str">
        <f>""</f>
        <v/>
      </c>
      <c r="AH1428" t="str">
        <f>""</f>
        <v/>
      </c>
      <c r="AI1428" t="str">
        <f>""</f>
        <v/>
      </c>
      <c r="AJ1428" t="str">
        <f>""</f>
        <v/>
      </c>
      <c r="AK1428" t="str">
        <f>""</f>
        <v/>
      </c>
      <c r="AL1428" t="str">
        <f>""</f>
        <v/>
      </c>
      <c r="AM1428" t="str">
        <f>""</f>
        <v/>
      </c>
      <c r="AN1428" t="str">
        <f>""</f>
        <v/>
      </c>
      <c r="AO1428" t="str">
        <f>""</f>
        <v/>
      </c>
      <c r="AP1428" t="str">
        <f>""</f>
        <v/>
      </c>
      <c r="AQ1428" t="str">
        <f>""</f>
        <v/>
      </c>
      <c r="AR1428" t="str">
        <f>""</f>
        <v/>
      </c>
      <c r="AS1428" t="str">
        <f>""</f>
        <v/>
      </c>
      <c r="AT1428" t="str">
        <f>""</f>
        <v/>
      </c>
      <c r="AU1428" t="str">
        <f>""</f>
        <v/>
      </c>
      <c r="AV1428" t="str">
        <f>""</f>
        <v/>
      </c>
      <c r="AW1428" t="str">
        <f>""</f>
        <v/>
      </c>
      <c r="AX1428" t="str">
        <f>""</f>
        <v/>
      </c>
      <c r="AY1428" t="str">
        <f>""</f>
        <v/>
      </c>
      <c r="AZ1428" t="str">
        <f>""</f>
        <v/>
      </c>
      <c r="BA1428" t="str">
        <f>""</f>
        <v/>
      </c>
      <c r="BB1428" t="str">
        <f>"06/07/2023 12:07:48"</f>
        <v>06/07/2023 12:07:48</v>
      </c>
      <c r="BC1428" t="str">
        <f>""</f>
        <v/>
      </c>
      <c r="BD1428" t="str">
        <f>""</f>
        <v/>
      </c>
      <c r="BE1428" t="str">
        <f>""</f>
        <v/>
      </c>
      <c r="BF1428" t="str">
        <f t="shared" si="716"/>
        <v>A</v>
      </c>
      <c r="BG1428" t="str">
        <f>""</f>
        <v/>
      </c>
      <c r="BH1428" t="str">
        <f>""</f>
        <v/>
      </c>
      <c r="BI1428" t="str">
        <f>"EVENTUAL"</f>
        <v>EVENTUAL</v>
      </c>
      <c r="BJ1428" t="str">
        <f t="shared" si="718"/>
        <v>1</v>
      </c>
      <c r="BK1428" t="str">
        <f t="shared" si="719"/>
        <v>Farmacia</v>
      </c>
      <c r="BL1428" t="str">
        <f>""</f>
        <v/>
      </c>
      <c r="BM1428" t="str">
        <f>""</f>
        <v/>
      </c>
      <c r="BN1428" t="str">
        <f>""</f>
        <v/>
      </c>
      <c r="BO1428" t="str">
        <f>""</f>
        <v/>
      </c>
      <c r="BP1428" t="str">
        <f>""</f>
        <v/>
      </c>
      <c r="BQ1428" t="str">
        <f>""</f>
        <v/>
      </c>
      <c r="BR1428" t="str">
        <f>"06/07/2023"</f>
        <v>06/07/2023</v>
      </c>
      <c r="BS1428" t="str">
        <f>""</f>
        <v/>
      </c>
      <c r="BT1428" t="str">
        <f>""</f>
        <v/>
      </c>
      <c r="BU1428" t="str">
        <f>""</f>
        <v/>
      </c>
      <c r="BV1428" t="str">
        <f>""</f>
        <v/>
      </c>
      <c r="BW1428" t="str">
        <f>"14"</f>
        <v>14</v>
      </c>
    </row>
    <row r="1429" spans="1:75" x14ac:dyDescent="0.35">
      <c r="A1429">
        <v>138465</v>
      </c>
      <c r="B1429" t="str">
        <f t="shared" si="712"/>
        <v>A</v>
      </c>
      <c r="C1429" t="str">
        <f t="shared" si="713"/>
        <v>80</v>
      </c>
      <c r="D1429" t="str">
        <f t="shared" si="706"/>
        <v>11121004</v>
      </c>
      <c r="E1429" t="str">
        <f t="shared" si="707"/>
        <v>121004</v>
      </c>
      <c r="F1429" t="str">
        <f t="shared" si="708"/>
        <v>FABIANA GODOY</v>
      </c>
      <c r="G1429" t="str">
        <f>"42007274000152"</f>
        <v>42007274000152</v>
      </c>
      <c r="H1429" t="str">
        <f t="shared" si="724"/>
        <v>0</v>
      </c>
      <c r="I1429" t="str">
        <f t="shared" si="714"/>
        <v>CONTA OPTICA</v>
      </c>
      <c r="J1429" t="str">
        <f>"JR POMERODE COMERCIO VAREJISTA DE ARTIGOS DE OPTICA LTDA"</f>
        <v>JR POMERODE COMERCIO VAREJISTA DE ARTIGOS DE OPTICA LTDA</v>
      </c>
      <c r="K1429" t="str">
        <f>"MERCADAO DOS OCULOS (4351)"</f>
        <v>MERCADAO DOS OCULOS (4351)</v>
      </c>
      <c r="L1429" t="str">
        <f>""</f>
        <v/>
      </c>
      <c r="M1429" t="str">
        <f>""</f>
        <v/>
      </c>
      <c r="N1429" t="str">
        <f>"SC-POMERODE@MERCADAODOSOCULOS.COM.BR"</f>
        <v>SC-POMERODE@MERCADAODOSOCULOS.COM.BR</v>
      </c>
      <c r="O1429" t="str">
        <f>""</f>
        <v/>
      </c>
      <c r="P1429" t="str">
        <f>"RUA LUIZ ABRY"</f>
        <v>RUA LUIZ ABRY</v>
      </c>
      <c r="Q1429" t="str">
        <f>"22"</f>
        <v>22</v>
      </c>
      <c r="R1429" t="str">
        <f>"LOJA 05"</f>
        <v>LOJA 05</v>
      </c>
      <c r="S1429" t="str">
        <f>"1273"</f>
        <v>1273</v>
      </c>
      <c r="T1429" t="str">
        <f>"89107000"</f>
        <v>89107000</v>
      </c>
      <c r="U1429" t="str">
        <f t="shared" si="725"/>
        <v>CENTRO</v>
      </c>
      <c r="V1429" t="str">
        <f>"POMERODE"</f>
        <v>POMERODE</v>
      </c>
      <c r="W1429" t="str">
        <f t="shared" si="705"/>
        <v>SC</v>
      </c>
      <c r="X1429" t="str">
        <f t="shared" si="715"/>
        <v>47</v>
      </c>
      <c r="Y1429" t="str">
        <f>"33042772"</f>
        <v>33042772</v>
      </c>
      <c r="Z1429" t="str">
        <f>""</f>
        <v/>
      </c>
      <c r="AA1429" t="str">
        <f>""</f>
        <v/>
      </c>
      <c r="AB1429" t="str">
        <f>""</f>
        <v/>
      </c>
      <c r="AC1429" t="str">
        <f>""</f>
        <v/>
      </c>
      <c r="AD1429" t="str">
        <f>""</f>
        <v/>
      </c>
      <c r="AE1429" t="str">
        <f>""</f>
        <v/>
      </c>
      <c r="AF1429" t="str">
        <f>""</f>
        <v/>
      </c>
      <c r="AG1429" t="str">
        <f>"S"</f>
        <v>S</v>
      </c>
      <c r="AH1429" t="str">
        <f>""</f>
        <v/>
      </c>
      <c r="AI1429" t="str">
        <f>""</f>
        <v/>
      </c>
      <c r="AJ1429" t="str">
        <f>""</f>
        <v/>
      </c>
      <c r="AK1429" t="str">
        <f>""</f>
        <v/>
      </c>
      <c r="AL1429" t="str">
        <f>""</f>
        <v/>
      </c>
      <c r="AM1429" t="str">
        <f>""</f>
        <v/>
      </c>
      <c r="AN1429" t="str">
        <f>""</f>
        <v/>
      </c>
      <c r="AO1429" t="str">
        <f>""</f>
        <v/>
      </c>
      <c r="AP1429" t="str">
        <f>""</f>
        <v/>
      </c>
      <c r="AQ1429" t="str">
        <f t="shared" ref="AQ1429:AU1432" si="730">"N"</f>
        <v>N</v>
      </c>
      <c r="AR1429" t="str">
        <f t="shared" si="730"/>
        <v>N</v>
      </c>
      <c r="AS1429" t="str">
        <f t="shared" si="730"/>
        <v>N</v>
      </c>
      <c r="AT1429" t="str">
        <f t="shared" si="730"/>
        <v>N</v>
      </c>
      <c r="AU1429" t="str">
        <f t="shared" si="730"/>
        <v>N</v>
      </c>
      <c r="AV1429" t="str">
        <f>""</f>
        <v/>
      </c>
      <c r="AW1429" t="str">
        <f>""</f>
        <v/>
      </c>
      <c r="AX1429" t="str">
        <f>""</f>
        <v/>
      </c>
      <c r="AY1429" t="str">
        <f>""</f>
        <v/>
      </c>
      <c r="AZ1429" t="str">
        <f>""</f>
        <v/>
      </c>
      <c r="BA1429" t="str">
        <f>""</f>
        <v/>
      </c>
      <c r="BB1429" t="str">
        <f>"09/07/2021 20:54:20"</f>
        <v>09/07/2021 20:54:20</v>
      </c>
      <c r="BC1429" t="str">
        <f>"14/07/2023 14:49:20"</f>
        <v>14/07/2023 14:49:20</v>
      </c>
      <c r="BD1429" t="str">
        <f>""</f>
        <v/>
      </c>
      <c r="BE1429" t="str">
        <f>""</f>
        <v/>
      </c>
      <c r="BF1429" t="str">
        <f t="shared" si="716"/>
        <v>A</v>
      </c>
      <c r="BG1429" t="str">
        <f>""</f>
        <v/>
      </c>
      <c r="BH1429" t="str">
        <f>"0,00"</f>
        <v>0,00</v>
      </c>
      <c r="BI1429" t="str">
        <f>"MENSAL"</f>
        <v>MENSAL</v>
      </c>
      <c r="BJ1429" t="str">
        <f t="shared" si="718"/>
        <v>1</v>
      </c>
      <c r="BK1429" t="str">
        <f t="shared" si="719"/>
        <v>Farmacia</v>
      </c>
      <c r="BL1429" t="str">
        <f>""</f>
        <v/>
      </c>
      <c r="BM1429" t="str">
        <f>"NÃO É VARILUX ESPECIALISTA"</f>
        <v>NÃO É VARILUX ESPECIALISTA</v>
      </c>
      <c r="BN1429" t="str">
        <f>"NA"</f>
        <v>NA</v>
      </c>
      <c r="BO1429" t="str">
        <f>"FOCO VARILUX DIGITAL"</f>
        <v>FOCO VARILUX DIGITAL</v>
      </c>
      <c r="BP1429" t="str">
        <f>""</f>
        <v/>
      </c>
      <c r="BQ1429" t="str">
        <f>""</f>
        <v/>
      </c>
      <c r="BR1429" t="str">
        <f>"09/07/2021"</f>
        <v>09/07/2021</v>
      </c>
      <c r="BS1429" t="str">
        <f>"14/07/2023"</f>
        <v>14/07/2023</v>
      </c>
      <c r="BT1429" t="str">
        <f>""</f>
        <v/>
      </c>
      <c r="BU1429" t="str">
        <f>""</f>
        <v/>
      </c>
      <c r="BV1429" t="str">
        <f>""</f>
        <v/>
      </c>
      <c r="BW1429" t="str">
        <f>"30"</f>
        <v>30</v>
      </c>
    </row>
    <row r="1430" spans="1:75" x14ac:dyDescent="0.35">
      <c r="A1430">
        <v>137666</v>
      </c>
      <c r="B1430" t="str">
        <f t="shared" si="712"/>
        <v>A</v>
      </c>
      <c r="C1430" t="str">
        <f t="shared" si="713"/>
        <v>80</v>
      </c>
      <c r="D1430" t="str">
        <f t="shared" si="706"/>
        <v>11121004</v>
      </c>
      <c r="E1430" t="str">
        <f t="shared" si="707"/>
        <v>121004</v>
      </c>
      <c r="F1430" t="str">
        <f t="shared" si="708"/>
        <v>FABIANA GODOY</v>
      </c>
      <c r="G1430" t="str">
        <f>"33837440000157"</f>
        <v>33837440000157</v>
      </c>
      <c r="H1430" t="str">
        <f t="shared" si="724"/>
        <v>0</v>
      </c>
      <c r="I1430" t="str">
        <f t="shared" si="714"/>
        <v>CONTA OPTICA</v>
      </c>
      <c r="J1430" t="str">
        <f>"JR SOUZA COMERCIO VAREJISTA DE ARTIGOS OPTICA EIRELE"</f>
        <v>JR SOUZA COMERCIO VAREJISTA DE ARTIGOS OPTICA EIRELE</v>
      </c>
      <c r="K1430" t="str">
        <f>"MERCADAO DOS OCULOS (4016)"</f>
        <v>MERCADAO DOS OCULOS (4016)</v>
      </c>
      <c r="L1430" t="str">
        <f>""</f>
        <v/>
      </c>
      <c r="M1430" t="str">
        <f>""</f>
        <v/>
      </c>
      <c r="N1430" t="str">
        <f>"sc-indaial@mercadaodosoculos.com.br"</f>
        <v>sc-indaial@mercadaodosoculos.com.br</v>
      </c>
      <c r="O1430" t="str">
        <f>""</f>
        <v/>
      </c>
      <c r="P1430" t="str">
        <f>"RUA LAURO MULLER"</f>
        <v>RUA LAURO MULLER</v>
      </c>
      <c r="Q1430" t="str">
        <f>"59"</f>
        <v>59</v>
      </c>
      <c r="R1430" t="str">
        <f>"SALA 04"</f>
        <v>SALA 04</v>
      </c>
      <c r="S1430" t="str">
        <f>"1273"</f>
        <v>1273</v>
      </c>
      <c r="T1430" t="str">
        <f>"89080039"</f>
        <v>89080039</v>
      </c>
      <c r="U1430" t="str">
        <f t="shared" si="725"/>
        <v>CENTRO</v>
      </c>
      <c r="V1430" t="str">
        <f>"INDAIAL"</f>
        <v>INDAIAL</v>
      </c>
      <c r="W1430" t="str">
        <f t="shared" si="705"/>
        <v>SC</v>
      </c>
      <c r="X1430" t="str">
        <f t="shared" si="715"/>
        <v>47</v>
      </c>
      <c r="Y1430" t="str">
        <f>"30198199"</f>
        <v>30198199</v>
      </c>
      <c r="Z1430" t="str">
        <f>""</f>
        <v/>
      </c>
      <c r="AA1430" t="str">
        <f>""</f>
        <v/>
      </c>
      <c r="AB1430" t="str">
        <f>""</f>
        <v/>
      </c>
      <c r="AC1430" t="str">
        <f>""</f>
        <v/>
      </c>
      <c r="AD1430" t="str">
        <f>""</f>
        <v/>
      </c>
      <c r="AE1430" t="str">
        <f>""</f>
        <v/>
      </c>
      <c r="AF1430" t="str">
        <f>""</f>
        <v/>
      </c>
      <c r="AG1430" t="str">
        <f>"S"</f>
        <v>S</v>
      </c>
      <c r="AH1430" t="str">
        <f>""</f>
        <v/>
      </c>
      <c r="AI1430" t="str">
        <f>""</f>
        <v/>
      </c>
      <c r="AJ1430" t="str">
        <f>""</f>
        <v/>
      </c>
      <c r="AK1430" t="str">
        <f>""</f>
        <v/>
      </c>
      <c r="AL1430" t="str">
        <f>""</f>
        <v/>
      </c>
      <c r="AM1430" t="str">
        <f>""</f>
        <v/>
      </c>
      <c r="AN1430" t="str">
        <f>""</f>
        <v/>
      </c>
      <c r="AO1430" t="str">
        <f>""</f>
        <v/>
      </c>
      <c r="AP1430" t="str">
        <f>""</f>
        <v/>
      </c>
      <c r="AQ1430" t="str">
        <f t="shared" si="730"/>
        <v>N</v>
      </c>
      <c r="AR1430" t="str">
        <f t="shared" si="730"/>
        <v>N</v>
      </c>
      <c r="AS1430" t="str">
        <f t="shared" si="730"/>
        <v>N</v>
      </c>
      <c r="AT1430" t="str">
        <f t="shared" si="730"/>
        <v>N</v>
      </c>
      <c r="AU1430" t="str">
        <f t="shared" si="730"/>
        <v>N</v>
      </c>
      <c r="AV1430" t="str">
        <f>""</f>
        <v/>
      </c>
      <c r="AW1430" t="str">
        <f>""</f>
        <v/>
      </c>
      <c r="AX1430" t="str">
        <f>""</f>
        <v/>
      </c>
      <c r="AY1430" t="str">
        <f>""</f>
        <v/>
      </c>
      <c r="AZ1430" t="str">
        <f>""</f>
        <v/>
      </c>
      <c r="BA1430" t="str">
        <f>""</f>
        <v/>
      </c>
      <c r="BB1430" t="str">
        <f>"01/07/2021 13:53:04"</f>
        <v>01/07/2021 13:53:04</v>
      </c>
      <c r="BC1430" t="str">
        <f>"14/07/2023 16:30:18"</f>
        <v>14/07/2023 16:30:18</v>
      </c>
      <c r="BD1430" t="str">
        <f>""</f>
        <v/>
      </c>
      <c r="BE1430" t="str">
        <f>""</f>
        <v/>
      </c>
      <c r="BF1430" t="str">
        <f t="shared" si="716"/>
        <v>A</v>
      </c>
      <c r="BG1430" t="str">
        <f>""</f>
        <v/>
      </c>
      <c r="BH1430" t="str">
        <f>"0,00"</f>
        <v>0,00</v>
      </c>
      <c r="BI1430" t="str">
        <f>"MENSAL"</f>
        <v>MENSAL</v>
      </c>
      <c r="BJ1430" t="str">
        <f t="shared" si="718"/>
        <v>1</v>
      </c>
      <c r="BK1430" t="str">
        <f t="shared" si="719"/>
        <v>Farmacia</v>
      </c>
      <c r="BL1430" t="str">
        <f>""</f>
        <v/>
      </c>
      <c r="BM1430" t="str">
        <f>"NÃO É VARILUX ESPECIALISTA"</f>
        <v>NÃO É VARILUX ESPECIALISTA</v>
      </c>
      <c r="BN1430" t="str">
        <f>"NA"</f>
        <v>NA</v>
      </c>
      <c r="BO1430" t="str">
        <f>"FOCO KODAK 2"</f>
        <v>FOCO KODAK 2</v>
      </c>
      <c r="BP1430" t="str">
        <f>""</f>
        <v/>
      </c>
      <c r="BQ1430" t="str">
        <f>""</f>
        <v/>
      </c>
      <c r="BR1430" t="str">
        <f>"01/07/2021"</f>
        <v>01/07/2021</v>
      </c>
      <c r="BS1430" t="str">
        <f>"14/07/2023"</f>
        <v>14/07/2023</v>
      </c>
      <c r="BT1430" t="str">
        <f>""</f>
        <v/>
      </c>
      <c r="BU1430" t="str">
        <f>""</f>
        <v/>
      </c>
      <c r="BV1430" t="str">
        <f>""</f>
        <v/>
      </c>
      <c r="BW1430" t="str">
        <f>"14"</f>
        <v>14</v>
      </c>
    </row>
    <row r="1431" spans="1:75" x14ac:dyDescent="0.35">
      <c r="A1431">
        <v>137667</v>
      </c>
      <c r="B1431" t="str">
        <f t="shared" si="712"/>
        <v>A</v>
      </c>
      <c r="C1431" t="str">
        <f t="shared" si="713"/>
        <v>80</v>
      </c>
      <c r="D1431" t="str">
        <f t="shared" si="706"/>
        <v>11121004</v>
      </c>
      <c r="E1431" t="str">
        <f t="shared" si="707"/>
        <v>121004</v>
      </c>
      <c r="F1431" t="str">
        <f t="shared" si="708"/>
        <v>FABIANA GODOY</v>
      </c>
      <c r="G1431" t="str">
        <f>"37411893000178"</f>
        <v>37411893000178</v>
      </c>
      <c r="H1431" t="str">
        <f t="shared" si="724"/>
        <v>0</v>
      </c>
      <c r="I1431" t="str">
        <f t="shared" si="714"/>
        <v>CONTA OPTICA</v>
      </c>
      <c r="J1431" t="str">
        <f>"JR TIMBO COMERCIO VAREJISTA DE ARTIGOS DE OPTICA"</f>
        <v>JR TIMBO COMERCIO VAREJISTA DE ARTIGOS DE OPTICA</v>
      </c>
      <c r="K1431" t="str">
        <f>"MERCADAO DOS OCULOS (4140)"</f>
        <v>MERCADAO DOS OCULOS (4140)</v>
      </c>
      <c r="L1431" t="str">
        <f>""</f>
        <v/>
      </c>
      <c r="M1431" t="str">
        <f>""</f>
        <v/>
      </c>
      <c r="N1431" t="str">
        <f>"sc-timbo@mercadaodosoculos.com.br"</f>
        <v>sc-timbo@mercadaodosoculos.com.br</v>
      </c>
      <c r="O1431" t="str">
        <f>""</f>
        <v/>
      </c>
      <c r="P1431" t="str">
        <f>"AVENIDA GETULIO VARGAS"</f>
        <v>AVENIDA GETULIO VARGAS</v>
      </c>
      <c r="Q1431" t="str">
        <f>"290"</f>
        <v>290</v>
      </c>
      <c r="R1431" t="str">
        <f>"SALA 02"</f>
        <v>SALA 02</v>
      </c>
      <c r="S1431" t="str">
        <f>"1275"</f>
        <v>1275</v>
      </c>
      <c r="T1431" t="str">
        <f>"89120000"</f>
        <v>89120000</v>
      </c>
      <c r="U1431" t="str">
        <f t="shared" si="725"/>
        <v>CENTRO</v>
      </c>
      <c r="V1431" t="str">
        <f>"TIMBÓ"</f>
        <v>TIMBÓ</v>
      </c>
      <c r="W1431" t="str">
        <f t="shared" si="705"/>
        <v>SC</v>
      </c>
      <c r="X1431" t="str">
        <f t="shared" si="715"/>
        <v>47</v>
      </c>
      <c r="Y1431" t="str">
        <f>"33808774"</f>
        <v>33808774</v>
      </c>
      <c r="Z1431" t="str">
        <f>""</f>
        <v/>
      </c>
      <c r="AA1431" t="str">
        <f>""</f>
        <v/>
      </c>
      <c r="AB1431" t="str">
        <f>""</f>
        <v/>
      </c>
      <c r="AC1431" t="str">
        <f>""</f>
        <v/>
      </c>
      <c r="AD1431" t="str">
        <f>""</f>
        <v/>
      </c>
      <c r="AE1431" t="str">
        <f>""</f>
        <v/>
      </c>
      <c r="AF1431" t="str">
        <f>""</f>
        <v/>
      </c>
      <c r="AG1431" t="str">
        <f>"S"</f>
        <v>S</v>
      </c>
      <c r="AH1431" t="str">
        <f>""</f>
        <v/>
      </c>
      <c r="AI1431" t="str">
        <f>""</f>
        <v/>
      </c>
      <c r="AJ1431" t="str">
        <f>""</f>
        <v/>
      </c>
      <c r="AK1431" t="str">
        <f>""</f>
        <v/>
      </c>
      <c r="AL1431" t="str">
        <f>""</f>
        <v/>
      </c>
      <c r="AM1431" t="str">
        <f>""</f>
        <v/>
      </c>
      <c r="AN1431" t="str">
        <f>""</f>
        <v/>
      </c>
      <c r="AO1431" t="str">
        <f>""</f>
        <v/>
      </c>
      <c r="AP1431" t="str">
        <f>""</f>
        <v/>
      </c>
      <c r="AQ1431" t="str">
        <f t="shared" si="730"/>
        <v>N</v>
      </c>
      <c r="AR1431" t="str">
        <f t="shared" si="730"/>
        <v>N</v>
      </c>
      <c r="AS1431" t="str">
        <f t="shared" si="730"/>
        <v>N</v>
      </c>
      <c r="AT1431" t="str">
        <f t="shared" si="730"/>
        <v>N</v>
      </c>
      <c r="AU1431" t="str">
        <f t="shared" si="730"/>
        <v>N</v>
      </c>
      <c r="AV1431" t="str">
        <f>""</f>
        <v/>
      </c>
      <c r="AW1431" t="str">
        <f>""</f>
        <v/>
      </c>
      <c r="AX1431" t="str">
        <f>""</f>
        <v/>
      </c>
      <c r="AY1431" t="str">
        <f>""</f>
        <v/>
      </c>
      <c r="AZ1431" t="str">
        <f>""</f>
        <v/>
      </c>
      <c r="BA1431" t="str">
        <f>""</f>
        <v/>
      </c>
      <c r="BB1431" t="str">
        <f>"01/07/2021 13:53:04"</f>
        <v>01/07/2021 13:53:04</v>
      </c>
      <c r="BC1431" t="str">
        <f>"10/07/2023 14:25:30"</f>
        <v>10/07/2023 14:25:30</v>
      </c>
      <c r="BD1431" t="str">
        <f>""</f>
        <v/>
      </c>
      <c r="BE1431" t="str">
        <f>""</f>
        <v/>
      </c>
      <c r="BF1431" t="str">
        <f t="shared" si="716"/>
        <v>A</v>
      </c>
      <c r="BG1431" t="str">
        <f>""</f>
        <v/>
      </c>
      <c r="BH1431" t="str">
        <f>"0,00"</f>
        <v>0,00</v>
      </c>
      <c r="BI1431" t="str">
        <f t="shared" ref="BI1431:BI1444" si="731">"EVENTUAL"</f>
        <v>EVENTUAL</v>
      </c>
      <c r="BJ1431" t="str">
        <f t="shared" si="718"/>
        <v>1</v>
      </c>
      <c r="BK1431" t="str">
        <f t="shared" si="719"/>
        <v>Farmacia</v>
      </c>
      <c r="BL1431" t="str">
        <f>""</f>
        <v/>
      </c>
      <c r="BM1431" t="str">
        <f>"NÃO É VARILUX ESPECIALISTA"</f>
        <v>NÃO É VARILUX ESPECIALISTA</v>
      </c>
      <c r="BN1431" t="str">
        <f>"NA"</f>
        <v>NA</v>
      </c>
      <c r="BO1431" t="str">
        <f>""</f>
        <v/>
      </c>
      <c r="BP1431" t="str">
        <f>""</f>
        <v/>
      </c>
      <c r="BQ1431" t="str">
        <f>""</f>
        <v/>
      </c>
      <c r="BR1431" t="str">
        <f>"01/07/2021"</f>
        <v>01/07/2021</v>
      </c>
      <c r="BS1431" t="str">
        <f>"10/07/2023"</f>
        <v>10/07/2023</v>
      </c>
      <c r="BT1431" t="str">
        <f>""</f>
        <v/>
      </c>
      <c r="BU1431" t="str">
        <f>""</f>
        <v/>
      </c>
      <c r="BV1431" t="str">
        <f>""</f>
        <v/>
      </c>
      <c r="BW1431" t="str">
        <f>"30"</f>
        <v>30</v>
      </c>
    </row>
    <row r="1432" spans="1:75" x14ac:dyDescent="0.35">
      <c r="A1432">
        <v>137668</v>
      </c>
      <c r="B1432" t="str">
        <f t="shared" si="712"/>
        <v>A</v>
      </c>
      <c r="C1432" t="str">
        <f t="shared" si="713"/>
        <v>80</v>
      </c>
      <c r="D1432" t="str">
        <f t="shared" si="706"/>
        <v>11121004</v>
      </c>
      <c r="E1432" t="str">
        <f t="shared" si="707"/>
        <v>121004</v>
      </c>
      <c r="F1432" t="str">
        <f t="shared" si="708"/>
        <v>FABIANA GODOY</v>
      </c>
      <c r="G1432" t="str">
        <f>"13558977000170"</f>
        <v>13558977000170</v>
      </c>
      <c r="H1432" t="str">
        <f t="shared" si="724"/>
        <v>0</v>
      </c>
      <c r="I1432" t="str">
        <f t="shared" si="714"/>
        <v>CONTA OPTICA</v>
      </c>
      <c r="J1432" t="str">
        <f>"KARINA TATIANA DA SILVA RUSSI 00713705957"</f>
        <v>KARINA TATIANA DA SILVA RUSSI 00713705957</v>
      </c>
      <c r="K1432" t="str">
        <f>"RUSSI RELOJOARIA E OTICA (4087)"</f>
        <v>RUSSI RELOJOARIA E OTICA (4087)</v>
      </c>
      <c r="L1432" t="str">
        <f>""</f>
        <v/>
      </c>
      <c r="M1432" t="str">
        <f>""</f>
        <v/>
      </c>
      <c r="N1432" t="str">
        <f>"kari.tati@hotmail.com"</f>
        <v>kari.tati@hotmail.com</v>
      </c>
      <c r="O1432" t="str">
        <f>""</f>
        <v/>
      </c>
      <c r="P1432" t="str">
        <f>"RUA INDAIAL"</f>
        <v>RUA INDAIAL</v>
      </c>
      <c r="Q1432" t="str">
        <f>"1004"</f>
        <v>1004</v>
      </c>
      <c r="R1432" t="str">
        <f>"SL 04"</f>
        <v>SL 04</v>
      </c>
      <c r="S1432" t="str">
        <f>""</f>
        <v/>
      </c>
      <c r="T1432" t="str">
        <f>"88303302"</f>
        <v>88303302</v>
      </c>
      <c r="U1432" t="str">
        <f>"SAO JUDAS"</f>
        <v>SAO JUDAS</v>
      </c>
      <c r="V1432" t="str">
        <f>"ITAJAÍ"</f>
        <v>ITAJAÍ</v>
      </c>
      <c r="W1432" t="str">
        <f t="shared" si="705"/>
        <v>SC</v>
      </c>
      <c r="X1432" t="str">
        <f t="shared" si="715"/>
        <v>47</v>
      </c>
      <c r="Y1432" t="str">
        <f>"20337770"</f>
        <v>20337770</v>
      </c>
      <c r="Z1432" t="str">
        <f>""</f>
        <v/>
      </c>
      <c r="AA1432" t="str">
        <f>""</f>
        <v/>
      </c>
      <c r="AB1432" t="str">
        <f>""</f>
        <v/>
      </c>
      <c r="AC1432" t="str">
        <f>""</f>
        <v/>
      </c>
      <c r="AD1432" t="str">
        <f>""</f>
        <v/>
      </c>
      <c r="AE1432" t="str">
        <f>""</f>
        <v/>
      </c>
      <c r="AF1432" t="str">
        <f>""</f>
        <v/>
      </c>
      <c r="AG1432" t="str">
        <f>"S"</f>
        <v>S</v>
      </c>
      <c r="AH1432" t="str">
        <f>""</f>
        <v/>
      </c>
      <c r="AI1432" t="str">
        <f>""</f>
        <v/>
      </c>
      <c r="AJ1432" t="str">
        <f>""</f>
        <v/>
      </c>
      <c r="AK1432" t="str">
        <f>""</f>
        <v/>
      </c>
      <c r="AL1432" t="str">
        <f>""</f>
        <v/>
      </c>
      <c r="AM1432" t="str">
        <f>""</f>
        <v/>
      </c>
      <c r="AN1432" t="str">
        <f>""</f>
        <v/>
      </c>
      <c r="AO1432" t="str">
        <f>""</f>
        <v/>
      </c>
      <c r="AP1432" t="str">
        <f>""</f>
        <v/>
      </c>
      <c r="AQ1432" t="str">
        <f t="shared" si="730"/>
        <v>N</v>
      </c>
      <c r="AR1432" t="str">
        <f t="shared" si="730"/>
        <v>N</v>
      </c>
      <c r="AS1432" t="str">
        <f t="shared" si="730"/>
        <v>N</v>
      </c>
      <c r="AT1432" t="str">
        <f t="shared" si="730"/>
        <v>N</v>
      </c>
      <c r="AU1432" t="str">
        <f t="shared" si="730"/>
        <v>N</v>
      </c>
      <c r="AV1432" t="str">
        <f>""</f>
        <v/>
      </c>
      <c r="AW1432" t="str">
        <f>""</f>
        <v/>
      </c>
      <c r="AX1432" t="str">
        <f>""</f>
        <v/>
      </c>
      <c r="AY1432" t="str">
        <f>""</f>
        <v/>
      </c>
      <c r="AZ1432" t="str">
        <f>""</f>
        <v/>
      </c>
      <c r="BA1432" t="str">
        <f>""</f>
        <v/>
      </c>
      <c r="BB1432" t="str">
        <f>"01/07/2021 13:53:04"</f>
        <v>01/07/2021 13:53:04</v>
      </c>
      <c r="BC1432" t="str">
        <f>"13/09/2021 15:12:19"</f>
        <v>13/09/2021 15:12:19</v>
      </c>
      <c r="BD1432" t="str">
        <f>""</f>
        <v/>
      </c>
      <c r="BE1432" t="str">
        <f>""</f>
        <v/>
      </c>
      <c r="BF1432" t="str">
        <f t="shared" si="716"/>
        <v>A</v>
      </c>
      <c r="BG1432" t="str">
        <f>""</f>
        <v/>
      </c>
      <c r="BH1432" t="str">
        <f>"0,00"</f>
        <v>0,00</v>
      </c>
      <c r="BI1432" t="str">
        <f t="shared" si="731"/>
        <v>EVENTUAL</v>
      </c>
      <c r="BJ1432" t="str">
        <f t="shared" si="718"/>
        <v>1</v>
      </c>
      <c r="BK1432" t="str">
        <f t="shared" si="719"/>
        <v>Farmacia</v>
      </c>
      <c r="BL1432" t="str">
        <f>""</f>
        <v/>
      </c>
      <c r="BM1432" t="str">
        <f>"NÃO É VARILUX ESPECIALISTA"</f>
        <v>NÃO É VARILUX ESPECIALISTA</v>
      </c>
      <c r="BN1432" t="str">
        <f>"NA"</f>
        <v>NA</v>
      </c>
      <c r="BO1432" t="str">
        <f>"FOCO VARILUX"</f>
        <v>FOCO VARILUX</v>
      </c>
      <c r="BP1432" t="str">
        <f>""</f>
        <v/>
      </c>
      <c r="BQ1432" t="str">
        <f>""</f>
        <v/>
      </c>
      <c r="BR1432" t="str">
        <f>"01/07/2021"</f>
        <v>01/07/2021</v>
      </c>
      <c r="BS1432" t="str">
        <f>"13/09/2021"</f>
        <v>13/09/2021</v>
      </c>
      <c r="BT1432" t="str">
        <f>""</f>
        <v/>
      </c>
      <c r="BU1432" t="str">
        <f>""</f>
        <v/>
      </c>
      <c r="BV1432" t="str">
        <f>""</f>
        <v/>
      </c>
      <c r="BW1432" t="str">
        <f>"64"</f>
        <v>64</v>
      </c>
    </row>
    <row r="1433" spans="1:75" x14ac:dyDescent="0.35">
      <c r="A1433">
        <v>157787</v>
      </c>
      <c r="B1433" t="str">
        <f t="shared" si="712"/>
        <v>A</v>
      </c>
      <c r="C1433" t="str">
        <f t="shared" si="713"/>
        <v>80</v>
      </c>
      <c r="D1433" t="str">
        <f t="shared" si="706"/>
        <v>11121004</v>
      </c>
      <c r="E1433" t="str">
        <f t="shared" si="707"/>
        <v>121004</v>
      </c>
      <c r="F1433" t="str">
        <f t="shared" si="708"/>
        <v>FABIANA GODOY</v>
      </c>
      <c r="G1433" t="str">
        <f>"25154961000181"</f>
        <v>25154961000181</v>
      </c>
      <c r="H1433" t="str">
        <f t="shared" si="724"/>
        <v>0</v>
      </c>
      <c r="I1433" t="str">
        <f t="shared" si="714"/>
        <v>CONTA OPTICA</v>
      </c>
      <c r="J1433" t="str">
        <f>"KARINE DOS SANTOS PEREIRA ZANETTE OTICA ME"</f>
        <v>KARINE DOS SANTOS PEREIRA ZANETTE OTICA ME</v>
      </c>
      <c r="K1433" t="str">
        <f>"OTICA KLINS (3330)"</f>
        <v>OTICA KLINS (3330)</v>
      </c>
      <c r="L1433" t="str">
        <f>""</f>
        <v/>
      </c>
      <c r="M1433" t="str">
        <f>""</f>
        <v/>
      </c>
      <c r="N1433" t="str">
        <f>"KARINE-PB@HOTMAIL.COM"</f>
        <v>KARINE-PB@HOTMAIL.COM</v>
      </c>
      <c r="O1433" t="str">
        <f>""</f>
        <v/>
      </c>
      <c r="P1433" t="str">
        <f>"RUA ALEXANDRE TERNES NETO"</f>
        <v>RUA ALEXANDRE TERNES NETO</v>
      </c>
      <c r="Q1433" t="str">
        <f>"112"</f>
        <v>112</v>
      </c>
      <c r="R1433" t="str">
        <f>"SALA 01"</f>
        <v>SALA 01</v>
      </c>
      <c r="S1433" t="str">
        <f>"1260"</f>
        <v>1260</v>
      </c>
      <c r="T1433" t="str">
        <f>"88200000"</f>
        <v>88200000</v>
      </c>
      <c r="U1433" t="str">
        <f>"CENTRO"</f>
        <v>CENTRO</v>
      </c>
      <c r="V1433" t="str">
        <f>"TIJUCAS"</f>
        <v>TIJUCAS</v>
      </c>
      <c r="W1433" t="str">
        <f t="shared" si="705"/>
        <v>SC</v>
      </c>
      <c r="X1433" t="str">
        <f>"48"</f>
        <v>48</v>
      </c>
      <c r="Y1433" t="str">
        <f>"32634526"</f>
        <v>32634526</v>
      </c>
      <c r="Z1433" t="str">
        <f>""</f>
        <v/>
      </c>
      <c r="AA1433" t="str">
        <f>""</f>
        <v/>
      </c>
      <c r="AB1433" t="str">
        <f>""</f>
        <v/>
      </c>
      <c r="AC1433" t="str">
        <f>""</f>
        <v/>
      </c>
      <c r="AD1433" t="str">
        <f>""</f>
        <v/>
      </c>
      <c r="AE1433" t="str">
        <f>""</f>
        <v/>
      </c>
      <c r="AF1433" t="str">
        <f>""</f>
        <v/>
      </c>
      <c r="AG1433" t="str">
        <f>""</f>
        <v/>
      </c>
      <c r="AH1433" t="str">
        <f>""</f>
        <v/>
      </c>
      <c r="AI1433" t="str">
        <f>""</f>
        <v/>
      </c>
      <c r="AJ1433" t="str">
        <f>""</f>
        <v/>
      </c>
      <c r="AK1433" t="str">
        <f>""</f>
        <v/>
      </c>
      <c r="AL1433" t="str">
        <f>""</f>
        <v/>
      </c>
      <c r="AM1433" t="str">
        <f>""</f>
        <v/>
      </c>
      <c r="AN1433" t="str">
        <f>""</f>
        <v/>
      </c>
      <c r="AO1433" t="str">
        <f>""</f>
        <v/>
      </c>
      <c r="AP1433" t="str">
        <f>""</f>
        <v/>
      </c>
      <c r="AQ1433" t="str">
        <f>""</f>
        <v/>
      </c>
      <c r="AR1433" t="str">
        <f>""</f>
        <v/>
      </c>
      <c r="AS1433" t="str">
        <f>""</f>
        <v/>
      </c>
      <c r="AT1433" t="str">
        <f>""</f>
        <v/>
      </c>
      <c r="AU1433" t="str">
        <f>""</f>
        <v/>
      </c>
      <c r="AV1433" t="str">
        <f>""</f>
        <v/>
      </c>
      <c r="AW1433" t="str">
        <f>""</f>
        <v/>
      </c>
      <c r="AX1433" t="str">
        <f>""</f>
        <v/>
      </c>
      <c r="AY1433" t="str">
        <f>""</f>
        <v/>
      </c>
      <c r="AZ1433" t="str">
        <f>""</f>
        <v/>
      </c>
      <c r="BA1433" t="str">
        <f>""</f>
        <v/>
      </c>
      <c r="BB1433" t="str">
        <f>"11/07/2023 02:26:32"</f>
        <v>11/07/2023 02:26:32</v>
      </c>
      <c r="BC1433" t="str">
        <f>""</f>
        <v/>
      </c>
      <c r="BD1433" t="str">
        <f>""</f>
        <v/>
      </c>
      <c r="BE1433" t="str">
        <f>""</f>
        <v/>
      </c>
      <c r="BF1433" t="str">
        <f t="shared" si="716"/>
        <v>A</v>
      </c>
      <c r="BG1433" t="str">
        <f>""</f>
        <v/>
      </c>
      <c r="BH1433" t="str">
        <f>""</f>
        <v/>
      </c>
      <c r="BI1433" t="str">
        <f t="shared" si="731"/>
        <v>EVENTUAL</v>
      </c>
      <c r="BJ1433" t="str">
        <f t="shared" si="718"/>
        <v>1</v>
      </c>
      <c r="BK1433" t="str">
        <f t="shared" si="719"/>
        <v>Farmacia</v>
      </c>
      <c r="BL1433" t="str">
        <f>""</f>
        <v/>
      </c>
      <c r="BM1433" t="str">
        <f>""</f>
        <v/>
      </c>
      <c r="BN1433" t="str">
        <f>""</f>
        <v/>
      </c>
      <c r="BO1433" t="str">
        <f>""</f>
        <v/>
      </c>
      <c r="BP1433" t="str">
        <f>""</f>
        <v/>
      </c>
      <c r="BQ1433" t="str">
        <f>""</f>
        <v/>
      </c>
      <c r="BR1433" t="str">
        <f>"11/07/2023"</f>
        <v>11/07/2023</v>
      </c>
      <c r="BS1433" t="str">
        <f>""</f>
        <v/>
      </c>
      <c r="BT1433" t="str">
        <f>""</f>
        <v/>
      </c>
      <c r="BU1433" t="str">
        <f>""</f>
        <v/>
      </c>
      <c r="BV1433" t="str">
        <f>""</f>
        <v/>
      </c>
      <c r="BW1433" t="str">
        <f>"Não visitado"</f>
        <v>Não visitado</v>
      </c>
    </row>
    <row r="1434" spans="1:75" x14ac:dyDescent="0.35">
      <c r="A1434">
        <v>157801</v>
      </c>
      <c r="B1434" t="str">
        <f t="shared" si="712"/>
        <v>A</v>
      </c>
      <c r="C1434" t="str">
        <f t="shared" si="713"/>
        <v>80</v>
      </c>
      <c r="D1434" t="str">
        <f t="shared" si="706"/>
        <v>11121004</v>
      </c>
      <c r="E1434" t="str">
        <f t="shared" si="707"/>
        <v>121004</v>
      </c>
      <c r="F1434" t="str">
        <f t="shared" si="708"/>
        <v>FABIANA GODOY</v>
      </c>
      <c r="G1434" t="str">
        <f>"14088152000100"</f>
        <v>14088152000100</v>
      </c>
      <c r="H1434" t="str">
        <f t="shared" si="724"/>
        <v>0</v>
      </c>
      <c r="I1434" t="str">
        <f t="shared" si="714"/>
        <v>CONTA OPTICA</v>
      </c>
      <c r="J1434" t="str">
        <f>"KC7 JOALHERIA E OTICA LTDA"</f>
        <v>KC7 JOALHERIA E OTICA LTDA</v>
      </c>
      <c r="K1434" t="str">
        <f>"KAREN LOCH (1853)"</f>
        <v>KAREN LOCH (1853)</v>
      </c>
      <c r="L1434" t="str">
        <f>""</f>
        <v/>
      </c>
      <c r="M1434" t="str">
        <f>""</f>
        <v/>
      </c>
      <c r="N1434" t="str">
        <f>"financeiro.kc7@gmail.com"</f>
        <v>financeiro.kc7@gmail.com</v>
      </c>
      <c r="O1434" t="str">
        <f>""</f>
        <v/>
      </c>
      <c r="P1434" t="str">
        <f>"BRASIL"</f>
        <v>BRASIL</v>
      </c>
      <c r="Q1434" t="str">
        <f>"1271"</f>
        <v>1271</v>
      </c>
      <c r="R1434" t="str">
        <f>"LOJA E 09"</f>
        <v>LOJA E 09</v>
      </c>
      <c r="S1434" t="str">
        <f>"1262"</f>
        <v>1262</v>
      </c>
      <c r="T1434" t="str">
        <f>"88330900"</f>
        <v>88330900</v>
      </c>
      <c r="U1434" t="str">
        <f>"CENTRO"</f>
        <v>CENTRO</v>
      </c>
      <c r="V1434" t="str">
        <f>"BALNEARIO CAMBORIU"</f>
        <v>BALNEARIO CAMBORIU</v>
      </c>
      <c r="W1434" t="str">
        <f t="shared" si="705"/>
        <v>SC</v>
      </c>
      <c r="X1434" t="str">
        <f t="shared" ref="X1434:X1440" si="732">"47"</f>
        <v>47</v>
      </c>
      <c r="Y1434" t="str">
        <f>"33633844"</f>
        <v>33633844</v>
      </c>
      <c r="Z1434" t="str">
        <f>""</f>
        <v/>
      </c>
      <c r="AA1434" t="str">
        <f>""</f>
        <v/>
      </c>
      <c r="AB1434" t="str">
        <f>""</f>
        <v/>
      </c>
      <c r="AC1434" t="str">
        <f>""</f>
        <v/>
      </c>
      <c r="AD1434" t="str">
        <f>""</f>
        <v/>
      </c>
      <c r="AE1434" t="str">
        <f>""</f>
        <v/>
      </c>
      <c r="AF1434" t="str">
        <f>""</f>
        <v/>
      </c>
      <c r="AG1434" t="str">
        <f>""</f>
        <v/>
      </c>
      <c r="AH1434" t="str">
        <f>""</f>
        <v/>
      </c>
      <c r="AI1434" t="str">
        <f>""</f>
        <v/>
      </c>
      <c r="AJ1434" t="str">
        <f>""</f>
        <v/>
      </c>
      <c r="AK1434" t="str">
        <f>""</f>
        <v/>
      </c>
      <c r="AL1434" t="str">
        <f>""</f>
        <v/>
      </c>
      <c r="AM1434" t="str">
        <f>""</f>
        <v/>
      </c>
      <c r="AN1434" t="str">
        <f>""</f>
        <v/>
      </c>
      <c r="AO1434" t="str">
        <f>""</f>
        <v/>
      </c>
      <c r="AP1434" t="str">
        <f>""</f>
        <v/>
      </c>
      <c r="AQ1434" t="str">
        <f>""</f>
        <v/>
      </c>
      <c r="AR1434" t="str">
        <f>""</f>
        <v/>
      </c>
      <c r="AS1434" t="str">
        <f>""</f>
        <v/>
      </c>
      <c r="AT1434" t="str">
        <f>""</f>
        <v/>
      </c>
      <c r="AU1434" t="str">
        <f>""</f>
        <v/>
      </c>
      <c r="AV1434" t="str">
        <f>""</f>
        <v/>
      </c>
      <c r="AW1434" t="str">
        <f>""</f>
        <v/>
      </c>
      <c r="AX1434" t="str">
        <f>""</f>
        <v/>
      </c>
      <c r="AY1434" t="str">
        <f>""</f>
        <v/>
      </c>
      <c r="AZ1434" t="str">
        <f>""</f>
        <v/>
      </c>
      <c r="BA1434" t="str">
        <f>""</f>
        <v/>
      </c>
      <c r="BB1434" t="str">
        <f>"11/07/2023 02:26:32"</f>
        <v>11/07/2023 02:26:32</v>
      </c>
      <c r="BC1434" t="str">
        <f>""</f>
        <v/>
      </c>
      <c r="BD1434" t="str">
        <f>""</f>
        <v/>
      </c>
      <c r="BE1434" t="str">
        <f>""</f>
        <v/>
      </c>
      <c r="BF1434" t="str">
        <f t="shared" si="716"/>
        <v>A</v>
      </c>
      <c r="BG1434" t="str">
        <f>""</f>
        <v/>
      </c>
      <c r="BH1434" t="str">
        <f>""</f>
        <v/>
      </c>
      <c r="BI1434" t="str">
        <f t="shared" si="731"/>
        <v>EVENTUAL</v>
      </c>
      <c r="BJ1434" t="str">
        <f t="shared" si="718"/>
        <v>1</v>
      </c>
      <c r="BK1434" t="str">
        <f t="shared" si="719"/>
        <v>Farmacia</v>
      </c>
      <c r="BL1434" t="str">
        <f>""</f>
        <v/>
      </c>
      <c r="BM1434" t="str">
        <f>""</f>
        <v/>
      </c>
      <c r="BN1434" t="str">
        <f>""</f>
        <v/>
      </c>
      <c r="BO1434" t="str">
        <f>""</f>
        <v/>
      </c>
      <c r="BP1434" t="str">
        <f>""</f>
        <v/>
      </c>
      <c r="BQ1434" t="str">
        <f>""</f>
        <v/>
      </c>
      <c r="BR1434" t="str">
        <f>"11/07/2023"</f>
        <v>11/07/2023</v>
      </c>
      <c r="BS1434" t="str">
        <f>""</f>
        <v/>
      </c>
      <c r="BT1434" t="str">
        <f>""</f>
        <v/>
      </c>
      <c r="BU1434" t="str">
        <f>""</f>
        <v/>
      </c>
      <c r="BV1434" t="str">
        <f>""</f>
        <v/>
      </c>
      <c r="BW1434" t="str">
        <f>"Não visitado"</f>
        <v>Não visitado</v>
      </c>
    </row>
    <row r="1435" spans="1:75" x14ac:dyDescent="0.35">
      <c r="A1435">
        <v>137670</v>
      </c>
      <c r="B1435" t="str">
        <f t="shared" si="712"/>
        <v>A</v>
      </c>
      <c r="C1435" t="str">
        <f t="shared" si="713"/>
        <v>80</v>
      </c>
      <c r="D1435" t="str">
        <f t="shared" si="706"/>
        <v>11121004</v>
      </c>
      <c r="E1435" t="str">
        <f t="shared" si="707"/>
        <v>121004</v>
      </c>
      <c r="F1435" t="str">
        <f t="shared" si="708"/>
        <v>FABIANA GODOY</v>
      </c>
      <c r="G1435" t="str">
        <f>"35440217000105"</f>
        <v>35440217000105</v>
      </c>
      <c r="H1435" t="str">
        <f t="shared" si="724"/>
        <v>0</v>
      </c>
      <c r="I1435" t="str">
        <f t="shared" si="714"/>
        <v>CONTA OPTICA</v>
      </c>
      <c r="J1435" t="str">
        <f>"KETHIANE REGINA CARRARO 04225191974"</f>
        <v>KETHIANE REGINA CARRARO 04225191974</v>
      </c>
      <c r="K1435" t="str">
        <f>"OTICA MAXIMUS (4337)"</f>
        <v>OTICA MAXIMUS (4337)</v>
      </c>
      <c r="L1435" t="str">
        <f>""</f>
        <v/>
      </c>
      <c r="M1435" t="str">
        <f>""</f>
        <v/>
      </c>
      <c r="N1435" t="str">
        <f>"OTICAMAXIMUS@OUTLOOK.COM"</f>
        <v>OTICAMAXIMUS@OUTLOOK.COM</v>
      </c>
      <c r="O1435" t="str">
        <f>""</f>
        <v/>
      </c>
      <c r="P1435" t="str">
        <f>"RUA CEREJEIRA"</f>
        <v>RUA CEREJEIRA</v>
      </c>
      <c r="Q1435" t="str">
        <f>"255"</f>
        <v>255</v>
      </c>
      <c r="R1435" t="str">
        <f>"SALA 02"</f>
        <v>SALA 02</v>
      </c>
      <c r="S1435" t="str">
        <f>""</f>
        <v/>
      </c>
      <c r="T1435" t="str">
        <f>"88348062"</f>
        <v>88348062</v>
      </c>
      <c r="U1435" t="str">
        <f>"TABULEIRO (MONTE ALEGRE)"</f>
        <v>TABULEIRO (MONTE ALEGRE)</v>
      </c>
      <c r="V1435" t="str">
        <f>"CAMBORIÚ"</f>
        <v>CAMBORIÚ</v>
      </c>
      <c r="W1435" t="str">
        <f t="shared" si="705"/>
        <v>SC</v>
      </c>
      <c r="X1435" t="str">
        <f t="shared" si="732"/>
        <v>47</v>
      </c>
      <c r="Y1435" t="str">
        <f>"996907989"</f>
        <v>996907989</v>
      </c>
      <c r="Z1435" t="str">
        <f>""</f>
        <v/>
      </c>
      <c r="AA1435" t="str">
        <f>""</f>
        <v/>
      </c>
      <c r="AB1435" t="str">
        <f>""</f>
        <v/>
      </c>
      <c r="AC1435" t="str">
        <f>""</f>
        <v/>
      </c>
      <c r="AD1435" t="str">
        <f>""</f>
        <v/>
      </c>
      <c r="AE1435" t="str">
        <f>""</f>
        <v/>
      </c>
      <c r="AF1435" t="str">
        <f>""</f>
        <v/>
      </c>
      <c r="AG1435" t="str">
        <f>"S"</f>
        <v>S</v>
      </c>
      <c r="AH1435" t="str">
        <f>""</f>
        <v/>
      </c>
      <c r="AI1435" t="str">
        <f>""</f>
        <v/>
      </c>
      <c r="AJ1435" t="str">
        <f>""</f>
        <v/>
      </c>
      <c r="AK1435" t="str">
        <f>""</f>
        <v/>
      </c>
      <c r="AL1435" t="str">
        <f>""</f>
        <v/>
      </c>
      <c r="AM1435" t="str">
        <f>""</f>
        <v/>
      </c>
      <c r="AN1435" t="str">
        <f>""</f>
        <v/>
      </c>
      <c r="AO1435" t="str">
        <f>""</f>
        <v/>
      </c>
      <c r="AP1435" t="str">
        <f>""</f>
        <v/>
      </c>
      <c r="AQ1435" t="str">
        <f t="shared" ref="AQ1435:AU1438" si="733">"N"</f>
        <v>N</v>
      </c>
      <c r="AR1435" t="str">
        <f t="shared" si="733"/>
        <v>N</v>
      </c>
      <c r="AS1435" t="str">
        <f t="shared" si="733"/>
        <v>N</v>
      </c>
      <c r="AT1435" t="str">
        <f t="shared" si="733"/>
        <v>N</v>
      </c>
      <c r="AU1435" t="str">
        <f t="shared" si="733"/>
        <v>N</v>
      </c>
      <c r="AV1435" t="str">
        <f>""</f>
        <v/>
      </c>
      <c r="AW1435" t="str">
        <f>""</f>
        <v/>
      </c>
      <c r="AX1435" t="str">
        <f>""</f>
        <v/>
      </c>
      <c r="AY1435" t="str">
        <f>""</f>
        <v/>
      </c>
      <c r="AZ1435" t="str">
        <f>""</f>
        <v/>
      </c>
      <c r="BA1435" t="str">
        <f>""</f>
        <v/>
      </c>
      <c r="BB1435" t="str">
        <f>"01/07/2021 13:53:04"</f>
        <v>01/07/2021 13:53:04</v>
      </c>
      <c r="BC1435" t="str">
        <f>"22/02/2022 15:45:04"</f>
        <v>22/02/2022 15:45:04</v>
      </c>
      <c r="BD1435" t="str">
        <f>""</f>
        <v/>
      </c>
      <c r="BE1435" t="str">
        <f>""</f>
        <v/>
      </c>
      <c r="BF1435" t="str">
        <f t="shared" si="716"/>
        <v>A</v>
      </c>
      <c r="BG1435" t="str">
        <f>""</f>
        <v/>
      </c>
      <c r="BH1435" t="str">
        <f>"0,00"</f>
        <v>0,00</v>
      </c>
      <c r="BI1435" t="str">
        <f t="shared" si="731"/>
        <v>EVENTUAL</v>
      </c>
      <c r="BJ1435" t="str">
        <f t="shared" si="718"/>
        <v>1</v>
      </c>
      <c r="BK1435" t="str">
        <f t="shared" si="719"/>
        <v>Farmacia</v>
      </c>
      <c r="BL1435" t="str">
        <f>""</f>
        <v/>
      </c>
      <c r="BM1435" t="str">
        <f>"NÃO É VARILUX ESPECIALISTA"</f>
        <v>NÃO É VARILUX ESPECIALISTA</v>
      </c>
      <c r="BN1435" t="str">
        <f t="shared" ref="BN1435:BN1441" si="734">"NA"</f>
        <v>NA</v>
      </c>
      <c r="BO1435" t="str">
        <f>""</f>
        <v/>
      </c>
      <c r="BP1435" t="str">
        <f>""</f>
        <v/>
      </c>
      <c r="BQ1435" t="str">
        <f>""</f>
        <v/>
      </c>
      <c r="BR1435" t="str">
        <f>"01/07/2021"</f>
        <v>01/07/2021</v>
      </c>
      <c r="BS1435" t="str">
        <f>"22/02/2022"</f>
        <v>22/02/2022</v>
      </c>
      <c r="BT1435" t="str">
        <f>""</f>
        <v/>
      </c>
      <c r="BU1435" t="str">
        <f>""</f>
        <v/>
      </c>
      <c r="BV1435" t="str">
        <f>""</f>
        <v/>
      </c>
      <c r="BW1435" t="str">
        <f>"185"</f>
        <v>185</v>
      </c>
    </row>
    <row r="1436" spans="1:75" x14ac:dyDescent="0.35">
      <c r="A1436">
        <v>137671</v>
      </c>
      <c r="B1436" t="str">
        <f t="shared" si="712"/>
        <v>A</v>
      </c>
      <c r="C1436" t="str">
        <f t="shared" si="713"/>
        <v>80</v>
      </c>
      <c r="D1436" t="str">
        <f t="shared" si="706"/>
        <v>11121004</v>
      </c>
      <c r="E1436" t="str">
        <f t="shared" si="707"/>
        <v>121004</v>
      </c>
      <c r="F1436" t="str">
        <f t="shared" si="708"/>
        <v>FABIANA GODOY</v>
      </c>
      <c r="G1436" t="str">
        <f>"30368024000169"</f>
        <v>30368024000169</v>
      </c>
      <c r="H1436" t="str">
        <f t="shared" si="724"/>
        <v>0</v>
      </c>
      <c r="I1436" t="str">
        <f t="shared" si="714"/>
        <v>CONTA OPTICA</v>
      </c>
      <c r="J1436" t="str">
        <f>"KMPL OTICA EIRELI"</f>
        <v>KMPL OTICA EIRELI</v>
      </c>
      <c r="K1436" t="str">
        <f>"OTICAS DINIZ (4038)"</f>
        <v>OTICAS DINIZ (4038)</v>
      </c>
      <c r="L1436" t="str">
        <f>""</f>
        <v/>
      </c>
      <c r="M1436" t="str">
        <f>""</f>
        <v/>
      </c>
      <c r="N1436" t="str">
        <f>""</f>
        <v/>
      </c>
      <c r="O1436" t="str">
        <f>""</f>
        <v/>
      </c>
      <c r="P1436" t="str">
        <f>"RUA 3  AVENIDA"</f>
        <v>RUA 3  AVENIDA</v>
      </c>
      <c r="Q1436" t="str">
        <f>"887"</f>
        <v>887</v>
      </c>
      <c r="R1436" t="str">
        <f>"SALA 01"</f>
        <v>SALA 01</v>
      </c>
      <c r="S1436" t="str">
        <f>"1262"</f>
        <v>1262</v>
      </c>
      <c r="T1436" t="str">
        <f>"88330091"</f>
        <v>88330091</v>
      </c>
      <c r="U1436" t="str">
        <f>"CENTRO"</f>
        <v>CENTRO</v>
      </c>
      <c r="V1436" t="str">
        <f>"BALNEÁRIO CAMBORIÚ"</f>
        <v>BALNEÁRIO CAMBORIÚ</v>
      </c>
      <c r="W1436" t="str">
        <f t="shared" si="705"/>
        <v>SC</v>
      </c>
      <c r="X1436" t="str">
        <f t="shared" si="732"/>
        <v>47</v>
      </c>
      <c r="Y1436" t="str">
        <f>"30564861"</f>
        <v>30564861</v>
      </c>
      <c r="Z1436" t="str">
        <f>""</f>
        <v/>
      </c>
      <c r="AA1436" t="str">
        <f>""</f>
        <v/>
      </c>
      <c r="AB1436" t="str">
        <f>""</f>
        <v/>
      </c>
      <c r="AC1436" t="str">
        <f>""</f>
        <v/>
      </c>
      <c r="AD1436" t="str">
        <f>""</f>
        <v/>
      </c>
      <c r="AE1436" t="str">
        <f>""</f>
        <v/>
      </c>
      <c r="AF1436" t="str">
        <f>""</f>
        <v/>
      </c>
      <c r="AG1436" t="str">
        <f>"S"</f>
        <v>S</v>
      </c>
      <c r="AH1436" t="str">
        <f>""</f>
        <v/>
      </c>
      <c r="AI1436" t="str">
        <f>""</f>
        <v/>
      </c>
      <c r="AJ1436" t="str">
        <f>""</f>
        <v/>
      </c>
      <c r="AK1436" t="str">
        <f>""</f>
        <v/>
      </c>
      <c r="AL1436" t="str">
        <f>""</f>
        <v/>
      </c>
      <c r="AM1436" t="str">
        <f>""</f>
        <v/>
      </c>
      <c r="AN1436" t="str">
        <f>""</f>
        <v/>
      </c>
      <c r="AO1436" t="str">
        <f>""</f>
        <v/>
      </c>
      <c r="AP1436" t="str">
        <f>""</f>
        <v/>
      </c>
      <c r="AQ1436" t="str">
        <f t="shared" si="733"/>
        <v>N</v>
      </c>
      <c r="AR1436" t="str">
        <f t="shared" si="733"/>
        <v>N</v>
      </c>
      <c r="AS1436" t="str">
        <f t="shared" si="733"/>
        <v>N</v>
      </c>
      <c r="AT1436" t="str">
        <f t="shared" si="733"/>
        <v>N</v>
      </c>
      <c r="AU1436" t="str">
        <f t="shared" si="733"/>
        <v>N</v>
      </c>
      <c r="AV1436" t="str">
        <f>""</f>
        <v/>
      </c>
      <c r="AW1436" t="str">
        <f>""</f>
        <v/>
      </c>
      <c r="AX1436" t="str">
        <f>""</f>
        <v/>
      </c>
      <c r="AY1436" t="str">
        <f>""</f>
        <v/>
      </c>
      <c r="AZ1436" t="str">
        <f>""</f>
        <v/>
      </c>
      <c r="BA1436" t="str">
        <f>""</f>
        <v/>
      </c>
      <c r="BB1436" t="str">
        <f>"01/07/2021 13:53:04"</f>
        <v>01/07/2021 13:53:04</v>
      </c>
      <c r="BC1436" t="str">
        <f>"29/03/2022 08:43:28"</f>
        <v>29/03/2022 08:43:28</v>
      </c>
      <c r="BD1436" t="str">
        <f>""</f>
        <v/>
      </c>
      <c r="BE1436" t="str">
        <f>""</f>
        <v/>
      </c>
      <c r="BF1436" t="str">
        <f t="shared" si="716"/>
        <v>A</v>
      </c>
      <c r="BG1436" t="str">
        <f>""</f>
        <v/>
      </c>
      <c r="BH1436" t="str">
        <f>"0,00"</f>
        <v>0,00</v>
      </c>
      <c r="BI1436" t="str">
        <f t="shared" si="731"/>
        <v>EVENTUAL</v>
      </c>
      <c r="BJ1436" t="str">
        <f t="shared" si="718"/>
        <v>1</v>
      </c>
      <c r="BK1436" t="str">
        <f t="shared" si="719"/>
        <v>Farmacia</v>
      </c>
      <c r="BL1436" t="str">
        <f>""</f>
        <v/>
      </c>
      <c r="BM1436" t="str">
        <f>"NÃO É VARILUX ESPECIALISTA"</f>
        <v>NÃO É VARILUX ESPECIALISTA</v>
      </c>
      <c r="BN1436" t="str">
        <f t="shared" si="734"/>
        <v>NA</v>
      </c>
      <c r="BO1436" t="str">
        <f>"FOCO KODAK 2"</f>
        <v>FOCO KODAK 2</v>
      </c>
      <c r="BP1436" t="str">
        <f>""</f>
        <v/>
      </c>
      <c r="BQ1436" t="str">
        <f>""</f>
        <v/>
      </c>
      <c r="BR1436" t="str">
        <f>"01/07/2021"</f>
        <v>01/07/2021</v>
      </c>
      <c r="BS1436" t="str">
        <f>"29/03/2022"</f>
        <v>29/03/2022</v>
      </c>
      <c r="BT1436" t="str">
        <f>""</f>
        <v/>
      </c>
      <c r="BU1436" t="str">
        <f>""</f>
        <v/>
      </c>
      <c r="BV1436" t="str">
        <f>""</f>
        <v/>
      </c>
      <c r="BW1436" t="str">
        <f>"121"</f>
        <v>121</v>
      </c>
    </row>
    <row r="1437" spans="1:75" x14ac:dyDescent="0.35">
      <c r="A1437">
        <v>137672</v>
      </c>
      <c r="B1437" t="str">
        <f t="shared" si="712"/>
        <v>A</v>
      </c>
      <c r="C1437" t="str">
        <f t="shared" si="713"/>
        <v>80</v>
      </c>
      <c r="D1437" t="str">
        <f t="shared" si="706"/>
        <v>11121004</v>
      </c>
      <c r="E1437" t="str">
        <f t="shared" si="707"/>
        <v>121004</v>
      </c>
      <c r="F1437" t="str">
        <f t="shared" si="708"/>
        <v>FABIANA GODOY</v>
      </c>
      <c r="G1437" t="str">
        <f>"30368024000240"</f>
        <v>30368024000240</v>
      </c>
      <c r="H1437" t="str">
        <f t="shared" si="724"/>
        <v>0</v>
      </c>
      <c r="I1437" t="str">
        <f t="shared" si="714"/>
        <v>CONTA OPTICA</v>
      </c>
      <c r="J1437" t="str">
        <f>"KMPL OTICAS EIRELI"</f>
        <v>KMPL OTICAS EIRELI</v>
      </c>
      <c r="K1437" t="str">
        <f>"OTICAS DINIZ ITAPEMA (4324)"</f>
        <v>OTICAS DINIZ ITAPEMA (4324)</v>
      </c>
      <c r="L1437" t="str">
        <f>""</f>
        <v/>
      </c>
      <c r="M1437" t="str">
        <f>""</f>
        <v/>
      </c>
      <c r="N1437" t="str">
        <f>"OTICASDINIZITAPEMA@GMAIL.COM"</f>
        <v>OTICASDINIZITAPEMA@GMAIL.COM</v>
      </c>
      <c r="O1437" t="str">
        <f>""</f>
        <v/>
      </c>
      <c r="P1437" t="str">
        <f>"AVENIDA NEREU RAMOS"</f>
        <v>AVENIDA NEREU RAMOS</v>
      </c>
      <c r="Q1437" t="str">
        <f>"3137"</f>
        <v>3137</v>
      </c>
      <c r="R1437" t="str">
        <f>"SL 03 TAJ MAHAL"</f>
        <v>SL 03 TAJ MAHAL</v>
      </c>
      <c r="S1437" t="str">
        <f>"1260"</f>
        <v>1260</v>
      </c>
      <c r="T1437" t="str">
        <f>"88220000"</f>
        <v>88220000</v>
      </c>
      <c r="U1437" t="str">
        <f>"MEIA PRAIA"</f>
        <v>MEIA PRAIA</v>
      </c>
      <c r="V1437" t="str">
        <f>"ITAPEMA"</f>
        <v>ITAPEMA</v>
      </c>
      <c r="W1437" t="str">
        <f t="shared" si="705"/>
        <v>SC</v>
      </c>
      <c r="X1437" t="str">
        <f t="shared" si="732"/>
        <v>47</v>
      </c>
      <c r="Y1437" t="str">
        <f>"999981908"</f>
        <v>999981908</v>
      </c>
      <c r="Z1437" t="str">
        <f>""</f>
        <v/>
      </c>
      <c r="AA1437" t="str">
        <f>""</f>
        <v/>
      </c>
      <c r="AB1437" t="str">
        <f>""</f>
        <v/>
      </c>
      <c r="AC1437" t="str">
        <f>""</f>
        <v/>
      </c>
      <c r="AD1437" t="str">
        <f>""</f>
        <v/>
      </c>
      <c r="AE1437" t="str">
        <f>""</f>
        <v/>
      </c>
      <c r="AF1437" t="str">
        <f>""</f>
        <v/>
      </c>
      <c r="AG1437" t="str">
        <f>"S"</f>
        <v>S</v>
      </c>
      <c r="AH1437" t="str">
        <f>""</f>
        <v/>
      </c>
      <c r="AI1437" t="str">
        <f>""</f>
        <v/>
      </c>
      <c r="AJ1437" t="str">
        <f>""</f>
        <v/>
      </c>
      <c r="AK1437" t="str">
        <f>""</f>
        <v/>
      </c>
      <c r="AL1437" t="str">
        <f>""</f>
        <v/>
      </c>
      <c r="AM1437" t="str">
        <f>""</f>
        <v/>
      </c>
      <c r="AN1437" t="str">
        <f>""</f>
        <v/>
      </c>
      <c r="AO1437" t="str">
        <f>""</f>
        <v/>
      </c>
      <c r="AP1437" t="str">
        <f>""</f>
        <v/>
      </c>
      <c r="AQ1437" t="str">
        <f t="shared" si="733"/>
        <v>N</v>
      </c>
      <c r="AR1437" t="str">
        <f t="shared" si="733"/>
        <v>N</v>
      </c>
      <c r="AS1437" t="str">
        <f t="shared" si="733"/>
        <v>N</v>
      </c>
      <c r="AT1437" t="str">
        <f t="shared" si="733"/>
        <v>N</v>
      </c>
      <c r="AU1437" t="str">
        <f t="shared" si="733"/>
        <v>N</v>
      </c>
      <c r="AV1437" t="str">
        <f>""</f>
        <v/>
      </c>
      <c r="AW1437" t="str">
        <f>""</f>
        <v/>
      </c>
      <c r="AX1437" t="str">
        <f>""</f>
        <v/>
      </c>
      <c r="AY1437" t="str">
        <f>""</f>
        <v/>
      </c>
      <c r="AZ1437" t="str">
        <f>""</f>
        <v/>
      </c>
      <c r="BA1437" t="str">
        <f>""</f>
        <v/>
      </c>
      <c r="BB1437" t="str">
        <f>"01/07/2021 13:53:04"</f>
        <v>01/07/2021 13:53:04</v>
      </c>
      <c r="BC1437" t="str">
        <f>"29/03/2022 08:47:48"</f>
        <v>29/03/2022 08:47:48</v>
      </c>
      <c r="BD1437" t="str">
        <f>""</f>
        <v/>
      </c>
      <c r="BE1437" t="str">
        <f>""</f>
        <v/>
      </c>
      <c r="BF1437" t="str">
        <f t="shared" si="716"/>
        <v>A</v>
      </c>
      <c r="BG1437" t="str">
        <f>""</f>
        <v/>
      </c>
      <c r="BH1437" t="str">
        <f>"0,00"</f>
        <v>0,00</v>
      </c>
      <c r="BI1437" t="str">
        <f t="shared" si="731"/>
        <v>EVENTUAL</v>
      </c>
      <c r="BJ1437" t="str">
        <f t="shared" si="718"/>
        <v>1</v>
      </c>
      <c r="BK1437" t="str">
        <f t="shared" si="719"/>
        <v>Farmacia</v>
      </c>
      <c r="BL1437" t="str">
        <f>""</f>
        <v/>
      </c>
      <c r="BM1437" t="str">
        <f>"NÃO É VARILUX ESPECIALISTA"</f>
        <v>NÃO É VARILUX ESPECIALISTA</v>
      </c>
      <c r="BN1437" t="str">
        <f t="shared" si="734"/>
        <v>NA</v>
      </c>
      <c r="BO1437" t="str">
        <f>"OUTROS"</f>
        <v>OUTROS</v>
      </c>
      <c r="BP1437" t="str">
        <f>""</f>
        <v/>
      </c>
      <c r="BQ1437" t="str">
        <f>""</f>
        <v/>
      </c>
      <c r="BR1437" t="str">
        <f>"01/07/2021"</f>
        <v>01/07/2021</v>
      </c>
      <c r="BS1437" t="str">
        <f>"29/03/2022"</f>
        <v>29/03/2022</v>
      </c>
      <c r="BT1437" t="str">
        <f>""</f>
        <v/>
      </c>
      <c r="BU1437" t="str">
        <f>""</f>
        <v/>
      </c>
      <c r="BV1437" t="str">
        <f>""</f>
        <v/>
      </c>
      <c r="BW1437" t="str">
        <f>"121"</f>
        <v>121</v>
      </c>
    </row>
    <row r="1438" spans="1:75" x14ac:dyDescent="0.35">
      <c r="A1438">
        <v>137673</v>
      </c>
      <c r="B1438" t="str">
        <f t="shared" si="712"/>
        <v>A</v>
      </c>
      <c r="C1438" t="str">
        <f t="shared" si="713"/>
        <v>80</v>
      </c>
      <c r="D1438" t="str">
        <f t="shared" si="706"/>
        <v>11121004</v>
      </c>
      <c r="E1438" t="str">
        <f t="shared" si="707"/>
        <v>121004</v>
      </c>
      <c r="F1438" t="str">
        <f t="shared" si="708"/>
        <v>FABIANA GODOY</v>
      </c>
      <c r="G1438" t="str">
        <f>"81542649000136"</f>
        <v>81542649000136</v>
      </c>
      <c r="H1438" t="str">
        <f t="shared" si="724"/>
        <v>0</v>
      </c>
      <c r="I1438" t="str">
        <f t="shared" si="714"/>
        <v>CONTA OPTICA</v>
      </c>
      <c r="J1438" t="str">
        <f>"KOHLER JOALHERIA E OPTICA LTDA  EPP"</f>
        <v>KOHLER JOALHERIA E OPTICA LTDA  EPP</v>
      </c>
      <c r="K1438" t="str">
        <f>"KOHLER JOALHERIA E PRESENTES LTDA (1190)"</f>
        <v>KOHLER JOALHERIA E PRESENTES LTDA (1190)</v>
      </c>
      <c r="L1438" t="str">
        <f>""</f>
        <v/>
      </c>
      <c r="M1438" t="str">
        <f>""</f>
        <v/>
      </c>
      <c r="N1438" t="str">
        <f>"laboratorio03@kohlerjoias.com.br"</f>
        <v>laboratorio03@kohlerjoias.com.br</v>
      </c>
      <c r="O1438" t="str">
        <f>""</f>
        <v/>
      </c>
      <c r="P1438" t="str">
        <f>"RUA AUGUSTO MALUCHE"</f>
        <v>RUA AUGUSTO MALUCHE</v>
      </c>
      <c r="Q1438" t="str">
        <f>"33"</f>
        <v>33</v>
      </c>
      <c r="R1438" t="str">
        <f>"FUNDOS"</f>
        <v>FUNDOS</v>
      </c>
      <c r="S1438" t="str">
        <f>"1263"</f>
        <v>1263</v>
      </c>
      <c r="T1438" t="str">
        <f>"88354015"</f>
        <v>88354015</v>
      </c>
      <c r="U1438" t="str">
        <f>"CENTRO"</f>
        <v>CENTRO</v>
      </c>
      <c r="V1438" t="str">
        <f>"BRUSQUE"</f>
        <v>BRUSQUE</v>
      </c>
      <c r="W1438" t="str">
        <f t="shared" si="705"/>
        <v>SC</v>
      </c>
      <c r="X1438" t="str">
        <f t="shared" si="732"/>
        <v>47</v>
      </c>
      <c r="Y1438" t="str">
        <f>"32555555"</f>
        <v>32555555</v>
      </c>
      <c r="Z1438" t="str">
        <f>""</f>
        <v/>
      </c>
      <c r="AA1438" t="str">
        <f>""</f>
        <v/>
      </c>
      <c r="AB1438" t="str">
        <f>""</f>
        <v/>
      </c>
      <c r="AC1438" t="str">
        <f>""</f>
        <v/>
      </c>
      <c r="AD1438" t="str">
        <f>""</f>
        <v/>
      </c>
      <c r="AE1438" t="str">
        <f>""</f>
        <v/>
      </c>
      <c r="AF1438" t="str">
        <f>""</f>
        <v/>
      </c>
      <c r="AG1438" t="str">
        <f>"S"</f>
        <v>S</v>
      </c>
      <c r="AH1438" t="str">
        <f>""</f>
        <v/>
      </c>
      <c r="AI1438" t="str">
        <f>""</f>
        <v/>
      </c>
      <c r="AJ1438" t="str">
        <f>""</f>
        <v/>
      </c>
      <c r="AK1438" t="str">
        <f>""</f>
        <v/>
      </c>
      <c r="AL1438" t="str">
        <f>""</f>
        <v/>
      </c>
      <c r="AM1438" t="str">
        <f>""</f>
        <v/>
      </c>
      <c r="AN1438" t="str">
        <f>""</f>
        <v/>
      </c>
      <c r="AO1438" t="str">
        <f>""</f>
        <v/>
      </c>
      <c r="AP1438" t="str">
        <f>""</f>
        <v/>
      </c>
      <c r="AQ1438" t="str">
        <f t="shared" si="733"/>
        <v>N</v>
      </c>
      <c r="AR1438" t="str">
        <f t="shared" si="733"/>
        <v>N</v>
      </c>
      <c r="AS1438" t="str">
        <f t="shared" si="733"/>
        <v>N</v>
      </c>
      <c r="AT1438" t="str">
        <f t="shared" si="733"/>
        <v>N</v>
      </c>
      <c r="AU1438" t="str">
        <f t="shared" si="733"/>
        <v>N</v>
      </c>
      <c r="AV1438" t="str">
        <f>""</f>
        <v/>
      </c>
      <c r="AW1438" t="str">
        <f>""</f>
        <v/>
      </c>
      <c r="AX1438" t="str">
        <f>""</f>
        <v/>
      </c>
      <c r="AY1438" t="str">
        <f>""</f>
        <v/>
      </c>
      <c r="AZ1438" t="str">
        <f>""</f>
        <v/>
      </c>
      <c r="BA1438" t="str">
        <f>""</f>
        <v/>
      </c>
      <c r="BB1438" t="str">
        <f>"01/07/2021 13:53:04"</f>
        <v>01/07/2021 13:53:04</v>
      </c>
      <c r="BC1438" t="str">
        <f>"11/03/2022 17:20:56"</f>
        <v>11/03/2022 17:20:56</v>
      </c>
      <c r="BD1438" t="str">
        <f>""</f>
        <v/>
      </c>
      <c r="BE1438" t="str">
        <f>""</f>
        <v/>
      </c>
      <c r="BF1438" t="str">
        <f t="shared" si="716"/>
        <v>A</v>
      </c>
      <c r="BG1438" t="str">
        <f>""</f>
        <v/>
      </c>
      <c r="BH1438" t="str">
        <f>"0,00"</f>
        <v>0,00</v>
      </c>
      <c r="BI1438" t="str">
        <f t="shared" si="731"/>
        <v>EVENTUAL</v>
      </c>
      <c r="BJ1438" t="str">
        <f t="shared" si="718"/>
        <v>1</v>
      </c>
      <c r="BK1438" t="str">
        <f t="shared" si="719"/>
        <v>Farmacia</v>
      </c>
      <c r="BL1438" t="str">
        <f>""</f>
        <v/>
      </c>
      <c r="BM1438" t="str">
        <f>"VARILUX ESPECIALISTA PLATINE"</f>
        <v>VARILUX ESPECIALISTA PLATINE</v>
      </c>
      <c r="BN1438" t="str">
        <f t="shared" si="734"/>
        <v>NA</v>
      </c>
      <c r="BO1438" t="str">
        <f>"FOCO VARILUX DIGITAL"</f>
        <v>FOCO VARILUX DIGITAL</v>
      </c>
      <c r="BP1438" t="str">
        <f>""</f>
        <v/>
      </c>
      <c r="BQ1438" t="str">
        <f>""</f>
        <v/>
      </c>
      <c r="BR1438" t="str">
        <f>"01/07/2021"</f>
        <v>01/07/2021</v>
      </c>
      <c r="BS1438" t="str">
        <f>"11/03/2022"</f>
        <v>11/03/2022</v>
      </c>
      <c r="BT1438" t="str">
        <f>""</f>
        <v/>
      </c>
      <c r="BU1438" t="str">
        <f>""</f>
        <v/>
      </c>
      <c r="BV1438" t="str">
        <f>""</f>
        <v/>
      </c>
      <c r="BW1438" t="str">
        <f>"11"</f>
        <v>11</v>
      </c>
    </row>
    <row r="1439" spans="1:75" x14ac:dyDescent="0.35">
      <c r="A1439">
        <v>137674</v>
      </c>
      <c r="B1439" t="str">
        <f t="shared" si="712"/>
        <v>A</v>
      </c>
      <c r="C1439" t="str">
        <f t="shared" si="713"/>
        <v>80</v>
      </c>
      <c r="D1439" t="str">
        <f t="shared" si="706"/>
        <v>11121004</v>
      </c>
      <c r="E1439" t="str">
        <f t="shared" si="707"/>
        <v>121004</v>
      </c>
      <c r="F1439" t="str">
        <f t="shared" si="708"/>
        <v>FABIANA GODOY</v>
      </c>
      <c r="G1439" t="str">
        <f>"95838157000105"</f>
        <v>95838157000105</v>
      </c>
      <c r="H1439" t="str">
        <f t="shared" si="724"/>
        <v>0</v>
      </c>
      <c r="I1439" t="str">
        <f t="shared" si="714"/>
        <v>CONTA OPTICA</v>
      </c>
      <c r="J1439" t="str">
        <f>"LA JOIAS RELOJOARIA E OPTICA LTDA ME"</f>
        <v>LA JOIAS RELOJOARIA E OPTICA LTDA ME</v>
      </c>
      <c r="K1439" t="str">
        <f>"LA JOIAS RELOJOARIA E OPTICA LTDA ME (2291)"</f>
        <v>LA JOIAS RELOJOARIA E OPTICA LTDA ME (2291)</v>
      </c>
      <c r="L1439" t="str">
        <f>""</f>
        <v/>
      </c>
      <c r="M1439" t="str">
        <f>""</f>
        <v/>
      </c>
      <c r="N1439" t="str">
        <f>"safirabnu@gmail.com"</f>
        <v>safirabnu@gmail.com</v>
      </c>
      <c r="O1439" t="str">
        <f>""</f>
        <v/>
      </c>
      <c r="P1439" t="str">
        <f>"RUA AMAZONAS"</f>
        <v>RUA AMAZONAS</v>
      </c>
      <c r="Q1439" t="str">
        <f>"3665"</f>
        <v>3665</v>
      </c>
      <c r="R1439" t="str">
        <f>""</f>
        <v/>
      </c>
      <c r="S1439" t="str">
        <f>"1273"</f>
        <v>1273</v>
      </c>
      <c r="T1439" t="str">
        <f>"89022003"</f>
        <v>89022003</v>
      </c>
      <c r="U1439" t="str">
        <f>"GARCIA"</f>
        <v>GARCIA</v>
      </c>
      <c r="V1439" t="str">
        <f>"BLUMENAU"</f>
        <v>BLUMENAU</v>
      </c>
      <c r="W1439" t="str">
        <f t="shared" si="705"/>
        <v>SC</v>
      </c>
      <c r="X1439" t="str">
        <f t="shared" si="732"/>
        <v>47</v>
      </c>
      <c r="Y1439" t="str">
        <f>"32882410"</f>
        <v>32882410</v>
      </c>
      <c r="Z1439" t="str">
        <f>""</f>
        <v/>
      </c>
      <c r="AA1439" t="str">
        <f>""</f>
        <v/>
      </c>
      <c r="AB1439" t="str">
        <f>""</f>
        <v/>
      </c>
      <c r="AC1439" t="str">
        <f>""</f>
        <v/>
      </c>
      <c r="AD1439" t="str">
        <f>""</f>
        <v/>
      </c>
      <c r="AE1439" t="str">
        <f>""</f>
        <v/>
      </c>
      <c r="AF1439" t="str">
        <f>""</f>
        <v/>
      </c>
      <c r="AG1439" t="str">
        <f>""</f>
        <v/>
      </c>
      <c r="AH1439" t="str">
        <f>""</f>
        <v/>
      </c>
      <c r="AI1439" t="str">
        <f>""</f>
        <v/>
      </c>
      <c r="AJ1439" t="str">
        <f>""</f>
        <v/>
      </c>
      <c r="AK1439" t="str">
        <f>""</f>
        <v/>
      </c>
      <c r="AL1439" t="str">
        <f>""</f>
        <v/>
      </c>
      <c r="AM1439" t="str">
        <f>""</f>
        <v/>
      </c>
      <c r="AN1439" t="str">
        <f>""</f>
        <v/>
      </c>
      <c r="AO1439" t="str">
        <f>""</f>
        <v/>
      </c>
      <c r="AP1439" t="str">
        <f>""</f>
        <v/>
      </c>
      <c r="AQ1439" t="str">
        <f>""</f>
        <v/>
      </c>
      <c r="AR1439" t="str">
        <f>""</f>
        <v/>
      </c>
      <c r="AS1439" t="str">
        <f>""</f>
        <v/>
      </c>
      <c r="AT1439" t="str">
        <f>""</f>
        <v/>
      </c>
      <c r="AU1439" t="str">
        <f>""</f>
        <v/>
      </c>
      <c r="AV1439" t="str">
        <f>""</f>
        <v/>
      </c>
      <c r="AW1439" t="str">
        <f>""</f>
        <v/>
      </c>
      <c r="AX1439" t="str">
        <f>""</f>
        <v/>
      </c>
      <c r="AY1439" t="str">
        <f>""</f>
        <v/>
      </c>
      <c r="AZ1439" t="str">
        <f>""</f>
        <v/>
      </c>
      <c r="BA1439" t="str">
        <f>""</f>
        <v/>
      </c>
      <c r="BB1439" t="str">
        <f>"01/07/2021 13:53:04"</f>
        <v>01/07/2021 13:53:04</v>
      </c>
      <c r="BC1439" t="str">
        <f>""</f>
        <v/>
      </c>
      <c r="BD1439" t="str">
        <f>""</f>
        <v/>
      </c>
      <c r="BE1439" t="str">
        <f>""</f>
        <v/>
      </c>
      <c r="BF1439" t="str">
        <f t="shared" si="716"/>
        <v>A</v>
      </c>
      <c r="BG1439" t="str">
        <f>""</f>
        <v/>
      </c>
      <c r="BH1439" t="str">
        <f>""</f>
        <v/>
      </c>
      <c r="BI1439" t="str">
        <f t="shared" si="731"/>
        <v>EVENTUAL</v>
      </c>
      <c r="BJ1439" t="str">
        <f t="shared" si="718"/>
        <v>1</v>
      </c>
      <c r="BK1439" t="str">
        <f t="shared" si="719"/>
        <v>Farmacia</v>
      </c>
      <c r="BL1439" t="str">
        <f>""</f>
        <v/>
      </c>
      <c r="BM1439" t="str">
        <f>"NÃO É VARILUX ESPECIALISTA"</f>
        <v>NÃO É VARILUX ESPECIALISTA</v>
      </c>
      <c r="BN1439" t="str">
        <f t="shared" si="734"/>
        <v>NA</v>
      </c>
      <c r="BO1439" t="str">
        <f>"FOCO VARILUX"</f>
        <v>FOCO VARILUX</v>
      </c>
      <c r="BP1439" t="str">
        <f>""</f>
        <v/>
      </c>
      <c r="BQ1439" t="str">
        <f>""</f>
        <v/>
      </c>
      <c r="BR1439" t="str">
        <f>"01/07/2021"</f>
        <v>01/07/2021</v>
      </c>
      <c r="BS1439" t="str">
        <f>""</f>
        <v/>
      </c>
      <c r="BT1439" t="str">
        <f>""</f>
        <v/>
      </c>
      <c r="BU1439" t="str">
        <f>""</f>
        <v/>
      </c>
      <c r="BV1439" t="str">
        <f>""</f>
        <v/>
      </c>
      <c r="BW1439" t="str">
        <f>"10"</f>
        <v>10</v>
      </c>
    </row>
    <row r="1440" spans="1:75" x14ac:dyDescent="0.35">
      <c r="A1440">
        <v>138865</v>
      </c>
      <c r="B1440" t="str">
        <f t="shared" si="712"/>
        <v>A</v>
      </c>
      <c r="C1440" t="str">
        <f t="shared" si="713"/>
        <v>80</v>
      </c>
      <c r="D1440" t="str">
        <f t="shared" si="706"/>
        <v>11121004</v>
      </c>
      <c r="E1440" t="str">
        <f t="shared" si="707"/>
        <v>121004</v>
      </c>
      <c r="F1440" t="str">
        <f t="shared" si="708"/>
        <v>FABIANA GODOY</v>
      </c>
      <c r="G1440" t="str">
        <f>"23965167000192"</f>
        <v>23965167000192</v>
      </c>
      <c r="H1440" t="str">
        <f t="shared" si="724"/>
        <v>0</v>
      </c>
      <c r="I1440" t="str">
        <f t="shared" si="714"/>
        <v>CONTA OPTICA</v>
      </c>
      <c r="J1440" t="str">
        <f>"LARYSSA HELLENA FISCHER DE AMORIM 91991471904"</f>
        <v>LARYSSA HELLENA FISCHER DE AMORIM 91991471904</v>
      </c>
      <c r="K1440" t="str">
        <f>"AMORIM RELOJOARIA E OTICA (4356)"</f>
        <v>AMORIM RELOJOARIA E OTICA (4356)</v>
      </c>
      <c r="L1440" t="str">
        <f>""</f>
        <v/>
      </c>
      <c r="M1440" t="str">
        <f>""</f>
        <v/>
      </c>
      <c r="N1440" t="str">
        <f>"ATENDIMENTO@AMORIMRELOJOARIAEOTICA.COM.BR"</f>
        <v>ATENDIMENTO@AMORIMRELOJOARIAEOTICA.COM.BR</v>
      </c>
      <c r="O1440" t="str">
        <f>""</f>
        <v/>
      </c>
      <c r="P1440" t="str">
        <f>"RUA VEREADOR NEREU LIBERATO NUNES"</f>
        <v>RUA VEREADOR NEREU LIBERATO NUNES</v>
      </c>
      <c r="Q1440" t="str">
        <f>"588"</f>
        <v>588</v>
      </c>
      <c r="R1440" t="str">
        <f>"SALA 02"</f>
        <v>SALA 02</v>
      </c>
      <c r="S1440" t="str">
        <f>"1263"</f>
        <v>1263</v>
      </c>
      <c r="T1440" t="str">
        <f>"88370232"</f>
        <v>88370232</v>
      </c>
      <c r="U1440" t="str">
        <f>"CENTRO"</f>
        <v>CENTRO</v>
      </c>
      <c r="V1440" t="str">
        <f>"NAVEGANTES"</f>
        <v>NAVEGANTES</v>
      </c>
      <c r="W1440" t="str">
        <f t="shared" si="705"/>
        <v>SC</v>
      </c>
      <c r="X1440" t="str">
        <f t="shared" si="732"/>
        <v>47</v>
      </c>
      <c r="Y1440" t="str">
        <f>"30116872"</f>
        <v>30116872</v>
      </c>
      <c r="Z1440" t="str">
        <f>""</f>
        <v/>
      </c>
      <c r="AA1440" t="str">
        <f>""</f>
        <v/>
      </c>
      <c r="AB1440" t="str">
        <f>""</f>
        <v/>
      </c>
      <c r="AC1440" t="str">
        <f>""</f>
        <v/>
      </c>
      <c r="AD1440" t="str">
        <f>""</f>
        <v/>
      </c>
      <c r="AE1440" t="str">
        <f>""</f>
        <v/>
      </c>
      <c r="AF1440" t="str">
        <f>""</f>
        <v/>
      </c>
      <c r="AG1440" t="str">
        <f>"S"</f>
        <v>S</v>
      </c>
      <c r="AH1440" t="str">
        <f>""</f>
        <v/>
      </c>
      <c r="AI1440" t="str">
        <f>""</f>
        <v/>
      </c>
      <c r="AJ1440" t="str">
        <f>""</f>
        <v/>
      </c>
      <c r="AK1440" t="str">
        <f>""</f>
        <v/>
      </c>
      <c r="AL1440" t="str">
        <f>""</f>
        <v/>
      </c>
      <c r="AM1440" t="str">
        <f>""</f>
        <v/>
      </c>
      <c r="AN1440" t="str">
        <f>""</f>
        <v/>
      </c>
      <c r="AO1440" t="str">
        <f>""</f>
        <v/>
      </c>
      <c r="AP1440" t="str">
        <f>""</f>
        <v/>
      </c>
      <c r="AQ1440" t="str">
        <f t="shared" ref="AQ1440:AU1441" si="735">"N"</f>
        <v>N</v>
      </c>
      <c r="AR1440" t="str">
        <f t="shared" si="735"/>
        <v>N</v>
      </c>
      <c r="AS1440" t="str">
        <f t="shared" si="735"/>
        <v>N</v>
      </c>
      <c r="AT1440" t="str">
        <f t="shared" si="735"/>
        <v>N</v>
      </c>
      <c r="AU1440" t="str">
        <f t="shared" si="735"/>
        <v>N</v>
      </c>
      <c r="AV1440" t="str">
        <f>""</f>
        <v/>
      </c>
      <c r="AW1440" t="str">
        <f>""</f>
        <v/>
      </c>
      <c r="AX1440" t="str">
        <f>""</f>
        <v/>
      </c>
      <c r="AY1440" t="str">
        <f>""</f>
        <v/>
      </c>
      <c r="AZ1440" t="str">
        <f>""</f>
        <v/>
      </c>
      <c r="BA1440" t="str">
        <f>""</f>
        <v/>
      </c>
      <c r="BB1440" t="str">
        <f>"15/07/2021 10:57:44"</f>
        <v>15/07/2021 10:57:44</v>
      </c>
      <c r="BC1440" t="str">
        <f>"20/04/2022 12:43:19"</f>
        <v>20/04/2022 12:43:19</v>
      </c>
      <c r="BD1440" t="str">
        <f>""</f>
        <v/>
      </c>
      <c r="BE1440" t="str">
        <f>""</f>
        <v/>
      </c>
      <c r="BF1440" t="str">
        <f t="shared" si="716"/>
        <v>A</v>
      </c>
      <c r="BG1440" t="str">
        <f>""</f>
        <v/>
      </c>
      <c r="BH1440" t="str">
        <f>"0,00"</f>
        <v>0,00</v>
      </c>
      <c r="BI1440" t="str">
        <f t="shared" si="731"/>
        <v>EVENTUAL</v>
      </c>
      <c r="BJ1440" t="str">
        <f t="shared" si="718"/>
        <v>1</v>
      </c>
      <c r="BK1440" t="str">
        <f t="shared" si="719"/>
        <v>Farmacia</v>
      </c>
      <c r="BL1440" t="str">
        <f>""</f>
        <v/>
      </c>
      <c r="BM1440" t="str">
        <f>"NÃO É VARILUX ESPECIALISTA"</f>
        <v>NÃO É VARILUX ESPECIALISTA</v>
      </c>
      <c r="BN1440" t="str">
        <f t="shared" si="734"/>
        <v>NA</v>
      </c>
      <c r="BO1440" t="str">
        <f>"FOCO KODAK 2"</f>
        <v>FOCO KODAK 2</v>
      </c>
      <c r="BP1440" t="str">
        <f>""</f>
        <v/>
      </c>
      <c r="BQ1440" t="str">
        <f>""</f>
        <v/>
      </c>
      <c r="BR1440" t="str">
        <f>"15/07/2021"</f>
        <v>15/07/2021</v>
      </c>
      <c r="BS1440" t="str">
        <f>"20/04/2022"</f>
        <v>20/04/2022</v>
      </c>
      <c r="BT1440" t="str">
        <f>""</f>
        <v/>
      </c>
      <c r="BU1440" t="str">
        <f>""</f>
        <v/>
      </c>
      <c r="BV1440" t="str">
        <f>""</f>
        <v/>
      </c>
      <c r="BW1440" t="str">
        <f>"478"</f>
        <v>478</v>
      </c>
    </row>
    <row r="1441" spans="1:75" x14ac:dyDescent="0.35">
      <c r="A1441">
        <v>137675</v>
      </c>
      <c r="B1441" t="str">
        <f t="shared" si="712"/>
        <v>A</v>
      </c>
      <c r="C1441" t="str">
        <f t="shared" si="713"/>
        <v>80</v>
      </c>
      <c r="D1441" t="str">
        <f t="shared" si="706"/>
        <v>11121004</v>
      </c>
      <c r="E1441" t="str">
        <f t="shared" si="707"/>
        <v>121004</v>
      </c>
      <c r="F1441" t="str">
        <f t="shared" si="708"/>
        <v>FABIANA GODOY</v>
      </c>
      <c r="G1441" t="str">
        <f>"80754047000180"</f>
        <v>80754047000180</v>
      </c>
      <c r="H1441" t="str">
        <f t="shared" si="724"/>
        <v>0</v>
      </c>
      <c r="I1441" t="str">
        <f t="shared" si="714"/>
        <v>CONTA OPTICA</v>
      </c>
      <c r="J1441" t="str">
        <f>"LAURENTINO SBORS FILHO ME"</f>
        <v>LAURENTINO SBORS FILHO ME</v>
      </c>
      <c r="K1441" t="str">
        <f>"RELOJOARIA E OTICA SBORS (1488)"</f>
        <v>RELOJOARIA E OTICA SBORS (1488)</v>
      </c>
      <c r="L1441" t="str">
        <f>""</f>
        <v/>
      </c>
      <c r="M1441" t="str">
        <f>""</f>
        <v/>
      </c>
      <c r="N1441" t="str">
        <f>"relojoariasbors@hotmail.com"</f>
        <v>relojoariasbors@hotmail.com</v>
      </c>
      <c r="O1441" t="str">
        <f>""</f>
        <v/>
      </c>
      <c r="P1441" t="str">
        <f>"AVENIDA BAYER FILHO"</f>
        <v>AVENIDA BAYER FILHO</v>
      </c>
      <c r="Q1441" t="str">
        <f>"1767"</f>
        <v>1767</v>
      </c>
      <c r="R1441" t="str">
        <f>""</f>
        <v/>
      </c>
      <c r="S1441" t="str">
        <f>"1260"</f>
        <v>1260</v>
      </c>
      <c r="T1441" t="str">
        <f>"88200000"</f>
        <v>88200000</v>
      </c>
      <c r="U1441" t="str">
        <f>"CENTRO"</f>
        <v>CENTRO</v>
      </c>
      <c r="V1441" t="str">
        <f>"TIJUCAS"</f>
        <v>TIJUCAS</v>
      </c>
      <c r="W1441" t="str">
        <f t="shared" si="705"/>
        <v>SC</v>
      </c>
      <c r="X1441" t="str">
        <f>"48"</f>
        <v>48</v>
      </c>
      <c r="Y1441" t="str">
        <f>"32631448"</f>
        <v>32631448</v>
      </c>
      <c r="Z1441" t="str">
        <f>""</f>
        <v/>
      </c>
      <c r="AA1441" t="str">
        <f>""</f>
        <v/>
      </c>
      <c r="AB1441" t="str">
        <f>""</f>
        <v/>
      </c>
      <c r="AC1441" t="str">
        <f>""</f>
        <v/>
      </c>
      <c r="AD1441" t="str">
        <f>""</f>
        <v/>
      </c>
      <c r="AE1441" t="str">
        <f>""</f>
        <v/>
      </c>
      <c r="AF1441" t="str">
        <f>""</f>
        <v/>
      </c>
      <c r="AG1441" t="str">
        <f>"S"</f>
        <v>S</v>
      </c>
      <c r="AH1441" t="str">
        <f>""</f>
        <v/>
      </c>
      <c r="AI1441" t="str">
        <f>""</f>
        <v/>
      </c>
      <c r="AJ1441" t="str">
        <f>""</f>
        <v/>
      </c>
      <c r="AK1441" t="str">
        <f>""</f>
        <v/>
      </c>
      <c r="AL1441" t="str">
        <f>""</f>
        <v/>
      </c>
      <c r="AM1441" t="str">
        <f>""</f>
        <v/>
      </c>
      <c r="AN1441" t="str">
        <f>""</f>
        <v/>
      </c>
      <c r="AO1441" t="str">
        <f>""</f>
        <v/>
      </c>
      <c r="AP1441" t="str">
        <f>""</f>
        <v/>
      </c>
      <c r="AQ1441" t="str">
        <f t="shared" si="735"/>
        <v>N</v>
      </c>
      <c r="AR1441" t="str">
        <f t="shared" si="735"/>
        <v>N</v>
      </c>
      <c r="AS1441" t="str">
        <f t="shared" si="735"/>
        <v>N</v>
      </c>
      <c r="AT1441" t="str">
        <f t="shared" si="735"/>
        <v>N</v>
      </c>
      <c r="AU1441" t="str">
        <f t="shared" si="735"/>
        <v>N</v>
      </c>
      <c r="AV1441" t="str">
        <f>""</f>
        <v/>
      </c>
      <c r="AW1441" t="str">
        <f>""</f>
        <v/>
      </c>
      <c r="AX1441" t="str">
        <f>""</f>
        <v/>
      </c>
      <c r="AY1441" t="str">
        <f>""</f>
        <v/>
      </c>
      <c r="AZ1441" t="str">
        <f>""</f>
        <v/>
      </c>
      <c r="BA1441" t="str">
        <f>""</f>
        <v/>
      </c>
      <c r="BB1441" t="str">
        <f>"01/07/2021 13:53:04"</f>
        <v>01/07/2021 13:53:04</v>
      </c>
      <c r="BC1441" t="str">
        <f>"30/08/2022 17:30:25"</f>
        <v>30/08/2022 17:30:25</v>
      </c>
      <c r="BD1441" t="str">
        <f>""</f>
        <v/>
      </c>
      <c r="BE1441" t="str">
        <f>""</f>
        <v/>
      </c>
      <c r="BF1441" t="str">
        <f t="shared" si="716"/>
        <v>A</v>
      </c>
      <c r="BG1441" t="str">
        <f>""</f>
        <v/>
      </c>
      <c r="BH1441" t="str">
        <f>"0,00"</f>
        <v>0,00</v>
      </c>
      <c r="BI1441" t="str">
        <f t="shared" si="731"/>
        <v>EVENTUAL</v>
      </c>
      <c r="BJ1441" t="str">
        <f t="shared" si="718"/>
        <v>1</v>
      </c>
      <c r="BK1441" t="str">
        <f t="shared" si="719"/>
        <v>Farmacia</v>
      </c>
      <c r="BL1441" t="str">
        <f>""</f>
        <v/>
      </c>
      <c r="BM1441" t="str">
        <f>"NÃO É VARILUX ESPECIALISTA"</f>
        <v>NÃO É VARILUX ESPECIALISTA</v>
      </c>
      <c r="BN1441" t="str">
        <f t="shared" si="734"/>
        <v>NA</v>
      </c>
      <c r="BO1441" t="str">
        <f>"OUTROS"</f>
        <v>OUTROS</v>
      </c>
      <c r="BP1441" t="str">
        <f>""</f>
        <v/>
      </c>
      <c r="BQ1441" t="str">
        <f>""</f>
        <v/>
      </c>
      <c r="BR1441" t="str">
        <f>"01/07/2021"</f>
        <v>01/07/2021</v>
      </c>
      <c r="BS1441" t="str">
        <f>"30/08/2022"</f>
        <v>30/08/2022</v>
      </c>
      <c r="BT1441" t="str">
        <f>""</f>
        <v/>
      </c>
      <c r="BU1441" t="str">
        <f>""</f>
        <v/>
      </c>
      <c r="BV1441" t="str">
        <f>""</f>
        <v/>
      </c>
      <c r="BW1441" t="str">
        <f>"483"</f>
        <v>483</v>
      </c>
    </row>
    <row r="1442" spans="1:75" x14ac:dyDescent="0.35">
      <c r="A1442">
        <v>157090</v>
      </c>
      <c r="B1442" t="str">
        <f t="shared" si="712"/>
        <v>A</v>
      </c>
      <c r="C1442" t="str">
        <f t="shared" si="713"/>
        <v>80</v>
      </c>
      <c r="D1442" t="str">
        <f t="shared" si="706"/>
        <v>11121004</v>
      </c>
      <c r="E1442" t="str">
        <f t="shared" si="707"/>
        <v>121004</v>
      </c>
      <c r="F1442" t="str">
        <f t="shared" si="708"/>
        <v>FABIANA GODOY</v>
      </c>
      <c r="G1442" t="str">
        <f>"49495897000160"</f>
        <v>49495897000160</v>
      </c>
      <c r="H1442" t="str">
        <f t="shared" si="724"/>
        <v>0</v>
      </c>
      <c r="I1442" t="str">
        <f t="shared" si="714"/>
        <v>CONTA OPTICA</v>
      </c>
      <c r="J1442" t="str">
        <f>"LB JOIAS E OTICA LTDA"</f>
        <v>LB JOIAS E OTICA LTDA</v>
      </c>
      <c r="K1442" t="str">
        <f>"MARIA MARIA SEMIJOIAS E OTICA (4673)"</f>
        <v>MARIA MARIA SEMIJOIAS E OTICA (4673)</v>
      </c>
      <c r="L1442" t="str">
        <f>""</f>
        <v/>
      </c>
      <c r="M1442" t="str">
        <f>""</f>
        <v/>
      </c>
      <c r="N1442" t="str">
        <f>"LUCASBAILER@YAHOO.COM.BR"</f>
        <v>LUCASBAILER@YAHOO.COM.BR</v>
      </c>
      <c r="O1442" t="str">
        <f>""</f>
        <v/>
      </c>
      <c r="P1442" t="str">
        <f>"ALVIM BAUER"</f>
        <v>ALVIM BAUER</v>
      </c>
      <c r="Q1442" t="str">
        <f>"100"</f>
        <v>100</v>
      </c>
      <c r="R1442" t="str">
        <f>"L 09 NEW YORK"</f>
        <v>L 09 NEW YORK</v>
      </c>
      <c r="S1442" t="str">
        <f>""</f>
        <v/>
      </c>
      <c r="T1442" t="str">
        <f>"83306833"</f>
        <v>83306833</v>
      </c>
      <c r="U1442" t="str">
        <f>"CENTRO"</f>
        <v>CENTRO</v>
      </c>
      <c r="V1442" t="str">
        <f>"BALNEARIO CAMBORIU"</f>
        <v>BALNEARIO CAMBORIU</v>
      </c>
      <c r="W1442" t="str">
        <f t="shared" si="705"/>
        <v>SC</v>
      </c>
      <c r="X1442" t="str">
        <f t="shared" ref="X1442:X1451" si="736">"47"</f>
        <v>47</v>
      </c>
      <c r="Y1442" t="str">
        <f>"999951165"</f>
        <v>999951165</v>
      </c>
      <c r="Z1442" t="str">
        <f>""</f>
        <v/>
      </c>
      <c r="AA1442" t="str">
        <f>""</f>
        <v/>
      </c>
      <c r="AB1442" t="str">
        <f>""</f>
        <v/>
      </c>
      <c r="AC1442" t="str">
        <f>""</f>
        <v/>
      </c>
      <c r="AD1442" t="str">
        <f>""</f>
        <v/>
      </c>
      <c r="AE1442" t="str">
        <f>""</f>
        <v/>
      </c>
      <c r="AF1442" t="str">
        <f>""</f>
        <v/>
      </c>
      <c r="AG1442" t="str">
        <f>""</f>
        <v/>
      </c>
      <c r="AH1442" t="str">
        <f>""</f>
        <v/>
      </c>
      <c r="AI1442" t="str">
        <f>""</f>
        <v/>
      </c>
      <c r="AJ1442" t="str">
        <f>""</f>
        <v/>
      </c>
      <c r="AK1442" t="str">
        <f>""</f>
        <v/>
      </c>
      <c r="AL1442" t="str">
        <f>""</f>
        <v/>
      </c>
      <c r="AM1442" t="str">
        <f>""</f>
        <v/>
      </c>
      <c r="AN1442" t="str">
        <f>""</f>
        <v/>
      </c>
      <c r="AO1442" t="str">
        <f>""</f>
        <v/>
      </c>
      <c r="AP1442" t="str">
        <f>""</f>
        <v/>
      </c>
      <c r="AQ1442" t="str">
        <f>""</f>
        <v/>
      </c>
      <c r="AR1442" t="str">
        <f>""</f>
        <v/>
      </c>
      <c r="AS1442" t="str">
        <f>""</f>
        <v/>
      </c>
      <c r="AT1442" t="str">
        <f>""</f>
        <v/>
      </c>
      <c r="AU1442" t="str">
        <f>""</f>
        <v/>
      </c>
      <c r="AV1442" t="str">
        <f>""</f>
        <v/>
      </c>
      <c r="AW1442" t="str">
        <f>""</f>
        <v/>
      </c>
      <c r="AX1442" t="str">
        <f>""</f>
        <v/>
      </c>
      <c r="AY1442" t="str">
        <f>""</f>
        <v/>
      </c>
      <c r="AZ1442" t="str">
        <f>""</f>
        <v/>
      </c>
      <c r="BA1442" t="str">
        <f>""</f>
        <v/>
      </c>
      <c r="BB1442" t="str">
        <f>"06/07/2023 12:07:48"</f>
        <v>06/07/2023 12:07:48</v>
      </c>
      <c r="BC1442" t="str">
        <f>""</f>
        <v/>
      </c>
      <c r="BD1442" t="str">
        <f>""</f>
        <v/>
      </c>
      <c r="BE1442" t="str">
        <f>""</f>
        <v/>
      </c>
      <c r="BF1442" t="str">
        <f t="shared" si="716"/>
        <v>A</v>
      </c>
      <c r="BG1442" t="str">
        <f>""</f>
        <v/>
      </c>
      <c r="BH1442" t="str">
        <f>""</f>
        <v/>
      </c>
      <c r="BI1442" t="str">
        <f t="shared" si="731"/>
        <v>EVENTUAL</v>
      </c>
      <c r="BJ1442" t="str">
        <f t="shared" si="718"/>
        <v>1</v>
      </c>
      <c r="BK1442" t="str">
        <f t="shared" si="719"/>
        <v>Farmacia</v>
      </c>
      <c r="BL1442" t="str">
        <f>""</f>
        <v/>
      </c>
      <c r="BM1442" t="str">
        <f>""</f>
        <v/>
      </c>
      <c r="BN1442" t="str">
        <f>""</f>
        <v/>
      </c>
      <c r="BO1442" t="str">
        <f>""</f>
        <v/>
      </c>
      <c r="BP1442" t="str">
        <f>""</f>
        <v/>
      </c>
      <c r="BQ1442" t="str">
        <f>""</f>
        <v/>
      </c>
      <c r="BR1442" t="str">
        <f>"06/07/2023"</f>
        <v>06/07/2023</v>
      </c>
      <c r="BS1442" t="str">
        <f>""</f>
        <v/>
      </c>
      <c r="BT1442" t="str">
        <f>""</f>
        <v/>
      </c>
      <c r="BU1442" t="str">
        <f>""</f>
        <v/>
      </c>
      <c r="BV1442" t="str">
        <f>""</f>
        <v/>
      </c>
      <c r="BW1442" t="str">
        <f>"36"</f>
        <v>36</v>
      </c>
    </row>
    <row r="1443" spans="1:75" x14ac:dyDescent="0.35">
      <c r="A1443">
        <v>137677</v>
      </c>
      <c r="B1443" t="str">
        <f t="shared" si="712"/>
        <v>A</v>
      </c>
      <c r="C1443" t="str">
        <f t="shared" si="713"/>
        <v>80</v>
      </c>
      <c r="D1443" t="str">
        <f t="shared" si="706"/>
        <v>11121004</v>
      </c>
      <c r="E1443" t="str">
        <f t="shared" si="707"/>
        <v>121004</v>
      </c>
      <c r="F1443" t="str">
        <f t="shared" si="708"/>
        <v>FABIANA GODOY</v>
      </c>
      <c r="G1443" t="str">
        <f>"95762332000110"</f>
        <v>95762332000110</v>
      </c>
      <c r="H1443" t="str">
        <f t="shared" si="724"/>
        <v>0</v>
      </c>
      <c r="I1443" t="str">
        <f t="shared" si="714"/>
        <v>CONTA OPTICA</v>
      </c>
      <c r="J1443" t="str">
        <f>"LIDIA DOS SANTOS SOARES"</f>
        <v>LIDIA DOS SANTOS SOARES</v>
      </c>
      <c r="K1443" t="str">
        <f>"RELOJOARIA SANTOS (895)"</f>
        <v>RELOJOARIA SANTOS (895)</v>
      </c>
      <c r="L1443" t="str">
        <f>""</f>
        <v/>
      </c>
      <c r="M1443" t="str">
        <f>""</f>
        <v/>
      </c>
      <c r="N1443" t="str">
        <f>"relojoariaeoticasantos4@gmail.com"</f>
        <v>relojoariaeoticasantos4@gmail.com</v>
      </c>
      <c r="O1443" t="str">
        <f>""</f>
        <v/>
      </c>
      <c r="P1443" t="str">
        <f>"RUA CEL. ARISTILIANO RAMOS"</f>
        <v>RUA CEL. ARISTILIANO RAMOS</v>
      </c>
      <c r="Q1443" t="str">
        <f>"242"</f>
        <v>242</v>
      </c>
      <c r="R1443" t="str">
        <f>""</f>
        <v/>
      </c>
      <c r="S1443" t="str">
        <f>"1274"</f>
        <v>1274</v>
      </c>
      <c r="T1443" t="str">
        <f>"89110067"</f>
        <v>89110067</v>
      </c>
      <c r="U1443" t="str">
        <f>"CENTRO"</f>
        <v>CENTRO</v>
      </c>
      <c r="V1443" t="str">
        <f>"GASPAR"</f>
        <v>GASPAR</v>
      </c>
      <c r="W1443" t="str">
        <f t="shared" si="705"/>
        <v>SC</v>
      </c>
      <c r="X1443" t="str">
        <f t="shared" si="736"/>
        <v>47</v>
      </c>
      <c r="Y1443" t="str">
        <f>"33322233"</f>
        <v>33322233</v>
      </c>
      <c r="Z1443" t="str">
        <f>""</f>
        <v/>
      </c>
      <c r="AA1443" t="str">
        <f>""</f>
        <v/>
      </c>
      <c r="AB1443" t="str">
        <f>""</f>
        <v/>
      </c>
      <c r="AC1443" t="str">
        <f>""</f>
        <v/>
      </c>
      <c r="AD1443" t="str">
        <f>""</f>
        <v/>
      </c>
      <c r="AE1443" t="str">
        <f>""</f>
        <v/>
      </c>
      <c r="AF1443" t="str">
        <f>""</f>
        <v/>
      </c>
      <c r="AG1443" t="str">
        <f>"S"</f>
        <v>S</v>
      </c>
      <c r="AH1443" t="str">
        <f>""</f>
        <v/>
      </c>
      <c r="AI1443" t="str">
        <f>""</f>
        <v/>
      </c>
      <c r="AJ1443" t="str">
        <f>""</f>
        <v/>
      </c>
      <c r="AK1443" t="str">
        <f>""</f>
        <v/>
      </c>
      <c r="AL1443" t="str">
        <f>""</f>
        <v/>
      </c>
      <c r="AM1443" t="str">
        <f>""</f>
        <v/>
      </c>
      <c r="AN1443" t="str">
        <f>""</f>
        <v/>
      </c>
      <c r="AO1443" t="str">
        <f>""</f>
        <v/>
      </c>
      <c r="AP1443" t="str">
        <f>""</f>
        <v/>
      </c>
      <c r="AQ1443" t="str">
        <f>"N"</f>
        <v>N</v>
      </c>
      <c r="AR1443" t="str">
        <f>"N"</f>
        <v>N</v>
      </c>
      <c r="AS1443" t="str">
        <f>"N"</f>
        <v>N</v>
      </c>
      <c r="AT1443" t="str">
        <f>"N"</f>
        <v>N</v>
      </c>
      <c r="AU1443" t="str">
        <f>"N"</f>
        <v>N</v>
      </c>
      <c r="AV1443" t="str">
        <f>""</f>
        <v/>
      </c>
      <c r="AW1443" t="str">
        <f>""</f>
        <v/>
      </c>
      <c r="AX1443" t="str">
        <f>""</f>
        <v/>
      </c>
      <c r="AY1443" t="str">
        <f>""</f>
        <v/>
      </c>
      <c r="AZ1443" t="str">
        <f>""</f>
        <v/>
      </c>
      <c r="BA1443" t="str">
        <f>""</f>
        <v/>
      </c>
      <c r="BB1443" t="str">
        <f>"01/07/2021 13:53:04"</f>
        <v>01/07/2021 13:53:04</v>
      </c>
      <c r="BC1443" t="str">
        <f>"28/04/2022 14:58:12"</f>
        <v>28/04/2022 14:58:12</v>
      </c>
      <c r="BD1443" t="str">
        <f>""</f>
        <v/>
      </c>
      <c r="BE1443" t="str">
        <f>""</f>
        <v/>
      </c>
      <c r="BF1443" t="str">
        <f t="shared" si="716"/>
        <v>A</v>
      </c>
      <c r="BG1443" t="str">
        <f>""</f>
        <v/>
      </c>
      <c r="BH1443" t="str">
        <f>"0,00"</f>
        <v>0,00</v>
      </c>
      <c r="BI1443" t="str">
        <f t="shared" si="731"/>
        <v>EVENTUAL</v>
      </c>
      <c r="BJ1443" t="str">
        <f t="shared" si="718"/>
        <v>1</v>
      </c>
      <c r="BK1443" t="str">
        <f t="shared" si="719"/>
        <v>Farmacia</v>
      </c>
      <c r="BL1443" t="str">
        <f>""</f>
        <v/>
      </c>
      <c r="BM1443" t="str">
        <f>"NÃO É VARILUX ESPECIALISTA"</f>
        <v>NÃO É VARILUX ESPECIALISTA</v>
      </c>
      <c r="BN1443" t="str">
        <f>"NA"</f>
        <v>NA</v>
      </c>
      <c r="BO1443" t="str">
        <f>"FOCO KODAK 2"</f>
        <v>FOCO KODAK 2</v>
      </c>
      <c r="BP1443" t="str">
        <f>""</f>
        <v/>
      </c>
      <c r="BQ1443" t="str">
        <f>""</f>
        <v/>
      </c>
      <c r="BR1443" t="str">
        <f>"01/07/2021"</f>
        <v>01/07/2021</v>
      </c>
      <c r="BS1443" t="str">
        <f>"28/04/2022"</f>
        <v>28/04/2022</v>
      </c>
      <c r="BT1443" t="str">
        <f>""</f>
        <v/>
      </c>
      <c r="BU1443" t="str">
        <f>""</f>
        <v/>
      </c>
      <c r="BV1443" t="str">
        <f>""</f>
        <v/>
      </c>
      <c r="BW1443" t="str">
        <f>"662"</f>
        <v>662</v>
      </c>
    </row>
    <row r="1444" spans="1:75" x14ac:dyDescent="0.35">
      <c r="A1444">
        <v>157114</v>
      </c>
      <c r="B1444" t="str">
        <f t="shared" si="712"/>
        <v>A</v>
      </c>
      <c r="C1444" t="str">
        <f t="shared" si="713"/>
        <v>80</v>
      </c>
      <c r="D1444" t="str">
        <f t="shared" si="706"/>
        <v>11121004</v>
      </c>
      <c r="E1444" t="str">
        <f t="shared" si="707"/>
        <v>121004</v>
      </c>
      <c r="F1444" t="str">
        <f t="shared" si="708"/>
        <v>FABIANA GODOY</v>
      </c>
      <c r="G1444" t="str">
        <f>"43940890000124"</f>
        <v>43940890000124</v>
      </c>
      <c r="H1444" t="str">
        <f t="shared" si="724"/>
        <v>0</v>
      </c>
      <c r="I1444" t="str">
        <f t="shared" si="714"/>
        <v>CONTA OPTICA</v>
      </c>
      <c r="J1444" t="str">
        <f>"LIRIOS COMERCIO DE ARTIGOS OPTICOS LTDA"</f>
        <v>LIRIOS COMERCIO DE ARTIGOS OPTICOS LTDA</v>
      </c>
      <c r="K1444" t="str">
        <f>"MERCADAO DOS OCULOS (4413)"</f>
        <v>MERCADAO DOS OCULOS (4413)</v>
      </c>
      <c r="L1444" t="str">
        <f>""</f>
        <v/>
      </c>
      <c r="M1444" t="str">
        <f>""</f>
        <v/>
      </c>
      <c r="N1444" t="str">
        <f>"SC-BARRAVELHA@MERCADAODOSOCULOS.COM.BR"</f>
        <v>SC-BARRAVELHA@MERCADAODOSOCULOS.COM.BR</v>
      </c>
      <c r="O1444" t="str">
        <f>""</f>
        <v/>
      </c>
      <c r="P1444" t="str">
        <f>"PREFEITO ADEMAR JOSE DOS PASSOS"</f>
        <v>PREFEITO ADEMAR JOSE DOS PASSOS</v>
      </c>
      <c r="Q1444" t="str">
        <f>"133"</f>
        <v>133</v>
      </c>
      <c r="R1444" t="str">
        <f>"SALA 02"</f>
        <v>SALA 02</v>
      </c>
      <c r="S1444" t="str">
        <f>"1263"</f>
        <v>1263</v>
      </c>
      <c r="T1444" t="str">
        <f>"88390000"</f>
        <v>88390000</v>
      </c>
      <c r="U1444" t="str">
        <f>"CENTRO"</f>
        <v>CENTRO</v>
      </c>
      <c r="V1444" t="str">
        <f>"BARRA VELHA"</f>
        <v>BARRA VELHA</v>
      </c>
      <c r="W1444" t="str">
        <f t="shared" si="705"/>
        <v>SC</v>
      </c>
      <c r="X1444" t="str">
        <f t="shared" si="736"/>
        <v>47</v>
      </c>
      <c r="Y1444" t="str">
        <f>"996620533"</f>
        <v>996620533</v>
      </c>
      <c r="Z1444" t="str">
        <f>""</f>
        <v/>
      </c>
      <c r="AA1444" t="str">
        <f>""</f>
        <v/>
      </c>
      <c r="AB1444" t="str">
        <f>""</f>
        <v/>
      </c>
      <c r="AC1444" t="str">
        <f>""</f>
        <v/>
      </c>
      <c r="AD1444" t="str">
        <f>""</f>
        <v/>
      </c>
      <c r="AE1444" t="str">
        <f>""</f>
        <v/>
      </c>
      <c r="AF1444" t="str">
        <f>""</f>
        <v/>
      </c>
      <c r="AG1444" t="str">
        <f>""</f>
        <v/>
      </c>
      <c r="AH1444" t="str">
        <f>""</f>
        <v/>
      </c>
      <c r="AI1444" t="str">
        <f>""</f>
        <v/>
      </c>
      <c r="AJ1444" t="str">
        <f>""</f>
        <v/>
      </c>
      <c r="AK1444" t="str">
        <f>""</f>
        <v/>
      </c>
      <c r="AL1444" t="str">
        <f>""</f>
        <v/>
      </c>
      <c r="AM1444" t="str">
        <f>""</f>
        <v/>
      </c>
      <c r="AN1444" t="str">
        <f>""</f>
        <v/>
      </c>
      <c r="AO1444" t="str">
        <f>""</f>
        <v/>
      </c>
      <c r="AP1444" t="str">
        <f>""</f>
        <v/>
      </c>
      <c r="AQ1444" t="str">
        <f>""</f>
        <v/>
      </c>
      <c r="AR1444" t="str">
        <f>""</f>
        <v/>
      </c>
      <c r="AS1444" t="str">
        <f>""</f>
        <v/>
      </c>
      <c r="AT1444" t="str">
        <f>""</f>
        <v/>
      </c>
      <c r="AU1444" t="str">
        <f>""</f>
        <v/>
      </c>
      <c r="AV1444" t="str">
        <f>""</f>
        <v/>
      </c>
      <c r="AW1444" t="str">
        <f>""</f>
        <v/>
      </c>
      <c r="AX1444" t="str">
        <f>""</f>
        <v/>
      </c>
      <c r="AY1444" t="str">
        <f>""</f>
        <v/>
      </c>
      <c r="AZ1444" t="str">
        <f>""</f>
        <v/>
      </c>
      <c r="BA1444" t="str">
        <f>""</f>
        <v/>
      </c>
      <c r="BB1444" t="str">
        <f>"06/07/2023 12:07:48"</f>
        <v>06/07/2023 12:07:48</v>
      </c>
      <c r="BC1444" t="str">
        <f>""</f>
        <v/>
      </c>
      <c r="BD1444" t="str">
        <f>""</f>
        <v/>
      </c>
      <c r="BE1444" t="str">
        <f>""</f>
        <v/>
      </c>
      <c r="BF1444" t="str">
        <f t="shared" si="716"/>
        <v>A</v>
      </c>
      <c r="BG1444" t="str">
        <f>""</f>
        <v/>
      </c>
      <c r="BH1444" t="str">
        <f>""</f>
        <v/>
      </c>
      <c r="BI1444" t="str">
        <f t="shared" si="731"/>
        <v>EVENTUAL</v>
      </c>
      <c r="BJ1444" t="str">
        <f t="shared" si="718"/>
        <v>1</v>
      </c>
      <c r="BK1444" t="str">
        <f t="shared" si="719"/>
        <v>Farmacia</v>
      </c>
      <c r="BL1444" t="str">
        <f>""</f>
        <v/>
      </c>
      <c r="BM1444" t="str">
        <f>""</f>
        <v/>
      </c>
      <c r="BN1444" t="str">
        <f>""</f>
        <v/>
      </c>
      <c r="BO1444" t="str">
        <f>""</f>
        <v/>
      </c>
      <c r="BP1444" t="str">
        <f>""</f>
        <v/>
      </c>
      <c r="BQ1444" t="str">
        <f>""</f>
        <v/>
      </c>
      <c r="BR1444" t="str">
        <f>"06/07/2023"</f>
        <v>06/07/2023</v>
      </c>
      <c r="BS1444" t="str">
        <f>""</f>
        <v/>
      </c>
      <c r="BT1444" t="str">
        <f>""</f>
        <v/>
      </c>
      <c r="BU1444" t="str">
        <f>""</f>
        <v/>
      </c>
      <c r="BV1444" t="str">
        <f>""</f>
        <v/>
      </c>
      <c r="BW1444" t="str">
        <f>"Não visitado"</f>
        <v>Não visitado</v>
      </c>
    </row>
    <row r="1445" spans="1:75" x14ac:dyDescent="0.35">
      <c r="A1445">
        <v>117458</v>
      </c>
      <c r="B1445" t="str">
        <f t="shared" si="712"/>
        <v>A</v>
      </c>
      <c r="C1445" t="str">
        <f t="shared" si="713"/>
        <v>80</v>
      </c>
      <c r="D1445" t="str">
        <f t="shared" si="706"/>
        <v>11121004</v>
      </c>
      <c r="E1445" t="str">
        <f t="shared" si="707"/>
        <v>121004</v>
      </c>
      <c r="F1445" t="str">
        <f t="shared" si="708"/>
        <v>FABIANA GODOY</v>
      </c>
      <c r="G1445" t="str">
        <f>"07525566000186"</f>
        <v>07525566000186</v>
      </c>
      <c r="H1445" t="str">
        <f t="shared" si="724"/>
        <v>0</v>
      </c>
      <c r="I1445" t="str">
        <f t="shared" si="714"/>
        <v>CONTA OPTICA</v>
      </c>
      <c r="J1445" t="str">
        <f>"LIZA LOPES CORREA SPINOSA EPP"</f>
        <v>LIZA LOPES CORREA SPINOSA EPP</v>
      </c>
      <c r="K1445" t="str">
        <f>"OTICA LIBERTY (845)"</f>
        <v>OTICA LIBERTY (845)</v>
      </c>
      <c r="L1445" t="str">
        <f>""</f>
        <v/>
      </c>
      <c r="M1445" t="str">
        <f>""</f>
        <v/>
      </c>
      <c r="N1445" t="str">
        <f>"libertyotica@hotmail.com"</f>
        <v>libertyotica@hotmail.com</v>
      </c>
      <c r="O1445" t="str">
        <f>""</f>
        <v/>
      </c>
      <c r="P1445" t="str">
        <f>"AVENIDA CORONEL MARCOS KONDER"</f>
        <v>AVENIDA CORONEL MARCOS KONDER</v>
      </c>
      <c r="Q1445" t="str">
        <f>"1313"</f>
        <v>1313</v>
      </c>
      <c r="R1445" t="str">
        <f>"SALA 03 - 05"</f>
        <v>SALA 03 - 05</v>
      </c>
      <c r="S1445" t="str">
        <f>"1261"</f>
        <v>1261</v>
      </c>
      <c r="T1445" t="str">
        <f>"88301906"</f>
        <v>88301906</v>
      </c>
      <c r="U1445" t="str">
        <f>"FAZENDA"</f>
        <v>FAZENDA</v>
      </c>
      <c r="V1445" t="str">
        <f>"ITAJAI"</f>
        <v>ITAJAI</v>
      </c>
      <c r="W1445" t="str">
        <f t="shared" si="705"/>
        <v>SC</v>
      </c>
      <c r="X1445" t="str">
        <f t="shared" si="736"/>
        <v>47</v>
      </c>
      <c r="Y1445" t="str">
        <f>"33482382"</f>
        <v>33482382</v>
      </c>
      <c r="Z1445" t="str">
        <f>""</f>
        <v/>
      </c>
      <c r="AA1445" t="str">
        <f>""</f>
        <v/>
      </c>
      <c r="AB1445" t="str">
        <f>""</f>
        <v/>
      </c>
      <c r="AC1445" t="str">
        <f>""</f>
        <v/>
      </c>
      <c r="AD1445" t="str">
        <f>""</f>
        <v/>
      </c>
      <c r="AE1445" t="str">
        <f>""</f>
        <v/>
      </c>
      <c r="AF1445" t="str">
        <f>""</f>
        <v/>
      </c>
      <c r="AG1445" t="str">
        <f>"S"</f>
        <v>S</v>
      </c>
      <c r="AH1445" t="str">
        <f>""</f>
        <v/>
      </c>
      <c r="AI1445" t="str">
        <f>""</f>
        <v/>
      </c>
      <c r="AJ1445" t="str">
        <f>"0"</f>
        <v>0</v>
      </c>
      <c r="AK1445" t="str">
        <f>"0"</f>
        <v>0</v>
      </c>
      <c r="AL1445" t="str">
        <f>"0"</f>
        <v>0</v>
      </c>
      <c r="AM1445" t="str">
        <f>""</f>
        <v/>
      </c>
      <c r="AN1445" t="str">
        <f>""</f>
        <v/>
      </c>
      <c r="AO1445" t="str">
        <f>""</f>
        <v/>
      </c>
      <c r="AP1445" t="str">
        <f>""</f>
        <v/>
      </c>
      <c r="AQ1445" t="str">
        <f t="shared" ref="AQ1445:AU1447" si="737">"N"</f>
        <v>N</v>
      </c>
      <c r="AR1445" t="str">
        <f t="shared" si="737"/>
        <v>N</v>
      </c>
      <c r="AS1445" t="str">
        <f t="shared" si="737"/>
        <v>N</v>
      </c>
      <c r="AT1445" t="str">
        <f t="shared" si="737"/>
        <v>N</v>
      </c>
      <c r="AU1445" t="str">
        <f t="shared" si="737"/>
        <v>N</v>
      </c>
      <c r="AV1445" t="str">
        <f>""</f>
        <v/>
      </c>
      <c r="AW1445" t="str">
        <f>""</f>
        <v/>
      </c>
      <c r="AX1445" t="str">
        <f>""</f>
        <v/>
      </c>
      <c r="AY1445" t="str">
        <f>""</f>
        <v/>
      </c>
      <c r="AZ1445" t="str">
        <f>""</f>
        <v/>
      </c>
      <c r="BA1445" t="str">
        <f>""</f>
        <v/>
      </c>
      <c r="BB1445" t="str">
        <f>"22/07/2020 08:24:23"</f>
        <v>22/07/2020 08:24:23</v>
      </c>
      <c r="BC1445" t="str">
        <f>"17/07/2023 16:33:51"</f>
        <v>17/07/2023 16:33:51</v>
      </c>
      <c r="BD1445" t="str">
        <f>""</f>
        <v/>
      </c>
      <c r="BE1445" t="str">
        <f>""</f>
        <v/>
      </c>
      <c r="BF1445" t="str">
        <f t="shared" si="716"/>
        <v>A</v>
      </c>
      <c r="BG1445" t="str">
        <f>"0,00"</f>
        <v>0,00</v>
      </c>
      <c r="BH1445" t="str">
        <f>"0,00"</f>
        <v>0,00</v>
      </c>
      <c r="BI1445" t="str">
        <f>"MENSAL"</f>
        <v>MENSAL</v>
      </c>
      <c r="BJ1445" t="str">
        <f t="shared" si="718"/>
        <v>1</v>
      </c>
      <c r="BK1445" t="str">
        <f t="shared" si="719"/>
        <v>Farmacia</v>
      </c>
      <c r="BL1445" t="str">
        <f>""</f>
        <v/>
      </c>
      <c r="BM1445" t="str">
        <f>"VARILUX ESPECIALISTA SELECT"</f>
        <v>VARILUX ESPECIALISTA SELECT</v>
      </c>
      <c r="BN1445" t="str">
        <f>""</f>
        <v/>
      </c>
      <c r="BO1445" t="str">
        <f>"FOCO VARILUX DIGITAL"</f>
        <v>FOCO VARILUX DIGITAL</v>
      </c>
      <c r="BP1445" t="str">
        <f>""</f>
        <v/>
      </c>
      <c r="BQ1445" t="str">
        <f>""</f>
        <v/>
      </c>
      <c r="BR1445" t="str">
        <f>"22/07/2020"</f>
        <v>22/07/2020</v>
      </c>
      <c r="BS1445" t="str">
        <f>"17/07/2023"</f>
        <v>17/07/2023</v>
      </c>
      <c r="BT1445" t="str">
        <f>""</f>
        <v/>
      </c>
      <c r="BU1445" t="str">
        <f>""</f>
        <v/>
      </c>
      <c r="BV1445" t="str">
        <f>"1"</f>
        <v>1</v>
      </c>
      <c r="BW1445" t="str">
        <f>"4"</f>
        <v>4</v>
      </c>
    </row>
    <row r="1446" spans="1:75" x14ac:dyDescent="0.35">
      <c r="A1446">
        <v>137679</v>
      </c>
      <c r="B1446" t="str">
        <f t="shared" si="712"/>
        <v>A</v>
      </c>
      <c r="C1446" t="str">
        <f t="shared" si="713"/>
        <v>80</v>
      </c>
      <c r="D1446" t="str">
        <f t="shared" si="706"/>
        <v>11121004</v>
      </c>
      <c r="E1446" t="str">
        <f t="shared" si="707"/>
        <v>121004</v>
      </c>
      <c r="F1446" t="str">
        <f t="shared" si="708"/>
        <v>FABIANA GODOY</v>
      </c>
      <c r="G1446" t="str">
        <f>"22301208000183"</f>
        <v>22301208000183</v>
      </c>
      <c r="H1446" t="str">
        <f t="shared" si="724"/>
        <v>0</v>
      </c>
      <c r="I1446" t="str">
        <f t="shared" si="714"/>
        <v>CONTA OPTICA</v>
      </c>
      <c r="J1446" t="str">
        <f>"LOAN OPTICA E JOALHERIA LTDA"</f>
        <v>LOAN OPTICA E JOALHERIA LTDA</v>
      </c>
      <c r="K1446" t="str">
        <f>"LOAN OPTICA E JOALHERIA (4229)"</f>
        <v>LOAN OPTICA E JOALHERIA (4229)</v>
      </c>
      <c r="L1446" t="str">
        <f>""</f>
        <v/>
      </c>
      <c r="M1446" t="str">
        <f>""</f>
        <v/>
      </c>
      <c r="N1446" t="str">
        <f>"rose.tessarolo25@gmail.com"</f>
        <v>rose.tessarolo25@gmail.com</v>
      </c>
      <c r="O1446" t="str">
        <f>""</f>
        <v/>
      </c>
      <c r="P1446" t="str">
        <f>"RUA BARAO DO RIO BRANCO"</f>
        <v>RUA BARAO DO RIO BRANCO</v>
      </c>
      <c r="Q1446" t="str">
        <f>"2118"</f>
        <v>2118</v>
      </c>
      <c r="R1446" t="str">
        <f>"SALA 03"</f>
        <v>SALA 03</v>
      </c>
      <c r="S1446" t="str">
        <f>"1275"</f>
        <v>1275</v>
      </c>
      <c r="T1446" t="str">
        <f>"89136000"</f>
        <v>89136000</v>
      </c>
      <c r="U1446" t="str">
        <f>"GAVEA"</f>
        <v>GAVEA</v>
      </c>
      <c r="V1446" t="str">
        <f>"RODEIO"</f>
        <v>RODEIO</v>
      </c>
      <c r="W1446" t="str">
        <f t="shared" si="705"/>
        <v>SC</v>
      </c>
      <c r="X1446" t="str">
        <f t="shared" si="736"/>
        <v>47</v>
      </c>
      <c r="Y1446" t="str">
        <f>"33334933"</f>
        <v>33334933</v>
      </c>
      <c r="Z1446" t="str">
        <f>""</f>
        <v/>
      </c>
      <c r="AA1446" t="str">
        <f>""</f>
        <v/>
      </c>
      <c r="AB1446" t="str">
        <f>""</f>
        <v/>
      </c>
      <c r="AC1446" t="str">
        <f>""</f>
        <v/>
      </c>
      <c r="AD1446" t="str">
        <f>""</f>
        <v/>
      </c>
      <c r="AE1446" t="str">
        <f>""</f>
        <v/>
      </c>
      <c r="AF1446" t="str">
        <f>""</f>
        <v/>
      </c>
      <c r="AG1446" t="str">
        <f>"S"</f>
        <v>S</v>
      </c>
      <c r="AH1446" t="str">
        <f>""</f>
        <v/>
      </c>
      <c r="AI1446" t="str">
        <f>""</f>
        <v/>
      </c>
      <c r="AJ1446" t="str">
        <f>""</f>
        <v/>
      </c>
      <c r="AK1446" t="str">
        <f>""</f>
        <v/>
      </c>
      <c r="AL1446" t="str">
        <f>""</f>
        <v/>
      </c>
      <c r="AM1446" t="str">
        <f>""</f>
        <v/>
      </c>
      <c r="AN1446" t="str">
        <f>""</f>
        <v/>
      </c>
      <c r="AO1446" t="str">
        <f>""</f>
        <v/>
      </c>
      <c r="AP1446" t="str">
        <f>""</f>
        <v/>
      </c>
      <c r="AQ1446" t="str">
        <f t="shared" si="737"/>
        <v>N</v>
      </c>
      <c r="AR1446" t="str">
        <f t="shared" si="737"/>
        <v>N</v>
      </c>
      <c r="AS1446" t="str">
        <f t="shared" si="737"/>
        <v>N</v>
      </c>
      <c r="AT1446" t="str">
        <f t="shared" si="737"/>
        <v>N</v>
      </c>
      <c r="AU1446" t="str">
        <f t="shared" si="737"/>
        <v>N</v>
      </c>
      <c r="AV1446" t="str">
        <f>""</f>
        <v/>
      </c>
      <c r="AW1446" t="str">
        <f>""</f>
        <v/>
      </c>
      <c r="AX1446" t="str">
        <f>""</f>
        <v/>
      </c>
      <c r="AY1446" t="str">
        <f>""</f>
        <v/>
      </c>
      <c r="AZ1446" t="str">
        <f>""</f>
        <v/>
      </c>
      <c r="BA1446" t="str">
        <f>""</f>
        <v/>
      </c>
      <c r="BB1446" t="str">
        <f>"01/07/2021 13:53:04"</f>
        <v>01/07/2021 13:53:04</v>
      </c>
      <c r="BC1446" t="str">
        <f>"26/10/2022 11:28:26"</f>
        <v>26/10/2022 11:28:26</v>
      </c>
      <c r="BD1446" t="str">
        <f>""</f>
        <v/>
      </c>
      <c r="BE1446" t="str">
        <f>""</f>
        <v/>
      </c>
      <c r="BF1446" t="str">
        <f t="shared" si="716"/>
        <v>A</v>
      </c>
      <c r="BG1446" t="str">
        <f>""</f>
        <v/>
      </c>
      <c r="BH1446" t="str">
        <f t="shared" ref="BH1446:BH1451" si="738">"0,00"</f>
        <v>0,00</v>
      </c>
      <c r="BI1446" t="str">
        <f>"EVENTUAL"</f>
        <v>EVENTUAL</v>
      </c>
      <c r="BJ1446" t="str">
        <f t="shared" si="718"/>
        <v>1</v>
      </c>
      <c r="BK1446" t="str">
        <f t="shared" si="719"/>
        <v>Farmacia</v>
      </c>
      <c r="BL1446" t="str">
        <f>""</f>
        <v/>
      </c>
      <c r="BM1446" t="str">
        <f>"NÃO É VARILUX ESPECIALISTA"</f>
        <v>NÃO É VARILUX ESPECIALISTA</v>
      </c>
      <c r="BN1446" t="str">
        <f t="shared" ref="BN1446:BN1451" si="739">"NA"</f>
        <v>NA</v>
      </c>
      <c r="BO1446" t="str">
        <f>"OUTROS"</f>
        <v>OUTROS</v>
      </c>
      <c r="BP1446" t="str">
        <f>""</f>
        <v/>
      </c>
      <c r="BQ1446" t="str">
        <f>""</f>
        <v/>
      </c>
      <c r="BR1446" t="str">
        <f>"01/07/2021"</f>
        <v>01/07/2021</v>
      </c>
      <c r="BS1446" t="str">
        <f>"26/10/2022"</f>
        <v>26/10/2022</v>
      </c>
      <c r="BT1446" t="str">
        <f>""</f>
        <v/>
      </c>
      <c r="BU1446" t="str">
        <f>""</f>
        <v/>
      </c>
      <c r="BV1446" t="str">
        <f>""</f>
        <v/>
      </c>
      <c r="BW1446" t="str">
        <f>"394"</f>
        <v>394</v>
      </c>
    </row>
    <row r="1447" spans="1:75" x14ac:dyDescent="0.35">
      <c r="A1447">
        <v>137680</v>
      </c>
      <c r="B1447" t="str">
        <f t="shared" si="712"/>
        <v>A</v>
      </c>
      <c r="C1447" t="str">
        <f t="shared" si="713"/>
        <v>80</v>
      </c>
      <c r="D1447" t="str">
        <f t="shared" si="706"/>
        <v>11121004</v>
      </c>
      <c r="E1447" t="str">
        <f t="shared" si="707"/>
        <v>121004</v>
      </c>
      <c r="F1447" t="str">
        <f t="shared" si="708"/>
        <v>FABIANA GODOY</v>
      </c>
      <c r="G1447" t="str">
        <f>"81633257000182"</f>
        <v>81633257000182</v>
      </c>
      <c r="H1447" t="str">
        <f t="shared" si="724"/>
        <v>0</v>
      </c>
      <c r="I1447" t="str">
        <f t="shared" si="714"/>
        <v>CONTA OPTICA</v>
      </c>
      <c r="J1447" t="str">
        <f>"LOCH JOALHEIROS E OTICA LTDA"</f>
        <v>LOCH JOALHEIROS E OTICA LTDA</v>
      </c>
      <c r="K1447" t="str">
        <f>"LOCH JOALHEIROS E OTICA LTDA (214)"</f>
        <v>LOCH JOALHEIROS E OTICA LTDA (214)</v>
      </c>
      <c r="L1447" t="str">
        <f>""</f>
        <v/>
      </c>
      <c r="M1447" t="str">
        <f>""</f>
        <v/>
      </c>
      <c r="N1447" t="str">
        <f>"s.loch@terra.com.br"</f>
        <v>s.loch@terra.com.br</v>
      </c>
      <c r="O1447" t="str">
        <f>""</f>
        <v/>
      </c>
      <c r="P1447" t="str">
        <f>"AVENIDA NEREU RAMOS"</f>
        <v>AVENIDA NEREU RAMOS</v>
      </c>
      <c r="Q1447" t="str">
        <f>"3355"</f>
        <v>3355</v>
      </c>
      <c r="R1447" t="str">
        <f>"SL 05"</f>
        <v>SL 05</v>
      </c>
      <c r="S1447" t="str">
        <f>"1260"</f>
        <v>1260</v>
      </c>
      <c r="T1447" t="str">
        <f>"88220000"</f>
        <v>88220000</v>
      </c>
      <c r="U1447" t="str">
        <f>"MEIA PRAIA"</f>
        <v>MEIA PRAIA</v>
      </c>
      <c r="V1447" t="str">
        <f>"ITAPEMA"</f>
        <v>ITAPEMA</v>
      </c>
      <c r="W1447" t="str">
        <f t="shared" si="705"/>
        <v>SC</v>
      </c>
      <c r="X1447" t="str">
        <f t="shared" si="736"/>
        <v>47</v>
      </c>
      <c r="Y1447" t="str">
        <f>"33682844"</f>
        <v>33682844</v>
      </c>
      <c r="Z1447" t="str">
        <f>""</f>
        <v/>
      </c>
      <c r="AA1447" t="str">
        <f>""</f>
        <v/>
      </c>
      <c r="AB1447" t="str">
        <f>""</f>
        <v/>
      </c>
      <c r="AC1447" t="str">
        <f>""</f>
        <v/>
      </c>
      <c r="AD1447" t="str">
        <f>""</f>
        <v/>
      </c>
      <c r="AE1447" t="str">
        <f>""</f>
        <v/>
      </c>
      <c r="AF1447" t="str">
        <f>""</f>
        <v/>
      </c>
      <c r="AG1447" t="str">
        <f>"S"</f>
        <v>S</v>
      </c>
      <c r="AH1447" t="str">
        <f>""</f>
        <v/>
      </c>
      <c r="AI1447" t="str">
        <f>""</f>
        <v/>
      </c>
      <c r="AJ1447" t="str">
        <f>""</f>
        <v/>
      </c>
      <c r="AK1447" t="str">
        <f>""</f>
        <v/>
      </c>
      <c r="AL1447" t="str">
        <f>""</f>
        <v/>
      </c>
      <c r="AM1447" t="str">
        <f>""</f>
        <v/>
      </c>
      <c r="AN1447" t="str">
        <f>""</f>
        <v/>
      </c>
      <c r="AO1447" t="str">
        <f>""</f>
        <v/>
      </c>
      <c r="AP1447" t="str">
        <f>""</f>
        <v/>
      </c>
      <c r="AQ1447" t="str">
        <f t="shared" si="737"/>
        <v>N</v>
      </c>
      <c r="AR1447" t="str">
        <f t="shared" si="737"/>
        <v>N</v>
      </c>
      <c r="AS1447" t="str">
        <f t="shared" si="737"/>
        <v>N</v>
      </c>
      <c r="AT1447" t="str">
        <f t="shared" si="737"/>
        <v>N</v>
      </c>
      <c r="AU1447" t="str">
        <f t="shared" si="737"/>
        <v>N</v>
      </c>
      <c r="AV1447" t="str">
        <f>""</f>
        <v/>
      </c>
      <c r="AW1447" t="str">
        <f>""</f>
        <v/>
      </c>
      <c r="AX1447" t="str">
        <f>""</f>
        <v/>
      </c>
      <c r="AY1447" t="str">
        <f>""</f>
        <v/>
      </c>
      <c r="AZ1447" t="str">
        <f>""</f>
        <v/>
      </c>
      <c r="BA1447" t="str">
        <f>""</f>
        <v/>
      </c>
      <c r="BB1447" t="str">
        <f>"01/07/2021 13:53:04"</f>
        <v>01/07/2021 13:53:04</v>
      </c>
      <c r="BC1447" t="str">
        <f>"14/07/2023 16:14:07"</f>
        <v>14/07/2023 16:14:07</v>
      </c>
      <c r="BD1447" t="str">
        <f>""</f>
        <v/>
      </c>
      <c r="BE1447" t="str">
        <f>""</f>
        <v/>
      </c>
      <c r="BF1447" t="str">
        <f t="shared" si="716"/>
        <v>A</v>
      </c>
      <c r="BG1447" t="str">
        <f>""</f>
        <v/>
      </c>
      <c r="BH1447" t="str">
        <f t="shared" si="738"/>
        <v>0,00</v>
      </c>
      <c r="BI1447" t="str">
        <f>"MENSAL"</f>
        <v>MENSAL</v>
      </c>
      <c r="BJ1447" t="str">
        <f t="shared" si="718"/>
        <v>1</v>
      </c>
      <c r="BK1447" t="str">
        <f t="shared" si="719"/>
        <v>Farmacia</v>
      </c>
      <c r="BL1447" t="str">
        <f>""</f>
        <v/>
      </c>
      <c r="BM1447" t="str">
        <f>"VARILUX ESPECIALISTA SELECT"</f>
        <v>VARILUX ESPECIALISTA SELECT</v>
      </c>
      <c r="BN1447" t="str">
        <f t="shared" si="739"/>
        <v>NA</v>
      </c>
      <c r="BO1447" t="str">
        <f>"FOCO VARILUX DIGITAL"</f>
        <v>FOCO VARILUX DIGITAL</v>
      </c>
      <c r="BP1447" t="str">
        <f>""</f>
        <v/>
      </c>
      <c r="BQ1447" t="str">
        <f>""</f>
        <v/>
      </c>
      <c r="BR1447" t="str">
        <f>"01/07/2021"</f>
        <v>01/07/2021</v>
      </c>
      <c r="BS1447" t="str">
        <f>"14/07/2023"</f>
        <v>14/07/2023</v>
      </c>
      <c r="BT1447" t="str">
        <f>""</f>
        <v/>
      </c>
      <c r="BU1447" t="str">
        <f>""</f>
        <v/>
      </c>
      <c r="BV1447" t="str">
        <f>""</f>
        <v/>
      </c>
      <c r="BW1447" t="str">
        <f>"0"</f>
        <v>0</v>
      </c>
    </row>
    <row r="1448" spans="1:75" x14ac:dyDescent="0.35">
      <c r="A1448">
        <v>1283</v>
      </c>
      <c r="B1448" t="str">
        <f t="shared" si="712"/>
        <v>A</v>
      </c>
      <c r="C1448" t="str">
        <f t="shared" si="713"/>
        <v>80</v>
      </c>
      <c r="D1448" t="str">
        <f t="shared" si="706"/>
        <v>11121004</v>
      </c>
      <c r="E1448" t="str">
        <f t="shared" si="707"/>
        <v>121004</v>
      </c>
      <c r="F1448" t="str">
        <f t="shared" si="708"/>
        <v>FABIANA GODOY</v>
      </c>
      <c r="G1448" t="str">
        <f>"05862049000177"</f>
        <v>05862049000177</v>
      </c>
      <c r="H1448" t="str">
        <f>""</f>
        <v/>
      </c>
      <c r="I1448" t="str">
        <f t="shared" si="714"/>
        <v>CONTA OPTICA</v>
      </c>
      <c r="J1448" t="str">
        <f>"LOOK OPTICA LTDA"</f>
        <v>LOOK OPTICA LTDA</v>
      </c>
      <c r="K1448" t="str">
        <f>"LOOK OPTICA (1419)"</f>
        <v>LOOK OPTICA (1419)</v>
      </c>
      <c r="L1448" t="str">
        <f>""</f>
        <v/>
      </c>
      <c r="M1448" t="str">
        <f>""</f>
        <v/>
      </c>
      <c r="N1448" t="str">
        <f>"jameslookoptica@gmail.com"</f>
        <v>jameslookoptica@gmail.com</v>
      </c>
      <c r="O1448" t="str">
        <f>""</f>
        <v/>
      </c>
      <c r="P1448" t="str">
        <f>"RUA QUINZE DE NOVEMBRO"</f>
        <v>RUA QUINZE DE NOVEMBRO</v>
      </c>
      <c r="Q1448" t="str">
        <f>"971"</f>
        <v>971</v>
      </c>
      <c r="R1448" t="str">
        <f>""</f>
        <v/>
      </c>
      <c r="S1448" t="str">
        <f>"1271"</f>
        <v>1271</v>
      </c>
      <c r="T1448" t="str">
        <f>"89010003"</f>
        <v>89010003</v>
      </c>
      <c r="U1448" t="str">
        <f>"CENTRO"</f>
        <v>CENTRO</v>
      </c>
      <c r="V1448" t="str">
        <f>"BLUMENAU"</f>
        <v>BLUMENAU</v>
      </c>
      <c r="W1448" t="str">
        <f t="shared" si="705"/>
        <v>SC</v>
      </c>
      <c r="X1448" t="str">
        <f t="shared" si="736"/>
        <v>47</v>
      </c>
      <c r="Y1448" t="str">
        <f>"30419713"</f>
        <v>30419713</v>
      </c>
      <c r="Z1448" t="str">
        <f>""</f>
        <v/>
      </c>
      <c r="AA1448" t="str">
        <f>""</f>
        <v/>
      </c>
      <c r="AB1448" t="str">
        <f>""</f>
        <v/>
      </c>
      <c r="AC1448" t="str">
        <f>""</f>
        <v/>
      </c>
      <c r="AD1448" t="str">
        <f>""</f>
        <v/>
      </c>
      <c r="AE1448" t="str">
        <f>""</f>
        <v/>
      </c>
      <c r="AF1448" t="str">
        <f>""</f>
        <v/>
      </c>
      <c r="AG1448" t="str">
        <f>""</f>
        <v/>
      </c>
      <c r="AH1448" t="str">
        <f>""</f>
        <v/>
      </c>
      <c r="AI1448" t="str">
        <f>""</f>
        <v/>
      </c>
      <c r="AJ1448" t="str">
        <f t="shared" ref="AJ1448:AL1449" si="740">"0"</f>
        <v>0</v>
      </c>
      <c r="AK1448" t="str">
        <f t="shared" si="740"/>
        <v>0</v>
      </c>
      <c r="AL1448" t="str">
        <f t="shared" si="740"/>
        <v>0</v>
      </c>
      <c r="AM1448" t="str">
        <f>""</f>
        <v/>
      </c>
      <c r="AN1448" t="str">
        <f>""</f>
        <v/>
      </c>
      <c r="AO1448" t="str">
        <f>""</f>
        <v/>
      </c>
      <c r="AP1448" t="str">
        <f>""</f>
        <v/>
      </c>
      <c r="AQ1448" t="str">
        <f>""</f>
        <v/>
      </c>
      <c r="AR1448" t="str">
        <f>""</f>
        <v/>
      </c>
      <c r="AS1448" t="str">
        <f>""</f>
        <v/>
      </c>
      <c r="AT1448" t="str">
        <f>""</f>
        <v/>
      </c>
      <c r="AU1448" t="str">
        <f>""</f>
        <v/>
      </c>
      <c r="AV1448" t="str">
        <f>""</f>
        <v/>
      </c>
      <c r="AW1448" t="str">
        <f>""</f>
        <v/>
      </c>
      <c r="AX1448" t="str">
        <f>""</f>
        <v/>
      </c>
      <c r="AY1448" t="str">
        <f>""</f>
        <v/>
      </c>
      <c r="AZ1448" t="str">
        <f>""</f>
        <v/>
      </c>
      <c r="BA1448" t="str">
        <f>""</f>
        <v/>
      </c>
      <c r="BB1448" t="str">
        <f>"27/07/2018 09:26:13"</f>
        <v>27/07/2018 09:26:13</v>
      </c>
      <c r="BC1448" t="str">
        <f>""</f>
        <v/>
      </c>
      <c r="BD1448" t="str">
        <f>""</f>
        <v/>
      </c>
      <c r="BE1448" t="str">
        <f>"1283"</f>
        <v>1283</v>
      </c>
      <c r="BF1448" t="str">
        <f t="shared" si="716"/>
        <v>A</v>
      </c>
      <c r="BG1448" t="str">
        <f>"0,00"</f>
        <v>0,00</v>
      </c>
      <c r="BH1448" t="str">
        <f t="shared" si="738"/>
        <v>0,00</v>
      </c>
      <c r="BI1448" t="str">
        <f t="shared" ref="BI1448:BI1460" si="741">"EVENTUAL"</f>
        <v>EVENTUAL</v>
      </c>
      <c r="BJ1448" t="str">
        <f t="shared" si="718"/>
        <v>1</v>
      </c>
      <c r="BK1448" t="str">
        <f t="shared" si="719"/>
        <v>Farmacia</v>
      </c>
      <c r="BL1448" t="str">
        <f>""</f>
        <v/>
      </c>
      <c r="BM1448" t="str">
        <f>"VARILUX ESPECIALISTA PLATINE"</f>
        <v>VARILUX ESPECIALISTA PLATINE</v>
      </c>
      <c r="BN1448" t="str">
        <f t="shared" si="739"/>
        <v>NA</v>
      </c>
      <c r="BO1448" t="str">
        <f>"FOCO VARILUX DIGITAL"</f>
        <v>FOCO VARILUX DIGITAL</v>
      </c>
      <c r="BP1448" t="str">
        <f>""</f>
        <v/>
      </c>
      <c r="BQ1448" t="str">
        <f>""</f>
        <v/>
      </c>
      <c r="BR1448" t="str">
        <f>"27/07/2018"</f>
        <v>27/07/2018</v>
      </c>
      <c r="BS1448" t="str">
        <f>""</f>
        <v/>
      </c>
      <c r="BT1448" t="str">
        <f>""</f>
        <v/>
      </c>
      <c r="BU1448" t="str">
        <f>""</f>
        <v/>
      </c>
      <c r="BV1448" t="str">
        <f>"1"</f>
        <v>1</v>
      </c>
      <c r="BW1448" t="str">
        <f>"1"</f>
        <v>1</v>
      </c>
    </row>
    <row r="1449" spans="1:75" x14ac:dyDescent="0.35">
      <c r="A1449">
        <v>1248</v>
      </c>
      <c r="B1449" t="str">
        <f t="shared" si="712"/>
        <v>A</v>
      </c>
      <c r="C1449" t="str">
        <f t="shared" si="713"/>
        <v>80</v>
      </c>
      <c r="D1449" t="str">
        <f t="shared" si="706"/>
        <v>11121004</v>
      </c>
      <c r="E1449" t="str">
        <f t="shared" si="707"/>
        <v>121004</v>
      </c>
      <c r="F1449" t="str">
        <f t="shared" si="708"/>
        <v>FABIANA GODOY</v>
      </c>
      <c r="G1449" t="str">
        <f>"02487410000134"</f>
        <v>02487410000134</v>
      </c>
      <c r="H1449" t="str">
        <f>""</f>
        <v/>
      </c>
      <c r="I1449" t="str">
        <f t="shared" si="714"/>
        <v>CONTA OPTICA</v>
      </c>
      <c r="J1449" t="str">
        <f>"LSL RELOJOARIA LTDA"</f>
        <v>LSL RELOJOARIA LTDA</v>
      </c>
      <c r="K1449" t="str">
        <f>"RELOJOARIA PONTUAL (2106)"</f>
        <v>RELOJOARIA PONTUAL (2106)</v>
      </c>
      <c r="L1449" t="str">
        <f>""</f>
        <v/>
      </c>
      <c r="M1449" t="str">
        <f>""</f>
        <v/>
      </c>
      <c r="N1449" t="str">
        <f>"relojoariapontual@hotmail.com"</f>
        <v>relojoariapontual@hotmail.com</v>
      </c>
      <c r="O1449" t="str">
        <f>""</f>
        <v/>
      </c>
      <c r="P1449" t="str">
        <f>"RUA CORONEL FEDDERSEN"</f>
        <v>RUA CORONEL FEDDERSEN</v>
      </c>
      <c r="Q1449" t="str">
        <f>"2297"</f>
        <v>2297</v>
      </c>
      <c r="R1449" t="str">
        <f>""</f>
        <v/>
      </c>
      <c r="S1449" t="str">
        <f>"1276"</f>
        <v>1276</v>
      </c>
      <c r="T1449" t="str">
        <f>"89190000"</f>
        <v>89190000</v>
      </c>
      <c r="U1449" t="str">
        <f>"CENTRO"</f>
        <v>CENTRO</v>
      </c>
      <c r="V1449" t="str">
        <f>"TAIÓ"</f>
        <v>TAIÓ</v>
      </c>
      <c r="W1449" t="str">
        <f t="shared" si="705"/>
        <v>SC</v>
      </c>
      <c r="X1449" t="str">
        <f t="shared" si="736"/>
        <v>47</v>
      </c>
      <c r="Y1449" t="str">
        <f>"35621131"</f>
        <v>35621131</v>
      </c>
      <c r="Z1449" t="str">
        <f>""</f>
        <v/>
      </c>
      <c r="AA1449" t="str">
        <f>""</f>
        <v/>
      </c>
      <c r="AB1449" t="str">
        <f>""</f>
        <v/>
      </c>
      <c r="AC1449" t="str">
        <f>""</f>
        <v/>
      </c>
      <c r="AD1449" t="str">
        <f>""</f>
        <v/>
      </c>
      <c r="AE1449" t="str">
        <f>""</f>
        <v/>
      </c>
      <c r="AF1449" t="str">
        <f>""</f>
        <v/>
      </c>
      <c r="AG1449" t="str">
        <f>""</f>
        <v/>
      </c>
      <c r="AH1449" t="str">
        <f>""</f>
        <v/>
      </c>
      <c r="AI1449" t="str">
        <f>""</f>
        <v/>
      </c>
      <c r="AJ1449" t="str">
        <f t="shared" si="740"/>
        <v>0</v>
      </c>
      <c r="AK1449" t="str">
        <f t="shared" si="740"/>
        <v>0</v>
      </c>
      <c r="AL1449" t="str">
        <f t="shared" si="740"/>
        <v>0</v>
      </c>
      <c r="AM1449" t="str">
        <f>""</f>
        <v/>
      </c>
      <c r="AN1449" t="str">
        <f>""</f>
        <v/>
      </c>
      <c r="AO1449" t="str">
        <f>""</f>
        <v/>
      </c>
      <c r="AP1449" t="str">
        <f>""</f>
        <v/>
      </c>
      <c r="AQ1449" t="str">
        <f>""</f>
        <v/>
      </c>
      <c r="AR1449" t="str">
        <f>""</f>
        <v/>
      </c>
      <c r="AS1449" t="str">
        <f>""</f>
        <v/>
      </c>
      <c r="AT1449" t="str">
        <f>""</f>
        <v/>
      </c>
      <c r="AU1449" t="str">
        <f>""</f>
        <v/>
      </c>
      <c r="AV1449" t="str">
        <f>""</f>
        <v/>
      </c>
      <c r="AW1449" t="str">
        <f>""</f>
        <v/>
      </c>
      <c r="AX1449" t="str">
        <f>""</f>
        <v/>
      </c>
      <c r="AY1449" t="str">
        <f>""</f>
        <v/>
      </c>
      <c r="AZ1449" t="str">
        <f>""</f>
        <v/>
      </c>
      <c r="BA1449" t="str">
        <f>""</f>
        <v/>
      </c>
      <c r="BB1449" t="str">
        <f>"27/07/2018 09:26:11"</f>
        <v>27/07/2018 09:26:11</v>
      </c>
      <c r="BC1449" t="str">
        <f>""</f>
        <v/>
      </c>
      <c r="BD1449" t="str">
        <f>""</f>
        <v/>
      </c>
      <c r="BE1449" t="str">
        <f>"1248"</f>
        <v>1248</v>
      </c>
      <c r="BF1449" t="str">
        <f t="shared" si="716"/>
        <v>A</v>
      </c>
      <c r="BG1449" t="str">
        <f>"0,00"</f>
        <v>0,00</v>
      </c>
      <c r="BH1449" t="str">
        <f t="shared" si="738"/>
        <v>0,00</v>
      </c>
      <c r="BI1449" t="str">
        <f t="shared" si="741"/>
        <v>EVENTUAL</v>
      </c>
      <c r="BJ1449" t="str">
        <f t="shared" si="718"/>
        <v>1</v>
      </c>
      <c r="BK1449" t="str">
        <f t="shared" si="719"/>
        <v>Farmacia</v>
      </c>
      <c r="BL1449" t="str">
        <f>""</f>
        <v/>
      </c>
      <c r="BM1449" t="str">
        <f>"NÃO É VARILUX ESPECIALISTA"</f>
        <v>NÃO É VARILUX ESPECIALISTA</v>
      </c>
      <c r="BN1449" t="str">
        <f t="shared" si="739"/>
        <v>NA</v>
      </c>
      <c r="BO1449" t="str">
        <f>"OUTROS"</f>
        <v>OUTROS</v>
      </c>
      <c r="BP1449" t="str">
        <f>""</f>
        <v/>
      </c>
      <c r="BQ1449" t="str">
        <f>""</f>
        <v/>
      </c>
      <c r="BR1449" t="str">
        <f>"27/07/2018"</f>
        <v>27/07/2018</v>
      </c>
      <c r="BS1449" t="str">
        <f>""</f>
        <v/>
      </c>
      <c r="BT1449" t="str">
        <f>""</f>
        <v/>
      </c>
      <c r="BU1449" t="str">
        <f>""</f>
        <v/>
      </c>
      <c r="BV1449" t="str">
        <f>"9"</f>
        <v>9</v>
      </c>
      <c r="BW1449" t="str">
        <f>"Não visitado"</f>
        <v>Não visitado</v>
      </c>
    </row>
    <row r="1450" spans="1:75" x14ac:dyDescent="0.35">
      <c r="A1450">
        <v>137684</v>
      </c>
      <c r="B1450" t="str">
        <f t="shared" si="712"/>
        <v>A</v>
      </c>
      <c r="C1450" t="str">
        <f t="shared" si="713"/>
        <v>80</v>
      </c>
      <c r="D1450" t="str">
        <f t="shared" si="706"/>
        <v>11121004</v>
      </c>
      <c r="E1450" t="str">
        <f t="shared" si="707"/>
        <v>121004</v>
      </c>
      <c r="F1450" t="str">
        <f t="shared" si="708"/>
        <v>FABIANA GODOY</v>
      </c>
      <c r="G1450" t="str">
        <f>"33524880000154"</f>
        <v>33524880000154</v>
      </c>
      <c r="H1450" t="str">
        <f t="shared" ref="H1450:H1472" si="742">"0"</f>
        <v>0</v>
      </c>
      <c r="I1450" t="str">
        <f t="shared" si="714"/>
        <v>CONTA OPTICA</v>
      </c>
      <c r="J1450" t="str">
        <f>"LUCIANA ALVAREZ PRODUTOS OPTICOS"</f>
        <v>LUCIANA ALVAREZ PRODUTOS OPTICOS</v>
      </c>
      <c r="K1450" t="str">
        <f>"OTICAS MORAIS (4195)"</f>
        <v>OTICAS MORAIS (4195)</v>
      </c>
      <c r="L1450" t="str">
        <f>""</f>
        <v/>
      </c>
      <c r="M1450" t="str">
        <f>""</f>
        <v/>
      </c>
      <c r="N1450" t="str">
        <f>"oticasmorais1@outlook.com"</f>
        <v>oticasmorais1@outlook.com</v>
      </c>
      <c r="O1450" t="str">
        <f>""</f>
        <v/>
      </c>
      <c r="P1450" t="str">
        <f>"RUA RUA DAS AZALEIAS"</f>
        <v>RUA RUA DAS AZALEIAS</v>
      </c>
      <c r="Q1450" t="str">
        <f>"426"</f>
        <v>426</v>
      </c>
      <c r="R1450" t="str">
        <f>"SALA 03"</f>
        <v>SALA 03</v>
      </c>
      <c r="S1450" t="str">
        <f>""</f>
        <v/>
      </c>
      <c r="T1450" t="str">
        <f>"88308140"</f>
        <v>88308140</v>
      </c>
      <c r="U1450" t="str">
        <f>"CIDADE NOVA"</f>
        <v>CIDADE NOVA</v>
      </c>
      <c r="V1450" t="str">
        <f>"ITAJAÍ"</f>
        <v>ITAJAÍ</v>
      </c>
      <c r="W1450" t="str">
        <f t="shared" si="705"/>
        <v>SC</v>
      </c>
      <c r="X1450" t="str">
        <f t="shared" si="736"/>
        <v>47</v>
      </c>
      <c r="Y1450" t="str">
        <f>"33441837"</f>
        <v>33441837</v>
      </c>
      <c r="Z1450" t="str">
        <f>""</f>
        <v/>
      </c>
      <c r="AA1450" t="str">
        <f>""</f>
        <v/>
      </c>
      <c r="AB1450" t="str">
        <f>""</f>
        <v/>
      </c>
      <c r="AC1450" t="str">
        <f>""</f>
        <v/>
      </c>
      <c r="AD1450" t="str">
        <f>""</f>
        <v/>
      </c>
      <c r="AE1450" t="str">
        <f>""</f>
        <v/>
      </c>
      <c r="AF1450" t="str">
        <f>""</f>
        <v/>
      </c>
      <c r="AG1450" t="str">
        <f>"S"</f>
        <v>S</v>
      </c>
      <c r="AH1450" t="str">
        <f>""</f>
        <v/>
      </c>
      <c r="AI1450" t="str">
        <f>""</f>
        <v/>
      </c>
      <c r="AJ1450" t="str">
        <f>""</f>
        <v/>
      </c>
      <c r="AK1450" t="str">
        <f>""</f>
        <v/>
      </c>
      <c r="AL1450" t="str">
        <f>""</f>
        <v/>
      </c>
      <c r="AM1450" t="str">
        <f>""</f>
        <v/>
      </c>
      <c r="AN1450" t="str">
        <f>""</f>
        <v/>
      </c>
      <c r="AO1450" t="str">
        <f>""</f>
        <v/>
      </c>
      <c r="AP1450" t="str">
        <f>""</f>
        <v/>
      </c>
      <c r="AQ1450" t="str">
        <f t="shared" ref="AQ1450:AU1451" si="743">"N"</f>
        <v>N</v>
      </c>
      <c r="AR1450" t="str">
        <f t="shared" si="743"/>
        <v>N</v>
      </c>
      <c r="AS1450" t="str">
        <f t="shared" si="743"/>
        <v>N</v>
      </c>
      <c r="AT1450" t="str">
        <f t="shared" si="743"/>
        <v>N</v>
      </c>
      <c r="AU1450" t="str">
        <f t="shared" si="743"/>
        <v>N</v>
      </c>
      <c r="AV1450" t="str">
        <f>""</f>
        <v/>
      </c>
      <c r="AW1450" t="str">
        <f>""</f>
        <v/>
      </c>
      <c r="AX1450" t="str">
        <f>""</f>
        <v/>
      </c>
      <c r="AY1450" t="str">
        <f>""</f>
        <v/>
      </c>
      <c r="AZ1450" t="str">
        <f>""</f>
        <v/>
      </c>
      <c r="BA1450" t="str">
        <f>""</f>
        <v/>
      </c>
      <c r="BB1450" t="str">
        <f>"01/07/2021 13:53:04"</f>
        <v>01/07/2021 13:53:04</v>
      </c>
      <c r="BC1450" t="str">
        <f>"20/01/2022 15:19:54"</f>
        <v>20/01/2022 15:19:54</v>
      </c>
      <c r="BD1450" t="str">
        <f>""</f>
        <v/>
      </c>
      <c r="BE1450" t="str">
        <f>""</f>
        <v/>
      </c>
      <c r="BF1450" t="str">
        <f t="shared" si="716"/>
        <v>A</v>
      </c>
      <c r="BG1450" t="str">
        <f>""</f>
        <v/>
      </c>
      <c r="BH1450" t="str">
        <f t="shared" si="738"/>
        <v>0,00</v>
      </c>
      <c r="BI1450" t="str">
        <f t="shared" si="741"/>
        <v>EVENTUAL</v>
      </c>
      <c r="BJ1450" t="str">
        <f t="shared" si="718"/>
        <v>1</v>
      </c>
      <c r="BK1450" t="str">
        <f t="shared" si="719"/>
        <v>Farmacia</v>
      </c>
      <c r="BL1450" t="str">
        <f>""</f>
        <v/>
      </c>
      <c r="BM1450" t="str">
        <f>"NÃO É VARILUX ESPECIALISTA"</f>
        <v>NÃO É VARILUX ESPECIALISTA</v>
      </c>
      <c r="BN1450" t="str">
        <f t="shared" si="739"/>
        <v>NA</v>
      </c>
      <c r="BO1450" t="str">
        <f>"OUTROS"</f>
        <v>OUTROS</v>
      </c>
      <c r="BP1450" t="str">
        <f>""</f>
        <v/>
      </c>
      <c r="BQ1450" t="str">
        <f>""</f>
        <v/>
      </c>
      <c r="BR1450" t="str">
        <f>"01/07/2021"</f>
        <v>01/07/2021</v>
      </c>
      <c r="BS1450" t="str">
        <f>"20/01/2022"</f>
        <v>20/01/2022</v>
      </c>
      <c r="BT1450" t="str">
        <f>""</f>
        <v/>
      </c>
      <c r="BU1450" t="str">
        <f>""</f>
        <v/>
      </c>
      <c r="BV1450" t="str">
        <f>""</f>
        <v/>
      </c>
      <c r="BW1450" t="str">
        <f>"2"</f>
        <v>2</v>
      </c>
    </row>
    <row r="1451" spans="1:75" x14ac:dyDescent="0.35">
      <c r="A1451">
        <v>137686</v>
      </c>
      <c r="B1451" t="str">
        <f t="shared" si="712"/>
        <v>A</v>
      </c>
      <c r="C1451" t="str">
        <f t="shared" si="713"/>
        <v>80</v>
      </c>
      <c r="D1451" t="str">
        <f t="shared" si="706"/>
        <v>11121004</v>
      </c>
      <c r="E1451" t="str">
        <f t="shared" si="707"/>
        <v>121004</v>
      </c>
      <c r="F1451" t="str">
        <f t="shared" si="708"/>
        <v>FABIANA GODOY</v>
      </c>
      <c r="G1451" t="str">
        <f>"37754051000119"</f>
        <v>37754051000119</v>
      </c>
      <c r="H1451" t="str">
        <f t="shared" si="742"/>
        <v>0</v>
      </c>
      <c r="I1451" t="str">
        <f t="shared" si="714"/>
        <v>CONTA OPTICA</v>
      </c>
      <c r="J1451" t="str">
        <f>"LUMA COMERCIO DE ACESSORIOS LTDA"</f>
        <v>LUMA COMERCIO DE ACESSORIOS LTDA</v>
      </c>
      <c r="K1451" t="str">
        <f>"LIVO AVENIDA BRASIL (4171)"</f>
        <v>LIVO AVENIDA BRASIL (4171)</v>
      </c>
      <c r="L1451" t="str">
        <f>""</f>
        <v/>
      </c>
      <c r="M1451" t="str">
        <f>""</f>
        <v/>
      </c>
      <c r="N1451" t="str">
        <f>"lucianemcmarques@gmail.com"</f>
        <v>lucianemcmarques@gmail.com</v>
      </c>
      <c r="O1451" t="str">
        <f>""</f>
        <v/>
      </c>
      <c r="P1451" t="str">
        <f>"AVENIDA BRASIL"</f>
        <v>AVENIDA BRASIL</v>
      </c>
      <c r="Q1451" t="str">
        <f>"1200"</f>
        <v>1200</v>
      </c>
      <c r="R1451" t="str">
        <f>"LOJA 8"</f>
        <v>LOJA 8</v>
      </c>
      <c r="S1451" t="str">
        <f>"1262"</f>
        <v>1262</v>
      </c>
      <c r="T1451" t="str">
        <f>"88330048"</f>
        <v>88330048</v>
      </c>
      <c r="U1451" t="str">
        <f>"CENTRO"</f>
        <v>CENTRO</v>
      </c>
      <c r="V1451" t="str">
        <f>"BALNEÁRIO CAMBORIÚ"</f>
        <v>BALNEÁRIO CAMBORIÚ</v>
      </c>
      <c r="W1451" t="str">
        <f t="shared" si="705"/>
        <v>SC</v>
      </c>
      <c r="X1451" t="str">
        <f t="shared" si="736"/>
        <v>47</v>
      </c>
      <c r="Y1451" t="str">
        <f>"984694865"</f>
        <v>984694865</v>
      </c>
      <c r="Z1451" t="str">
        <f>""</f>
        <v/>
      </c>
      <c r="AA1451" t="str">
        <f>""</f>
        <v/>
      </c>
      <c r="AB1451" t="str">
        <f>""</f>
        <v/>
      </c>
      <c r="AC1451" t="str">
        <f>""</f>
        <v/>
      </c>
      <c r="AD1451" t="str">
        <f>""</f>
        <v/>
      </c>
      <c r="AE1451" t="str">
        <f>""</f>
        <v/>
      </c>
      <c r="AF1451" t="str">
        <f>""</f>
        <v/>
      </c>
      <c r="AG1451" t="str">
        <f>"S"</f>
        <v>S</v>
      </c>
      <c r="AH1451" t="str">
        <f>""</f>
        <v/>
      </c>
      <c r="AI1451" t="str">
        <f>""</f>
        <v/>
      </c>
      <c r="AJ1451" t="str">
        <f>""</f>
        <v/>
      </c>
      <c r="AK1451" t="str">
        <f>""</f>
        <v/>
      </c>
      <c r="AL1451" t="str">
        <f>""</f>
        <v/>
      </c>
      <c r="AM1451" t="str">
        <f>""</f>
        <v/>
      </c>
      <c r="AN1451" t="str">
        <f>""</f>
        <v/>
      </c>
      <c r="AO1451" t="str">
        <f>""</f>
        <v/>
      </c>
      <c r="AP1451" t="str">
        <f>""</f>
        <v/>
      </c>
      <c r="AQ1451" t="str">
        <f t="shared" si="743"/>
        <v>N</v>
      </c>
      <c r="AR1451" t="str">
        <f t="shared" si="743"/>
        <v>N</v>
      </c>
      <c r="AS1451" t="str">
        <f t="shared" si="743"/>
        <v>N</v>
      </c>
      <c r="AT1451" t="str">
        <f t="shared" si="743"/>
        <v>N</v>
      </c>
      <c r="AU1451" t="str">
        <f t="shared" si="743"/>
        <v>N</v>
      </c>
      <c r="AV1451" t="str">
        <f>""</f>
        <v/>
      </c>
      <c r="AW1451" t="str">
        <f>""</f>
        <v/>
      </c>
      <c r="AX1451" t="str">
        <f>""</f>
        <v/>
      </c>
      <c r="AY1451" t="str">
        <f>""</f>
        <v/>
      </c>
      <c r="AZ1451" t="str">
        <f>""</f>
        <v/>
      </c>
      <c r="BA1451" t="str">
        <f>""</f>
        <v/>
      </c>
      <c r="BB1451" t="str">
        <f>"01/07/2021 13:53:04"</f>
        <v>01/07/2021 13:53:04</v>
      </c>
      <c r="BC1451" t="str">
        <f>"03/03/2022 17:09:22"</f>
        <v>03/03/2022 17:09:22</v>
      </c>
      <c r="BD1451" t="str">
        <f>""</f>
        <v/>
      </c>
      <c r="BE1451" t="str">
        <f>""</f>
        <v/>
      </c>
      <c r="BF1451" t="str">
        <f t="shared" si="716"/>
        <v>A</v>
      </c>
      <c r="BG1451" t="str">
        <f>""</f>
        <v/>
      </c>
      <c r="BH1451" t="str">
        <f t="shared" si="738"/>
        <v>0,00</v>
      </c>
      <c r="BI1451" t="str">
        <f t="shared" si="741"/>
        <v>EVENTUAL</v>
      </c>
      <c r="BJ1451" t="str">
        <f t="shared" si="718"/>
        <v>1</v>
      </c>
      <c r="BK1451" t="str">
        <f t="shared" si="719"/>
        <v>Farmacia</v>
      </c>
      <c r="BL1451" t="str">
        <f>""</f>
        <v/>
      </c>
      <c r="BM1451" t="str">
        <f>"CREDENCIADO VARILUX"</f>
        <v>CREDENCIADO VARILUX</v>
      </c>
      <c r="BN1451" t="str">
        <f t="shared" si="739"/>
        <v>NA</v>
      </c>
      <c r="BO1451" t="str">
        <f>"FOCO VARILUX DIGITAL"</f>
        <v>FOCO VARILUX DIGITAL</v>
      </c>
      <c r="BP1451" t="str">
        <f>""</f>
        <v/>
      </c>
      <c r="BQ1451" t="str">
        <f>""</f>
        <v/>
      </c>
      <c r="BR1451" t="str">
        <f>"01/07/2021"</f>
        <v>01/07/2021</v>
      </c>
      <c r="BS1451" t="str">
        <f>"03/03/2022"</f>
        <v>03/03/2022</v>
      </c>
      <c r="BT1451" t="str">
        <f>""</f>
        <v/>
      </c>
      <c r="BU1451" t="str">
        <f>""</f>
        <v/>
      </c>
      <c r="BV1451" t="str">
        <f>""</f>
        <v/>
      </c>
      <c r="BW1451" t="str">
        <f>"38"</f>
        <v>38</v>
      </c>
    </row>
    <row r="1452" spans="1:75" x14ac:dyDescent="0.35">
      <c r="A1452">
        <v>157110</v>
      </c>
      <c r="B1452" t="str">
        <f t="shared" si="712"/>
        <v>A</v>
      </c>
      <c r="C1452" t="str">
        <f t="shared" si="713"/>
        <v>80</v>
      </c>
      <c r="D1452" t="str">
        <f t="shared" si="706"/>
        <v>11121004</v>
      </c>
      <c r="E1452" t="str">
        <f t="shared" si="707"/>
        <v>121004</v>
      </c>
      <c r="F1452" t="str">
        <f t="shared" si="708"/>
        <v>FABIANA GODOY</v>
      </c>
      <c r="G1452" t="str">
        <f>"44531011000173"</f>
        <v>44531011000173</v>
      </c>
      <c r="H1452" t="str">
        <f t="shared" si="742"/>
        <v>0</v>
      </c>
      <c r="I1452" t="str">
        <f t="shared" si="714"/>
        <v>CONTA OPTICA</v>
      </c>
      <c r="J1452" t="str">
        <f>"LUPAH ACESSORIOS DE MODA LTDA"</f>
        <v>LUPAH ACESSORIOS DE MODA LTDA</v>
      </c>
      <c r="K1452" t="str">
        <f>"CHILLI BEANS (4455)"</f>
        <v>CHILLI BEANS (4455)</v>
      </c>
      <c r="L1452" t="str">
        <f>""</f>
        <v/>
      </c>
      <c r="M1452" t="str">
        <f>""</f>
        <v/>
      </c>
      <c r="N1452" t="str">
        <f>"CONTASPAGAR.ESTRELA@GMAIL.COM"</f>
        <v>CONTASPAGAR.ESTRELA@GMAIL.COM</v>
      </c>
      <c r="O1452" t="str">
        <f>""</f>
        <v/>
      </c>
      <c r="P1452" t="str">
        <f>"SANTA CATARINA"</f>
        <v>SANTA CATARINA</v>
      </c>
      <c r="Q1452" t="str">
        <f>"01"</f>
        <v>01</v>
      </c>
      <c r="R1452" t="str">
        <f>"LOJA 108"</f>
        <v>LOJA 108</v>
      </c>
      <c r="S1452" t="str">
        <f>"1262"</f>
        <v>1262</v>
      </c>
      <c r="T1452" t="str">
        <f>"88339005"</f>
        <v>88339005</v>
      </c>
      <c r="U1452" t="str">
        <f>"DOS ESTADOS"</f>
        <v>DOS ESTADOS</v>
      </c>
      <c r="V1452" t="str">
        <f>"BALNEARIO CAMBORIU"</f>
        <v>BALNEARIO CAMBORIU</v>
      </c>
      <c r="W1452" t="str">
        <f t="shared" si="705"/>
        <v>SC</v>
      </c>
      <c r="X1452" t="str">
        <f>"48"</f>
        <v>48</v>
      </c>
      <c r="Y1452" t="str">
        <f>"999490521"</f>
        <v>999490521</v>
      </c>
      <c r="Z1452" t="str">
        <f>""</f>
        <v/>
      </c>
      <c r="AA1452" t="str">
        <f>""</f>
        <v/>
      </c>
      <c r="AB1452" t="str">
        <f>""</f>
        <v/>
      </c>
      <c r="AC1452" t="str">
        <f>""</f>
        <v/>
      </c>
      <c r="AD1452" t="str">
        <f>""</f>
        <v/>
      </c>
      <c r="AE1452" t="str">
        <f>""</f>
        <v/>
      </c>
      <c r="AF1452" t="str">
        <f>""</f>
        <v/>
      </c>
      <c r="AG1452" t="str">
        <f>""</f>
        <v/>
      </c>
      <c r="AH1452" t="str">
        <f>""</f>
        <v/>
      </c>
      <c r="AI1452" t="str">
        <f>""</f>
        <v/>
      </c>
      <c r="AJ1452" t="str">
        <f>""</f>
        <v/>
      </c>
      <c r="AK1452" t="str">
        <f>""</f>
        <v/>
      </c>
      <c r="AL1452" t="str">
        <f>""</f>
        <v/>
      </c>
      <c r="AM1452" t="str">
        <f>""</f>
        <v/>
      </c>
      <c r="AN1452" t="str">
        <f>""</f>
        <v/>
      </c>
      <c r="AO1452" t="str">
        <f>""</f>
        <v/>
      </c>
      <c r="AP1452" t="str">
        <f>""</f>
        <v/>
      </c>
      <c r="AQ1452" t="str">
        <f>""</f>
        <v/>
      </c>
      <c r="AR1452" t="str">
        <f>""</f>
        <v/>
      </c>
      <c r="AS1452" t="str">
        <f>""</f>
        <v/>
      </c>
      <c r="AT1452" t="str">
        <f>""</f>
        <v/>
      </c>
      <c r="AU1452" t="str">
        <f>""</f>
        <v/>
      </c>
      <c r="AV1452" t="str">
        <f>""</f>
        <v/>
      </c>
      <c r="AW1452" t="str">
        <f>""</f>
        <v/>
      </c>
      <c r="AX1452" t="str">
        <f>""</f>
        <v/>
      </c>
      <c r="AY1452" t="str">
        <f>""</f>
        <v/>
      </c>
      <c r="AZ1452" t="str">
        <f>""</f>
        <v/>
      </c>
      <c r="BA1452" t="str">
        <f>""</f>
        <v/>
      </c>
      <c r="BB1452" t="str">
        <f>"06/07/2023 12:07:48"</f>
        <v>06/07/2023 12:07:48</v>
      </c>
      <c r="BC1452" t="str">
        <f>""</f>
        <v/>
      </c>
      <c r="BD1452" t="str">
        <f>""</f>
        <v/>
      </c>
      <c r="BE1452" t="str">
        <f>""</f>
        <v/>
      </c>
      <c r="BF1452" t="str">
        <f t="shared" si="716"/>
        <v>A</v>
      </c>
      <c r="BG1452" t="str">
        <f>""</f>
        <v/>
      </c>
      <c r="BH1452" t="str">
        <f>""</f>
        <v/>
      </c>
      <c r="BI1452" t="str">
        <f t="shared" si="741"/>
        <v>EVENTUAL</v>
      </c>
      <c r="BJ1452" t="str">
        <f t="shared" si="718"/>
        <v>1</v>
      </c>
      <c r="BK1452" t="str">
        <f t="shared" si="719"/>
        <v>Farmacia</v>
      </c>
      <c r="BL1452" t="str">
        <f>""</f>
        <v/>
      </c>
      <c r="BM1452" t="str">
        <f>""</f>
        <v/>
      </c>
      <c r="BN1452" t="str">
        <f>""</f>
        <v/>
      </c>
      <c r="BO1452" t="str">
        <f>""</f>
        <v/>
      </c>
      <c r="BP1452" t="str">
        <f>""</f>
        <v/>
      </c>
      <c r="BQ1452" t="str">
        <f>""</f>
        <v/>
      </c>
      <c r="BR1452" t="str">
        <f>"06/07/2023"</f>
        <v>06/07/2023</v>
      </c>
      <c r="BS1452" t="str">
        <f>""</f>
        <v/>
      </c>
      <c r="BT1452" t="str">
        <f>""</f>
        <v/>
      </c>
      <c r="BU1452" t="str">
        <f>""</f>
        <v/>
      </c>
      <c r="BV1452" t="str">
        <f>""</f>
        <v/>
      </c>
      <c r="BW1452" t="str">
        <f>"Não visitado"</f>
        <v>Não visitado</v>
      </c>
    </row>
    <row r="1453" spans="1:75" x14ac:dyDescent="0.35">
      <c r="A1453">
        <v>144879</v>
      </c>
      <c r="B1453" t="str">
        <f t="shared" si="712"/>
        <v>A</v>
      </c>
      <c r="C1453" t="str">
        <f t="shared" si="713"/>
        <v>80</v>
      </c>
      <c r="D1453" t="str">
        <f t="shared" si="706"/>
        <v>11121004</v>
      </c>
      <c r="E1453" t="str">
        <f t="shared" si="707"/>
        <v>121004</v>
      </c>
      <c r="F1453" t="str">
        <f t="shared" si="708"/>
        <v>FABIANA GODOY</v>
      </c>
      <c r="G1453" t="str">
        <f>"39447773000237"</f>
        <v>39447773000237</v>
      </c>
      <c r="H1453" t="str">
        <f t="shared" si="742"/>
        <v>0</v>
      </c>
      <c r="I1453" t="str">
        <f t="shared" si="714"/>
        <v>CONTA OPTICA</v>
      </c>
      <c r="J1453" t="str">
        <f>"LUSOOTICA LTDA"</f>
        <v>LUSOOTICA LTDA</v>
      </c>
      <c r="K1453" t="str">
        <f>"LUSOOTICA (4444)"</f>
        <v>LUSOOTICA (4444)</v>
      </c>
      <c r="L1453" t="str">
        <f>""</f>
        <v/>
      </c>
      <c r="M1453" t="str">
        <f>""</f>
        <v/>
      </c>
      <c r="N1453" t="str">
        <f>"LUSOOTICA@OUTLOOK.COM"</f>
        <v>LUSOOTICA@OUTLOOK.COM</v>
      </c>
      <c r="O1453" t="str">
        <f>""</f>
        <v/>
      </c>
      <c r="P1453" t="str">
        <f>"CORONEL MARCOS KONDER"</f>
        <v>CORONEL MARCOS KONDER</v>
      </c>
      <c r="Q1453" t="str">
        <f>"1245"</f>
        <v>1245</v>
      </c>
      <c r="R1453" t="str">
        <f>"SALA 01"</f>
        <v>SALA 01</v>
      </c>
      <c r="S1453" t="str">
        <f>"1261"</f>
        <v>1261</v>
      </c>
      <c r="T1453" t="str">
        <f>"88301303"</f>
        <v>88301303</v>
      </c>
      <c r="U1453" t="str">
        <f>"CENTRO"</f>
        <v>CENTRO</v>
      </c>
      <c r="V1453" t="str">
        <f>"ITAJAI"</f>
        <v>ITAJAI</v>
      </c>
      <c r="W1453" t="str">
        <f t="shared" si="705"/>
        <v>SC</v>
      </c>
      <c r="X1453" t="str">
        <f>"47"</f>
        <v>47</v>
      </c>
      <c r="Y1453" t="str">
        <f>"997081997"</f>
        <v>997081997</v>
      </c>
      <c r="Z1453" t="str">
        <f>""</f>
        <v/>
      </c>
      <c r="AA1453" t="str">
        <f>""</f>
        <v/>
      </c>
      <c r="AB1453" t="str">
        <f>""</f>
        <v/>
      </c>
      <c r="AC1453" t="str">
        <f>""</f>
        <v/>
      </c>
      <c r="AD1453" t="str">
        <f>""</f>
        <v/>
      </c>
      <c r="AE1453" t="str">
        <f>""</f>
        <v/>
      </c>
      <c r="AF1453" t="str">
        <f>""</f>
        <v/>
      </c>
      <c r="AG1453" t="str">
        <f>""</f>
        <v/>
      </c>
      <c r="AH1453" t="str">
        <f>""</f>
        <v/>
      </c>
      <c r="AI1453" t="str">
        <f>""</f>
        <v/>
      </c>
      <c r="AJ1453" t="str">
        <f>""</f>
        <v/>
      </c>
      <c r="AK1453" t="str">
        <f>""</f>
        <v/>
      </c>
      <c r="AL1453" t="str">
        <f>""</f>
        <v/>
      </c>
      <c r="AM1453" t="str">
        <f>""</f>
        <v/>
      </c>
      <c r="AN1453" t="str">
        <f>""</f>
        <v/>
      </c>
      <c r="AO1453" t="str">
        <f>""</f>
        <v/>
      </c>
      <c r="AP1453" t="str">
        <f>""</f>
        <v/>
      </c>
      <c r="AQ1453" t="str">
        <f>""</f>
        <v/>
      </c>
      <c r="AR1453" t="str">
        <f>""</f>
        <v/>
      </c>
      <c r="AS1453" t="str">
        <f>""</f>
        <v/>
      </c>
      <c r="AT1453" t="str">
        <f>""</f>
        <v/>
      </c>
      <c r="AU1453" t="str">
        <f>""</f>
        <v/>
      </c>
      <c r="AV1453" t="str">
        <f>""</f>
        <v/>
      </c>
      <c r="AW1453" t="str">
        <f>""</f>
        <v/>
      </c>
      <c r="AX1453" t="str">
        <f>""</f>
        <v/>
      </c>
      <c r="AY1453" t="str">
        <f>""</f>
        <v/>
      </c>
      <c r="AZ1453" t="str">
        <f>""</f>
        <v/>
      </c>
      <c r="BA1453" t="str">
        <f>""</f>
        <v/>
      </c>
      <c r="BB1453" t="str">
        <f>"28/12/2021 17:14:38"</f>
        <v>28/12/2021 17:14:38</v>
      </c>
      <c r="BC1453" t="str">
        <f>""</f>
        <v/>
      </c>
      <c r="BD1453" t="str">
        <f>""</f>
        <v/>
      </c>
      <c r="BE1453" t="str">
        <f>""</f>
        <v/>
      </c>
      <c r="BF1453" t="str">
        <f t="shared" si="716"/>
        <v>A</v>
      </c>
      <c r="BG1453" t="str">
        <f>""</f>
        <v/>
      </c>
      <c r="BH1453" t="str">
        <f>""</f>
        <v/>
      </c>
      <c r="BI1453" t="str">
        <f t="shared" si="741"/>
        <v>EVENTUAL</v>
      </c>
      <c r="BJ1453" t="str">
        <f t="shared" si="718"/>
        <v>1</v>
      </c>
      <c r="BK1453" t="str">
        <f t="shared" si="719"/>
        <v>Farmacia</v>
      </c>
      <c r="BL1453" t="str">
        <f>""</f>
        <v/>
      </c>
      <c r="BM1453" t="str">
        <f>""</f>
        <v/>
      </c>
      <c r="BN1453" t="str">
        <f>""</f>
        <v/>
      </c>
      <c r="BO1453" t="str">
        <f>"FOCO VARILUX DIGITAL"</f>
        <v>FOCO VARILUX DIGITAL</v>
      </c>
      <c r="BP1453" t="str">
        <f>""</f>
        <v/>
      </c>
      <c r="BQ1453" t="str">
        <f>""</f>
        <v/>
      </c>
      <c r="BR1453" t="str">
        <f>"28/12/2021"</f>
        <v>28/12/2021</v>
      </c>
      <c r="BS1453" t="str">
        <f>""</f>
        <v/>
      </c>
      <c r="BT1453" t="str">
        <f>""</f>
        <v/>
      </c>
      <c r="BU1453" t="str">
        <f>""</f>
        <v/>
      </c>
      <c r="BV1453" t="str">
        <f>""</f>
        <v/>
      </c>
      <c r="BW1453" t="str">
        <f>"Não visitado"</f>
        <v>Não visitado</v>
      </c>
    </row>
    <row r="1454" spans="1:75" x14ac:dyDescent="0.35">
      <c r="A1454">
        <v>137687</v>
      </c>
      <c r="B1454" t="str">
        <f t="shared" si="712"/>
        <v>A</v>
      </c>
      <c r="C1454" t="str">
        <f t="shared" si="713"/>
        <v>80</v>
      </c>
      <c r="D1454" t="str">
        <f t="shared" si="706"/>
        <v>11121004</v>
      </c>
      <c r="E1454" t="str">
        <f t="shared" si="707"/>
        <v>121004</v>
      </c>
      <c r="F1454" t="str">
        <f t="shared" si="708"/>
        <v>FABIANA GODOY</v>
      </c>
      <c r="G1454" t="str">
        <f>"39447773000156"</f>
        <v>39447773000156</v>
      </c>
      <c r="H1454" t="str">
        <f t="shared" si="742"/>
        <v>0</v>
      </c>
      <c r="I1454" t="str">
        <f t="shared" si="714"/>
        <v>CONTA OPTICA</v>
      </c>
      <c r="J1454" t="str">
        <f>"LUSOOTICA LTDA"</f>
        <v>LUSOOTICA LTDA</v>
      </c>
      <c r="K1454" t="str">
        <f>"LUSOOTICA (4227)"</f>
        <v>LUSOOTICA (4227)</v>
      </c>
      <c r="L1454" t="str">
        <f>""</f>
        <v/>
      </c>
      <c r="M1454" t="str">
        <f>""</f>
        <v/>
      </c>
      <c r="N1454" t="str">
        <f>"lusootica@outlook.com"</f>
        <v>lusootica@outlook.com</v>
      </c>
      <c r="O1454" t="str">
        <f>""</f>
        <v/>
      </c>
      <c r="P1454" t="str">
        <f>"RUA DOUTOR PEDRO FERREIRA"</f>
        <v>RUA DOUTOR PEDRO FERREIRA</v>
      </c>
      <c r="Q1454" t="str">
        <f>"140"</f>
        <v>140</v>
      </c>
      <c r="R1454" t="str">
        <f>"SALA 4"</f>
        <v>SALA 4</v>
      </c>
      <c r="S1454" t="str">
        <f>""</f>
        <v/>
      </c>
      <c r="T1454" t="str">
        <f>"88301030"</f>
        <v>88301030</v>
      </c>
      <c r="U1454" t="str">
        <f>"CENTRO"</f>
        <v>CENTRO</v>
      </c>
      <c r="V1454" t="str">
        <f>"ITAJAÍ"</f>
        <v>ITAJAÍ</v>
      </c>
      <c r="W1454" t="str">
        <f t="shared" si="705"/>
        <v>SC</v>
      </c>
      <c r="X1454" t="str">
        <f>"47"</f>
        <v>47</v>
      </c>
      <c r="Y1454" t="str">
        <f>"997081997"</f>
        <v>997081997</v>
      </c>
      <c r="Z1454" t="str">
        <f>""</f>
        <v/>
      </c>
      <c r="AA1454" t="str">
        <f>""</f>
        <v/>
      </c>
      <c r="AB1454" t="str">
        <f>""</f>
        <v/>
      </c>
      <c r="AC1454" t="str">
        <f>""</f>
        <v/>
      </c>
      <c r="AD1454" t="str">
        <f>""</f>
        <v/>
      </c>
      <c r="AE1454" t="str">
        <f>""</f>
        <v/>
      </c>
      <c r="AF1454" t="str">
        <f>""</f>
        <v/>
      </c>
      <c r="AG1454" t="str">
        <f>"S"</f>
        <v>S</v>
      </c>
      <c r="AH1454" t="str">
        <f>""</f>
        <v/>
      </c>
      <c r="AI1454" t="str">
        <f>""</f>
        <v/>
      </c>
      <c r="AJ1454" t="str">
        <f>""</f>
        <v/>
      </c>
      <c r="AK1454" t="str">
        <f>""</f>
        <v/>
      </c>
      <c r="AL1454" t="str">
        <f>""</f>
        <v/>
      </c>
      <c r="AM1454" t="str">
        <f>""</f>
        <v/>
      </c>
      <c r="AN1454" t="str">
        <f>""</f>
        <v/>
      </c>
      <c r="AO1454" t="str">
        <f>""</f>
        <v/>
      </c>
      <c r="AP1454" t="str">
        <f>""</f>
        <v/>
      </c>
      <c r="AQ1454" t="str">
        <f>"N"</f>
        <v>N</v>
      </c>
      <c r="AR1454" t="str">
        <f>"N"</f>
        <v>N</v>
      </c>
      <c r="AS1454" t="str">
        <f>"N"</f>
        <v>N</v>
      </c>
      <c r="AT1454" t="str">
        <f>"N"</f>
        <v>N</v>
      </c>
      <c r="AU1454" t="str">
        <f>"N"</f>
        <v>N</v>
      </c>
      <c r="AV1454" t="str">
        <f>""</f>
        <v/>
      </c>
      <c r="AW1454" t="str">
        <f>""</f>
        <v/>
      </c>
      <c r="AX1454" t="str">
        <f>""</f>
        <v/>
      </c>
      <c r="AY1454" t="str">
        <f>""</f>
        <v/>
      </c>
      <c r="AZ1454" t="str">
        <f>""</f>
        <v/>
      </c>
      <c r="BA1454" t="str">
        <f>""</f>
        <v/>
      </c>
      <c r="BB1454" t="str">
        <f>"01/07/2021 13:53:04"</f>
        <v>01/07/2021 13:53:04</v>
      </c>
      <c r="BC1454" t="str">
        <f>"23/03/2022 17:27:34"</f>
        <v>23/03/2022 17:27:34</v>
      </c>
      <c r="BD1454" t="str">
        <f>""</f>
        <v/>
      </c>
      <c r="BE1454" t="str">
        <f>""</f>
        <v/>
      </c>
      <c r="BF1454" t="str">
        <f t="shared" si="716"/>
        <v>A</v>
      </c>
      <c r="BG1454" t="str">
        <f>""</f>
        <v/>
      </c>
      <c r="BH1454" t="str">
        <f>"0,00"</f>
        <v>0,00</v>
      </c>
      <c r="BI1454" t="str">
        <f t="shared" si="741"/>
        <v>EVENTUAL</v>
      </c>
      <c r="BJ1454" t="str">
        <f t="shared" si="718"/>
        <v>1</v>
      </c>
      <c r="BK1454" t="str">
        <f t="shared" si="719"/>
        <v>Farmacia</v>
      </c>
      <c r="BL1454" t="str">
        <f>""</f>
        <v/>
      </c>
      <c r="BM1454" t="str">
        <f>"NÃO É VARILUX ESPECIALISTA"</f>
        <v>NÃO É VARILUX ESPECIALISTA</v>
      </c>
      <c r="BN1454" t="str">
        <f>"NA"</f>
        <v>NA</v>
      </c>
      <c r="BO1454" t="str">
        <f>"FOCO KODAK 2"</f>
        <v>FOCO KODAK 2</v>
      </c>
      <c r="BP1454" t="str">
        <f>""</f>
        <v/>
      </c>
      <c r="BQ1454" t="str">
        <f>""</f>
        <v/>
      </c>
      <c r="BR1454" t="str">
        <f>"01/07/2021"</f>
        <v>01/07/2021</v>
      </c>
      <c r="BS1454" t="str">
        <f>"23/03/2022"</f>
        <v>23/03/2022</v>
      </c>
      <c r="BT1454" t="str">
        <f>""</f>
        <v/>
      </c>
      <c r="BU1454" t="str">
        <f>""</f>
        <v/>
      </c>
      <c r="BV1454" t="str">
        <f>""</f>
        <v/>
      </c>
      <c r="BW1454" t="str">
        <f>"106"</f>
        <v>106</v>
      </c>
    </row>
    <row r="1455" spans="1:75" x14ac:dyDescent="0.35">
      <c r="A1455">
        <v>157774</v>
      </c>
      <c r="B1455" t="str">
        <f t="shared" si="712"/>
        <v>A</v>
      </c>
      <c r="C1455" t="str">
        <f t="shared" si="713"/>
        <v>80</v>
      </c>
      <c r="D1455" t="str">
        <f t="shared" si="706"/>
        <v>11121004</v>
      </c>
      <c r="E1455" t="str">
        <f t="shared" si="707"/>
        <v>121004</v>
      </c>
      <c r="F1455" t="str">
        <f t="shared" si="708"/>
        <v>FABIANA GODOY</v>
      </c>
      <c r="G1455" t="str">
        <f>"42391990000186"</f>
        <v>42391990000186</v>
      </c>
      <c r="H1455" t="str">
        <f t="shared" si="742"/>
        <v>0</v>
      </c>
      <c r="I1455" t="str">
        <f t="shared" si="714"/>
        <v>CONTA OPTICA</v>
      </c>
      <c r="J1455" t="str">
        <f>"M &amp; M OTICA LTDA"</f>
        <v>M &amp; M OTICA LTDA</v>
      </c>
      <c r="K1455" t="str">
        <f>"BK OTICA E RELOJOARIA (4359)"</f>
        <v>BK OTICA E RELOJOARIA (4359)</v>
      </c>
      <c r="L1455" t="str">
        <f>""</f>
        <v/>
      </c>
      <c r="M1455" t="str">
        <f>""</f>
        <v/>
      </c>
      <c r="N1455" t="str">
        <f>"MISIACALLEGARO@GMAIL.COM"</f>
        <v>MISIACALLEGARO@GMAIL.COM</v>
      </c>
      <c r="O1455" t="str">
        <f>""</f>
        <v/>
      </c>
      <c r="P1455" t="str">
        <f>"NEREU RAMOS"</f>
        <v>NEREU RAMOS</v>
      </c>
      <c r="Q1455" t="str">
        <f>"262"</f>
        <v>262</v>
      </c>
      <c r="R1455" t="str">
        <f>"LOJA 02"</f>
        <v>LOJA 02</v>
      </c>
      <c r="S1455" t="str">
        <f>"1263"</f>
        <v>1263</v>
      </c>
      <c r="T1455" t="str">
        <f>"88385000"</f>
        <v>88385000</v>
      </c>
      <c r="U1455" t="str">
        <f>"CENTRO"</f>
        <v>CENTRO</v>
      </c>
      <c r="V1455" t="str">
        <f>"PENHA"</f>
        <v>PENHA</v>
      </c>
      <c r="W1455" t="str">
        <f t="shared" si="705"/>
        <v>SC</v>
      </c>
      <c r="X1455" t="str">
        <f>"48"</f>
        <v>48</v>
      </c>
      <c r="Y1455" t="str">
        <f>"991552422"</f>
        <v>991552422</v>
      </c>
      <c r="Z1455" t="str">
        <f>""</f>
        <v/>
      </c>
      <c r="AA1455" t="str">
        <f>""</f>
        <v/>
      </c>
      <c r="AB1455" t="str">
        <f>""</f>
        <v/>
      </c>
      <c r="AC1455" t="str">
        <f>""</f>
        <v/>
      </c>
      <c r="AD1455" t="str">
        <f>""</f>
        <v/>
      </c>
      <c r="AE1455" t="str">
        <f>""</f>
        <v/>
      </c>
      <c r="AF1455" t="str">
        <f>""</f>
        <v/>
      </c>
      <c r="AG1455" t="str">
        <f>""</f>
        <v/>
      </c>
      <c r="AH1455" t="str">
        <f>""</f>
        <v/>
      </c>
      <c r="AI1455" t="str">
        <f>""</f>
        <v/>
      </c>
      <c r="AJ1455" t="str">
        <f>""</f>
        <v/>
      </c>
      <c r="AK1455" t="str">
        <f>""</f>
        <v/>
      </c>
      <c r="AL1455" t="str">
        <f>""</f>
        <v/>
      </c>
      <c r="AM1455" t="str">
        <f>""</f>
        <v/>
      </c>
      <c r="AN1455" t="str">
        <f>""</f>
        <v/>
      </c>
      <c r="AO1455" t="str">
        <f>""</f>
        <v/>
      </c>
      <c r="AP1455" t="str">
        <f>""</f>
        <v/>
      </c>
      <c r="AQ1455" t="str">
        <f>""</f>
        <v/>
      </c>
      <c r="AR1455" t="str">
        <f>""</f>
        <v/>
      </c>
      <c r="AS1455" t="str">
        <f>""</f>
        <v/>
      </c>
      <c r="AT1455" t="str">
        <f>""</f>
        <v/>
      </c>
      <c r="AU1455" t="str">
        <f>""</f>
        <v/>
      </c>
      <c r="AV1455" t="str">
        <f>""</f>
        <v/>
      </c>
      <c r="AW1455" t="str">
        <f>""</f>
        <v/>
      </c>
      <c r="AX1455" t="str">
        <f>""</f>
        <v/>
      </c>
      <c r="AY1455" t="str">
        <f>""</f>
        <v/>
      </c>
      <c r="AZ1455" t="str">
        <f>""</f>
        <v/>
      </c>
      <c r="BA1455" t="str">
        <f>""</f>
        <v/>
      </c>
      <c r="BB1455" t="str">
        <f>"11/07/2023 02:26:32"</f>
        <v>11/07/2023 02:26:32</v>
      </c>
      <c r="BC1455" t="str">
        <f>""</f>
        <v/>
      </c>
      <c r="BD1455" t="str">
        <f>""</f>
        <v/>
      </c>
      <c r="BE1455" t="str">
        <f>""</f>
        <v/>
      </c>
      <c r="BF1455" t="str">
        <f t="shared" si="716"/>
        <v>A</v>
      </c>
      <c r="BG1455" t="str">
        <f>""</f>
        <v/>
      </c>
      <c r="BH1455" t="str">
        <f>""</f>
        <v/>
      </c>
      <c r="BI1455" t="str">
        <f t="shared" si="741"/>
        <v>EVENTUAL</v>
      </c>
      <c r="BJ1455" t="str">
        <f t="shared" si="718"/>
        <v>1</v>
      </c>
      <c r="BK1455" t="str">
        <f t="shared" si="719"/>
        <v>Farmacia</v>
      </c>
      <c r="BL1455" t="str">
        <f>""</f>
        <v/>
      </c>
      <c r="BM1455" t="str">
        <f>""</f>
        <v/>
      </c>
      <c r="BN1455" t="str">
        <f>""</f>
        <v/>
      </c>
      <c r="BO1455" t="str">
        <f>""</f>
        <v/>
      </c>
      <c r="BP1455" t="str">
        <f>""</f>
        <v/>
      </c>
      <c r="BQ1455" t="str">
        <f>""</f>
        <v/>
      </c>
      <c r="BR1455" t="str">
        <f>"11/07/2023"</f>
        <v>11/07/2023</v>
      </c>
      <c r="BS1455" t="str">
        <f>""</f>
        <v/>
      </c>
      <c r="BT1455" t="str">
        <f>""</f>
        <v/>
      </c>
      <c r="BU1455" t="str">
        <f>""</f>
        <v/>
      </c>
      <c r="BV1455" t="str">
        <f>""</f>
        <v/>
      </c>
      <c r="BW1455" t="str">
        <f>"23"</f>
        <v>23</v>
      </c>
    </row>
    <row r="1456" spans="1:75" x14ac:dyDescent="0.35">
      <c r="A1456">
        <v>137689</v>
      </c>
      <c r="B1456" t="str">
        <f t="shared" si="712"/>
        <v>A</v>
      </c>
      <c r="C1456" t="str">
        <f t="shared" si="713"/>
        <v>80</v>
      </c>
      <c r="D1456" t="str">
        <f t="shared" si="706"/>
        <v>11121004</v>
      </c>
      <c r="E1456" t="str">
        <f t="shared" si="707"/>
        <v>121004</v>
      </c>
      <c r="F1456" t="str">
        <f t="shared" si="708"/>
        <v>FABIANA GODOY</v>
      </c>
      <c r="G1456" t="str">
        <f>"18108730000176"</f>
        <v>18108730000176</v>
      </c>
      <c r="H1456" t="str">
        <f t="shared" si="742"/>
        <v>0</v>
      </c>
      <c r="I1456" t="str">
        <f t="shared" si="714"/>
        <v>CONTA OPTICA</v>
      </c>
      <c r="J1456" t="str">
        <f>"M.R.F. COMERCIO VAREJISTA DE ARTIGOS OPTICOS LTDA"</f>
        <v>M.R.F. COMERCIO VAREJISTA DE ARTIGOS OPTICOS LTDA</v>
      </c>
      <c r="K1456" t="str">
        <f>"OTICA IDEAL (2228)"</f>
        <v>OTICA IDEAL (2228)</v>
      </c>
      <c r="L1456" t="str">
        <f>""</f>
        <v/>
      </c>
      <c r="M1456" t="str">
        <f>""</f>
        <v/>
      </c>
      <c r="N1456" t="str">
        <f>"contato@oticaidealbnu.com.br"</f>
        <v>contato@oticaidealbnu.com.br</v>
      </c>
      <c r="O1456" t="str">
        <f>""</f>
        <v/>
      </c>
      <c r="P1456" t="str">
        <f>"RUA LISBOA"</f>
        <v>RUA LISBOA</v>
      </c>
      <c r="Q1456" t="str">
        <f>"9"</f>
        <v>9</v>
      </c>
      <c r="R1456" t="str">
        <f>"SALA 2"</f>
        <v>SALA 2</v>
      </c>
      <c r="S1456" t="str">
        <f>"1273"</f>
        <v>1273</v>
      </c>
      <c r="T1456" t="str">
        <f>"89052600"</f>
        <v>89052600</v>
      </c>
      <c r="U1456" t="str">
        <f>"ITOUPAVA NORTE"</f>
        <v>ITOUPAVA NORTE</v>
      </c>
      <c r="V1456" t="str">
        <f>"BLUMENAU"</f>
        <v>BLUMENAU</v>
      </c>
      <c r="W1456" t="str">
        <f t="shared" ref="W1456:W1519" si="744">"SC"</f>
        <v>SC</v>
      </c>
      <c r="X1456" t="str">
        <f>"47"</f>
        <v>47</v>
      </c>
      <c r="Y1456" t="str">
        <f>"30373730"</f>
        <v>30373730</v>
      </c>
      <c r="Z1456" t="str">
        <f>""</f>
        <v/>
      </c>
      <c r="AA1456" t="str">
        <f>""</f>
        <v/>
      </c>
      <c r="AB1456" t="str">
        <f>""</f>
        <v/>
      </c>
      <c r="AC1456" t="str">
        <f>""</f>
        <v/>
      </c>
      <c r="AD1456" t="str">
        <f>""</f>
        <v/>
      </c>
      <c r="AE1456" t="str">
        <f>""</f>
        <v/>
      </c>
      <c r="AF1456" t="str">
        <f>""</f>
        <v/>
      </c>
      <c r="AG1456" t="str">
        <f>"S"</f>
        <v>S</v>
      </c>
      <c r="AH1456" t="str">
        <f>""</f>
        <v/>
      </c>
      <c r="AI1456" t="str">
        <f>""</f>
        <v/>
      </c>
      <c r="AJ1456" t="str">
        <f>""</f>
        <v/>
      </c>
      <c r="AK1456" t="str">
        <f>""</f>
        <v/>
      </c>
      <c r="AL1456" t="str">
        <f>""</f>
        <v/>
      </c>
      <c r="AM1456" t="str">
        <f>""</f>
        <v/>
      </c>
      <c r="AN1456" t="str">
        <f>""</f>
        <v/>
      </c>
      <c r="AO1456" t="str">
        <f>""</f>
        <v/>
      </c>
      <c r="AP1456" t="str">
        <f>""</f>
        <v/>
      </c>
      <c r="AQ1456" t="str">
        <f t="shared" ref="AQ1456:AU1457" si="745">"N"</f>
        <v>N</v>
      </c>
      <c r="AR1456" t="str">
        <f t="shared" si="745"/>
        <v>N</v>
      </c>
      <c r="AS1456" t="str">
        <f t="shared" si="745"/>
        <v>N</v>
      </c>
      <c r="AT1456" t="str">
        <f t="shared" si="745"/>
        <v>N</v>
      </c>
      <c r="AU1456" t="str">
        <f t="shared" si="745"/>
        <v>N</v>
      </c>
      <c r="AV1456" t="str">
        <f>""</f>
        <v/>
      </c>
      <c r="AW1456" t="str">
        <f>""</f>
        <v/>
      </c>
      <c r="AX1456" t="str">
        <f>""</f>
        <v/>
      </c>
      <c r="AY1456" t="str">
        <f>""</f>
        <v/>
      </c>
      <c r="AZ1456" t="str">
        <f>""</f>
        <v/>
      </c>
      <c r="BA1456" t="str">
        <f>""</f>
        <v/>
      </c>
      <c r="BB1456" t="str">
        <f>"01/07/2021 13:53:04"</f>
        <v>01/07/2021 13:53:04</v>
      </c>
      <c r="BC1456" t="str">
        <f>"21/01/2022 14:35:50"</f>
        <v>21/01/2022 14:35:50</v>
      </c>
      <c r="BD1456" t="str">
        <f>""</f>
        <v/>
      </c>
      <c r="BE1456" t="str">
        <f>""</f>
        <v/>
      </c>
      <c r="BF1456" t="str">
        <f t="shared" si="716"/>
        <v>A</v>
      </c>
      <c r="BG1456" t="str">
        <f>""</f>
        <v/>
      </c>
      <c r="BH1456" t="str">
        <f>"0,00"</f>
        <v>0,00</v>
      </c>
      <c r="BI1456" t="str">
        <f t="shared" si="741"/>
        <v>EVENTUAL</v>
      </c>
      <c r="BJ1456" t="str">
        <f t="shared" si="718"/>
        <v>1</v>
      </c>
      <c r="BK1456" t="str">
        <f t="shared" si="719"/>
        <v>Farmacia</v>
      </c>
      <c r="BL1456" t="str">
        <f>""</f>
        <v/>
      </c>
      <c r="BM1456" t="str">
        <f>"NÃO É VARILUX ESPECIALISTA"</f>
        <v>NÃO É VARILUX ESPECIALISTA</v>
      </c>
      <c r="BN1456" t="str">
        <f>"NA"</f>
        <v>NA</v>
      </c>
      <c r="BO1456" t="str">
        <f>"FOCO VARILUX"</f>
        <v>FOCO VARILUX</v>
      </c>
      <c r="BP1456" t="str">
        <f>""</f>
        <v/>
      </c>
      <c r="BQ1456" t="str">
        <f>""</f>
        <v/>
      </c>
      <c r="BR1456" t="str">
        <f>"01/07/2021"</f>
        <v>01/07/2021</v>
      </c>
      <c r="BS1456" t="str">
        <f>"21/01/2022"</f>
        <v>21/01/2022</v>
      </c>
      <c r="BT1456" t="str">
        <f>""</f>
        <v/>
      </c>
      <c r="BU1456" t="str">
        <f>""</f>
        <v/>
      </c>
      <c r="BV1456" t="str">
        <f>""</f>
        <v/>
      </c>
      <c r="BW1456" t="str">
        <f>"25"</f>
        <v>25</v>
      </c>
    </row>
    <row r="1457" spans="1:75" x14ac:dyDescent="0.35">
      <c r="A1457">
        <v>137690</v>
      </c>
      <c r="B1457" t="str">
        <f t="shared" si="712"/>
        <v>A</v>
      </c>
      <c r="C1457" t="str">
        <f t="shared" si="713"/>
        <v>80</v>
      </c>
      <c r="D1457" t="str">
        <f t="shared" si="706"/>
        <v>11121004</v>
      </c>
      <c r="E1457" t="str">
        <f t="shared" si="707"/>
        <v>121004</v>
      </c>
      <c r="F1457" t="str">
        <f t="shared" si="708"/>
        <v>FABIANA GODOY</v>
      </c>
      <c r="G1457" t="str">
        <f>"20451998000158"</f>
        <v>20451998000158</v>
      </c>
      <c r="H1457" t="str">
        <f t="shared" si="742"/>
        <v>0</v>
      </c>
      <c r="I1457" t="str">
        <f t="shared" si="714"/>
        <v>CONTA OPTICA</v>
      </c>
      <c r="J1457" t="str">
        <f>"MANOEL NILSON AFONSO DO AMARAL"</f>
        <v>MANOEL NILSON AFONSO DO AMARAL</v>
      </c>
      <c r="K1457" t="str">
        <f>"OTICA AMARAL (2276)"</f>
        <v>OTICA AMARAL (2276)</v>
      </c>
      <c r="L1457" t="str">
        <f>""</f>
        <v/>
      </c>
      <c r="M1457" t="str">
        <f>""</f>
        <v/>
      </c>
      <c r="N1457" t="str">
        <f>"nilnai@hotmail.com"</f>
        <v>nilnai@hotmail.com</v>
      </c>
      <c r="O1457" t="str">
        <f>""</f>
        <v/>
      </c>
      <c r="P1457" t="str">
        <f>"RUA LUIZ LOPES GONZAGA"</f>
        <v>RUA LUIZ LOPES GONZAGA</v>
      </c>
      <c r="Q1457" t="str">
        <f>"985"</f>
        <v>985</v>
      </c>
      <c r="R1457" t="str">
        <f>"SALA 01"</f>
        <v>SALA 01</v>
      </c>
      <c r="S1457" t="str">
        <f>"1261"</f>
        <v>1261</v>
      </c>
      <c r="T1457" t="str">
        <f>"88309421"</f>
        <v>88309421</v>
      </c>
      <c r="U1457" t="str">
        <f>"SAO VICENTE"</f>
        <v>SAO VICENTE</v>
      </c>
      <c r="V1457" t="str">
        <f>"ITAJAÍ"</f>
        <v>ITAJAÍ</v>
      </c>
      <c r="W1457" t="str">
        <f t="shared" si="744"/>
        <v>SC</v>
      </c>
      <c r="X1457" t="str">
        <f>"47"</f>
        <v>47</v>
      </c>
      <c r="Y1457" t="str">
        <f>"32413118"</f>
        <v>32413118</v>
      </c>
      <c r="Z1457" t="str">
        <f>""</f>
        <v/>
      </c>
      <c r="AA1457" t="str">
        <f>""</f>
        <v/>
      </c>
      <c r="AB1457" t="str">
        <f>""</f>
        <v/>
      </c>
      <c r="AC1457" t="str">
        <f>""</f>
        <v/>
      </c>
      <c r="AD1457" t="str">
        <f>""</f>
        <v/>
      </c>
      <c r="AE1457" t="str">
        <f>""</f>
        <v/>
      </c>
      <c r="AF1457" t="str">
        <f>""</f>
        <v/>
      </c>
      <c r="AG1457" t="str">
        <f>"S"</f>
        <v>S</v>
      </c>
      <c r="AH1457" t="str">
        <f>""</f>
        <v/>
      </c>
      <c r="AI1457" t="str">
        <f>""</f>
        <v/>
      </c>
      <c r="AJ1457" t="str">
        <f>""</f>
        <v/>
      </c>
      <c r="AK1457" t="str">
        <f>""</f>
        <v/>
      </c>
      <c r="AL1457" t="str">
        <f>""</f>
        <v/>
      </c>
      <c r="AM1457" t="str">
        <f>""</f>
        <v/>
      </c>
      <c r="AN1457" t="str">
        <f>""</f>
        <v/>
      </c>
      <c r="AO1457" t="str">
        <f>""</f>
        <v/>
      </c>
      <c r="AP1457" t="str">
        <f>""</f>
        <v/>
      </c>
      <c r="AQ1457" t="str">
        <f t="shared" si="745"/>
        <v>N</v>
      </c>
      <c r="AR1457" t="str">
        <f t="shared" si="745"/>
        <v>N</v>
      </c>
      <c r="AS1457" t="str">
        <f t="shared" si="745"/>
        <v>N</v>
      </c>
      <c r="AT1457" t="str">
        <f t="shared" si="745"/>
        <v>N</v>
      </c>
      <c r="AU1457" t="str">
        <f t="shared" si="745"/>
        <v>N</v>
      </c>
      <c r="AV1457" t="str">
        <f>""</f>
        <v/>
      </c>
      <c r="AW1457" t="str">
        <f>""</f>
        <v/>
      </c>
      <c r="AX1457" t="str">
        <f>""</f>
        <v/>
      </c>
      <c r="AY1457" t="str">
        <f>""</f>
        <v/>
      </c>
      <c r="AZ1457" t="str">
        <f>""</f>
        <v/>
      </c>
      <c r="BA1457" t="str">
        <f>""</f>
        <v/>
      </c>
      <c r="BB1457" t="str">
        <f>"01/07/2021 13:53:04"</f>
        <v>01/07/2021 13:53:04</v>
      </c>
      <c r="BC1457" t="str">
        <f>"11/07/2023 10:19:59"</f>
        <v>11/07/2023 10:19:59</v>
      </c>
      <c r="BD1457" t="str">
        <f>""</f>
        <v/>
      </c>
      <c r="BE1457" t="str">
        <f>""</f>
        <v/>
      </c>
      <c r="BF1457" t="str">
        <f t="shared" si="716"/>
        <v>A</v>
      </c>
      <c r="BG1457" t="str">
        <f>""</f>
        <v/>
      </c>
      <c r="BH1457" t="str">
        <f>"0,00"</f>
        <v>0,00</v>
      </c>
      <c r="BI1457" t="str">
        <f t="shared" si="741"/>
        <v>EVENTUAL</v>
      </c>
      <c r="BJ1457" t="str">
        <f t="shared" si="718"/>
        <v>1</v>
      </c>
      <c r="BK1457" t="str">
        <f t="shared" si="719"/>
        <v>Farmacia</v>
      </c>
      <c r="BL1457" t="str">
        <f>""</f>
        <v/>
      </c>
      <c r="BM1457" t="str">
        <f>"NÃO É VARILUX ESPECIALISTA"</f>
        <v>NÃO É VARILUX ESPECIALISTA</v>
      </c>
      <c r="BN1457" t="str">
        <f>"NA"</f>
        <v>NA</v>
      </c>
      <c r="BO1457" t="str">
        <f>"FOCO VARILUX"</f>
        <v>FOCO VARILUX</v>
      </c>
      <c r="BP1457" t="str">
        <f>""</f>
        <v/>
      </c>
      <c r="BQ1457" t="str">
        <f>""</f>
        <v/>
      </c>
      <c r="BR1457" t="str">
        <f>"01/07/2021"</f>
        <v>01/07/2021</v>
      </c>
      <c r="BS1457" t="str">
        <f>"11/07/2023"</f>
        <v>11/07/2023</v>
      </c>
      <c r="BT1457" t="str">
        <f>""</f>
        <v/>
      </c>
      <c r="BU1457" t="str">
        <f>""</f>
        <v/>
      </c>
      <c r="BV1457" t="str">
        <f>""</f>
        <v/>
      </c>
      <c r="BW1457" t="str">
        <f>"8"</f>
        <v>8</v>
      </c>
    </row>
    <row r="1458" spans="1:75" x14ac:dyDescent="0.35">
      <c r="A1458">
        <v>157063</v>
      </c>
      <c r="B1458" t="str">
        <f t="shared" si="712"/>
        <v>A</v>
      </c>
      <c r="C1458" t="str">
        <f t="shared" si="713"/>
        <v>80</v>
      </c>
      <c r="D1458" t="str">
        <f t="shared" si="706"/>
        <v>11121004</v>
      </c>
      <c r="E1458" t="str">
        <f t="shared" si="707"/>
        <v>121004</v>
      </c>
      <c r="F1458" t="str">
        <f t="shared" si="708"/>
        <v>FABIANA GODOY</v>
      </c>
      <c r="G1458" t="str">
        <f>"44061531000160"</f>
        <v>44061531000160</v>
      </c>
      <c r="H1458" t="str">
        <f t="shared" si="742"/>
        <v>0</v>
      </c>
      <c r="I1458" t="str">
        <f t="shared" si="714"/>
        <v>CONTA OPTICA</v>
      </c>
      <c r="J1458" t="str">
        <f>"MARCELLOBLUMENAU OTICA LTDA"</f>
        <v>MARCELLOBLUMENAU OTICA LTDA</v>
      </c>
      <c r="K1458" t="str">
        <f>"OTICAS DINIZ (4486)"</f>
        <v>OTICAS DINIZ (4486)</v>
      </c>
      <c r="L1458" t="str">
        <f>""</f>
        <v/>
      </c>
      <c r="M1458" t="str">
        <f>""</f>
        <v/>
      </c>
      <c r="N1458" t="str">
        <f>"MARCELLO.GONCALVES@OTICASDINIZ.COM.BR"</f>
        <v>MARCELLO.GONCALVES@OTICASDINIZ.COM.BR</v>
      </c>
      <c r="O1458" t="str">
        <f>""</f>
        <v/>
      </c>
      <c r="P1458" t="str">
        <f>"RUA 15 DE NOVEMBRO"</f>
        <v>RUA 15 DE NOVEMBRO</v>
      </c>
      <c r="Q1458" t="str">
        <f>"1393"</f>
        <v>1393</v>
      </c>
      <c r="R1458" t="str">
        <f>"SALA 06"</f>
        <v>SALA 06</v>
      </c>
      <c r="S1458" t="str">
        <f>"1271"</f>
        <v>1271</v>
      </c>
      <c r="T1458" t="str">
        <f>"89010003"</f>
        <v>89010003</v>
      </c>
      <c r="U1458" t="str">
        <f>"CENTRO"</f>
        <v>CENTRO</v>
      </c>
      <c r="V1458" t="str">
        <f>"BLUMENAU"</f>
        <v>BLUMENAU</v>
      </c>
      <c r="W1458" t="str">
        <f t="shared" si="744"/>
        <v>SC</v>
      </c>
      <c r="X1458" t="str">
        <f>"47"</f>
        <v>47</v>
      </c>
      <c r="Y1458" t="str">
        <f>"32371610"</f>
        <v>32371610</v>
      </c>
      <c r="Z1458" t="str">
        <f>""</f>
        <v/>
      </c>
      <c r="AA1458" t="str">
        <f>""</f>
        <v/>
      </c>
      <c r="AB1458" t="str">
        <f>""</f>
        <v/>
      </c>
      <c r="AC1458" t="str">
        <f>""</f>
        <v/>
      </c>
      <c r="AD1458" t="str">
        <f>""</f>
        <v/>
      </c>
      <c r="AE1458" t="str">
        <f>""</f>
        <v/>
      </c>
      <c r="AF1458" t="str">
        <f>""</f>
        <v/>
      </c>
      <c r="AG1458" t="str">
        <f>""</f>
        <v/>
      </c>
      <c r="AH1458" t="str">
        <f>""</f>
        <v/>
      </c>
      <c r="AI1458" t="str">
        <f>""</f>
        <v/>
      </c>
      <c r="AJ1458" t="str">
        <f>""</f>
        <v/>
      </c>
      <c r="AK1458" t="str">
        <f>""</f>
        <v/>
      </c>
      <c r="AL1458" t="str">
        <f>""</f>
        <v/>
      </c>
      <c r="AM1458" t="str">
        <f>""</f>
        <v/>
      </c>
      <c r="AN1458" t="str">
        <f>""</f>
        <v/>
      </c>
      <c r="AO1458" t="str">
        <f>""</f>
        <v/>
      </c>
      <c r="AP1458" t="str">
        <f>""</f>
        <v/>
      </c>
      <c r="AQ1458" t="str">
        <f>""</f>
        <v/>
      </c>
      <c r="AR1458" t="str">
        <f>""</f>
        <v/>
      </c>
      <c r="AS1458" t="str">
        <f>""</f>
        <v/>
      </c>
      <c r="AT1458" t="str">
        <f>""</f>
        <v/>
      </c>
      <c r="AU1458" t="str">
        <f>""</f>
        <v/>
      </c>
      <c r="AV1458" t="str">
        <f>""</f>
        <v/>
      </c>
      <c r="AW1458" t="str">
        <f>""</f>
        <v/>
      </c>
      <c r="AX1458" t="str">
        <f>""</f>
        <v/>
      </c>
      <c r="AY1458" t="str">
        <f>""</f>
        <v/>
      </c>
      <c r="AZ1458" t="str">
        <f>""</f>
        <v/>
      </c>
      <c r="BA1458" t="str">
        <f>""</f>
        <v/>
      </c>
      <c r="BB1458" t="str">
        <f>"06/07/2023 12:07:48"</f>
        <v>06/07/2023 12:07:48</v>
      </c>
      <c r="BC1458" t="str">
        <f>""</f>
        <v/>
      </c>
      <c r="BD1458" t="str">
        <f>""</f>
        <v/>
      </c>
      <c r="BE1458" t="str">
        <f>""</f>
        <v/>
      </c>
      <c r="BF1458" t="str">
        <f t="shared" si="716"/>
        <v>A</v>
      </c>
      <c r="BG1458" t="str">
        <f>""</f>
        <v/>
      </c>
      <c r="BH1458" t="str">
        <f>""</f>
        <v/>
      </c>
      <c r="BI1458" t="str">
        <f t="shared" si="741"/>
        <v>EVENTUAL</v>
      </c>
      <c r="BJ1458" t="str">
        <f t="shared" si="718"/>
        <v>1</v>
      </c>
      <c r="BK1458" t="str">
        <f t="shared" si="719"/>
        <v>Farmacia</v>
      </c>
      <c r="BL1458" t="str">
        <f>""</f>
        <v/>
      </c>
      <c r="BM1458" t="str">
        <f>""</f>
        <v/>
      </c>
      <c r="BN1458" t="str">
        <f>""</f>
        <v/>
      </c>
      <c r="BO1458" t="str">
        <f>""</f>
        <v/>
      </c>
      <c r="BP1458" t="str">
        <f>""</f>
        <v/>
      </c>
      <c r="BQ1458" t="str">
        <f>""</f>
        <v/>
      </c>
      <c r="BR1458" t="str">
        <f>"06/07/2023"</f>
        <v>06/07/2023</v>
      </c>
      <c r="BS1458" t="str">
        <f>""</f>
        <v/>
      </c>
      <c r="BT1458" t="str">
        <f>""</f>
        <v/>
      </c>
      <c r="BU1458" t="str">
        <f>""</f>
        <v/>
      </c>
      <c r="BV1458" t="str">
        <f>""</f>
        <v/>
      </c>
      <c r="BW1458" t="str">
        <f>"Não visitado"</f>
        <v>Não visitado</v>
      </c>
    </row>
    <row r="1459" spans="1:75" x14ac:dyDescent="0.35">
      <c r="A1459">
        <v>137691</v>
      </c>
      <c r="B1459" t="str">
        <f t="shared" si="712"/>
        <v>A</v>
      </c>
      <c r="C1459" t="str">
        <f t="shared" si="713"/>
        <v>80</v>
      </c>
      <c r="D1459" t="str">
        <f t="shared" ref="D1459:D1522" si="746">"11121004"</f>
        <v>11121004</v>
      </c>
      <c r="E1459" t="str">
        <f t="shared" ref="E1459:E1522" si="747">"121004"</f>
        <v>121004</v>
      </c>
      <c r="F1459" t="str">
        <f t="shared" ref="F1459:F1522" si="748">"FABIANA GODOY"</f>
        <v>FABIANA GODOY</v>
      </c>
      <c r="G1459" t="str">
        <f>"37862251000195"</f>
        <v>37862251000195</v>
      </c>
      <c r="H1459" t="str">
        <f t="shared" si="742"/>
        <v>0</v>
      </c>
      <c r="I1459" t="str">
        <f t="shared" si="714"/>
        <v>CONTA OPTICA</v>
      </c>
      <c r="J1459" t="str">
        <f>"MARCELO DA SILVA MARONEZI 03999115459"</f>
        <v>MARCELO DA SILVA MARONEZI 03999115459</v>
      </c>
      <c r="K1459" t="str">
        <f>"OPTOCLIN VALE DO ITAJAI (4296)"</f>
        <v>OPTOCLIN VALE DO ITAJAI (4296)</v>
      </c>
      <c r="L1459" t="str">
        <f>""</f>
        <v/>
      </c>
      <c r="M1459" t="str">
        <f>""</f>
        <v/>
      </c>
      <c r="N1459" t="str">
        <f>"MARCELOMARONEZI@GMAIL.COM"</f>
        <v>MARCELOMARONEZI@GMAIL.COM</v>
      </c>
      <c r="O1459" t="str">
        <f>""</f>
        <v/>
      </c>
      <c r="P1459" t="str">
        <f>"RUA ALBERTO TORRES"</f>
        <v>RUA ALBERTO TORRES</v>
      </c>
      <c r="Q1459" t="str">
        <f>"125"</f>
        <v>125</v>
      </c>
      <c r="R1459" t="str">
        <f>"SALA 1"</f>
        <v>SALA 1</v>
      </c>
      <c r="S1459" t="str">
        <f>""</f>
        <v/>
      </c>
      <c r="T1459" t="str">
        <f>"88350030"</f>
        <v>88350030</v>
      </c>
      <c r="U1459" t="str">
        <f>"CENTRO I"</f>
        <v>CENTRO I</v>
      </c>
      <c r="V1459" t="str">
        <f>"BRUSQUE"</f>
        <v>BRUSQUE</v>
      </c>
      <c r="W1459" t="str">
        <f t="shared" si="744"/>
        <v>SC</v>
      </c>
      <c r="X1459" t="str">
        <f>"47"</f>
        <v>47</v>
      </c>
      <c r="Y1459" t="str">
        <f>"996148225"</f>
        <v>996148225</v>
      </c>
      <c r="Z1459" t="str">
        <f>""</f>
        <v/>
      </c>
      <c r="AA1459" t="str">
        <f>""</f>
        <v/>
      </c>
      <c r="AB1459" t="str">
        <f>""</f>
        <v/>
      </c>
      <c r="AC1459" t="str">
        <f>""</f>
        <v/>
      </c>
      <c r="AD1459" t="str">
        <f>""</f>
        <v/>
      </c>
      <c r="AE1459" t="str">
        <f>""</f>
        <v/>
      </c>
      <c r="AF1459" t="str">
        <f>""</f>
        <v/>
      </c>
      <c r="AG1459" t="str">
        <f>"S"</f>
        <v>S</v>
      </c>
      <c r="AH1459" t="str">
        <f>""</f>
        <v/>
      </c>
      <c r="AI1459" t="str">
        <f>""</f>
        <v/>
      </c>
      <c r="AJ1459" t="str">
        <f>""</f>
        <v/>
      </c>
      <c r="AK1459" t="str">
        <f>""</f>
        <v/>
      </c>
      <c r="AL1459" t="str">
        <f>""</f>
        <v/>
      </c>
      <c r="AM1459" t="str">
        <f>""</f>
        <v/>
      </c>
      <c r="AN1459" t="str">
        <f>""</f>
        <v/>
      </c>
      <c r="AO1459" t="str">
        <f>""</f>
        <v/>
      </c>
      <c r="AP1459" t="str">
        <f>""</f>
        <v/>
      </c>
      <c r="AQ1459" t="str">
        <f>"N"</f>
        <v>N</v>
      </c>
      <c r="AR1459" t="str">
        <f>"N"</f>
        <v>N</v>
      </c>
      <c r="AS1459" t="str">
        <f>"N"</f>
        <v>N</v>
      </c>
      <c r="AT1459" t="str">
        <f>"N"</f>
        <v>N</v>
      </c>
      <c r="AU1459" t="str">
        <f>"N"</f>
        <v>N</v>
      </c>
      <c r="AV1459" t="str">
        <f>""</f>
        <v/>
      </c>
      <c r="AW1459" t="str">
        <f>""</f>
        <v/>
      </c>
      <c r="AX1459" t="str">
        <f>""</f>
        <v/>
      </c>
      <c r="AY1459" t="str">
        <f>""</f>
        <v/>
      </c>
      <c r="AZ1459" t="str">
        <f>""</f>
        <v/>
      </c>
      <c r="BA1459" t="str">
        <f>""</f>
        <v/>
      </c>
      <c r="BB1459" t="str">
        <f>"01/07/2021 13:53:04"</f>
        <v>01/07/2021 13:53:04</v>
      </c>
      <c r="BC1459" t="str">
        <f>"23/06/2022 10:34:00"</f>
        <v>23/06/2022 10:34:00</v>
      </c>
      <c r="BD1459" t="str">
        <f>""</f>
        <v/>
      </c>
      <c r="BE1459" t="str">
        <f>""</f>
        <v/>
      </c>
      <c r="BF1459" t="str">
        <f t="shared" si="716"/>
        <v>A</v>
      </c>
      <c r="BG1459" t="str">
        <f>""</f>
        <v/>
      </c>
      <c r="BH1459" t="str">
        <f>"0,00"</f>
        <v>0,00</v>
      </c>
      <c r="BI1459" t="str">
        <f t="shared" si="741"/>
        <v>EVENTUAL</v>
      </c>
      <c r="BJ1459" t="str">
        <f t="shared" si="718"/>
        <v>1</v>
      </c>
      <c r="BK1459" t="str">
        <f t="shared" si="719"/>
        <v>Farmacia</v>
      </c>
      <c r="BL1459" t="str">
        <f>""</f>
        <v/>
      </c>
      <c r="BM1459" t="str">
        <f>"NÃO É VARILUX ESPECIALISTA"</f>
        <v>NÃO É VARILUX ESPECIALISTA</v>
      </c>
      <c r="BN1459" t="str">
        <f>"NA"</f>
        <v>NA</v>
      </c>
      <c r="BO1459" t="str">
        <f>"FOCO VARILUX"</f>
        <v>FOCO VARILUX</v>
      </c>
      <c r="BP1459" t="str">
        <f>""</f>
        <v/>
      </c>
      <c r="BQ1459" t="str">
        <f>""</f>
        <v/>
      </c>
      <c r="BR1459" t="str">
        <f>"01/07/2021"</f>
        <v>01/07/2021</v>
      </c>
      <c r="BS1459" t="str">
        <f>"23/06/2022"</f>
        <v>23/06/2022</v>
      </c>
      <c r="BT1459" t="str">
        <f>""</f>
        <v/>
      </c>
      <c r="BU1459" t="str">
        <f>""</f>
        <v/>
      </c>
      <c r="BV1459" t="str">
        <f>""</f>
        <v/>
      </c>
      <c r="BW1459" t="str">
        <f>"828"</f>
        <v>828</v>
      </c>
    </row>
    <row r="1460" spans="1:75" x14ac:dyDescent="0.35">
      <c r="A1460">
        <v>117452</v>
      </c>
      <c r="B1460" t="str">
        <f t="shared" si="712"/>
        <v>A</v>
      </c>
      <c r="C1460" t="str">
        <f t="shared" si="713"/>
        <v>80</v>
      </c>
      <c r="D1460" t="str">
        <f t="shared" si="746"/>
        <v>11121004</v>
      </c>
      <c r="E1460" t="str">
        <f t="shared" si="747"/>
        <v>121004</v>
      </c>
      <c r="F1460" t="str">
        <f t="shared" si="748"/>
        <v>FABIANA GODOY</v>
      </c>
      <c r="G1460" t="str">
        <f>"03028041000184"</f>
        <v>03028041000184</v>
      </c>
      <c r="H1460" t="str">
        <f t="shared" si="742"/>
        <v>0</v>
      </c>
      <c r="I1460" t="str">
        <f t="shared" si="714"/>
        <v>CONTA OPTICA</v>
      </c>
      <c r="J1460" t="str">
        <f>"MARCHESE COMERCIO OTICO LTDA"</f>
        <v>MARCHESE COMERCIO OTICO LTDA</v>
      </c>
      <c r="K1460" t="str">
        <f>"OTICA DOM BOSCO (959)"</f>
        <v>OTICA DOM BOSCO (959)</v>
      </c>
      <c r="L1460" t="str">
        <f>""</f>
        <v/>
      </c>
      <c r="M1460" t="str">
        <f>""</f>
        <v/>
      </c>
      <c r="N1460" t="str">
        <f>"oticadombosco@hotmail.com"</f>
        <v>oticadombosco@hotmail.com</v>
      </c>
      <c r="O1460" t="str">
        <f>""</f>
        <v/>
      </c>
      <c r="P1460" t="str">
        <f>"RUA 901"</f>
        <v>RUA 901</v>
      </c>
      <c r="Q1460" t="str">
        <f>"431"</f>
        <v>431</v>
      </c>
      <c r="R1460" t="str">
        <f>"SALA 03"</f>
        <v>SALA 03</v>
      </c>
      <c r="S1460" t="str">
        <f>"1262"</f>
        <v>1262</v>
      </c>
      <c r="T1460" t="str">
        <f>"88330902"</f>
        <v>88330902</v>
      </c>
      <c r="U1460" t="str">
        <f>"CENTRO"</f>
        <v>CENTRO</v>
      </c>
      <c r="V1460" t="str">
        <f>"BALNEÁRIO CAMBORIÚ"</f>
        <v>BALNEÁRIO CAMBORIÚ</v>
      </c>
      <c r="W1460" t="str">
        <f t="shared" si="744"/>
        <v>SC</v>
      </c>
      <c r="X1460" t="str">
        <f>"47"</f>
        <v>47</v>
      </c>
      <c r="Y1460" t="str">
        <f>"30561221"</f>
        <v>30561221</v>
      </c>
      <c r="Z1460" t="str">
        <f>""</f>
        <v/>
      </c>
      <c r="AA1460" t="str">
        <f>""</f>
        <v/>
      </c>
      <c r="AB1460" t="str">
        <f>""</f>
        <v/>
      </c>
      <c r="AC1460" t="str">
        <f>""</f>
        <v/>
      </c>
      <c r="AD1460" t="str">
        <f>""</f>
        <v/>
      </c>
      <c r="AE1460" t="str">
        <f>""</f>
        <v/>
      </c>
      <c r="AF1460" t="str">
        <f>""</f>
        <v/>
      </c>
      <c r="AG1460" t="str">
        <f>""</f>
        <v/>
      </c>
      <c r="AH1460" t="str">
        <f>""</f>
        <v/>
      </c>
      <c r="AI1460" t="str">
        <f>""</f>
        <v/>
      </c>
      <c r="AJ1460" t="str">
        <f t="shared" ref="AJ1460:AL1461" si="749">"0"</f>
        <v>0</v>
      </c>
      <c r="AK1460" t="str">
        <f t="shared" si="749"/>
        <v>0</v>
      </c>
      <c r="AL1460" t="str">
        <f t="shared" si="749"/>
        <v>0</v>
      </c>
      <c r="AM1460" t="str">
        <f>""</f>
        <v/>
      </c>
      <c r="AN1460" t="str">
        <f>""</f>
        <v/>
      </c>
      <c r="AO1460" t="str">
        <f>""</f>
        <v/>
      </c>
      <c r="AP1460" t="str">
        <f>""</f>
        <v/>
      </c>
      <c r="AQ1460" t="str">
        <f>""</f>
        <v/>
      </c>
      <c r="AR1460" t="str">
        <f>""</f>
        <v/>
      </c>
      <c r="AS1460" t="str">
        <f>""</f>
        <v/>
      </c>
      <c r="AT1460" t="str">
        <f>""</f>
        <v/>
      </c>
      <c r="AU1460" t="str">
        <f>""</f>
        <v/>
      </c>
      <c r="AV1460" t="str">
        <f>""</f>
        <v/>
      </c>
      <c r="AW1460" t="str">
        <f>""</f>
        <v/>
      </c>
      <c r="AX1460" t="str">
        <f>""</f>
        <v/>
      </c>
      <c r="AY1460" t="str">
        <f>""</f>
        <v/>
      </c>
      <c r="AZ1460" t="str">
        <f>""</f>
        <v/>
      </c>
      <c r="BA1460" t="str">
        <f>""</f>
        <v/>
      </c>
      <c r="BB1460" t="str">
        <f>"22/07/2020 08:24:23"</f>
        <v>22/07/2020 08:24:23</v>
      </c>
      <c r="BC1460" t="str">
        <f>""</f>
        <v/>
      </c>
      <c r="BD1460" t="str">
        <f>""</f>
        <v/>
      </c>
      <c r="BE1460" t="str">
        <f>""</f>
        <v/>
      </c>
      <c r="BF1460" t="str">
        <f t="shared" si="716"/>
        <v>A</v>
      </c>
      <c r="BG1460" t="str">
        <f>"0,00"</f>
        <v>0,00</v>
      </c>
      <c r="BH1460" t="str">
        <f>"0,00"</f>
        <v>0,00</v>
      </c>
      <c r="BI1460" t="str">
        <f t="shared" si="741"/>
        <v>EVENTUAL</v>
      </c>
      <c r="BJ1460" t="str">
        <f t="shared" si="718"/>
        <v>1</v>
      </c>
      <c r="BK1460" t="str">
        <f t="shared" si="719"/>
        <v>Farmacia</v>
      </c>
      <c r="BL1460" t="str">
        <f>""</f>
        <v/>
      </c>
      <c r="BM1460" t="str">
        <f>"NÃO É VARILUX ESPECIALISTA"</f>
        <v>NÃO É VARILUX ESPECIALISTA</v>
      </c>
      <c r="BN1460" t="str">
        <f>"NA"</f>
        <v>NA</v>
      </c>
      <c r="BO1460" t="str">
        <f>"FOCO VARILUX DIGITAL"</f>
        <v>FOCO VARILUX DIGITAL</v>
      </c>
      <c r="BP1460" t="str">
        <f>""</f>
        <v/>
      </c>
      <c r="BQ1460" t="str">
        <f>""</f>
        <v/>
      </c>
      <c r="BR1460" t="str">
        <f>"22/07/2020"</f>
        <v>22/07/2020</v>
      </c>
      <c r="BS1460" t="str">
        <f>""</f>
        <v/>
      </c>
      <c r="BT1460" t="str">
        <f>""</f>
        <v/>
      </c>
      <c r="BU1460" t="str">
        <f>""</f>
        <v/>
      </c>
      <c r="BV1460" t="str">
        <f>"7"</f>
        <v>7</v>
      </c>
      <c r="BW1460" t="str">
        <f>"24"</f>
        <v>24</v>
      </c>
    </row>
    <row r="1461" spans="1:75" x14ac:dyDescent="0.35">
      <c r="A1461">
        <v>117516</v>
      </c>
      <c r="B1461" t="str">
        <f t="shared" si="712"/>
        <v>A</v>
      </c>
      <c r="C1461" t="str">
        <f t="shared" si="713"/>
        <v>80</v>
      </c>
      <c r="D1461" t="str">
        <f t="shared" si="746"/>
        <v>11121004</v>
      </c>
      <c r="E1461" t="str">
        <f t="shared" si="747"/>
        <v>121004</v>
      </c>
      <c r="F1461" t="str">
        <f t="shared" si="748"/>
        <v>FABIANA GODOY</v>
      </c>
      <c r="G1461" t="str">
        <f>"02956628000190"</f>
        <v>02956628000190</v>
      </c>
      <c r="H1461" t="str">
        <f t="shared" si="742"/>
        <v>0</v>
      </c>
      <c r="I1461" t="str">
        <f t="shared" si="714"/>
        <v>CONTA OPTICA</v>
      </c>
      <c r="J1461" t="str">
        <f>"MARCIA REGINA FARIAS"</f>
        <v>MARCIA REGINA FARIAS</v>
      </c>
      <c r="K1461" t="str">
        <f>"OTICA NOVO HORIZONTE (1135)"</f>
        <v>OTICA NOVO HORIZONTE (1135)</v>
      </c>
      <c r="L1461" t="str">
        <f>""</f>
        <v/>
      </c>
      <c r="M1461" t="str">
        <f>""</f>
        <v/>
      </c>
      <c r="N1461" t="str">
        <f>"oticanovohorizonte@gmail.com"</f>
        <v>oticanovohorizonte@gmail.com</v>
      </c>
      <c r="O1461" t="str">
        <f>""</f>
        <v/>
      </c>
      <c r="P1461" t="str">
        <f>"RUA LUIZ HIPOLITO DA CRUZ"</f>
        <v>RUA LUIZ HIPOLITO DA CRUZ</v>
      </c>
      <c r="Q1461" t="str">
        <f>"33"</f>
        <v>33</v>
      </c>
      <c r="R1461" t="str">
        <f>"SALA 03"</f>
        <v>SALA 03</v>
      </c>
      <c r="S1461" t="str">
        <f>"1260"</f>
        <v>1260</v>
      </c>
      <c r="T1461" t="str">
        <f>"88200000"</f>
        <v>88200000</v>
      </c>
      <c r="U1461" t="str">
        <f>"CENTRO"</f>
        <v>CENTRO</v>
      </c>
      <c r="V1461" t="str">
        <f>"TIJUCAS"</f>
        <v>TIJUCAS</v>
      </c>
      <c r="W1461" t="str">
        <f t="shared" si="744"/>
        <v>SC</v>
      </c>
      <c r="X1461" t="str">
        <f>"48"</f>
        <v>48</v>
      </c>
      <c r="Y1461" t="str">
        <f>"996058794"</f>
        <v>996058794</v>
      </c>
      <c r="Z1461" t="str">
        <f>""</f>
        <v/>
      </c>
      <c r="AA1461" t="str">
        <f>""</f>
        <v/>
      </c>
      <c r="AB1461" t="str">
        <f>""</f>
        <v/>
      </c>
      <c r="AC1461" t="str">
        <f>""</f>
        <v/>
      </c>
      <c r="AD1461" t="str">
        <f>""</f>
        <v/>
      </c>
      <c r="AE1461" t="str">
        <f>""</f>
        <v/>
      </c>
      <c r="AF1461" t="str">
        <f>""</f>
        <v/>
      </c>
      <c r="AG1461" t="str">
        <f>"S"</f>
        <v>S</v>
      </c>
      <c r="AH1461" t="str">
        <f>""</f>
        <v/>
      </c>
      <c r="AI1461" t="str">
        <f>""</f>
        <v/>
      </c>
      <c r="AJ1461" t="str">
        <f t="shared" si="749"/>
        <v>0</v>
      </c>
      <c r="AK1461" t="str">
        <f t="shared" si="749"/>
        <v>0</v>
      </c>
      <c r="AL1461" t="str">
        <f t="shared" si="749"/>
        <v>0</v>
      </c>
      <c r="AM1461" t="str">
        <f>""</f>
        <v/>
      </c>
      <c r="AN1461" t="str">
        <f>""</f>
        <v/>
      </c>
      <c r="AO1461" t="str">
        <f>""</f>
        <v/>
      </c>
      <c r="AP1461" t="str">
        <f>""</f>
        <v/>
      </c>
      <c r="AQ1461" t="str">
        <f>"N"</f>
        <v>N</v>
      </c>
      <c r="AR1461" t="str">
        <f>"N"</f>
        <v>N</v>
      </c>
      <c r="AS1461" t="str">
        <f>"N"</f>
        <v>N</v>
      </c>
      <c r="AT1461" t="str">
        <f>"N"</f>
        <v>N</v>
      </c>
      <c r="AU1461" t="str">
        <f>"N"</f>
        <v>N</v>
      </c>
      <c r="AV1461" t="str">
        <f>""</f>
        <v/>
      </c>
      <c r="AW1461" t="str">
        <f>""</f>
        <v/>
      </c>
      <c r="AX1461" t="str">
        <f>""</f>
        <v/>
      </c>
      <c r="AY1461" t="str">
        <f>""</f>
        <v/>
      </c>
      <c r="AZ1461" t="str">
        <f>""</f>
        <v/>
      </c>
      <c r="BA1461" t="str">
        <f>""</f>
        <v/>
      </c>
      <c r="BB1461" t="str">
        <f>"22/07/2020 08:24:23"</f>
        <v>22/07/2020 08:24:23</v>
      </c>
      <c r="BC1461" t="str">
        <f>"17/07/2023 16:56:28"</f>
        <v>17/07/2023 16:56:28</v>
      </c>
      <c r="BD1461" t="str">
        <f>""</f>
        <v/>
      </c>
      <c r="BE1461" t="str">
        <f>""</f>
        <v/>
      </c>
      <c r="BF1461" t="str">
        <f t="shared" si="716"/>
        <v>A</v>
      </c>
      <c r="BG1461" t="str">
        <f>"0,00"</f>
        <v>0,00</v>
      </c>
      <c r="BH1461" t="str">
        <f>"0,00"</f>
        <v>0,00</v>
      </c>
      <c r="BI1461" t="str">
        <f>"MENSAL"</f>
        <v>MENSAL</v>
      </c>
      <c r="BJ1461" t="str">
        <f t="shared" si="718"/>
        <v>1</v>
      </c>
      <c r="BK1461" t="str">
        <f t="shared" si="719"/>
        <v>Farmacia</v>
      </c>
      <c r="BL1461" t="str">
        <f>""</f>
        <v/>
      </c>
      <c r="BM1461" t="str">
        <f>"NÃO É VARILUX ESPECIALISTA"</f>
        <v>NÃO É VARILUX ESPECIALISTA</v>
      </c>
      <c r="BN1461" t="str">
        <f>"NA"</f>
        <v>NA</v>
      </c>
      <c r="BO1461" t="str">
        <f>"FOCO VARILUX DIGITAL"</f>
        <v>FOCO VARILUX DIGITAL</v>
      </c>
      <c r="BP1461" t="str">
        <f>""</f>
        <v/>
      </c>
      <c r="BQ1461" t="str">
        <f>""</f>
        <v/>
      </c>
      <c r="BR1461" t="str">
        <f>"22/07/2020"</f>
        <v>22/07/2020</v>
      </c>
      <c r="BS1461" t="str">
        <f>"17/07/2023"</f>
        <v>17/07/2023</v>
      </c>
      <c r="BT1461" t="str">
        <f>""</f>
        <v/>
      </c>
      <c r="BU1461" t="str">
        <f>""</f>
        <v/>
      </c>
      <c r="BV1461" t="str">
        <f>"9"</f>
        <v>9</v>
      </c>
      <c r="BW1461" t="str">
        <f>"21"</f>
        <v>21</v>
      </c>
    </row>
    <row r="1462" spans="1:75" x14ac:dyDescent="0.35">
      <c r="A1462">
        <v>157799</v>
      </c>
      <c r="B1462" t="str">
        <f t="shared" si="712"/>
        <v>A</v>
      </c>
      <c r="C1462" t="str">
        <f t="shared" si="713"/>
        <v>80</v>
      </c>
      <c r="D1462" t="str">
        <f t="shared" si="746"/>
        <v>11121004</v>
      </c>
      <c r="E1462" t="str">
        <f t="shared" si="747"/>
        <v>121004</v>
      </c>
      <c r="F1462" t="str">
        <f t="shared" si="748"/>
        <v>FABIANA GODOY</v>
      </c>
      <c r="G1462" t="str">
        <f>"14712728000150"</f>
        <v>14712728000150</v>
      </c>
      <c r="H1462" t="str">
        <f t="shared" si="742"/>
        <v>0</v>
      </c>
      <c r="I1462" t="str">
        <f t="shared" si="714"/>
        <v>CONTA OPTICA</v>
      </c>
      <c r="J1462" t="str">
        <f>"MARCIO DOS SANTOS PINHEIRO ME"</f>
        <v>MARCIO DOS SANTOS PINHEIRO ME</v>
      </c>
      <c r="K1462" t="str">
        <f>"OTICA EVIDENCE (1887)"</f>
        <v>OTICA EVIDENCE (1887)</v>
      </c>
      <c r="L1462" t="str">
        <f>""</f>
        <v/>
      </c>
      <c r="M1462" t="str">
        <f>""</f>
        <v/>
      </c>
      <c r="N1462" t="str">
        <f>"OTICA.OFTALMICA@GMAIL.COM"</f>
        <v>OTICA.OFTALMICA@GMAIL.COM</v>
      </c>
      <c r="O1462" t="str">
        <f>""</f>
        <v/>
      </c>
      <c r="P1462" t="str">
        <f>"RUA 252"</f>
        <v>RUA 252</v>
      </c>
      <c r="Q1462" t="str">
        <f>"120"</f>
        <v>120</v>
      </c>
      <c r="R1462" t="str">
        <f>"SALA01"</f>
        <v>SALA01</v>
      </c>
      <c r="S1462" t="str">
        <f>"1260"</f>
        <v>1260</v>
      </c>
      <c r="T1462" t="str">
        <f>"88220000"</f>
        <v>88220000</v>
      </c>
      <c r="U1462" t="str">
        <f>"MEIA PRAIA"</f>
        <v>MEIA PRAIA</v>
      </c>
      <c r="V1462" t="str">
        <f>"ITAPEMA"</f>
        <v>ITAPEMA</v>
      </c>
      <c r="W1462" t="str">
        <f t="shared" si="744"/>
        <v>SC</v>
      </c>
      <c r="X1462" t="str">
        <f>"47"</f>
        <v>47</v>
      </c>
      <c r="Y1462" t="str">
        <f>"33445230"</f>
        <v>33445230</v>
      </c>
      <c r="Z1462" t="str">
        <f>""</f>
        <v/>
      </c>
      <c r="AA1462" t="str">
        <f>""</f>
        <v/>
      </c>
      <c r="AB1462" t="str">
        <f>""</f>
        <v/>
      </c>
      <c r="AC1462" t="str">
        <f>""</f>
        <v/>
      </c>
      <c r="AD1462" t="str">
        <f>""</f>
        <v/>
      </c>
      <c r="AE1462" t="str">
        <f>""</f>
        <v/>
      </c>
      <c r="AF1462" t="str">
        <f>""</f>
        <v/>
      </c>
      <c r="AG1462" t="str">
        <f>""</f>
        <v/>
      </c>
      <c r="AH1462" t="str">
        <f>""</f>
        <v/>
      </c>
      <c r="AI1462" t="str">
        <f>""</f>
        <v/>
      </c>
      <c r="AJ1462" t="str">
        <f>""</f>
        <v/>
      </c>
      <c r="AK1462" t="str">
        <f>""</f>
        <v/>
      </c>
      <c r="AL1462" t="str">
        <f>""</f>
        <v/>
      </c>
      <c r="AM1462" t="str">
        <f>""</f>
        <v/>
      </c>
      <c r="AN1462" t="str">
        <f>""</f>
        <v/>
      </c>
      <c r="AO1462" t="str">
        <f>""</f>
        <v/>
      </c>
      <c r="AP1462" t="str">
        <f>""</f>
        <v/>
      </c>
      <c r="AQ1462" t="str">
        <f>""</f>
        <v/>
      </c>
      <c r="AR1462" t="str">
        <f>""</f>
        <v/>
      </c>
      <c r="AS1462" t="str">
        <f>""</f>
        <v/>
      </c>
      <c r="AT1462" t="str">
        <f>""</f>
        <v/>
      </c>
      <c r="AU1462" t="str">
        <f>""</f>
        <v/>
      </c>
      <c r="AV1462" t="str">
        <f>""</f>
        <v/>
      </c>
      <c r="AW1462" t="str">
        <f>""</f>
        <v/>
      </c>
      <c r="AX1462" t="str">
        <f>""</f>
        <v/>
      </c>
      <c r="AY1462" t="str">
        <f>""</f>
        <v/>
      </c>
      <c r="AZ1462" t="str">
        <f>""</f>
        <v/>
      </c>
      <c r="BA1462" t="str">
        <f>""</f>
        <v/>
      </c>
      <c r="BB1462" t="str">
        <f>"11/07/2023 02:26:32"</f>
        <v>11/07/2023 02:26:32</v>
      </c>
      <c r="BC1462" t="str">
        <f>""</f>
        <v/>
      </c>
      <c r="BD1462" t="str">
        <f>""</f>
        <v/>
      </c>
      <c r="BE1462" t="str">
        <f>""</f>
        <v/>
      </c>
      <c r="BF1462" t="str">
        <f t="shared" si="716"/>
        <v>A</v>
      </c>
      <c r="BG1462" t="str">
        <f>""</f>
        <v/>
      </c>
      <c r="BH1462" t="str">
        <f>""</f>
        <v/>
      </c>
      <c r="BI1462" t="str">
        <f>"EVENTUAL"</f>
        <v>EVENTUAL</v>
      </c>
      <c r="BJ1462" t="str">
        <f t="shared" si="718"/>
        <v>1</v>
      </c>
      <c r="BK1462" t="str">
        <f t="shared" si="719"/>
        <v>Farmacia</v>
      </c>
      <c r="BL1462" t="str">
        <f>""</f>
        <v/>
      </c>
      <c r="BM1462" t="str">
        <f>""</f>
        <v/>
      </c>
      <c r="BN1462" t="str">
        <f>""</f>
        <v/>
      </c>
      <c r="BO1462" t="str">
        <f>""</f>
        <v/>
      </c>
      <c r="BP1462" t="str">
        <f>""</f>
        <v/>
      </c>
      <c r="BQ1462" t="str">
        <f>""</f>
        <v/>
      </c>
      <c r="BR1462" t="str">
        <f>"11/07/2023"</f>
        <v>11/07/2023</v>
      </c>
      <c r="BS1462" t="str">
        <f>""</f>
        <v/>
      </c>
      <c r="BT1462" t="str">
        <f>""</f>
        <v/>
      </c>
      <c r="BU1462" t="str">
        <f>""</f>
        <v/>
      </c>
      <c r="BV1462" t="str">
        <f>""</f>
        <v/>
      </c>
      <c r="BW1462" t="str">
        <f>"Não visitado"</f>
        <v>Não visitado</v>
      </c>
    </row>
    <row r="1463" spans="1:75" x14ac:dyDescent="0.35">
      <c r="A1463">
        <v>137695</v>
      </c>
      <c r="B1463" t="str">
        <f t="shared" si="712"/>
        <v>A</v>
      </c>
      <c r="C1463" t="str">
        <f t="shared" si="713"/>
        <v>80</v>
      </c>
      <c r="D1463" t="str">
        <f t="shared" si="746"/>
        <v>11121004</v>
      </c>
      <c r="E1463" t="str">
        <f t="shared" si="747"/>
        <v>121004</v>
      </c>
      <c r="F1463" t="str">
        <f t="shared" si="748"/>
        <v>FABIANA GODOY</v>
      </c>
      <c r="G1463" t="str">
        <f>"81620981000171"</f>
        <v>81620981000171</v>
      </c>
      <c r="H1463" t="str">
        <f t="shared" si="742"/>
        <v>0</v>
      </c>
      <c r="I1463" t="str">
        <f t="shared" si="714"/>
        <v>CONTA OPTICA</v>
      </c>
      <c r="J1463" t="str">
        <f>"MARCIO SOARES ME"</f>
        <v>MARCIO SOARES ME</v>
      </c>
      <c r="K1463" t="str">
        <f>"MARCIO SOARES ME (669)"</f>
        <v>MARCIO SOARES ME (669)</v>
      </c>
      <c r="L1463" t="str">
        <f>""</f>
        <v/>
      </c>
      <c r="M1463" t="str">
        <f>""</f>
        <v/>
      </c>
      <c r="N1463" t="str">
        <f>"relojoariasoares@gmail.com"</f>
        <v>relojoariasoares@gmail.com</v>
      </c>
      <c r="O1463" t="str">
        <f>""</f>
        <v/>
      </c>
      <c r="P1463" t="str">
        <f>"RUA ISIDORO MAES"</f>
        <v>RUA ISIDORO MAES</v>
      </c>
      <c r="Q1463" t="str">
        <f>"45"</f>
        <v>45</v>
      </c>
      <c r="R1463" t="str">
        <f>""</f>
        <v/>
      </c>
      <c r="S1463" t="str">
        <f>"1261"</f>
        <v>1261</v>
      </c>
      <c r="T1463" t="str">
        <f>"88320000"</f>
        <v>88320000</v>
      </c>
      <c r="U1463" t="str">
        <f>"CENTRO"</f>
        <v>CENTRO</v>
      </c>
      <c r="V1463" t="str">
        <f>"ILHOTA"</f>
        <v>ILHOTA</v>
      </c>
      <c r="W1463" t="str">
        <f t="shared" si="744"/>
        <v>SC</v>
      </c>
      <c r="X1463" t="str">
        <f>"47"</f>
        <v>47</v>
      </c>
      <c r="Y1463" t="str">
        <f>"33431003"</f>
        <v>33431003</v>
      </c>
      <c r="Z1463" t="str">
        <f>""</f>
        <v/>
      </c>
      <c r="AA1463" t="str">
        <f>""</f>
        <v/>
      </c>
      <c r="AB1463" t="str">
        <f>""</f>
        <v/>
      </c>
      <c r="AC1463" t="str">
        <f>""</f>
        <v/>
      </c>
      <c r="AD1463" t="str">
        <f>""</f>
        <v/>
      </c>
      <c r="AE1463" t="str">
        <f>""</f>
        <v/>
      </c>
      <c r="AF1463" t="str">
        <f>""</f>
        <v/>
      </c>
      <c r="AG1463" t="str">
        <f>"S"</f>
        <v>S</v>
      </c>
      <c r="AH1463" t="str">
        <f>""</f>
        <v/>
      </c>
      <c r="AI1463" t="str">
        <f>""</f>
        <v/>
      </c>
      <c r="AJ1463" t="str">
        <f>""</f>
        <v/>
      </c>
      <c r="AK1463" t="str">
        <f>""</f>
        <v/>
      </c>
      <c r="AL1463" t="str">
        <f>""</f>
        <v/>
      </c>
      <c r="AM1463" t="str">
        <f>""</f>
        <v/>
      </c>
      <c r="AN1463" t="str">
        <f>""</f>
        <v/>
      </c>
      <c r="AO1463" t="str">
        <f>""</f>
        <v/>
      </c>
      <c r="AP1463" t="str">
        <f>""</f>
        <v/>
      </c>
      <c r="AQ1463" t="str">
        <f t="shared" ref="AQ1463:AU1467" si="750">"N"</f>
        <v>N</v>
      </c>
      <c r="AR1463" t="str">
        <f t="shared" si="750"/>
        <v>N</v>
      </c>
      <c r="AS1463" t="str">
        <f t="shared" si="750"/>
        <v>N</v>
      </c>
      <c r="AT1463" t="str">
        <f t="shared" si="750"/>
        <v>N</v>
      </c>
      <c r="AU1463" t="str">
        <f t="shared" si="750"/>
        <v>N</v>
      </c>
      <c r="AV1463" t="str">
        <f>""</f>
        <v/>
      </c>
      <c r="AW1463" t="str">
        <f>""</f>
        <v/>
      </c>
      <c r="AX1463" t="str">
        <f>""</f>
        <v/>
      </c>
      <c r="AY1463" t="str">
        <f>""</f>
        <v/>
      </c>
      <c r="AZ1463" t="str">
        <f>""</f>
        <v/>
      </c>
      <c r="BA1463" t="str">
        <f>""</f>
        <v/>
      </c>
      <c r="BB1463" t="str">
        <f>"01/07/2021 13:53:04"</f>
        <v>01/07/2021 13:53:04</v>
      </c>
      <c r="BC1463" t="str">
        <f>"11/03/2022 17:32:54"</f>
        <v>11/03/2022 17:32:54</v>
      </c>
      <c r="BD1463" t="str">
        <f>""</f>
        <v/>
      </c>
      <c r="BE1463" t="str">
        <f>""</f>
        <v/>
      </c>
      <c r="BF1463" t="str">
        <f t="shared" si="716"/>
        <v>A</v>
      </c>
      <c r="BG1463" t="str">
        <f>""</f>
        <v/>
      </c>
      <c r="BH1463" t="str">
        <f>"0,00"</f>
        <v>0,00</v>
      </c>
      <c r="BI1463" t="str">
        <f>"EVENTUAL"</f>
        <v>EVENTUAL</v>
      </c>
      <c r="BJ1463" t="str">
        <f t="shared" si="718"/>
        <v>1</v>
      </c>
      <c r="BK1463" t="str">
        <f t="shared" si="719"/>
        <v>Farmacia</v>
      </c>
      <c r="BL1463" t="str">
        <f>""</f>
        <v/>
      </c>
      <c r="BM1463" t="str">
        <f>"VARILUX ESPECIALISTA SELECT"</f>
        <v>VARILUX ESPECIALISTA SELECT</v>
      </c>
      <c r="BN1463" t="str">
        <f>"NA"</f>
        <v>NA</v>
      </c>
      <c r="BO1463" t="str">
        <f>"FOCO VARILUX DIGITAL"</f>
        <v>FOCO VARILUX DIGITAL</v>
      </c>
      <c r="BP1463" t="str">
        <f>""</f>
        <v/>
      </c>
      <c r="BQ1463" t="str">
        <f>""</f>
        <v/>
      </c>
      <c r="BR1463" t="str">
        <f>"01/07/2021"</f>
        <v>01/07/2021</v>
      </c>
      <c r="BS1463" t="str">
        <f>"11/03/2022"</f>
        <v>11/03/2022</v>
      </c>
      <c r="BT1463" t="str">
        <f>""</f>
        <v/>
      </c>
      <c r="BU1463" t="str">
        <f>""</f>
        <v/>
      </c>
      <c r="BV1463" t="str">
        <f>""</f>
        <v/>
      </c>
      <c r="BW1463" t="str">
        <f>"18"</f>
        <v>18</v>
      </c>
    </row>
    <row r="1464" spans="1:75" x14ac:dyDescent="0.35">
      <c r="A1464">
        <v>137696</v>
      </c>
      <c r="B1464" t="str">
        <f t="shared" si="712"/>
        <v>A</v>
      </c>
      <c r="C1464" t="str">
        <f t="shared" si="713"/>
        <v>80</v>
      </c>
      <c r="D1464" t="str">
        <f t="shared" si="746"/>
        <v>11121004</v>
      </c>
      <c r="E1464" t="str">
        <f t="shared" si="747"/>
        <v>121004</v>
      </c>
      <c r="F1464" t="str">
        <f t="shared" si="748"/>
        <v>FABIANA GODOY</v>
      </c>
      <c r="G1464" t="str">
        <f>"73401838000160"</f>
        <v>73401838000160</v>
      </c>
      <c r="H1464" t="str">
        <f t="shared" si="742"/>
        <v>0</v>
      </c>
      <c r="I1464" t="str">
        <f t="shared" si="714"/>
        <v>CONTA OPTICA</v>
      </c>
      <c r="J1464" t="str">
        <f>"MARCOS ROBERTO TRISOTTO ME"</f>
        <v>MARCOS ROBERTO TRISOTTO ME</v>
      </c>
      <c r="K1464" t="str">
        <f>"RELOJOARIA E OTICA RELOMAR (1798)"</f>
        <v>RELOJOARIA E OTICA RELOMAR (1798)</v>
      </c>
      <c r="L1464" t="str">
        <f>""</f>
        <v/>
      </c>
      <c r="M1464" t="str">
        <f>""</f>
        <v/>
      </c>
      <c r="N1464" t="str">
        <f>"relomar@tph.com"</f>
        <v>relomar@tph.com</v>
      </c>
      <c r="O1464" t="str">
        <f>""</f>
        <v/>
      </c>
      <c r="P1464" t="str">
        <f>"AVENIDA TIRADENTES"</f>
        <v>AVENIDA TIRADENTES</v>
      </c>
      <c r="Q1464" t="str">
        <f>"155"</f>
        <v>155</v>
      </c>
      <c r="R1464" t="str">
        <f>"SALA"</f>
        <v>SALA</v>
      </c>
      <c r="S1464" t="str">
        <f>"1275"</f>
        <v>1275</v>
      </c>
      <c r="T1464" t="str">
        <f>"89121000"</f>
        <v>89121000</v>
      </c>
      <c r="U1464" t="str">
        <f>"CENTRO"</f>
        <v>CENTRO</v>
      </c>
      <c r="V1464" t="str">
        <f>"RIO DOS CEDROS"</f>
        <v>RIO DOS CEDROS</v>
      </c>
      <c r="W1464" t="str">
        <f t="shared" si="744"/>
        <v>SC</v>
      </c>
      <c r="X1464" t="str">
        <f>"47"</f>
        <v>47</v>
      </c>
      <c r="Y1464" t="str">
        <f>"33861441"</f>
        <v>33861441</v>
      </c>
      <c r="Z1464" t="str">
        <f>""</f>
        <v/>
      </c>
      <c r="AA1464" t="str">
        <f>""</f>
        <v/>
      </c>
      <c r="AB1464" t="str">
        <f>""</f>
        <v/>
      </c>
      <c r="AC1464" t="str">
        <f>""</f>
        <v/>
      </c>
      <c r="AD1464" t="str">
        <f>""</f>
        <v/>
      </c>
      <c r="AE1464" t="str">
        <f>""</f>
        <v/>
      </c>
      <c r="AF1464" t="str">
        <f>""</f>
        <v/>
      </c>
      <c r="AG1464" t="str">
        <f>"S"</f>
        <v>S</v>
      </c>
      <c r="AH1464" t="str">
        <f>""</f>
        <v/>
      </c>
      <c r="AI1464" t="str">
        <f>""</f>
        <v/>
      </c>
      <c r="AJ1464" t="str">
        <f>""</f>
        <v/>
      </c>
      <c r="AK1464" t="str">
        <f>""</f>
        <v/>
      </c>
      <c r="AL1464" t="str">
        <f>""</f>
        <v/>
      </c>
      <c r="AM1464" t="str">
        <f>""</f>
        <v/>
      </c>
      <c r="AN1464" t="str">
        <f>""</f>
        <v/>
      </c>
      <c r="AO1464" t="str">
        <f>""</f>
        <v/>
      </c>
      <c r="AP1464" t="str">
        <f>""</f>
        <v/>
      </c>
      <c r="AQ1464" t="str">
        <f t="shared" si="750"/>
        <v>N</v>
      </c>
      <c r="AR1464" t="str">
        <f t="shared" si="750"/>
        <v>N</v>
      </c>
      <c r="AS1464" t="str">
        <f t="shared" si="750"/>
        <v>N</v>
      </c>
      <c r="AT1464" t="str">
        <f t="shared" si="750"/>
        <v>N</v>
      </c>
      <c r="AU1464" t="str">
        <f t="shared" si="750"/>
        <v>N</v>
      </c>
      <c r="AV1464" t="str">
        <f>""</f>
        <v/>
      </c>
      <c r="AW1464" t="str">
        <f>""</f>
        <v/>
      </c>
      <c r="AX1464" t="str">
        <f>""</f>
        <v/>
      </c>
      <c r="AY1464" t="str">
        <f>""</f>
        <v/>
      </c>
      <c r="AZ1464" t="str">
        <f>""</f>
        <v/>
      </c>
      <c r="BA1464" t="str">
        <f>""</f>
        <v/>
      </c>
      <c r="BB1464" t="str">
        <f>"01/07/2021 13:53:04"</f>
        <v>01/07/2021 13:53:04</v>
      </c>
      <c r="BC1464" t="str">
        <f>"08/11/2021 11:06:59"</f>
        <v>08/11/2021 11:06:59</v>
      </c>
      <c r="BD1464" t="str">
        <f>""</f>
        <v/>
      </c>
      <c r="BE1464" t="str">
        <f>""</f>
        <v/>
      </c>
      <c r="BF1464" t="str">
        <f t="shared" si="716"/>
        <v>A</v>
      </c>
      <c r="BG1464" t="str">
        <f>""</f>
        <v/>
      </c>
      <c r="BH1464" t="str">
        <f>"0,00"</f>
        <v>0,00</v>
      </c>
      <c r="BI1464" t="str">
        <f>"EVENTUAL"</f>
        <v>EVENTUAL</v>
      </c>
      <c r="BJ1464" t="str">
        <f t="shared" si="718"/>
        <v>1</v>
      </c>
      <c r="BK1464" t="str">
        <f t="shared" si="719"/>
        <v>Farmacia</v>
      </c>
      <c r="BL1464" t="str">
        <f>""</f>
        <v/>
      </c>
      <c r="BM1464" t="str">
        <f>"NÃO É VARILUX ESPECIALISTA"</f>
        <v>NÃO É VARILUX ESPECIALISTA</v>
      </c>
      <c r="BN1464" t="str">
        <f>"NA"</f>
        <v>NA</v>
      </c>
      <c r="BO1464" t="str">
        <f>"OUTROS"</f>
        <v>OUTROS</v>
      </c>
      <c r="BP1464" t="str">
        <f>""</f>
        <v/>
      </c>
      <c r="BQ1464" t="str">
        <f>""</f>
        <v/>
      </c>
      <c r="BR1464" t="str">
        <f>"01/07/2021"</f>
        <v>01/07/2021</v>
      </c>
      <c r="BS1464" t="str">
        <f>"08/11/2021"</f>
        <v>08/11/2021</v>
      </c>
      <c r="BT1464" t="str">
        <f>""</f>
        <v/>
      </c>
      <c r="BU1464" t="str">
        <f>""</f>
        <v/>
      </c>
      <c r="BV1464" t="str">
        <f>""</f>
        <v/>
      </c>
      <c r="BW1464" t="str">
        <f>"126"</f>
        <v>126</v>
      </c>
    </row>
    <row r="1465" spans="1:75" x14ac:dyDescent="0.35">
      <c r="A1465">
        <v>137697</v>
      </c>
      <c r="B1465" t="str">
        <f t="shared" si="712"/>
        <v>A</v>
      </c>
      <c r="C1465" t="str">
        <f t="shared" si="713"/>
        <v>80</v>
      </c>
      <c r="D1465" t="str">
        <f t="shared" si="746"/>
        <v>11121004</v>
      </c>
      <c r="E1465" t="str">
        <f t="shared" si="747"/>
        <v>121004</v>
      </c>
      <c r="F1465" t="str">
        <f t="shared" si="748"/>
        <v>FABIANA GODOY</v>
      </c>
      <c r="G1465" t="str">
        <f>"35524729000141"</f>
        <v>35524729000141</v>
      </c>
      <c r="H1465" t="str">
        <f t="shared" si="742"/>
        <v>0</v>
      </c>
      <c r="I1465" t="str">
        <f t="shared" si="714"/>
        <v>CONTA OPTICA</v>
      </c>
      <c r="J1465" t="str">
        <f>"MARGARETE ALVES DE CARVALHO MONDADORI 03169832921"</f>
        <v>MARGARETE ALVES DE CARVALHO MONDADORI 03169832921</v>
      </c>
      <c r="K1465" t="str">
        <f>"MAALCA (4126)"</f>
        <v>MAALCA (4126)</v>
      </c>
      <c r="L1465" t="str">
        <f>""</f>
        <v/>
      </c>
      <c r="M1465" t="str">
        <f>""</f>
        <v/>
      </c>
      <c r="N1465" t="str">
        <f>"atendimento@maalca.com.br"</f>
        <v>atendimento@maalca.com.br</v>
      </c>
      <c r="O1465" t="str">
        <f>""</f>
        <v/>
      </c>
      <c r="P1465" t="str">
        <f>"AVENIDA BRASIL 1271"</f>
        <v>AVENIDA BRASIL 1271</v>
      </c>
      <c r="Q1465" t="str">
        <f>"1271"</f>
        <v>1271</v>
      </c>
      <c r="R1465" t="str">
        <f>"SALA LL22"</f>
        <v>SALA LL22</v>
      </c>
      <c r="S1465" t="str">
        <f>"1262"</f>
        <v>1262</v>
      </c>
      <c r="T1465" t="str">
        <f>"88330900"</f>
        <v>88330900</v>
      </c>
      <c r="U1465" t="str">
        <f>"CENTRO"</f>
        <v>CENTRO</v>
      </c>
      <c r="V1465" t="str">
        <f>"BALNEÁRIO CAMBORIÚ"</f>
        <v>BALNEÁRIO CAMBORIÚ</v>
      </c>
      <c r="W1465" t="str">
        <f t="shared" si="744"/>
        <v>SC</v>
      </c>
      <c r="X1465" t="str">
        <f>"49"</f>
        <v>49</v>
      </c>
      <c r="Y1465" t="str">
        <f>"999364172"</f>
        <v>999364172</v>
      </c>
      <c r="Z1465" t="str">
        <f>""</f>
        <v/>
      </c>
      <c r="AA1465" t="str">
        <f>""</f>
        <v/>
      </c>
      <c r="AB1465" t="str">
        <f>""</f>
        <v/>
      </c>
      <c r="AC1465" t="str">
        <f>""</f>
        <v/>
      </c>
      <c r="AD1465" t="str">
        <f>""</f>
        <v/>
      </c>
      <c r="AE1465" t="str">
        <f>""</f>
        <v/>
      </c>
      <c r="AF1465" t="str">
        <f>""</f>
        <v/>
      </c>
      <c r="AG1465" t="str">
        <f>"S"</f>
        <v>S</v>
      </c>
      <c r="AH1465" t="str">
        <f>""</f>
        <v/>
      </c>
      <c r="AI1465" t="str">
        <f>""</f>
        <v/>
      </c>
      <c r="AJ1465" t="str">
        <f>""</f>
        <v/>
      </c>
      <c r="AK1465" t="str">
        <f>""</f>
        <v/>
      </c>
      <c r="AL1465" t="str">
        <f>""</f>
        <v/>
      </c>
      <c r="AM1465" t="str">
        <f>""</f>
        <v/>
      </c>
      <c r="AN1465" t="str">
        <f>""</f>
        <v/>
      </c>
      <c r="AO1465" t="str">
        <f>""</f>
        <v/>
      </c>
      <c r="AP1465" t="str">
        <f>""</f>
        <v/>
      </c>
      <c r="AQ1465" t="str">
        <f t="shared" si="750"/>
        <v>N</v>
      </c>
      <c r="AR1465" t="str">
        <f t="shared" si="750"/>
        <v>N</v>
      </c>
      <c r="AS1465" t="str">
        <f t="shared" si="750"/>
        <v>N</v>
      </c>
      <c r="AT1465" t="str">
        <f t="shared" si="750"/>
        <v>N</v>
      </c>
      <c r="AU1465" t="str">
        <f t="shared" si="750"/>
        <v>N</v>
      </c>
      <c r="AV1465" t="str">
        <f>""</f>
        <v/>
      </c>
      <c r="AW1465" t="str">
        <f>""</f>
        <v/>
      </c>
      <c r="AX1465" t="str">
        <f>""</f>
        <v/>
      </c>
      <c r="AY1465" t="str">
        <f>""</f>
        <v/>
      </c>
      <c r="AZ1465" t="str">
        <f>""</f>
        <v/>
      </c>
      <c r="BA1465" t="str">
        <f>""</f>
        <v/>
      </c>
      <c r="BB1465" t="str">
        <f>"01/07/2021 13:53:04"</f>
        <v>01/07/2021 13:53:04</v>
      </c>
      <c r="BC1465" t="str">
        <f>"19/04/2022 11:45:18"</f>
        <v>19/04/2022 11:45:18</v>
      </c>
      <c r="BD1465" t="str">
        <f>""</f>
        <v/>
      </c>
      <c r="BE1465" t="str">
        <f>""</f>
        <v/>
      </c>
      <c r="BF1465" t="str">
        <f t="shared" si="716"/>
        <v>A</v>
      </c>
      <c r="BG1465" t="str">
        <f>""</f>
        <v/>
      </c>
      <c r="BH1465" t="str">
        <f>"0,00"</f>
        <v>0,00</v>
      </c>
      <c r="BI1465" t="str">
        <f>"EVENTUAL"</f>
        <v>EVENTUAL</v>
      </c>
      <c r="BJ1465" t="str">
        <f t="shared" si="718"/>
        <v>1</v>
      </c>
      <c r="BK1465" t="str">
        <f t="shared" si="719"/>
        <v>Farmacia</v>
      </c>
      <c r="BL1465" t="str">
        <f>""</f>
        <v/>
      </c>
      <c r="BM1465" t="str">
        <f>"NÃO É VARILUX ESPECIALISTA"</f>
        <v>NÃO É VARILUX ESPECIALISTA</v>
      </c>
      <c r="BN1465" t="str">
        <f>"NA"</f>
        <v>NA</v>
      </c>
      <c r="BO1465" t="str">
        <f>"FOCO VARILUX DIGITAL"</f>
        <v>FOCO VARILUX DIGITAL</v>
      </c>
      <c r="BP1465" t="str">
        <f>""</f>
        <v/>
      </c>
      <c r="BQ1465" t="str">
        <f>""</f>
        <v/>
      </c>
      <c r="BR1465" t="str">
        <f>"01/07/2021"</f>
        <v>01/07/2021</v>
      </c>
      <c r="BS1465" t="str">
        <f>"19/04/2022"</f>
        <v>19/04/2022</v>
      </c>
      <c r="BT1465" t="str">
        <f>""</f>
        <v/>
      </c>
      <c r="BU1465" t="str">
        <f>""</f>
        <v/>
      </c>
      <c r="BV1465" t="str">
        <f>""</f>
        <v/>
      </c>
      <c r="BW1465" t="str">
        <f>"7"</f>
        <v>7</v>
      </c>
    </row>
    <row r="1466" spans="1:75" x14ac:dyDescent="0.35">
      <c r="A1466">
        <v>117456</v>
      </c>
      <c r="B1466" t="str">
        <f t="shared" si="712"/>
        <v>A</v>
      </c>
      <c r="C1466" t="str">
        <f t="shared" si="713"/>
        <v>80</v>
      </c>
      <c r="D1466" t="str">
        <f t="shared" si="746"/>
        <v>11121004</v>
      </c>
      <c r="E1466" t="str">
        <f t="shared" si="747"/>
        <v>121004</v>
      </c>
      <c r="F1466" t="str">
        <f t="shared" si="748"/>
        <v>FABIANA GODOY</v>
      </c>
      <c r="G1466" t="str">
        <f>"06084126000178"</f>
        <v>06084126000178</v>
      </c>
      <c r="H1466" t="str">
        <f t="shared" si="742"/>
        <v>0</v>
      </c>
      <c r="I1466" t="str">
        <f t="shared" si="714"/>
        <v>CONTA OPTICA</v>
      </c>
      <c r="J1466" t="str">
        <f>"MARIA  BUENO OTICA CENTER LTDA ME"</f>
        <v>MARIA  BUENO OTICA CENTER LTDA ME</v>
      </c>
      <c r="K1466" t="str">
        <f>"OTICA ITAJAI (2067)"</f>
        <v>OTICA ITAJAI (2067)</v>
      </c>
      <c r="L1466" t="str">
        <f>""</f>
        <v/>
      </c>
      <c r="M1466" t="str">
        <f>""</f>
        <v/>
      </c>
      <c r="N1466" t="str">
        <f>"gugabatista26@hotmail.com"</f>
        <v>gugabatista26@hotmail.com</v>
      </c>
      <c r="O1466" t="str">
        <f>""</f>
        <v/>
      </c>
      <c r="P1466" t="str">
        <f>"RUA FELIPE SCHMIDT"</f>
        <v>RUA FELIPE SCHMIDT</v>
      </c>
      <c r="Q1466" t="str">
        <f>"384"</f>
        <v>384</v>
      </c>
      <c r="R1466" t="str">
        <f>""</f>
        <v/>
      </c>
      <c r="S1466" t="str">
        <f>"1261"</f>
        <v>1261</v>
      </c>
      <c r="T1466" t="str">
        <f>"88301041"</f>
        <v>88301041</v>
      </c>
      <c r="U1466" t="str">
        <f>"CENTRO"</f>
        <v>CENTRO</v>
      </c>
      <c r="V1466" t="str">
        <f>"ITAJAÍ"</f>
        <v>ITAJAÍ</v>
      </c>
      <c r="W1466" t="str">
        <f t="shared" si="744"/>
        <v>SC</v>
      </c>
      <c r="X1466" t="str">
        <f t="shared" ref="X1466:X1472" si="751">"47"</f>
        <v>47</v>
      </c>
      <c r="Y1466" t="str">
        <f>"33493206"</f>
        <v>33493206</v>
      </c>
      <c r="Z1466" t="str">
        <f>""</f>
        <v/>
      </c>
      <c r="AA1466" t="str">
        <f>""</f>
        <v/>
      </c>
      <c r="AB1466" t="str">
        <f>""</f>
        <v/>
      </c>
      <c r="AC1466" t="str">
        <f>""</f>
        <v/>
      </c>
      <c r="AD1466" t="str">
        <f>""</f>
        <v/>
      </c>
      <c r="AE1466" t="str">
        <f>""</f>
        <v/>
      </c>
      <c r="AF1466" t="str">
        <f>""</f>
        <v/>
      </c>
      <c r="AG1466" t="str">
        <f>"S"</f>
        <v>S</v>
      </c>
      <c r="AH1466" t="str">
        <f>""</f>
        <v/>
      </c>
      <c r="AI1466" t="str">
        <f>""</f>
        <v/>
      </c>
      <c r="AJ1466" t="str">
        <f>"0"</f>
        <v>0</v>
      </c>
      <c r="AK1466" t="str">
        <f>"0"</f>
        <v>0</v>
      </c>
      <c r="AL1466" t="str">
        <f>"0"</f>
        <v>0</v>
      </c>
      <c r="AM1466" t="str">
        <f>""</f>
        <v/>
      </c>
      <c r="AN1466" t="str">
        <f>""</f>
        <v/>
      </c>
      <c r="AO1466" t="str">
        <f>""</f>
        <v/>
      </c>
      <c r="AP1466" t="str">
        <f>""</f>
        <v/>
      </c>
      <c r="AQ1466" t="str">
        <f t="shared" si="750"/>
        <v>N</v>
      </c>
      <c r="AR1466" t="str">
        <f t="shared" si="750"/>
        <v>N</v>
      </c>
      <c r="AS1466" t="str">
        <f t="shared" si="750"/>
        <v>N</v>
      </c>
      <c r="AT1466" t="str">
        <f t="shared" si="750"/>
        <v>N</v>
      </c>
      <c r="AU1466" t="str">
        <f t="shared" si="750"/>
        <v>N</v>
      </c>
      <c r="AV1466" t="str">
        <f>""</f>
        <v/>
      </c>
      <c r="AW1466" t="str">
        <f>""</f>
        <v/>
      </c>
      <c r="AX1466" t="str">
        <f>""</f>
        <v/>
      </c>
      <c r="AY1466" t="str">
        <f>""</f>
        <v/>
      </c>
      <c r="AZ1466" t="str">
        <f>""</f>
        <v/>
      </c>
      <c r="BA1466" t="str">
        <f>""</f>
        <v/>
      </c>
      <c r="BB1466" t="str">
        <f>"22/07/2020 08:24:23"</f>
        <v>22/07/2020 08:24:23</v>
      </c>
      <c r="BC1466" t="str">
        <f>"14/07/2023 10:29:07"</f>
        <v>14/07/2023 10:29:07</v>
      </c>
      <c r="BD1466" t="str">
        <f>""</f>
        <v/>
      </c>
      <c r="BE1466" t="str">
        <f>""</f>
        <v/>
      </c>
      <c r="BF1466" t="str">
        <f t="shared" si="716"/>
        <v>A</v>
      </c>
      <c r="BG1466" t="str">
        <f>"0,00"</f>
        <v>0,00</v>
      </c>
      <c r="BH1466" t="str">
        <f>"0,00"</f>
        <v>0,00</v>
      </c>
      <c r="BI1466" t="str">
        <f>"MENSAL"</f>
        <v>MENSAL</v>
      </c>
      <c r="BJ1466" t="str">
        <f t="shared" si="718"/>
        <v>1</v>
      </c>
      <c r="BK1466" t="str">
        <f t="shared" si="719"/>
        <v>Farmacia</v>
      </c>
      <c r="BL1466" t="str">
        <f>""</f>
        <v/>
      </c>
      <c r="BM1466" t="str">
        <f>"NÃO É VARILUX ESPECIALISTA"</f>
        <v>NÃO É VARILUX ESPECIALISTA</v>
      </c>
      <c r="BN1466" t="str">
        <f>"NA"</f>
        <v>NA</v>
      </c>
      <c r="BO1466" t="str">
        <f>"FOCO KODAK 2"</f>
        <v>FOCO KODAK 2</v>
      </c>
      <c r="BP1466" t="str">
        <f>""</f>
        <v/>
      </c>
      <c r="BQ1466" t="str">
        <f>""</f>
        <v/>
      </c>
      <c r="BR1466" t="str">
        <f>"22/07/2020"</f>
        <v>22/07/2020</v>
      </c>
      <c r="BS1466" t="str">
        <f>"14/07/2023"</f>
        <v>14/07/2023</v>
      </c>
      <c r="BT1466" t="str">
        <f>""</f>
        <v/>
      </c>
      <c r="BU1466" t="str">
        <f>""</f>
        <v/>
      </c>
      <c r="BV1466" t="str">
        <f>"6"</f>
        <v>6</v>
      </c>
      <c r="BW1466" t="str">
        <f>"8"</f>
        <v>8</v>
      </c>
    </row>
    <row r="1467" spans="1:75" x14ac:dyDescent="0.35">
      <c r="A1467">
        <v>137699</v>
      </c>
      <c r="B1467" t="str">
        <f t="shared" si="712"/>
        <v>A</v>
      </c>
      <c r="C1467" t="str">
        <f t="shared" si="713"/>
        <v>80</v>
      </c>
      <c r="D1467" t="str">
        <f t="shared" si="746"/>
        <v>11121004</v>
      </c>
      <c r="E1467" t="str">
        <f t="shared" si="747"/>
        <v>121004</v>
      </c>
      <c r="F1467" t="str">
        <f t="shared" si="748"/>
        <v>FABIANA GODOY</v>
      </c>
      <c r="G1467" t="str">
        <f>"18309639000119"</f>
        <v>18309639000119</v>
      </c>
      <c r="H1467" t="str">
        <f t="shared" si="742"/>
        <v>0</v>
      </c>
      <c r="I1467" t="str">
        <f t="shared" si="714"/>
        <v>CONTA OPTICA</v>
      </c>
      <c r="J1467" t="str">
        <f>"MARIA ADRIANA MACIEIRA SANTOS E CIA LTDA - ME"</f>
        <v>MARIA ADRIANA MACIEIRA SANTOS E CIA LTDA - ME</v>
      </c>
      <c r="K1467" t="str">
        <f>"RELOJOARIA  E OTICA  AREIAS (2062)"</f>
        <v>RELOJOARIA  E OTICA  AREIAS (2062)</v>
      </c>
      <c r="L1467" t="str">
        <f>""</f>
        <v/>
      </c>
      <c r="M1467" t="str">
        <f>""</f>
        <v/>
      </c>
      <c r="N1467" t="str">
        <f>"adrimacieira@hotmail.com"</f>
        <v>adrimacieira@hotmail.com</v>
      </c>
      <c r="O1467" t="str">
        <f>""</f>
        <v/>
      </c>
      <c r="P1467" t="str">
        <f>"RUA JOSE FRANCISCO BERNARDES"</f>
        <v>RUA JOSE FRANCISCO BERNARDES</v>
      </c>
      <c r="Q1467" t="str">
        <f>"914"</f>
        <v>914</v>
      </c>
      <c r="R1467" t="str">
        <f>"SALA 4"</f>
        <v>SALA 4</v>
      </c>
      <c r="S1467" t="str">
        <f>"1262"</f>
        <v>1262</v>
      </c>
      <c r="T1467" t="str">
        <f>"88345006"</f>
        <v>88345006</v>
      </c>
      <c r="U1467" t="str">
        <f>"AREIAS"</f>
        <v>AREIAS</v>
      </c>
      <c r="V1467" t="str">
        <f>"CAMBORIÚ"</f>
        <v>CAMBORIÚ</v>
      </c>
      <c r="W1467" t="str">
        <f t="shared" si="744"/>
        <v>SC</v>
      </c>
      <c r="X1467" t="str">
        <f t="shared" si="751"/>
        <v>47</v>
      </c>
      <c r="Y1467" t="str">
        <f>"33656474"</f>
        <v>33656474</v>
      </c>
      <c r="Z1467" t="str">
        <f>""</f>
        <v/>
      </c>
      <c r="AA1467" t="str">
        <f>""</f>
        <v/>
      </c>
      <c r="AB1467" t="str">
        <f>""</f>
        <v/>
      </c>
      <c r="AC1467" t="str">
        <f>""</f>
        <v/>
      </c>
      <c r="AD1467" t="str">
        <f>""</f>
        <v/>
      </c>
      <c r="AE1467" t="str">
        <f>""</f>
        <v/>
      </c>
      <c r="AF1467" t="str">
        <f>""</f>
        <v/>
      </c>
      <c r="AG1467" t="str">
        <f>"S"</f>
        <v>S</v>
      </c>
      <c r="AH1467" t="str">
        <f>""</f>
        <v/>
      </c>
      <c r="AI1467" t="str">
        <f>""</f>
        <v/>
      </c>
      <c r="AJ1467" t="str">
        <f>""</f>
        <v/>
      </c>
      <c r="AK1467" t="str">
        <f>""</f>
        <v/>
      </c>
      <c r="AL1467" t="str">
        <f>""</f>
        <v/>
      </c>
      <c r="AM1467" t="str">
        <f>""</f>
        <v/>
      </c>
      <c r="AN1467" t="str">
        <f>""</f>
        <v/>
      </c>
      <c r="AO1467" t="str">
        <f>""</f>
        <v/>
      </c>
      <c r="AP1467" t="str">
        <f>""</f>
        <v/>
      </c>
      <c r="AQ1467" t="str">
        <f t="shared" si="750"/>
        <v>N</v>
      </c>
      <c r="AR1467" t="str">
        <f t="shared" si="750"/>
        <v>N</v>
      </c>
      <c r="AS1467" t="str">
        <f t="shared" si="750"/>
        <v>N</v>
      </c>
      <c r="AT1467" t="str">
        <f t="shared" si="750"/>
        <v>N</v>
      </c>
      <c r="AU1467" t="str">
        <f t="shared" si="750"/>
        <v>N</v>
      </c>
      <c r="AV1467" t="str">
        <f>""</f>
        <v/>
      </c>
      <c r="AW1467" t="str">
        <f>""</f>
        <v/>
      </c>
      <c r="AX1467" t="str">
        <f>""</f>
        <v/>
      </c>
      <c r="AY1467" t="str">
        <f>""</f>
        <v/>
      </c>
      <c r="AZ1467" t="str">
        <f>""</f>
        <v/>
      </c>
      <c r="BA1467" t="str">
        <f>""</f>
        <v/>
      </c>
      <c r="BB1467" t="str">
        <f>"01/07/2021 13:53:04"</f>
        <v>01/07/2021 13:53:04</v>
      </c>
      <c r="BC1467" t="str">
        <f>"21/01/2022 09:36:21"</f>
        <v>21/01/2022 09:36:21</v>
      </c>
      <c r="BD1467" t="str">
        <f>""</f>
        <v/>
      </c>
      <c r="BE1467" t="str">
        <f>""</f>
        <v/>
      </c>
      <c r="BF1467" t="str">
        <f t="shared" si="716"/>
        <v>A</v>
      </c>
      <c r="BG1467" t="str">
        <f>""</f>
        <v/>
      </c>
      <c r="BH1467" t="str">
        <f>"0,00"</f>
        <v>0,00</v>
      </c>
      <c r="BI1467" t="str">
        <f>"EVENTUAL"</f>
        <v>EVENTUAL</v>
      </c>
      <c r="BJ1467" t="str">
        <f t="shared" si="718"/>
        <v>1</v>
      </c>
      <c r="BK1467" t="str">
        <f t="shared" si="719"/>
        <v>Farmacia</v>
      </c>
      <c r="BL1467" t="str">
        <f>""</f>
        <v/>
      </c>
      <c r="BM1467" t="str">
        <f>"NÃO É VARILUX ESPECIALISTA"</f>
        <v>NÃO É VARILUX ESPECIALISTA</v>
      </c>
      <c r="BN1467" t="str">
        <f>"NA"</f>
        <v>NA</v>
      </c>
      <c r="BO1467" t="str">
        <f>"FOCO VARILUX"</f>
        <v>FOCO VARILUX</v>
      </c>
      <c r="BP1467" t="str">
        <f>""</f>
        <v/>
      </c>
      <c r="BQ1467" t="str">
        <f>""</f>
        <v/>
      </c>
      <c r="BR1467" t="str">
        <f>"01/07/2021"</f>
        <v>01/07/2021</v>
      </c>
      <c r="BS1467" t="str">
        <f>"21/01/2022"</f>
        <v>21/01/2022</v>
      </c>
      <c r="BT1467" t="str">
        <f>""</f>
        <v/>
      </c>
      <c r="BU1467" t="str">
        <f>""</f>
        <v/>
      </c>
      <c r="BV1467" t="str">
        <f>""</f>
        <v/>
      </c>
      <c r="BW1467" t="str">
        <f>"10"</f>
        <v>10</v>
      </c>
    </row>
    <row r="1468" spans="1:75" x14ac:dyDescent="0.35">
      <c r="A1468">
        <v>157055</v>
      </c>
      <c r="B1468" t="str">
        <f t="shared" si="712"/>
        <v>A</v>
      </c>
      <c r="C1468" t="str">
        <f t="shared" si="713"/>
        <v>80</v>
      </c>
      <c r="D1468" t="str">
        <f t="shared" si="746"/>
        <v>11121004</v>
      </c>
      <c r="E1468" t="str">
        <f t="shared" si="747"/>
        <v>121004</v>
      </c>
      <c r="F1468" t="str">
        <f t="shared" si="748"/>
        <v>FABIANA GODOY</v>
      </c>
      <c r="G1468" t="str">
        <f>"47624241000175"</f>
        <v>47624241000175</v>
      </c>
      <c r="H1468" t="str">
        <f t="shared" si="742"/>
        <v>0</v>
      </c>
      <c r="I1468" t="str">
        <f t="shared" si="714"/>
        <v>CONTA OPTICA</v>
      </c>
      <c r="J1468" t="str">
        <f>"MARIA CELINHA BAIER LTDA"</f>
        <v>MARIA CELINHA BAIER LTDA</v>
      </c>
      <c r="K1468" t="str">
        <f>"CELINHA JOALHERIA E OTICA (4575)"</f>
        <v>CELINHA JOALHERIA E OTICA (4575)</v>
      </c>
      <c r="L1468" t="str">
        <f>""</f>
        <v/>
      </c>
      <c r="M1468" t="str">
        <f>""</f>
        <v/>
      </c>
      <c r="N1468" t="str">
        <f>"CELINHAFACHINI1202@GMAIL.COM"</f>
        <v>CELINHAFACHINI1202@GMAIL.COM</v>
      </c>
      <c r="O1468" t="str">
        <f>""</f>
        <v/>
      </c>
      <c r="P1468" t="str">
        <f>"RUA BENJAMIN CONSTANT"</f>
        <v>RUA BENJAMIN CONSTANT</v>
      </c>
      <c r="Q1468" t="str">
        <f>"443"</f>
        <v>443</v>
      </c>
      <c r="R1468" t="str">
        <f>""</f>
        <v/>
      </c>
      <c r="S1468" t="str">
        <f>"1275"</f>
        <v>1275</v>
      </c>
      <c r="T1468" t="str">
        <f>"89138000"</f>
        <v>89138000</v>
      </c>
      <c r="U1468" t="str">
        <f>"CENTRO"</f>
        <v>CENTRO</v>
      </c>
      <c r="V1468" t="str">
        <f>"ASCURRA"</f>
        <v>ASCURRA</v>
      </c>
      <c r="W1468" t="str">
        <f t="shared" si="744"/>
        <v>SC</v>
      </c>
      <c r="X1468" t="str">
        <f t="shared" si="751"/>
        <v>47</v>
      </c>
      <c r="Y1468" t="str">
        <f>"996982454"</f>
        <v>996982454</v>
      </c>
      <c r="Z1468" t="str">
        <f>""</f>
        <v/>
      </c>
      <c r="AA1468" t="str">
        <f>""</f>
        <v/>
      </c>
      <c r="AB1468" t="str">
        <f>""</f>
        <v/>
      </c>
      <c r="AC1468" t="str">
        <f>""</f>
        <v/>
      </c>
      <c r="AD1468" t="str">
        <f>""</f>
        <v/>
      </c>
      <c r="AE1468" t="str">
        <f>""</f>
        <v/>
      </c>
      <c r="AF1468" t="str">
        <f>""</f>
        <v/>
      </c>
      <c r="AG1468" t="str">
        <f>""</f>
        <v/>
      </c>
      <c r="AH1468" t="str">
        <f>""</f>
        <v/>
      </c>
      <c r="AI1468" t="str">
        <f>""</f>
        <v/>
      </c>
      <c r="AJ1468" t="str">
        <f>""</f>
        <v/>
      </c>
      <c r="AK1468" t="str">
        <f>""</f>
        <v/>
      </c>
      <c r="AL1468" t="str">
        <f>""</f>
        <v/>
      </c>
      <c r="AM1468" t="str">
        <f>""</f>
        <v/>
      </c>
      <c r="AN1468" t="str">
        <f>""</f>
        <v/>
      </c>
      <c r="AO1468" t="str">
        <f>""</f>
        <v/>
      </c>
      <c r="AP1468" t="str">
        <f>""</f>
        <v/>
      </c>
      <c r="AQ1468" t="str">
        <f>""</f>
        <v/>
      </c>
      <c r="AR1468" t="str">
        <f>""</f>
        <v/>
      </c>
      <c r="AS1468" t="str">
        <f>""</f>
        <v/>
      </c>
      <c r="AT1468" t="str">
        <f>""</f>
        <v/>
      </c>
      <c r="AU1468" t="str">
        <f>""</f>
        <v/>
      </c>
      <c r="AV1468" t="str">
        <f>""</f>
        <v/>
      </c>
      <c r="AW1468" t="str">
        <f>""</f>
        <v/>
      </c>
      <c r="AX1468" t="str">
        <f>""</f>
        <v/>
      </c>
      <c r="AY1468" t="str">
        <f>""</f>
        <v/>
      </c>
      <c r="AZ1468" t="str">
        <f>""</f>
        <v/>
      </c>
      <c r="BA1468" t="str">
        <f>""</f>
        <v/>
      </c>
      <c r="BB1468" t="str">
        <f>"06/07/2023 12:07:48"</f>
        <v>06/07/2023 12:07:48</v>
      </c>
      <c r="BC1468" t="str">
        <f>""</f>
        <v/>
      </c>
      <c r="BD1468" t="str">
        <f>""</f>
        <v/>
      </c>
      <c r="BE1468" t="str">
        <f>""</f>
        <v/>
      </c>
      <c r="BF1468" t="str">
        <f t="shared" si="716"/>
        <v>A</v>
      </c>
      <c r="BG1468" t="str">
        <f>""</f>
        <v/>
      </c>
      <c r="BH1468" t="str">
        <f>""</f>
        <v/>
      </c>
      <c r="BI1468" t="str">
        <f>"EVENTUAL"</f>
        <v>EVENTUAL</v>
      </c>
      <c r="BJ1468" t="str">
        <f t="shared" si="718"/>
        <v>1</v>
      </c>
      <c r="BK1468" t="str">
        <f t="shared" si="719"/>
        <v>Farmacia</v>
      </c>
      <c r="BL1468" t="str">
        <f>""</f>
        <v/>
      </c>
      <c r="BM1468" t="str">
        <f>""</f>
        <v/>
      </c>
      <c r="BN1468" t="str">
        <f>""</f>
        <v/>
      </c>
      <c r="BO1468" t="str">
        <f>""</f>
        <v/>
      </c>
      <c r="BP1468" t="str">
        <f>""</f>
        <v/>
      </c>
      <c r="BQ1468" t="str">
        <f>""</f>
        <v/>
      </c>
      <c r="BR1468" t="str">
        <f>"06/07/2023"</f>
        <v>06/07/2023</v>
      </c>
      <c r="BS1468" t="str">
        <f>""</f>
        <v/>
      </c>
      <c r="BT1468" t="str">
        <f>""</f>
        <v/>
      </c>
      <c r="BU1468" t="str">
        <f>""</f>
        <v/>
      </c>
      <c r="BV1468" t="str">
        <f>""</f>
        <v/>
      </c>
      <c r="BW1468" t="str">
        <f>"Não visitado"</f>
        <v>Não visitado</v>
      </c>
    </row>
    <row r="1469" spans="1:75" x14ac:dyDescent="0.35">
      <c r="A1469">
        <v>117459</v>
      </c>
      <c r="B1469" t="str">
        <f t="shared" si="712"/>
        <v>A</v>
      </c>
      <c r="C1469" t="str">
        <f t="shared" si="713"/>
        <v>80</v>
      </c>
      <c r="D1469" t="str">
        <f t="shared" si="746"/>
        <v>11121004</v>
      </c>
      <c r="E1469" t="str">
        <f t="shared" si="747"/>
        <v>121004</v>
      </c>
      <c r="F1469" t="str">
        <f t="shared" si="748"/>
        <v>FABIANA GODOY</v>
      </c>
      <c r="G1469" t="str">
        <f>"07596753000150"</f>
        <v>07596753000150</v>
      </c>
      <c r="H1469" t="str">
        <f t="shared" si="742"/>
        <v>0</v>
      </c>
      <c r="I1469" t="str">
        <f t="shared" si="714"/>
        <v>CONTA OPTICA</v>
      </c>
      <c r="J1469" t="str">
        <f>"MARIA DE LOURDES DE ALMEIDA ME"</f>
        <v>MARIA DE LOURDES DE ALMEIDA ME</v>
      </c>
      <c r="K1469" t="str">
        <f>"OTICA CENTRO VISAO (847)"</f>
        <v>OTICA CENTRO VISAO (847)</v>
      </c>
      <c r="L1469" t="str">
        <f>""</f>
        <v/>
      </c>
      <c r="M1469" t="str">
        <f>""</f>
        <v/>
      </c>
      <c r="N1469" t="str">
        <f>"franeto6@hotmail.com"</f>
        <v>franeto6@hotmail.com</v>
      </c>
      <c r="O1469" t="str">
        <f>""</f>
        <v/>
      </c>
      <c r="P1469" t="str">
        <f>"RUA SAMUEL HEUSI"</f>
        <v>RUA SAMUEL HEUSI</v>
      </c>
      <c r="Q1469" t="str">
        <f>"351"</f>
        <v>351</v>
      </c>
      <c r="R1469" t="str">
        <f>""</f>
        <v/>
      </c>
      <c r="S1469" t="str">
        <f>"1261"</f>
        <v>1261</v>
      </c>
      <c r="T1469" t="str">
        <f>"88301320"</f>
        <v>88301320</v>
      </c>
      <c r="U1469" t="str">
        <f>"CENTRO"</f>
        <v>CENTRO</v>
      </c>
      <c r="V1469" t="str">
        <f>"ITAJAÍ"</f>
        <v>ITAJAÍ</v>
      </c>
      <c r="W1469" t="str">
        <f t="shared" si="744"/>
        <v>SC</v>
      </c>
      <c r="X1469" t="str">
        <f t="shared" si="751"/>
        <v>47</v>
      </c>
      <c r="Y1469" t="str">
        <f>"33443881"</f>
        <v>33443881</v>
      </c>
      <c r="Z1469" t="str">
        <f>""</f>
        <v/>
      </c>
      <c r="AA1469" t="str">
        <f>""</f>
        <v/>
      </c>
      <c r="AB1469" t="str">
        <f>""</f>
        <v/>
      </c>
      <c r="AC1469" t="str">
        <f>""</f>
        <v/>
      </c>
      <c r="AD1469" t="str">
        <f>""</f>
        <v/>
      </c>
      <c r="AE1469" t="str">
        <f>""</f>
        <v/>
      </c>
      <c r="AF1469" t="str">
        <f>""</f>
        <v/>
      </c>
      <c r="AG1469" t="str">
        <f>"S"</f>
        <v>S</v>
      </c>
      <c r="AH1469" t="str">
        <f>""</f>
        <v/>
      </c>
      <c r="AI1469" t="str">
        <f>""</f>
        <v/>
      </c>
      <c r="AJ1469" t="str">
        <f>"0"</f>
        <v>0</v>
      </c>
      <c r="AK1469" t="str">
        <f>"0"</f>
        <v>0</v>
      </c>
      <c r="AL1469" t="str">
        <f>"0"</f>
        <v>0</v>
      </c>
      <c r="AM1469" t="str">
        <f>""</f>
        <v/>
      </c>
      <c r="AN1469" t="str">
        <f>""</f>
        <v/>
      </c>
      <c r="AO1469" t="str">
        <f>""</f>
        <v/>
      </c>
      <c r="AP1469" t="str">
        <f>""</f>
        <v/>
      </c>
      <c r="AQ1469" t="str">
        <f t="shared" ref="AQ1469:AU1472" si="752">"N"</f>
        <v>N</v>
      </c>
      <c r="AR1469" t="str">
        <f t="shared" si="752"/>
        <v>N</v>
      </c>
      <c r="AS1469" t="str">
        <f t="shared" si="752"/>
        <v>N</v>
      </c>
      <c r="AT1469" t="str">
        <f t="shared" si="752"/>
        <v>N</v>
      </c>
      <c r="AU1469" t="str">
        <f t="shared" si="752"/>
        <v>N</v>
      </c>
      <c r="AV1469" t="str">
        <f>""</f>
        <v/>
      </c>
      <c r="AW1469" t="str">
        <f>""</f>
        <v/>
      </c>
      <c r="AX1469" t="str">
        <f>""</f>
        <v/>
      </c>
      <c r="AY1469" t="str">
        <f>""</f>
        <v/>
      </c>
      <c r="AZ1469" t="str">
        <f>""</f>
        <v/>
      </c>
      <c r="BA1469" t="str">
        <f>""</f>
        <v/>
      </c>
      <c r="BB1469" t="str">
        <f>"22/07/2020 08:24:23"</f>
        <v>22/07/2020 08:24:23</v>
      </c>
      <c r="BC1469" t="str">
        <f>"11/07/2023 16:48:19"</f>
        <v>11/07/2023 16:48:19</v>
      </c>
      <c r="BD1469" t="str">
        <f>""</f>
        <v/>
      </c>
      <c r="BE1469" t="str">
        <f>""</f>
        <v/>
      </c>
      <c r="BF1469" t="str">
        <f t="shared" si="716"/>
        <v>A</v>
      </c>
      <c r="BG1469" t="str">
        <f>"0,00"</f>
        <v>0,00</v>
      </c>
      <c r="BH1469" t="str">
        <f>"0,00"</f>
        <v>0,00</v>
      </c>
      <c r="BI1469" t="str">
        <f>"MENSAL"</f>
        <v>MENSAL</v>
      </c>
      <c r="BJ1469" t="str">
        <f t="shared" si="718"/>
        <v>1</v>
      </c>
      <c r="BK1469" t="str">
        <f t="shared" si="719"/>
        <v>Farmacia</v>
      </c>
      <c r="BL1469" t="str">
        <f>""</f>
        <v/>
      </c>
      <c r="BM1469" t="str">
        <f>"NÃO É VARILUX ESPECIALISTA"</f>
        <v>NÃO É VARILUX ESPECIALISTA</v>
      </c>
      <c r="BN1469" t="str">
        <f>""</f>
        <v/>
      </c>
      <c r="BO1469" t="str">
        <f>"FOCO KODAK 2"</f>
        <v>FOCO KODAK 2</v>
      </c>
      <c r="BP1469" t="str">
        <f>""</f>
        <v/>
      </c>
      <c r="BQ1469" t="str">
        <f>""</f>
        <v/>
      </c>
      <c r="BR1469" t="str">
        <f>"22/07/2020"</f>
        <v>22/07/2020</v>
      </c>
      <c r="BS1469" t="str">
        <f>"11/07/2023"</f>
        <v>11/07/2023</v>
      </c>
      <c r="BT1469" t="str">
        <f>""</f>
        <v/>
      </c>
      <c r="BU1469" t="str">
        <f>""</f>
        <v/>
      </c>
      <c r="BV1469" t="str">
        <f>"9"</f>
        <v>9</v>
      </c>
      <c r="BW1469" t="str">
        <f>"16"</f>
        <v>16</v>
      </c>
    </row>
    <row r="1470" spans="1:75" x14ac:dyDescent="0.35">
      <c r="A1470">
        <v>137702</v>
      </c>
      <c r="B1470" t="str">
        <f t="shared" si="712"/>
        <v>A</v>
      </c>
      <c r="C1470" t="str">
        <f t="shared" si="713"/>
        <v>80</v>
      </c>
      <c r="D1470" t="str">
        <f t="shared" si="746"/>
        <v>11121004</v>
      </c>
      <c r="E1470" t="str">
        <f t="shared" si="747"/>
        <v>121004</v>
      </c>
      <c r="F1470" t="str">
        <f t="shared" si="748"/>
        <v>FABIANA GODOY</v>
      </c>
      <c r="G1470" t="str">
        <f>"41868163000178"</f>
        <v>41868163000178</v>
      </c>
      <c r="H1470" t="str">
        <f t="shared" si="742"/>
        <v>0</v>
      </c>
      <c r="I1470" t="str">
        <f t="shared" si="714"/>
        <v>CONTA OPTICA</v>
      </c>
      <c r="J1470" t="str">
        <f>"MARIA EDUARDA LINHARES"</f>
        <v>MARIA EDUARDA LINHARES</v>
      </c>
      <c r="K1470" t="str">
        <f>"DU &amp; EDU CONCEPT (4330)"</f>
        <v>DU &amp; EDU CONCEPT (4330)</v>
      </c>
      <c r="L1470" t="str">
        <f>""</f>
        <v/>
      </c>
      <c r="M1470" t="str">
        <f>""</f>
        <v/>
      </c>
      <c r="N1470" t="str">
        <f>"MARIA15LINHARESS@GMAIL.COM"</f>
        <v>MARIA15LINHARESS@GMAIL.COM</v>
      </c>
      <c r="O1470" t="str">
        <f>""</f>
        <v/>
      </c>
      <c r="P1470" t="str">
        <f>"RUA PAUL FRITZ KUEHNRICH"</f>
        <v>RUA PAUL FRITZ KUEHNRICH</v>
      </c>
      <c r="Q1470" t="str">
        <f>"1600"</f>
        <v>1600</v>
      </c>
      <c r="R1470" t="str">
        <f>"SALA 1099"</f>
        <v>SALA 1099</v>
      </c>
      <c r="S1470" t="str">
        <f>"1273"</f>
        <v>1273</v>
      </c>
      <c r="T1470" t="str">
        <f>"89052381"</f>
        <v>89052381</v>
      </c>
      <c r="U1470" t="str">
        <f>"ITOUPAVA NORTE"</f>
        <v>ITOUPAVA NORTE</v>
      </c>
      <c r="V1470" t="str">
        <f>"BLUMENAU"</f>
        <v>BLUMENAU</v>
      </c>
      <c r="W1470" t="str">
        <f t="shared" si="744"/>
        <v>SC</v>
      </c>
      <c r="X1470" t="str">
        <f t="shared" si="751"/>
        <v>47</v>
      </c>
      <c r="Y1470" t="str">
        <f>"992626434"</f>
        <v>992626434</v>
      </c>
      <c r="Z1470" t="str">
        <f>""</f>
        <v/>
      </c>
      <c r="AA1470" t="str">
        <f>""</f>
        <v/>
      </c>
      <c r="AB1470" t="str">
        <f>""</f>
        <v/>
      </c>
      <c r="AC1470" t="str">
        <f>""</f>
        <v/>
      </c>
      <c r="AD1470" t="str">
        <f>""</f>
        <v/>
      </c>
      <c r="AE1470" t="str">
        <f>""</f>
        <v/>
      </c>
      <c r="AF1470" t="str">
        <f>""</f>
        <v/>
      </c>
      <c r="AG1470" t="str">
        <f>"S"</f>
        <v>S</v>
      </c>
      <c r="AH1470" t="str">
        <f>""</f>
        <v/>
      </c>
      <c r="AI1470" t="str">
        <f>""</f>
        <v/>
      </c>
      <c r="AJ1470" t="str">
        <f>""</f>
        <v/>
      </c>
      <c r="AK1470" t="str">
        <f>""</f>
        <v/>
      </c>
      <c r="AL1470" t="str">
        <f>""</f>
        <v/>
      </c>
      <c r="AM1470" t="str">
        <f>""</f>
        <v/>
      </c>
      <c r="AN1470" t="str">
        <f>""</f>
        <v/>
      </c>
      <c r="AO1470" t="str">
        <f>""</f>
        <v/>
      </c>
      <c r="AP1470" t="str">
        <f>""</f>
        <v/>
      </c>
      <c r="AQ1470" t="str">
        <f t="shared" si="752"/>
        <v>N</v>
      </c>
      <c r="AR1470" t="str">
        <f t="shared" si="752"/>
        <v>N</v>
      </c>
      <c r="AS1470" t="str">
        <f t="shared" si="752"/>
        <v>N</v>
      </c>
      <c r="AT1470" t="str">
        <f t="shared" si="752"/>
        <v>N</v>
      </c>
      <c r="AU1470" t="str">
        <f t="shared" si="752"/>
        <v>N</v>
      </c>
      <c r="AV1470" t="str">
        <f>""</f>
        <v/>
      </c>
      <c r="AW1470" t="str">
        <f>""</f>
        <v/>
      </c>
      <c r="AX1470" t="str">
        <f>""</f>
        <v/>
      </c>
      <c r="AY1470" t="str">
        <f>""</f>
        <v/>
      </c>
      <c r="AZ1470" t="str">
        <f>""</f>
        <v/>
      </c>
      <c r="BA1470" t="str">
        <f>""</f>
        <v/>
      </c>
      <c r="BB1470" t="str">
        <f>"01/07/2021 13:53:04"</f>
        <v>01/07/2021 13:53:04</v>
      </c>
      <c r="BC1470" t="str">
        <f>"28/01/2022 11:45:19"</f>
        <v>28/01/2022 11:45:19</v>
      </c>
      <c r="BD1470" t="str">
        <f>""</f>
        <v/>
      </c>
      <c r="BE1470" t="str">
        <f>""</f>
        <v/>
      </c>
      <c r="BF1470" t="str">
        <f t="shared" si="716"/>
        <v>A</v>
      </c>
      <c r="BG1470" t="str">
        <f>""</f>
        <v/>
      </c>
      <c r="BH1470" t="str">
        <f>"0,00"</f>
        <v>0,00</v>
      </c>
      <c r="BI1470" t="str">
        <f>"EVENTUAL"</f>
        <v>EVENTUAL</v>
      </c>
      <c r="BJ1470" t="str">
        <f t="shared" si="718"/>
        <v>1</v>
      </c>
      <c r="BK1470" t="str">
        <f t="shared" si="719"/>
        <v>Farmacia</v>
      </c>
      <c r="BL1470" t="str">
        <f>""</f>
        <v/>
      </c>
      <c r="BM1470" t="str">
        <f>"NÃO É VARILUX ESPECIALISTA"</f>
        <v>NÃO É VARILUX ESPECIALISTA</v>
      </c>
      <c r="BN1470" t="str">
        <f>"NA"</f>
        <v>NA</v>
      </c>
      <c r="BO1470" t="str">
        <f>""</f>
        <v/>
      </c>
      <c r="BP1470" t="str">
        <f>""</f>
        <v/>
      </c>
      <c r="BQ1470" t="str">
        <f>""</f>
        <v/>
      </c>
      <c r="BR1470" t="str">
        <f>"01/07/2021"</f>
        <v>01/07/2021</v>
      </c>
      <c r="BS1470" t="str">
        <f>"28/01/2022"</f>
        <v>28/01/2022</v>
      </c>
      <c r="BT1470" t="str">
        <f>""</f>
        <v/>
      </c>
      <c r="BU1470" t="str">
        <f>""</f>
        <v/>
      </c>
      <c r="BV1470" t="str">
        <f>""</f>
        <v/>
      </c>
      <c r="BW1470" t="str">
        <f>"697"</f>
        <v>697</v>
      </c>
    </row>
    <row r="1471" spans="1:75" x14ac:dyDescent="0.35">
      <c r="A1471">
        <v>137703</v>
      </c>
      <c r="B1471" t="str">
        <f t="shared" si="712"/>
        <v>A</v>
      </c>
      <c r="C1471" t="str">
        <f t="shared" si="713"/>
        <v>80</v>
      </c>
      <c r="D1471" t="str">
        <f t="shared" si="746"/>
        <v>11121004</v>
      </c>
      <c r="E1471" t="str">
        <f t="shared" si="747"/>
        <v>121004</v>
      </c>
      <c r="F1471" t="str">
        <f t="shared" si="748"/>
        <v>FABIANA GODOY</v>
      </c>
      <c r="G1471" t="str">
        <f>"95801148000131"</f>
        <v>95801148000131</v>
      </c>
      <c r="H1471" t="str">
        <f t="shared" si="742"/>
        <v>0</v>
      </c>
      <c r="I1471" t="str">
        <f t="shared" si="714"/>
        <v>CONTA OPTICA</v>
      </c>
      <c r="J1471" t="str">
        <f>"MARIA IVANIR SANTOS XAVIER ME"</f>
        <v>MARIA IVANIR SANTOS XAVIER ME</v>
      </c>
      <c r="K1471" t="str">
        <f>"MARIA IVANIR SANTOS XAVIER ME (275)"</f>
        <v>MARIA IVANIR SANTOS XAVIER ME (275)</v>
      </c>
      <c r="L1471" t="str">
        <f>""</f>
        <v/>
      </c>
      <c r="M1471" t="str">
        <f>""</f>
        <v/>
      </c>
      <c r="N1471" t="str">
        <f>"oticasantosxavier@hotmail.com"</f>
        <v>oticasantosxavier@hotmail.com</v>
      </c>
      <c r="O1471" t="str">
        <f>""</f>
        <v/>
      </c>
      <c r="P1471" t="str">
        <f>"AVENIDA JOAO SACAVEM"</f>
        <v>AVENIDA JOAO SACAVEM</v>
      </c>
      <c r="Q1471" t="str">
        <f>"52"</f>
        <v>52</v>
      </c>
      <c r="R1471" t="str">
        <f>"SALA 04"</f>
        <v>SALA 04</v>
      </c>
      <c r="S1471" t="str">
        <f>""</f>
        <v/>
      </c>
      <c r="T1471" t="str">
        <f>"88372618"</f>
        <v>88372618</v>
      </c>
      <c r="U1471" t="str">
        <f>"CENTRO"</f>
        <v>CENTRO</v>
      </c>
      <c r="V1471" t="str">
        <f>"NAVEGANTES"</f>
        <v>NAVEGANTES</v>
      </c>
      <c r="W1471" t="str">
        <f t="shared" si="744"/>
        <v>SC</v>
      </c>
      <c r="X1471" t="str">
        <f t="shared" si="751"/>
        <v>47</v>
      </c>
      <c r="Y1471" t="str">
        <f>"33422657"</f>
        <v>33422657</v>
      </c>
      <c r="Z1471" t="str">
        <f>""</f>
        <v/>
      </c>
      <c r="AA1471" t="str">
        <f>""</f>
        <v/>
      </c>
      <c r="AB1471" t="str">
        <f>""</f>
        <v/>
      </c>
      <c r="AC1471" t="str">
        <f>""</f>
        <v/>
      </c>
      <c r="AD1471" t="str">
        <f>""</f>
        <v/>
      </c>
      <c r="AE1471" t="str">
        <f>""</f>
        <v/>
      </c>
      <c r="AF1471" t="str">
        <f>""</f>
        <v/>
      </c>
      <c r="AG1471" t="str">
        <f>"S"</f>
        <v>S</v>
      </c>
      <c r="AH1471" t="str">
        <f>""</f>
        <v/>
      </c>
      <c r="AI1471" t="str">
        <f>""</f>
        <v/>
      </c>
      <c r="AJ1471" t="str">
        <f>""</f>
        <v/>
      </c>
      <c r="AK1471" t="str">
        <f>""</f>
        <v/>
      </c>
      <c r="AL1471" t="str">
        <f>""</f>
        <v/>
      </c>
      <c r="AM1471" t="str">
        <f>""</f>
        <v/>
      </c>
      <c r="AN1471" t="str">
        <f>""</f>
        <v/>
      </c>
      <c r="AO1471" t="str">
        <f>""</f>
        <v/>
      </c>
      <c r="AP1471" t="str">
        <f>""</f>
        <v/>
      </c>
      <c r="AQ1471" t="str">
        <f t="shared" si="752"/>
        <v>N</v>
      </c>
      <c r="AR1471" t="str">
        <f t="shared" si="752"/>
        <v>N</v>
      </c>
      <c r="AS1471" t="str">
        <f t="shared" si="752"/>
        <v>N</v>
      </c>
      <c r="AT1471" t="str">
        <f t="shared" si="752"/>
        <v>N</v>
      </c>
      <c r="AU1471" t="str">
        <f t="shared" si="752"/>
        <v>N</v>
      </c>
      <c r="AV1471" t="str">
        <f>""</f>
        <v/>
      </c>
      <c r="AW1471" t="str">
        <f>""</f>
        <v/>
      </c>
      <c r="AX1471" t="str">
        <f>""</f>
        <v/>
      </c>
      <c r="AY1471" t="str">
        <f>""</f>
        <v/>
      </c>
      <c r="AZ1471" t="str">
        <f>""</f>
        <v/>
      </c>
      <c r="BA1471" t="str">
        <f>""</f>
        <v/>
      </c>
      <c r="BB1471" t="str">
        <f>"01/07/2021 13:53:04"</f>
        <v>01/07/2021 13:53:04</v>
      </c>
      <c r="BC1471" t="str">
        <f>"11/07/2023 11:48:50"</f>
        <v>11/07/2023 11:48:50</v>
      </c>
      <c r="BD1471" t="str">
        <f>""</f>
        <v/>
      </c>
      <c r="BE1471" t="str">
        <f>""</f>
        <v/>
      </c>
      <c r="BF1471" t="str">
        <f t="shared" si="716"/>
        <v>A</v>
      </c>
      <c r="BG1471" t="str">
        <f>""</f>
        <v/>
      </c>
      <c r="BH1471" t="str">
        <f>"0,00"</f>
        <v>0,00</v>
      </c>
      <c r="BI1471" t="str">
        <f>"MENSAL"</f>
        <v>MENSAL</v>
      </c>
      <c r="BJ1471" t="str">
        <f t="shared" si="718"/>
        <v>1</v>
      </c>
      <c r="BK1471" t="str">
        <f t="shared" si="719"/>
        <v>Farmacia</v>
      </c>
      <c r="BL1471" t="str">
        <f>""</f>
        <v/>
      </c>
      <c r="BM1471" t="str">
        <f>"VARILUX ESPECIALISTA SELECT"</f>
        <v>VARILUX ESPECIALISTA SELECT</v>
      </c>
      <c r="BN1471" t="str">
        <f>"NA"</f>
        <v>NA</v>
      </c>
      <c r="BO1471" t="str">
        <f>"FOCO VARILUX DIGITAL"</f>
        <v>FOCO VARILUX DIGITAL</v>
      </c>
      <c r="BP1471" t="str">
        <f>""</f>
        <v/>
      </c>
      <c r="BQ1471" t="str">
        <f>""</f>
        <v/>
      </c>
      <c r="BR1471" t="str">
        <f>"01/07/2021"</f>
        <v>01/07/2021</v>
      </c>
      <c r="BS1471" t="str">
        <f>"11/07/2023"</f>
        <v>11/07/2023</v>
      </c>
      <c r="BT1471" t="str">
        <f>""</f>
        <v/>
      </c>
      <c r="BU1471" t="str">
        <f>""</f>
        <v/>
      </c>
      <c r="BV1471" t="str">
        <f>""</f>
        <v/>
      </c>
      <c r="BW1471" t="str">
        <f>"14"</f>
        <v>14</v>
      </c>
    </row>
    <row r="1472" spans="1:75" x14ac:dyDescent="0.35">
      <c r="A1472">
        <v>137704</v>
      </c>
      <c r="B1472" t="str">
        <f t="shared" si="712"/>
        <v>A</v>
      </c>
      <c r="C1472" t="str">
        <f t="shared" si="713"/>
        <v>80</v>
      </c>
      <c r="D1472" t="str">
        <f t="shared" si="746"/>
        <v>11121004</v>
      </c>
      <c r="E1472" t="str">
        <f t="shared" si="747"/>
        <v>121004</v>
      </c>
      <c r="F1472" t="str">
        <f t="shared" si="748"/>
        <v>FABIANA GODOY</v>
      </c>
      <c r="G1472" t="str">
        <f>"35110924000125"</f>
        <v>35110924000125</v>
      </c>
      <c r="H1472" t="str">
        <f t="shared" si="742"/>
        <v>0</v>
      </c>
      <c r="I1472" t="str">
        <f t="shared" si="714"/>
        <v>CONTA OPTICA</v>
      </c>
      <c r="J1472" t="str">
        <f>"MARIA JOSE PARO RICCIARDI 18147571801"</f>
        <v>MARIA JOSE PARO RICCIARDI 18147571801</v>
      </c>
      <c r="K1472" t="str">
        <f>"OPTICA TOPVISAO (4120)"</f>
        <v>OPTICA TOPVISAO (4120)</v>
      </c>
      <c r="L1472" t="str">
        <f>""</f>
        <v/>
      </c>
      <c r="M1472" t="str">
        <f>""</f>
        <v/>
      </c>
      <c r="N1472" t="str">
        <f>"topzeze.otica@hotmail.com"</f>
        <v>topzeze.otica@hotmail.com</v>
      </c>
      <c r="O1472" t="str">
        <f>""</f>
        <v/>
      </c>
      <c r="P1472" t="str">
        <f>"AVENIDA AV NEREU RAMOS"</f>
        <v>AVENIDA AV NEREU RAMOS</v>
      </c>
      <c r="Q1472" t="str">
        <f>"133"</f>
        <v>133</v>
      </c>
      <c r="R1472" t="str">
        <f>"SALA C"</f>
        <v>SALA C</v>
      </c>
      <c r="S1472" t="str">
        <f>"1260"</f>
        <v>1260</v>
      </c>
      <c r="T1472" t="str">
        <f>"88220000"</f>
        <v>88220000</v>
      </c>
      <c r="U1472" t="str">
        <f>"CENTRO"</f>
        <v>CENTRO</v>
      </c>
      <c r="V1472" t="str">
        <f>"ITAPEMA"</f>
        <v>ITAPEMA</v>
      </c>
      <c r="W1472" t="str">
        <f t="shared" si="744"/>
        <v>SC</v>
      </c>
      <c r="X1472" t="str">
        <f t="shared" si="751"/>
        <v>47</v>
      </c>
      <c r="Y1472" t="str">
        <f>"33660763"</f>
        <v>33660763</v>
      </c>
      <c r="Z1472" t="str">
        <f>""</f>
        <v/>
      </c>
      <c r="AA1472" t="str">
        <f>""</f>
        <v/>
      </c>
      <c r="AB1472" t="str">
        <f>""</f>
        <v/>
      </c>
      <c r="AC1472" t="str">
        <f>""</f>
        <v/>
      </c>
      <c r="AD1472" t="str">
        <f>""</f>
        <v/>
      </c>
      <c r="AE1472" t="str">
        <f>""</f>
        <v/>
      </c>
      <c r="AF1472" t="str">
        <f>""</f>
        <v/>
      </c>
      <c r="AG1472" t="str">
        <f>"S"</f>
        <v>S</v>
      </c>
      <c r="AH1472" t="str">
        <f>""</f>
        <v/>
      </c>
      <c r="AI1472" t="str">
        <f>""</f>
        <v/>
      </c>
      <c r="AJ1472" t="str">
        <f>""</f>
        <v/>
      </c>
      <c r="AK1472" t="str">
        <f>""</f>
        <v/>
      </c>
      <c r="AL1472" t="str">
        <f>""</f>
        <v/>
      </c>
      <c r="AM1472" t="str">
        <f>""</f>
        <v/>
      </c>
      <c r="AN1472" t="str">
        <f>""</f>
        <v/>
      </c>
      <c r="AO1472" t="str">
        <f>""</f>
        <v/>
      </c>
      <c r="AP1472" t="str">
        <f>""</f>
        <v/>
      </c>
      <c r="AQ1472" t="str">
        <f t="shared" si="752"/>
        <v>N</v>
      </c>
      <c r="AR1472" t="str">
        <f t="shared" si="752"/>
        <v>N</v>
      </c>
      <c r="AS1472" t="str">
        <f t="shared" si="752"/>
        <v>N</v>
      </c>
      <c r="AT1472" t="str">
        <f t="shared" si="752"/>
        <v>N</v>
      </c>
      <c r="AU1472" t="str">
        <f t="shared" si="752"/>
        <v>N</v>
      </c>
      <c r="AV1472" t="str">
        <f>""</f>
        <v/>
      </c>
      <c r="AW1472" t="str">
        <f>""</f>
        <v/>
      </c>
      <c r="AX1472" t="str">
        <f>""</f>
        <v/>
      </c>
      <c r="AY1472" t="str">
        <f>""</f>
        <v/>
      </c>
      <c r="AZ1472" t="str">
        <f>""</f>
        <v/>
      </c>
      <c r="BA1472" t="str">
        <f>""</f>
        <v/>
      </c>
      <c r="BB1472" t="str">
        <f>"01/07/2021 13:53:04"</f>
        <v>01/07/2021 13:53:04</v>
      </c>
      <c r="BC1472" t="str">
        <f>"07/04/2022 16:33:23"</f>
        <v>07/04/2022 16:33:23</v>
      </c>
      <c r="BD1472" t="str">
        <f>""</f>
        <v/>
      </c>
      <c r="BE1472" t="str">
        <f>""</f>
        <v/>
      </c>
      <c r="BF1472" t="str">
        <f t="shared" si="716"/>
        <v>A</v>
      </c>
      <c r="BG1472" t="str">
        <f>""</f>
        <v/>
      </c>
      <c r="BH1472" t="str">
        <f>"0,00"</f>
        <v>0,00</v>
      </c>
      <c r="BI1472" t="str">
        <f t="shared" ref="BI1472:BI1518" si="753">"EVENTUAL"</f>
        <v>EVENTUAL</v>
      </c>
      <c r="BJ1472" t="str">
        <f t="shared" si="718"/>
        <v>1</v>
      </c>
      <c r="BK1472" t="str">
        <f t="shared" si="719"/>
        <v>Farmacia</v>
      </c>
      <c r="BL1472" t="str">
        <f>""</f>
        <v/>
      </c>
      <c r="BM1472" t="str">
        <f>"NÃO É VARILUX ESPECIALISTA"</f>
        <v>NÃO É VARILUX ESPECIALISTA</v>
      </c>
      <c r="BN1472" t="str">
        <f>"NA"</f>
        <v>NA</v>
      </c>
      <c r="BO1472" t="str">
        <f>"OUTROS"</f>
        <v>OUTROS</v>
      </c>
      <c r="BP1472" t="str">
        <f>""</f>
        <v/>
      </c>
      <c r="BQ1472" t="str">
        <f>""</f>
        <v/>
      </c>
      <c r="BR1472" t="str">
        <f>"01/07/2021"</f>
        <v>01/07/2021</v>
      </c>
      <c r="BS1472" t="str">
        <f>"07/04/2022"</f>
        <v>07/04/2022</v>
      </c>
      <c r="BT1472" t="str">
        <f>""</f>
        <v/>
      </c>
      <c r="BU1472" t="str">
        <f>""</f>
        <v/>
      </c>
      <c r="BV1472" t="str">
        <f>""</f>
        <v/>
      </c>
      <c r="BW1472" t="str">
        <f>"65"</f>
        <v>65</v>
      </c>
    </row>
    <row r="1473" spans="1:75" x14ac:dyDescent="0.35">
      <c r="A1473">
        <v>144625</v>
      </c>
      <c r="B1473" t="str">
        <f t="shared" si="712"/>
        <v>A</v>
      </c>
      <c r="C1473" t="str">
        <f t="shared" si="713"/>
        <v>80</v>
      </c>
      <c r="D1473" t="str">
        <f t="shared" si="746"/>
        <v>11121004</v>
      </c>
      <c r="E1473" t="str">
        <f t="shared" si="747"/>
        <v>121004</v>
      </c>
      <c r="F1473" t="str">
        <f t="shared" si="748"/>
        <v>FABIANA GODOY</v>
      </c>
      <c r="G1473" t="str">
        <f>"21120137000150"</f>
        <v>21120137000150</v>
      </c>
      <c r="H1473" t="str">
        <f>""</f>
        <v/>
      </c>
      <c r="I1473" t="str">
        <f t="shared" si="714"/>
        <v>CONTA OPTICA</v>
      </c>
      <c r="J1473" t="str">
        <f>"MARIANA GOMES LABES - ME"</f>
        <v>MARIANA GOMES LABES - ME</v>
      </c>
      <c r="K1473" t="str">
        <f>"MARIANA GOMES LABES - ME (2207)"</f>
        <v>MARIANA GOMES LABES - ME (2207)</v>
      </c>
      <c r="L1473" t="str">
        <f>""</f>
        <v/>
      </c>
      <c r="M1473" t="str">
        <f>""</f>
        <v/>
      </c>
      <c r="N1473" t="str">
        <f>"xandelabes@hotmail.com"</f>
        <v>xandelabes@hotmail.com</v>
      </c>
      <c r="O1473" t="str">
        <f>""</f>
        <v/>
      </c>
      <c r="P1473" t="str">
        <f>"RUA REGIMENTO BARRIGA VERDE"</f>
        <v>RUA REGIMENTO BARRIGA VERDE</v>
      </c>
      <c r="Q1473" t="str">
        <f>"95"</f>
        <v>95</v>
      </c>
      <c r="R1473" t="str">
        <f>""</f>
        <v/>
      </c>
      <c r="S1473" t="str">
        <f>"1270"</f>
        <v>1270</v>
      </c>
      <c r="T1473" t="str">
        <f>"88900063"</f>
        <v>88900063</v>
      </c>
      <c r="U1473" t="str">
        <f>"CENTRO"</f>
        <v>CENTRO</v>
      </c>
      <c r="V1473" t="str">
        <f>"ARARANGUA"</f>
        <v>ARARANGUA</v>
      </c>
      <c r="W1473" t="str">
        <f t="shared" si="744"/>
        <v>SC</v>
      </c>
      <c r="X1473" t="str">
        <f>"48"</f>
        <v>48</v>
      </c>
      <c r="Y1473" t="str">
        <f>"99483300"</f>
        <v>99483300</v>
      </c>
      <c r="Z1473" t="str">
        <f>""</f>
        <v/>
      </c>
      <c r="AA1473" t="str">
        <f>""</f>
        <v/>
      </c>
      <c r="AB1473" t="str">
        <f>""</f>
        <v/>
      </c>
      <c r="AC1473" t="str">
        <f>""</f>
        <v/>
      </c>
      <c r="AD1473" t="str">
        <f>""</f>
        <v/>
      </c>
      <c r="AE1473" t="str">
        <f>""</f>
        <v/>
      </c>
      <c r="AF1473" t="str">
        <f>""</f>
        <v/>
      </c>
      <c r="AG1473" t="str">
        <f>""</f>
        <v/>
      </c>
      <c r="AH1473" t="str">
        <f>""</f>
        <v/>
      </c>
      <c r="AI1473" t="str">
        <f>""</f>
        <v/>
      </c>
      <c r="AJ1473" t="str">
        <f>""</f>
        <v/>
      </c>
      <c r="AK1473" t="str">
        <f>""</f>
        <v/>
      </c>
      <c r="AL1473" t="str">
        <f>""</f>
        <v/>
      </c>
      <c r="AM1473" t="str">
        <f>""</f>
        <v/>
      </c>
      <c r="AN1473" t="str">
        <f>""</f>
        <v/>
      </c>
      <c r="AO1473" t="str">
        <f>""</f>
        <v/>
      </c>
      <c r="AP1473" t="str">
        <f>""</f>
        <v/>
      </c>
      <c r="AQ1473" t="str">
        <f>""</f>
        <v/>
      </c>
      <c r="AR1473" t="str">
        <f>""</f>
        <v/>
      </c>
      <c r="AS1473" t="str">
        <f>""</f>
        <v/>
      </c>
      <c r="AT1473" t="str">
        <f>""</f>
        <v/>
      </c>
      <c r="AU1473" t="str">
        <f>""</f>
        <v/>
      </c>
      <c r="AV1473" t="str">
        <f>""</f>
        <v/>
      </c>
      <c r="AW1473" t="str">
        <f>""</f>
        <v/>
      </c>
      <c r="AX1473" t="str">
        <f>""</f>
        <v/>
      </c>
      <c r="AY1473" t="str">
        <f>""</f>
        <v/>
      </c>
      <c r="AZ1473" t="str">
        <f>""</f>
        <v/>
      </c>
      <c r="BA1473" t="str">
        <f>""</f>
        <v/>
      </c>
      <c r="BB1473" t="str">
        <f>""</f>
        <v/>
      </c>
      <c r="BC1473" t="str">
        <f>""</f>
        <v/>
      </c>
      <c r="BD1473" t="str">
        <f>""</f>
        <v/>
      </c>
      <c r="BE1473" t="str">
        <f>""</f>
        <v/>
      </c>
      <c r="BF1473" t="str">
        <f t="shared" si="716"/>
        <v>A</v>
      </c>
      <c r="BG1473" t="str">
        <f>""</f>
        <v/>
      </c>
      <c r="BH1473" t="str">
        <f>""</f>
        <v/>
      </c>
      <c r="BI1473" t="str">
        <f t="shared" si="753"/>
        <v>EVENTUAL</v>
      </c>
      <c r="BJ1473" t="str">
        <f t="shared" si="718"/>
        <v>1</v>
      </c>
      <c r="BK1473" t="str">
        <f t="shared" si="719"/>
        <v>Farmacia</v>
      </c>
      <c r="BL1473" t="str">
        <f>""</f>
        <v/>
      </c>
      <c r="BM1473" t="str">
        <f>"NÃO É VARILUX ESPECIALISTA"</f>
        <v>NÃO É VARILUX ESPECIALISTA</v>
      </c>
      <c r="BN1473" t="str">
        <f>"NA"</f>
        <v>NA</v>
      </c>
      <c r="BO1473" t="str">
        <f>"FOCO VARILUX"</f>
        <v>FOCO VARILUX</v>
      </c>
      <c r="BP1473" t="str">
        <f>""</f>
        <v/>
      </c>
      <c r="BQ1473" t="str">
        <f>""</f>
        <v/>
      </c>
      <c r="BR1473" t="str">
        <f>""</f>
        <v/>
      </c>
      <c r="BS1473" t="str">
        <f>""</f>
        <v/>
      </c>
      <c r="BT1473" t="str">
        <f>""</f>
        <v/>
      </c>
      <c r="BU1473" t="str">
        <f>""</f>
        <v/>
      </c>
      <c r="BV1473" t="str">
        <f>"9"</f>
        <v>9</v>
      </c>
      <c r="BW1473" t="str">
        <f>"Não visitado"</f>
        <v>Não visitado</v>
      </c>
    </row>
    <row r="1474" spans="1:75" x14ac:dyDescent="0.35">
      <c r="A1474">
        <v>137705</v>
      </c>
      <c r="B1474" t="str">
        <f t="shared" ref="B1474:B1537" si="754">"A"</f>
        <v>A</v>
      </c>
      <c r="C1474" t="str">
        <f t="shared" ref="C1474:C1537" si="755">"80"</f>
        <v>80</v>
      </c>
      <c r="D1474" t="str">
        <f t="shared" si="746"/>
        <v>11121004</v>
      </c>
      <c r="E1474" t="str">
        <f t="shared" si="747"/>
        <v>121004</v>
      </c>
      <c r="F1474" t="str">
        <f t="shared" si="748"/>
        <v>FABIANA GODOY</v>
      </c>
      <c r="G1474" t="str">
        <f>"34661162000192"</f>
        <v>34661162000192</v>
      </c>
      <c r="H1474" t="str">
        <f t="shared" ref="H1474:H1485" si="756">"0"</f>
        <v>0</v>
      </c>
      <c r="I1474" t="str">
        <f t="shared" ref="I1474:I1537" si="757">"CONTA OPTICA"</f>
        <v>CONTA OPTICA</v>
      </c>
      <c r="J1474" t="str">
        <f>"MARIANA KELM DO NASCIMENTO EIRELI"</f>
        <v>MARIANA KELM DO NASCIMENTO EIRELI</v>
      </c>
      <c r="K1474" t="str">
        <f>"OTICAS CAROL (4097)"</f>
        <v>OTICAS CAROL (4097)</v>
      </c>
      <c r="L1474" t="str">
        <f>""</f>
        <v/>
      </c>
      <c r="M1474" t="str">
        <f>""</f>
        <v/>
      </c>
      <c r="N1474" t="str">
        <f>"oticascarol2023@gmail.com"</f>
        <v>oticascarol2023@gmail.com</v>
      </c>
      <c r="O1474" t="str">
        <f>""</f>
        <v/>
      </c>
      <c r="P1474" t="str">
        <f>"RUA SAMUEL HEUSI"</f>
        <v>RUA SAMUEL HEUSI</v>
      </c>
      <c r="Q1474" t="str">
        <f>"234"</f>
        <v>234</v>
      </c>
      <c r="R1474" t="str">
        <f>"SALA 58Q"</f>
        <v>SALA 58Q</v>
      </c>
      <c r="S1474" t="str">
        <f>"1261"</f>
        <v>1261</v>
      </c>
      <c r="T1474" t="str">
        <f>"88301320"</f>
        <v>88301320</v>
      </c>
      <c r="U1474" t="str">
        <f>"CENTRO"</f>
        <v>CENTRO</v>
      </c>
      <c r="V1474" t="str">
        <f>"ITAJAI"</f>
        <v>ITAJAI</v>
      </c>
      <c r="W1474" t="str">
        <f t="shared" si="744"/>
        <v>SC</v>
      </c>
      <c r="X1474" t="str">
        <f t="shared" ref="X1474:X1485" si="758">"47"</f>
        <v>47</v>
      </c>
      <c r="Y1474" t="str">
        <f>"30401049"</f>
        <v>30401049</v>
      </c>
      <c r="Z1474" t="str">
        <f>""</f>
        <v/>
      </c>
      <c r="AA1474" t="str">
        <f>""</f>
        <v/>
      </c>
      <c r="AB1474" t="str">
        <f>""</f>
        <v/>
      </c>
      <c r="AC1474" t="str">
        <f>""</f>
        <v/>
      </c>
      <c r="AD1474" t="str">
        <f>""</f>
        <v/>
      </c>
      <c r="AE1474" t="str">
        <f>""</f>
        <v/>
      </c>
      <c r="AF1474" t="str">
        <f>""</f>
        <v/>
      </c>
      <c r="AG1474" t="str">
        <f>""</f>
        <v/>
      </c>
      <c r="AH1474" t="str">
        <f>""</f>
        <v/>
      </c>
      <c r="AI1474" t="str">
        <f>""</f>
        <v/>
      </c>
      <c r="AJ1474" t="str">
        <f>""</f>
        <v/>
      </c>
      <c r="AK1474" t="str">
        <f>""</f>
        <v/>
      </c>
      <c r="AL1474" t="str">
        <f>""</f>
        <v/>
      </c>
      <c r="AM1474" t="str">
        <f>""</f>
        <v/>
      </c>
      <c r="AN1474" t="str">
        <f>""</f>
        <v/>
      </c>
      <c r="AO1474" t="str">
        <f>""</f>
        <v/>
      </c>
      <c r="AP1474" t="str">
        <f>""</f>
        <v/>
      </c>
      <c r="AQ1474" t="str">
        <f>""</f>
        <v/>
      </c>
      <c r="AR1474" t="str">
        <f>""</f>
        <v/>
      </c>
      <c r="AS1474" t="str">
        <f>""</f>
        <v/>
      </c>
      <c r="AT1474" t="str">
        <f>""</f>
        <v/>
      </c>
      <c r="AU1474" t="str">
        <f>""</f>
        <v/>
      </c>
      <c r="AV1474" t="str">
        <f>""</f>
        <v/>
      </c>
      <c r="AW1474" t="str">
        <f>""</f>
        <v/>
      </c>
      <c r="AX1474" t="str">
        <f>""</f>
        <v/>
      </c>
      <c r="AY1474" t="str">
        <f>""</f>
        <v/>
      </c>
      <c r="AZ1474" t="str">
        <f>""</f>
        <v/>
      </c>
      <c r="BA1474" t="str">
        <f>""</f>
        <v/>
      </c>
      <c r="BB1474" t="str">
        <f>"01/07/2021 13:53:04"</f>
        <v>01/07/2021 13:53:04</v>
      </c>
      <c r="BC1474" t="str">
        <f>""</f>
        <v/>
      </c>
      <c r="BD1474" t="str">
        <f>""</f>
        <v/>
      </c>
      <c r="BE1474" t="str">
        <f>""</f>
        <v/>
      </c>
      <c r="BF1474" t="str">
        <f t="shared" ref="BF1474:BF1537" si="759">"A"</f>
        <v>A</v>
      </c>
      <c r="BG1474" t="str">
        <f>""</f>
        <v/>
      </c>
      <c r="BH1474" t="str">
        <f>""</f>
        <v/>
      </c>
      <c r="BI1474" t="str">
        <f t="shared" si="753"/>
        <v>EVENTUAL</v>
      </c>
      <c r="BJ1474" t="str">
        <f t="shared" ref="BJ1474:BJ1537" si="760">"1"</f>
        <v>1</v>
      </c>
      <c r="BK1474" t="str">
        <f t="shared" ref="BK1474:BK1537" si="761">"Farmacia"</f>
        <v>Farmacia</v>
      </c>
      <c r="BL1474" t="str">
        <f>""</f>
        <v/>
      </c>
      <c r="BM1474" t="str">
        <f>"NÃO É VARILUX ESPECIALISTA"</f>
        <v>NÃO É VARILUX ESPECIALISTA</v>
      </c>
      <c r="BN1474" t="str">
        <f>"NA"</f>
        <v>NA</v>
      </c>
      <c r="BO1474" t="str">
        <f>"FOCO VARILUX"</f>
        <v>FOCO VARILUX</v>
      </c>
      <c r="BP1474" t="str">
        <f>""</f>
        <v/>
      </c>
      <c r="BQ1474" t="str">
        <f>""</f>
        <v/>
      </c>
      <c r="BR1474" t="str">
        <f>"01/07/2021"</f>
        <v>01/07/2021</v>
      </c>
      <c r="BS1474" t="str">
        <f>""</f>
        <v/>
      </c>
      <c r="BT1474" t="str">
        <f>""</f>
        <v/>
      </c>
      <c r="BU1474" t="str">
        <f>""</f>
        <v/>
      </c>
      <c r="BV1474" t="str">
        <f>""</f>
        <v/>
      </c>
      <c r="BW1474" t="str">
        <f>"Não visitado"</f>
        <v>Não visitado</v>
      </c>
    </row>
    <row r="1475" spans="1:75" x14ac:dyDescent="0.35">
      <c r="A1475">
        <v>157089</v>
      </c>
      <c r="B1475" t="str">
        <f t="shared" si="754"/>
        <v>A</v>
      </c>
      <c r="C1475" t="str">
        <f t="shared" si="755"/>
        <v>80</v>
      </c>
      <c r="D1475" t="str">
        <f t="shared" si="746"/>
        <v>11121004</v>
      </c>
      <c r="E1475" t="str">
        <f t="shared" si="747"/>
        <v>121004</v>
      </c>
      <c r="F1475" t="str">
        <f t="shared" si="748"/>
        <v>FABIANA GODOY</v>
      </c>
      <c r="G1475" t="str">
        <f>"41967975000170"</f>
        <v>41967975000170</v>
      </c>
      <c r="H1475" t="str">
        <f t="shared" si="756"/>
        <v>0</v>
      </c>
      <c r="I1475" t="str">
        <f t="shared" si="757"/>
        <v>CONTA OPTICA</v>
      </c>
      <c r="J1475" t="str">
        <f>"MARILUCI SCHEEREN DA CRUZ 58516620000"</f>
        <v>MARILUCI SCHEEREN DA CRUZ 58516620000</v>
      </c>
      <c r="K1475" t="str">
        <f>"BRILLE OCULOS (4702)"</f>
        <v>BRILLE OCULOS (4702)</v>
      </c>
      <c r="L1475" t="str">
        <f>""</f>
        <v/>
      </c>
      <c r="M1475" t="str">
        <f>""</f>
        <v/>
      </c>
      <c r="N1475" t="str">
        <f>"MARILUCICRUZ@HOTMAIL.COM"</f>
        <v>MARILUCICRUZ@HOTMAIL.COM</v>
      </c>
      <c r="O1475" t="str">
        <f>""</f>
        <v/>
      </c>
      <c r="P1475" t="str">
        <f>"RUA JOSE FRANCISCO BERNARDES - DE 710/711 A"</f>
        <v>RUA JOSE FRANCISCO BERNARDES - DE 710/711 A</v>
      </c>
      <c r="Q1475" t="str">
        <f>"804"</f>
        <v>804</v>
      </c>
      <c r="R1475" t="str">
        <f>""</f>
        <v/>
      </c>
      <c r="S1475" t="str">
        <f>"1262"</f>
        <v>1262</v>
      </c>
      <c r="T1475" t="str">
        <f>"88345006"</f>
        <v>88345006</v>
      </c>
      <c r="U1475" t="str">
        <f>"AREIAS"</f>
        <v>AREIAS</v>
      </c>
      <c r="V1475" t="str">
        <f>"CAMBORIU"</f>
        <v>CAMBORIU</v>
      </c>
      <c r="W1475" t="str">
        <f t="shared" si="744"/>
        <v>SC</v>
      </c>
      <c r="X1475" t="str">
        <f t="shared" si="758"/>
        <v>47</v>
      </c>
      <c r="Y1475" t="str">
        <f>"989159624"</f>
        <v>989159624</v>
      </c>
      <c r="Z1475" t="str">
        <f>""</f>
        <v/>
      </c>
      <c r="AA1475" t="str">
        <f>""</f>
        <v/>
      </c>
      <c r="AB1475" t="str">
        <f>""</f>
        <v/>
      </c>
      <c r="AC1475" t="str">
        <f>""</f>
        <v/>
      </c>
      <c r="AD1475" t="str">
        <f>""</f>
        <v/>
      </c>
      <c r="AE1475" t="str">
        <f>""</f>
        <v/>
      </c>
      <c r="AF1475" t="str">
        <f>""</f>
        <v/>
      </c>
      <c r="AG1475" t="str">
        <f>""</f>
        <v/>
      </c>
      <c r="AH1475" t="str">
        <f>""</f>
        <v/>
      </c>
      <c r="AI1475" t="str">
        <f>""</f>
        <v/>
      </c>
      <c r="AJ1475" t="str">
        <f>""</f>
        <v/>
      </c>
      <c r="AK1475" t="str">
        <f>""</f>
        <v/>
      </c>
      <c r="AL1475" t="str">
        <f>""</f>
        <v/>
      </c>
      <c r="AM1475" t="str">
        <f>""</f>
        <v/>
      </c>
      <c r="AN1475" t="str">
        <f>""</f>
        <v/>
      </c>
      <c r="AO1475" t="str">
        <f>""</f>
        <v/>
      </c>
      <c r="AP1475" t="str">
        <f>""</f>
        <v/>
      </c>
      <c r="AQ1475" t="str">
        <f>""</f>
        <v/>
      </c>
      <c r="AR1475" t="str">
        <f>""</f>
        <v/>
      </c>
      <c r="AS1475" t="str">
        <f>""</f>
        <v/>
      </c>
      <c r="AT1475" t="str">
        <f>""</f>
        <v/>
      </c>
      <c r="AU1475" t="str">
        <f>""</f>
        <v/>
      </c>
      <c r="AV1475" t="str">
        <f>""</f>
        <v/>
      </c>
      <c r="AW1475" t="str">
        <f>""</f>
        <v/>
      </c>
      <c r="AX1475" t="str">
        <f>""</f>
        <v/>
      </c>
      <c r="AY1475" t="str">
        <f>""</f>
        <v/>
      </c>
      <c r="AZ1475" t="str">
        <f>""</f>
        <v/>
      </c>
      <c r="BA1475" t="str">
        <f>""</f>
        <v/>
      </c>
      <c r="BB1475" t="str">
        <f>"06/07/2023 12:07:48"</f>
        <v>06/07/2023 12:07:48</v>
      </c>
      <c r="BC1475" t="str">
        <f>""</f>
        <v/>
      </c>
      <c r="BD1475" t="str">
        <f>""</f>
        <v/>
      </c>
      <c r="BE1475" t="str">
        <f>""</f>
        <v/>
      </c>
      <c r="BF1475" t="str">
        <f t="shared" si="759"/>
        <v>A</v>
      </c>
      <c r="BG1475" t="str">
        <f>""</f>
        <v/>
      </c>
      <c r="BH1475" t="str">
        <f>""</f>
        <v/>
      </c>
      <c r="BI1475" t="str">
        <f t="shared" si="753"/>
        <v>EVENTUAL</v>
      </c>
      <c r="BJ1475" t="str">
        <f t="shared" si="760"/>
        <v>1</v>
      </c>
      <c r="BK1475" t="str">
        <f t="shared" si="761"/>
        <v>Farmacia</v>
      </c>
      <c r="BL1475" t="str">
        <f>""</f>
        <v/>
      </c>
      <c r="BM1475" t="str">
        <f>""</f>
        <v/>
      </c>
      <c r="BN1475" t="str">
        <f>""</f>
        <v/>
      </c>
      <c r="BO1475" t="str">
        <f>""</f>
        <v/>
      </c>
      <c r="BP1475" t="str">
        <f>""</f>
        <v/>
      </c>
      <c r="BQ1475" t="str">
        <f>""</f>
        <v/>
      </c>
      <c r="BR1475" t="str">
        <f>"06/07/2023"</f>
        <v>06/07/2023</v>
      </c>
      <c r="BS1475" t="str">
        <f>""</f>
        <v/>
      </c>
      <c r="BT1475" t="str">
        <f>""</f>
        <v/>
      </c>
      <c r="BU1475" t="str">
        <f>""</f>
        <v/>
      </c>
      <c r="BV1475" t="str">
        <f>""</f>
        <v/>
      </c>
      <c r="BW1475" t="str">
        <f>"66"</f>
        <v>66</v>
      </c>
    </row>
    <row r="1476" spans="1:75" x14ac:dyDescent="0.35">
      <c r="A1476">
        <v>157763</v>
      </c>
      <c r="B1476" t="str">
        <f t="shared" si="754"/>
        <v>A</v>
      </c>
      <c r="C1476" t="str">
        <f t="shared" si="755"/>
        <v>80</v>
      </c>
      <c r="D1476" t="str">
        <f t="shared" si="746"/>
        <v>11121004</v>
      </c>
      <c r="E1476" t="str">
        <f t="shared" si="747"/>
        <v>121004</v>
      </c>
      <c r="F1476" t="str">
        <f t="shared" si="748"/>
        <v>FABIANA GODOY</v>
      </c>
      <c r="G1476" t="str">
        <f>"84229939000112"</f>
        <v>84229939000112</v>
      </c>
      <c r="H1476" t="str">
        <f t="shared" si="756"/>
        <v>0</v>
      </c>
      <c r="I1476" t="str">
        <f t="shared" si="757"/>
        <v>CONTA OPTICA</v>
      </c>
      <c r="J1476" t="str">
        <f>"MARIO JOSE MACHOTA"</f>
        <v>MARIO JOSE MACHOTA</v>
      </c>
      <c r="K1476" t="str">
        <f>"REL.CAÇA-PESCA (88)"</f>
        <v>REL.CAÇA-PESCA (88)</v>
      </c>
      <c r="L1476" t="str">
        <f>""</f>
        <v/>
      </c>
      <c r="M1476" t="str">
        <f>""</f>
        <v/>
      </c>
      <c r="N1476" t="str">
        <f>"machota@terra.com.br"</f>
        <v>machota@terra.com.br</v>
      </c>
      <c r="O1476" t="str">
        <f>""</f>
        <v/>
      </c>
      <c r="P1476" t="str">
        <f>"GETULIO VARGAS"</f>
        <v>GETULIO VARGAS</v>
      </c>
      <c r="Q1476" t="str">
        <f>"22"</f>
        <v>22</v>
      </c>
      <c r="R1476" t="str">
        <f>""</f>
        <v/>
      </c>
      <c r="S1476" t="str">
        <f>"1275"</f>
        <v>1275</v>
      </c>
      <c r="T1476" t="str">
        <f>"89130000"</f>
        <v>89130000</v>
      </c>
      <c r="U1476" t="str">
        <f>"NAO INFORMADO"</f>
        <v>NAO INFORMADO</v>
      </c>
      <c r="V1476" t="str">
        <f>"INDAIAL"</f>
        <v>INDAIAL</v>
      </c>
      <c r="W1476" t="str">
        <f t="shared" si="744"/>
        <v>SC</v>
      </c>
      <c r="X1476" t="str">
        <f t="shared" si="758"/>
        <v>47</v>
      </c>
      <c r="Y1476" t="str">
        <f>"33330275"</f>
        <v>33330275</v>
      </c>
      <c r="Z1476" t="str">
        <f>""</f>
        <v/>
      </c>
      <c r="AA1476" t="str">
        <f>""</f>
        <v/>
      </c>
      <c r="AB1476" t="str">
        <f>""</f>
        <v/>
      </c>
      <c r="AC1476" t="str">
        <f>""</f>
        <v/>
      </c>
      <c r="AD1476" t="str">
        <f>""</f>
        <v/>
      </c>
      <c r="AE1476" t="str">
        <f>""</f>
        <v/>
      </c>
      <c r="AF1476" t="str">
        <f>""</f>
        <v/>
      </c>
      <c r="AG1476" t="str">
        <f>""</f>
        <v/>
      </c>
      <c r="AH1476" t="str">
        <f>""</f>
        <v/>
      </c>
      <c r="AI1476" t="str">
        <f>""</f>
        <v/>
      </c>
      <c r="AJ1476" t="str">
        <f>""</f>
        <v/>
      </c>
      <c r="AK1476" t="str">
        <f>""</f>
        <v/>
      </c>
      <c r="AL1476" t="str">
        <f>""</f>
        <v/>
      </c>
      <c r="AM1476" t="str">
        <f>""</f>
        <v/>
      </c>
      <c r="AN1476" t="str">
        <f>""</f>
        <v/>
      </c>
      <c r="AO1476" t="str">
        <f>""</f>
        <v/>
      </c>
      <c r="AP1476" t="str">
        <f>""</f>
        <v/>
      </c>
      <c r="AQ1476" t="str">
        <f>""</f>
        <v/>
      </c>
      <c r="AR1476" t="str">
        <f>""</f>
        <v/>
      </c>
      <c r="AS1476" t="str">
        <f>""</f>
        <v/>
      </c>
      <c r="AT1476" t="str">
        <f>""</f>
        <v/>
      </c>
      <c r="AU1476" t="str">
        <f>""</f>
        <v/>
      </c>
      <c r="AV1476" t="str">
        <f>""</f>
        <v/>
      </c>
      <c r="AW1476" t="str">
        <f>""</f>
        <v/>
      </c>
      <c r="AX1476" t="str">
        <f>""</f>
        <v/>
      </c>
      <c r="AY1476" t="str">
        <f>""</f>
        <v/>
      </c>
      <c r="AZ1476" t="str">
        <f>""</f>
        <v/>
      </c>
      <c r="BA1476" t="str">
        <f>""</f>
        <v/>
      </c>
      <c r="BB1476" t="str">
        <f>"11/07/2023 02:26:32"</f>
        <v>11/07/2023 02:26:32</v>
      </c>
      <c r="BC1476" t="str">
        <f>""</f>
        <v/>
      </c>
      <c r="BD1476" t="str">
        <f>""</f>
        <v/>
      </c>
      <c r="BE1476" t="str">
        <f>""</f>
        <v/>
      </c>
      <c r="BF1476" t="str">
        <f t="shared" si="759"/>
        <v>A</v>
      </c>
      <c r="BG1476" t="str">
        <f>""</f>
        <v/>
      </c>
      <c r="BH1476" t="str">
        <f>""</f>
        <v/>
      </c>
      <c r="BI1476" t="str">
        <f t="shared" si="753"/>
        <v>EVENTUAL</v>
      </c>
      <c r="BJ1476" t="str">
        <f t="shared" si="760"/>
        <v>1</v>
      </c>
      <c r="BK1476" t="str">
        <f t="shared" si="761"/>
        <v>Farmacia</v>
      </c>
      <c r="BL1476" t="str">
        <f>""</f>
        <v/>
      </c>
      <c r="BM1476" t="str">
        <f>""</f>
        <v/>
      </c>
      <c r="BN1476" t="str">
        <f>""</f>
        <v/>
      </c>
      <c r="BO1476" t="str">
        <f>""</f>
        <v/>
      </c>
      <c r="BP1476" t="str">
        <f>""</f>
        <v/>
      </c>
      <c r="BQ1476" t="str">
        <f>""</f>
        <v/>
      </c>
      <c r="BR1476" t="str">
        <f>"11/07/2023"</f>
        <v>11/07/2023</v>
      </c>
      <c r="BS1476" t="str">
        <f>""</f>
        <v/>
      </c>
      <c r="BT1476" t="str">
        <f>""</f>
        <v/>
      </c>
      <c r="BU1476" t="str">
        <f>""</f>
        <v/>
      </c>
      <c r="BV1476" t="str">
        <f>""</f>
        <v/>
      </c>
      <c r="BW1476" t="str">
        <f>"Não visitado"</f>
        <v>Não visitado</v>
      </c>
    </row>
    <row r="1477" spans="1:75" x14ac:dyDescent="0.35">
      <c r="A1477">
        <v>120532</v>
      </c>
      <c r="B1477" t="str">
        <f t="shared" si="754"/>
        <v>A</v>
      </c>
      <c r="C1477" t="str">
        <f t="shared" si="755"/>
        <v>80</v>
      </c>
      <c r="D1477" t="str">
        <f t="shared" si="746"/>
        <v>11121004</v>
      </c>
      <c r="E1477" t="str">
        <f t="shared" si="747"/>
        <v>121004</v>
      </c>
      <c r="F1477" t="str">
        <f t="shared" si="748"/>
        <v>FABIANA GODOY</v>
      </c>
      <c r="G1477" t="str">
        <f>"04583677000150"</f>
        <v>04583677000150</v>
      </c>
      <c r="H1477" t="str">
        <f t="shared" si="756"/>
        <v>0</v>
      </c>
      <c r="I1477" t="str">
        <f t="shared" si="757"/>
        <v>CONTA OPTICA</v>
      </c>
      <c r="J1477" t="str">
        <f>"MARLISE TERESINHA SCHMITT FI -OPTICA E RELOJOARIA"</f>
        <v>MARLISE TERESINHA SCHMITT FI -OPTICA E RELOJOARIA</v>
      </c>
      <c r="K1477" t="str">
        <f>"OPTICA ARTISAN (86)"</f>
        <v>OPTICA ARTISAN (86)</v>
      </c>
      <c r="L1477" t="str">
        <f>""</f>
        <v/>
      </c>
      <c r="M1477" t="str">
        <f>""</f>
        <v/>
      </c>
      <c r="N1477" t="str">
        <f>"marlise.sch@hotmail.com"</f>
        <v>marlise.sch@hotmail.com</v>
      </c>
      <c r="O1477" t="str">
        <f>""</f>
        <v/>
      </c>
      <c r="P1477" t="str">
        <f>"RUA JOSE REUTER"</f>
        <v>RUA JOSE REUTER</v>
      </c>
      <c r="Q1477" t="str">
        <f>"363"</f>
        <v>363</v>
      </c>
      <c r="R1477" t="str">
        <f>"SALA 02"</f>
        <v>SALA 02</v>
      </c>
      <c r="S1477" t="str">
        <f>"1273"</f>
        <v>1273</v>
      </c>
      <c r="T1477" t="str">
        <f>"89046000"</f>
        <v>89046000</v>
      </c>
      <c r="U1477" t="str">
        <f>"VELHA"</f>
        <v>VELHA</v>
      </c>
      <c r="V1477" t="str">
        <f>"BLUMENAU"</f>
        <v>BLUMENAU</v>
      </c>
      <c r="W1477" t="str">
        <f t="shared" si="744"/>
        <v>SC</v>
      </c>
      <c r="X1477" t="str">
        <f t="shared" si="758"/>
        <v>47</v>
      </c>
      <c r="Y1477" t="str">
        <f>"33300709"</f>
        <v>33300709</v>
      </c>
      <c r="Z1477" t="str">
        <f>""</f>
        <v/>
      </c>
      <c r="AA1477" t="str">
        <f>""</f>
        <v/>
      </c>
      <c r="AB1477" t="str">
        <f>""</f>
        <v/>
      </c>
      <c r="AC1477" t="str">
        <f>""</f>
        <v/>
      </c>
      <c r="AD1477" t="str">
        <f>""</f>
        <v/>
      </c>
      <c r="AE1477" t="str">
        <f>""</f>
        <v/>
      </c>
      <c r="AF1477" t="str">
        <f>""</f>
        <v/>
      </c>
      <c r="AG1477" t="str">
        <f>""</f>
        <v/>
      </c>
      <c r="AH1477" t="str">
        <f>""</f>
        <v/>
      </c>
      <c r="AI1477" t="str">
        <f>""</f>
        <v/>
      </c>
      <c r="AJ1477" t="str">
        <f>""</f>
        <v/>
      </c>
      <c r="AK1477" t="str">
        <f>""</f>
        <v/>
      </c>
      <c r="AL1477" t="str">
        <f>""</f>
        <v/>
      </c>
      <c r="AM1477" t="str">
        <f>""</f>
        <v/>
      </c>
      <c r="AN1477" t="str">
        <f>""</f>
        <v/>
      </c>
      <c r="AO1477" t="str">
        <f>""</f>
        <v/>
      </c>
      <c r="AP1477" t="str">
        <f>""</f>
        <v/>
      </c>
      <c r="AQ1477" t="str">
        <f>""</f>
        <v/>
      </c>
      <c r="AR1477" t="str">
        <f>""</f>
        <v/>
      </c>
      <c r="AS1477" t="str">
        <f>""</f>
        <v/>
      </c>
      <c r="AT1477" t="str">
        <f>""</f>
        <v/>
      </c>
      <c r="AU1477" t="str">
        <f>""</f>
        <v/>
      </c>
      <c r="AV1477" t="str">
        <f>""</f>
        <v/>
      </c>
      <c r="AW1477" t="str">
        <f>""</f>
        <v/>
      </c>
      <c r="AX1477" t="str">
        <f>""</f>
        <v/>
      </c>
      <c r="AY1477" t="str">
        <f>""</f>
        <v/>
      </c>
      <c r="AZ1477" t="str">
        <f>""</f>
        <v/>
      </c>
      <c r="BA1477" t="str">
        <f>""</f>
        <v/>
      </c>
      <c r="BB1477" t="str">
        <f>"22/09/2020 15:29:33"</f>
        <v>22/09/2020 15:29:33</v>
      </c>
      <c r="BC1477" t="str">
        <f>""</f>
        <v/>
      </c>
      <c r="BD1477" t="str">
        <f>""</f>
        <v/>
      </c>
      <c r="BE1477" t="str">
        <f>""</f>
        <v/>
      </c>
      <c r="BF1477" t="str">
        <f t="shared" si="759"/>
        <v>A</v>
      </c>
      <c r="BG1477" t="str">
        <f>""</f>
        <v/>
      </c>
      <c r="BH1477" t="str">
        <f>""</f>
        <v/>
      </c>
      <c r="BI1477" t="str">
        <f t="shared" si="753"/>
        <v>EVENTUAL</v>
      </c>
      <c r="BJ1477" t="str">
        <f t="shared" si="760"/>
        <v>1</v>
      </c>
      <c r="BK1477" t="str">
        <f t="shared" si="761"/>
        <v>Farmacia</v>
      </c>
      <c r="BL1477" t="str">
        <f>""</f>
        <v/>
      </c>
      <c r="BM1477" t="str">
        <f>"NÃO É VARILUX ESPECIALISTA"</f>
        <v>NÃO É VARILUX ESPECIALISTA</v>
      </c>
      <c r="BN1477" t="str">
        <f>"NA"</f>
        <v>NA</v>
      </c>
      <c r="BO1477" t="str">
        <f>"OUTROS"</f>
        <v>OUTROS</v>
      </c>
      <c r="BP1477" t="str">
        <f>""</f>
        <v/>
      </c>
      <c r="BQ1477" t="str">
        <f>""</f>
        <v/>
      </c>
      <c r="BR1477" t="str">
        <f>"22/09/2020"</f>
        <v>22/09/2020</v>
      </c>
      <c r="BS1477" t="str">
        <f>""</f>
        <v/>
      </c>
      <c r="BT1477" t="str">
        <f>""</f>
        <v/>
      </c>
      <c r="BU1477" t="str">
        <f>""</f>
        <v/>
      </c>
      <c r="BV1477" t="str">
        <f>"6"</f>
        <v>6</v>
      </c>
      <c r="BW1477" t="str">
        <f>"Não visitado"</f>
        <v>Não visitado</v>
      </c>
    </row>
    <row r="1478" spans="1:75" x14ac:dyDescent="0.35">
      <c r="A1478">
        <v>127761</v>
      </c>
      <c r="B1478" t="str">
        <f t="shared" si="754"/>
        <v>A</v>
      </c>
      <c r="C1478" t="str">
        <f t="shared" si="755"/>
        <v>80</v>
      </c>
      <c r="D1478" t="str">
        <f t="shared" si="746"/>
        <v>11121004</v>
      </c>
      <c r="E1478" t="str">
        <f t="shared" si="747"/>
        <v>121004</v>
      </c>
      <c r="F1478" t="str">
        <f t="shared" si="748"/>
        <v>FABIANA GODOY</v>
      </c>
      <c r="G1478" t="str">
        <f>"06056361000136"</f>
        <v>06056361000136</v>
      </c>
      <c r="H1478" t="str">
        <f t="shared" si="756"/>
        <v>0</v>
      </c>
      <c r="I1478" t="str">
        <f t="shared" si="757"/>
        <v>CONTA OPTICA</v>
      </c>
      <c r="J1478" t="str">
        <f>"MARLON DE JESUS AVENCURT"</f>
        <v>MARLON DE JESUS AVENCURT</v>
      </c>
      <c r="K1478" t="str">
        <f>"JOALHEIRA E OTICA LITORAL (487)"</f>
        <v>JOALHEIRA E OTICA LITORAL (487)</v>
      </c>
      <c r="L1478" t="str">
        <f>""</f>
        <v/>
      </c>
      <c r="M1478" t="str">
        <f>""</f>
        <v/>
      </c>
      <c r="N1478" t="str">
        <f>"joalheriaoticalitoral@gmail.com"</f>
        <v>joalheriaoticalitoral@gmail.com</v>
      </c>
      <c r="O1478" t="str">
        <f>""</f>
        <v/>
      </c>
      <c r="P1478" t="str">
        <f>"AVENIDA NEREU RAMOS"</f>
        <v>AVENIDA NEREU RAMOS</v>
      </c>
      <c r="Q1478" t="str">
        <f>"4142"</f>
        <v>4142</v>
      </c>
      <c r="R1478" t="str">
        <f>"SALA 05"</f>
        <v>SALA 05</v>
      </c>
      <c r="S1478" t="str">
        <f>"1260"</f>
        <v>1260</v>
      </c>
      <c r="T1478" t="str">
        <f>"88220000"</f>
        <v>88220000</v>
      </c>
      <c r="U1478" t="str">
        <f>"MEIA PRAIA"</f>
        <v>MEIA PRAIA</v>
      </c>
      <c r="V1478" t="str">
        <f>"ITAPEMA"</f>
        <v>ITAPEMA</v>
      </c>
      <c r="W1478" t="str">
        <f t="shared" si="744"/>
        <v>SC</v>
      </c>
      <c r="X1478" t="str">
        <f t="shared" si="758"/>
        <v>47</v>
      </c>
      <c r="Y1478" t="str">
        <f>"33680181"</f>
        <v>33680181</v>
      </c>
      <c r="Z1478" t="str">
        <f>""</f>
        <v/>
      </c>
      <c r="AA1478" t="str">
        <f>""</f>
        <v/>
      </c>
      <c r="AB1478" t="str">
        <f>""</f>
        <v/>
      </c>
      <c r="AC1478" t="str">
        <f>""</f>
        <v/>
      </c>
      <c r="AD1478" t="str">
        <f>""</f>
        <v/>
      </c>
      <c r="AE1478" t="str">
        <f>""</f>
        <v/>
      </c>
      <c r="AF1478" t="str">
        <f>""</f>
        <v/>
      </c>
      <c r="AG1478" t="str">
        <f>""</f>
        <v/>
      </c>
      <c r="AH1478" t="str">
        <f>""</f>
        <v/>
      </c>
      <c r="AI1478" t="str">
        <f>""</f>
        <v/>
      </c>
      <c r="AJ1478" t="str">
        <f>""</f>
        <v/>
      </c>
      <c r="AK1478" t="str">
        <f>""</f>
        <v/>
      </c>
      <c r="AL1478" t="str">
        <f>""</f>
        <v/>
      </c>
      <c r="AM1478" t="str">
        <f>""</f>
        <v/>
      </c>
      <c r="AN1478" t="str">
        <f>""</f>
        <v/>
      </c>
      <c r="AO1478" t="str">
        <f>""</f>
        <v/>
      </c>
      <c r="AP1478" t="str">
        <f>""</f>
        <v/>
      </c>
      <c r="AQ1478" t="str">
        <f>""</f>
        <v/>
      </c>
      <c r="AR1478" t="str">
        <f>""</f>
        <v/>
      </c>
      <c r="AS1478" t="str">
        <f>""</f>
        <v/>
      </c>
      <c r="AT1478" t="str">
        <f>""</f>
        <v/>
      </c>
      <c r="AU1478" t="str">
        <f>""</f>
        <v/>
      </c>
      <c r="AV1478" t="str">
        <f>""</f>
        <v/>
      </c>
      <c r="AW1478" t="str">
        <f>""</f>
        <v/>
      </c>
      <c r="AX1478" t="str">
        <f>""</f>
        <v/>
      </c>
      <c r="AY1478" t="str">
        <f>""</f>
        <v/>
      </c>
      <c r="AZ1478" t="str">
        <f>""</f>
        <v/>
      </c>
      <c r="BA1478" t="str">
        <f>""</f>
        <v/>
      </c>
      <c r="BB1478" t="str">
        <f>"07/10/2020 09:08:38"</f>
        <v>07/10/2020 09:08:38</v>
      </c>
      <c r="BC1478" t="str">
        <f>""</f>
        <v/>
      </c>
      <c r="BD1478" t="str">
        <f>""</f>
        <v/>
      </c>
      <c r="BE1478" t="str">
        <f>""</f>
        <v/>
      </c>
      <c r="BF1478" t="str">
        <f t="shared" si="759"/>
        <v>A</v>
      </c>
      <c r="BG1478" t="str">
        <f>""</f>
        <v/>
      </c>
      <c r="BH1478" t="str">
        <f>""</f>
        <v/>
      </c>
      <c r="BI1478" t="str">
        <f t="shared" si="753"/>
        <v>EVENTUAL</v>
      </c>
      <c r="BJ1478" t="str">
        <f t="shared" si="760"/>
        <v>1</v>
      </c>
      <c r="BK1478" t="str">
        <f t="shared" si="761"/>
        <v>Farmacia</v>
      </c>
      <c r="BL1478" t="str">
        <f>""</f>
        <v/>
      </c>
      <c r="BM1478" t="str">
        <f>"NÃO É VARILUX ESPECIALISTA"</f>
        <v>NÃO É VARILUX ESPECIALISTA</v>
      </c>
      <c r="BN1478" t="str">
        <f>"NA"</f>
        <v>NA</v>
      </c>
      <c r="BO1478" t="str">
        <f>"OUTROS"</f>
        <v>OUTROS</v>
      </c>
      <c r="BP1478" t="str">
        <f>""</f>
        <v/>
      </c>
      <c r="BQ1478" t="str">
        <f>""</f>
        <v/>
      </c>
      <c r="BR1478" t="str">
        <f>"07/10/2020"</f>
        <v>07/10/2020</v>
      </c>
      <c r="BS1478" t="str">
        <f>""</f>
        <v/>
      </c>
      <c r="BT1478" t="str">
        <f>""</f>
        <v/>
      </c>
      <c r="BU1478" t="str">
        <f>""</f>
        <v/>
      </c>
      <c r="BV1478" t="str">
        <f>"9"</f>
        <v>9</v>
      </c>
      <c r="BW1478" t="str">
        <f>"Não visitado"</f>
        <v>Não visitado</v>
      </c>
    </row>
    <row r="1479" spans="1:75" x14ac:dyDescent="0.35">
      <c r="A1479">
        <v>157742</v>
      </c>
      <c r="B1479" t="str">
        <f t="shared" si="754"/>
        <v>A</v>
      </c>
      <c r="C1479" t="str">
        <f t="shared" si="755"/>
        <v>80</v>
      </c>
      <c r="D1479" t="str">
        <f t="shared" si="746"/>
        <v>11121004</v>
      </c>
      <c r="E1479" t="str">
        <f t="shared" si="747"/>
        <v>121004</v>
      </c>
      <c r="F1479" t="str">
        <f t="shared" si="748"/>
        <v>FABIANA GODOY</v>
      </c>
      <c r="G1479" t="str">
        <f>"09571412000156"</f>
        <v>09571412000156</v>
      </c>
      <c r="H1479" t="str">
        <f t="shared" si="756"/>
        <v>0</v>
      </c>
      <c r="I1479" t="str">
        <f t="shared" si="757"/>
        <v>CONTA OPTICA</v>
      </c>
      <c r="J1479" t="str">
        <f>"MARY OPTICA LTDA."</f>
        <v>MARY OPTICA LTDA.</v>
      </c>
      <c r="K1479" t="str">
        <f>"MARY OPTICA (1450)"</f>
        <v>MARY OPTICA (1450)</v>
      </c>
      <c r="L1479" t="str">
        <f>""</f>
        <v/>
      </c>
      <c r="M1479" t="str">
        <f>""</f>
        <v/>
      </c>
      <c r="N1479" t="str">
        <f>"MARY.OCULOS2@GMAIL.COM"</f>
        <v>MARY.OCULOS2@GMAIL.COM</v>
      </c>
      <c r="O1479" t="str">
        <f>""</f>
        <v/>
      </c>
      <c r="P1479" t="str">
        <f>"SETE DE SETEMBRO"</f>
        <v>SETE DE SETEMBRO</v>
      </c>
      <c r="Q1479" t="str">
        <f>"395"</f>
        <v>395</v>
      </c>
      <c r="R1479" t="str">
        <f>"SALA 2"</f>
        <v>SALA 2</v>
      </c>
      <c r="S1479" t="str">
        <f>"1275"</f>
        <v>1275</v>
      </c>
      <c r="T1479" t="str">
        <f>"89120000"</f>
        <v>89120000</v>
      </c>
      <c r="U1479" t="str">
        <f>"CENTRO"</f>
        <v>CENTRO</v>
      </c>
      <c r="V1479" t="str">
        <f>"TIMBO"</f>
        <v>TIMBO</v>
      </c>
      <c r="W1479" t="str">
        <f t="shared" si="744"/>
        <v>SC</v>
      </c>
      <c r="X1479" t="str">
        <f t="shared" si="758"/>
        <v>47</v>
      </c>
      <c r="Y1479" t="str">
        <f>"33827045"</f>
        <v>33827045</v>
      </c>
      <c r="Z1479" t="str">
        <f>""</f>
        <v/>
      </c>
      <c r="AA1479" t="str">
        <f>""</f>
        <v/>
      </c>
      <c r="AB1479" t="str">
        <f>""</f>
        <v/>
      </c>
      <c r="AC1479" t="str">
        <f>""</f>
        <v/>
      </c>
      <c r="AD1479" t="str">
        <f>""</f>
        <v/>
      </c>
      <c r="AE1479" t="str">
        <f>""</f>
        <v/>
      </c>
      <c r="AF1479" t="str">
        <f>""</f>
        <v/>
      </c>
      <c r="AG1479" t="str">
        <f>""</f>
        <v/>
      </c>
      <c r="AH1479" t="str">
        <f>""</f>
        <v/>
      </c>
      <c r="AI1479" t="str">
        <f>""</f>
        <v/>
      </c>
      <c r="AJ1479" t="str">
        <f>""</f>
        <v/>
      </c>
      <c r="AK1479" t="str">
        <f>""</f>
        <v/>
      </c>
      <c r="AL1479" t="str">
        <f>""</f>
        <v/>
      </c>
      <c r="AM1479" t="str">
        <f>""</f>
        <v/>
      </c>
      <c r="AN1479" t="str">
        <f>""</f>
        <v/>
      </c>
      <c r="AO1479" t="str">
        <f>""</f>
        <v/>
      </c>
      <c r="AP1479" t="str">
        <f>""</f>
        <v/>
      </c>
      <c r="AQ1479" t="str">
        <f>""</f>
        <v/>
      </c>
      <c r="AR1479" t="str">
        <f>""</f>
        <v/>
      </c>
      <c r="AS1479" t="str">
        <f>""</f>
        <v/>
      </c>
      <c r="AT1479" t="str">
        <f>""</f>
        <v/>
      </c>
      <c r="AU1479" t="str">
        <f>""</f>
        <v/>
      </c>
      <c r="AV1479" t="str">
        <f>""</f>
        <v/>
      </c>
      <c r="AW1479" t="str">
        <f>""</f>
        <v/>
      </c>
      <c r="AX1479" t="str">
        <f>""</f>
        <v/>
      </c>
      <c r="AY1479" t="str">
        <f>""</f>
        <v/>
      </c>
      <c r="AZ1479" t="str">
        <f>""</f>
        <v/>
      </c>
      <c r="BA1479" t="str">
        <f>""</f>
        <v/>
      </c>
      <c r="BB1479" t="str">
        <f>"11/07/2023 02:26:32"</f>
        <v>11/07/2023 02:26:32</v>
      </c>
      <c r="BC1479" t="str">
        <f>""</f>
        <v/>
      </c>
      <c r="BD1479" t="str">
        <f>""</f>
        <v/>
      </c>
      <c r="BE1479" t="str">
        <f>""</f>
        <v/>
      </c>
      <c r="BF1479" t="str">
        <f t="shared" si="759"/>
        <v>A</v>
      </c>
      <c r="BG1479" t="str">
        <f>""</f>
        <v/>
      </c>
      <c r="BH1479" t="str">
        <f>""</f>
        <v/>
      </c>
      <c r="BI1479" t="str">
        <f t="shared" si="753"/>
        <v>EVENTUAL</v>
      </c>
      <c r="BJ1479" t="str">
        <f t="shared" si="760"/>
        <v>1</v>
      </c>
      <c r="BK1479" t="str">
        <f t="shared" si="761"/>
        <v>Farmacia</v>
      </c>
      <c r="BL1479" t="str">
        <f>""</f>
        <v/>
      </c>
      <c r="BM1479" t="str">
        <f>""</f>
        <v/>
      </c>
      <c r="BN1479" t="str">
        <f>""</f>
        <v/>
      </c>
      <c r="BO1479" t="str">
        <f>""</f>
        <v/>
      </c>
      <c r="BP1479" t="str">
        <f>""</f>
        <v/>
      </c>
      <c r="BQ1479" t="str">
        <f>""</f>
        <v/>
      </c>
      <c r="BR1479" t="str">
        <f>"11/07/2023"</f>
        <v>11/07/2023</v>
      </c>
      <c r="BS1479" t="str">
        <f>""</f>
        <v/>
      </c>
      <c r="BT1479" t="str">
        <f>""</f>
        <v/>
      </c>
      <c r="BU1479" t="str">
        <f>""</f>
        <v/>
      </c>
      <c r="BV1479" t="str">
        <f>""</f>
        <v/>
      </c>
      <c r="BW1479" t="str">
        <f>"24"</f>
        <v>24</v>
      </c>
    </row>
    <row r="1480" spans="1:75" x14ac:dyDescent="0.35">
      <c r="A1480">
        <v>139214</v>
      </c>
      <c r="B1480" t="str">
        <f t="shared" si="754"/>
        <v>A</v>
      </c>
      <c r="C1480" t="str">
        <f t="shared" si="755"/>
        <v>80</v>
      </c>
      <c r="D1480" t="str">
        <f t="shared" si="746"/>
        <v>11121004</v>
      </c>
      <c r="E1480" t="str">
        <f t="shared" si="747"/>
        <v>121004</v>
      </c>
      <c r="F1480" t="str">
        <f t="shared" si="748"/>
        <v>FABIANA GODOY</v>
      </c>
      <c r="G1480" t="str">
        <f>"41605173000110"</f>
        <v>41605173000110</v>
      </c>
      <c r="H1480" t="str">
        <f t="shared" si="756"/>
        <v>0</v>
      </c>
      <c r="I1480" t="str">
        <f t="shared" si="757"/>
        <v>CONTA OPTICA</v>
      </c>
      <c r="J1480" t="str">
        <f>"MASTER OCULOS LTDA"</f>
        <v>MASTER OCULOS LTDA</v>
      </c>
      <c r="K1480" t="str">
        <f>"ZOOM CAMBORIU (4369)"</f>
        <v>ZOOM CAMBORIU (4369)</v>
      </c>
      <c r="L1480" t="str">
        <f>""</f>
        <v/>
      </c>
      <c r="M1480" t="str">
        <f>""</f>
        <v/>
      </c>
      <c r="N1480" t="str">
        <f>"CAMBORIU@ZOOMOTICAS.COM.BR"</f>
        <v>CAMBORIU@ZOOMOTICAS.COM.BR</v>
      </c>
      <c r="O1480" t="str">
        <f>""</f>
        <v/>
      </c>
      <c r="P1480" t="str">
        <f>"RUA JOSE FRANCISCO BERNARDES"</f>
        <v>RUA JOSE FRANCISCO BERNARDES</v>
      </c>
      <c r="Q1480" t="str">
        <f>"33"</f>
        <v>33</v>
      </c>
      <c r="R1480" t="str">
        <f>"SALA 03"</f>
        <v>SALA 03</v>
      </c>
      <c r="S1480" t="str">
        <f>""</f>
        <v/>
      </c>
      <c r="T1480" t="str">
        <f>"88340233"</f>
        <v>88340233</v>
      </c>
      <c r="U1480" t="str">
        <f>"CENTRO"</f>
        <v>CENTRO</v>
      </c>
      <c r="V1480" t="str">
        <f>"CAMBORIÚ"</f>
        <v>CAMBORIÚ</v>
      </c>
      <c r="W1480" t="str">
        <f t="shared" si="744"/>
        <v>SC</v>
      </c>
      <c r="X1480" t="str">
        <f t="shared" si="758"/>
        <v>47</v>
      </c>
      <c r="Y1480" t="str">
        <f>"991066885"</f>
        <v>991066885</v>
      </c>
      <c r="Z1480" t="str">
        <f>""</f>
        <v/>
      </c>
      <c r="AA1480" t="str">
        <f>""</f>
        <v/>
      </c>
      <c r="AB1480" t="str">
        <f>""</f>
        <v/>
      </c>
      <c r="AC1480" t="str">
        <f>""</f>
        <v/>
      </c>
      <c r="AD1480" t="str">
        <f>""</f>
        <v/>
      </c>
      <c r="AE1480" t="str">
        <f>""</f>
        <v/>
      </c>
      <c r="AF1480" t="str">
        <f>""</f>
        <v/>
      </c>
      <c r="AG1480" t="str">
        <f>"S"</f>
        <v>S</v>
      </c>
      <c r="AH1480" t="str">
        <f>""</f>
        <v/>
      </c>
      <c r="AI1480" t="str">
        <f>""</f>
        <v/>
      </c>
      <c r="AJ1480" t="str">
        <f>""</f>
        <v/>
      </c>
      <c r="AK1480" t="str">
        <f>""</f>
        <v/>
      </c>
      <c r="AL1480" t="str">
        <f>""</f>
        <v/>
      </c>
      <c r="AM1480" t="str">
        <f>""</f>
        <v/>
      </c>
      <c r="AN1480" t="str">
        <f>""</f>
        <v/>
      </c>
      <c r="AO1480" t="str">
        <f>""</f>
        <v/>
      </c>
      <c r="AP1480" t="str">
        <f>""</f>
        <v/>
      </c>
      <c r="AQ1480" t="str">
        <f>"N"</f>
        <v>N</v>
      </c>
      <c r="AR1480" t="str">
        <f>"N"</f>
        <v>N</v>
      </c>
      <c r="AS1480" t="str">
        <f>"N"</f>
        <v>N</v>
      </c>
      <c r="AT1480" t="str">
        <f>"N"</f>
        <v>N</v>
      </c>
      <c r="AU1480" t="str">
        <f>"N"</f>
        <v>N</v>
      </c>
      <c r="AV1480" t="str">
        <f>""</f>
        <v/>
      </c>
      <c r="AW1480" t="str">
        <f>""</f>
        <v/>
      </c>
      <c r="AX1480" t="str">
        <f>""</f>
        <v/>
      </c>
      <c r="AY1480" t="str">
        <f>""</f>
        <v/>
      </c>
      <c r="AZ1480" t="str">
        <f>""</f>
        <v/>
      </c>
      <c r="BA1480" t="str">
        <f>""</f>
        <v/>
      </c>
      <c r="BB1480" t="str">
        <f>"02/08/2021 11:27:10"</f>
        <v>02/08/2021 11:27:10</v>
      </c>
      <c r="BC1480" t="str">
        <f>"29/03/2022 08:57:55"</f>
        <v>29/03/2022 08:57:55</v>
      </c>
      <c r="BD1480" t="str">
        <f>""</f>
        <v/>
      </c>
      <c r="BE1480" t="str">
        <f>""</f>
        <v/>
      </c>
      <c r="BF1480" t="str">
        <f t="shared" si="759"/>
        <v>A</v>
      </c>
      <c r="BG1480" t="str">
        <f>""</f>
        <v/>
      </c>
      <c r="BH1480" t="str">
        <f>"0,00"</f>
        <v>0,00</v>
      </c>
      <c r="BI1480" t="str">
        <f t="shared" si="753"/>
        <v>EVENTUAL</v>
      </c>
      <c r="BJ1480" t="str">
        <f t="shared" si="760"/>
        <v>1</v>
      </c>
      <c r="BK1480" t="str">
        <f t="shared" si="761"/>
        <v>Farmacia</v>
      </c>
      <c r="BL1480" t="str">
        <f>""</f>
        <v/>
      </c>
      <c r="BM1480" t="str">
        <f>"NÃO É VARILUX ESPECIALISTA"</f>
        <v>NÃO É VARILUX ESPECIALISTA</v>
      </c>
      <c r="BN1480" t="str">
        <f>"NA"</f>
        <v>NA</v>
      </c>
      <c r="BO1480" t="str">
        <f>"OUTROS"</f>
        <v>OUTROS</v>
      </c>
      <c r="BP1480" t="str">
        <f>""</f>
        <v/>
      </c>
      <c r="BQ1480" t="str">
        <f>""</f>
        <v/>
      </c>
      <c r="BR1480" t="str">
        <f>"02/08/2021"</f>
        <v>02/08/2021</v>
      </c>
      <c r="BS1480" t="str">
        <f>"29/03/2022"</f>
        <v>29/03/2022</v>
      </c>
      <c r="BT1480" t="str">
        <f>""</f>
        <v/>
      </c>
      <c r="BU1480" t="str">
        <f>""</f>
        <v/>
      </c>
      <c r="BV1480" t="str">
        <f>""</f>
        <v/>
      </c>
      <c r="BW1480" t="str">
        <f>"2"</f>
        <v>2</v>
      </c>
    </row>
    <row r="1481" spans="1:75" x14ac:dyDescent="0.35">
      <c r="A1481">
        <v>157106</v>
      </c>
      <c r="B1481" t="str">
        <f t="shared" si="754"/>
        <v>A</v>
      </c>
      <c r="C1481" t="str">
        <f t="shared" si="755"/>
        <v>80</v>
      </c>
      <c r="D1481" t="str">
        <f t="shared" si="746"/>
        <v>11121004</v>
      </c>
      <c r="E1481" t="str">
        <f t="shared" si="747"/>
        <v>121004</v>
      </c>
      <c r="F1481" t="str">
        <f t="shared" si="748"/>
        <v>FABIANA GODOY</v>
      </c>
      <c r="G1481" t="str">
        <f>"44074836000106"</f>
        <v>44074836000106</v>
      </c>
      <c r="H1481" t="str">
        <f t="shared" si="756"/>
        <v>0</v>
      </c>
      <c r="I1481" t="str">
        <f t="shared" si="757"/>
        <v>CONTA OPTICA</v>
      </c>
      <c r="J1481" t="str">
        <f>"MASTER RELOJOARIA E OTICA LTDA"</f>
        <v>MASTER RELOJOARIA E OTICA LTDA</v>
      </c>
      <c r="K1481" t="str">
        <f>"OTICAS CAROL (4471)"</f>
        <v>OTICAS CAROL (4471)</v>
      </c>
      <c r="L1481" t="str">
        <f>""</f>
        <v/>
      </c>
      <c r="M1481" t="str">
        <f>""</f>
        <v/>
      </c>
      <c r="N1481" t="str">
        <f>"FINANCEIROCAROLITAJAI@GMAIL.COM"</f>
        <v>FINANCEIROCAROLITAJAI@GMAIL.COM</v>
      </c>
      <c r="O1481" t="str">
        <f>""</f>
        <v/>
      </c>
      <c r="P1481" t="str">
        <f>"CORONEL MARCOS KONDER"</f>
        <v>CORONEL MARCOS KONDER</v>
      </c>
      <c r="Q1481" t="str">
        <f>"1207"</f>
        <v>1207</v>
      </c>
      <c r="R1481" t="str">
        <f>"LOJA 07"</f>
        <v>LOJA 07</v>
      </c>
      <c r="S1481" t="str">
        <f>"1261"</f>
        <v>1261</v>
      </c>
      <c r="T1481" t="str">
        <f>"88301902"</f>
        <v>88301902</v>
      </c>
      <c r="U1481" t="str">
        <f>"CENTRO"</f>
        <v>CENTRO</v>
      </c>
      <c r="V1481" t="str">
        <f>"ITAJAI"</f>
        <v>ITAJAI</v>
      </c>
      <c r="W1481" t="str">
        <f t="shared" si="744"/>
        <v>SC</v>
      </c>
      <c r="X1481" t="str">
        <f t="shared" si="758"/>
        <v>47</v>
      </c>
      <c r="Y1481" t="str">
        <f>"33497663"</f>
        <v>33497663</v>
      </c>
      <c r="Z1481" t="str">
        <f>""</f>
        <v/>
      </c>
      <c r="AA1481" t="str">
        <f>""</f>
        <v/>
      </c>
      <c r="AB1481" t="str">
        <f>""</f>
        <v/>
      </c>
      <c r="AC1481" t="str">
        <f>""</f>
        <v/>
      </c>
      <c r="AD1481" t="str">
        <f>""</f>
        <v/>
      </c>
      <c r="AE1481" t="str">
        <f>""</f>
        <v/>
      </c>
      <c r="AF1481" t="str">
        <f>""</f>
        <v/>
      </c>
      <c r="AG1481" t="str">
        <f>""</f>
        <v/>
      </c>
      <c r="AH1481" t="str">
        <f>""</f>
        <v/>
      </c>
      <c r="AI1481" t="str">
        <f>""</f>
        <v/>
      </c>
      <c r="AJ1481" t="str">
        <f>""</f>
        <v/>
      </c>
      <c r="AK1481" t="str">
        <f>""</f>
        <v/>
      </c>
      <c r="AL1481" t="str">
        <f>""</f>
        <v/>
      </c>
      <c r="AM1481" t="str">
        <f>""</f>
        <v/>
      </c>
      <c r="AN1481" t="str">
        <f>""</f>
        <v/>
      </c>
      <c r="AO1481" t="str">
        <f>""</f>
        <v/>
      </c>
      <c r="AP1481" t="str">
        <f>""</f>
        <v/>
      </c>
      <c r="AQ1481" t="str">
        <f>""</f>
        <v/>
      </c>
      <c r="AR1481" t="str">
        <f>""</f>
        <v/>
      </c>
      <c r="AS1481" t="str">
        <f>""</f>
        <v/>
      </c>
      <c r="AT1481" t="str">
        <f>""</f>
        <v/>
      </c>
      <c r="AU1481" t="str">
        <f>""</f>
        <v/>
      </c>
      <c r="AV1481" t="str">
        <f>""</f>
        <v/>
      </c>
      <c r="AW1481" t="str">
        <f>""</f>
        <v/>
      </c>
      <c r="AX1481" t="str">
        <f>""</f>
        <v/>
      </c>
      <c r="AY1481" t="str">
        <f>""</f>
        <v/>
      </c>
      <c r="AZ1481" t="str">
        <f>""</f>
        <v/>
      </c>
      <c r="BA1481" t="str">
        <f>""</f>
        <v/>
      </c>
      <c r="BB1481" t="str">
        <f>"06/07/2023 12:07:48"</f>
        <v>06/07/2023 12:07:48</v>
      </c>
      <c r="BC1481" t="str">
        <f>""</f>
        <v/>
      </c>
      <c r="BD1481" t="str">
        <f>""</f>
        <v/>
      </c>
      <c r="BE1481" t="str">
        <f>""</f>
        <v/>
      </c>
      <c r="BF1481" t="str">
        <f t="shared" si="759"/>
        <v>A</v>
      </c>
      <c r="BG1481" t="str">
        <f>""</f>
        <v/>
      </c>
      <c r="BH1481" t="str">
        <f>""</f>
        <v/>
      </c>
      <c r="BI1481" t="str">
        <f t="shared" si="753"/>
        <v>EVENTUAL</v>
      </c>
      <c r="BJ1481" t="str">
        <f t="shared" si="760"/>
        <v>1</v>
      </c>
      <c r="BK1481" t="str">
        <f t="shared" si="761"/>
        <v>Farmacia</v>
      </c>
      <c r="BL1481" t="str">
        <f>""</f>
        <v/>
      </c>
      <c r="BM1481" t="str">
        <f>""</f>
        <v/>
      </c>
      <c r="BN1481" t="str">
        <f>""</f>
        <v/>
      </c>
      <c r="BO1481" t="str">
        <f>""</f>
        <v/>
      </c>
      <c r="BP1481" t="str">
        <f>""</f>
        <v/>
      </c>
      <c r="BQ1481" t="str">
        <f>""</f>
        <v/>
      </c>
      <c r="BR1481" t="str">
        <f>"06/07/2023"</f>
        <v>06/07/2023</v>
      </c>
      <c r="BS1481" t="str">
        <f>""</f>
        <v/>
      </c>
      <c r="BT1481" t="str">
        <f>""</f>
        <v/>
      </c>
      <c r="BU1481" t="str">
        <f>""</f>
        <v/>
      </c>
      <c r="BV1481" t="str">
        <f>""</f>
        <v/>
      </c>
      <c r="BW1481" t="str">
        <f>"116"</f>
        <v>116</v>
      </c>
    </row>
    <row r="1482" spans="1:75" x14ac:dyDescent="0.35">
      <c r="A1482">
        <v>137712</v>
      </c>
      <c r="B1482" t="str">
        <f t="shared" si="754"/>
        <v>A</v>
      </c>
      <c r="C1482" t="str">
        <f t="shared" si="755"/>
        <v>80</v>
      </c>
      <c r="D1482" t="str">
        <f t="shared" si="746"/>
        <v>11121004</v>
      </c>
      <c r="E1482" t="str">
        <f t="shared" si="747"/>
        <v>121004</v>
      </c>
      <c r="F1482" t="str">
        <f t="shared" si="748"/>
        <v>FABIANA GODOY</v>
      </c>
      <c r="G1482" t="str">
        <f>"37481691000100"</f>
        <v>37481691000100</v>
      </c>
      <c r="H1482" t="str">
        <f t="shared" si="756"/>
        <v>0</v>
      </c>
      <c r="I1482" t="str">
        <f t="shared" si="757"/>
        <v>CONTA OPTICA</v>
      </c>
      <c r="J1482" t="str">
        <f>"MAXX OPTICA RELOGIOS E JOIAS LTDA"</f>
        <v>MAXX OPTICA RELOGIOS E JOIAS LTDA</v>
      </c>
      <c r="K1482" t="str">
        <f>"RELOJOARIA E OPTICA MAXX (4166)"</f>
        <v>RELOJOARIA E OPTICA MAXX (4166)</v>
      </c>
      <c r="L1482" t="str">
        <f>""</f>
        <v/>
      </c>
      <c r="M1482" t="str">
        <f>""</f>
        <v/>
      </c>
      <c r="N1482" t="str">
        <f>"patricia@maxxoptica.com.br"</f>
        <v>patricia@maxxoptica.com.br</v>
      </c>
      <c r="O1482" t="str">
        <f>""</f>
        <v/>
      </c>
      <c r="P1482" t="str">
        <f>"RUA SAO JOSE"</f>
        <v>RUA SAO JOSE</v>
      </c>
      <c r="Q1482" t="str">
        <f>"183"</f>
        <v>183</v>
      </c>
      <c r="R1482" t="str">
        <f>"SALA 03"</f>
        <v>SALA 03</v>
      </c>
      <c r="S1482" t="str">
        <f>""</f>
        <v/>
      </c>
      <c r="T1482" t="str">
        <f>"89110010"</f>
        <v>89110010</v>
      </c>
      <c r="U1482" t="str">
        <f>"CENTRO"</f>
        <v>CENTRO</v>
      </c>
      <c r="V1482" t="str">
        <f>"GASPAR"</f>
        <v>GASPAR</v>
      </c>
      <c r="W1482" t="str">
        <f t="shared" si="744"/>
        <v>SC</v>
      </c>
      <c r="X1482" t="str">
        <f t="shared" si="758"/>
        <v>47</v>
      </c>
      <c r="Y1482" t="str">
        <f>"33809484"</f>
        <v>33809484</v>
      </c>
      <c r="Z1482" t="str">
        <f>""</f>
        <v/>
      </c>
      <c r="AA1482" t="str">
        <f>""</f>
        <v/>
      </c>
      <c r="AB1482" t="str">
        <f>""</f>
        <v/>
      </c>
      <c r="AC1482" t="str">
        <f>""</f>
        <v/>
      </c>
      <c r="AD1482" t="str">
        <f>""</f>
        <v/>
      </c>
      <c r="AE1482" t="str">
        <f>""</f>
        <v/>
      </c>
      <c r="AF1482" t="str">
        <f>""</f>
        <v/>
      </c>
      <c r="AG1482" t="str">
        <f>"S"</f>
        <v>S</v>
      </c>
      <c r="AH1482" t="str">
        <f>""</f>
        <v/>
      </c>
      <c r="AI1482" t="str">
        <f>""</f>
        <v/>
      </c>
      <c r="AJ1482" t="str">
        <f>""</f>
        <v/>
      </c>
      <c r="AK1482" t="str">
        <f>""</f>
        <v/>
      </c>
      <c r="AL1482" t="str">
        <f>""</f>
        <v/>
      </c>
      <c r="AM1482" t="str">
        <f>""</f>
        <v/>
      </c>
      <c r="AN1482" t="str">
        <f>""</f>
        <v/>
      </c>
      <c r="AO1482" t="str">
        <f>""</f>
        <v/>
      </c>
      <c r="AP1482" t="str">
        <f>""</f>
        <v/>
      </c>
      <c r="AQ1482" t="str">
        <f>"N"</f>
        <v>N</v>
      </c>
      <c r="AR1482" t="str">
        <f>"N"</f>
        <v>N</v>
      </c>
      <c r="AS1482" t="str">
        <f>"N"</f>
        <v>N</v>
      </c>
      <c r="AT1482" t="str">
        <f>"N"</f>
        <v>N</v>
      </c>
      <c r="AU1482" t="str">
        <f>"N"</f>
        <v>N</v>
      </c>
      <c r="AV1482" t="str">
        <f>""</f>
        <v/>
      </c>
      <c r="AW1482" t="str">
        <f>""</f>
        <v/>
      </c>
      <c r="AX1482" t="str">
        <f>""</f>
        <v/>
      </c>
      <c r="AY1482" t="str">
        <f>""</f>
        <v/>
      </c>
      <c r="AZ1482" t="str">
        <f>""</f>
        <v/>
      </c>
      <c r="BA1482" t="str">
        <f>""</f>
        <v/>
      </c>
      <c r="BB1482" t="str">
        <f>"01/07/2021 13:53:04"</f>
        <v>01/07/2021 13:53:04</v>
      </c>
      <c r="BC1482" t="str">
        <f>"13/04/2022 16:24:19"</f>
        <v>13/04/2022 16:24:19</v>
      </c>
      <c r="BD1482" t="str">
        <f>""</f>
        <v/>
      </c>
      <c r="BE1482" t="str">
        <f>""</f>
        <v/>
      </c>
      <c r="BF1482" t="str">
        <f t="shared" si="759"/>
        <v>A</v>
      </c>
      <c r="BG1482" t="str">
        <f>""</f>
        <v/>
      </c>
      <c r="BH1482" t="str">
        <f>"0,00"</f>
        <v>0,00</v>
      </c>
      <c r="BI1482" t="str">
        <f t="shared" si="753"/>
        <v>EVENTUAL</v>
      </c>
      <c r="BJ1482" t="str">
        <f t="shared" si="760"/>
        <v>1</v>
      </c>
      <c r="BK1482" t="str">
        <f t="shared" si="761"/>
        <v>Farmacia</v>
      </c>
      <c r="BL1482" t="str">
        <f>""</f>
        <v/>
      </c>
      <c r="BM1482" t="str">
        <f>"NÃO É VARILUX ESPECIALISTA"</f>
        <v>NÃO É VARILUX ESPECIALISTA</v>
      </c>
      <c r="BN1482" t="str">
        <f>"EL360"</f>
        <v>EL360</v>
      </c>
      <c r="BO1482" t="str">
        <f>""</f>
        <v/>
      </c>
      <c r="BP1482" t="str">
        <f>""</f>
        <v/>
      </c>
      <c r="BQ1482" t="str">
        <f>""</f>
        <v/>
      </c>
      <c r="BR1482" t="str">
        <f>"01/07/2021"</f>
        <v>01/07/2021</v>
      </c>
      <c r="BS1482" t="str">
        <f>"13/04/2022"</f>
        <v>13/04/2022</v>
      </c>
      <c r="BT1482" t="str">
        <f>""</f>
        <v/>
      </c>
      <c r="BU1482" t="str">
        <f>""</f>
        <v/>
      </c>
      <c r="BV1482" t="str">
        <f>""</f>
        <v/>
      </c>
      <c r="BW1482" t="str">
        <f>"44"</f>
        <v>44</v>
      </c>
    </row>
    <row r="1483" spans="1:75" x14ac:dyDescent="0.35">
      <c r="A1483">
        <v>127564</v>
      </c>
      <c r="B1483" t="str">
        <f t="shared" si="754"/>
        <v>A</v>
      </c>
      <c r="C1483" t="str">
        <f t="shared" si="755"/>
        <v>80</v>
      </c>
      <c r="D1483" t="str">
        <f t="shared" si="746"/>
        <v>11121004</v>
      </c>
      <c r="E1483" t="str">
        <f t="shared" si="747"/>
        <v>121004</v>
      </c>
      <c r="F1483" t="str">
        <f t="shared" si="748"/>
        <v>FABIANA GODOY</v>
      </c>
      <c r="G1483" t="str">
        <f>"06117396000138"</f>
        <v>06117396000138</v>
      </c>
      <c r="H1483" t="str">
        <f t="shared" si="756"/>
        <v>0</v>
      </c>
      <c r="I1483" t="str">
        <f t="shared" si="757"/>
        <v>CONTA OPTICA</v>
      </c>
      <c r="J1483" t="str">
        <f>"MAYER E CIA LTDA"</f>
        <v>MAYER E CIA LTDA</v>
      </c>
      <c r="K1483" t="str">
        <f>"OTICA MAYER (500)"</f>
        <v>OTICA MAYER (500)</v>
      </c>
      <c r="L1483" t="str">
        <f>""</f>
        <v/>
      </c>
      <c r="M1483" t="str">
        <f>""</f>
        <v/>
      </c>
      <c r="N1483" t="str">
        <f>"opticamayerbc@gmail.com"</f>
        <v>opticamayerbc@gmail.com</v>
      </c>
      <c r="O1483" t="str">
        <f>""</f>
        <v/>
      </c>
      <c r="P1483" t="str">
        <f>"RUA CENTRAL"</f>
        <v>RUA CENTRAL</v>
      </c>
      <c r="Q1483" t="str">
        <f>"489"</f>
        <v>489</v>
      </c>
      <c r="R1483" t="str">
        <f>"SALA 03"</f>
        <v>SALA 03</v>
      </c>
      <c r="S1483" t="str">
        <f>"1262"</f>
        <v>1262</v>
      </c>
      <c r="T1483" t="str">
        <f>"88330670"</f>
        <v>88330670</v>
      </c>
      <c r="U1483" t="str">
        <f>"CENTRO"</f>
        <v>CENTRO</v>
      </c>
      <c r="V1483" t="str">
        <f>"BALNEÁRIO CAMBORIÚ"</f>
        <v>BALNEÁRIO CAMBORIÚ</v>
      </c>
      <c r="W1483" t="str">
        <f t="shared" si="744"/>
        <v>SC</v>
      </c>
      <c r="X1483" t="str">
        <f t="shared" si="758"/>
        <v>47</v>
      </c>
      <c r="Y1483" t="str">
        <f>"33661431"</f>
        <v>33661431</v>
      </c>
      <c r="Z1483" t="str">
        <f>""</f>
        <v/>
      </c>
      <c r="AA1483" t="str">
        <f>""</f>
        <v/>
      </c>
      <c r="AB1483" t="str">
        <f>""</f>
        <v/>
      </c>
      <c r="AC1483" t="str">
        <f>""</f>
        <v/>
      </c>
      <c r="AD1483" t="str">
        <f>""</f>
        <v/>
      </c>
      <c r="AE1483" t="str">
        <f>""</f>
        <v/>
      </c>
      <c r="AF1483" t="str">
        <f>""</f>
        <v/>
      </c>
      <c r="AG1483" t="str">
        <f>""</f>
        <v/>
      </c>
      <c r="AH1483" t="str">
        <f>""</f>
        <v/>
      </c>
      <c r="AI1483" t="str">
        <f>""</f>
        <v/>
      </c>
      <c r="AJ1483" t="str">
        <f>"0"</f>
        <v>0</v>
      </c>
      <c r="AK1483" t="str">
        <f>"0"</f>
        <v>0</v>
      </c>
      <c r="AL1483" t="str">
        <f>"0"</f>
        <v>0</v>
      </c>
      <c r="AM1483" t="str">
        <f>""</f>
        <v/>
      </c>
      <c r="AN1483" t="str">
        <f>""</f>
        <v/>
      </c>
      <c r="AO1483" t="str">
        <f>""</f>
        <v/>
      </c>
      <c r="AP1483" t="str">
        <f>""</f>
        <v/>
      </c>
      <c r="AQ1483" t="str">
        <f>""</f>
        <v/>
      </c>
      <c r="AR1483" t="str">
        <f>""</f>
        <v/>
      </c>
      <c r="AS1483" t="str">
        <f>""</f>
        <v/>
      </c>
      <c r="AT1483" t="str">
        <f>""</f>
        <v/>
      </c>
      <c r="AU1483" t="str">
        <f>""</f>
        <v/>
      </c>
      <c r="AV1483" t="str">
        <f>""</f>
        <v/>
      </c>
      <c r="AW1483" t="str">
        <f>""</f>
        <v/>
      </c>
      <c r="AX1483" t="str">
        <f>""</f>
        <v/>
      </c>
      <c r="AY1483" t="str">
        <f>""</f>
        <v/>
      </c>
      <c r="AZ1483" t="str">
        <f>""</f>
        <v/>
      </c>
      <c r="BA1483" t="str">
        <f>""</f>
        <v/>
      </c>
      <c r="BB1483" t="str">
        <f>"07/10/2020 09:08:38"</f>
        <v>07/10/2020 09:08:38</v>
      </c>
      <c r="BC1483" t="str">
        <f>""</f>
        <v/>
      </c>
      <c r="BD1483" t="str">
        <f>""</f>
        <v/>
      </c>
      <c r="BE1483" t="str">
        <f>""</f>
        <v/>
      </c>
      <c r="BF1483" t="str">
        <f t="shared" si="759"/>
        <v>A</v>
      </c>
      <c r="BG1483" t="str">
        <f>"0,00"</f>
        <v>0,00</v>
      </c>
      <c r="BH1483" t="str">
        <f>"0,00"</f>
        <v>0,00</v>
      </c>
      <c r="BI1483" t="str">
        <f t="shared" si="753"/>
        <v>EVENTUAL</v>
      </c>
      <c r="BJ1483" t="str">
        <f t="shared" si="760"/>
        <v>1</v>
      </c>
      <c r="BK1483" t="str">
        <f t="shared" si="761"/>
        <v>Farmacia</v>
      </c>
      <c r="BL1483" t="str">
        <f>""</f>
        <v/>
      </c>
      <c r="BM1483" t="str">
        <f>"NÃO É VARILUX ESPECIALISTA"</f>
        <v>NÃO É VARILUX ESPECIALISTA</v>
      </c>
      <c r="BN1483" t="str">
        <f>"NA"</f>
        <v>NA</v>
      </c>
      <c r="BO1483" t="str">
        <f>"OUTROS"</f>
        <v>OUTROS</v>
      </c>
      <c r="BP1483" t="str">
        <f>""</f>
        <v/>
      </c>
      <c r="BQ1483" t="str">
        <f>""</f>
        <v/>
      </c>
      <c r="BR1483" t="str">
        <f>"07/10/2020"</f>
        <v>07/10/2020</v>
      </c>
      <c r="BS1483" t="str">
        <f>""</f>
        <v/>
      </c>
      <c r="BT1483" t="str">
        <f>""</f>
        <v/>
      </c>
      <c r="BU1483" t="str">
        <f>""</f>
        <v/>
      </c>
      <c r="BV1483" t="str">
        <f>"9"</f>
        <v>9</v>
      </c>
      <c r="BW1483" t="str">
        <f>"Não visitado"</f>
        <v>Não visitado</v>
      </c>
    </row>
    <row r="1484" spans="1:75" x14ac:dyDescent="0.35">
      <c r="A1484">
        <v>157778</v>
      </c>
      <c r="B1484" t="str">
        <f t="shared" si="754"/>
        <v>A</v>
      </c>
      <c r="C1484" t="str">
        <f t="shared" si="755"/>
        <v>80</v>
      </c>
      <c r="D1484" t="str">
        <f t="shared" si="746"/>
        <v>11121004</v>
      </c>
      <c r="E1484" t="str">
        <f t="shared" si="747"/>
        <v>121004</v>
      </c>
      <c r="F1484" t="str">
        <f t="shared" si="748"/>
        <v>FABIANA GODOY</v>
      </c>
      <c r="G1484" t="str">
        <f>"28731807000113"</f>
        <v>28731807000113</v>
      </c>
      <c r="H1484" t="str">
        <f t="shared" si="756"/>
        <v>0</v>
      </c>
      <c r="I1484" t="str">
        <f t="shared" si="757"/>
        <v>CONTA OPTICA</v>
      </c>
      <c r="J1484" t="str">
        <f>"MAYKEL LUIZ DA SILVA GONCALVES"</f>
        <v>MAYKEL LUIZ DA SILVA GONCALVES</v>
      </c>
      <c r="K1484" t="str">
        <f>"OTICA CRISTAL (4130)"</f>
        <v>OTICA CRISTAL (4130)</v>
      </c>
      <c r="L1484" t="str">
        <f>""</f>
        <v/>
      </c>
      <c r="M1484" t="str">
        <f>""</f>
        <v/>
      </c>
      <c r="N1484" t="str">
        <f>"OTICACRISTALITAJAI@HOTMAIL.COM"</f>
        <v>OTICACRISTALITAJAI@HOTMAIL.COM</v>
      </c>
      <c r="O1484" t="str">
        <f>""</f>
        <v/>
      </c>
      <c r="P1484" t="str">
        <f>"RUA HEITOR LIBERATO"</f>
        <v>RUA HEITOR LIBERATO</v>
      </c>
      <c r="Q1484" t="str">
        <f>"1550"</f>
        <v>1550</v>
      </c>
      <c r="R1484" t="str">
        <f>"SL 26"</f>
        <v>SL 26</v>
      </c>
      <c r="S1484" t="str">
        <f>""</f>
        <v/>
      </c>
      <c r="T1484" t="str">
        <f>"88304101"</f>
        <v>88304101</v>
      </c>
      <c r="U1484" t="str">
        <f>"SÃO JOÃO"</f>
        <v>SÃO JOÃO</v>
      </c>
      <c r="V1484" t="str">
        <f>"ITAJAI"</f>
        <v>ITAJAI</v>
      </c>
      <c r="W1484" t="str">
        <f t="shared" si="744"/>
        <v>SC</v>
      </c>
      <c r="X1484" t="str">
        <f t="shared" si="758"/>
        <v>47</v>
      </c>
      <c r="Y1484" t="str">
        <f>"21254762"</f>
        <v>21254762</v>
      </c>
      <c r="Z1484" t="str">
        <f>""</f>
        <v/>
      </c>
      <c r="AA1484" t="str">
        <f>""</f>
        <v/>
      </c>
      <c r="AB1484" t="str">
        <f>""</f>
        <v/>
      </c>
      <c r="AC1484" t="str">
        <f>""</f>
        <v/>
      </c>
      <c r="AD1484" t="str">
        <f>""</f>
        <v/>
      </c>
      <c r="AE1484" t="str">
        <f>""</f>
        <v/>
      </c>
      <c r="AF1484" t="str">
        <f>""</f>
        <v/>
      </c>
      <c r="AG1484" t="str">
        <f>""</f>
        <v/>
      </c>
      <c r="AH1484" t="str">
        <f>""</f>
        <v/>
      </c>
      <c r="AI1484" t="str">
        <f>""</f>
        <v/>
      </c>
      <c r="AJ1484" t="str">
        <f>""</f>
        <v/>
      </c>
      <c r="AK1484" t="str">
        <f>""</f>
        <v/>
      </c>
      <c r="AL1484" t="str">
        <f>""</f>
        <v/>
      </c>
      <c r="AM1484" t="str">
        <f>""</f>
        <v/>
      </c>
      <c r="AN1484" t="str">
        <f>""</f>
        <v/>
      </c>
      <c r="AO1484" t="str">
        <f>""</f>
        <v/>
      </c>
      <c r="AP1484" t="str">
        <f>""</f>
        <v/>
      </c>
      <c r="AQ1484" t="str">
        <f>""</f>
        <v/>
      </c>
      <c r="AR1484" t="str">
        <f>""</f>
        <v/>
      </c>
      <c r="AS1484" t="str">
        <f>""</f>
        <v/>
      </c>
      <c r="AT1484" t="str">
        <f>""</f>
        <v/>
      </c>
      <c r="AU1484" t="str">
        <f>""</f>
        <v/>
      </c>
      <c r="AV1484" t="str">
        <f>""</f>
        <v/>
      </c>
      <c r="AW1484" t="str">
        <f>""</f>
        <v/>
      </c>
      <c r="AX1484" t="str">
        <f>""</f>
        <v/>
      </c>
      <c r="AY1484" t="str">
        <f>""</f>
        <v/>
      </c>
      <c r="AZ1484" t="str">
        <f>""</f>
        <v/>
      </c>
      <c r="BA1484" t="str">
        <f>""</f>
        <v/>
      </c>
      <c r="BB1484" t="str">
        <f>"11/07/2023 02:26:32"</f>
        <v>11/07/2023 02:26:32</v>
      </c>
      <c r="BC1484" t="str">
        <f>""</f>
        <v/>
      </c>
      <c r="BD1484" t="str">
        <f>""</f>
        <v/>
      </c>
      <c r="BE1484" t="str">
        <f>""</f>
        <v/>
      </c>
      <c r="BF1484" t="str">
        <f t="shared" si="759"/>
        <v>A</v>
      </c>
      <c r="BG1484" t="str">
        <f>""</f>
        <v/>
      </c>
      <c r="BH1484" t="str">
        <f>""</f>
        <v/>
      </c>
      <c r="BI1484" t="str">
        <f t="shared" si="753"/>
        <v>EVENTUAL</v>
      </c>
      <c r="BJ1484" t="str">
        <f t="shared" si="760"/>
        <v>1</v>
      </c>
      <c r="BK1484" t="str">
        <f t="shared" si="761"/>
        <v>Farmacia</v>
      </c>
      <c r="BL1484" t="str">
        <f>""</f>
        <v/>
      </c>
      <c r="BM1484" t="str">
        <f>""</f>
        <v/>
      </c>
      <c r="BN1484" t="str">
        <f>""</f>
        <v/>
      </c>
      <c r="BO1484" t="str">
        <f>""</f>
        <v/>
      </c>
      <c r="BP1484" t="str">
        <f>""</f>
        <v/>
      </c>
      <c r="BQ1484" t="str">
        <f>""</f>
        <v/>
      </c>
      <c r="BR1484" t="str">
        <f>"11/07/2023"</f>
        <v>11/07/2023</v>
      </c>
      <c r="BS1484" t="str">
        <f>""</f>
        <v/>
      </c>
      <c r="BT1484" t="str">
        <f>""</f>
        <v/>
      </c>
      <c r="BU1484" t="str">
        <f>""</f>
        <v/>
      </c>
      <c r="BV1484" t="str">
        <f>""</f>
        <v/>
      </c>
      <c r="BW1484" t="str">
        <f>"Não visitado"</f>
        <v>Não visitado</v>
      </c>
    </row>
    <row r="1485" spans="1:75" x14ac:dyDescent="0.35">
      <c r="A1485">
        <v>137715</v>
      </c>
      <c r="B1485" t="str">
        <f t="shared" si="754"/>
        <v>A</v>
      </c>
      <c r="C1485" t="str">
        <f t="shared" si="755"/>
        <v>80</v>
      </c>
      <c r="D1485" t="str">
        <f t="shared" si="746"/>
        <v>11121004</v>
      </c>
      <c r="E1485" t="str">
        <f t="shared" si="747"/>
        <v>121004</v>
      </c>
      <c r="F1485" t="str">
        <f t="shared" si="748"/>
        <v>FABIANA GODOY</v>
      </c>
      <c r="G1485" t="str">
        <f>"20712021000147"</f>
        <v>20712021000147</v>
      </c>
      <c r="H1485" t="str">
        <f t="shared" si="756"/>
        <v>0</v>
      </c>
      <c r="I1485" t="str">
        <f t="shared" si="757"/>
        <v>CONTA OPTICA</v>
      </c>
      <c r="J1485" t="str">
        <f>"MAYKON DE JESUS AVENCURT ME"</f>
        <v>MAYKON DE JESUS AVENCURT ME</v>
      </c>
      <c r="K1485" t="str">
        <f>"MAYKON DE JESUS AVENCURT ME (2169)"</f>
        <v>MAYKON DE JESUS AVENCURT ME (2169)</v>
      </c>
      <c r="L1485" t="str">
        <f>""</f>
        <v/>
      </c>
      <c r="M1485" t="str">
        <f>""</f>
        <v/>
      </c>
      <c r="N1485" t="str">
        <f>"oticalitoralilhota@gmail.com"</f>
        <v>oticalitoralilhota@gmail.com</v>
      </c>
      <c r="O1485" t="str">
        <f>""</f>
        <v/>
      </c>
      <c r="P1485" t="str">
        <f>"RUA 21 DE JUNHO"</f>
        <v>RUA 21 DE JUNHO</v>
      </c>
      <c r="Q1485" t="str">
        <f>"148"</f>
        <v>148</v>
      </c>
      <c r="R1485" t="str">
        <f>"LOJA"</f>
        <v>LOJA</v>
      </c>
      <c r="S1485" t="str">
        <f>"1261"</f>
        <v>1261</v>
      </c>
      <c r="T1485" t="str">
        <f>"88320000"</f>
        <v>88320000</v>
      </c>
      <c r="U1485" t="str">
        <f t="shared" ref="U1485:U1491" si="762">"CENTRO"</f>
        <v>CENTRO</v>
      </c>
      <c r="V1485" t="str">
        <f>"ILHOTA"</f>
        <v>ILHOTA</v>
      </c>
      <c r="W1485" t="str">
        <f t="shared" si="744"/>
        <v>SC</v>
      </c>
      <c r="X1485" t="str">
        <f t="shared" si="758"/>
        <v>47</v>
      </c>
      <c r="Y1485" t="str">
        <f>"33437693"</f>
        <v>33437693</v>
      </c>
      <c r="Z1485" t="str">
        <f>""</f>
        <v/>
      </c>
      <c r="AA1485" t="str">
        <f>""</f>
        <v/>
      </c>
      <c r="AB1485" t="str">
        <f>""</f>
        <v/>
      </c>
      <c r="AC1485" t="str">
        <f>""</f>
        <v/>
      </c>
      <c r="AD1485" t="str">
        <f>""</f>
        <v/>
      </c>
      <c r="AE1485" t="str">
        <f>""</f>
        <v/>
      </c>
      <c r="AF1485" t="str">
        <f>""</f>
        <v/>
      </c>
      <c r="AG1485" t="str">
        <f>"S"</f>
        <v>S</v>
      </c>
      <c r="AH1485" t="str">
        <f>""</f>
        <v/>
      </c>
      <c r="AI1485" t="str">
        <f>""</f>
        <v/>
      </c>
      <c r="AJ1485" t="str">
        <f>""</f>
        <v/>
      </c>
      <c r="AK1485" t="str">
        <f>""</f>
        <v/>
      </c>
      <c r="AL1485" t="str">
        <f>""</f>
        <v/>
      </c>
      <c r="AM1485" t="str">
        <f>""</f>
        <v/>
      </c>
      <c r="AN1485" t="str">
        <f>""</f>
        <v/>
      </c>
      <c r="AO1485" t="str">
        <f>""</f>
        <v/>
      </c>
      <c r="AP1485" t="str">
        <f>""</f>
        <v/>
      </c>
      <c r="AQ1485" t="str">
        <f>"N"</f>
        <v>N</v>
      </c>
      <c r="AR1485" t="str">
        <f>"N"</f>
        <v>N</v>
      </c>
      <c r="AS1485" t="str">
        <f>"N"</f>
        <v>N</v>
      </c>
      <c r="AT1485" t="str">
        <f>"N"</f>
        <v>N</v>
      </c>
      <c r="AU1485" t="str">
        <f>"N"</f>
        <v>N</v>
      </c>
      <c r="AV1485" t="str">
        <f>""</f>
        <v/>
      </c>
      <c r="AW1485" t="str">
        <f>""</f>
        <v/>
      </c>
      <c r="AX1485" t="str">
        <f>""</f>
        <v/>
      </c>
      <c r="AY1485" t="str">
        <f>""</f>
        <v/>
      </c>
      <c r="AZ1485" t="str">
        <f>""</f>
        <v/>
      </c>
      <c r="BA1485" t="str">
        <f>""</f>
        <v/>
      </c>
      <c r="BB1485" t="str">
        <f>"01/07/2021 13:53:04"</f>
        <v>01/07/2021 13:53:04</v>
      </c>
      <c r="BC1485" t="str">
        <f>"29/04/2022 11:52:38"</f>
        <v>29/04/2022 11:52:38</v>
      </c>
      <c r="BD1485" t="str">
        <f>""</f>
        <v/>
      </c>
      <c r="BE1485" t="str">
        <f>""</f>
        <v/>
      </c>
      <c r="BF1485" t="str">
        <f t="shared" si="759"/>
        <v>A</v>
      </c>
      <c r="BG1485" t="str">
        <f>""</f>
        <v/>
      </c>
      <c r="BH1485" t="str">
        <f>"0,00"</f>
        <v>0,00</v>
      </c>
      <c r="BI1485" t="str">
        <f t="shared" si="753"/>
        <v>EVENTUAL</v>
      </c>
      <c r="BJ1485" t="str">
        <f t="shared" si="760"/>
        <v>1</v>
      </c>
      <c r="BK1485" t="str">
        <f t="shared" si="761"/>
        <v>Farmacia</v>
      </c>
      <c r="BL1485" t="str">
        <f>""</f>
        <v/>
      </c>
      <c r="BM1485" t="str">
        <f>"NÃO É VARILUX ESPECIALISTA"</f>
        <v>NÃO É VARILUX ESPECIALISTA</v>
      </c>
      <c r="BN1485" t="str">
        <f>"NA"</f>
        <v>NA</v>
      </c>
      <c r="BO1485" t="str">
        <f>"OUTROS"</f>
        <v>OUTROS</v>
      </c>
      <c r="BP1485" t="str">
        <f>""</f>
        <v/>
      </c>
      <c r="BQ1485" t="str">
        <f>""</f>
        <v/>
      </c>
      <c r="BR1485" t="str">
        <f>"01/07/2021"</f>
        <v>01/07/2021</v>
      </c>
      <c r="BS1485" t="str">
        <f>"29/04/2022"</f>
        <v>29/04/2022</v>
      </c>
      <c r="BT1485" t="str">
        <f>""</f>
        <v/>
      </c>
      <c r="BU1485" t="str">
        <f>""</f>
        <v/>
      </c>
      <c r="BV1485" t="str">
        <f>""</f>
        <v/>
      </c>
      <c r="BW1485" t="str">
        <f>"662"</f>
        <v>662</v>
      </c>
    </row>
    <row r="1486" spans="1:75" x14ac:dyDescent="0.35">
      <c r="A1486">
        <v>159590</v>
      </c>
      <c r="B1486" t="str">
        <f t="shared" si="754"/>
        <v>A</v>
      </c>
      <c r="C1486" t="str">
        <f t="shared" si="755"/>
        <v>80</v>
      </c>
      <c r="D1486" t="str">
        <f t="shared" si="746"/>
        <v>11121004</v>
      </c>
      <c r="E1486" t="str">
        <f t="shared" si="747"/>
        <v>121004</v>
      </c>
      <c r="F1486" t="str">
        <f t="shared" si="748"/>
        <v>FABIANA GODOY</v>
      </c>
      <c r="G1486" t="str">
        <f>"51537376000170"</f>
        <v>51537376000170</v>
      </c>
      <c r="H1486" t="str">
        <f>""</f>
        <v/>
      </c>
      <c r="I1486" t="str">
        <f t="shared" si="757"/>
        <v>CONTA OPTICA</v>
      </c>
      <c r="J1486" t="str">
        <f>"MB COMERCIO DE PRODUTOS OTICOS M.E. LTDA"</f>
        <v>MB COMERCIO DE PRODUTOS OTICOS M.E. LTDA</v>
      </c>
      <c r="K1486" t="str">
        <f>"OTICAS DINIZ (4784)"</f>
        <v>OTICAS DINIZ (4784)</v>
      </c>
      <c r="L1486" t="str">
        <f>""</f>
        <v/>
      </c>
      <c r="M1486" t="str">
        <f>""</f>
        <v/>
      </c>
      <c r="N1486" t="str">
        <f>"MARIABM@OTICASDINIZ.COM.BR"</f>
        <v>MARIABM@OTICASDINIZ.COM.BR</v>
      </c>
      <c r="O1486" t="str">
        <f>""</f>
        <v/>
      </c>
      <c r="P1486" t="str">
        <f>"RUA R TIJUCAS"</f>
        <v>RUA R TIJUCAS</v>
      </c>
      <c r="Q1486" t="str">
        <f>"11"</f>
        <v>11</v>
      </c>
      <c r="R1486" t="str">
        <f>"SALA 02"</f>
        <v>SALA 02</v>
      </c>
      <c r="S1486" t="str">
        <f>"1261"</f>
        <v>1261</v>
      </c>
      <c r="T1486" t="str">
        <f>"88301360"</f>
        <v>88301360</v>
      </c>
      <c r="U1486" t="str">
        <f t="shared" si="762"/>
        <v>CENTRO</v>
      </c>
      <c r="V1486" t="str">
        <f>"ITAJAI"</f>
        <v>ITAJAI</v>
      </c>
      <c r="W1486" t="str">
        <f t="shared" si="744"/>
        <v>SC</v>
      </c>
      <c r="X1486" t="str">
        <f>"48"</f>
        <v>48</v>
      </c>
      <c r="Y1486" t="str">
        <f>"996166047"</f>
        <v>996166047</v>
      </c>
      <c r="Z1486" t="str">
        <f>""</f>
        <v/>
      </c>
      <c r="AA1486" t="str">
        <f>""</f>
        <v/>
      </c>
      <c r="AB1486" t="str">
        <f>""</f>
        <v/>
      </c>
      <c r="AC1486" t="str">
        <f>""</f>
        <v/>
      </c>
      <c r="AD1486" t="str">
        <f>""</f>
        <v/>
      </c>
      <c r="AE1486" t="str">
        <f>""</f>
        <v/>
      </c>
      <c r="AF1486" t="str">
        <f>""</f>
        <v/>
      </c>
      <c r="AG1486" t="str">
        <f>""</f>
        <v/>
      </c>
      <c r="AH1486" t="str">
        <f>""</f>
        <v/>
      </c>
      <c r="AI1486" t="str">
        <f>""</f>
        <v/>
      </c>
      <c r="AJ1486" t="str">
        <f>""</f>
        <v/>
      </c>
      <c r="AK1486" t="str">
        <f>""</f>
        <v/>
      </c>
      <c r="AL1486" t="str">
        <f>""</f>
        <v/>
      </c>
      <c r="AM1486" t="str">
        <f>""</f>
        <v/>
      </c>
      <c r="AN1486" t="str">
        <f>""</f>
        <v/>
      </c>
      <c r="AO1486" t="str">
        <f>""</f>
        <v/>
      </c>
      <c r="AP1486" t="str">
        <f>""</f>
        <v/>
      </c>
      <c r="AQ1486" t="str">
        <f>""</f>
        <v/>
      </c>
      <c r="AR1486" t="str">
        <f>""</f>
        <v/>
      </c>
      <c r="AS1486" t="str">
        <f>""</f>
        <v/>
      </c>
      <c r="AT1486" t="str">
        <f>""</f>
        <v/>
      </c>
      <c r="AU1486" t="str">
        <f>""</f>
        <v/>
      </c>
      <c r="AV1486" t="str">
        <f>""</f>
        <v/>
      </c>
      <c r="AW1486" t="str">
        <f>""</f>
        <v/>
      </c>
      <c r="AX1486" t="str">
        <f>""</f>
        <v/>
      </c>
      <c r="AY1486" t="str">
        <f>""</f>
        <v/>
      </c>
      <c r="AZ1486" t="str">
        <f>""</f>
        <v/>
      </c>
      <c r="BA1486" t="str">
        <f>""</f>
        <v/>
      </c>
      <c r="BB1486" t="str">
        <f>"25/09/2023 11:47:13"</f>
        <v>25/09/2023 11:47:13</v>
      </c>
      <c r="BC1486" t="str">
        <f>""</f>
        <v/>
      </c>
      <c r="BD1486" t="str">
        <f>""</f>
        <v/>
      </c>
      <c r="BE1486" t="str">
        <f>""</f>
        <v/>
      </c>
      <c r="BF1486" t="str">
        <f t="shared" si="759"/>
        <v>A</v>
      </c>
      <c r="BG1486" t="str">
        <f>""</f>
        <v/>
      </c>
      <c r="BH1486" t="str">
        <f>""</f>
        <v/>
      </c>
      <c r="BI1486" t="str">
        <f t="shared" si="753"/>
        <v>EVENTUAL</v>
      </c>
      <c r="BJ1486" t="str">
        <f t="shared" si="760"/>
        <v>1</v>
      </c>
      <c r="BK1486" t="str">
        <f t="shared" si="761"/>
        <v>Farmacia</v>
      </c>
      <c r="BL1486" t="str">
        <f>""</f>
        <v/>
      </c>
      <c r="BM1486" t="str">
        <f>""</f>
        <v/>
      </c>
      <c r="BN1486" t="str">
        <f>""</f>
        <v/>
      </c>
      <c r="BO1486" t="str">
        <f>""</f>
        <v/>
      </c>
      <c r="BP1486" t="str">
        <f>""</f>
        <v/>
      </c>
      <c r="BQ1486" t="str">
        <f>""</f>
        <v/>
      </c>
      <c r="BR1486" t="str">
        <f>"25/09/2023"</f>
        <v>25/09/2023</v>
      </c>
      <c r="BS1486" t="str">
        <f>""</f>
        <v/>
      </c>
      <c r="BT1486" t="str">
        <f>""</f>
        <v/>
      </c>
      <c r="BU1486" t="str">
        <f>""</f>
        <v/>
      </c>
      <c r="BV1486" t="str">
        <f>""</f>
        <v/>
      </c>
      <c r="BW1486" t="str">
        <f>"52"</f>
        <v>52</v>
      </c>
    </row>
    <row r="1487" spans="1:75" x14ac:dyDescent="0.35">
      <c r="A1487">
        <v>144881</v>
      </c>
      <c r="B1487" t="str">
        <f t="shared" si="754"/>
        <v>A</v>
      </c>
      <c r="C1487" t="str">
        <f t="shared" si="755"/>
        <v>80</v>
      </c>
      <c r="D1487" t="str">
        <f t="shared" si="746"/>
        <v>11121004</v>
      </c>
      <c r="E1487" t="str">
        <f t="shared" si="747"/>
        <v>121004</v>
      </c>
      <c r="F1487" t="str">
        <f t="shared" si="748"/>
        <v>FABIANA GODOY</v>
      </c>
      <c r="G1487" t="str">
        <f>"44127347000175"</f>
        <v>44127347000175</v>
      </c>
      <c r="H1487" t="str">
        <f>"0"</f>
        <v>0</v>
      </c>
      <c r="I1487" t="str">
        <f t="shared" si="757"/>
        <v>CONTA OPTICA</v>
      </c>
      <c r="J1487" t="str">
        <f>"MEGAVISION RELOJOARIA E OTICA LTDA"</f>
        <v>MEGAVISION RELOJOARIA E OTICA LTDA</v>
      </c>
      <c r="K1487" t="str">
        <f>"OTICAS CAROL (4440)"</f>
        <v>OTICAS CAROL (4440)</v>
      </c>
      <c r="L1487" t="str">
        <f>""</f>
        <v/>
      </c>
      <c r="M1487" t="str">
        <f>""</f>
        <v/>
      </c>
      <c r="N1487" t="str">
        <f>"OTICASCAROL.BARRAVELHA@GMAIL.COM"</f>
        <v>OTICASCAROL.BARRAVELHA@GMAIL.COM</v>
      </c>
      <c r="O1487" t="str">
        <f>""</f>
        <v/>
      </c>
      <c r="P1487" t="str">
        <f>"SANTA CATARINA"</f>
        <v>SANTA CATARINA</v>
      </c>
      <c r="Q1487" t="str">
        <f>"698"</f>
        <v>698</v>
      </c>
      <c r="R1487" t="str">
        <f>"SALA 02"</f>
        <v>SALA 02</v>
      </c>
      <c r="S1487" t="str">
        <f>"1263"</f>
        <v>1263</v>
      </c>
      <c r="T1487" t="str">
        <f>"88390000"</f>
        <v>88390000</v>
      </c>
      <c r="U1487" t="str">
        <f t="shared" si="762"/>
        <v>CENTRO</v>
      </c>
      <c r="V1487" t="str">
        <f>"BARRA VELHA"</f>
        <v>BARRA VELHA</v>
      </c>
      <c r="W1487" t="str">
        <f t="shared" si="744"/>
        <v>SC</v>
      </c>
      <c r="X1487" t="str">
        <f t="shared" ref="X1487:X1502" si="763">"47"</f>
        <v>47</v>
      </c>
      <c r="Y1487" t="str">
        <f>"33050667"</f>
        <v>33050667</v>
      </c>
      <c r="Z1487" t="str">
        <f>""</f>
        <v/>
      </c>
      <c r="AA1487" t="str">
        <f>""</f>
        <v/>
      </c>
      <c r="AB1487" t="str">
        <f>""</f>
        <v/>
      </c>
      <c r="AC1487" t="str">
        <f>""</f>
        <v/>
      </c>
      <c r="AD1487" t="str">
        <f>""</f>
        <v/>
      </c>
      <c r="AE1487" t="str">
        <f>""</f>
        <v/>
      </c>
      <c r="AF1487" t="str">
        <f>""</f>
        <v/>
      </c>
      <c r="AG1487" t="str">
        <f>""</f>
        <v/>
      </c>
      <c r="AH1487" t="str">
        <f>""</f>
        <v/>
      </c>
      <c r="AI1487" t="str">
        <f>""</f>
        <v/>
      </c>
      <c r="AJ1487" t="str">
        <f>""</f>
        <v/>
      </c>
      <c r="AK1487" t="str">
        <f>""</f>
        <v/>
      </c>
      <c r="AL1487" t="str">
        <f>""</f>
        <v/>
      </c>
      <c r="AM1487" t="str">
        <f>""</f>
        <v/>
      </c>
      <c r="AN1487" t="str">
        <f>""</f>
        <v/>
      </c>
      <c r="AO1487" t="str">
        <f>""</f>
        <v/>
      </c>
      <c r="AP1487" t="str">
        <f>""</f>
        <v/>
      </c>
      <c r="AQ1487" t="str">
        <f>""</f>
        <v/>
      </c>
      <c r="AR1487" t="str">
        <f>""</f>
        <v/>
      </c>
      <c r="AS1487" t="str">
        <f>""</f>
        <v/>
      </c>
      <c r="AT1487" t="str">
        <f>""</f>
        <v/>
      </c>
      <c r="AU1487" t="str">
        <f>""</f>
        <v/>
      </c>
      <c r="AV1487" t="str">
        <f>""</f>
        <v/>
      </c>
      <c r="AW1487" t="str">
        <f>""</f>
        <v/>
      </c>
      <c r="AX1487" t="str">
        <f>""</f>
        <v/>
      </c>
      <c r="AY1487" t="str">
        <f>""</f>
        <v/>
      </c>
      <c r="AZ1487" t="str">
        <f>""</f>
        <v/>
      </c>
      <c r="BA1487" t="str">
        <f>""</f>
        <v/>
      </c>
      <c r="BB1487" t="str">
        <f>"28/12/2021 17:14:38"</f>
        <v>28/12/2021 17:14:38</v>
      </c>
      <c r="BC1487" t="str">
        <f>""</f>
        <v/>
      </c>
      <c r="BD1487" t="str">
        <f>""</f>
        <v/>
      </c>
      <c r="BE1487" t="str">
        <f>""</f>
        <v/>
      </c>
      <c r="BF1487" t="str">
        <f t="shared" si="759"/>
        <v>A</v>
      </c>
      <c r="BG1487" t="str">
        <f>""</f>
        <v/>
      </c>
      <c r="BH1487" t="str">
        <f>""</f>
        <v/>
      </c>
      <c r="BI1487" t="str">
        <f t="shared" si="753"/>
        <v>EVENTUAL</v>
      </c>
      <c r="BJ1487" t="str">
        <f t="shared" si="760"/>
        <v>1</v>
      </c>
      <c r="BK1487" t="str">
        <f t="shared" si="761"/>
        <v>Farmacia</v>
      </c>
      <c r="BL1487" t="str">
        <f>""</f>
        <v/>
      </c>
      <c r="BM1487" t="str">
        <f>""</f>
        <v/>
      </c>
      <c r="BN1487" t="str">
        <f>""</f>
        <v/>
      </c>
      <c r="BO1487" t="str">
        <f>""</f>
        <v/>
      </c>
      <c r="BP1487" t="str">
        <f>""</f>
        <v/>
      </c>
      <c r="BQ1487" t="str">
        <f>""</f>
        <v/>
      </c>
      <c r="BR1487" t="str">
        <f>"28/12/2021"</f>
        <v>28/12/2021</v>
      </c>
      <c r="BS1487" t="str">
        <f>""</f>
        <v/>
      </c>
      <c r="BT1487" t="str">
        <f>""</f>
        <v/>
      </c>
      <c r="BU1487" t="str">
        <f>""</f>
        <v/>
      </c>
      <c r="BV1487" t="str">
        <f>""</f>
        <v/>
      </c>
      <c r="BW1487" t="str">
        <f>"301"</f>
        <v>301</v>
      </c>
    </row>
    <row r="1488" spans="1:75" x14ac:dyDescent="0.35">
      <c r="A1488">
        <v>1267</v>
      </c>
      <c r="B1488" t="str">
        <f t="shared" si="754"/>
        <v>A</v>
      </c>
      <c r="C1488" t="str">
        <f t="shared" si="755"/>
        <v>80</v>
      </c>
      <c r="D1488" t="str">
        <f t="shared" si="746"/>
        <v>11121004</v>
      </c>
      <c r="E1488" t="str">
        <f t="shared" si="747"/>
        <v>121004</v>
      </c>
      <c r="F1488" t="str">
        <f t="shared" si="748"/>
        <v>FABIANA GODOY</v>
      </c>
      <c r="G1488" t="str">
        <f>"04448766000194"</f>
        <v>04448766000194</v>
      </c>
      <c r="H1488" t="str">
        <f>""</f>
        <v/>
      </c>
      <c r="I1488" t="str">
        <f t="shared" si="757"/>
        <v>CONTA OPTICA</v>
      </c>
      <c r="J1488" t="str">
        <f>"MENDES JOALHERIA E OTICA LTDA"</f>
        <v>MENDES JOALHERIA E OTICA LTDA</v>
      </c>
      <c r="K1488" t="str">
        <f>"JOALHERIA OTICA CHARME (894)"</f>
        <v>JOALHERIA OTICA CHARME (894)</v>
      </c>
      <c r="L1488" t="str">
        <f>""</f>
        <v/>
      </c>
      <c r="M1488" t="str">
        <f>""</f>
        <v/>
      </c>
      <c r="N1488" t="str">
        <f>"oticacharme@gmail.com"</f>
        <v>oticacharme@gmail.com</v>
      </c>
      <c r="O1488" t="str">
        <f>""</f>
        <v/>
      </c>
      <c r="P1488" t="str">
        <f>"RUA XV DE NOVEMBRO"</f>
        <v>RUA XV DE NOVEMBRO</v>
      </c>
      <c r="Q1488" t="str">
        <f>"1434"</f>
        <v>1434</v>
      </c>
      <c r="R1488" t="str">
        <f>""</f>
        <v/>
      </c>
      <c r="S1488" t="str">
        <f>"1271"</f>
        <v>1271</v>
      </c>
      <c r="T1488" t="str">
        <f>"89010003"</f>
        <v>89010003</v>
      </c>
      <c r="U1488" t="str">
        <f t="shared" si="762"/>
        <v>CENTRO</v>
      </c>
      <c r="V1488" t="str">
        <f>"BLUMENAU"</f>
        <v>BLUMENAU</v>
      </c>
      <c r="W1488" t="str">
        <f t="shared" si="744"/>
        <v>SC</v>
      </c>
      <c r="X1488" t="str">
        <f t="shared" si="763"/>
        <v>47</v>
      </c>
      <c r="Y1488" t="str">
        <f>"33408448"</f>
        <v>33408448</v>
      </c>
      <c r="Z1488" t="str">
        <f>""</f>
        <v/>
      </c>
      <c r="AA1488" t="str">
        <f>""</f>
        <v/>
      </c>
      <c r="AB1488" t="str">
        <f>""</f>
        <v/>
      </c>
      <c r="AC1488" t="str">
        <f>""</f>
        <v/>
      </c>
      <c r="AD1488" t="str">
        <f>""</f>
        <v/>
      </c>
      <c r="AE1488" t="str">
        <f>""</f>
        <v/>
      </c>
      <c r="AF1488" t="str">
        <f>""</f>
        <v/>
      </c>
      <c r="AG1488" t="str">
        <f>""</f>
        <v/>
      </c>
      <c r="AH1488" t="str">
        <f>""</f>
        <v/>
      </c>
      <c r="AI1488" t="str">
        <f>""</f>
        <v/>
      </c>
      <c r="AJ1488" t="str">
        <f>"0"</f>
        <v>0</v>
      </c>
      <c r="AK1488" t="str">
        <f>"0"</f>
        <v>0</v>
      </c>
      <c r="AL1488" t="str">
        <f>"0"</f>
        <v>0</v>
      </c>
      <c r="AM1488" t="str">
        <f>""</f>
        <v/>
      </c>
      <c r="AN1488" t="str">
        <f>""</f>
        <v/>
      </c>
      <c r="AO1488" t="str">
        <f>""</f>
        <v/>
      </c>
      <c r="AP1488" t="str">
        <f>""</f>
        <v/>
      </c>
      <c r="AQ1488" t="str">
        <f>""</f>
        <v/>
      </c>
      <c r="AR1488" t="str">
        <f>""</f>
        <v/>
      </c>
      <c r="AS1488" t="str">
        <f>""</f>
        <v/>
      </c>
      <c r="AT1488" t="str">
        <f>""</f>
        <v/>
      </c>
      <c r="AU1488" t="str">
        <f>""</f>
        <v/>
      </c>
      <c r="AV1488" t="str">
        <f>""</f>
        <v/>
      </c>
      <c r="AW1488" t="str">
        <f>""</f>
        <v/>
      </c>
      <c r="AX1488" t="str">
        <f>""</f>
        <v/>
      </c>
      <c r="AY1488" t="str">
        <f>""</f>
        <v/>
      </c>
      <c r="AZ1488" t="str">
        <f>""</f>
        <v/>
      </c>
      <c r="BA1488" t="str">
        <f>""</f>
        <v/>
      </c>
      <c r="BB1488" t="str">
        <f>"27/07/2018 09:26:12"</f>
        <v>27/07/2018 09:26:12</v>
      </c>
      <c r="BC1488" t="str">
        <f>""</f>
        <v/>
      </c>
      <c r="BD1488" t="str">
        <f>""</f>
        <v/>
      </c>
      <c r="BE1488" t="str">
        <f>"1267"</f>
        <v>1267</v>
      </c>
      <c r="BF1488" t="str">
        <f t="shared" si="759"/>
        <v>A</v>
      </c>
      <c r="BG1488" t="str">
        <f>"0,00"</f>
        <v>0,00</v>
      </c>
      <c r="BH1488" t="str">
        <f>"0,00"</f>
        <v>0,00</v>
      </c>
      <c r="BI1488" t="str">
        <f t="shared" si="753"/>
        <v>EVENTUAL</v>
      </c>
      <c r="BJ1488" t="str">
        <f t="shared" si="760"/>
        <v>1</v>
      </c>
      <c r="BK1488" t="str">
        <f t="shared" si="761"/>
        <v>Farmacia</v>
      </c>
      <c r="BL1488" t="str">
        <f>""</f>
        <v/>
      </c>
      <c r="BM1488" t="str">
        <f>"NÃO É VARILUX ESPECIALISTA"</f>
        <v>NÃO É VARILUX ESPECIALISTA</v>
      </c>
      <c r="BN1488" t="str">
        <f>"NA"</f>
        <v>NA</v>
      </c>
      <c r="BO1488" t="str">
        <f>"FOCO KODAK 2"</f>
        <v>FOCO KODAK 2</v>
      </c>
      <c r="BP1488" t="str">
        <f>""</f>
        <v/>
      </c>
      <c r="BQ1488" t="str">
        <f>""</f>
        <v/>
      </c>
      <c r="BR1488" t="str">
        <f>"27/07/2018"</f>
        <v>27/07/2018</v>
      </c>
      <c r="BS1488" t="str">
        <f>""</f>
        <v/>
      </c>
      <c r="BT1488" t="str">
        <f>""</f>
        <v/>
      </c>
      <c r="BU1488" t="str">
        <f>""</f>
        <v/>
      </c>
      <c r="BV1488" t="str">
        <f>"6"</f>
        <v>6</v>
      </c>
      <c r="BW1488" t="str">
        <f>"10"</f>
        <v>10</v>
      </c>
    </row>
    <row r="1489" spans="1:75" x14ac:dyDescent="0.35">
      <c r="A1489">
        <v>137717</v>
      </c>
      <c r="B1489" t="str">
        <f t="shared" si="754"/>
        <v>A</v>
      </c>
      <c r="C1489" t="str">
        <f t="shared" si="755"/>
        <v>80</v>
      </c>
      <c r="D1489" t="str">
        <f t="shared" si="746"/>
        <v>11121004</v>
      </c>
      <c r="E1489" t="str">
        <f t="shared" si="747"/>
        <v>121004</v>
      </c>
      <c r="F1489" t="str">
        <f t="shared" si="748"/>
        <v>FABIANA GODOY</v>
      </c>
      <c r="G1489" t="str">
        <f>"34810418000186"</f>
        <v>34810418000186</v>
      </c>
      <c r="H1489" t="str">
        <f>"0"</f>
        <v>0</v>
      </c>
      <c r="I1489" t="str">
        <f t="shared" si="757"/>
        <v>CONTA OPTICA</v>
      </c>
      <c r="J1489" t="str">
        <f>"MERCADAO DOS OCULOS GASPAR LTDA"</f>
        <v>MERCADAO DOS OCULOS GASPAR LTDA</v>
      </c>
      <c r="K1489" t="str">
        <f>"MERCADAO DOS OCULOS (4068)"</f>
        <v>MERCADAO DOS OCULOS (4068)</v>
      </c>
      <c r="L1489" t="str">
        <f>""</f>
        <v/>
      </c>
      <c r="M1489" t="str">
        <f>""</f>
        <v/>
      </c>
      <c r="N1489" t="str">
        <f>"sc-gaspar@mercadaodosoculos.com.br"</f>
        <v>sc-gaspar@mercadaodosoculos.com.br</v>
      </c>
      <c r="O1489" t="str">
        <f>""</f>
        <v/>
      </c>
      <c r="P1489" t="str">
        <f>"RUA CORONEL ARISTILIANO RAMOS"</f>
        <v>RUA CORONEL ARISTILIANO RAMOS</v>
      </c>
      <c r="Q1489" t="str">
        <f>"361"</f>
        <v>361</v>
      </c>
      <c r="R1489" t="str">
        <f>"SALA 02"</f>
        <v>SALA 02</v>
      </c>
      <c r="S1489" t="str">
        <f>"1274"</f>
        <v>1274</v>
      </c>
      <c r="T1489" t="str">
        <f>"89110064"</f>
        <v>89110064</v>
      </c>
      <c r="U1489" t="str">
        <f t="shared" si="762"/>
        <v>CENTRO</v>
      </c>
      <c r="V1489" t="str">
        <f>"GASPAR"</f>
        <v>GASPAR</v>
      </c>
      <c r="W1489" t="str">
        <f t="shared" si="744"/>
        <v>SC</v>
      </c>
      <c r="X1489" t="str">
        <f t="shared" si="763"/>
        <v>47</v>
      </c>
      <c r="Y1489" t="str">
        <f>"30180024"</f>
        <v>30180024</v>
      </c>
      <c r="Z1489" t="str">
        <f>""</f>
        <v/>
      </c>
      <c r="AA1489" t="str">
        <f>""</f>
        <v/>
      </c>
      <c r="AB1489" t="str">
        <f>""</f>
        <v/>
      </c>
      <c r="AC1489" t="str">
        <f>""</f>
        <v/>
      </c>
      <c r="AD1489" t="str">
        <f>""</f>
        <v/>
      </c>
      <c r="AE1489" t="str">
        <f>""</f>
        <v/>
      </c>
      <c r="AF1489" t="str">
        <f>""</f>
        <v/>
      </c>
      <c r="AG1489" t="str">
        <f>"S"</f>
        <v>S</v>
      </c>
      <c r="AH1489" t="str">
        <f>""</f>
        <v/>
      </c>
      <c r="AI1489" t="str">
        <f>""</f>
        <v/>
      </c>
      <c r="AJ1489" t="str">
        <f>""</f>
        <v/>
      </c>
      <c r="AK1489" t="str">
        <f>""</f>
        <v/>
      </c>
      <c r="AL1489" t="str">
        <f>""</f>
        <v/>
      </c>
      <c r="AM1489" t="str">
        <f>""</f>
        <v/>
      </c>
      <c r="AN1489" t="str">
        <f>""</f>
        <v/>
      </c>
      <c r="AO1489" t="str">
        <f>""</f>
        <v/>
      </c>
      <c r="AP1489" t="str">
        <f>""</f>
        <v/>
      </c>
      <c r="AQ1489" t="str">
        <f>"N"</f>
        <v>N</v>
      </c>
      <c r="AR1489" t="str">
        <f>"N"</f>
        <v>N</v>
      </c>
      <c r="AS1489" t="str">
        <f>"N"</f>
        <v>N</v>
      </c>
      <c r="AT1489" t="str">
        <f>"N"</f>
        <v>N</v>
      </c>
      <c r="AU1489" t="str">
        <f>"N"</f>
        <v>N</v>
      </c>
      <c r="AV1489" t="str">
        <f>""</f>
        <v/>
      </c>
      <c r="AW1489" t="str">
        <f>""</f>
        <v/>
      </c>
      <c r="AX1489" t="str">
        <f>""</f>
        <v/>
      </c>
      <c r="AY1489" t="str">
        <f>""</f>
        <v/>
      </c>
      <c r="AZ1489" t="str">
        <f>""</f>
        <v/>
      </c>
      <c r="BA1489" t="str">
        <f>""</f>
        <v/>
      </c>
      <c r="BB1489" t="str">
        <f>"01/07/2021 13:53:04"</f>
        <v>01/07/2021 13:53:04</v>
      </c>
      <c r="BC1489" t="str">
        <f>"24/09/2021 16:30:02"</f>
        <v>24/09/2021 16:30:02</v>
      </c>
      <c r="BD1489" t="str">
        <f>""</f>
        <v/>
      </c>
      <c r="BE1489" t="str">
        <f>""</f>
        <v/>
      </c>
      <c r="BF1489" t="str">
        <f t="shared" si="759"/>
        <v>A</v>
      </c>
      <c r="BG1489" t="str">
        <f>""</f>
        <v/>
      </c>
      <c r="BH1489" t="str">
        <f>"0,00"</f>
        <v>0,00</v>
      </c>
      <c r="BI1489" t="str">
        <f t="shared" si="753"/>
        <v>EVENTUAL</v>
      </c>
      <c r="BJ1489" t="str">
        <f t="shared" si="760"/>
        <v>1</v>
      </c>
      <c r="BK1489" t="str">
        <f t="shared" si="761"/>
        <v>Farmacia</v>
      </c>
      <c r="BL1489" t="str">
        <f>""</f>
        <v/>
      </c>
      <c r="BM1489" t="str">
        <f>"NÃO É VARILUX ESPECIALISTA"</f>
        <v>NÃO É VARILUX ESPECIALISTA</v>
      </c>
      <c r="BN1489" t="str">
        <f>"NA"</f>
        <v>NA</v>
      </c>
      <c r="BO1489" t="str">
        <f>"FOCO VARILUX"</f>
        <v>FOCO VARILUX</v>
      </c>
      <c r="BP1489" t="str">
        <f>""</f>
        <v/>
      </c>
      <c r="BQ1489" t="str">
        <f>""</f>
        <v/>
      </c>
      <c r="BR1489" t="str">
        <f>"01/07/2021"</f>
        <v>01/07/2021</v>
      </c>
      <c r="BS1489" t="str">
        <f>"24/09/2021"</f>
        <v>24/09/2021</v>
      </c>
      <c r="BT1489" t="str">
        <f>""</f>
        <v/>
      </c>
      <c r="BU1489" t="str">
        <f>""</f>
        <v/>
      </c>
      <c r="BV1489" t="str">
        <f>""</f>
        <v/>
      </c>
      <c r="BW1489" t="str">
        <f>"487"</f>
        <v>487</v>
      </c>
    </row>
    <row r="1490" spans="1:75" x14ac:dyDescent="0.35">
      <c r="A1490">
        <v>157786</v>
      </c>
      <c r="B1490" t="str">
        <f t="shared" si="754"/>
        <v>A</v>
      </c>
      <c r="C1490" t="str">
        <f t="shared" si="755"/>
        <v>80</v>
      </c>
      <c r="D1490" t="str">
        <f t="shared" si="746"/>
        <v>11121004</v>
      </c>
      <c r="E1490" t="str">
        <f t="shared" si="747"/>
        <v>121004</v>
      </c>
      <c r="F1490" t="str">
        <f t="shared" si="748"/>
        <v>FABIANA GODOY</v>
      </c>
      <c r="G1490" t="str">
        <f>"27007276000158"</f>
        <v>27007276000158</v>
      </c>
      <c r="H1490" t="str">
        <f>"0"</f>
        <v>0</v>
      </c>
      <c r="I1490" t="str">
        <f t="shared" si="757"/>
        <v>CONTA OPTICA</v>
      </c>
      <c r="J1490" t="str">
        <f>"MHEL OTICAS EIRELI"</f>
        <v>MHEL OTICAS EIRELI</v>
      </c>
      <c r="K1490" t="str">
        <f>"OTICA DINIZ (3374)"</f>
        <v>OTICA DINIZ (3374)</v>
      </c>
      <c r="L1490" t="str">
        <f>""</f>
        <v/>
      </c>
      <c r="M1490" t="str">
        <f>""</f>
        <v/>
      </c>
      <c r="N1490" t="str">
        <f>"MARINA.VICENTE@OTICASDINIZ.COM.BR"</f>
        <v>MARINA.VICENTE@OTICASDINIZ.COM.BR</v>
      </c>
      <c r="O1490" t="str">
        <f>""</f>
        <v/>
      </c>
      <c r="P1490" t="str">
        <f>"RUA MANOEL VIEIRA GARCAO"</f>
        <v>RUA MANOEL VIEIRA GARCAO</v>
      </c>
      <c r="Q1490" t="str">
        <f>"30"</f>
        <v>30</v>
      </c>
      <c r="R1490" t="str">
        <f>"LOJA 01"</f>
        <v>LOJA 01</v>
      </c>
      <c r="S1490" t="str">
        <f>"1261"</f>
        <v>1261</v>
      </c>
      <c r="T1490" t="str">
        <f>"88301425"</f>
        <v>88301425</v>
      </c>
      <c r="U1490" t="str">
        <f t="shared" si="762"/>
        <v>CENTRO</v>
      </c>
      <c r="V1490" t="str">
        <f>"ITAJAI"</f>
        <v>ITAJAI</v>
      </c>
      <c r="W1490" t="str">
        <f t="shared" si="744"/>
        <v>SC</v>
      </c>
      <c r="X1490" t="str">
        <f t="shared" si="763"/>
        <v>47</v>
      </c>
      <c r="Y1490" t="str">
        <f>"30194646"</f>
        <v>30194646</v>
      </c>
      <c r="Z1490" t="str">
        <f>""</f>
        <v/>
      </c>
      <c r="AA1490" t="str">
        <f>""</f>
        <v/>
      </c>
      <c r="AB1490" t="str">
        <f>""</f>
        <v/>
      </c>
      <c r="AC1490" t="str">
        <f>""</f>
        <v/>
      </c>
      <c r="AD1490" t="str">
        <f>""</f>
        <v/>
      </c>
      <c r="AE1490" t="str">
        <f>""</f>
        <v/>
      </c>
      <c r="AF1490" t="str">
        <f>""</f>
        <v/>
      </c>
      <c r="AG1490" t="str">
        <f>""</f>
        <v/>
      </c>
      <c r="AH1490" t="str">
        <f>""</f>
        <v/>
      </c>
      <c r="AI1490" t="str">
        <f>""</f>
        <v/>
      </c>
      <c r="AJ1490" t="str">
        <f>""</f>
        <v/>
      </c>
      <c r="AK1490" t="str">
        <f>""</f>
        <v/>
      </c>
      <c r="AL1490" t="str">
        <f>""</f>
        <v/>
      </c>
      <c r="AM1490" t="str">
        <f>""</f>
        <v/>
      </c>
      <c r="AN1490" t="str">
        <f>""</f>
        <v/>
      </c>
      <c r="AO1490" t="str">
        <f>""</f>
        <v/>
      </c>
      <c r="AP1490" t="str">
        <f>""</f>
        <v/>
      </c>
      <c r="AQ1490" t="str">
        <f>""</f>
        <v/>
      </c>
      <c r="AR1490" t="str">
        <f>""</f>
        <v/>
      </c>
      <c r="AS1490" t="str">
        <f>""</f>
        <v/>
      </c>
      <c r="AT1490" t="str">
        <f>""</f>
        <v/>
      </c>
      <c r="AU1490" t="str">
        <f>""</f>
        <v/>
      </c>
      <c r="AV1490" t="str">
        <f>""</f>
        <v/>
      </c>
      <c r="AW1490" t="str">
        <f>""</f>
        <v/>
      </c>
      <c r="AX1490" t="str">
        <f>""</f>
        <v/>
      </c>
      <c r="AY1490" t="str">
        <f>""</f>
        <v/>
      </c>
      <c r="AZ1490" t="str">
        <f>""</f>
        <v/>
      </c>
      <c r="BA1490" t="str">
        <f>""</f>
        <v/>
      </c>
      <c r="BB1490" t="str">
        <f>"11/07/2023 02:26:32"</f>
        <v>11/07/2023 02:26:32</v>
      </c>
      <c r="BC1490" t="str">
        <f>""</f>
        <v/>
      </c>
      <c r="BD1490" t="str">
        <f>""</f>
        <v/>
      </c>
      <c r="BE1490" t="str">
        <f>""</f>
        <v/>
      </c>
      <c r="BF1490" t="str">
        <f t="shared" si="759"/>
        <v>A</v>
      </c>
      <c r="BG1490" t="str">
        <f>""</f>
        <v/>
      </c>
      <c r="BH1490" t="str">
        <f>""</f>
        <v/>
      </c>
      <c r="BI1490" t="str">
        <f t="shared" si="753"/>
        <v>EVENTUAL</v>
      </c>
      <c r="BJ1490" t="str">
        <f t="shared" si="760"/>
        <v>1</v>
      </c>
      <c r="BK1490" t="str">
        <f t="shared" si="761"/>
        <v>Farmacia</v>
      </c>
      <c r="BL1490" t="str">
        <f>""</f>
        <v/>
      </c>
      <c r="BM1490" t="str">
        <f>""</f>
        <v/>
      </c>
      <c r="BN1490" t="str">
        <f>""</f>
        <v/>
      </c>
      <c r="BO1490" t="str">
        <f>""</f>
        <v/>
      </c>
      <c r="BP1490" t="str">
        <f>""</f>
        <v/>
      </c>
      <c r="BQ1490" t="str">
        <f>""</f>
        <v/>
      </c>
      <c r="BR1490" t="str">
        <f>"11/07/2023"</f>
        <v>11/07/2023</v>
      </c>
      <c r="BS1490" t="str">
        <f>""</f>
        <v/>
      </c>
      <c r="BT1490" t="str">
        <f>""</f>
        <v/>
      </c>
      <c r="BU1490" t="str">
        <f>""</f>
        <v/>
      </c>
      <c r="BV1490" t="str">
        <f>""</f>
        <v/>
      </c>
      <c r="BW1490" t="str">
        <f>"Não visitado"</f>
        <v>Não visitado</v>
      </c>
    </row>
    <row r="1491" spans="1:75" x14ac:dyDescent="0.35">
      <c r="A1491">
        <v>157775</v>
      </c>
      <c r="B1491" t="str">
        <f t="shared" si="754"/>
        <v>A</v>
      </c>
      <c r="C1491" t="str">
        <f t="shared" si="755"/>
        <v>80</v>
      </c>
      <c r="D1491" t="str">
        <f t="shared" si="746"/>
        <v>11121004</v>
      </c>
      <c r="E1491" t="str">
        <f t="shared" si="747"/>
        <v>121004</v>
      </c>
      <c r="F1491" t="str">
        <f t="shared" si="748"/>
        <v>FABIANA GODOY</v>
      </c>
      <c r="G1491" t="str">
        <f>"22636607000103"</f>
        <v>22636607000103</v>
      </c>
      <c r="H1491" t="str">
        <f>"0"</f>
        <v>0</v>
      </c>
      <c r="I1491" t="str">
        <f t="shared" si="757"/>
        <v>CONTA OPTICA</v>
      </c>
      <c r="J1491" t="str">
        <f>"MICHELLI CAROLINE STOLFI 04266023901"</f>
        <v>MICHELLI CAROLINE STOLFI 04266023901</v>
      </c>
      <c r="K1491" t="str">
        <f>"RELOJOARIA E OTICA EXECUTIVA (4298)"</f>
        <v>RELOJOARIA E OTICA EXECUTIVA (4298)</v>
      </c>
      <c r="L1491" t="str">
        <f>""</f>
        <v/>
      </c>
      <c r="M1491" t="str">
        <f>""</f>
        <v/>
      </c>
      <c r="N1491" t="str">
        <f>"OTICA_EXECUTIVA@HOTMAIL.COM"</f>
        <v>OTICA_EXECUTIVA@HOTMAIL.COM</v>
      </c>
      <c r="O1491" t="str">
        <f>""</f>
        <v/>
      </c>
      <c r="P1491" t="str">
        <f>"DO ESTADO DALMO VIEIRA"</f>
        <v>DO ESTADO DALMO VIEIRA</v>
      </c>
      <c r="Q1491" t="str">
        <f>"3368"</f>
        <v>3368</v>
      </c>
      <c r="R1491" t="str">
        <f>"SALA 02"</f>
        <v>SALA 02</v>
      </c>
      <c r="S1491" t="str">
        <f>""</f>
        <v/>
      </c>
      <c r="T1491" t="str">
        <f>"88330077"</f>
        <v>88330077</v>
      </c>
      <c r="U1491" t="str">
        <f t="shared" si="762"/>
        <v>CENTRO</v>
      </c>
      <c r="V1491" t="str">
        <f>"BALNEARIO CAMBORIU"</f>
        <v>BALNEARIO CAMBORIU</v>
      </c>
      <c r="W1491" t="str">
        <f t="shared" si="744"/>
        <v>SC</v>
      </c>
      <c r="X1491" t="str">
        <f t="shared" si="763"/>
        <v>47</v>
      </c>
      <c r="Y1491" t="str">
        <f>"33936330"</f>
        <v>33936330</v>
      </c>
      <c r="Z1491" t="str">
        <f>""</f>
        <v/>
      </c>
      <c r="AA1491" t="str">
        <f>""</f>
        <v/>
      </c>
      <c r="AB1491" t="str">
        <f>""</f>
        <v/>
      </c>
      <c r="AC1491" t="str">
        <f>""</f>
        <v/>
      </c>
      <c r="AD1491" t="str">
        <f>""</f>
        <v/>
      </c>
      <c r="AE1491" t="str">
        <f>""</f>
        <v/>
      </c>
      <c r="AF1491" t="str">
        <f>""</f>
        <v/>
      </c>
      <c r="AG1491" t="str">
        <f>""</f>
        <v/>
      </c>
      <c r="AH1491" t="str">
        <f>""</f>
        <v/>
      </c>
      <c r="AI1491" t="str">
        <f>""</f>
        <v/>
      </c>
      <c r="AJ1491" t="str">
        <f>""</f>
        <v/>
      </c>
      <c r="AK1491" t="str">
        <f>""</f>
        <v/>
      </c>
      <c r="AL1491" t="str">
        <f>""</f>
        <v/>
      </c>
      <c r="AM1491" t="str">
        <f>""</f>
        <v/>
      </c>
      <c r="AN1491" t="str">
        <f>""</f>
        <v/>
      </c>
      <c r="AO1491" t="str">
        <f>""</f>
        <v/>
      </c>
      <c r="AP1491" t="str">
        <f>""</f>
        <v/>
      </c>
      <c r="AQ1491" t="str">
        <f>""</f>
        <v/>
      </c>
      <c r="AR1491" t="str">
        <f>""</f>
        <v/>
      </c>
      <c r="AS1491" t="str">
        <f>""</f>
        <v/>
      </c>
      <c r="AT1491" t="str">
        <f>""</f>
        <v/>
      </c>
      <c r="AU1491" t="str">
        <f>""</f>
        <v/>
      </c>
      <c r="AV1491" t="str">
        <f>""</f>
        <v/>
      </c>
      <c r="AW1491" t="str">
        <f>""</f>
        <v/>
      </c>
      <c r="AX1491" t="str">
        <f>""</f>
        <v/>
      </c>
      <c r="AY1491" t="str">
        <f>""</f>
        <v/>
      </c>
      <c r="AZ1491" t="str">
        <f>""</f>
        <v/>
      </c>
      <c r="BA1491" t="str">
        <f>""</f>
        <v/>
      </c>
      <c r="BB1491" t="str">
        <f>"11/07/2023 02:26:32"</f>
        <v>11/07/2023 02:26:32</v>
      </c>
      <c r="BC1491" t="str">
        <f>""</f>
        <v/>
      </c>
      <c r="BD1491" t="str">
        <f>""</f>
        <v/>
      </c>
      <c r="BE1491" t="str">
        <f>""</f>
        <v/>
      </c>
      <c r="BF1491" t="str">
        <f t="shared" si="759"/>
        <v>A</v>
      </c>
      <c r="BG1491" t="str">
        <f>""</f>
        <v/>
      </c>
      <c r="BH1491" t="str">
        <f>""</f>
        <v/>
      </c>
      <c r="BI1491" t="str">
        <f t="shared" si="753"/>
        <v>EVENTUAL</v>
      </c>
      <c r="BJ1491" t="str">
        <f t="shared" si="760"/>
        <v>1</v>
      </c>
      <c r="BK1491" t="str">
        <f t="shared" si="761"/>
        <v>Farmacia</v>
      </c>
      <c r="BL1491" t="str">
        <f>""</f>
        <v/>
      </c>
      <c r="BM1491" t="str">
        <f>""</f>
        <v/>
      </c>
      <c r="BN1491" t="str">
        <f>""</f>
        <v/>
      </c>
      <c r="BO1491" t="str">
        <f>""</f>
        <v/>
      </c>
      <c r="BP1491" t="str">
        <f>""</f>
        <v/>
      </c>
      <c r="BQ1491" t="str">
        <f>""</f>
        <v/>
      </c>
      <c r="BR1491" t="str">
        <f>"11/07/2023"</f>
        <v>11/07/2023</v>
      </c>
      <c r="BS1491" t="str">
        <f>""</f>
        <v/>
      </c>
      <c r="BT1491" t="str">
        <f>""</f>
        <v/>
      </c>
      <c r="BU1491" t="str">
        <f>""</f>
        <v/>
      </c>
      <c r="BV1491" t="str">
        <f>""</f>
        <v/>
      </c>
      <c r="BW1491" t="str">
        <f>"Não visitado"</f>
        <v>Não visitado</v>
      </c>
    </row>
    <row r="1492" spans="1:75" x14ac:dyDescent="0.35">
      <c r="A1492">
        <v>158710</v>
      </c>
      <c r="B1492" t="str">
        <f t="shared" si="754"/>
        <v>A</v>
      </c>
      <c r="C1492" t="str">
        <f t="shared" si="755"/>
        <v>80</v>
      </c>
      <c r="D1492" t="str">
        <f t="shared" si="746"/>
        <v>11121004</v>
      </c>
      <c r="E1492" t="str">
        <f t="shared" si="747"/>
        <v>121004</v>
      </c>
      <c r="F1492" t="str">
        <f t="shared" si="748"/>
        <v>FABIANA GODOY</v>
      </c>
      <c r="G1492" t="str">
        <f>"48477639000199"</f>
        <v>48477639000199</v>
      </c>
      <c r="H1492" t="str">
        <f>""</f>
        <v/>
      </c>
      <c r="I1492" t="str">
        <f t="shared" si="757"/>
        <v>CONTA OPTICA</v>
      </c>
      <c r="J1492" t="str">
        <f>"MJD ARTIGOS OPTICOS LTDA"</f>
        <v>MJD ARTIGOS OPTICOS LTDA</v>
      </c>
      <c r="K1492" t="str">
        <f>"MERCADÃO MORRETES (4754)"</f>
        <v>MERCADÃO MORRETES (4754)</v>
      </c>
      <c r="L1492" t="str">
        <f>""</f>
        <v/>
      </c>
      <c r="M1492" t="str">
        <f>""</f>
        <v/>
      </c>
      <c r="N1492" t="str">
        <f>"SC-ITAPEMA02@MERCADAODOSOCULOS.COM.BR"</f>
        <v>SC-ITAPEMA02@MERCADAODOSOCULOS.COM.BR</v>
      </c>
      <c r="O1492" t="str">
        <f>""</f>
        <v/>
      </c>
      <c r="P1492" t="str">
        <f>"RUA 414"</f>
        <v>RUA 414</v>
      </c>
      <c r="Q1492" t="str">
        <f>"477"</f>
        <v>477</v>
      </c>
      <c r="R1492" t="str">
        <f>"SALA 02"</f>
        <v>SALA 02</v>
      </c>
      <c r="S1492" t="str">
        <f>"1260"</f>
        <v>1260</v>
      </c>
      <c r="T1492" t="str">
        <f>"88220000"</f>
        <v>88220000</v>
      </c>
      <c r="U1492" t="str">
        <f>"MORRETES"</f>
        <v>MORRETES</v>
      </c>
      <c r="V1492" t="str">
        <f>"ITAPEMA"</f>
        <v>ITAPEMA</v>
      </c>
      <c r="W1492" t="str">
        <f t="shared" si="744"/>
        <v>SC</v>
      </c>
      <c r="X1492" t="str">
        <f t="shared" si="763"/>
        <v>47</v>
      </c>
      <c r="Y1492" t="str">
        <f>"992335550"</f>
        <v>992335550</v>
      </c>
      <c r="Z1492" t="str">
        <f>""</f>
        <v/>
      </c>
      <c r="AA1492" t="str">
        <f>""</f>
        <v/>
      </c>
      <c r="AB1492" t="str">
        <f>""</f>
        <v/>
      </c>
      <c r="AC1492" t="str">
        <f>""</f>
        <v/>
      </c>
      <c r="AD1492" t="str">
        <f>""</f>
        <v/>
      </c>
      <c r="AE1492" t="str">
        <f>""</f>
        <v/>
      </c>
      <c r="AF1492" t="str">
        <f>""</f>
        <v/>
      </c>
      <c r="AG1492" t="str">
        <f>""</f>
        <v/>
      </c>
      <c r="AH1492" t="str">
        <f>""</f>
        <v/>
      </c>
      <c r="AI1492" t="str">
        <f>""</f>
        <v/>
      </c>
      <c r="AJ1492" t="str">
        <f>""</f>
        <v/>
      </c>
      <c r="AK1492" t="str">
        <f>""</f>
        <v/>
      </c>
      <c r="AL1492" t="str">
        <f>""</f>
        <v/>
      </c>
      <c r="AM1492" t="str">
        <f>""</f>
        <v/>
      </c>
      <c r="AN1492" t="str">
        <f>""</f>
        <v/>
      </c>
      <c r="AO1492" t="str">
        <f>""</f>
        <v/>
      </c>
      <c r="AP1492" t="str">
        <f>""</f>
        <v/>
      </c>
      <c r="AQ1492" t="str">
        <f>""</f>
        <v/>
      </c>
      <c r="AR1492" t="str">
        <f>""</f>
        <v/>
      </c>
      <c r="AS1492" t="str">
        <f>""</f>
        <v/>
      </c>
      <c r="AT1492" t="str">
        <f>""</f>
        <v/>
      </c>
      <c r="AU1492" t="str">
        <f>""</f>
        <v/>
      </c>
      <c r="AV1492" t="str">
        <f>""</f>
        <v/>
      </c>
      <c r="AW1492" t="str">
        <f>""</f>
        <v/>
      </c>
      <c r="AX1492" t="str">
        <f>""</f>
        <v/>
      </c>
      <c r="AY1492" t="str">
        <f>""</f>
        <v/>
      </c>
      <c r="AZ1492" t="str">
        <f>""</f>
        <v/>
      </c>
      <c r="BA1492" t="str">
        <f>""</f>
        <v/>
      </c>
      <c r="BB1492" t="str">
        <f>"17/08/2023 16:48:06"</f>
        <v>17/08/2023 16:48:06</v>
      </c>
      <c r="BC1492" t="str">
        <f>""</f>
        <v/>
      </c>
      <c r="BD1492" t="str">
        <f>""</f>
        <v/>
      </c>
      <c r="BE1492" t="str">
        <f>""</f>
        <v/>
      </c>
      <c r="BF1492" t="str">
        <f t="shared" si="759"/>
        <v>A</v>
      </c>
      <c r="BG1492" t="str">
        <f>""</f>
        <v/>
      </c>
      <c r="BH1492" t="str">
        <f>""</f>
        <v/>
      </c>
      <c r="BI1492" t="str">
        <f t="shared" si="753"/>
        <v>EVENTUAL</v>
      </c>
      <c r="BJ1492" t="str">
        <f t="shared" si="760"/>
        <v>1</v>
      </c>
      <c r="BK1492" t="str">
        <f t="shared" si="761"/>
        <v>Farmacia</v>
      </c>
      <c r="BL1492" t="str">
        <f>""</f>
        <v/>
      </c>
      <c r="BM1492" t="str">
        <f>""</f>
        <v/>
      </c>
      <c r="BN1492" t="str">
        <f>""</f>
        <v/>
      </c>
      <c r="BO1492" t="str">
        <f>""</f>
        <v/>
      </c>
      <c r="BP1492" t="str">
        <f>""</f>
        <v/>
      </c>
      <c r="BQ1492" t="str">
        <f>""</f>
        <v/>
      </c>
      <c r="BR1492" t="str">
        <f>"17/08/2023"</f>
        <v>17/08/2023</v>
      </c>
      <c r="BS1492" t="str">
        <f>""</f>
        <v/>
      </c>
      <c r="BT1492" t="str">
        <f>""</f>
        <v/>
      </c>
      <c r="BU1492" t="str">
        <f>""</f>
        <v/>
      </c>
      <c r="BV1492" t="str">
        <f>""</f>
        <v/>
      </c>
      <c r="BW1492" t="str">
        <f>"Não visitado"</f>
        <v>Não visitado</v>
      </c>
    </row>
    <row r="1493" spans="1:75" x14ac:dyDescent="0.35">
      <c r="A1493">
        <v>137722</v>
      </c>
      <c r="B1493" t="str">
        <f t="shared" si="754"/>
        <v>A</v>
      </c>
      <c r="C1493" t="str">
        <f t="shared" si="755"/>
        <v>80</v>
      </c>
      <c r="D1493" t="str">
        <f t="shared" si="746"/>
        <v>11121004</v>
      </c>
      <c r="E1493" t="str">
        <f t="shared" si="747"/>
        <v>121004</v>
      </c>
      <c r="F1493" t="str">
        <f t="shared" si="748"/>
        <v>FABIANA GODOY</v>
      </c>
      <c r="G1493" t="str">
        <f>"36093366000108"</f>
        <v>36093366000108</v>
      </c>
      <c r="H1493" t="str">
        <f>"0"</f>
        <v>0</v>
      </c>
      <c r="I1493" t="str">
        <f t="shared" si="757"/>
        <v>CONTA OPTICA</v>
      </c>
      <c r="J1493" t="str">
        <f>"MJM COMERCIO DE ARTIGOS OPTICOS LTDA"</f>
        <v>MJM COMERCIO DE ARTIGOS OPTICOS LTDA</v>
      </c>
      <c r="K1493" t="str">
        <f>"MJM COMERCIO DE ARTIGOS OPTICOS LTDA (4104)"</f>
        <v>MJM COMERCIO DE ARTIGOS OPTICOS LTDA (4104)</v>
      </c>
      <c r="L1493" t="str">
        <f>""</f>
        <v/>
      </c>
      <c r="M1493" t="str">
        <f>""</f>
        <v/>
      </c>
      <c r="N1493" t="str">
        <f>"sc-navegantes@mercadaodosoculos.com.br"</f>
        <v>sc-navegantes@mercadaodosoculos.com.br</v>
      </c>
      <c r="O1493" t="str">
        <f>""</f>
        <v/>
      </c>
      <c r="P1493" t="str">
        <f>"RUA AVENIDA JOAO SACAVEM"</f>
        <v>RUA AVENIDA JOAO SACAVEM</v>
      </c>
      <c r="Q1493" t="str">
        <f>"496"</f>
        <v>496</v>
      </c>
      <c r="R1493" t="str">
        <f>""</f>
        <v/>
      </c>
      <c r="S1493" t="str">
        <f>""</f>
        <v/>
      </c>
      <c r="T1493" t="str">
        <f>"88370438"</f>
        <v>88370438</v>
      </c>
      <c r="U1493" t="str">
        <f>"CENTRO"</f>
        <v>CENTRO</v>
      </c>
      <c r="V1493" t="str">
        <f>"NAVEGANTES"</f>
        <v>NAVEGANTES</v>
      </c>
      <c r="W1493" t="str">
        <f t="shared" si="744"/>
        <v>SC</v>
      </c>
      <c r="X1493" t="str">
        <f t="shared" si="763"/>
        <v>47</v>
      </c>
      <c r="Y1493" t="str">
        <f>"20335607"</f>
        <v>20335607</v>
      </c>
      <c r="Z1493" t="str">
        <f>""</f>
        <v/>
      </c>
      <c r="AA1493" t="str">
        <f>""</f>
        <v/>
      </c>
      <c r="AB1493" t="str">
        <f>""</f>
        <v/>
      </c>
      <c r="AC1493" t="str">
        <f>""</f>
        <v/>
      </c>
      <c r="AD1493" t="str">
        <f>""</f>
        <v/>
      </c>
      <c r="AE1493" t="str">
        <f>""</f>
        <v/>
      </c>
      <c r="AF1493" t="str">
        <f>""</f>
        <v/>
      </c>
      <c r="AG1493" t="str">
        <f>"S"</f>
        <v>S</v>
      </c>
      <c r="AH1493" t="str">
        <f>""</f>
        <v/>
      </c>
      <c r="AI1493" t="str">
        <f>""</f>
        <v/>
      </c>
      <c r="AJ1493" t="str">
        <f>""</f>
        <v/>
      </c>
      <c r="AK1493" t="str">
        <f>""</f>
        <v/>
      </c>
      <c r="AL1493" t="str">
        <f>""</f>
        <v/>
      </c>
      <c r="AM1493" t="str">
        <f>""</f>
        <v/>
      </c>
      <c r="AN1493" t="str">
        <f>""</f>
        <v/>
      </c>
      <c r="AO1493" t="str">
        <f>""</f>
        <v/>
      </c>
      <c r="AP1493" t="str">
        <f>""</f>
        <v/>
      </c>
      <c r="AQ1493" t="str">
        <f>"N"</f>
        <v>N</v>
      </c>
      <c r="AR1493" t="str">
        <f>"N"</f>
        <v>N</v>
      </c>
      <c r="AS1493" t="str">
        <f>"N"</f>
        <v>N</v>
      </c>
      <c r="AT1493" t="str">
        <f>"N"</f>
        <v>N</v>
      </c>
      <c r="AU1493" t="str">
        <f>"N"</f>
        <v>N</v>
      </c>
      <c r="AV1493" t="str">
        <f>""</f>
        <v/>
      </c>
      <c r="AW1493" t="str">
        <f>""</f>
        <v/>
      </c>
      <c r="AX1493" t="str">
        <f>""</f>
        <v/>
      </c>
      <c r="AY1493" t="str">
        <f>""</f>
        <v/>
      </c>
      <c r="AZ1493" t="str">
        <f>""</f>
        <v/>
      </c>
      <c r="BA1493" t="str">
        <f>""</f>
        <v/>
      </c>
      <c r="BB1493" t="str">
        <f>"01/07/2021 13:53:04"</f>
        <v>01/07/2021 13:53:04</v>
      </c>
      <c r="BC1493" t="str">
        <f>"20/04/2022 14:24:34"</f>
        <v>20/04/2022 14:24:34</v>
      </c>
      <c r="BD1493" t="str">
        <f>""</f>
        <v/>
      </c>
      <c r="BE1493" t="str">
        <f>""</f>
        <v/>
      </c>
      <c r="BF1493" t="str">
        <f t="shared" si="759"/>
        <v>A</v>
      </c>
      <c r="BG1493" t="str">
        <f>""</f>
        <v/>
      </c>
      <c r="BH1493" t="str">
        <f>"0,00"</f>
        <v>0,00</v>
      </c>
      <c r="BI1493" t="str">
        <f t="shared" si="753"/>
        <v>EVENTUAL</v>
      </c>
      <c r="BJ1493" t="str">
        <f t="shared" si="760"/>
        <v>1</v>
      </c>
      <c r="BK1493" t="str">
        <f t="shared" si="761"/>
        <v>Farmacia</v>
      </c>
      <c r="BL1493" t="str">
        <f>""</f>
        <v/>
      </c>
      <c r="BM1493" t="str">
        <f>"NÃO É VARILUX ESPECIALISTA"</f>
        <v>NÃO É VARILUX ESPECIALISTA</v>
      </c>
      <c r="BN1493" t="str">
        <f>"NA"</f>
        <v>NA</v>
      </c>
      <c r="BO1493" t="str">
        <f>"OUTROS"</f>
        <v>OUTROS</v>
      </c>
      <c r="BP1493" t="str">
        <f>""</f>
        <v/>
      </c>
      <c r="BQ1493" t="str">
        <f>""</f>
        <v/>
      </c>
      <c r="BR1493" t="str">
        <f>"01/07/2021"</f>
        <v>01/07/2021</v>
      </c>
      <c r="BS1493" t="str">
        <f>"20/04/2022"</f>
        <v>20/04/2022</v>
      </c>
      <c r="BT1493" t="str">
        <f>""</f>
        <v/>
      </c>
      <c r="BU1493" t="str">
        <f>""</f>
        <v/>
      </c>
      <c r="BV1493" t="str">
        <f>""</f>
        <v/>
      </c>
      <c r="BW1493" t="str">
        <f>"121"</f>
        <v>121</v>
      </c>
    </row>
    <row r="1494" spans="1:75" x14ac:dyDescent="0.35">
      <c r="A1494">
        <v>157094</v>
      </c>
      <c r="B1494" t="str">
        <f t="shared" si="754"/>
        <v>A</v>
      </c>
      <c r="C1494" t="str">
        <f t="shared" si="755"/>
        <v>80</v>
      </c>
      <c r="D1494" t="str">
        <f t="shared" si="746"/>
        <v>11121004</v>
      </c>
      <c r="E1494" t="str">
        <f t="shared" si="747"/>
        <v>121004</v>
      </c>
      <c r="F1494" t="str">
        <f t="shared" si="748"/>
        <v>FABIANA GODOY</v>
      </c>
      <c r="G1494" t="str">
        <f>"36093366000280"</f>
        <v>36093366000280</v>
      </c>
      <c r="H1494" t="str">
        <f>"0"</f>
        <v>0</v>
      </c>
      <c r="I1494" t="str">
        <f t="shared" si="757"/>
        <v>CONTA OPTICA</v>
      </c>
      <c r="J1494" t="str">
        <f>"MJM COMÉRCIO DE ARTIGOS ÓPTICOS LTDA"</f>
        <v>MJM COMÉRCIO DE ARTIGOS ÓPTICOS LTDA</v>
      </c>
      <c r="K1494" t="str">
        <f>"MERCADAO DOS OCULOS GRAVATA (4634)"</f>
        <v>MERCADAO DOS OCULOS GRAVATA (4634)</v>
      </c>
      <c r="L1494" t="str">
        <f>""</f>
        <v/>
      </c>
      <c r="M1494" t="str">
        <f>""</f>
        <v/>
      </c>
      <c r="N1494" t="str">
        <f>"SC-NAVEGANTES02@MERCADAODOSOCULOS.COM.BR"</f>
        <v>SC-NAVEGANTES02@MERCADAODOSOCULOS.COM.BR</v>
      </c>
      <c r="O1494" t="str">
        <f>""</f>
        <v/>
      </c>
      <c r="P1494" t="str">
        <f>"PREFEITO JOSE JUVENAL MAFRA"</f>
        <v>PREFEITO JOSE JUVENAL MAFRA</v>
      </c>
      <c r="Q1494" t="str">
        <f>"8222"</f>
        <v>8222</v>
      </c>
      <c r="R1494" t="str">
        <f>"SALA 02 TERREO"</f>
        <v>SALA 02 TERREO</v>
      </c>
      <c r="S1494" t="str">
        <f>""</f>
        <v/>
      </c>
      <c r="T1494" t="str">
        <f>"88372618"</f>
        <v>88372618</v>
      </c>
      <c r="U1494" t="str">
        <f>"GRAVATA"</f>
        <v>GRAVATA</v>
      </c>
      <c r="V1494" t="str">
        <f>"NAVEGANTES"</f>
        <v>NAVEGANTES</v>
      </c>
      <c r="W1494" t="str">
        <f t="shared" si="744"/>
        <v>SC</v>
      </c>
      <c r="X1494" t="str">
        <f t="shared" si="763"/>
        <v>47</v>
      </c>
      <c r="Y1494" t="str">
        <f>"31701716"</f>
        <v>31701716</v>
      </c>
      <c r="Z1494" t="str">
        <f>""</f>
        <v/>
      </c>
      <c r="AA1494" t="str">
        <f>""</f>
        <v/>
      </c>
      <c r="AB1494" t="str">
        <f>""</f>
        <v/>
      </c>
      <c r="AC1494" t="str">
        <f>""</f>
        <v/>
      </c>
      <c r="AD1494" t="str">
        <f>""</f>
        <v/>
      </c>
      <c r="AE1494" t="str">
        <f>""</f>
        <v/>
      </c>
      <c r="AF1494" t="str">
        <f>""</f>
        <v/>
      </c>
      <c r="AG1494" t="str">
        <f>""</f>
        <v/>
      </c>
      <c r="AH1494" t="str">
        <f>""</f>
        <v/>
      </c>
      <c r="AI1494" t="str">
        <f>""</f>
        <v/>
      </c>
      <c r="AJ1494" t="str">
        <f>""</f>
        <v/>
      </c>
      <c r="AK1494" t="str">
        <f>""</f>
        <v/>
      </c>
      <c r="AL1494" t="str">
        <f>""</f>
        <v/>
      </c>
      <c r="AM1494" t="str">
        <f>""</f>
        <v/>
      </c>
      <c r="AN1494" t="str">
        <f>""</f>
        <v/>
      </c>
      <c r="AO1494" t="str">
        <f>""</f>
        <v/>
      </c>
      <c r="AP1494" t="str">
        <f>""</f>
        <v/>
      </c>
      <c r="AQ1494" t="str">
        <f>""</f>
        <v/>
      </c>
      <c r="AR1494" t="str">
        <f>""</f>
        <v/>
      </c>
      <c r="AS1494" t="str">
        <f>""</f>
        <v/>
      </c>
      <c r="AT1494" t="str">
        <f>""</f>
        <v/>
      </c>
      <c r="AU1494" t="str">
        <f>""</f>
        <v/>
      </c>
      <c r="AV1494" t="str">
        <f>""</f>
        <v/>
      </c>
      <c r="AW1494" t="str">
        <f>""</f>
        <v/>
      </c>
      <c r="AX1494" t="str">
        <f>""</f>
        <v/>
      </c>
      <c r="AY1494" t="str">
        <f>""</f>
        <v/>
      </c>
      <c r="AZ1494" t="str">
        <f>""</f>
        <v/>
      </c>
      <c r="BA1494" t="str">
        <f>""</f>
        <v/>
      </c>
      <c r="BB1494" t="str">
        <f>"06/07/2023 12:07:48"</f>
        <v>06/07/2023 12:07:48</v>
      </c>
      <c r="BC1494" t="str">
        <f>""</f>
        <v/>
      </c>
      <c r="BD1494" t="str">
        <f>""</f>
        <v/>
      </c>
      <c r="BE1494" t="str">
        <f>""</f>
        <v/>
      </c>
      <c r="BF1494" t="str">
        <f t="shared" si="759"/>
        <v>A</v>
      </c>
      <c r="BG1494" t="str">
        <f>""</f>
        <v/>
      </c>
      <c r="BH1494" t="str">
        <f>""</f>
        <v/>
      </c>
      <c r="BI1494" t="str">
        <f t="shared" si="753"/>
        <v>EVENTUAL</v>
      </c>
      <c r="BJ1494" t="str">
        <f t="shared" si="760"/>
        <v>1</v>
      </c>
      <c r="BK1494" t="str">
        <f t="shared" si="761"/>
        <v>Farmacia</v>
      </c>
      <c r="BL1494" t="str">
        <f>""</f>
        <v/>
      </c>
      <c r="BM1494" t="str">
        <f>""</f>
        <v/>
      </c>
      <c r="BN1494" t="str">
        <f>""</f>
        <v/>
      </c>
      <c r="BO1494" t="str">
        <f>""</f>
        <v/>
      </c>
      <c r="BP1494" t="str">
        <f>""</f>
        <v/>
      </c>
      <c r="BQ1494" t="str">
        <f>""</f>
        <v/>
      </c>
      <c r="BR1494" t="str">
        <f>"06/07/2023"</f>
        <v>06/07/2023</v>
      </c>
      <c r="BS1494" t="str">
        <f>""</f>
        <v/>
      </c>
      <c r="BT1494" t="str">
        <f>""</f>
        <v/>
      </c>
      <c r="BU1494" t="str">
        <f>""</f>
        <v/>
      </c>
      <c r="BV1494" t="str">
        <f>""</f>
        <v/>
      </c>
      <c r="BW1494" t="str">
        <f>"Não visitado"</f>
        <v>Não visitado</v>
      </c>
    </row>
    <row r="1495" spans="1:75" x14ac:dyDescent="0.35">
      <c r="A1495">
        <v>137723</v>
      </c>
      <c r="B1495" t="str">
        <f t="shared" si="754"/>
        <v>A</v>
      </c>
      <c r="C1495" t="str">
        <f t="shared" si="755"/>
        <v>80</v>
      </c>
      <c r="D1495" t="str">
        <f t="shared" si="746"/>
        <v>11121004</v>
      </c>
      <c r="E1495" t="str">
        <f t="shared" si="747"/>
        <v>121004</v>
      </c>
      <c r="F1495" t="str">
        <f t="shared" si="748"/>
        <v>FABIANA GODOY</v>
      </c>
      <c r="G1495" t="str">
        <f>"26893744000176"</f>
        <v>26893744000176</v>
      </c>
      <c r="H1495" t="str">
        <f>"0"</f>
        <v>0</v>
      </c>
      <c r="I1495" t="str">
        <f t="shared" si="757"/>
        <v>CONTA OPTICA</v>
      </c>
      <c r="J1495" t="str">
        <f>"MONTFORT OPTICA LTDA - ME"</f>
        <v>MONTFORT OPTICA LTDA - ME</v>
      </c>
      <c r="K1495" t="str">
        <f>"VISIONE OPTICA E ACESSORIOS (3801)"</f>
        <v>VISIONE OPTICA E ACESSORIOS (3801)</v>
      </c>
      <c r="L1495" t="str">
        <f>""</f>
        <v/>
      </c>
      <c r="M1495" t="str">
        <f>""</f>
        <v/>
      </c>
      <c r="N1495" t="str">
        <f>"opticavisione@yahoo.com"</f>
        <v>opticavisione@yahoo.com</v>
      </c>
      <c r="O1495" t="str">
        <f>""</f>
        <v/>
      </c>
      <c r="P1495" t="str">
        <f>"RUA NOVA ERA"</f>
        <v>RUA NOVA ERA</v>
      </c>
      <c r="Q1495" t="str">
        <f>"66"</f>
        <v>66</v>
      </c>
      <c r="R1495" t="str">
        <f>""</f>
        <v/>
      </c>
      <c r="S1495" t="str">
        <f>"1276"</f>
        <v>1276</v>
      </c>
      <c r="T1495" t="str">
        <f>"89160037"</f>
        <v>89160037</v>
      </c>
      <c r="U1495" t="str">
        <f>"CENTRO"</f>
        <v>CENTRO</v>
      </c>
      <c r="V1495" t="str">
        <f>"RIO DO SUL"</f>
        <v>RIO DO SUL</v>
      </c>
      <c r="W1495" t="str">
        <f t="shared" si="744"/>
        <v>SC</v>
      </c>
      <c r="X1495" t="str">
        <f t="shared" si="763"/>
        <v>47</v>
      </c>
      <c r="Y1495" t="str">
        <f>"35227031"</f>
        <v>35227031</v>
      </c>
      <c r="Z1495" t="str">
        <f>""</f>
        <v/>
      </c>
      <c r="AA1495" t="str">
        <f>""</f>
        <v/>
      </c>
      <c r="AB1495" t="str">
        <f>""</f>
        <v/>
      </c>
      <c r="AC1495" t="str">
        <f>""</f>
        <v/>
      </c>
      <c r="AD1495" t="str">
        <f>""</f>
        <v/>
      </c>
      <c r="AE1495" t="str">
        <f>""</f>
        <v/>
      </c>
      <c r="AF1495" t="str">
        <f>""</f>
        <v/>
      </c>
      <c r="AG1495" t="str">
        <f>"S"</f>
        <v>S</v>
      </c>
      <c r="AH1495" t="str">
        <f>""</f>
        <v/>
      </c>
      <c r="AI1495" t="str">
        <f>""</f>
        <v/>
      </c>
      <c r="AJ1495" t="str">
        <f>""</f>
        <v/>
      </c>
      <c r="AK1495" t="str">
        <f>""</f>
        <v/>
      </c>
      <c r="AL1495" t="str">
        <f>""</f>
        <v/>
      </c>
      <c r="AM1495" t="str">
        <f>""</f>
        <v/>
      </c>
      <c r="AN1495" t="str">
        <f>""</f>
        <v/>
      </c>
      <c r="AO1495" t="str">
        <f>""</f>
        <v/>
      </c>
      <c r="AP1495" t="str">
        <f>""</f>
        <v/>
      </c>
      <c r="AQ1495" t="str">
        <f>"N"</f>
        <v>N</v>
      </c>
      <c r="AR1495" t="str">
        <f>"N"</f>
        <v>N</v>
      </c>
      <c r="AS1495" t="str">
        <f>"N"</f>
        <v>N</v>
      </c>
      <c r="AT1495" t="str">
        <f>"N"</f>
        <v>N</v>
      </c>
      <c r="AU1495" t="str">
        <f>"N"</f>
        <v>N</v>
      </c>
      <c r="AV1495" t="str">
        <f>""</f>
        <v/>
      </c>
      <c r="AW1495" t="str">
        <f>""</f>
        <v/>
      </c>
      <c r="AX1495" t="str">
        <f>""</f>
        <v/>
      </c>
      <c r="AY1495" t="str">
        <f>""</f>
        <v/>
      </c>
      <c r="AZ1495" t="str">
        <f>""</f>
        <v/>
      </c>
      <c r="BA1495" t="str">
        <f>""</f>
        <v/>
      </c>
      <c r="BB1495" t="str">
        <f>"01/07/2021 13:53:04"</f>
        <v>01/07/2021 13:53:04</v>
      </c>
      <c r="BC1495" t="str">
        <f>"13/04/2022 15:36:24"</f>
        <v>13/04/2022 15:36:24</v>
      </c>
      <c r="BD1495" t="str">
        <f>""</f>
        <v/>
      </c>
      <c r="BE1495" t="str">
        <f>""</f>
        <v/>
      </c>
      <c r="BF1495" t="str">
        <f t="shared" si="759"/>
        <v>A</v>
      </c>
      <c r="BG1495" t="str">
        <f>""</f>
        <v/>
      </c>
      <c r="BH1495" t="str">
        <f>"0,00"</f>
        <v>0,00</v>
      </c>
      <c r="BI1495" t="str">
        <f t="shared" si="753"/>
        <v>EVENTUAL</v>
      </c>
      <c r="BJ1495" t="str">
        <f t="shared" si="760"/>
        <v>1</v>
      </c>
      <c r="BK1495" t="str">
        <f t="shared" si="761"/>
        <v>Farmacia</v>
      </c>
      <c r="BL1495" t="str">
        <f>""</f>
        <v/>
      </c>
      <c r="BM1495" t="str">
        <f>"CREDENCIADO VARILUX"</f>
        <v>CREDENCIADO VARILUX</v>
      </c>
      <c r="BN1495" t="str">
        <f>"EL360"</f>
        <v>EL360</v>
      </c>
      <c r="BO1495" t="str">
        <f>"FOCO VARILUX DIGITAL"</f>
        <v>FOCO VARILUX DIGITAL</v>
      </c>
      <c r="BP1495" t="str">
        <f>""</f>
        <v/>
      </c>
      <c r="BQ1495" t="str">
        <f>""</f>
        <v/>
      </c>
      <c r="BR1495" t="str">
        <f>"01/07/2021"</f>
        <v>01/07/2021</v>
      </c>
      <c r="BS1495" t="str">
        <f>"13/04/2022"</f>
        <v>13/04/2022</v>
      </c>
      <c r="BT1495" t="str">
        <f>""</f>
        <v/>
      </c>
      <c r="BU1495" t="str">
        <f>""</f>
        <v/>
      </c>
      <c r="BV1495" t="str">
        <f>""</f>
        <v/>
      </c>
      <c r="BW1495" t="str">
        <f>"16"</f>
        <v>16</v>
      </c>
    </row>
    <row r="1496" spans="1:75" x14ac:dyDescent="0.35">
      <c r="A1496">
        <v>1302</v>
      </c>
      <c r="B1496" t="str">
        <f t="shared" si="754"/>
        <v>A</v>
      </c>
      <c r="C1496" t="str">
        <f t="shared" si="755"/>
        <v>80</v>
      </c>
      <c r="D1496" t="str">
        <f t="shared" si="746"/>
        <v>11121004</v>
      </c>
      <c r="E1496" t="str">
        <f t="shared" si="747"/>
        <v>121004</v>
      </c>
      <c r="F1496" t="str">
        <f t="shared" si="748"/>
        <v>FABIANA GODOY</v>
      </c>
      <c r="G1496" t="str">
        <f>"07826527000119"</f>
        <v>07826527000119</v>
      </c>
      <c r="H1496" t="str">
        <f>""</f>
        <v/>
      </c>
      <c r="I1496" t="str">
        <f t="shared" si="757"/>
        <v>CONTA OPTICA</v>
      </c>
      <c r="J1496" t="str">
        <f>"MULTILENS OPTICA LTDA ME"</f>
        <v>MULTILENS OPTICA LTDA ME</v>
      </c>
      <c r="K1496" t="str">
        <f>"MULTILENS OPTICA LTDA ME (873)"</f>
        <v>MULTILENS OPTICA LTDA ME (873)</v>
      </c>
      <c r="L1496" t="str">
        <f>""</f>
        <v/>
      </c>
      <c r="M1496" t="str">
        <f>""</f>
        <v/>
      </c>
      <c r="N1496" t="str">
        <f>"multilens.optica@yahoo.com.br"</f>
        <v>multilens.optica@yahoo.com.br</v>
      </c>
      <c r="O1496" t="str">
        <f>""</f>
        <v/>
      </c>
      <c r="P1496" t="str">
        <f>"RUA DOM BOSCO"</f>
        <v>RUA DOM BOSCO</v>
      </c>
      <c r="Q1496" t="str">
        <f>"644"</f>
        <v>644</v>
      </c>
      <c r="R1496" t="str">
        <f>""</f>
        <v/>
      </c>
      <c r="S1496" t="str">
        <f>"1275"</f>
        <v>1275</v>
      </c>
      <c r="T1496" t="str">
        <f>"89138000"</f>
        <v>89138000</v>
      </c>
      <c r="U1496" t="str">
        <f>"CENTRO"</f>
        <v>CENTRO</v>
      </c>
      <c r="V1496" t="str">
        <f>"ASCURRA"</f>
        <v>ASCURRA</v>
      </c>
      <c r="W1496" t="str">
        <f t="shared" si="744"/>
        <v>SC</v>
      </c>
      <c r="X1496" t="str">
        <f t="shared" si="763"/>
        <v>47</v>
      </c>
      <c r="Y1496" t="str">
        <f>"33832175"</f>
        <v>33832175</v>
      </c>
      <c r="Z1496" t="str">
        <f>""</f>
        <v/>
      </c>
      <c r="AA1496" t="str">
        <f>""</f>
        <v/>
      </c>
      <c r="AB1496" t="str">
        <f>""</f>
        <v/>
      </c>
      <c r="AC1496" t="str">
        <f>""</f>
        <v/>
      </c>
      <c r="AD1496" t="str">
        <f>""</f>
        <v/>
      </c>
      <c r="AE1496" t="str">
        <f>""</f>
        <v/>
      </c>
      <c r="AF1496" t="str">
        <f>""</f>
        <v/>
      </c>
      <c r="AG1496" t="str">
        <f>""</f>
        <v/>
      </c>
      <c r="AH1496" t="str">
        <f>""</f>
        <v/>
      </c>
      <c r="AI1496" t="str">
        <f>""</f>
        <v/>
      </c>
      <c r="AJ1496" t="str">
        <f>"0"</f>
        <v>0</v>
      </c>
      <c r="AK1496" t="str">
        <f>"0"</f>
        <v>0</v>
      </c>
      <c r="AL1496" t="str">
        <f>"0"</f>
        <v>0</v>
      </c>
      <c r="AM1496" t="str">
        <f>""</f>
        <v/>
      </c>
      <c r="AN1496" t="str">
        <f>""</f>
        <v/>
      </c>
      <c r="AO1496" t="str">
        <f>""</f>
        <v/>
      </c>
      <c r="AP1496" t="str">
        <f>""</f>
        <v/>
      </c>
      <c r="AQ1496" t="str">
        <f>""</f>
        <v/>
      </c>
      <c r="AR1496" t="str">
        <f>""</f>
        <v/>
      </c>
      <c r="AS1496" t="str">
        <f>""</f>
        <v/>
      </c>
      <c r="AT1496" t="str">
        <f>""</f>
        <v/>
      </c>
      <c r="AU1496" t="str">
        <f>""</f>
        <v/>
      </c>
      <c r="AV1496" t="str">
        <f>""</f>
        <v/>
      </c>
      <c r="AW1496" t="str">
        <f>""</f>
        <v/>
      </c>
      <c r="AX1496" t="str">
        <f>""</f>
        <v/>
      </c>
      <c r="AY1496" t="str">
        <f>""</f>
        <v/>
      </c>
      <c r="AZ1496" t="str">
        <f>""</f>
        <v/>
      </c>
      <c r="BA1496" t="str">
        <f>""</f>
        <v/>
      </c>
      <c r="BB1496" t="str">
        <f>"27/07/2018 09:26:13"</f>
        <v>27/07/2018 09:26:13</v>
      </c>
      <c r="BC1496" t="str">
        <f>""</f>
        <v/>
      </c>
      <c r="BD1496" t="str">
        <f>""</f>
        <v/>
      </c>
      <c r="BE1496" t="str">
        <f>"1302"</f>
        <v>1302</v>
      </c>
      <c r="BF1496" t="str">
        <f t="shared" si="759"/>
        <v>A</v>
      </c>
      <c r="BG1496" t="str">
        <f>"0,00"</f>
        <v>0,00</v>
      </c>
      <c r="BH1496" t="str">
        <f>"0,00"</f>
        <v>0,00</v>
      </c>
      <c r="BI1496" t="str">
        <f t="shared" si="753"/>
        <v>EVENTUAL</v>
      </c>
      <c r="BJ1496" t="str">
        <f t="shared" si="760"/>
        <v>1</v>
      </c>
      <c r="BK1496" t="str">
        <f t="shared" si="761"/>
        <v>Farmacia</v>
      </c>
      <c r="BL1496" t="str">
        <f>""</f>
        <v/>
      </c>
      <c r="BM1496" t="str">
        <f>"NÃO É VARILUX ESPECIALISTA"</f>
        <v>NÃO É VARILUX ESPECIALISTA</v>
      </c>
      <c r="BN1496" t="str">
        <f>"NA"</f>
        <v>NA</v>
      </c>
      <c r="BO1496" t="str">
        <f>"FOCO KODAK 2"</f>
        <v>FOCO KODAK 2</v>
      </c>
      <c r="BP1496" t="str">
        <f>""</f>
        <v/>
      </c>
      <c r="BQ1496" t="str">
        <f>""</f>
        <v/>
      </c>
      <c r="BR1496" t="str">
        <f>"27/07/2018"</f>
        <v>27/07/2018</v>
      </c>
      <c r="BS1496" t="str">
        <f>""</f>
        <v/>
      </c>
      <c r="BT1496" t="str">
        <f>""</f>
        <v/>
      </c>
      <c r="BU1496" t="str">
        <f>""</f>
        <v/>
      </c>
      <c r="BV1496" t="str">
        <f>"6"</f>
        <v>6</v>
      </c>
      <c r="BW1496" t="str">
        <f>"7"</f>
        <v>7</v>
      </c>
    </row>
    <row r="1497" spans="1:75" x14ac:dyDescent="0.35">
      <c r="A1497">
        <v>157049</v>
      </c>
      <c r="B1497" t="str">
        <f t="shared" si="754"/>
        <v>A</v>
      </c>
      <c r="C1497" t="str">
        <f t="shared" si="755"/>
        <v>80</v>
      </c>
      <c r="D1497" t="str">
        <f t="shared" si="746"/>
        <v>11121004</v>
      </c>
      <c r="E1497" t="str">
        <f t="shared" si="747"/>
        <v>121004</v>
      </c>
      <c r="F1497" t="str">
        <f t="shared" si="748"/>
        <v>FABIANA GODOY</v>
      </c>
      <c r="G1497" t="str">
        <f>"26706056000230"</f>
        <v>26706056000230</v>
      </c>
      <c r="H1497" t="str">
        <f t="shared" ref="H1497:H1509" si="764">"0"</f>
        <v>0</v>
      </c>
      <c r="I1497" t="str">
        <f t="shared" si="757"/>
        <v>CONTA OPTICA</v>
      </c>
      <c r="J1497" t="str">
        <f>"MURILO COMERCIO DE OCULOS E JOIAS LTDA."</f>
        <v>MURILO COMERCIO DE OCULOS E JOIAS LTDA.</v>
      </c>
      <c r="K1497" t="str">
        <f>"ARTE OPTICA (4660)"</f>
        <v>ARTE OPTICA (4660)</v>
      </c>
      <c r="L1497" t="str">
        <f>""</f>
        <v/>
      </c>
      <c r="M1497" t="str">
        <f>""</f>
        <v/>
      </c>
      <c r="N1497" t="str">
        <f>"VENDAS@ARTEOPTICA.COM.BR"</f>
        <v>VENDAS@ARTEOPTICA.COM.BR</v>
      </c>
      <c r="O1497" t="str">
        <f>""</f>
        <v/>
      </c>
      <c r="P1497" t="str">
        <f>"RIO BRANCO"</f>
        <v>RIO BRANCO</v>
      </c>
      <c r="Q1497" t="str">
        <f>"309"</f>
        <v>309</v>
      </c>
      <c r="R1497" t="str">
        <f>"SALA 02"</f>
        <v>SALA 02</v>
      </c>
      <c r="S1497" t="str">
        <f>""</f>
        <v/>
      </c>
      <c r="T1497" t="str">
        <f>"89010301"</f>
        <v>89010301</v>
      </c>
      <c r="U1497" t="str">
        <f>"JARDIM BLUMENAU"</f>
        <v>JARDIM BLUMENAU</v>
      </c>
      <c r="V1497" t="str">
        <f>"BLUMENAU"</f>
        <v>BLUMENAU</v>
      </c>
      <c r="W1497" t="str">
        <f t="shared" si="744"/>
        <v>SC</v>
      </c>
      <c r="X1497" t="str">
        <f t="shared" si="763"/>
        <v>47</v>
      </c>
      <c r="Y1497" t="str">
        <f>"32342707"</f>
        <v>32342707</v>
      </c>
      <c r="Z1497" t="str">
        <f>""</f>
        <v/>
      </c>
      <c r="AA1497" t="str">
        <f>""</f>
        <v/>
      </c>
      <c r="AB1497" t="str">
        <f>""</f>
        <v/>
      </c>
      <c r="AC1497" t="str">
        <f>""</f>
        <v/>
      </c>
      <c r="AD1497" t="str">
        <f>""</f>
        <v/>
      </c>
      <c r="AE1497" t="str">
        <f>""</f>
        <v/>
      </c>
      <c r="AF1497" t="str">
        <f>""</f>
        <v/>
      </c>
      <c r="AG1497" t="str">
        <f>""</f>
        <v/>
      </c>
      <c r="AH1497" t="str">
        <f>""</f>
        <v/>
      </c>
      <c r="AI1497" t="str">
        <f>""</f>
        <v/>
      </c>
      <c r="AJ1497" t="str">
        <f>""</f>
        <v/>
      </c>
      <c r="AK1497" t="str">
        <f>""</f>
        <v/>
      </c>
      <c r="AL1497" t="str">
        <f>""</f>
        <v/>
      </c>
      <c r="AM1497" t="str">
        <f>""</f>
        <v/>
      </c>
      <c r="AN1497" t="str">
        <f>""</f>
        <v/>
      </c>
      <c r="AO1497" t="str">
        <f>""</f>
        <v/>
      </c>
      <c r="AP1497" t="str">
        <f>""</f>
        <v/>
      </c>
      <c r="AQ1497" t="str">
        <f>""</f>
        <v/>
      </c>
      <c r="AR1497" t="str">
        <f>""</f>
        <v/>
      </c>
      <c r="AS1497" t="str">
        <f>""</f>
        <v/>
      </c>
      <c r="AT1497" t="str">
        <f>""</f>
        <v/>
      </c>
      <c r="AU1497" t="str">
        <f>""</f>
        <v/>
      </c>
      <c r="AV1497" t="str">
        <f>""</f>
        <v/>
      </c>
      <c r="AW1497" t="str">
        <f>""</f>
        <v/>
      </c>
      <c r="AX1497" t="str">
        <f>""</f>
        <v/>
      </c>
      <c r="AY1497" t="str">
        <f>""</f>
        <v/>
      </c>
      <c r="AZ1497" t="str">
        <f>""</f>
        <v/>
      </c>
      <c r="BA1497" t="str">
        <f>""</f>
        <v/>
      </c>
      <c r="BB1497" t="str">
        <f>"06/07/2023 12:07:48"</f>
        <v>06/07/2023 12:07:48</v>
      </c>
      <c r="BC1497" t="str">
        <f>""</f>
        <v/>
      </c>
      <c r="BD1497" t="str">
        <f>""</f>
        <v/>
      </c>
      <c r="BE1497" t="str">
        <f>""</f>
        <v/>
      </c>
      <c r="BF1497" t="str">
        <f t="shared" si="759"/>
        <v>A</v>
      </c>
      <c r="BG1497" t="str">
        <f>""</f>
        <v/>
      </c>
      <c r="BH1497" t="str">
        <f>""</f>
        <v/>
      </c>
      <c r="BI1497" t="str">
        <f t="shared" si="753"/>
        <v>EVENTUAL</v>
      </c>
      <c r="BJ1497" t="str">
        <f t="shared" si="760"/>
        <v>1</v>
      </c>
      <c r="BK1497" t="str">
        <f t="shared" si="761"/>
        <v>Farmacia</v>
      </c>
      <c r="BL1497" t="str">
        <f>""</f>
        <v/>
      </c>
      <c r="BM1497" t="str">
        <f>""</f>
        <v/>
      </c>
      <c r="BN1497" t="str">
        <f>""</f>
        <v/>
      </c>
      <c r="BO1497" t="str">
        <f>""</f>
        <v/>
      </c>
      <c r="BP1497" t="str">
        <f>""</f>
        <v/>
      </c>
      <c r="BQ1497" t="str">
        <f>""</f>
        <v/>
      </c>
      <c r="BR1497" t="str">
        <f>"06/07/2023"</f>
        <v>06/07/2023</v>
      </c>
      <c r="BS1497" t="str">
        <f>""</f>
        <v/>
      </c>
      <c r="BT1497" t="str">
        <f>""</f>
        <v/>
      </c>
      <c r="BU1497" t="str">
        <f>""</f>
        <v/>
      </c>
      <c r="BV1497" t="str">
        <f>""</f>
        <v/>
      </c>
      <c r="BW1497" t="str">
        <f>"Não visitado"</f>
        <v>Não visitado</v>
      </c>
    </row>
    <row r="1498" spans="1:75" x14ac:dyDescent="0.35">
      <c r="A1498">
        <v>137726</v>
      </c>
      <c r="B1498" t="str">
        <f t="shared" si="754"/>
        <v>A</v>
      </c>
      <c r="C1498" t="str">
        <f t="shared" si="755"/>
        <v>80</v>
      </c>
      <c r="D1498" t="str">
        <f t="shared" si="746"/>
        <v>11121004</v>
      </c>
      <c r="E1498" t="str">
        <f t="shared" si="747"/>
        <v>121004</v>
      </c>
      <c r="F1498" t="str">
        <f t="shared" si="748"/>
        <v>FABIANA GODOY</v>
      </c>
      <c r="G1498" t="str">
        <f>"26706056000150"</f>
        <v>26706056000150</v>
      </c>
      <c r="H1498" t="str">
        <f t="shared" si="764"/>
        <v>0</v>
      </c>
      <c r="I1498" t="str">
        <f t="shared" si="757"/>
        <v>CONTA OPTICA</v>
      </c>
      <c r="J1498" t="str">
        <f>"MURILO COMERCIO DE OCULOS E JOIAS LTDA. - ME"</f>
        <v>MURILO COMERCIO DE OCULOS E JOIAS LTDA. - ME</v>
      </c>
      <c r="K1498" t="str">
        <f>"MURILO COMERCIO DE OCULOS E JOIAS LTDA. - ME (3368)"</f>
        <v>MURILO COMERCIO DE OCULOS E JOIAS LTDA. - ME (3368)</v>
      </c>
      <c r="L1498" t="str">
        <f>""</f>
        <v/>
      </c>
      <c r="M1498" t="str">
        <f>""</f>
        <v/>
      </c>
      <c r="N1498" t="str">
        <f>"oticacelsogaspar@outlook.com"</f>
        <v>oticacelsogaspar@outlook.com</v>
      </c>
      <c r="O1498" t="str">
        <f>""</f>
        <v/>
      </c>
      <c r="P1498" t="str">
        <f>"RUA CORONEL ARISTILIANO RAMOS"</f>
        <v>RUA CORONEL ARISTILIANO RAMOS</v>
      </c>
      <c r="Q1498" t="str">
        <f>"377"</f>
        <v>377</v>
      </c>
      <c r="R1498" t="str">
        <f>""</f>
        <v/>
      </c>
      <c r="S1498" t="str">
        <f>"1274"</f>
        <v>1274</v>
      </c>
      <c r="T1498" t="str">
        <f>"89110064"</f>
        <v>89110064</v>
      </c>
      <c r="U1498" t="str">
        <f>"CENTRO"</f>
        <v>CENTRO</v>
      </c>
      <c r="V1498" t="str">
        <f>"GASPAR"</f>
        <v>GASPAR</v>
      </c>
      <c r="W1498" t="str">
        <f t="shared" si="744"/>
        <v>SC</v>
      </c>
      <c r="X1498" t="str">
        <f t="shared" si="763"/>
        <v>47</v>
      </c>
      <c r="Y1498" t="str">
        <f>"33326665"</f>
        <v>33326665</v>
      </c>
      <c r="Z1498" t="str">
        <f>""</f>
        <v/>
      </c>
      <c r="AA1498" t="str">
        <f>""</f>
        <v/>
      </c>
      <c r="AB1498" t="str">
        <f>""</f>
        <v/>
      </c>
      <c r="AC1498" t="str">
        <f>""</f>
        <v/>
      </c>
      <c r="AD1498" t="str">
        <f>""</f>
        <v/>
      </c>
      <c r="AE1498" t="str">
        <f>""</f>
        <v/>
      </c>
      <c r="AF1498" t="str">
        <f>""</f>
        <v/>
      </c>
      <c r="AG1498" t="str">
        <f>"S"</f>
        <v>S</v>
      </c>
      <c r="AH1498" t="str">
        <f>""</f>
        <v/>
      </c>
      <c r="AI1498" t="str">
        <f>""</f>
        <v/>
      </c>
      <c r="AJ1498" t="str">
        <f>""</f>
        <v/>
      </c>
      <c r="AK1498" t="str">
        <f>""</f>
        <v/>
      </c>
      <c r="AL1498" t="str">
        <f>""</f>
        <v/>
      </c>
      <c r="AM1498" t="str">
        <f>""</f>
        <v/>
      </c>
      <c r="AN1498" t="str">
        <f>""</f>
        <v/>
      </c>
      <c r="AO1498" t="str">
        <f>""</f>
        <v/>
      </c>
      <c r="AP1498" t="str">
        <f>""</f>
        <v/>
      </c>
      <c r="AQ1498" t="str">
        <f t="shared" ref="AQ1498:AU1499" si="765">"N"</f>
        <v>N</v>
      </c>
      <c r="AR1498" t="str">
        <f t="shared" si="765"/>
        <v>N</v>
      </c>
      <c r="AS1498" t="str">
        <f t="shared" si="765"/>
        <v>N</v>
      </c>
      <c r="AT1498" t="str">
        <f t="shared" si="765"/>
        <v>N</v>
      </c>
      <c r="AU1498" t="str">
        <f t="shared" si="765"/>
        <v>N</v>
      </c>
      <c r="AV1498" t="str">
        <f>""</f>
        <v/>
      </c>
      <c r="AW1498" t="str">
        <f>""</f>
        <v/>
      </c>
      <c r="AX1498" t="str">
        <f>""</f>
        <v/>
      </c>
      <c r="AY1498" t="str">
        <f>""</f>
        <v/>
      </c>
      <c r="AZ1498" t="str">
        <f>""</f>
        <v/>
      </c>
      <c r="BA1498" t="str">
        <f>""</f>
        <v/>
      </c>
      <c r="BB1498" t="str">
        <f>"01/07/2021 13:53:04"</f>
        <v>01/07/2021 13:53:04</v>
      </c>
      <c r="BC1498" t="str">
        <f>"10/07/2023 11:23:59"</f>
        <v>10/07/2023 11:23:59</v>
      </c>
      <c r="BD1498" t="str">
        <f>""</f>
        <v/>
      </c>
      <c r="BE1498" t="str">
        <f>""</f>
        <v/>
      </c>
      <c r="BF1498" t="str">
        <f t="shared" si="759"/>
        <v>A</v>
      </c>
      <c r="BG1498" t="str">
        <f>""</f>
        <v/>
      </c>
      <c r="BH1498" t="str">
        <f>"0,00"</f>
        <v>0,00</v>
      </c>
      <c r="BI1498" t="str">
        <f t="shared" si="753"/>
        <v>EVENTUAL</v>
      </c>
      <c r="BJ1498" t="str">
        <f t="shared" si="760"/>
        <v>1</v>
      </c>
      <c r="BK1498" t="str">
        <f t="shared" si="761"/>
        <v>Farmacia</v>
      </c>
      <c r="BL1498" t="str">
        <f>""</f>
        <v/>
      </c>
      <c r="BM1498" t="str">
        <f>"VARILUX ESPECIALISTA SELECT"</f>
        <v>VARILUX ESPECIALISTA SELECT</v>
      </c>
      <c r="BN1498" t="str">
        <f>"NA"</f>
        <v>NA</v>
      </c>
      <c r="BO1498" t="str">
        <f>"FOCO VARILUX DIGITAL"</f>
        <v>FOCO VARILUX DIGITAL</v>
      </c>
      <c r="BP1498" t="str">
        <f>""</f>
        <v/>
      </c>
      <c r="BQ1498" t="str">
        <f>""</f>
        <v/>
      </c>
      <c r="BR1498" t="str">
        <f>"01/07/2021"</f>
        <v>01/07/2021</v>
      </c>
      <c r="BS1498" t="str">
        <f>"10/07/2023"</f>
        <v>10/07/2023</v>
      </c>
      <c r="BT1498" t="str">
        <f>""</f>
        <v/>
      </c>
      <c r="BU1498" t="str">
        <f>""</f>
        <v/>
      </c>
      <c r="BV1498" t="str">
        <f>""</f>
        <v/>
      </c>
      <c r="BW1498" t="str">
        <f>"1"</f>
        <v>1</v>
      </c>
    </row>
    <row r="1499" spans="1:75" x14ac:dyDescent="0.35">
      <c r="A1499">
        <v>137727</v>
      </c>
      <c r="B1499" t="str">
        <f t="shared" si="754"/>
        <v>A</v>
      </c>
      <c r="C1499" t="str">
        <f t="shared" si="755"/>
        <v>80</v>
      </c>
      <c r="D1499" t="str">
        <f t="shared" si="746"/>
        <v>11121004</v>
      </c>
      <c r="E1499" t="str">
        <f t="shared" si="747"/>
        <v>121004</v>
      </c>
      <c r="F1499" t="str">
        <f t="shared" si="748"/>
        <v>FABIANA GODOY</v>
      </c>
      <c r="G1499" t="str">
        <f>"14787831000160"</f>
        <v>14787831000160</v>
      </c>
      <c r="H1499" t="str">
        <f t="shared" si="764"/>
        <v>0</v>
      </c>
      <c r="I1499" t="str">
        <f t="shared" si="757"/>
        <v>CONTA OPTICA</v>
      </c>
      <c r="J1499" t="str">
        <f>"NAVVISAO OTICA E RELOJORIA LTDA ME"</f>
        <v>NAVVISAO OTICA E RELOJORIA LTDA ME</v>
      </c>
      <c r="K1499" t="str">
        <f>"BRILHARTE OTICA E RELOJOARIA (1922)"</f>
        <v>BRILHARTE OTICA E RELOJOARIA (1922)</v>
      </c>
      <c r="L1499" t="str">
        <f>""</f>
        <v/>
      </c>
      <c r="M1499" t="str">
        <f>""</f>
        <v/>
      </c>
      <c r="N1499" t="str">
        <f>"brilharteotica_@hotmail.com"</f>
        <v>brilharteotica_@hotmail.com</v>
      </c>
      <c r="O1499" t="str">
        <f>""</f>
        <v/>
      </c>
      <c r="P1499" t="str">
        <f>"AVENIDA PREFEITO JOSE JUVENAL MAFRA"</f>
        <v>AVENIDA PREFEITO JOSE JUVENAL MAFRA</v>
      </c>
      <c r="Q1499" t="str">
        <f>"8397"</f>
        <v>8397</v>
      </c>
      <c r="R1499" t="str">
        <f>"SALA 02"</f>
        <v>SALA 02</v>
      </c>
      <c r="S1499" t="str">
        <f>""</f>
        <v/>
      </c>
      <c r="T1499" t="str">
        <f>"88372618"</f>
        <v>88372618</v>
      </c>
      <c r="U1499" t="str">
        <f>"GRAVATA"</f>
        <v>GRAVATA</v>
      </c>
      <c r="V1499" t="str">
        <f>"NAVEGANTES"</f>
        <v>NAVEGANTES</v>
      </c>
      <c r="W1499" t="str">
        <f t="shared" si="744"/>
        <v>SC</v>
      </c>
      <c r="X1499" t="str">
        <f t="shared" si="763"/>
        <v>47</v>
      </c>
      <c r="Y1499" t="str">
        <f>"33427975"</f>
        <v>33427975</v>
      </c>
      <c r="Z1499" t="str">
        <f>""</f>
        <v/>
      </c>
      <c r="AA1499" t="str">
        <f>""</f>
        <v/>
      </c>
      <c r="AB1499" t="str">
        <f>""</f>
        <v/>
      </c>
      <c r="AC1499" t="str">
        <f>""</f>
        <v/>
      </c>
      <c r="AD1499" t="str">
        <f>""</f>
        <v/>
      </c>
      <c r="AE1499" t="str">
        <f>""</f>
        <v/>
      </c>
      <c r="AF1499" t="str">
        <f>""</f>
        <v/>
      </c>
      <c r="AG1499" t="str">
        <f>"S"</f>
        <v>S</v>
      </c>
      <c r="AH1499" t="str">
        <f>""</f>
        <v/>
      </c>
      <c r="AI1499" t="str">
        <f>""</f>
        <v/>
      </c>
      <c r="AJ1499" t="str">
        <f>""</f>
        <v/>
      </c>
      <c r="AK1499" t="str">
        <f>""</f>
        <v/>
      </c>
      <c r="AL1499" t="str">
        <f>""</f>
        <v/>
      </c>
      <c r="AM1499" t="str">
        <f>""</f>
        <v/>
      </c>
      <c r="AN1499" t="str">
        <f>""</f>
        <v/>
      </c>
      <c r="AO1499" t="str">
        <f>""</f>
        <v/>
      </c>
      <c r="AP1499" t="str">
        <f>""</f>
        <v/>
      </c>
      <c r="AQ1499" t="str">
        <f t="shared" si="765"/>
        <v>N</v>
      </c>
      <c r="AR1499" t="str">
        <f t="shared" si="765"/>
        <v>N</v>
      </c>
      <c r="AS1499" t="str">
        <f t="shared" si="765"/>
        <v>N</v>
      </c>
      <c r="AT1499" t="str">
        <f t="shared" si="765"/>
        <v>N</v>
      </c>
      <c r="AU1499" t="str">
        <f t="shared" si="765"/>
        <v>N</v>
      </c>
      <c r="AV1499" t="str">
        <f>""</f>
        <v/>
      </c>
      <c r="AW1499" t="str">
        <f>""</f>
        <v/>
      </c>
      <c r="AX1499" t="str">
        <f>""</f>
        <v/>
      </c>
      <c r="AY1499" t="str">
        <f>""</f>
        <v/>
      </c>
      <c r="AZ1499" t="str">
        <f>""</f>
        <v/>
      </c>
      <c r="BA1499" t="str">
        <f>""</f>
        <v/>
      </c>
      <c r="BB1499" t="str">
        <f>"01/07/2021 13:53:04"</f>
        <v>01/07/2021 13:53:04</v>
      </c>
      <c r="BC1499" t="str">
        <f>"08/02/2022 16:41:42"</f>
        <v>08/02/2022 16:41:42</v>
      </c>
      <c r="BD1499" t="str">
        <f>""</f>
        <v/>
      </c>
      <c r="BE1499" t="str">
        <f>""</f>
        <v/>
      </c>
      <c r="BF1499" t="str">
        <f t="shared" si="759"/>
        <v>A</v>
      </c>
      <c r="BG1499" t="str">
        <f>""</f>
        <v/>
      </c>
      <c r="BH1499" t="str">
        <f>"0,00"</f>
        <v>0,00</v>
      </c>
      <c r="BI1499" t="str">
        <f t="shared" si="753"/>
        <v>EVENTUAL</v>
      </c>
      <c r="BJ1499" t="str">
        <f t="shared" si="760"/>
        <v>1</v>
      </c>
      <c r="BK1499" t="str">
        <f t="shared" si="761"/>
        <v>Farmacia</v>
      </c>
      <c r="BL1499" t="str">
        <f>""</f>
        <v/>
      </c>
      <c r="BM1499" t="str">
        <f>"NÃO É VARILUX ESPECIALISTA"</f>
        <v>NÃO É VARILUX ESPECIALISTA</v>
      </c>
      <c r="BN1499" t="str">
        <f>"NA"</f>
        <v>NA</v>
      </c>
      <c r="BO1499" t="str">
        <f>"FOCO VARILUX DIGITAL"</f>
        <v>FOCO VARILUX DIGITAL</v>
      </c>
      <c r="BP1499" t="str">
        <f>""</f>
        <v/>
      </c>
      <c r="BQ1499" t="str">
        <f>""</f>
        <v/>
      </c>
      <c r="BR1499" t="str">
        <f>"01/07/2021"</f>
        <v>01/07/2021</v>
      </c>
      <c r="BS1499" t="str">
        <f>"08/02/2022"</f>
        <v>08/02/2022</v>
      </c>
      <c r="BT1499" t="str">
        <f>""</f>
        <v/>
      </c>
      <c r="BU1499" t="str">
        <f>""</f>
        <v/>
      </c>
      <c r="BV1499" t="str">
        <f>""</f>
        <v/>
      </c>
      <c r="BW1499" t="str">
        <f>"1"</f>
        <v>1</v>
      </c>
    </row>
    <row r="1500" spans="1:75" x14ac:dyDescent="0.35">
      <c r="A1500">
        <v>157069</v>
      </c>
      <c r="B1500" t="str">
        <f t="shared" si="754"/>
        <v>A</v>
      </c>
      <c r="C1500" t="str">
        <f t="shared" si="755"/>
        <v>80</v>
      </c>
      <c r="D1500" t="str">
        <f t="shared" si="746"/>
        <v>11121004</v>
      </c>
      <c r="E1500" t="str">
        <f t="shared" si="747"/>
        <v>121004</v>
      </c>
      <c r="F1500" t="str">
        <f t="shared" si="748"/>
        <v>FABIANA GODOY</v>
      </c>
      <c r="G1500" t="str">
        <f>"17849426000117"</f>
        <v>17849426000117</v>
      </c>
      <c r="H1500" t="str">
        <f t="shared" si="764"/>
        <v>0</v>
      </c>
      <c r="I1500" t="str">
        <f t="shared" si="757"/>
        <v>CONTA OPTICA</v>
      </c>
      <c r="J1500" t="str">
        <f>"NEW ACESSORIOS DE MODA LTDA EPP"</f>
        <v>NEW ACESSORIOS DE MODA LTDA EPP</v>
      </c>
      <c r="K1500" t="str">
        <f>"CHILLI BEANS (2239)"</f>
        <v>CHILLI BEANS (2239)</v>
      </c>
      <c r="L1500" t="str">
        <f>""</f>
        <v/>
      </c>
      <c r="M1500" t="str">
        <f>""</f>
        <v/>
      </c>
      <c r="N1500" t="str">
        <f>"MARIANE.MOSENA@CHILLISC.COM.BR"</f>
        <v>MARIANE.MOSENA@CHILLISC.COM.BR</v>
      </c>
      <c r="O1500" t="str">
        <f>""</f>
        <v/>
      </c>
      <c r="P1500" t="str">
        <f>"RUA SETE DE SETEMBRO"</f>
        <v>RUA SETE DE SETEMBRO</v>
      </c>
      <c r="Q1500" t="str">
        <f>"1213"</f>
        <v>1213</v>
      </c>
      <c r="R1500" t="str">
        <f>"LOJA 140"</f>
        <v>LOJA 140</v>
      </c>
      <c r="S1500" t="str">
        <f>"1271"</f>
        <v>1271</v>
      </c>
      <c r="T1500" t="str">
        <f>"89010203"</f>
        <v>89010203</v>
      </c>
      <c r="U1500" t="str">
        <f>"CENTRO"</f>
        <v>CENTRO</v>
      </c>
      <c r="V1500" t="str">
        <f>"BLUMENAU"</f>
        <v>BLUMENAU</v>
      </c>
      <c r="W1500" t="str">
        <f t="shared" si="744"/>
        <v>SC</v>
      </c>
      <c r="X1500" t="str">
        <f t="shared" si="763"/>
        <v>47</v>
      </c>
      <c r="Y1500" t="str">
        <f>"33360628"</f>
        <v>33360628</v>
      </c>
      <c r="Z1500" t="str">
        <f>""</f>
        <v/>
      </c>
      <c r="AA1500" t="str">
        <f>""</f>
        <v/>
      </c>
      <c r="AB1500" t="str">
        <f>""</f>
        <v/>
      </c>
      <c r="AC1500" t="str">
        <f>""</f>
        <v/>
      </c>
      <c r="AD1500" t="str">
        <f>""</f>
        <v/>
      </c>
      <c r="AE1500" t="str">
        <f>""</f>
        <v/>
      </c>
      <c r="AF1500" t="str">
        <f>""</f>
        <v/>
      </c>
      <c r="AG1500" t="str">
        <f>""</f>
        <v/>
      </c>
      <c r="AH1500" t="str">
        <f>""</f>
        <v/>
      </c>
      <c r="AI1500" t="str">
        <f>""</f>
        <v/>
      </c>
      <c r="AJ1500" t="str">
        <f>""</f>
        <v/>
      </c>
      <c r="AK1500" t="str">
        <f>""</f>
        <v/>
      </c>
      <c r="AL1500" t="str">
        <f>""</f>
        <v/>
      </c>
      <c r="AM1500" t="str">
        <f>""</f>
        <v/>
      </c>
      <c r="AN1500" t="str">
        <f>""</f>
        <v/>
      </c>
      <c r="AO1500" t="str">
        <f>""</f>
        <v/>
      </c>
      <c r="AP1500" t="str">
        <f>""</f>
        <v/>
      </c>
      <c r="AQ1500" t="str">
        <f>""</f>
        <v/>
      </c>
      <c r="AR1500" t="str">
        <f>""</f>
        <v/>
      </c>
      <c r="AS1500" t="str">
        <f>""</f>
        <v/>
      </c>
      <c r="AT1500" t="str">
        <f>""</f>
        <v/>
      </c>
      <c r="AU1500" t="str">
        <f>""</f>
        <v/>
      </c>
      <c r="AV1500" t="str">
        <f>""</f>
        <v/>
      </c>
      <c r="AW1500" t="str">
        <f>""</f>
        <v/>
      </c>
      <c r="AX1500" t="str">
        <f>""</f>
        <v/>
      </c>
      <c r="AY1500" t="str">
        <f>""</f>
        <v/>
      </c>
      <c r="AZ1500" t="str">
        <f>""</f>
        <v/>
      </c>
      <c r="BA1500" t="str">
        <f>""</f>
        <v/>
      </c>
      <c r="BB1500" t="str">
        <f>"06/07/2023 12:07:48"</f>
        <v>06/07/2023 12:07:48</v>
      </c>
      <c r="BC1500" t="str">
        <f>""</f>
        <v/>
      </c>
      <c r="BD1500" t="str">
        <f>""</f>
        <v/>
      </c>
      <c r="BE1500" t="str">
        <f>""</f>
        <v/>
      </c>
      <c r="BF1500" t="str">
        <f t="shared" si="759"/>
        <v>A</v>
      </c>
      <c r="BG1500" t="str">
        <f>""</f>
        <v/>
      </c>
      <c r="BH1500" t="str">
        <f>""</f>
        <v/>
      </c>
      <c r="BI1500" t="str">
        <f t="shared" si="753"/>
        <v>EVENTUAL</v>
      </c>
      <c r="BJ1500" t="str">
        <f t="shared" si="760"/>
        <v>1</v>
      </c>
      <c r="BK1500" t="str">
        <f t="shared" si="761"/>
        <v>Farmacia</v>
      </c>
      <c r="BL1500" t="str">
        <f>""</f>
        <v/>
      </c>
      <c r="BM1500" t="str">
        <f>""</f>
        <v/>
      </c>
      <c r="BN1500" t="str">
        <f>""</f>
        <v/>
      </c>
      <c r="BO1500" t="str">
        <f>""</f>
        <v/>
      </c>
      <c r="BP1500" t="str">
        <f>""</f>
        <v/>
      </c>
      <c r="BQ1500" t="str">
        <f>""</f>
        <v/>
      </c>
      <c r="BR1500" t="str">
        <f>"06/07/2023"</f>
        <v>06/07/2023</v>
      </c>
      <c r="BS1500" t="str">
        <f>""</f>
        <v/>
      </c>
      <c r="BT1500" t="str">
        <f>""</f>
        <v/>
      </c>
      <c r="BU1500" t="str">
        <f>""</f>
        <v/>
      </c>
      <c r="BV1500" t="str">
        <f>""</f>
        <v/>
      </c>
      <c r="BW1500" t="str">
        <f>"Não visitado"</f>
        <v>Não visitado</v>
      </c>
    </row>
    <row r="1501" spans="1:75" x14ac:dyDescent="0.35">
      <c r="A1501">
        <v>157754</v>
      </c>
      <c r="B1501" t="str">
        <f t="shared" si="754"/>
        <v>A</v>
      </c>
      <c r="C1501" t="str">
        <f t="shared" si="755"/>
        <v>80</v>
      </c>
      <c r="D1501" t="str">
        <f t="shared" si="746"/>
        <v>11121004</v>
      </c>
      <c r="E1501" t="str">
        <f t="shared" si="747"/>
        <v>121004</v>
      </c>
      <c r="F1501" t="str">
        <f t="shared" si="748"/>
        <v>FABIANA GODOY</v>
      </c>
      <c r="G1501" t="str">
        <f>"25058373000144"</f>
        <v>25058373000144</v>
      </c>
      <c r="H1501" t="str">
        <f t="shared" si="764"/>
        <v>0</v>
      </c>
      <c r="I1501" t="str">
        <f t="shared" si="757"/>
        <v>CONTA OPTICA</v>
      </c>
      <c r="J1501" t="str">
        <f>"NILCEIA RODRIGUES CAPISTRANO 83382089904"</f>
        <v>NILCEIA RODRIGUES CAPISTRANO 83382089904</v>
      </c>
      <c r="K1501" t="str">
        <f>"OPTICA POMERANA (3347)"</f>
        <v>OPTICA POMERANA (3347)</v>
      </c>
      <c r="L1501" t="str">
        <f>""</f>
        <v/>
      </c>
      <c r="M1501" t="str">
        <f>""</f>
        <v/>
      </c>
      <c r="N1501" t="str">
        <f>"NILCEIACAPISTRANO@GMAIL.COM"</f>
        <v>NILCEIACAPISTRANO@GMAIL.COM</v>
      </c>
      <c r="O1501" t="str">
        <f>""</f>
        <v/>
      </c>
      <c r="P1501" t="str">
        <f>"RUA LUIZ ABRY"</f>
        <v>RUA LUIZ ABRY</v>
      </c>
      <c r="Q1501" t="str">
        <f>"305"</f>
        <v>305</v>
      </c>
      <c r="R1501" t="str">
        <f>"SALA 01"</f>
        <v>SALA 01</v>
      </c>
      <c r="S1501" t="str">
        <f>"1273"</f>
        <v>1273</v>
      </c>
      <c r="T1501" t="str">
        <f>"89107000"</f>
        <v>89107000</v>
      </c>
      <c r="U1501" t="str">
        <f>"CENTRO"</f>
        <v>CENTRO</v>
      </c>
      <c r="V1501" t="str">
        <f>"POMERODE"</f>
        <v>POMERODE</v>
      </c>
      <c r="W1501" t="str">
        <f t="shared" si="744"/>
        <v>SC</v>
      </c>
      <c r="X1501" t="str">
        <f t="shared" si="763"/>
        <v>47</v>
      </c>
      <c r="Y1501" t="str">
        <f>"33824929"</f>
        <v>33824929</v>
      </c>
      <c r="Z1501" t="str">
        <f>""</f>
        <v/>
      </c>
      <c r="AA1501" t="str">
        <f>""</f>
        <v/>
      </c>
      <c r="AB1501" t="str">
        <f>""</f>
        <v/>
      </c>
      <c r="AC1501" t="str">
        <f>""</f>
        <v/>
      </c>
      <c r="AD1501" t="str">
        <f>""</f>
        <v/>
      </c>
      <c r="AE1501" t="str">
        <f>""</f>
        <v/>
      </c>
      <c r="AF1501" t="str">
        <f>""</f>
        <v/>
      </c>
      <c r="AG1501" t="str">
        <f>""</f>
        <v/>
      </c>
      <c r="AH1501" t="str">
        <f>""</f>
        <v/>
      </c>
      <c r="AI1501" t="str">
        <f>""</f>
        <v/>
      </c>
      <c r="AJ1501" t="str">
        <f>""</f>
        <v/>
      </c>
      <c r="AK1501" t="str">
        <f>""</f>
        <v/>
      </c>
      <c r="AL1501" t="str">
        <f>""</f>
        <v/>
      </c>
      <c r="AM1501" t="str">
        <f>""</f>
        <v/>
      </c>
      <c r="AN1501" t="str">
        <f>""</f>
        <v/>
      </c>
      <c r="AO1501" t="str">
        <f>""</f>
        <v/>
      </c>
      <c r="AP1501" t="str">
        <f>""</f>
        <v/>
      </c>
      <c r="AQ1501" t="str">
        <f>""</f>
        <v/>
      </c>
      <c r="AR1501" t="str">
        <f>""</f>
        <v/>
      </c>
      <c r="AS1501" t="str">
        <f>""</f>
        <v/>
      </c>
      <c r="AT1501" t="str">
        <f>""</f>
        <v/>
      </c>
      <c r="AU1501" t="str">
        <f>""</f>
        <v/>
      </c>
      <c r="AV1501" t="str">
        <f>""</f>
        <v/>
      </c>
      <c r="AW1501" t="str">
        <f>""</f>
        <v/>
      </c>
      <c r="AX1501" t="str">
        <f>""</f>
        <v/>
      </c>
      <c r="AY1501" t="str">
        <f>""</f>
        <v/>
      </c>
      <c r="AZ1501" t="str">
        <f>""</f>
        <v/>
      </c>
      <c r="BA1501" t="str">
        <f>""</f>
        <v/>
      </c>
      <c r="BB1501" t="str">
        <f>"11/07/2023 02:26:32"</f>
        <v>11/07/2023 02:26:32</v>
      </c>
      <c r="BC1501" t="str">
        <f>""</f>
        <v/>
      </c>
      <c r="BD1501" t="str">
        <f>""</f>
        <v/>
      </c>
      <c r="BE1501" t="str">
        <f>""</f>
        <v/>
      </c>
      <c r="BF1501" t="str">
        <f t="shared" si="759"/>
        <v>A</v>
      </c>
      <c r="BG1501" t="str">
        <f>""</f>
        <v/>
      </c>
      <c r="BH1501" t="str">
        <f>""</f>
        <v/>
      </c>
      <c r="BI1501" t="str">
        <f t="shared" si="753"/>
        <v>EVENTUAL</v>
      </c>
      <c r="BJ1501" t="str">
        <f t="shared" si="760"/>
        <v>1</v>
      </c>
      <c r="BK1501" t="str">
        <f t="shared" si="761"/>
        <v>Farmacia</v>
      </c>
      <c r="BL1501" t="str">
        <f>""</f>
        <v/>
      </c>
      <c r="BM1501" t="str">
        <f>""</f>
        <v/>
      </c>
      <c r="BN1501" t="str">
        <f>""</f>
        <v/>
      </c>
      <c r="BO1501" t="str">
        <f>""</f>
        <v/>
      </c>
      <c r="BP1501" t="str">
        <f>""</f>
        <v/>
      </c>
      <c r="BQ1501" t="str">
        <f>""</f>
        <v/>
      </c>
      <c r="BR1501" t="str">
        <f>"11/07/2023"</f>
        <v>11/07/2023</v>
      </c>
      <c r="BS1501" t="str">
        <f>""</f>
        <v/>
      </c>
      <c r="BT1501" t="str">
        <f>""</f>
        <v/>
      </c>
      <c r="BU1501" t="str">
        <f>""</f>
        <v/>
      </c>
      <c r="BV1501" t="str">
        <f>""</f>
        <v/>
      </c>
      <c r="BW1501" t="str">
        <f>"Não visitado"</f>
        <v>Não visitado</v>
      </c>
    </row>
    <row r="1502" spans="1:75" x14ac:dyDescent="0.35">
      <c r="A1502">
        <v>157805</v>
      </c>
      <c r="B1502" t="str">
        <f t="shared" si="754"/>
        <v>A</v>
      </c>
      <c r="C1502" t="str">
        <f t="shared" si="755"/>
        <v>80</v>
      </c>
      <c r="D1502" t="str">
        <f t="shared" si="746"/>
        <v>11121004</v>
      </c>
      <c r="E1502" t="str">
        <f t="shared" si="747"/>
        <v>121004</v>
      </c>
      <c r="F1502" t="str">
        <f t="shared" si="748"/>
        <v>FABIANA GODOY</v>
      </c>
      <c r="G1502" t="str">
        <f>"12324860000160"</f>
        <v>12324860000160</v>
      </c>
      <c r="H1502" t="str">
        <f t="shared" si="764"/>
        <v>0</v>
      </c>
      <c r="I1502" t="str">
        <f t="shared" si="757"/>
        <v>CONTA OPTICA</v>
      </c>
      <c r="J1502" t="str">
        <f>"NILMA DAS NEVES SILVA"</f>
        <v>NILMA DAS NEVES SILVA</v>
      </c>
      <c r="K1502" t="str">
        <f>"RELOJOARIA E OTICA EXECUTIVA (1764)"</f>
        <v>RELOJOARIA E OTICA EXECUTIVA (1764)</v>
      </c>
      <c r="L1502" t="str">
        <f>""</f>
        <v/>
      </c>
      <c r="M1502" t="str">
        <f>""</f>
        <v/>
      </c>
      <c r="N1502" t="str">
        <f>"OTICA_EXECUTIVA@HOTMAIL.COM"</f>
        <v>OTICA_EXECUTIVA@HOTMAIL.COM</v>
      </c>
      <c r="O1502" t="str">
        <f>""</f>
        <v/>
      </c>
      <c r="P1502" t="str">
        <f>"DO ESTADO DALMO VIEIRA"</f>
        <v>DO ESTADO DALMO VIEIRA</v>
      </c>
      <c r="Q1502" t="str">
        <f>"3368"</f>
        <v>3368</v>
      </c>
      <c r="R1502" t="str">
        <f>"SL 02"</f>
        <v>SL 02</v>
      </c>
      <c r="S1502" t="str">
        <f>"1262"</f>
        <v>1262</v>
      </c>
      <c r="T1502" t="str">
        <f>"88338065"</f>
        <v>88338065</v>
      </c>
      <c r="U1502" t="str">
        <f>"NAÇOES"</f>
        <v>NAÇOES</v>
      </c>
      <c r="V1502" t="str">
        <f>"BALNEARIO CAMBORIU"</f>
        <v>BALNEARIO CAMBORIU</v>
      </c>
      <c r="W1502" t="str">
        <f t="shared" si="744"/>
        <v>SC</v>
      </c>
      <c r="X1502" t="str">
        <f t="shared" si="763"/>
        <v>47</v>
      </c>
      <c r="Y1502" t="str">
        <f>"33936330"</f>
        <v>33936330</v>
      </c>
      <c r="Z1502" t="str">
        <f>""</f>
        <v/>
      </c>
      <c r="AA1502" t="str">
        <f>""</f>
        <v/>
      </c>
      <c r="AB1502" t="str">
        <f>""</f>
        <v/>
      </c>
      <c r="AC1502" t="str">
        <f>""</f>
        <v/>
      </c>
      <c r="AD1502" t="str">
        <f>""</f>
        <v/>
      </c>
      <c r="AE1502" t="str">
        <f>""</f>
        <v/>
      </c>
      <c r="AF1502" t="str">
        <f>""</f>
        <v/>
      </c>
      <c r="AG1502" t="str">
        <f>""</f>
        <v/>
      </c>
      <c r="AH1502" t="str">
        <f>""</f>
        <v/>
      </c>
      <c r="AI1502" t="str">
        <f>""</f>
        <v/>
      </c>
      <c r="AJ1502" t="str">
        <f>""</f>
        <v/>
      </c>
      <c r="AK1502" t="str">
        <f>""</f>
        <v/>
      </c>
      <c r="AL1502" t="str">
        <f>""</f>
        <v/>
      </c>
      <c r="AM1502" t="str">
        <f>""</f>
        <v/>
      </c>
      <c r="AN1502" t="str">
        <f>""</f>
        <v/>
      </c>
      <c r="AO1502" t="str">
        <f>""</f>
        <v/>
      </c>
      <c r="AP1502" t="str">
        <f>""</f>
        <v/>
      </c>
      <c r="AQ1502" t="str">
        <f>""</f>
        <v/>
      </c>
      <c r="AR1502" t="str">
        <f>""</f>
        <v/>
      </c>
      <c r="AS1502" t="str">
        <f>""</f>
        <v/>
      </c>
      <c r="AT1502" t="str">
        <f>""</f>
        <v/>
      </c>
      <c r="AU1502" t="str">
        <f>""</f>
        <v/>
      </c>
      <c r="AV1502" t="str">
        <f>""</f>
        <v/>
      </c>
      <c r="AW1502" t="str">
        <f>""</f>
        <v/>
      </c>
      <c r="AX1502" t="str">
        <f>""</f>
        <v/>
      </c>
      <c r="AY1502" t="str">
        <f>""</f>
        <v/>
      </c>
      <c r="AZ1502" t="str">
        <f>""</f>
        <v/>
      </c>
      <c r="BA1502" t="str">
        <f>""</f>
        <v/>
      </c>
      <c r="BB1502" t="str">
        <f>"11/07/2023 02:26:32"</f>
        <v>11/07/2023 02:26:32</v>
      </c>
      <c r="BC1502" t="str">
        <f>""</f>
        <v/>
      </c>
      <c r="BD1502" t="str">
        <f>""</f>
        <v/>
      </c>
      <c r="BE1502" t="str">
        <f>""</f>
        <v/>
      </c>
      <c r="BF1502" t="str">
        <f t="shared" si="759"/>
        <v>A</v>
      </c>
      <c r="BG1502" t="str">
        <f>""</f>
        <v/>
      </c>
      <c r="BH1502" t="str">
        <f>""</f>
        <v/>
      </c>
      <c r="BI1502" t="str">
        <f t="shared" si="753"/>
        <v>EVENTUAL</v>
      </c>
      <c r="BJ1502" t="str">
        <f t="shared" si="760"/>
        <v>1</v>
      </c>
      <c r="BK1502" t="str">
        <f t="shared" si="761"/>
        <v>Farmacia</v>
      </c>
      <c r="BL1502" t="str">
        <f>""</f>
        <v/>
      </c>
      <c r="BM1502" t="str">
        <f>""</f>
        <v/>
      </c>
      <c r="BN1502" t="str">
        <f>""</f>
        <v/>
      </c>
      <c r="BO1502" t="str">
        <f>""</f>
        <v/>
      </c>
      <c r="BP1502" t="str">
        <f>""</f>
        <v/>
      </c>
      <c r="BQ1502" t="str">
        <f>""</f>
        <v/>
      </c>
      <c r="BR1502" t="str">
        <f>"11/07/2023"</f>
        <v>11/07/2023</v>
      </c>
      <c r="BS1502" t="str">
        <f>""</f>
        <v/>
      </c>
      <c r="BT1502" t="str">
        <f>""</f>
        <v/>
      </c>
      <c r="BU1502" t="str">
        <f>""</f>
        <v/>
      </c>
      <c r="BV1502" t="str">
        <f>""</f>
        <v/>
      </c>
      <c r="BW1502" t="str">
        <f>"Não visitado"</f>
        <v>Não visitado</v>
      </c>
    </row>
    <row r="1503" spans="1:75" x14ac:dyDescent="0.35">
      <c r="A1503">
        <v>157118</v>
      </c>
      <c r="B1503" t="str">
        <f t="shared" si="754"/>
        <v>A</v>
      </c>
      <c r="C1503" t="str">
        <f t="shared" si="755"/>
        <v>80</v>
      </c>
      <c r="D1503" t="str">
        <f t="shared" si="746"/>
        <v>11121004</v>
      </c>
      <c r="E1503" t="str">
        <f t="shared" si="747"/>
        <v>121004</v>
      </c>
      <c r="F1503" t="str">
        <f t="shared" si="748"/>
        <v>FABIANA GODOY</v>
      </c>
      <c r="G1503" t="str">
        <f>"27002961000191"</f>
        <v>27002961000191</v>
      </c>
      <c r="H1503" t="str">
        <f t="shared" si="764"/>
        <v>0</v>
      </c>
      <c r="I1503" t="str">
        <f t="shared" si="757"/>
        <v>CONTA OPTICA</v>
      </c>
      <c r="J1503" t="str">
        <f>"NONES COMERCIO VAREJISTA DE ARTIGOS DE OPTICA EIRELI"</f>
        <v>NONES COMERCIO VAREJISTA DE ARTIGOS DE OPTICA EIRELI</v>
      </c>
      <c r="K1503" t="str">
        <f>"OTICAS FERRI (3782)"</f>
        <v>OTICAS FERRI (3782)</v>
      </c>
      <c r="L1503" t="str">
        <f>""</f>
        <v/>
      </c>
      <c r="M1503" t="str">
        <f>""</f>
        <v/>
      </c>
      <c r="N1503" t="str">
        <f>"IVONENONESS@GMAIL.COM"</f>
        <v>IVONENONESS@GMAIL.COM</v>
      </c>
      <c r="O1503" t="str">
        <f>""</f>
        <v/>
      </c>
      <c r="P1503" t="str">
        <f>"RUA MANOEL VIEIRA GARCAO"</f>
        <v>RUA MANOEL VIEIRA GARCAO</v>
      </c>
      <c r="Q1503" t="str">
        <f>"120"</f>
        <v>120</v>
      </c>
      <c r="R1503" t="str">
        <f>"SALA 04"</f>
        <v>SALA 04</v>
      </c>
      <c r="S1503" t="str">
        <f>"1261"</f>
        <v>1261</v>
      </c>
      <c r="T1503" t="str">
        <f>"88301425"</f>
        <v>88301425</v>
      </c>
      <c r="U1503" t="str">
        <f>"CENTRO"</f>
        <v>CENTRO</v>
      </c>
      <c r="V1503" t="str">
        <f>"ITAJAI"</f>
        <v>ITAJAI</v>
      </c>
      <c r="W1503" t="str">
        <f t="shared" si="744"/>
        <v>SC</v>
      </c>
      <c r="X1503" t="str">
        <f>"48"</f>
        <v>48</v>
      </c>
      <c r="Y1503" t="str">
        <f>"32435604"</f>
        <v>32435604</v>
      </c>
      <c r="Z1503" t="str">
        <f>""</f>
        <v/>
      </c>
      <c r="AA1503" t="str">
        <f>""</f>
        <v/>
      </c>
      <c r="AB1503" t="str">
        <f>""</f>
        <v/>
      </c>
      <c r="AC1503" t="str">
        <f>""</f>
        <v/>
      </c>
      <c r="AD1503" t="str">
        <f>""</f>
        <v/>
      </c>
      <c r="AE1503" t="str">
        <f>""</f>
        <v/>
      </c>
      <c r="AF1503" t="str">
        <f>""</f>
        <v/>
      </c>
      <c r="AG1503" t="str">
        <f>""</f>
        <v/>
      </c>
      <c r="AH1503" t="str">
        <f>""</f>
        <v/>
      </c>
      <c r="AI1503" t="str">
        <f>""</f>
        <v/>
      </c>
      <c r="AJ1503" t="str">
        <f>""</f>
        <v/>
      </c>
      <c r="AK1503" t="str">
        <f>""</f>
        <v/>
      </c>
      <c r="AL1503" t="str">
        <f>""</f>
        <v/>
      </c>
      <c r="AM1503" t="str">
        <f>""</f>
        <v/>
      </c>
      <c r="AN1503" t="str">
        <f>""</f>
        <v/>
      </c>
      <c r="AO1503" t="str">
        <f>""</f>
        <v/>
      </c>
      <c r="AP1503" t="str">
        <f>""</f>
        <v/>
      </c>
      <c r="AQ1503" t="str">
        <f>""</f>
        <v/>
      </c>
      <c r="AR1503" t="str">
        <f>""</f>
        <v/>
      </c>
      <c r="AS1503" t="str">
        <f>""</f>
        <v/>
      </c>
      <c r="AT1503" t="str">
        <f>""</f>
        <v/>
      </c>
      <c r="AU1503" t="str">
        <f>""</f>
        <v/>
      </c>
      <c r="AV1503" t="str">
        <f>""</f>
        <v/>
      </c>
      <c r="AW1503" t="str">
        <f>""</f>
        <v/>
      </c>
      <c r="AX1503" t="str">
        <f>""</f>
        <v/>
      </c>
      <c r="AY1503" t="str">
        <f>""</f>
        <v/>
      </c>
      <c r="AZ1503" t="str">
        <f>""</f>
        <v/>
      </c>
      <c r="BA1503" t="str">
        <f>""</f>
        <v/>
      </c>
      <c r="BB1503" t="str">
        <f>"06/07/2023 12:07:48"</f>
        <v>06/07/2023 12:07:48</v>
      </c>
      <c r="BC1503" t="str">
        <f>""</f>
        <v/>
      </c>
      <c r="BD1503" t="str">
        <f>""</f>
        <v/>
      </c>
      <c r="BE1503" t="str">
        <f>""</f>
        <v/>
      </c>
      <c r="BF1503" t="str">
        <f t="shared" si="759"/>
        <v>A</v>
      </c>
      <c r="BG1503" t="str">
        <f>""</f>
        <v/>
      </c>
      <c r="BH1503" t="str">
        <f>""</f>
        <v/>
      </c>
      <c r="BI1503" t="str">
        <f t="shared" si="753"/>
        <v>EVENTUAL</v>
      </c>
      <c r="BJ1503" t="str">
        <f t="shared" si="760"/>
        <v>1</v>
      </c>
      <c r="BK1503" t="str">
        <f t="shared" si="761"/>
        <v>Farmacia</v>
      </c>
      <c r="BL1503" t="str">
        <f>""</f>
        <v/>
      </c>
      <c r="BM1503" t="str">
        <f>""</f>
        <v/>
      </c>
      <c r="BN1503" t="str">
        <f>""</f>
        <v/>
      </c>
      <c r="BO1503" t="str">
        <f>""</f>
        <v/>
      </c>
      <c r="BP1503" t="str">
        <f>""</f>
        <v/>
      </c>
      <c r="BQ1503" t="str">
        <f>""</f>
        <v/>
      </c>
      <c r="BR1503" t="str">
        <f>"06/07/2023"</f>
        <v>06/07/2023</v>
      </c>
      <c r="BS1503" t="str">
        <f>""</f>
        <v/>
      </c>
      <c r="BT1503" t="str">
        <f>""</f>
        <v/>
      </c>
      <c r="BU1503" t="str">
        <f>""</f>
        <v/>
      </c>
      <c r="BV1503" t="str">
        <f>""</f>
        <v/>
      </c>
      <c r="BW1503" t="str">
        <f>"Não visitado"</f>
        <v>Não visitado</v>
      </c>
    </row>
    <row r="1504" spans="1:75" x14ac:dyDescent="0.35">
      <c r="A1504">
        <v>137733</v>
      </c>
      <c r="B1504" t="str">
        <f t="shared" si="754"/>
        <v>A</v>
      </c>
      <c r="C1504" t="str">
        <f t="shared" si="755"/>
        <v>80</v>
      </c>
      <c r="D1504" t="str">
        <f t="shared" si="746"/>
        <v>11121004</v>
      </c>
      <c r="E1504" t="str">
        <f t="shared" si="747"/>
        <v>121004</v>
      </c>
      <c r="F1504" t="str">
        <f t="shared" si="748"/>
        <v>FABIANA GODOY</v>
      </c>
      <c r="G1504" t="str">
        <f>"31674067000135"</f>
        <v>31674067000135</v>
      </c>
      <c r="H1504" t="str">
        <f t="shared" si="764"/>
        <v>0</v>
      </c>
      <c r="I1504" t="str">
        <f t="shared" si="757"/>
        <v>CONTA OPTICA</v>
      </c>
      <c r="J1504" t="str">
        <f>"NOVA OPTICA EIRELI"</f>
        <v>NOVA OPTICA EIRELI</v>
      </c>
      <c r="K1504" t="str">
        <f>"NOVA OPTICA (3964)"</f>
        <v>NOVA OPTICA (3964)</v>
      </c>
      <c r="L1504" t="str">
        <f>""</f>
        <v/>
      </c>
      <c r="M1504" t="str">
        <f>""</f>
        <v/>
      </c>
      <c r="N1504" t="str">
        <f>""</f>
        <v/>
      </c>
      <c r="O1504" t="str">
        <f>""</f>
        <v/>
      </c>
      <c r="P1504" t="str">
        <f>"AVENIDA RODRIGUES ALVES"</f>
        <v>AVENIDA RODRIGUES ALVES</v>
      </c>
      <c r="Q1504" t="str">
        <f>"18"</f>
        <v>18</v>
      </c>
      <c r="R1504" t="str">
        <f>"SALA07"</f>
        <v>SALA07</v>
      </c>
      <c r="S1504" t="str">
        <f>"1263"</f>
        <v>1263</v>
      </c>
      <c r="T1504" t="str">
        <f>"88350160"</f>
        <v>88350160</v>
      </c>
      <c r="U1504" t="str">
        <f>"CENTRO I"</f>
        <v>CENTRO I</v>
      </c>
      <c r="V1504" t="str">
        <f>"BRUSQUE"</f>
        <v>BRUSQUE</v>
      </c>
      <c r="W1504" t="str">
        <f t="shared" si="744"/>
        <v>SC</v>
      </c>
      <c r="X1504" t="str">
        <f t="shared" ref="X1504:X1524" si="766">"47"</f>
        <v>47</v>
      </c>
      <c r="Y1504" t="str">
        <f>"33086995"</f>
        <v>33086995</v>
      </c>
      <c r="Z1504" t="str">
        <f>""</f>
        <v/>
      </c>
      <c r="AA1504" t="str">
        <f>""</f>
        <v/>
      </c>
      <c r="AB1504" t="str">
        <f>""</f>
        <v/>
      </c>
      <c r="AC1504" t="str">
        <f>""</f>
        <v/>
      </c>
      <c r="AD1504" t="str">
        <f>""</f>
        <v/>
      </c>
      <c r="AE1504" t="str">
        <f>""</f>
        <v/>
      </c>
      <c r="AF1504" t="str">
        <f>""</f>
        <v/>
      </c>
      <c r="AG1504" t="str">
        <f>"S"</f>
        <v>S</v>
      </c>
      <c r="AH1504" t="str">
        <f>""</f>
        <v/>
      </c>
      <c r="AI1504" t="str">
        <f>""</f>
        <v/>
      </c>
      <c r="AJ1504" t="str">
        <f>""</f>
        <v/>
      </c>
      <c r="AK1504" t="str">
        <f>""</f>
        <v/>
      </c>
      <c r="AL1504" t="str">
        <f>""</f>
        <v/>
      </c>
      <c r="AM1504" t="str">
        <f>""</f>
        <v/>
      </c>
      <c r="AN1504" t="str">
        <f>""</f>
        <v/>
      </c>
      <c r="AO1504" t="str">
        <f>""</f>
        <v/>
      </c>
      <c r="AP1504" t="str">
        <f>""</f>
        <v/>
      </c>
      <c r="AQ1504" t="str">
        <f>"N"</f>
        <v>N</v>
      </c>
      <c r="AR1504" t="str">
        <f>"N"</f>
        <v>N</v>
      </c>
      <c r="AS1504" t="str">
        <f>"N"</f>
        <v>N</v>
      </c>
      <c r="AT1504" t="str">
        <f>"N"</f>
        <v>N</v>
      </c>
      <c r="AU1504" t="str">
        <f>"N"</f>
        <v>N</v>
      </c>
      <c r="AV1504" t="str">
        <f>""</f>
        <v/>
      </c>
      <c r="AW1504" t="str">
        <f>""</f>
        <v/>
      </c>
      <c r="AX1504" t="str">
        <f>""</f>
        <v/>
      </c>
      <c r="AY1504" t="str">
        <f>""</f>
        <v/>
      </c>
      <c r="AZ1504" t="str">
        <f>""</f>
        <v/>
      </c>
      <c r="BA1504" t="str">
        <f>""</f>
        <v/>
      </c>
      <c r="BB1504" t="str">
        <f>"01/07/2021 13:53:04"</f>
        <v>01/07/2021 13:53:04</v>
      </c>
      <c r="BC1504" t="str">
        <f>"11/04/2022 17:03:07"</f>
        <v>11/04/2022 17:03:07</v>
      </c>
      <c r="BD1504" t="str">
        <f>""</f>
        <v/>
      </c>
      <c r="BE1504" t="str">
        <f>""</f>
        <v/>
      </c>
      <c r="BF1504" t="str">
        <f t="shared" si="759"/>
        <v>A</v>
      </c>
      <c r="BG1504" t="str">
        <f>""</f>
        <v/>
      </c>
      <c r="BH1504" t="str">
        <f>"0,00"</f>
        <v>0,00</v>
      </c>
      <c r="BI1504" t="str">
        <f t="shared" si="753"/>
        <v>EVENTUAL</v>
      </c>
      <c r="BJ1504" t="str">
        <f t="shared" si="760"/>
        <v>1</v>
      </c>
      <c r="BK1504" t="str">
        <f t="shared" si="761"/>
        <v>Farmacia</v>
      </c>
      <c r="BL1504" t="str">
        <f>""</f>
        <v/>
      </c>
      <c r="BM1504" t="str">
        <f>"NÃO É VARILUX ESPECIALISTA"</f>
        <v>NÃO É VARILUX ESPECIALISTA</v>
      </c>
      <c r="BN1504" t="str">
        <f>"EL360"</f>
        <v>EL360</v>
      </c>
      <c r="BO1504" t="str">
        <f>"OUTROS"</f>
        <v>OUTROS</v>
      </c>
      <c r="BP1504" t="str">
        <f>""</f>
        <v/>
      </c>
      <c r="BQ1504" t="str">
        <f>""</f>
        <v/>
      </c>
      <c r="BR1504" t="str">
        <f>"01/07/2021"</f>
        <v>01/07/2021</v>
      </c>
      <c r="BS1504" t="str">
        <f>"11/04/2022"</f>
        <v>11/04/2022</v>
      </c>
      <c r="BT1504" t="str">
        <f>""</f>
        <v/>
      </c>
      <c r="BU1504" t="str">
        <f>""</f>
        <v/>
      </c>
      <c r="BV1504" t="str">
        <f>""</f>
        <v/>
      </c>
      <c r="BW1504" t="str">
        <f>"282"</f>
        <v>282</v>
      </c>
    </row>
    <row r="1505" spans="1:75" x14ac:dyDescent="0.35">
      <c r="A1505">
        <v>157076</v>
      </c>
      <c r="B1505" t="str">
        <f t="shared" si="754"/>
        <v>A</v>
      </c>
      <c r="C1505" t="str">
        <f t="shared" si="755"/>
        <v>80</v>
      </c>
      <c r="D1505" t="str">
        <f t="shared" si="746"/>
        <v>11121004</v>
      </c>
      <c r="E1505" t="str">
        <f t="shared" si="747"/>
        <v>121004</v>
      </c>
      <c r="F1505" t="str">
        <f t="shared" si="748"/>
        <v>FABIANA GODOY</v>
      </c>
      <c r="G1505" t="str">
        <f>"10738582000161"</f>
        <v>10738582000161</v>
      </c>
      <c r="H1505" t="str">
        <f t="shared" si="764"/>
        <v>0</v>
      </c>
      <c r="I1505" t="str">
        <f t="shared" si="757"/>
        <v>CONTA OPTICA</v>
      </c>
      <c r="J1505" t="str">
        <f>"ONIX RELOJOARIA E OPTICA LTDA ME"</f>
        <v>ONIX RELOJOARIA E OPTICA LTDA ME</v>
      </c>
      <c r="K1505" t="str">
        <f>"ONIX RELOJOARIA E OPTICA LTDA ME (1671)"</f>
        <v>ONIX RELOJOARIA E OPTICA LTDA ME (1671)</v>
      </c>
      <c r="L1505" t="str">
        <f>""</f>
        <v/>
      </c>
      <c r="M1505" t="str">
        <f>""</f>
        <v/>
      </c>
      <c r="N1505" t="str">
        <f>"GISELE@ONIXBR.COM.BR"</f>
        <v>GISELE@ONIXBR.COM.BR</v>
      </c>
      <c r="O1505" t="str">
        <f>""</f>
        <v/>
      </c>
      <c r="P1505" t="str">
        <f>"RUA QUINZE DE NOVEMBRO"</f>
        <v>RUA QUINZE DE NOVEMBRO</v>
      </c>
      <c r="Q1505" t="str">
        <f>"1316"</f>
        <v>1316</v>
      </c>
      <c r="R1505" t="str">
        <f>""</f>
        <v/>
      </c>
      <c r="S1505" t="str">
        <f>"1271"</f>
        <v>1271</v>
      </c>
      <c r="T1505" t="str">
        <f>"89010001"</f>
        <v>89010001</v>
      </c>
      <c r="U1505" t="str">
        <f>"CENTRO"</f>
        <v>CENTRO</v>
      </c>
      <c r="V1505" t="str">
        <f>"BLUMENAU"</f>
        <v>BLUMENAU</v>
      </c>
      <c r="W1505" t="str">
        <f t="shared" si="744"/>
        <v>SC</v>
      </c>
      <c r="X1505" t="str">
        <f t="shared" si="766"/>
        <v>47</v>
      </c>
      <c r="Y1505" t="str">
        <f>"33226482"</f>
        <v>33226482</v>
      </c>
      <c r="Z1505" t="str">
        <f>""</f>
        <v/>
      </c>
      <c r="AA1505" t="str">
        <f>""</f>
        <v/>
      </c>
      <c r="AB1505" t="str">
        <f>""</f>
        <v/>
      </c>
      <c r="AC1505" t="str">
        <f>""</f>
        <v/>
      </c>
      <c r="AD1505" t="str">
        <f>""</f>
        <v/>
      </c>
      <c r="AE1505" t="str">
        <f>""</f>
        <v/>
      </c>
      <c r="AF1505" t="str">
        <f>""</f>
        <v/>
      </c>
      <c r="AG1505" t="str">
        <f>""</f>
        <v/>
      </c>
      <c r="AH1505" t="str">
        <f>""</f>
        <v/>
      </c>
      <c r="AI1505" t="str">
        <f>""</f>
        <v/>
      </c>
      <c r="AJ1505" t="str">
        <f>""</f>
        <v/>
      </c>
      <c r="AK1505" t="str">
        <f>""</f>
        <v/>
      </c>
      <c r="AL1505" t="str">
        <f>""</f>
        <v/>
      </c>
      <c r="AM1505" t="str">
        <f>""</f>
        <v/>
      </c>
      <c r="AN1505" t="str">
        <f>""</f>
        <v/>
      </c>
      <c r="AO1505" t="str">
        <f>""</f>
        <v/>
      </c>
      <c r="AP1505" t="str">
        <f>""</f>
        <v/>
      </c>
      <c r="AQ1505" t="str">
        <f>""</f>
        <v/>
      </c>
      <c r="AR1505" t="str">
        <f>""</f>
        <v/>
      </c>
      <c r="AS1505" t="str">
        <f>""</f>
        <v/>
      </c>
      <c r="AT1505" t="str">
        <f>""</f>
        <v/>
      </c>
      <c r="AU1505" t="str">
        <f>""</f>
        <v/>
      </c>
      <c r="AV1505" t="str">
        <f>""</f>
        <v/>
      </c>
      <c r="AW1505" t="str">
        <f>""</f>
        <v/>
      </c>
      <c r="AX1505" t="str">
        <f>""</f>
        <v/>
      </c>
      <c r="AY1505" t="str">
        <f>""</f>
        <v/>
      </c>
      <c r="AZ1505" t="str">
        <f>""</f>
        <v/>
      </c>
      <c r="BA1505" t="str">
        <f>""</f>
        <v/>
      </c>
      <c r="BB1505" t="str">
        <f>"06/07/2023 12:07:48"</f>
        <v>06/07/2023 12:07:48</v>
      </c>
      <c r="BC1505" t="str">
        <f>""</f>
        <v/>
      </c>
      <c r="BD1505" t="str">
        <f>""</f>
        <v/>
      </c>
      <c r="BE1505" t="str">
        <f>""</f>
        <v/>
      </c>
      <c r="BF1505" t="str">
        <f t="shared" si="759"/>
        <v>A</v>
      </c>
      <c r="BG1505" t="str">
        <f>""</f>
        <v/>
      </c>
      <c r="BH1505" t="str">
        <f>""</f>
        <v/>
      </c>
      <c r="BI1505" t="str">
        <f t="shared" si="753"/>
        <v>EVENTUAL</v>
      </c>
      <c r="BJ1505" t="str">
        <f t="shared" si="760"/>
        <v>1</v>
      </c>
      <c r="BK1505" t="str">
        <f t="shared" si="761"/>
        <v>Farmacia</v>
      </c>
      <c r="BL1505" t="str">
        <f>""</f>
        <v/>
      </c>
      <c r="BM1505" t="str">
        <f>""</f>
        <v/>
      </c>
      <c r="BN1505" t="str">
        <f>""</f>
        <v/>
      </c>
      <c r="BO1505" t="str">
        <f>""</f>
        <v/>
      </c>
      <c r="BP1505" t="str">
        <f>""</f>
        <v/>
      </c>
      <c r="BQ1505" t="str">
        <f>""</f>
        <v/>
      </c>
      <c r="BR1505" t="str">
        <f>"06/07/2023"</f>
        <v>06/07/2023</v>
      </c>
      <c r="BS1505" t="str">
        <f>""</f>
        <v/>
      </c>
      <c r="BT1505" t="str">
        <f>""</f>
        <v/>
      </c>
      <c r="BU1505" t="str">
        <f>""</f>
        <v/>
      </c>
      <c r="BV1505" t="str">
        <f>""</f>
        <v/>
      </c>
      <c r="BW1505" t="str">
        <f>"Não visitado"</f>
        <v>Não visitado</v>
      </c>
    </row>
    <row r="1506" spans="1:75" x14ac:dyDescent="0.35">
      <c r="A1506">
        <v>137736</v>
      </c>
      <c r="B1506" t="str">
        <f t="shared" si="754"/>
        <v>A</v>
      </c>
      <c r="C1506" t="str">
        <f t="shared" si="755"/>
        <v>80</v>
      </c>
      <c r="D1506" t="str">
        <f t="shared" si="746"/>
        <v>11121004</v>
      </c>
      <c r="E1506" t="str">
        <f t="shared" si="747"/>
        <v>121004</v>
      </c>
      <c r="F1506" t="str">
        <f t="shared" si="748"/>
        <v>FABIANA GODOY</v>
      </c>
      <c r="G1506" t="str">
        <f>"20230374000100"</f>
        <v>20230374000100</v>
      </c>
      <c r="H1506" t="str">
        <f t="shared" si="764"/>
        <v>0</v>
      </c>
      <c r="I1506" t="str">
        <f t="shared" si="757"/>
        <v>CONTA OPTICA</v>
      </c>
      <c r="J1506" t="str">
        <f>"ONIX RELOJOARIA E OTICA LTDA ME - ME"</f>
        <v>ONIX RELOJOARIA E OTICA LTDA ME - ME</v>
      </c>
      <c r="K1506" t="str">
        <f>"ONIX RELOJOARIA E OTICA (2223)"</f>
        <v>ONIX RELOJOARIA E OTICA (2223)</v>
      </c>
      <c r="L1506" t="str">
        <f>""</f>
        <v/>
      </c>
      <c r="M1506" t="str">
        <f>""</f>
        <v/>
      </c>
      <c r="N1506" t="str">
        <f>"titajoias@yahoo.com.br"</f>
        <v>titajoias@yahoo.com.br</v>
      </c>
      <c r="O1506" t="str">
        <f>""</f>
        <v/>
      </c>
      <c r="P1506" t="str">
        <f>"RUA QUINTINO BOCAIUVA"</f>
        <v>RUA QUINTINO BOCAIUVA</v>
      </c>
      <c r="Q1506" t="str">
        <f>"75"</f>
        <v>75</v>
      </c>
      <c r="R1506" t="str">
        <f>"SALA 02"</f>
        <v>SALA 02</v>
      </c>
      <c r="S1506" t="str">
        <f>"1275"</f>
        <v>1275</v>
      </c>
      <c r="T1506" t="str">
        <f>"89135000"</f>
        <v>89135000</v>
      </c>
      <c r="U1506" t="str">
        <f>"CENTRO"</f>
        <v>CENTRO</v>
      </c>
      <c r="V1506" t="str">
        <f>"APIUNA"</f>
        <v>APIUNA</v>
      </c>
      <c r="W1506" t="str">
        <f t="shared" si="744"/>
        <v>SC</v>
      </c>
      <c r="X1506" t="str">
        <f t="shared" si="766"/>
        <v>47</v>
      </c>
      <c r="Y1506" t="str">
        <f>"33530003"</f>
        <v>33530003</v>
      </c>
      <c r="Z1506" t="str">
        <f>""</f>
        <v/>
      </c>
      <c r="AA1506" t="str">
        <f>""</f>
        <v/>
      </c>
      <c r="AB1506" t="str">
        <f>""</f>
        <v/>
      </c>
      <c r="AC1506" t="str">
        <f>""</f>
        <v/>
      </c>
      <c r="AD1506" t="str">
        <f>""</f>
        <v/>
      </c>
      <c r="AE1506" t="str">
        <f>""</f>
        <v/>
      </c>
      <c r="AF1506" t="str">
        <f>""</f>
        <v/>
      </c>
      <c r="AG1506" t="str">
        <f>""</f>
        <v/>
      </c>
      <c r="AH1506" t="str">
        <f>""</f>
        <v/>
      </c>
      <c r="AI1506" t="str">
        <f>""</f>
        <v/>
      </c>
      <c r="AJ1506" t="str">
        <f>""</f>
        <v/>
      </c>
      <c r="AK1506" t="str">
        <f>""</f>
        <v/>
      </c>
      <c r="AL1506" t="str">
        <f>""</f>
        <v/>
      </c>
      <c r="AM1506" t="str">
        <f>""</f>
        <v/>
      </c>
      <c r="AN1506" t="str">
        <f>""</f>
        <v/>
      </c>
      <c r="AO1506" t="str">
        <f>""</f>
        <v/>
      </c>
      <c r="AP1506" t="str">
        <f>""</f>
        <v/>
      </c>
      <c r="AQ1506" t="str">
        <f>""</f>
        <v/>
      </c>
      <c r="AR1506" t="str">
        <f>""</f>
        <v/>
      </c>
      <c r="AS1506" t="str">
        <f>""</f>
        <v/>
      </c>
      <c r="AT1506" t="str">
        <f>""</f>
        <v/>
      </c>
      <c r="AU1506" t="str">
        <f>""</f>
        <v/>
      </c>
      <c r="AV1506" t="str">
        <f>""</f>
        <v/>
      </c>
      <c r="AW1506" t="str">
        <f>""</f>
        <v/>
      </c>
      <c r="AX1506" t="str">
        <f>""</f>
        <v/>
      </c>
      <c r="AY1506" t="str">
        <f>""</f>
        <v/>
      </c>
      <c r="AZ1506" t="str">
        <f>""</f>
        <v/>
      </c>
      <c r="BA1506" t="str">
        <f>""</f>
        <v/>
      </c>
      <c r="BB1506" t="str">
        <f>"01/07/2021 13:53:04"</f>
        <v>01/07/2021 13:53:04</v>
      </c>
      <c r="BC1506" t="str">
        <f>""</f>
        <v/>
      </c>
      <c r="BD1506" t="str">
        <f>""</f>
        <v/>
      </c>
      <c r="BE1506" t="str">
        <f>""</f>
        <v/>
      </c>
      <c r="BF1506" t="str">
        <f t="shared" si="759"/>
        <v>A</v>
      </c>
      <c r="BG1506" t="str">
        <f>""</f>
        <v/>
      </c>
      <c r="BH1506" t="str">
        <f>""</f>
        <v/>
      </c>
      <c r="BI1506" t="str">
        <f t="shared" si="753"/>
        <v>EVENTUAL</v>
      </c>
      <c r="BJ1506" t="str">
        <f t="shared" si="760"/>
        <v>1</v>
      </c>
      <c r="BK1506" t="str">
        <f t="shared" si="761"/>
        <v>Farmacia</v>
      </c>
      <c r="BL1506" t="str">
        <f>""</f>
        <v/>
      </c>
      <c r="BM1506" t="str">
        <f>"NÃO É VARILUX ESPECIALISTA"</f>
        <v>NÃO É VARILUX ESPECIALISTA</v>
      </c>
      <c r="BN1506" t="str">
        <f>"EL360"</f>
        <v>EL360</v>
      </c>
      <c r="BO1506" t="str">
        <f>"FOCO VARILUX"</f>
        <v>FOCO VARILUX</v>
      </c>
      <c r="BP1506" t="str">
        <f>""</f>
        <v/>
      </c>
      <c r="BQ1506" t="str">
        <f>""</f>
        <v/>
      </c>
      <c r="BR1506" t="str">
        <f>"01/07/2021"</f>
        <v>01/07/2021</v>
      </c>
      <c r="BS1506" t="str">
        <f>""</f>
        <v/>
      </c>
      <c r="BT1506" t="str">
        <f>""</f>
        <v/>
      </c>
      <c r="BU1506" t="str">
        <f>""</f>
        <v/>
      </c>
      <c r="BV1506" t="str">
        <f>""</f>
        <v/>
      </c>
      <c r="BW1506" t="str">
        <f>"15"</f>
        <v>15</v>
      </c>
    </row>
    <row r="1507" spans="1:75" x14ac:dyDescent="0.35">
      <c r="A1507">
        <v>157058</v>
      </c>
      <c r="B1507" t="str">
        <f t="shared" si="754"/>
        <v>A</v>
      </c>
      <c r="C1507" t="str">
        <f t="shared" si="755"/>
        <v>80</v>
      </c>
      <c r="D1507" t="str">
        <f t="shared" si="746"/>
        <v>11121004</v>
      </c>
      <c r="E1507" t="str">
        <f t="shared" si="747"/>
        <v>121004</v>
      </c>
      <c r="F1507" t="str">
        <f t="shared" si="748"/>
        <v>FABIANA GODOY</v>
      </c>
      <c r="G1507" t="str">
        <f>"46368355000139"</f>
        <v>46368355000139</v>
      </c>
      <c r="H1507" t="str">
        <f t="shared" si="764"/>
        <v>0</v>
      </c>
      <c r="I1507" t="str">
        <f t="shared" si="757"/>
        <v>CONTA OPTICA</v>
      </c>
      <c r="J1507" t="str">
        <f>"OPTICA BELCHIOR LTDA"</f>
        <v>OPTICA BELCHIOR LTDA</v>
      </c>
      <c r="K1507" t="str">
        <f>"OPTICA CONFORTO VISUAL (4522)"</f>
        <v>OPTICA CONFORTO VISUAL (4522)</v>
      </c>
      <c r="L1507" t="str">
        <f>""</f>
        <v/>
      </c>
      <c r="M1507" t="str">
        <f>""</f>
        <v/>
      </c>
      <c r="N1507" t="str">
        <f>"ATENDIMENTO@OPTICACONFORTOVISUAL.COM.BR"</f>
        <v>ATENDIMENTO@OPTICACONFORTOVISUAL.COM.BR</v>
      </c>
      <c r="O1507" t="str">
        <f>""</f>
        <v/>
      </c>
      <c r="P1507" t="str">
        <f>"RUA BONIFACIO HAENDCHEN LADO PAR"</f>
        <v>RUA BONIFACIO HAENDCHEN LADO PAR</v>
      </c>
      <c r="Q1507" t="str">
        <f>"1220"</f>
        <v>1220</v>
      </c>
      <c r="R1507" t="str">
        <f>"SALA 2"</f>
        <v>SALA 2</v>
      </c>
      <c r="S1507" t="str">
        <f>""</f>
        <v/>
      </c>
      <c r="T1507" t="str">
        <f>"89117770"</f>
        <v>89117770</v>
      </c>
      <c r="U1507" t="str">
        <f>"BELCHIOR ALTO"</f>
        <v>BELCHIOR ALTO</v>
      </c>
      <c r="V1507" t="str">
        <f>"GASPAR"</f>
        <v>GASPAR</v>
      </c>
      <c r="W1507" t="str">
        <f t="shared" si="744"/>
        <v>SC</v>
      </c>
      <c r="X1507" t="str">
        <f t="shared" si="766"/>
        <v>47</v>
      </c>
      <c r="Y1507" t="str">
        <f>"33801663"</f>
        <v>33801663</v>
      </c>
      <c r="Z1507" t="str">
        <f>""</f>
        <v/>
      </c>
      <c r="AA1507" t="str">
        <f>""</f>
        <v/>
      </c>
      <c r="AB1507" t="str">
        <f>""</f>
        <v/>
      </c>
      <c r="AC1507" t="str">
        <f>""</f>
        <v/>
      </c>
      <c r="AD1507" t="str">
        <f>""</f>
        <v/>
      </c>
      <c r="AE1507" t="str">
        <f>""</f>
        <v/>
      </c>
      <c r="AF1507" t="str">
        <f>""</f>
        <v/>
      </c>
      <c r="AG1507" t="str">
        <f>""</f>
        <v/>
      </c>
      <c r="AH1507" t="str">
        <f>""</f>
        <v/>
      </c>
      <c r="AI1507" t="str">
        <f>""</f>
        <v/>
      </c>
      <c r="AJ1507" t="str">
        <f>""</f>
        <v/>
      </c>
      <c r="AK1507" t="str">
        <f>""</f>
        <v/>
      </c>
      <c r="AL1507" t="str">
        <f>""</f>
        <v/>
      </c>
      <c r="AM1507" t="str">
        <f>""</f>
        <v/>
      </c>
      <c r="AN1507" t="str">
        <f>""</f>
        <v/>
      </c>
      <c r="AO1507" t="str">
        <f>""</f>
        <v/>
      </c>
      <c r="AP1507" t="str">
        <f>""</f>
        <v/>
      </c>
      <c r="AQ1507" t="str">
        <f>""</f>
        <v/>
      </c>
      <c r="AR1507" t="str">
        <f>""</f>
        <v/>
      </c>
      <c r="AS1507" t="str">
        <f>""</f>
        <v/>
      </c>
      <c r="AT1507" t="str">
        <f>""</f>
        <v/>
      </c>
      <c r="AU1507" t="str">
        <f>""</f>
        <v/>
      </c>
      <c r="AV1507" t="str">
        <f>""</f>
        <v/>
      </c>
      <c r="AW1507" t="str">
        <f>""</f>
        <v/>
      </c>
      <c r="AX1507" t="str">
        <f>""</f>
        <v/>
      </c>
      <c r="AY1507" t="str">
        <f>""</f>
        <v/>
      </c>
      <c r="AZ1507" t="str">
        <f>""</f>
        <v/>
      </c>
      <c r="BA1507" t="str">
        <f>""</f>
        <v/>
      </c>
      <c r="BB1507" t="str">
        <f>"06/07/2023 12:07:48"</f>
        <v>06/07/2023 12:07:48</v>
      </c>
      <c r="BC1507" t="str">
        <f>""</f>
        <v/>
      </c>
      <c r="BD1507" t="str">
        <f>""</f>
        <v/>
      </c>
      <c r="BE1507" t="str">
        <f>""</f>
        <v/>
      </c>
      <c r="BF1507" t="str">
        <f t="shared" si="759"/>
        <v>A</v>
      </c>
      <c r="BG1507" t="str">
        <f>""</f>
        <v/>
      </c>
      <c r="BH1507" t="str">
        <f>""</f>
        <v/>
      </c>
      <c r="BI1507" t="str">
        <f t="shared" si="753"/>
        <v>EVENTUAL</v>
      </c>
      <c r="BJ1507" t="str">
        <f t="shared" si="760"/>
        <v>1</v>
      </c>
      <c r="BK1507" t="str">
        <f t="shared" si="761"/>
        <v>Farmacia</v>
      </c>
      <c r="BL1507" t="str">
        <f>""</f>
        <v/>
      </c>
      <c r="BM1507" t="str">
        <f>""</f>
        <v/>
      </c>
      <c r="BN1507" t="str">
        <f>""</f>
        <v/>
      </c>
      <c r="BO1507" t="str">
        <f>""</f>
        <v/>
      </c>
      <c r="BP1507" t="str">
        <f>""</f>
        <v/>
      </c>
      <c r="BQ1507" t="str">
        <f>""</f>
        <v/>
      </c>
      <c r="BR1507" t="str">
        <f>"06/07/2023"</f>
        <v>06/07/2023</v>
      </c>
      <c r="BS1507" t="str">
        <f>""</f>
        <v/>
      </c>
      <c r="BT1507" t="str">
        <f>""</f>
        <v/>
      </c>
      <c r="BU1507" t="str">
        <f>""</f>
        <v/>
      </c>
      <c r="BV1507" t="str">
        <f>""</f>
        <v/>
      </c>
      <c r="BW1507" t="str">
        <f>"Não visitado"</f>
        <v>Não visitado</v>
      </c>
    </row>
    <row r="1508" spans="1:75" x14ac:dyDescent="0.35">
      <c r="A1508">
        <v>137737</v>
      </c>
      <c r="B1508" t="str">
        <f t="shared" si="754"/>
        <v>A</v>
      </c>
      <c r="C1508" t="str">
        <f t="shared" si="755"/>
        <v>80</v>
      </c>
      <c r="D1508" t="str">
        <f t="shared" si="746"/>
        <v>11121004</v>
      </c>
      <c r="E1508" t="str">
        <f t="shared" si="747"/>
        <v>121004</v>
      </c>
      <c r="F1508" t="str">
        <f t="shared" si="748"/>
        <v>FABIANA GODOY</v>
      </c>
      <c r="G1508" t="str">
        <f>"40866037000111"</f>
        <v>40866037000111</v>
      </c>
      <c r="H1508" t="str">
        <f t="shared" si="764"/>
        <v>0</v>
      </c>
      <c r="I1508" t="str">
        <f t="shared" si="757"/>
        <v>CONTA OPTICA</v>
      </c>
      <c r="J1508" t="str">
        <f>"OPTICA BERLUTTO LTDA"</f>
        <v>OPTICA BERLUTTO LTDA</v>
      </c>
      <c r="K1508" t="str">
        <f>"OPTICA BERLUTTO (4275)"</f>
        <v>OPTICA BERLUTTO (4275)</v>
      </c>
      <c r="L1508" t="str">
        <f>""</f>
        <v/>
      </c>
      <c r="M1508" t="str">
        <f>""</f>
        <v/>
      </c>
      <c r="N1508" t="str">
        <f>"OPTICABERLUTTO@GMAIL.COM"</f>
        <v>OPTICABERLUTTO@GMAIL.COM</v>
      </c>
      <c r="O1508" t="str">
        <f>""</f>
        <v/>
      </c>
      <c r="P1508" t="str">
        <f>"RUA DOUTOR PEDRO ZIMMERMANN"</f>
        <v>RUA DOUTOR PEDRO ZIMMERMANN</v>
      </c>
      <c r="Q1508" t="str">
        <f>"7094"</f>
        <v>7094</v>
      </c>
      <c r="R1508" t="str">
        <f>"SALA 03"</f>
        <v>SALA 03</v>
      </c>
      <c r="S1508" t="str">
        <f>"1273"</f>
        <v>1273</v>
      </c>
      <c r="T1508" t="str">
        <f>"89068001"</f>
        <v>89068001</v>
      </c>
      <c r="U1508" t="str">
        <f>"ITOUPAVA CENTRAL"</f>
        <v>ITOUPAVA CENTRAL</v>
      </c>
      <c r="V1508" t="str">
        <f>"BLUMENAU"</f>
        <v>BLUMENAU</v>
      </c>
      <c r="W1508" t="str">
        <f t="shared" si="744"/>
        <v>SC</v>
      </c>
      <c r="X1508" t="str">
        <f t="shared" si="766"/>
        <v>47</v>
      </c>
      <c r="Y1508" t="str">
        <f>"33257626"</f>
        <v>33257626</v>
      </c>
      <c r="Z1508" t="str">
        <f>""</f>
        <v/>
      </c>
      <c r="AA1508" t="str">
        <f>""</f>
        <v/>
      </c>
      <c r="AB1508" t="str">
        <f>""</f>
        <v/>
      </c>
      <c r="AC1508" t="str">
        <f>""</f>
        <v/>
      </c>
      <c r="AD1508" t="str">
        <f>""</f>
        <v/>
      </c>
      <c r="AE1508" t="str">
        <f>""</f>
        <v/>
      </c>
      <c r="AF1508" t="str">
        <f>""</f>
        <v/>
      </c>
      <c r="AG1508" t="str">
        <f>"S"</f>
        <v>S</v>
      </c>
      <c r="AH1508" t="str">
        <f>""</f>
        <v/>
      </c>
      <c r="AI1508" t="str">
        <f>""</f>
        <v/>
      </c>
      <c r="AJ1508" t="str">
        <f>""</f>
        <v/>
      </c>
      <c r="AK1508" t="str">
        <f>""</f>
        <v/>
      </c>
      <c r="AL1508" t="str">
        <f>""</f>
        <v/>
      </c>
      <c r="AM1508" t="str">
        <f>""</f>
        <v/>
      </c>
      <c r="AN1508" t="str">
        <f>""</f>
        <v/>
      </c>
      <c r="AO1508" t="str">
        <f>""</f>
        <v/>
      </c>
      <c r="AP1508" t="str">
        <f>""</f>
        <v/>
      </c>
      <c r="AQ1508" t="str">
        <f t="shared" ref="AQ1508:AU1509" si="767">"N"</f>
        <v>N</v>
      </c>
      <c r="AR1508" t="str">
        <f t="shared" si="767"/>
        <v>N</v>
      </c>
      <c r="AS1508" t="str">
        <f t="shared" si="767"/>
        <v>N</v>
      </c>
      <c r="AT1508" t="str">
        <f t="shared" si="767"/>
        <v>N</v>
      </c>
      <c r="AU1508" t="str">
        <f t="shared" si="767"/>
        <v>N</v>
      </c>
      <c r="AV1508" t="str">
        <f>""</f>
        <v/>
      </c>
      <c r="AW1508" t="str">
        <f>""</f>
        <v/>
      </c>
      <c r="AX1508" t="str">
        <f>""</f>
        <v/>
      </c>
      <c r="AY1508" t="str">
        <f>""</f>
        <v/>
      </c>
      <c r="AZ1508" t="str">
        <f>""</f>
        <v/>
      </c>
      <c r="BA1508" t="str">
        <f>""</f>
        <v/>
      </c>
      <c r="BB1508" t="str">
        <f>"01/07/2021 13:53:04"</f>
        <v>01/07/2021 13:53:04</v>
      </c>
      <c r="BC1508" t="str">
        <f>"10/03/2022 16:19:19"</f>
        <v>10/03/2022 16:19:19</v>
      </c>
      <c r="BD1508" t="str">
        <f>""</f>
        <v/>
      </c>
      <c r="BE1508" t="str">
        <f>""</f>
        <v/>
      </c>
      <c r="BF1508" t="str">
        <f t="shared" si="759"/>
        <v>A</v>
      </c>
      <c r="BG1508" t="str">
        <f>""</f>
        <v/>
      </c>
      <c r="BH1508" t="str">
        <f>"0,00"</f>
        <v>0,00</v>
      </c>
      <c r="BI1508" t="str">
        <f t="shared" si="753"/>
        <v>EVENTUAL</v>
      </c>
      <c r="BJ1508" t="str">
        <f t="shared" si="760"/>
        <v>1</v>
      </c>
      <c r="BK1508" t="str">
        <f t="shared" si="761"/>
        <v>Farmacia</v>
      </c>
      <c r="BL1508" t="str">
        <f>""</f>
        <v/>
      </c>
      <c r="BM1508" t="str">
        <f>"NÃO É VARILUX ESPECIALISTA"</f>
        <v>NÃO É VARILUX ESPECIALISTA</v>
      </c>
      <c r="BN1508" t="str">
        <f>"NA"</f>
        <v>NA</v>
      </c>
      <c r="BO1508" t="str">
        <f>""</f>
        <v/>
      </c>
      <c r="BP1508" t="str">
        <f>""</f>
        <v/>
      </c>
      <c r="BQ1508" t="str">
        <f>""</f>
        <v/>
      </c>
      <c r="BR1508" t="str">
        <f>"01/07/2021"</f>
        <v>01/07/2021</v>
      </c>
      <c r="BS1508" t="str">
        <f>"10/03/2022"</f>
        <v>10/03/2022</v>
      </c>
      <c r="BT1508" t="str">
        <f>""</f>
        <v/>
      </c>
      <c r="BU1508" t="str">
        <f>""</f>
        <v/>
      </c>
      <c r="BV1508" t="str">
        <f>""</f>
        <v/>
      </c>
      <c r="BW1508" t="str">
        <f>"25"</f>
        <v>25</v>
      </c>
    </row>
    <row r="1509" spans="1:75" x14ac:dyDescent="0.35">
      <c r="A1509">
        <v>157041</v>
      </c>
      <c r="B1509" t="str">
        <f t="shared" si="754"/>
        <v>A</v>
      </c>
      <c r="C1509" t="str">
        <f t="shared" si="755"/>
        <v>80</v>
      </c>
      <c r="D1509" t="str">
        <f t="shared" si="746"/>
        <v>11121004</v>
      </c>
      <c r="E1509" t="str">
        <f t="shared" si="747"/>
        <v>121004</v>
      </c>
      <c r="F1509" t="str">
        <f t="shared" si="748"/>
        <v>FABIANA GODOY</v>
      </c>
      <c r="G1509" t="str">
        <f>"50792321000144"</f>
        <v>50792321000144</v>
      </c>
      <c r="H1509" t="str">
        <f t="shared" si="764"/>
        <v>0</v>
      </c>
      <c r="I1509" t="str">
        <f t="shared" si="757"/>
        <v>CONTA OPTICA</v>
      </c>
      <c r="J1509" t="str">
        <f>"OPTICA BITTENCOURT LTDA."</f>
        <v>OPTICA BITTENCOURT LTDA.</v>
      </c>
      <c r="K1509" t="str">
        <f>"OPTICA BITTENCOURT (4714)"</f>
        <v>OPTICA BITTENCOURT (4714)</v>
      </c>
      <c r="L1509" t="str">
        <f>""</f>
        <v/>
      </c>
      <c r="M1509" t="str">
        <f>""</f>
        <v/>
      </c>
      <c r="N1509" t="str">
        <f>"OTICABITTENCOURT@GMAIL.COM"</f>
        <v>OTICABITTENCOURT@GMAIL.COM</v>
      </c>
      <c r="O1509" t="str">
        <f>""</f>
        <v/>
      </c>
      <c r="P1509" t="str">
        <f>"RUA ALMIRANTE BARROSO"</f>
        <v>RUA ALMIRANTE BARROSO</v>
      </c>
      <c r="Q1509" t="str">
        <f>"1399"</f>
        <v>1399</v>
      </c>
      <c r="R1509" t="str">
        <f>"SALA 04"</f>
        <v>SALA 04</v>
      </c>
      <c r="S1509" t="str">
        <f>"1273"</f>
        <v>1273</v>
      </c>
      <c r="T1509" t="str">
        <f>"89035402"</f>
        <v>89035402</v>
      </c>
      <c r="U1509" t="str">
        <f>"VILA NOVA"</f>
        <v>VILA NOVA</v>
      </c>
      <c r="V1509" t="str">
        <f>"BLUMENAU"</f>
        <v>BLUMENAU</v>
      </c>
      <c r="W1509" t="str">
        <f t="shared" si="744"/>
        <v>SC</v>
      </c>
      <c r="X1509" t="str">
        <f t="shared" si="766"/>
        <v>47</v>
      </c>
      <c r="Y1509" t="str">
        <f>"30376232"</f>
        <v>30376232</v>
      </c>
      <c r="Z1509" t="str">
        <f>""</f>
        <v/>
      </c>
      <c r="AA1509" t="str">
        <f>""</f>
        <v/>
      </c>
      <c r="AB1509" t="str">
        <f>""</f>
        <v/>
      </c>
      <c r="AC1509" t="str">
        <f>""</f>
        <v/>
      </c>
      <c r="AD1509" t="str">
        <f>""</f>
        <v/>
      </c>
      <c r="AE1509" t="str">
        <f>""</f>
        <v/>
      </c>
      <c r="AF1509" t="str">
        <f>""</f>
        <v/>
      </c>
      <c r="AG1509" t="str">
        <f>"S"</f>
        <v>S</v>
      </c>
      <c r="AH1509" t="str">
        <f>""</f>
        <v/>
      </c>
      <c r="AI1509" t="str">
        <f>""</f>
        <v/>
      </c>
      <c r="AJ1509" t="str">
        <f>""</f>
        <v/>
      </c>
      <c r="AK1509" t="str">
        <f>""</f>
        <v/>
      </c>
      <c r="AL1509" t="str">
        <f>""</f>
        <v/>
      </c>
      <c r="AM1509" t="str">
        <f>""</f>
        <v/>
      </c>
      <c r="AN1509" t="str">
        <f>""</f>
        <v/>
      </c>
      <c r="AO1509" t="str">
        <f>""</f>
        <v/>
      </c>
      <c r="AP1509" t="str">
        <f>""</f>
        <v/>
      </c>
      <c r="AQ1509" t="str">
        <f t="shared" si="767"/>
        <v>N</v>
      </c>
      <c r="AR1509" t="str">
        <f t="shared" si="767"/>
        <v>N</v>
      </c>
      <c r="AS1509" t="str">
        <f t="shared" si="767"/>
        <v>N</v>
      </c>
      <c r="AT1509" t="str">
        <f t="shared" si="767"/>
        <v>N</v>
      </c>
      <c r="AU1509" t="str">
        <f t="shared" si="767"/>
        <v>N</v>
      </c>
      <c r="AV1509" t="str">
        <f>""</f>
        <v/>
      </c>
      <c r="AW1509" t="str">
        <f>""</f>
        <v/>
      </c>
      <c r="AX1509" t="str">
        <f>""</f>
        <v/>
      </c>
      <c r="AY1509" t="str">
        <f>""</f>
        <v/>
      </c>
      <c r="AZ1509" t="str">
        <f>""</f>
        <v/>
      </c>
      <c r="BA1509" t="str">
        <f>""</f>
        <v/>
      </c>
      <c r="BB1509" t="str">
        <f>"06/07/2023 12:07:48"</f>
        <v>06/07/2023 12:07:48</v>
      </c>
      <c r="BC1509" t="str">
        <f>"10/07/2023 10:29:30"</f>
        <v>10/07/2023 10:29:30</v>
      </c>
      <c r="BD1509" t="str">
        <f>""</f>
        <v/>
      </c>
      <c r="BE1509" t="str">
        <f>""</f>
        <v/>
      </c>
      <c r="BF1509" t="str">
        <f t="shared" si="759"/>
        <v>A</v>
      </c>
      <c r="BG1509" t="str">
        <f>""</f>
        <v/>
      </c>
      <c r="BH1509" t="str">
        <f>"0,00"</f>
        <v>0,00</v>
      </c>
      <c r="BI1509" t="str">
        <f t="shared" si="753"/>
        <v>EVENTUAL</v>
      </c>
      <c r="BJ1509" t="str">
        <f t="shared" si="760"/>
        <v>1</v>
      </c>
      <c r="BK1509" t="str">
        <f t="shared" si="761"/>
        <v>Farmacia</v>
      </c>
      <c r="BL1509" t="str">
        <f>""</f>
        <v/>
      </c>
      <c r="BM1509" t="str">
        <f>""</f>
        <v/>
      </c>
      <c r="BN1509" t="str">
        <f>""</f>
        <v/>
      </c>
      <c r="BO1509" t="str">
        <f>""</f>
        <v/>
      </c>
      <c r="BP1509" t="str">
        <f>""</f>
        <v/>
      </c>
      <c r="BQ1509" t="str">
        <f>""</f>
        <v/>
      </c>
      <c r="BR1509" t="str">
        <f>"06/07/2023"</f>
        <v>06/07/2023</v>
      </c>
      <c r="BS1509" t="str">
        <f>"10/07/2023"</f>
        <v>10/07/2023</v>
      </c>
      <c r="BT1509" t="str">
        <f>""</f>
        <v/>
      </c>
      <c r="BU1509" t="str">
        <f>""</f>
        <v/>
      </c>
      <c r="BV1509" t="str">
        <f>""</f>
        <v/>
      </c>
      <c r="BW1509" t="str">
        <f>"25"</f>
        <v>25</v>
      </c>
    </row>
    <row r="1510" spans="1:75" x14ac:dyDescent="0.35">
      <c r="A1510">
        <v>158712</v>
      </c>
      <c r="B1510" t="str">
        <f t="shared" si="754"/>
        <v>A</v>
      </c>
      <c r="C1510" t="str">
        <f t="shared" si="755"/>
        <v>80</v>
      </c>
      <c r="D1510" t="str">
        <f t="shared" si="746"/>
        <v>11121004</v>
      </c>
      <c r="E1510" t="str">
        <f t="shared" si="747"/>
        <v>121004</v>
      </c>
      <c r="F1510" t="str">
        <f t="shared" si="748"/>
        <v>FABIANA GODOY</v>
      </c>
      <c r="G1510" t="str">
        <f>"51092052000176"</f>
        <v>51092052000176</v>
      </c>
      <c r="H1510" t="str">
        <f>""</f>
        <v/>
      </c>
      <c r="I1510" t="str">
        <f t="shared" si="757"/>
        <v>CONTA OPTICA</v>
      </c>
      <c r="J1510" t="str">
        <f>"OPTICA BLICK INDAIAL LTDA"</f>
        <v>OPTICA BLICK INDAIAL LTDA</v>
      </c>
      <c r="K1510" t="str">
        <f>"OTICA EVIDENCE (4747)"</f>
        <v>OTICA EVIDENCE (4747)</v>
      </c>
      <c r="L1510" t="str">
        <f>""</f>
        <v/>
      </c>
      <c r="M1510" t="str">
        <f>""</f>
        <v/>
      </c>
      <c r="N1510" t="str">
        <f>"OTICAMOMM.ADM@GMAIL.COM"</f>
        <v>OTICAMOMM.ADM@GMAIL.COM</v>
      </c>
      <c r="O1510" t="str">
        <f>""</f>
        <v/>
      </c>
      <c r="P1510" t="str">
        <f>"MARIA SIMAO"</f>
        <v>MARIA SIMAO</v>
      </c>
      <c r="Q1510" t="str">
        <f>"15"</f>
        <v>15</v>
      </c>
      <c r="R1510" t="str">
        <f>"SALA 01"</f>
        <v>SALA 01</v>
      </c>
      <c r="S1510" t="str">
        <f>""</f>
        <v/>
      </c>
      <c r="T1510" t="str">
        <f>"89082115"</f>
        <v>89082115</v>
      </c>
      <c r="U1510" t="str">
        <f>"DAS NACOES"</f>
        <v>DAS NACOES</v>
      </c>
      <c r="V1510" t="str">
        <f>"INDAIAL"</f>
        <v>INDAIAL</v>
      </c>
      <c r="W1510" t="str">
        <f t="shared" si="744"/>
        <v>SC</v>
      </c>
      <c r="X1510" t="str">
        <f t="shared" si="766"/>
        <v>47</v>
      </c>
      <c r="Y1510" t="str">
        <f>"33940989"</f>
        <v>33940989</v>
      </c>
      <c r="Z1510" t="str">
        <f>""</f>
        <v/>
      </c>
      <c r="AA1510" t="str">
        <f>""</f>
        <v/>
      </c>
      <c r="AB1510" t="str">
        <f>""</f>
        <v/>
      </c>
      <c r="AC1510" t="str">
        <f>""</f>
        <v/>
      </c>
      <c r="AD1510" t="str">
        <f>""</f>
        <v/>
      </c>
      <c r="AE1510" t="str">
        <f>""</f>
        <v/>
      </c>
      <c r="AF1510" t="str">
        <f>""</f>
        <v/>
      </c>
      <c r="AG1510" t="str">
        <f>""</f>
        <v/>
      </c>
      <c r="AH1510" t="str">
        <f>""</f>
        <v/>
      </c>
      <c r="AI1510" t="str">
        <f>""</f>
        <v/>
      </c>
      <c r="AJ1510" t="str">
        <f>""</f>
        <v/>
      </c>
      <c r="AK1510" t="str">
        <f>""</f>
        <v/>
      </c>
      <c r="AL1510" t="str">
        <f>""</f>
        <v/>
      </c>
      <c r="AM1510" t="str">
        <f>""</f>
        <v/>
      </c>
      <c r="AN1510" t="str">
        <f>""</f>
        <v/>
      </c>
      <c r="AO1510" t="str">
        <f>""</f>
        <v/>
      </c>
      <c r="AP1510" t="str">
        <f>""</f>
        <v/>
      </c>
      <c r="AQ1510" t="str">
        <f>""</f>
        <v/>
      </c>
      <c r="AR1510" t="str">
        <f>""</f>
        <v/>
      </c>
      <c r="AS1510" t="str">
        <f>""</f>
        <v/>
      </c>
      <c r="AT1510" t="str">
        <f>""</f>
        <v/>
      </c>
      <c r="AU1510" t="str">
        <f>""</f>
        <v/>
      </c>
      <c r="AV1510" t="str">
        <f>""</f>
        <v/>
      </c>
      <c r="AW1510" t="str">
        <f>""</f>
        <v/>
      </c>
      <c r="AX1510" t="str">
        <f>""</f>
        <v/>
      </c>
      <c r="AY1510" t="str">
        <f>""</f>
        <v/>
      </c>
      <c r="AZ1510" t="str">
        <f>""</f>
        <v/>
      </c>
      <c r="BA1510" t="str">
        <f>""</f>
        <v/>
      </c>
      <c r="BB1510" t="str">
        <f>"17/08/2023 16:48:06"</f>
        <v>17/08/2023 16:48:06</v>
      </c>
      <c r="BC1510" t="str">
        <f>""</f>
        <v/>
      </c>
      <c r="BD1510" t="str">
        <f>""</f>
        <v/>
      </c>
      <c r="BE1510" t="str">
        <f>""</f>
        <v/>
      </c>
      <c r="BF1510" t="str">
        <f t="shared" si="759"/>
        <v>A</v>
      </c>
      <c r="BG1510" t="str">
        <f>""</f>
        <v/>
      </c>
      <c r="BH1510" t="str">
        <f>""</f>
        <v/>
      </c>
      <c r="BI1510" t="str">
        <f t="shared" si="753"/>
        <v>EVENTUAL</v>
      </c>
      <c r="BJ1510" t="str">
        <f t="shared" si="760"/>
        <v>1</v>
      </c>
      <c r="BK1510" t="str">
        <f t="shared" si="761"/>
        <v>Farmacia</v>
      </c>
      <c r="BL1510" t="str">
        <f>""</f>
        <v/>
      </c>
      <c r="BM1510" t="str">
        <f>""</f>
        <v/>
      </c>
      <c r="BN1510" t="str">
        <f>""</f>
        <v/>
      </c>
      <c r="BO1510" t="str">
        <f>""</f>
        <v/>
      </c>
      <c r="BP1510" t="str">
        <f>""</f>
        <v/>
      </c>
      <c r="BQ1510" t="str">
        <f>""</f>
        <v/>
      </c>
      <c r="BR1510" t="str">
        <f>"17/08/2023"</f>
        <v>17/08/2023</v>
      </c>
      <c r="BS1510" t="str">
        <f>""</f>
        <v/>
      </c>
      <c r="BT1510" t="str">
        <f>""</f>
        <v/>
      </c>
      <c r="BU1510" t="str">
        <f>""</f>
        <v/>
      </c>
      <c r="BV1510" t="str">
        <f>""</f>
        <v/>
      </c>
      <c r="BW1510" t="str">
        <f>"Não visitado"</f>
        <v>Não visitado</v>
      </c>
    </row>
    <row r="1511" spans="1:75" x14ac:dyDescent="0.35">
      <c r="A1511">
        <v>137738</v>
      </c>
      <c r="B1511" t="str">
        <f t="shared" si="754"/>
        <v>A</v>
      </c>
      <c r="C1511" t="str">
        <f t="shared" si="755"/>
        <v>80</v>
      </c>
      <c r="D1511" t="str">
        <f t="shared" si="746"/>
        <v>11121004</v>
      </c>
      <c r="E1511" t="str">
        <f t="shared" si="747"/>
        <v>121004</v>
      </c>
      <c r="F1511" t="str">
        <f t="shared" si="748"/>
        <v>FABIANA GODOY</v>
      </c>
      <c r="G1511" t="str">
        <f>"11739302000100"</f>
        <v>11739302000100</v>
      </c>
      <c r="H1511" t="str">
        <f>"0"</f>
        <v>0</v>
      </c>
      <c r="I1511" t="str">
        <f t="shared" si="757"/>
        <v>CONTA OPTICA</v>
      </c>
      <c r="J1511" t="str">
        <f>"OPTICA BLICK LTDA EPP"</f>
        <v>OPTICA BLICK LTDA EPP</v>
      </c>
      <c r="K1511" t="str">
        <f>"OPTICA BLICK (1742)"</f>
        <v>OPTICA BLICK (1742)</v>
      </c>
      <c r="L1511" t="str">
        <f>""</f>
        <v/>
      </c>
      <c r="M1511" t="str">
        <f>""</f>
        <v/>
      </c>
      <c r="N1511" t="str">
        <f>"joao.momm@gmail.com"</f>
        <v>joao.momm@gmail.com</v>
      </c>
      <c r="O1511" t="str">
        <f>""</f>
        <v/>
      </c>
      <c r="P1511" t="str">
        <f>"RUA HERMANN WEEGE"</f>
        <v>RUA HERMANN WEEGE</v>
      </c>
      <c r="Q1511" t="str">
        <f>"2689"</f>
        <v>2689</v>
      </c>
      <c r="R1511" t="str">
        <f>"SL 03"</f>
        <v>SL 03</v>
      </c>
      <c r="S1511" t="str">
        <f>"1273"</f>
        <v>1273</v>
      </c>
      <c r="T1511" t="str">
        <f>"89107000"</f>
        <v>89107000</v>
      </c>
      <c r="U1511" t="str">
        <f>"CENTRO"</f>
        <v>CENTRO</v>
      </c>
      <c r="V1511" t="str">
        <f>"POMERODE"</f>
        <v>POMERODE</v>
      </c>
      <c r="W1511" t="str">
        <f t="shared" si="744"/>
        <v>SC</v>
      </c>
      <c r="X1511" t="str">
        <f t="shared" si="766"/>
        <v>47</v>
      </c>
      <c r="Y1511" t="str">
        <f>"33872313"</f>
        <v>33872313</v>
      </c>
      <c r="Z1511" t="str">
        <f>""</f>
        <v/>
      </c>
      <c r="AA1511" t="str">
        <f>""</f>
        <v/>
      </c>
      <c r="AB1511" t="str">
        <f>""</f>
        <v/>
      </c>
      <c r="AC1511" t="str">
        <f>""</f>
        <v/>
      </c>
      <c r="AD1511" t="str">
        <f>""</f>
        <v/>
      </c>
      <c r="AE1511" t="str">
        <f>""</f>
        <v/>
      </c>
      <c r="AF1511" t="str">
        <f>""</f>
        <v/>
      </c>
      <c r="AG1511" t="str">
        <f>"S"</f>
        <v>S</v>
      </c>
      <c r="AH1511" t="str">
        <f>""</f>
        <v/>
      </c>
      <c r="AI1511" t="str">
        <f>""</f>
        <v/>
      </c>
      <c r="AJ1511" t="str">
        <f>""</f>
        <v/>
      </c>
      <c r="AK1511" t="str">
        <f>""</f>
        <v/>
      </c>
      <c r="AL1511" t="str">
        <f>""</f>
        <v/>
      </c>
      <c r="AM1511" t="str">
        <f>""</f>
        <v/>
      </c>
      <c r="AN1511" t="str">
        <f>""</f>
        <v/>
      </c>
      <c r="AO1511" t="str">
        <f>""</f>
        <v/>
      </c>
      <c r="AP1511" t="str">
        <f>""</f>
        <v/>
      </c>
      <c r="AQ1511" t="str">
        <f>"N"</f>
        <v>N</v>
      </c>
      <c r="AR1511" t="str">
        <f>"N"</f>
        <v>N</v>
      </c>
      <c r="AS1511" t="str">
        <f>"N"</f>
        <v>N</v>
      </c>
      <c r="AT1511" t="str">
        <f>"N"</f>
        <v>N</v>
      </c>
      <c r="AU1511" t="str">
        <f>"N"</f>
        <v>N</v>
      </c>
      <c r="AV1511" t="str">
        <f>""</f>
        <v/>
      </c>
      <c r="AW1511" t="str">
        <f>""</f>
        <v/>
      </c>
      <c r="AX1511" t="str">
        <f>""</f>
        <v/>
      </c>
      <c r="AY1511" t="str">
        <f>""</f>
        <v/>
      </c>
      <c r="AZ1511" t="str">
        <f>""</f>
        <v/>
      </c>
      <c r="BA1511" t="str">
        <f>""</f>
        <v/>
      </c>
      <c r="BB1511" t="str">
        <f>"01/07/2021 13:53:04"</f>
        <v>01/07/2021 13:53:04</v>
      </c>
      <c r="BC1511" t="str">
        <f>"07/07/2023 14:27:59"</f>
        <v>07/07/2023 14:27:59</v>
      </c>
      <c r="BD1511" t="str">
        <f>""</f>
        <v/>
      </c>
      <c r="BE1511" t="str">
        <f>""</f>
        <v/>
      </c>
      <c r="BF1511" t="str">
        <f t="shared" si="759"/>
        <v>A</v>
      </c>
      <c r="BG1511" t="str">
        <f>""</f>
        <v/>
      </c>
      <c r="BH1511" t="str">
        <f>"0,00"</f>
        <v>0,00</v>
      </c>
      <c r="BI1511" t="str">
        <f t="shared" si="753"/>
        <v>EVENTUAL</v>
      </c>
      <c r="BJ1511" t="str">
        <f t="shared" si="760"/>
        <v>1</v>
      </c>
      <c r="BK1511" t="str">
        <f t="shared" si="761"/>
        <v>Farmacia</v>
      </c>
      <c r="BL1511" t="str">
        <f>""</f>
        <v/>
      </c>
      <c r="BM1511" t="str">
        <f>"VARILUX ESPECIALISTA SELECT"</f>
        <v>VARILUX ESPECIALISTA SELECT</v>
      </c>
      <c r="BN1511" t="str">
        <f>"NA"</f>
        <v>NA</v>
      </c>
      <c r="BO1511" t="str">
        <f>"FOCO VARILUX DIGITAL"</f>
        <v>FOCO VARILUX DIGITAL</v>
      </c>
      <c r="BP1511" t="str">
        <f>""</f>
        <v/>
      </c>
      <c r="BQ1511" t="str">
        <f>""</f>
        <v/>
      </c>
      <c r="BR1511" t="str">
        <f>"01/07/2021"</f>
        <v>01/07/2021</v>
      </c>
      <c r="BS1511" t="str">
        <f>"07/07/2023"</f>
        <v>07/07/2023</v>
      </c>
      <c r="BT1511" t="str">
        <f>""</f>
        <v/>
      </c>
      <c r="BU1511" t="str">
        <f>""</f>
        <v/>
      </c>
      <c r="BV1511" t="str">
        <f>""</f>
        <v/>
      </c>
      <c r="BW1511" t="str">
        <f>"30"</f>
        <v>30</v>
      </c>
    </row>
    <row r="1512" spans="1:75" x14ac:dyDescent="0.35">
      <c r="A1512">
        <v>157797</v>
      </c>
      <c r="B1512" t="str">
        <f t="shared" si="754"/>
        <v>A</v>
      </c>
      <c r="C1512" t="str">
        <f t="shared" si="755"/>
        <v>80</v>
      </c>
      <c r="D1512" t="str">
        <f t="shared" si="746"/>
        <v>11121004</v>
      </c>
      <c r="E1512" t="str">
        <f t="shared" si="747"/>
        <v>121004</v>
      </c>
      <c r="F1512" t="str">
        <f t="shared" si="748"/>
        <v>FABIANA GODOY</v>
      </c>
      <c r="G1512" t="str">
        <f>"18147971000124"</f>
        <v>18147971000124</v>
      </c>
      <c r="H1512" t="str">
        <f>"0"</f>
        <v>0</v>
      </c>
      <c r="I1512" t="str">
        <f t="shared" si="757"/>
        <v>CONTA OPTICA</v>
      </c>
      <c r="J1512" t="str">
        <f>"OPTICA CHL EIRELI ME"</f>
        <v>OPTICA CHL EIRELI ME</v>
      </c>
      <c r="K1512" t="str">
        <f>"CENTRAL DOS ÓCULOS (2022)"</f>
        <v>CENTRAL DOS ÓCULOS (2022)</v>
      </c>
      <c r="L1512" t="str">
        <f>""</f>
        <v/>
      </c>
      <c r="M1512" t="str">
        <f>""</f>
        <v/>
      </c>
      <c r="N1512" t="str">
        <f>"OTICASOBERANA@OTICASOBERANA.COM.BR"</f>
        <v>OTICASOBERANA@OTICASOBERANA.COM.BR</v>
      </c>
      <c r="O1512" t="str">
        <f>""</f>
        <v/>
      </c>
      <c r="P1512" t="str">
        <f>"RUA HERCILIO LUZ"</f>
        <v>RUA HERCILIO LUZ</v>
      </c>
      <c r="Q1512" t="str">
        <f>"577"</f>
        <v>577</v>
      </c>
      <c r="R1512" t="str">
        <f>""</f>
        <v/>
      </c>
      <c r="S1512" t="str">
        <f>"1261"</f>
        <v>1261</v>
      </c>
      <c r="T1512" t="str">
        <f>"88301001"</f>
        <v>88301001</v>
      </c>
      <c r="U1512" t="str">
        <f>"CENTRO"</f>
        <v>CENTRO</v>
      </c>
      <c r="V1512" t="str">
        <f>"ITAJAI"</f>
        <v>ITAJAI</v>
      </c>
      <c r="W1512" t="str">
        <f t="shared" si="744"/>
        <v>SC</v>
      </c>
      <c r="X1512" t="str">
        <f t="shared" si="766"/>
        <v>47</v>
      </c>
      <c r="Y1512" t="str">
        <f>"30463438"</f>
        <v>30463438</v>
      </c>
      <c r="Z1512" t="str">
        <f>""</f>
        <v/>
      </c>
      <c r="AA1512" t="str">
        <f>""</f>
        <v/>
      </c>
      <c r="AB1512" t="str">
        <f>""</f>
        <v/>
      </c>
      <c r="AC1512" t="str">
        <f>""</f>
        <v/>
      </c>
      <c r="AD1512" t="str">
        <f>""</f>
        <v/>
      </c>
      <c r="AE1512" t="str">
        <f>""</f>
        <v/>
      </c>
      <c r="AF1512" t="str">
        <f>""</f>
        <v/>
      </c>
      <c r="AG1512" t="str">
        <f>""</f>
        <v/>
      </c>
      <c r="AH1512" t="str">
        <f>""</f>
        <v/>
      </c>
      <c r="AI1512" t="str">
        <f>""</f>
        <v/>
      </c>
      <c r="AJ1512" t="str">
        <f>""</f>
        <v/>
      </c>
      <c r="AK1512" t="str">
        <f>""</f>
        <v/>
      </c>
      <c r="AL1512" t="str">
        <f>""</f>
        <v/>
      </c>
      <c r="AM1512" t="str">
        <f>""</f>
        <v/>
      </c>
      <c r="AN1512" t="str">
        <f>""</f>
        <v/>
      </c>
      <c r="AO1512" t="str">
        <f>""</f>
        <v/>
      </c>
      <c r="AP1512" t="str">
        <f>""</f>
        <v/>
      </c>
      <c r="AQ1512" t="str">
        <f>""</f>
        <v/>
      </c>
      <c r="AR1512" t="str">
        <f>""</f>
        <v/>
      </c>
      <c r="AS1512" t="str">
        <f>""</f>
        <v/>
      </c>
      <c r="AT1512" t="str">
        <f>""</f>
        <v/>
      </c>
      <c r="AU1512" t="str">
        <f>""</f>
        <v/>
      </c>
      <c r="AV1512" t="str">
        <f>""</f>
        <v/>
      </c>
      <c r="AW1512" t="str">
        <f>""</f>
        <v/>
      </c>
      <c r="AX1512" t="str">
        <f>""</f>
        <v/>
      </c>
      <c r="AY1512" t="str">
        <f>""</f>
        <v/>
      </c>
      <c r="AZ1512" t="str">
        <f>""</f>
        <v/>
      </c>
      <c r="BA1512" t="str">
        <f>""</f>
        <v/>
      </c>
      <c r="BB1512" t="str">
        <f>"11/07/2023 02:26:32"</f>
        <v>11/07/2023 02:26:32</v>
      </c>
      <c r="BC1512" t="str">
        <f>""</f>
        <v/>
      </c>
      <c r="BD1512" t="str">
        <f>""</f>
        <v/>
      </c>
      <c r="BE1512" t="str">
        <f>""</f>
        <v/>
      </c>
      <c r="BF1512" t="str">
        <f t="shared" si="759"/>
        <v>A</v>
      </c>
      <c r="BG1512" t="str">
        <f>""</f>
        <v/>
      </c>
      <c r="BH1512" t="str">
        <f>""</f>
        <v/>
      </c>
      <c r="BI1512" t="str">
        <f t="shared" si="753"/>
        <v>EVENTUAL</v>
      </c>
      <c r="BJ1512" t="str">
        <f t="shared" si="760"/>
        <v>1</v>
      </c>
      <c r="BK1512" t="str">
        <f t="shared" si="761"/>
        <v>Farmacia</v>
      </c>
      <c r="BL1512" t="str">
        <f>""</f>
        <v/>
      </c>
      <c r="BM1512" t="str">
        <f>""</f>
        <v/>
      </c>
      <c r="BN1512" t="str">
        <f>""</f>
        <v/>
      </c>
      <c r="BO1512" t="str">
        <f>""</f>
        <v/>
      </c>
      <c r="BP1512" t="str">
        <f>""</f>
        <v/>
      </c>
      <c r="BQ1512" t="str">
        <f>""</f>
        <v/>
      </c>
      <c r="BR1512" t="str">
        <f>"11/07/2023"</f>
        <v>11/07/2023</v>
      </c>
      <c r="BS1512" t="str">
        <f>""</f>
        <v/>
      </c>
      <c r="BT1512" t="str">
        <f>""</f>
        <v/>
      </c>
      <c r="BU1512" t="str">
        <f>""</f>
        <v/>
      </c>
      <c r="BV1512" t="str">
        <f>""</f>
        <v/>
      </c>
      <c r="BW1512" t="str">
        <f>"Não visitado"</f>
        <v>Não visitado</v>
      </c>
    </row>
    <row r="1513" spans="1:75" x14ac:dyDescent="0.35">
      <c r="A1513">
        <v>1312</v>
      </c>
      <c r="B1513" t="str">
        <f t="shared" si="754"/>
        <v>A</v>
      </c>
      <c r="C1513" t="str">
        <f t="shared" si="755"/>
        <v>80</v>
      </c>
      <c r="D1513" t="str">
        <f t="shared" si="746"/>
        <v>11121004</v>
      </c>
      <c r="E1513" t="str">
        <f t="shared" si="747"/>
        <v>121004</v>
      </c>
      <c r="F1513" t="str">
        <f t="shared" si="748"/>
        <v>FABIANA GODOY</v>
      </c>
      <c r="G1513" t="str">
        <f>"08343060000208"</f>
        <v>08343060000208</v>
      </c>
      <c r="H1513" t="str">
        <f>""</f>
        <v/>
      </c>
      <c r="I1513" t="str">
        <f t="shared" si="757"/>
        <v>CONTA OPTICA</v>
      </c>
      <c r="J1513" t="str">
        <f>"OPTICA CONFORTO VISUAL LTDA"</f>
        <v>OPTICA CONFORTO VISUAL LTDA</v>
      </c>
      <c r="K1513" t="str">
        <f>"OPTICA CONFORTO VISUAL LTDA (956)"</f>
        <v>OPTICA CONFORTO VISUAL LTDA (956)</v>
      </c>
      <c r="L1513" t="str">
        <f>""</f>
        <v/>
      </c>
      <c r="M1513" t="str">
        <f>""</f>
        <v/>
      </c>
      <c r="N1513" t="str">
        <f>"atendimento@opticaconfortovisual.com.br"</f>
        <v>atendimento@opticaconfortovisual.com.br</v>
      </c>
      <c r="O1513" t="str">
        <f>""</f>
        <v/>
      </c>
      <c r="P1513" t="str">
        <f>"RUA DOIS DE SETEMBRO"</f>
        <v>RUA DOIS DE SETEMBRO</v>
      </c>
      <c r="Q1513" t="str">
        <f>"3756"</f>
        <v>3756</v>
      </c>
      <c r="R1513" t="str">
        <f>""</f>
        <v/>
      </c>
      <c r="S1513" t="str">
        <f>"1273"</f>
        <v>1273</v>
      </c>
      <c r="T1513" t="str">
        <f>"89053200"</f>
        <v>89053200</v>
      </c>
      <c r="U1513" t="str">
        <f>"ITOUPAVA NORTE"</f>
        <v>ITOUPAVA NORTE</v>
      </c>
      <c r="V1513" t="str">
        <f>"BLUMENAU"</f>
        <v>BLUMENAU</v>
      </c>
      <c r="W1513" t="str">
        <f t="shared" si="744"/>
        <v>SC</v>
      </c>
      <c r="X1513" t="str">
        <f t="shared" si="766"/>
        <v>47</v>
      </c>
      <c r="Y1513" t="str">
        <f>"33231876"</f>
        <v>33231876</v>
      </c>
      <c r="Z1513" t="str">
        <f>""</f>
        <v/>
      </c>
      <c r="AA1513" t="str">
        <f>""</f>
        <v/>
      </c>
      <c r="AB1513" t="str">
        <f>""</f>
        <v/>
      </c>
      <c r="AC1513" t="str">
        <f>""</f>
        <v/>
      </c>
      <c r="AD1513" t="str">
        <f>""</f>
        <v/>
      </c>
      <c r="AE1513" t="str">
        <f>""</f>
        <v/>
      </c>
      <c r="AF1513" t="str">
        <f>""</f>
        <v/>
      </c>
      <c r="AG1513" t="str">
        <f>""</f>
        <v/>
      </c>
      <c r="AH1513" t="str">
        <f>""</f>
        <v/>
      </c>
      <c r="AI1513" t="str">
        <f>""</f>
        <v/>
      </c>
      <c r="AJ1513" t="str">
        <f t="shared" ref="AJ1513:AL1514" si="768">"0"</f>
        <v>0</v>
      </c>
      <c r="AK1513" t="str">
        <f t="shared" si="768"/>
        <v>0</v>
      </c>
      <c r="AL1513" t="str">
        <f t="shared" si="768"/>
        <v>0</v>
      </c>
      <c r="AM1513" t="str">
        <f>""</f>
        <v/>
      </c>
      <c r="AN1513" t="str">
        <f>""</f>
        <v/>
      </c>
      <c r="AO1513" t="str">
        <f>""</f>
        <v/>
      </c>
      <c r="AP1513" t="str">
        <f>""</f>
        <v/>
      </c>
      <c r="AQ1513" t="str">
        <f>""</f>
        <v/>
      </c>
      <c r="AR1513" t="str">
        <f>""</f>
        <v/>
      </c>
      <c r="AS1513" t="str">
        <f>""</f>
        <v/>
      </c>
      <c r="AT1513" t="str">
        <f>""</f>
        <v/>
      </c>
      <c r="AU1513" t="str">
        <f>""</f>
        <v/>
      </c>
      <c r="AV1513" t="str">
        <f>""</f>
        <v/>
      </c>
      <c r="AW1513" t="str">
        <f>""</f>
        <v/>
      </c>
      <c r="AX1513" t="str">
        <f>""</f>
        <v/>
      </c>
      <c r="AY1513" t="str">
        <f>""</f>
        <v/>
      </c>
      <c r="AZ1513" t="str">
        <f>""</f>
        <v/>
      </c>
      <c r="BA1513" t="str">
        <f>""</f>
        <v/>
      </c>
      <c r="BB1513" t="str">
        <f>"27/07/2018 09:26:14"</f>
        <v>27/07/2018 09:26:14</v>
      </c>
      <c r="BC1513" t="str">
        <f>""</f>
        <v/>
      </c>
      <c r="BD1513" t="str">
        <f>""</f>
        <v/>
      </c>
      <c r="BE1513" t="str">
        <f>"1312"</f>
        <v>1312</v>
      </c>
      <c r="BF1513" t="str">
        <f t="shared" si="759"/>
        <v>A</v>
      </c>
      <c r="BG1513" t="str">
        <f>"0,00"</f>
        <v>0,00</v>
      </c>
      <c r="BH1513" t="str">
        <f>"0,00"</f>
        <v>0,00</v>
      </c>
      <c r="BI1513" t="str">
        <f t="shared" si="753"/>
        <v>EVENTUAL</v>
      </c>
      <c r="BJ1513" t="str">
        <f t="shared" si="760"/>
        <v>1</v>
      </c>
      <c r="BK1513" t="str">
        <f t="shared" si="761"/>
        <v>Farmacia</v>
      </c>
      <c r="BL1513" t="str">
        <f>""</f>
        <v/>
      </c>
      <c r="BM1513" t="str">
        <f>"NÃO É VARILUX ESPECIALISTA"</f>
        <v>NÃO É VARILUX ESPECIALISTA</v>
      </c>
      <c r="BN1513" t="str">
        <f>"NA"</f>
        <v>NA</v>
      </c>
      <c r="BO1513" t="str">
        <f>"FOCO VARILUX"</f>
        <v>FOCO VARILUX</v>
      </c>
      <c r="BP1513" t="str">
        <f>""</f>
        <v/>
      </c>
      <c r="BQ1513" t="str">
        <f>""</f>
        <v/>
      </c>
      <c r="BR1513" t="str">
        <f>"27/07/2018"</f>
        <v>27/07/2018</v>
      </c>
      <c r="BS1513" t="str">
        <f>""</f>
        <v/>
      </c>
      <c r="BT1513" t="str">
        <f>""</f>
        <v/>
      </c>
      <c r="BU1513" t="str">
        <f>""</f>
        <v/>
      </c>
      <c r="BV1513" t="str">
        <f>"5"</f>
        <v>5</v>
      </c>
      <c r="BW1513" t="str">
        <f>"46"</f>
        <v>46</v>
      </c>
    </row>
    <row r="1514" spans="1:75" x14ac:dyDescent="0.35">
      <c r="A1514">
        <v>1311</v>
      </c>
      <c r="B1514" t="str">
        <f t="shared" si="754"/>
        <v>A</v>
      </c>
      <c r="C1514" t="str">
        <f t="shared" si="755"/>
        <v>80</v>
      </c>
      <c r="D1514" t="str">
        <f t="shared" si="746"/>
        <v>11121004</v>
      </c>
      <c r="E1514" t="str">
        <f t="shared" si="747"/>
        <v>121004</v>
      </c>
      <c r="F1514" t="str">
        <f t="shared" si="748"/>
        <v>FABIANA GODOY</v>
      </c>
      <c r="G1514" t="str">
        <f>"08343060000119"</f>
        <v>08343060000119</v>
      </c>
      <c r="H1514" t="str">
        <f>""</f>
        <v/>
      </c>
      <c r="I1514" t="str">
        <f t="shared" si="757"/>
        <v>CONTA OPTICA</v>
      </c>
      <c r="J1514" t="str">
        <f>"OPTICA CONFORTO VISUAL LTDA ME"</f>
        <v>OPTICA CONFORTO VISUAL LTDA ME</v>
      </c>
      <c r="K1514" t="str">
        <f>"OPTICA CONFORTO VISUAL LTDA ME (944)"</f>
        <v>OPTICA CONFORTO VISUAL LTDA ME (944)</v>
      </c>
      <c r="L1514" t="str">
        <f>""</f>
        <v/>
      </c>
      <c r="M1514" t="str">
        <f>""</f>
        <v/>
      </c>
      <c r="N1514" t="str">
        <f>"atendimento@opticaconfortovisual.com.br"</f>
        <v>atendimento@opticaconfortovisual.com.br</v>
      </c>
      <c r="O1514" t="str">
        <f>""</f>
        <v/>
      </c>
      <c r="P1514" t="str">
        <f>"RUA PADRE JACOBS"</f>
        <v>RUA PADRE JACOBS</v>
      </c>
      <c r="Q1514" t="str">
        <f>"15"</f>
        <v>15</v>
      </c>
      <c r="R1514" t="str">
        <f>"LOJA 3"</f>
        <v>LOJA 3</v>
      </c>
      <c r="S1514" t="str">
        <f>"1271"</f>
        <v>1271</v>
      </c>
      <c r="T1514" t="str">
        <f>"89010180"</f>
        <v>89010180</v>
      </c>
      <c r="U1514" t="str">
        <f>"CENTRO"</f>
        <v>CENTRO</v>
      </c>
      <c r="V1514" t="str">
        <f>"BLUMENAU"</f>
        <v>BLUMENAU</v>
      </c>
      <c r="W1514" t="str">
        <f t="shared" si="744"/>
        <v>SC</v>
      </c>
      <c r="X1514" t="str">
        <f t="shared" si="766"/>
        <v>47</v>
      </c>
      <c r="Y1514" t="str">
        <f>"32223805"</f>
        <v>32223805</v>
      </c>
      <c r="Z1514" t="str">
        <f>""</f>
        <v/>
      </c>
      <c r="AA1514" t="str">
        <f>""</f>
        <v/>
      </c>
      <c r="AB1514" t="str">
        <f>""</f>
        <v/>
      </c>
      <c r="AC1514" t="str">
        <f>""</f>
        <v/>
      </c>
      <c r="AD1514" t="str">
        <f>""</f>
        <v/>
      </c>
      <c r="AE1514" t="str">
        <f>""</f>
        <v/>
      </c>
      <c r="AF1514" t="str">
        <f>""</f>
        <v/>
      </c>
      <c r="AG1514" t="str">
        <f>""</f>
        <v/>
      </c>
      <c r="AH1514" t="str">
        <f>""</f>
        <v/>
      </c>
      <c r="AI1514" t="str">
        <f>""</f>
        <v/>
      </c>
      <c r="AJ1514" t="str">
        <f t="shared" si="768"/>
        <v>0</v>
      </c>
      <c r="AK1514" t="str">
        <f t="shared" si="768"/>
        <v>0</v>
      </c>
      <c r="AL1514" t="str">
        <f t="shared" si="768"/>
        <v>0</v>
      </c>
      <c r="AM1514" t="str">
        <f>""</f>
        <v/>
      </c>
      <c r="AN1514" t="str">
        <f>""</f>
        <v/>
      </c>
      <c r="AO1514" t="str">
        <f>""</f>
        <v/>
      </c>
      <c r="AP1514" t="str">
        <f>""</f>
        <v/>
      </c>
      <c r="AQ1514" t="str">
        <f>""</f>
        <v/>
      </c>
      <c r="AR1514" t="str">
        <f>""</f>
        <v/>
      </c>
      <c r="AS1514" t="str">
        <f>""</f>
        <v/>
      </c>
      <c r="AT1514" t="str">
        <f>""</f>
        <v/>
      </c>
      <c r="AU1514" t="str">
        <f>""</f>
        <v/>
      </c>
      <c r="AV1514" t="str">
        <f>""</f>
        <v/>
      </c>
      <c r="AW1514" t="str">
        <f>""</f>
        <v/>
      </c>
      <c r="AX1514" t="str">
        <f>""</f>
        <v/>
      </c>
      <c r="AY1514" t="str">
        <f>""</f>
        <v/>
      </c>
      <c r="AZ1514" t="str">
        <f>""</f>
        <v/>
      </c>
      <c r="BA1514" t="str">
        <f>""</f>
        <v/>
      </c>
      <c r="BB1514" t="str">
        <f>"27/07/2018 09:26:14"</f>
        <v>27/07/2018 09:26:14</v>
      </c>
      <c r="BC1514" t="str">
        <f>""</f>
        <v/>
      </c>
      <c r="BD1514" t="str">
        <f>""</f>
        <v/>
      </c>
      <c r="BE1514" t="str">
        <f>"1311"</f>
        <v>1311</v>
      </c>
      <c r="BF1514" t="str">
        <f t="shared" si="759"/>
        <v>A</v>
      </c>
      <c r="BG1514" t="str">
        <f>"0,00"</f>
        <v>0,00</v>
      </c>
      <c r="BH1514" t="str">
        <f>"0,00"</f>
        <v>0,00</v>
      </c>
      <c r="BI1514" t="str">
        <f t="shared" si="753"/>
        <v>EVENTUAL</v>
      </c>
      <c r="BJ1514" t="str">
        <f t="shared" si="760"/>
        <v>1</v>
      </c>
      <c r="BK1514" t="str">
        <f t="shared" si="761"/>
        <v>Farmacia</v>
      </c>
      <c r="BL1514" t="str">
        <f>""</f>
        <v/>
      </c>
      <c r="BM1514" t="str">
        <f>"VARILUX ESPECIALISTA SELECT"</f>
        <v>VARILUX ESPECIALISTA SELECT</v>
      </c>
      <c r="BN1514" t="str">
        <f>"NA"</f>
        <v>NA</v>
      </c>
      <c r="BO1514" t="str">
        <f>"FOCO VARILUX DIGITAL"</f>
        <v>FOCO VARILUX DIGITAL</v>
      </c>
      <c r="BP1514" t="str">
        <f>""</f>
        <v/>
      </c>
      <c r="BQ1514" t="str">
        <f>""</f>
        <v/>
      </c>
      <c r="BR1514" t="str">
        <f>"27/07/2018"</f>
        <v>27/07/2018</v>
      </c>
      <c r="BS1514" t="str">
        <f>""</f>
        <v/>
      </c>
      <c r="BT1514" t="str">
        <f>""</f>
        <v/>
      </c>
      <c r="BU1514" t="str">
        <f>""</f>
        <v/>
      </c>
      <c r="BV1514" t="str">
        <f>"5"</f>
        <v>5</v>
      </c>
      <c r="BW1514" t="str">
        <f>"30"</f>
        <v>30</v>
      </c>
    </row>
    <row r="1515" spans="1:75" x14ac:dyDescent="0.35">
      <c r="A1515">
        <v>138866</v>
      </c>
      <c r="B1515" t="str">
        <f t="shared" si="754"/>
        <v>A</v>
      </c>
      <c r="C1515" t="str">
        <f t="shared" si="755"/>
        <v>80</v>
      </c>
      <c r="D1515" t="str">
        <f t="shared" si="746"/>
        <v>11121004</v>
      </c>
      <c r="E1515" t="str">
        <f t="shared" si="747"/>
        <v>121004</v>
      </c>
      <c r="F1515" t="str">
        <f t="shared" si="748"/>
        <v>FABIANA GODOY</v>
      </c>
      <c r="G1515" t="str">
        <f>"39586307000151"</f>
        <v>39586307000151</v>
      </c>
      <c r="H1515" t="str">
        <f>"0"</f>
        <v>0</v>
      </c>
      <c r="I1515" t="str">
        <f t="shared" si="757"/>
        <v>CONTA OPTICA</v>
      </c>
      <c r="J1515" t="str">
        <f>"OPTICA CV LTDA"</f>
        <v>OPTICA CV LTDA</v>
      </c>
      <c r="K1515" t="str">
        <f>"OPTICA CONFORTO VISUAL (4236)"</f>
        <v>OPTICA CONFORTO VISUAL (4236)</v>
      </c>
      <c r="L1515" t="str">
        <f>""</f>
        <v/>
      </c>
      <c r="M1515" t="str">
        <f>""</f>
        <v/>
      </c>
      <c r="N1515" t="str">
        <f>"atendimento@opticaconfortovisual.com.br"</f>
        <v>atendimento@opticaconfortovisual.com.br</v>
      </c>
      <c r="O1515" t="str">
        <f>""</f>
        <v/>
      </c>
      <c r="P1515" t="str">
        <f>"AVENIDA PREFEITO EUGENIO KRAUSE"</f>
        <v>AVENIDA PREFEITO EUGENIO KRAUSE</v>
      </c>
      <c r="Q1515" t="str">
        <f>"2054"</f>
        <v>2054</v>
      </c>
      <c r="R1515" t="str">
        <f>"SALA 3"</f>
        <v>SALA 3</v>
      </c>
      <c r="S1515" t="str">
        <f>"1263"</f>
        <v>1263</v>
      </c>
      <c r="T1515" t="str">
        <f>"88385000"</f>
        <v>88385000</v>
      </c>
      <c r="U1515" t="str">
        <f>"CENTRO"</f>
        <v>CENTRO</v>
      </c>
      <c r="V1515" t="str">
        <f>"PENHA"</f>
        <v>PENHA</v>
      </c>
      <c r="W1515" t="str">
        <f t="shared" si="744"/>
        <v>SC</v>
      </c>
      <c r="X1515" t="str">
        <f t="shared" si="766"/>
        <v>47</v>
      </c>
      <c r="Y1515" t="str">
        <f>"33452161"</f>
        <v>33452161</v>
      </c>
      <c r="Z1515" t="str">
        <f>""</f>
        <v/>
      </c>
      <c r="AA1515" t="str">
        <f>""</f>
        <v/>
      </c>
      <c r="AB1515" t="str">
        <f>""</f>
        <v/>
      </c>
      <c r="AC1515" t="str">
        <f>""</f>
        <v/>
      </c>
      <c r="AD1515" t="str">
        <f>""</f>
        <v/>
      </c>
      <c r="AE1515" t="str">
        <f>""</f>
        <v/>
      </c>
      <c r="AF1515" t="str">
        <f>""</f>
        <v/>
      </c>
      <c r="AG1515" t="str">
        <f>"S"</f>
        <v>S</v>
      </c>
      <c r="AH1515" t="str">
        <f>""</f>
        <v/>
      </c>
      <c r="AI1515" t="str">
        <f>""</f>
        <v/>
      </c>
      <c r="AJ1515" t="str">
        <f>""</f>
        <v/>
      </c>
      <c r="AK1515" t="str">
        <f>""</f>
        <v/>
      </c>
      <c r="AL1515" t="str">
        <f>""</f>
        <v/>
      </c>
      <c r="AM1515" t="str">
        <f>""</f>
        <v/>
      </c>
      <c r="AN1515" t="str">
        <f>""</f>
        <v/>
      </c>
      <c r="AO1515" t="str">
        <f>""</f>
        <v/>
      </c>
      <c r="AP1515" t="str">
        <f>""</f>
        <v/>
      </c>
      <c r="AQ1515" t="str">
        <f>"N"</f>
        <v>N</v>
      </c>
      <c r="AR1515" t="str">
        <f>"N"</f>
        <v>N</v>
      </c>
      <c r="AS1515" t="str">
        <f>"N"</f>
        <v>N</v>
      </c>
      <c r="AT1515" t="str">
        <f>"N"</f>
        <v>N</v>
      </c>
      <c r="AU1515" t="str">
        <f>"N"</f>
        <v>N</v>
      </c>
      <c r="AV1515" t="str">
        <f>""</f>
        <v/>
      </c>
      <c r="AW1515" t="str">
        <f>""</f>
        <v/>
      </c>
      <c r="AX1515" t="str">
        <f>""</f>
        <v/>
      </c>
      <c r="AY1515" t="str">
        <f>""</f>
        <v/>
      </c>
      <c r="AZ1515" t="str">
        <f>""</f>
        <v/>
      </c>
      <c r="BA1515" t="str">
        <f>""</f>
        <v/>
      </c>
      <c r="BB1515" t="str">
        <f>"15/07/2021 10:57:44"</f>
        <v>15/07/2021 10:57:44</v>
      </c>
      <c r="BC1515" t="str">
        <f>"05/04/2022 16:22:02"</f>
        <v>05/04/2022 16:22:02</v>
      </c>
      <c r="BD1515" t="str">
        <f>""</f>
        <v/>
      </c>
      <c r="BE1515" t="str">
        <f>""</f>
        <v/>
      </c>
      <c r="BF1515" t="str">
        <f t="shared" si="759"/>
        <v>A</v>
      </c>
      <c r="BG1515" t="str">
        <f>""</f>
        <v/>
      </c>
      <c r="BH1515" t="str">
        <f>"0,00"</f>
        <v>0,00</v>
      </c>
      <c r="BI1515" t="str">
        <f t="shared" si="753"/>
        <v>EVENTUAL</v>
      </c>
      <c r="BJ1515" t="str">
        <f t="shared" si="760"/>
        <v>1</v>
      </c>
      <c r="BK1515" t="str">
        <f t="shared" si="761"/>
        <v>Farmacia</v>
      </c>
      <c r="BL1515" t="str">
        <f>""</f>
        <v/>
      </c>
      <c r="BM1515" t="str">
        <f>"NÃO É VARILUX ESPECIALISTA"</f>
        <v>NÃO É VARILUX ESPECIALISTA</v>
      </c>
      <c r="BN1515" t="str">
        <f>"NA"</f>
        <v>NA</v>
      </c>
      <c r="BO1515" t="str">
        <f>"FOCO VARILUX"</f>
        <v>FOCO VARILUX</v>
      </c>
      <c r="BP1515" t="str">
        <f>""</f>
        <v/>
      </c>
      <c r="BQ1515" t="str">
        <f>""</f>
        <v/>
      </c>
      <c r="BR1515" t="str">
        <f>"15/07/2021"</f>
        <v>15/07/2021</v>
      </c>
      <c r="BS1515" t="str">
        <f>"05/04/2022"</f>
        <v>05/04/2022</v>
      </c>
      <c r="BT1515" t="str">
        <f>""</f>
        <v/>
      </c>
      <c r="BU1515" t="str">
        <f>""</f>
        <v/>
      </c>
      <c r="BV1515" t="str">
        <f>""</f>
        <v/>
      </c>
      <c r="BW1515" t="str">
        <f>"161"</f>
        <v>161</v>
      </c>
    </row>
    <row r="1516" spans="1:75" x14ac:dyDescent="0.35">
      <c r="A1516">
        <v>157738</v>
      </c>
      <c r="B1516" t="str">
        <f t="shared" si="754"/>
        <v>A</v>
      </c>
      <c r="C1516" t="str">
        <f t="shared" si="755"/>
        <v>80</v>
      </c>
      <c r="D1516" t="str">
        <f t="shared" si="746"/>
        <v>11121004</v>
      </c>
      <c r="E1516" t="str">
        <f t="shared" si="747"/>
        <v>121004</v>
      </c>
      <c r="F1516" t="str">
        <f t="shared" si="748"/>
        <v>FABIANA GODOY</v>
      </c>
      <c r="G1516" t="str">
        <f>"08250121000365"</f>
        <v>08250121000365</v>
      </c>
      <c r="H1516" t="str">
        <f>"0"</f>
        <v>0</v>
      </c>
      <c r="I1516" t="str">
        <f t="shared" si="757"/>
        <v>CONTA OPTICA</v>
      </c>
      <c r="J1516" t="str">
        <f>"OPTICA E JOALHERIA ALEXANDRE LESCHINSKI LTDA"</f>
        <v>OPTICA E JOALHERIA ALEXANDRE LESCHINSKI LTDA</v>
      </c>
      <c r="K1516" t="str">
        <f>"OTICA CENTRAL (4598)"</f>
        <v>OTICA CENTRAL (4598)</v>
      </c>
      <c r="L1516" t="str">
        <f>""</f>
        <v/>
      </c>
      <c r="M1516" t="str">
        <f>""</f>
        <v/>
      </c>
      <c r="N1516" t="str">
        <f>"CONTATO@OTICACENTRALBLUMENAU.COM.BR"</f>
        <v>CONTATO@OTICACENTRALBLUMENAU.COM.BR</v>
      </c>
      <c r="O1516" t="str">
        <f>""</f>
        <v/>
      </c>
      <c r="P1516" t="str">
        <f>"RUA DOUTOR PEDRO ZIMMERMANN"</f>
        <v>RUA DOUTOR PEDRO ZIMMERMANN</v>
      </c>
      <c r="Q1516" t="str">
        <f>"4621"</f>
        <v>4621</v>
      </c>
      <c r="R1516" t="str">
        <f>"LOJA COML. 08"</f>
        <v>LOJA COML. 08</v>
      </c>
      <c r="S1516" t="str">
        <f>"1273"</f>
        <v>1273</v>
      </c>
      <c r="T1516" t="str">
        <f>"89068000"</f>
        <v>89068000</v>
      </c>
      <c r="U1516" t="str">
        <f>"ITOUPAVA CENTRAL"</f>
        <v>ITOUPAVA CENTRAL</v>
      </c>
      <c r="V1516" t="str">
        <f>"BLUMENAU"</f>
        <v>BLUMENAU</v>
      </c>
      <c r="W1516" t="str">
        <f t="shared" si="744"/>
        <v>SC</v>
      </c>
      <c r="X1516" t="str">
        <f t="shared" si="766"/>
        <v>47</v>
      </c>
      <c r="Y1516" t="str">
        <f>"30353310"</f>
        <v>30353310</v>
      </c>
      <c r="Z1516" t="str">
        <f>""</f>
        <v/>
      </c>
      <c r="AA1516" t="str">
        <f>""</f>
        <v/>
      </c>
      <c r="AB1516" t="str">
        <f>""</f>
        <v/>
      </c>
      <c r="AC1516" t="str">
        <f>""</f>
        <v/>
      </c>
      <c r="AD1516" t="str">
        <f>""</f>
        <v/>
      </c>
      <c r="AE1516" t="str">
        <f>""</f>
        <v/>
      </c>
      <c r="AF1516" t="str">
        <f>""</f>
        <v/>
      </c>
      <c r="AG1516" t="str">
        <f>""</f>
        <v/>
      </c>
      <c r="AH1516" t="str">
        <f>""</f>
        <v/>
      </c>
      <c r="AI1516" t="str">
        <f>""</f>
        <v/>
      </c>
      <c r="AJ1516" t="str">
        <f>""</f>
        <v/>
      </c>
      <c r="AK1516" t="str">
        <f>""</f>
        <v/>
      </c>
      <c r="AL1516" t="str">
        <f>""</f>
        <v/>
      </c>
      <c r="AM1516" t="str">
        <f>""</f>
        <v/>
      </c>
      <c r="AN1516" t="str">
        <f>""</f>
        <v/>
      </c>
      <c r="AO1516" t="str">
        <f>""</f>
        <v/>
      </c>
      <c r="AP1516" t="str">
        <f>""</f>
        <v/>
      </c>
      <c r="AQ1516" t="str">
        <f>""</f>
        <v/>
      </c>
      <c r="AR1516" t="str">
        <f>""</f>
        <v/>
      </c>
      <c r="AS1516" t="str">
        <f>""</f>
        <v/>
      </c>
      <c r="AT1516" t="str">
        <f>""</f>
        <v/>
      </c>
      <c r="AU1516" t="str">
        <f>""</f>
        <v/>
      </c>
      <c r="AV1516" t="str">
        <f>""</f>
        <v/>
      </c>
      <c r="AW1516" t="str">
        <f>""</f>
        <v/>
      </c>
      <c r="AX1516" t="str">
        <f>""</f>
        <v/>
      </c>
      <c r="AY1516" t="str">
        <f>""</f>
        <v/>
      </c>
      <c r="AZ1516" t="str">
        <f>""</f>
        <v/>
      </c>
      <c r="BA1516" t="str">
        <f>""</f>
        <v/>
      </c>
      <c r="BB1516" t="str">
        <f>"11/07/2023 02:26:32"</f>
        <v>11/07/2023 02:26:32</v>
      </c>
      <c r="BC1516" t="str">
        <f>""</f>
        <v/>
      </c>
      <c r="BD1516" t="str">
        <f>""</f>
        <v/>
      </c>
      <c r="BE1516" t="str">
        <f>""</f>
        <v/>
      </c>
      <c r="BF1516" t="str">
        <f t="shared" si="759"/>
        <v>A</v>
      </c>
      <c r="BG1516" t="str">
        <f>""</f>
        <v/>
      </c>
      <c r="BH1516" t="str">
        <f>""</f>
        <v/>
      </c>
      <c r="BI1516" t="str">
        <f t="shared" si="753"/>
        <v>EVENTUAL</v>
      </c>
      <c r="BJ1516" t="str">
        <f t="shared" si="760"/>
        <v>1</v>
      </c>
      <c r="BK1516" t="str">
        <f t="shared" si="761"/>
        <v>Farmacia</v>
      </c>
      <c r="BL1516" t="str">
        <f>""</f>
        <v/>
      </c>
      <c r="BM1516" t="str">
        <f>""</f>
        <v/>
      </c>
      <c r="BN1516" t="str">
        <f>""</f>
        <v/>
      </c>
      <c r="BO1516" t="str">
        <f>""</f>
        <v/>
      </c>
      <c r="BP1516" t="str">
        <f>""</f>
        <v/>
      </c>
      <c r="BQ1516" t="str">
        <f>""</f>
        <v/>
      </c>
      <c r="BR1516" t="str">
        <f>"11/07/2023"</f>
        <v>11/07/2023</v>
      </c>
      <c r="BS1516" t="str">
        <f>""</f>
        <v/>
      </c>
      <c r="BT1516" t="str">
        <f>""</f>
        <v/>
      </c>
      <c r="BU1516" t="str">
        <f>""</f>
        <v/>
      </c>
      <c r="BV1516" t="str">
        <f>""</f>
        <v/>
      </c>
      <c r="BW1516" t="str">
        <f>"29"</f>
        <v>29</v>
      </c>
    </row>
    <row r="1517" spans="1:75" x14ac:dyDescent="0.35">
      <c r="A1517">
        <v>127634</v>
      </c>
      <c r="B1517" t="str">
        <f t="shared" si="754"/>
        <v>A</v>
      </c>
      <c r="C1517" t="str">
        <f t="shared" si="755"/>
        <v>80</v>
      </c>
      <c r="D1517" t="str">
        <f t="shared" si="746"/>
        <v>11121004</v>
      </c>
      <c r="E1517" t="str">
        <f t="shared" si="747"/>
        <v>121004</v>
      </c>
      <c r="F1517" t="str">
        <f t="shared" si="748"/>
        <v>FABIANA GODOY</v>
      </c>
      <c r="G1517" t="str">
        <f>"08250121000284"</f>
        <v>08250121000284</v>
      </c>
      <c r="H1517" t="str">
        <f>"0"</f>
        <v>0</v>
      </c>
      <c r="I1517" t="str">
        <f t="shared" si="757"/>
        <v>CONTA OPTICA</v>
      </c>
      <c r="J1517" t="str">
        <f>"OPTICA E JOALHERIA ALEXANDRE LESCHINSKI LTDA"</f>
        <v>OPTICA E JOALHERIA ALEXANDRE LESCHINSKI LTDA</v>
      </c>
      <c r="K1517" t="str">
        <f>"OPTICA ALEXANDRE (10223)"</f>
        <v>OPTICA ALEXANDRE (10223)</v>
      </c>
      <c r="L1517" t="str">
        <f>""</f>
        <v/>
      </c>
      <c r="M1517" t="str">
        <f>""</f>
        <v/>
      </c>
      <c r="N1517" t="str">
        <f>"daiarakathrynn@gmail.com"</f>
        <v>daiarakathrynn@gmail.com</v>
      </c>
      <c r="O1517" t="str">
        <f>""</f>
        <v/>
      </c>
      <c r="P1517" t="str">
        <f>"RUA DOUTOR PEDRO ZIMMERMANN"</f>
        <v>RUA DOUTOR PEDRO ZIMMERMANN</v>
      </c>
      <c r="Q1517" t="str">
        <f>"6260"</f>
        <v>6260</v>
      </c>
      <c r="R1517" t="str">
        <f>"LOJA 3"</f>
        <v>LOJA 3</v>
      </c>
      <c r="S1517" t="str">
        <f>"1273"</f>
        <v>1273</v>
      </c>
      <c r="T1517" t="str">
        <f>"89068001"</f>
        <v>89068001</v>
      </c>
      <c r="U1517" t="str">
        <f>"ITOUPAVA CENTRAL"</f>
        <v>ITOUPAVA CENTRAL</v>
      </c>
      <c r="V1517" t="str">
        <f>"BLUMENAU"</f>
        <v>BLUMENAU</v>
      </c>
      <c r="W1517" t="str">
        <f t="shared" si="744"/>
        <v>SC</v>
      </c>
      <c r="X1517" t="str">
        <f t="shared" si="766"/>
        <v>47</v>
      </c>
      <c r="Y1517" t="str">
        <f>"33229834"</f>
        <v>33229834</v>
      </c>
      <c r="Z1517" t="str">
        <f>""</f>
        <v/>
      </c>
      <c r="AA1517" t="str">
        <f>""</f>
        <v/>
      </c>
      <c r="AB1517" t="str">
        <f>""</f>
        <v/>
      </c>
      <c r="AC1517" t="str">
        <f>""</f>
        <v/>
      </c>
      <c r="AD1517" t="str">
        <f>""</f>
        <v/>
      </c>
      <c r="AE1517" t="str">
        <f>""</f>
        <v/>
      </c>
      <c r="AF1517" t="str">
        <f>""</f>
        <v/>
      </c>
      <c r="AG1517" t="str">
        <f>""</f>
        <v/>
      </c>
      <c r="AH1517" t="str">
        <f>""</f>
        <v/>
      </c>
      <c r="AI1517" t="str">
        <f>""</f>
        <v/>
      </c>
      <c r="AJ1517" t="str">
        <f t="shared" ref="AJ1517:AL1519" si="769">"0"</f>
        <v>0</v>
      </c>
      <c r="AK1517" t="str">
        <f t="shared" si="769"/>
        <v>0</v>
      </c>
      <c r="AL1517" t="str">
        <f t="shared" si="769"/>
        <v>0</v>
      </c>
      <c r="AM1517" t="str">
        <f>""</f>
        <v/>
      </c>
      <c r="AN1517" t="str">
        <f>""</f>
        <v/>
      </c>
      <c r="AO1517" t="str">
        <f>""</f>
        <v/>
      </c>
      <c r="AP1517" t="str">
        <f>""</f>
        <v/>
      </c>
      <c r="AQ1517" t="str">
        <f>""</f>
        <v/>
      </c>
      <c r="AR1517" t="str">
        <f>""</f>
        <v/>
      </c>
      <c r="AS1517" t="str">
        <f>""</f>
        <v/>
      </c>
      <c r="AT1517" t="str">
        <f>""</f>
        <v/>
      </c>
      <c r="AU1517" t="str">
        <f>""</f>
        <v/>
      </c>
      <c r="AV1517" t="str">
        <f>""</f>
        <v/>
      </c>
      <c r="AW1517" t="str">
        <f>""</f>
        <v/>
      </c>
      <c r="AX1517" t="str">
        <f>""</f>
        <v/>
      </c>
      <c r="AY1517" t="str">
        <f>""</f>
        <v/>
      </c>
      <c r="AZ1517" t="str">
        <f>""</f>
        <v/>
      </c>
      <c r="BA1517" t="str">
        <f>""</f>
        <v/>
      </c>
      <c r="BB1517" t="str">
        <f>"07/10/2020 09:08:38"</f>
        <v>07/10/2020 09:08:38</v>
      </c>
      <c r="BC1517" t="str">
        <f>""</f>
        <v/>
      </c>
      <c r="BD1517" t="str">
        <f>""</f>
        <v/>
      </c>
      <c r="BE1517" t="str">
        <f>""</f>
        <v/>
      </c>
      <c r="BF1517" t="str">
        <f t="shared" si="759"/>
        <v>A</v>
      </c>
      <c r="BG1517" t="str">
        <f t="shared" ref="BG1517:BH1519" si="770">"0,00"</f>
        <v>0,00</v>
      </c>
      <c r="BH1517" t="str">
        <f t="shared" si="770"/>
        <v>0,00</v>
      </c>
      <c r="BI1517" t="str">
        <f t="shared" si="753"/>
        <v>EVENTUAL</v>
      </c>
      <c r="BJ1517" t="str">
        <f t="shared" si="760"/>
        <v>1</v>
      </c>
      <c r="BK1517" t="str">
        <f t="shared" si="761"/>
        <v>Farmacia</v>
      </c>
      <c r="BL1517" t="str">
        <f>""</f>
        <v/>
      </c>
      <c r="BM1517" t="str">
        <f>"NÃO É VARILUX ESPECIALISTA"</f>
        <v>NÃO É VARILUX ESPECIALISTA</v>
      </c>
      <c r="BN1517" t="str">
        <f t="shared" ref="BN1517:BN1522" si="771">"NA"</f>
        <v>NA</v>
      </c>
      <c r="BO1517" t="str">
        <f>"FOCO KODAK 1"</f>
        <v>FOCO KODAK 1</v>
      </c>
      <c r="BP1517" t="str">
        <f>""</f>
        <v/>
      </c>
      <c r="BQ1517" t="str">
        <f>""</f>
        <v/>
      </c>
      <c r="BR1517" t="str">
        <f>"07/10/2020"</f>
        <v>07/10/2020</v>
      </c>
      <c r="BS1517" t="str">
        <f>""</f>
        <v/>
      </c>
      <c r="BT1517" t="str">
        <f>""</f>
        <v/>
      </c>
      <c r="BU1517" t="str">
        <f>""</f>
        <v/>
      </c>
      <c r="BV1517" t="str">
        <f>"4"</f>
        <v>4</v>
      </c>
      <c r="BW1517" t="str">
        <f>"44"</f>
        <v>44</v>
      </c>
    </row>
    <row r="1518" spans="1:75" x14ac:dyDescent="0.35">
      <c r="A1518">
        <v>1308</v>
      </c>
      <c r="B1518" t="str">
        <f t="shared" si="754"/>
        <v>A</v>
      </c>
      <c r="C1518" t="str">
        <f t="shared" si="755"/>
        <v>80</v>
      </c>
      <c r="D1518" t="str">
        <f t="shared" si="746"/>
        <v>11121004</v>
      </c>
      <c r="E1518" t="str">
        <f t="shared" si="747"/>
        <v>121004</v>
      </c>
      <c r="F1518" t="str">
        <f t="shared" si="748"/>
        <v>FABIANA GODOY</v>
      </c>
      <c r="G1518" t="str">
        <f>"08250121000101"</f>
        <v>08250121000101</v>
      </c>
      <c r="H1518" t="str">
        <f>""</f>
        <v/>
      </c>
      <c r="I1518" t="str">
        <f t="shared" si="757"/>
        <v>CONTA OPTICA</v>
      </c>
      <c r="J1518" t="str">
        <f>"OPTICA E JOALHERIA ALEXANDRE LESCHINSKI LTDA ME"</f>
        <v>OPTICA E JOALHERIA ALEXANDRE LESCHINSKI LTDA ME</v>
      </c>
      <c r="K1518" t="str">
        <f>"OPTICA ALEXANDRE (926)"</f>
        <v>OPTICA ALEXANDRE (926)</v>
      </c>
      <c r="L1518" t="str">
        <f>""</f>
        <v/>
      </c>
      <c r="M1518" t="str">
        <f>""</f>
        <v/>
      </c>
      <c r="N1518" t="str">
        <f>"contato@opticaalexandre.com.br"</f>
        <v>contato@opticaalexandre.com.br</v>
      </c>
      <c r="O1518" t="str">
        <f>""</f>
        <v/>
      </c>
      <c r="P1518" t="str">
        <f>"RUA HENRIQUE CONRAD"</f>
        <v>RUA HENRIQUE CONRAD</v>
      </c>
      <c r="Q1518" t="str">
        <f>"393"</f>
        <v>393</v>
      </c>
      <c r="R1518" t="str">
        <f>"LOJA 01"</f>
        <v>LOJA 01</v>
      </c>
      <c r="S1518" t="str">
        <f>"1273"</f>
        <v>1273</v>
      </c>
      <c r="T1518" t="str">
        <f>"89095300"</f>
        <v>89095300</v>
      </c>
      <c r="U1518" t="str">
        <f>"ITOUPAVA"</f>
        <v>ITOUPAVA</v>
      </c>
      <c r="V1518" t="str">
        <f>"BLUMENAU"</f>
        <v>BLUMENAU</v>
      </c>
      <c r="W1518" t="str">
        <f t="shared" si="744"/>
        <v>SC</v>
      </c>
      <c r="X1518" t="str">
        <f t="shared" si="766"/>
        <v>47</v>
      </c>
      <c r="Y1518" t="str">
        <f>"33781956"</f>
        <v>33781956</v>
      </c>
      <c r="Z1518" t="str">
        <f>""</f>
        <v/>
      </c>
      <c r="AA1518" t="str">
        <f>""</f>
        <v/>
      </c>
      <c r="AB1518" t="str">
        <f>""</f>
        <v/>
      </c>
      <c r="AC1518" t="str">
        <f>""</f>
        <v/>
      </c>
      <c r="AD1518" t="str">
        <f>""</f>
        <v/>
      </c>
      <c r="AE1518" t="str">
        <f>""</f>
        <v/>
      </c>
      <c r="AF1518" t="str">
        <f>""</f>
        <v/>
      </c>
      <c r="AG1518" t="str">
        <f>""</f>
        <v/>
      </c>
      <c r="AH1518" t="str">
        <f>""</f>
        <v/>
      </c>
      <c r="AI1518" t="str">
        <f>""</f>
        <v/>
      </c>
      <c r="AJ1518" t="str">
        <f t="shared" si="769"/>
        <v>0</v>
      </c>
      <c r="AK1518" t="str">
        <f t="shared" si="769"/>
        <v>0</v>
      </c>
      <c r="AL1518" t="str">
        <f t="shared" si="769"/>
        <v>0</v>
      </c>
      <c r="AM1518" t="str">
        <f>""</f>
        <v/>
      </c>
      <c r="AN1518" t="str">
        <f>""</f>
        <v/>
      </c>
      <c r="AO1518" t="str">
        <f>""</f>
        <v/>
      </c>
      <c r="AP1518" t="str">
        <f>""</f>
        <v/>
      </c>
      <c r="AQ1518" t="str">
        <f>""</f>
        <v/>
      </c>
      <c r="AR1518" t="str">
        <f>""</f>
        <v/>
      </c>
      <c r="AS1518" t="str">
        <f>""</f>
        <v/>
      </c>
      <c r="AT1518" t="str">
        <f>""</f>
        <v/>
      </c>
      <c r="AU1518" t="str">
        <f>""</f>
        <v/>
      </c>
      <c r="AV1518" t="str">
        <f>""</f>
        <v/>
      </c>
      <c r="AW1518" t="str">
        <f>""</f>
        <v/>
      </c>
      <c r="AX1518" t="str">
        <f>""</f>
        <v/>
      </c>
      <c r="AY1518" t="str">
        <f>""</f>
        <v/>
      </c>
      <c r="AZ1518" t="str">
        <f>""</f>
        <v/>
      </c>
      <c r="BA1518" t="str">
        <f>""</f>
        <v/>
      </c>
      <c r="BB1518" t="str">
        <f>"27/07/2018 09:26:14"</f>
        <v>27/07/2018 09:26:14</v>
      </c>
      <c r="BC1518" t="str">
        <f>""</f>
        <v/>
      </c>
      <c r="BD1518" t="str">
        <f>""</f>
        <v/>
      </c>
      <c r="BE1518" t="str">
        <f>"1308"</f>
        <v>1308</v>
      </c>
      <c r="BF1518" t="str">
        <f t="shared" si="759"/>
        <v>A</v>
      </c>
      <c r="BG1518" t="str">
        <f t="shared" si="770"/>
        <v>0,00</v>
      </c>
      <c r="BH1518" t="str">
        <f t="shared" si="770"/>
        <v>0,00</v>
      </c>
      <c r="BI1518" t="str">
        <f t="shared" si="753"/>
        <v>EVENTUAL</v>
      </c>
      <c r="BJ1518" t="str">
        <f t="shared" si="760"/>
        <v>1</v>
      </c>
      <c r="BK1518" t="str">
        <f t="shared" si="761"/>
        <v>Farmacia</v>
      </c>
      <c r="BL1518" t="str">
        <f>""</f>
        <v/>
      </c>
      <c r="BM1518" t="str">
        <f>"NÃO É VARILUX ESPECIALISTA"</f>
        <v>NÃO É VARILUX ESPECIALISTA</v>
      </c>
      <c r="BN1518" t="str">
        <f t="shared" si="771"/>
        <v>NA</v>
      </c>
      <c r="BO1518" t="str">
        <f>"FOCO VARILUX"</f>
        <v>FOCO VARILUX</v>
      </c>
      <c r="BP1518" t="str">
        <f>""</f>
        <v/>
      </c>
      <c r="BQ1518" t="str">
        <f>""</f>
        <v/>
      </c>
      <c r="BR1518" t="str">
        <f>"27/07/2018"</f>
        <v>27/07/2018</v>
      </c>
      <c r="BS1518" t="str">
        <f>""</f>
        <v/>
      </c>
      <c r="BT1518" t="str">
        <f>""</f>
        <v/>
      </c>
      <c r="BU1518" t="str">
        <f>""</f>
        <v/>
      </c>
      <c r="BV1518" t="str">
        <f>"9"</f>
        <v>9</v>
      </c>
      <c r="BW1518" t="str">
        <f>"74"</f>
        <v>74</v>
      </c>
    </row>
    <row r="1519" spans="1:75" x14ac:dyDescent="0.35">
      <c r="A1519">
        <v>1321</v>
      </c>
      <c r="B1519" t="str">
        <f t="shared" si="754"/>
        <v>A</v>
      </c>
      <c r="C1519" t="str">
        <f t="shared" si="755"/>
        <v>80</v>
      </c>
      <c r="D1519" t="str">
        <f t="shared" si="746"/>
        <v>11121004</v>
      </c>
      <c r="E1519" t="str">
        <f t="shared" si="747"/>
        <v>121004</v>
      </c>
      <c r="F1519" t="str">
        <f t="shared" si="748"/>
        <v>FABIANA GODOY</v>
      </c>
      <c r="G1519" t="str">
        <f>"08769189000193"</f>
        <v>08769189000193</v>
      </c>
      <c r="H1519" t="str">
        <f>""</f>
        <v/>
      </c>
      <c r="I1519" t="str">
        <f t="shared" si="757"/>
        <v>CONTA OPTICA</v>
      </c>
      <c r="J1519" t="str">
        <f>"OPTICA ERNESTO LUCCHESI LTDA ME"</f>
        <v>OPTICA ERNESTO LUCCHESI LTDA ME</v>
      </c>
      <c r="K1519" t="str">
        <f>"OPTICA ERNESTO LUCCHESI (1299)"</f>
        <v>OPTICA ERNESTO LUCCHESI (1299)</v>
      </c>
      <c r="L1519" t="str">
        <f>""</f>
        <v/>
      </c>
      <c r="M1519" t="str">
        <f>""</f>
        <v/>
      </c>
      <c r="N1519" t="str">
        <f>"opticalucchesi@gmail.com"</f>
        <v>opticalucchesi@gmail.com</v>
      </c>
      <c r="O1519" t="str">
        <f>""</f>
        <v/>
      </c>
      <c r="P1519" t="str">
        <f>"RUA QUINZE DE NOVEMBRO"</f>
        <v>RUA QUINZE DE NOVEMBRO</v>
      </c>
      <c r="Q1519" t="str">
        <f>"801"</f>
        <v>801</v>
      </c>
      <c r="R1519" t="str">
        <f>"TERREO SALA 01"</f>
        <v>TERREO SALA 01</v>
      </c>
      <c r="S1519" t="str">
        <f>"1271"</f>
        <v>1271</v>
      </c>
      <c r="T1519" t="str">
        <f>"89010001"</f>
        <v>89010001</v>
      </c>
      <c r="U1519" t="str">
        <f>"CENTRO"</f>
        <v>CENTRO</v>
      </c>
      <c r="V1519" t="str">
        <f>"BLUMENAU"</f>
        <v>BLUMENAU</v>
      </c>
      <c r="W1519" t="str">
        <f t="shared" si="744"/>
        <v>SC</v>
      </c>
      <c r="X1519" t="str">
        <f t="shared" si="766"/>
        <v>47</v>
      </c>
      <c r="Y1519" t="str">
        <f>"33221548"</f>
        <v>33221548</v>
      </c>
      <c r="Z1519" t="str">
        <f>""</f>
        <v/>
      </c>
      <c r="AA1519" t="str">
        <f>""</f>
        <v/>
      </c>
      <c r="AB1519" t="str">
        <f>""</f>
        <v/>
      </c>
      <c r="AC1519" t="str">
        <f>""</f>
        <v/>
      </c>
      <c r="AD1519" t="str">
        <f>""</f>
        <v/>
      </c>
      <c r="AE1519" t="str">
        <f>""</f>
        <v/>
      </c>
      <c r="AF1519" t="str">
        <f>""</f>
        <v/>
      </c>
      <c r="AG1519" t="str">
        <f>"S"</f>
        <v>S</v>
      </c>
      <c r="AH1519" t="str">
        <f>""</f>
        <v/>
      </c>
      <c r="AI1519" t="str">
        <f>""</f>
        <v/>
      </c>
      <c r="AJ1519" t="str">
        <f t="shared" si="769"/>
        <v>0</v>
      </c>
      <c r="AK1519" t="str">
        <f t="shared" si="769"/>
        <v>0</v>
      </c>
      <c r="AL1519" t="str">
        <f t="shared" si="769"/>
        <v>0</v>
      </c>
      <c r="AM1519" t="str">
        <f>""</f>
        <v/>
      </c>
      <c r="AN1519" t="str">
        <f>""</f>
        <v/>
      </c>
      <c r="AO1519" t="str">
        <f>""</f>
        <v/>
      </c>
      <c r="AP1519" t="str">
        <f>""</f>
        <v/>
      </c>
      <c r="AQ1519" t="str">
        <f t="shared" ref="AQ1519:AU1522" si="772">"N"</f>
        <v>N</v>
      </c>
      <c r="AR1519" t="str">
        <f t="shared" si="772"/>
        <v>N</v>
      </c>
      <c r="AS1519" t="str">
        <f t="shared" si="772"/>
        <v>N</v>
      </c>
      <c r="AT1519" t="str">
        <f t="shared" si="772"/>
        <v>N</v>
      </c>
      <c r="AU1519" t="str">
        <f t="shared" si="772"/>
        <v>N</v>
      </c>
      <c r="AV1519" t="str">
        <f>""</f>
        <v/>
      </c>
      <c r="AW1519" t="str">
        <f>""</f>
        <v/>
      </c>
      <c r="AX1519" t="str">
        <f>""</f>
        <v/>
      </c>
      <c r="AY1519" t="str">
        <f>""</f>
        <v/>
      </c>
      <c r="AZ1519" t="str">
        <f>""</f>
        <v/>
      </c>
      <c r="BA1519" t="str">
        <f>""</f>
        <v/>
      </c>
      <c r="BB1519" t="str">
        <f>"27/07/2018 09:26:14"</f>
        <v>27/07/2018 09:26:14</v>
      </c>
      <c r="BC1519" t="str">
        <f>"20/07/2023 17:37:38"</f>
        <v>20/07/2023 17:37:38</v>
      </c>
      <c r="BD1519" t="str">
        <f>""</f>
        <v/>
      </c>
      <c r="BE1519" t="str">
        <f>"1321"</f>
        <v>1321</v>
      </c>
      <c r="BF1519" t="str">
        <f t="shared" si="759"/>
        <v>A</v>
      </c>
      <c r="BG1519" t="str">
        <f t="shared" si="770"/>
        <v>0,00</v>
      </c>
      <c r="BH1519" t="str">
        <f t="shared" si="770"/>
        <v>0,00</v>
      </c>
      <c r="BI1519" t="str">
        <f>"MENSAL"</f>
        <v>MENSAL</v>
      </c>
      <c r="BJ1519" t="str">
        <f t="shared" si="760"/>
        <v>1</v>
      </c>
      <c r="BK1519" t="str">
        <f t="shared" si="761"/>
        <v>Farmacia</v>
      </c>
      <c r="BL1519" t="str">
        <f>""</f>
        <v/>
      </c>
      <c r="BM1519" t="str">
        <f>"NÃO É VARILUX ESPECIALISTA"</f>
        <v>NÃO É VARILUX ESPECIALISTA</v>
      </c>
      <c r="BN1519" t="str">
        <f t="shared" si="771"/>
        <v>NA</v>
      </c>
      <c r="BO1519" t="str">
        <f>"FOCO VARILUX"</f>
        <v>FOCO VARILUX</v>
      </c>
      <c r="BP1519" t="str">
        <f>""</f>
        <v/>
      </c>
      <c r="BQ1519" t="str">
        <f>""</f>
        <v/>
      </c>
      <c r="BR1519" t="str">
        <f>"27/07/2018"</f>
        <v>27/07/2018</v>
      </c>
      <c r="BS1519" t="str">
        <f>"20/07/2023"</f>
        <v>20/07/2023</v>
      </c>
      <c r="BT1519" t="str">
        <f>""</f>
        <v/>
      </c>
      <c r="BU1519" t="str">
        <f>""</f>
        <v/>
      </c>
      <c r="BV1519" t="str">
        <f>"1"</f>
        <v>1</v>
      </c>
      <c r="BW1519" t="str">
        <f>"53"</f>
        <v>53</v>
      </c>
    </row>
    <row r="1520" spans="1:75" x14ac:dyDescent="0.35">
      <c r="A1520">
        <v>137746</v>
      </c>
      <c r="B1520" t="str">
        <f t="shared" si="754"/>
        <v>A</v>
      </c>
      <c r="C1520" t="str">
        <f t="shared" si="755"/>
        <v>80</v>
      </c>
      <c r="D1520" t="str">
        <f t="shared" si="746"/>
        <v>11121004</v>
      </c>
      <c r="E1520" t="str">
        <f t="shared" si="747"/>
        <v>121004</v>
      </c>
      <c r="F1520" t="str">
        <f t="shared" si="748"/>
        <v>FABIANA GODOY</v>
      </c>
      <c r="G1520" t="str">
        <f>"41631520000180"</f>
        <v>41631520000180</v>
      </c>
      <c r="H1520" t="str">
        <f>"0"</f>
        <v>0</v>
      </c>
      <c r="I1520" t="str">
        <f t="shared" si="757"/>
        <v>CONTA OPTICA</v>
      </c>
      <c r="J1520" t="str">
        <f>"OPTICA ESPINHEIROS LTDA"</f>
        <v>OPTICA ESPINHEIROS LTDA</v>
      </c>
      <c r="K1520" t="str">
        <f>"OPTICA CONFORTO VISUAL (4316)"</f>
        <v>OPTICA CONFORTO VISUAL (4316)</v>
      </c>
      <c r="L1520" t="str">
        <f>""</f>
        <v/>
      </c>
      <c r="M1520" t="str">
        <f>""</f>
        <v/>
      </c>
      <c r="N1520" t="str">
        <f>"ATENDIMENTO@OPTICACONFORTOVISUAL.COM.BR"</f>
        <v>ATENDIMENTO@OPTICACONFORTOVISUAL.COM.BR</v>
      </c>
      <c r="O1520" t="str">
        <f>""</f>
        <v/>
      </c>
      <c r="P1520" t="str">
        <f>"RUA FERMINO VIEIRA CORDEIRO"</f>
        <v>RUA FERMINO VIEIRA CORDEIRO</v>
      </c>
      <c r="Q1520" t="str">
        <f>"2055"</f>
        <v>2055</v>
      </c>
      <c r="R1520" t="str">
        <f>"LOJA 118"</f>
        <v>LOJA 118</v>
      </c>
      <c r="S1520" t="str">
        <f>""</f>
        <v/>
      </c>
      <c r="T1520" t="str">
        <f>"88317200"</f>
        <v>88317200</v>
      </c>
      <c r="U1520" t="str">
        <f>"ESPINHEIROS"</f>
        <v>ESPINHEIROS</v>
      </c>
      <c r="V1520" t="str">
        <f>"ITAJAÍ"</f>
        <v>ITAJAÍ</v>
      </c>
      <c r="W1520" t="str">
        <f t="shared" ref="W1520:W1583" si="773">"SC"</f>
        <v>SC</v>
      </c>
      <c r="X1520" t="str">
        <f t="shared" si="766"/>
        <v>47</v>
      </c>
      <c r="Y1520" t="str">
        <f>"32241958"</f>
        <v>32241958</v>
      </c>
      <c r="Z1520" t="str">
        <f>""</f>
        <v/>
      </c>
      <c r="AA1520" t="str">
        <f>""</f>
        <v/>
      </c>
      <c r="AB1520" t="str">
        <f>""</f>
        <v/>
      </c>
      <c r="AC1520" t="str">
        <f>""</f>
        <v/>
      </c>
      <c r="AD1520" t="str">
        <f>""</f>
        <v/>
      </c>
      <c r="AE1520" t="str">
        <f>""</f>
        <v/>
      </c>
      <c r="AF1520" t="str">
        <f>""</f>
        <v/>
      </c>
      <c r="AG1520" t="str">
        <f>"S"</f>
        <v>S</v>
      </c>
      <c r="AH1520" t="str">
        <f>""</f>
        <v/>
      </c>
      <c r="AI1520" t="str">
        <f>""</f>
        <v/>
      </c>
      <c r="AJ1520" t="str">
        <f>""</f>
        <v/>
      </c>
      <c r="AK1520" t="str">
        <f>""</f>
        <v/>
      </c>
      <c r="AL1520" t="str">
        <f>""</f>
        <v/>
      </c>
      <c r="AM1520" t="str">
        <f>""</f>
        <v/>
      </c>
      <c r="AN1520" t="str">
        <f>""</f>
        <v/>
      </c>
      <c r="AO1520" t="str">
        <f>""</f>
        <v/>
      </c>
      <c r="AP1520" t="str">
        <f>""</f>
        <v/>
      </c>
      <c r="AQ1520" t="str">
        <f t="shared" si="772"/>
        <v>N</v>
      </c>
      <c r="AR1520" t="str">
        <f t="shared" si="772"/>
        <v>N</v>
      </c>
      <c r="AS1520" t="str">
        <f t="shared" si="772"/>
        <v>N</v>
      </c>
      <c r="AT1520" t="str">
        <f t="shared" si="772"/>
        <v>N</v>
      </c>
      <c r="AU1520" t="str">
        <f t="shared" si="772"/>
        <v>N</v>
      </c>
      <c r="AV1520" t="str">
        <f>""</f>
        <v/>
      </c>
      <c r="AW1520" t="str">
        <f>""</f>
        <v/>
      </c>
      <c r="AX1520" t="str">
        <f>""</f>
        <v/>
      </c>
      <c r="AY1520" t="str">
        <f>""</f>
        <v/>
      </c>
      <c r="AZ1520" t="str">
        <f>""</f>
        <v/>
      </c>
      <c r="BA1520" t="str">
        <f>""</f>
        <v/>
      </c>
      <c r="BB1520" t="str">
        <f>"01/07/2021 13:53:04"</f>
        <v>01/07/2021 13:53:04</v>
      </c>
      <c r="BC1520" t="str">
        <f>"18/01/2022 16:19:38"</f>
        <v>18/01/2022 16:19:38</v>
      </c>
      <c r="BD1520" t="str">
        <f>""</f>
        <v/>
      </c>
      <c r="BE1520" t="str">
        <f>""</f>
        <v/>
      </c>
      <c r="BF1520" t="str">
        <f t="shared" si="759"/>
        <v>A</v>
      </c>
      <c r="BG1520" t="str">
        <f>""</f>
        <v/>
      </c>
      <c r="BH1520" t="str">
        <f>"0,00"</f>
        <v>0,00</v>
      </c>
      <c r="BI1520" t="str">
        <f>"EVENTUAL"</f>
        <v>EVENTUAL</v>
      </c>
      <c r="BJ1520" t="str">
        <f t="shared" si="760"/>
        <v>1</v>
      </c>
      <c r="BK1520" t="str">
        <f t="shared" si="761"/>
        <v>Farmacia</v>
      </c>
      <c r="BL1520" t="str">
        <f>""</f>
        <v/>
      </c>
      <c r="BM1520" t="str">
        <f>"NÃO É VARILUX ESPECIALISTA"</f>
        <v>NÃO É VARILUX ESPECIALISTA</v>
      </c>
      <c r="BN1520" t="str">
        <f t="shared" si="771"/>
        <v>NA</v>
      </c>
      <c r="BO1520" t="str">
        <f>"FOCO VARILUX"</f>
        <v>FOCO VARILUX</v>
      </c>
      <c r="BP1520" t="str">
        <f>""</f>
        <v/>
      </c>
      <c r="BQ1520" t="str">
        <f>""</f>
        <v/>
      </c>
      <c r="BR1520" t="str">
        <f>"01/07/2021"</f>
        <v>01/07/2021</v>
      </c>
      <c r="BS1520" t="str">
        <f>"18/01/2022"</f>
        <v>18/01/2022</v>
      </c>
      <c r="BT1520" t="str">
        <f>""</f>
        <v/>
      </c>
      <c r="BU1520" t="str">
        <f>""</f>
        <v/>
      </c>
      <c r="BV1520" t="str">
        <f>""</f>
        <v/>
      </c>
      <c r="BW1520" t="str">
        <f>"161"</f>
        <v>161</v>
      </c>
    </row>
    <row r="1521" spans="1:75" x14ac:dyDescent="0.35">
      <c r="A1521">
        <v>1261</v>
      </c>
      <c r="B1521" t="str">
        <f t="shared" si="754"/>
        <v>A</v>
      </c>
      <c r="C1521" t="str">
        <f t="shared" si="755"/>
        <v>80</v>
      </c>
      <c r="D1521" t="str">
        <f t="shared" si="746"/>
        <v>11121004</v>
      </c>
      <c r="E1521" t="str">
        <f t="shared" si="747"/>
        <v>121004</v>
      </c>
      <c r="F1521" t="str">
        <f t="shared" si="748"/>
        <v>FABIANA GODOY</v>
      </c>
      <c r="G1521" t="str">
        <f>"03769912000110"</f>
        <v>03769912000110</v>
      </c>
      <c r="H1521" t="str">
        <f>""</f>
        <v/>
      </c>
      <c r="I1521" t="str">
        <f t="shared" si="757"/>
        <v>CONTA OPTICA</v>
      </c>
      <c r="J1521" t="str">
        <f>"OPTICA FACHINI EIRELI - ME"</f>
        <v>OPTICA FACHINI EIRELI - ME</v>
      </c>
      <c r="K1521" t="str">
        <f>"OTICA FACHINI (1208)"</f>
        <v>OTICA FACHINI (1208)</v>
      </c>
      <c r="L1521" t="str">
        <f>""</f>
        <v/>
      </c>
      <c r="M1521" t="str">
        <f>""</f>
        <v/>
      </c>
      <c r="N1521" t="str">
        <f>"opticafachini@yahoo.com.br"</f>
        <v>opticafachini@yahoo.com.br</v>
      </c>
      <c r="O1521" t="str">
        <f>""</f>
        <v/>
      </c>
      <c r="P1521" t="str">
        <f>"RUA TUIUTI"</f>
        <v>RUA TUIUTI</v>
      </c>
      <c r="Q1521" t="str">
        <f>"165"</f>
        <v>165</v>
      </c>
      <c r="R1521" t="str">
        <f>"SALA 05"</f>
        <v>SALA 05</v>
      </c>
      <c r="S1521" t="str">
        <f>"1276"</f>
        <v>1276</v>
      </c>
      <c r="T1521" t="str">
        <f>"89160045"</f>
        <v>89160045</v>
      </c>
      <c r="U1521" t="str">
        <f t="shared" ref="U1521:U1526" si="774">"CENTRO"</f>
        <v>CENTRO</v>
      </c>
      <c r="V1521" t="str">
        <f>"RIO DO SUL"</f>
        <v>RIO DO SUL</v>
      </c>
      <c r="W1521" t="str">
        <f t="shared" si="773"/>
        <v>SC</v>
      </c>
      <c r="X1521" t="str">
        <f t="shared" si="766"/>
        <v>47</v>
      </c>
      <c r="Y1521" t="str">
        <f>"35210152"</f>
        <v>35210152</v>
      </c>
      <c r="Z1521" t="str">
        <f>""</f>
        <v/>
      </c>
      <c r="AA1521" t="str">
        <f>""</f>
        <v/>
      </c>
      <c r="AB1521" t="str">
        <f>""</f>
        <v/>
      </c>
      <c r="AC1521" t="str">
        <f>""</f>
        <v/>
      </c>
      <c r="AD1521" t="str">
        <f>""</f>
        <v/>
      </c>
      <c r="AE1521" t="str">
        <f>""</f>
        <v/>
      </c>
      <c r="AF1521" t="str">
        <f>""</f>
        <v/>
      </c>
      <c r="AG1521" t="str">
        <f>"S"</f>
        <v>S</v>
      </c>
      <c r="AH1521" t="str">
        <f>""</f>
        <v/>
      </c>
      <c r="AI1521" t="str">
        <f>""</f>
        <v/>
      </c>
      <c r="AJ1521" t="str">
        <f>"0"</f>
        <v>0</v>
      </c>
      <c r="AK1521" t="str">
        <f>"0"</f>
        <v>0</v>
      </c>
      <c r="AL1521" t="str">
        <f>"0"</f>
        <v>0</v>
      </c>
      <c r="AM1521" t="str">
        <f>""</f>
        <v/>
      </c>
      <c r="AN1521" t="str">
        <f>""</f>
        <v/>
      </c>
      <c r="AO1521" t="str">
        <f>""</f>
        <v/>
      </c>
      <c r="AP1521" t="str">
        <f>""</f>
        <v/>
      </c>
      <c r="AQ1521" t="str">
        <f t="shared" si="772"/>
        <v>N</v>
      </c>
      <c r="AR1521" t="str">
        <f t="shared" si="772"/>
        <v>N</v>
      </c>
      <c r="AS1521" t="str">
        <f t="shared" si="772"/>
        <v>N</v>
      </c>
      <c r="AT1521" t="str">
        <f t="shared" si="772"/>
        <v>N</v>
      </c>
      <c r="AU1521" t="str">
        <f t="shared" si="772"/>
        <v>N</v>
      </c>
      <c r="AV1521" t="str">
        <f>""</f>
        <v/>
      </c>
      <c r="AW1521" t="str">
        <f>""</f>
        <v/>
      </c>
      <c r="AX1521" t="str">
        <f>""</f>
        <v/>
      </c>
      <c r="AY1521" t="str">
        <f>""</f>
        <v/>
      </c>
      <c r="AZ1521" t="str">
        <f>""</f>
        <v/>
      </c>
      <c r="BA1521" t="str">
        <f>""</f>
        <v/>
      </c>
      <c r="BB1521" t="str">
        <f>"27/07/2018 09:26:12"</f>
        <v>27/07/2018 09:26:12</v>
      </c>
      <c r="BC1521" t="str">
        <f>"11/07/2023 16:57:32"</f>
        <v>11/07/2023 16:57:32</v>
      </c>
      <c r="BD1521" t="str">
        <f>""</f>
        <v/>
      </c>
      <c r="BE1521" t="str">
        <f>"1261"</f>
        <v>1261</v>
      </c>
      <c r="BF1521" t="str">
        <f t="shared" si="759"/>
        <v>A</v>
      </c>
      <c r="BG1521" t="str">
        <f>"0,00"</f>
        <v>0,00</v>
      </c>
      <c r="BH1521" t="str">
        <f>"0,00"</f>
        <v>0,00</v>
      </c>
      <c r="BI1521" t="str">
        <f>"MENSAL"</f>
        <v>MENSAL</v>
      </c>
      <c r="BJ1521" t="str">
        <f t="shared" si="760"/>
        <v>1</v>
      </c>
      <c r="BK1521" t="str">
        <f t="shared" si="761"/>
        <v>Farmacia</v>
      </c>
      <c r="BL1521" t="str">
        <f>""</f>
        <v/>
      </c>
      <c r="BM1521" t="str">
        <f>"NÃO É VARILUX ESPECIALISTA"</f>
        <v>NÃO É VARILUX ESPECIALISTA</v>
      </c>
      <c r="BN1521" t="str">
        <f t="shared" si="771"/>
        <v>NA</v>
      </c>
      <c r="BO1521" t="str">
        <f>"OUTROS"</f>
        <v>OUTROS</v>
      </c>
      <c r="BP1521" t="str">
        <f>""</f>
        <v/>
      </c>
      <c r="BQ1521" t="str">
        <f>""</f>
        <v/>
      </c>
      <c r="BR1521" t="str">
        <f>"27/07/2018"</f>
        <v>27/07/2018</v>
      </c>
      <c r="BS1521" t="str">
        <f>"11/07/2023"</f>
        <v>11/07/2023</v>
      </c>
      <c r="BT1521" t="str">
        <f>""</f>
        <v/>
      </c>
      <c r="BU1521" t="str">
        <f>""</f>
        <v/>
      </c>
      <c r="BV1521" t="str">
        <f>"4"</f>
        <v>4</v>
      </c>
      <c r="BW1521" t="str">
        <f>"17"</f>
        <v>17</v>
      </c>
    </row>
    <row r="1522" spans="1:75" x14ac:dyDescent="0.35">
      <c r="A1522">
        <v>137748</v>
      </c>
      <c r="B1522" t="str">
        <f t="shared" si="754"/>
        <v>A</v>
      </c>
      <c r="C1522" t="str">
        <f t="shared" si="755"/>
        <v>80</v>
      </c>
      <c r="D1522" t="str">
        <f t="shared" si="746"/>
        <v>11121004</v>
      </c>
      <c r="E1522" t="str">
        <f t="shared" si="747"/>
        <v>121004</v>
      </c>
      <c r="F1522" t="str">
        <f t="shared" si="748"/>
        <v>FABIANA GODOY</v>
      </c>
      <c r="G1522" t="str">
        <f>"84149079000107"</f>
        <v>84149079000107</v>
      </c>
      <c r="H1522" t="str">
        <f t="shared" ref="H1522:H1532" si="775">"0"</f>
        <v>0</v>
      </c>
      <c r="I1522" t="str">
        <f t="shared" si="757"/>
        <v>CONTA OPTICA</v>
      </c>
      <c r="J1522" t="str">
        <f>"OPTICA HERWEG LTDA"</f>
        <v>OPTICA HERWEG LTDA</v>
      </c>
      <c r="K1522" t="str">
        <f>"GERHARD HERWEG (117)"</f>
        <v>GERHARD HERWEG (117)</v>
      </c>
      <c r="L1522" t="str">
        <f>""</f>
        <v/>
      </c>
      <c r="M1522" t="str">
        <f>""</f>
        <v/>
      </c>
      <c r="N1522" t="str">
        <f>"werner.herwer@terra.com.br"</f>
        <v>werner.herwer@terra.com.br</v>
      </c>
      <c r="O1522" t="str">
        <f>""</f>
        <v/>
      </c>
      <c r="P1522" t="str">
        <f>"RUA TIRADENTES"</f>
        <v>RUA TIRADENTES</v>
      </c>
      <c r="Q1522" t="str">
        <f>"283"</f>
        <v>283</v>
      </c>
      <c r="R1522" t="str">
        <f>"SALA 06"</f>
        <v>SALA 06</v>
      </c>
      <c r="S1522" t="str">
        <f>"1275"</f>
        <v>1275</v>
      </c>
      <c r="T1522" t="str">
        <f>"89140000"</f>
        <v>89140000</v>
      </c>
      <c r="U1522" t="str">
        <f t="shared" si="774"/>
        <v>CENTRO</v>
      </c>
      <c r="V1522" t="str">
        <f>"IBIRAMA"</f>
        <v>IBIRAMA</v>
      </c>
      <c r="W1522" t="str">
        <f t="shared" si="773"/>
        <v>SC</v>
      </c>
      <c r="X1522" t="str">
        <f t="shared" si="766"/>
        <v>47</v>
      </c>
      <c r="Y1522" t="str">
        <f>"33572043"</f>
        <v>33572043</v>
      </c>
      <c r="Z1522" t="str">
        <f>""</f>
        <v/>
      </c>
      <c r="AA1522" t="str">
        <f>""</f>
        <v/>
      </c>
      <c r="AB1522" t="str">
        <f>""</f>
        <v/>
      </c>
      <c r="AC1522" t="str">
        <f>""</f>
        <v/>
      </c>
      <c r="AD1522" t="str">
        <f>""</f>
        <v/>
      </c>
      <c r="AE1522" t="str">
        <f>""</f>
        <v/>
      </c>
      <c r="AF1522" t="str">
        <f>""</f>
        <v/>
      </c>
      <c r="AG1522" t="str">
        <f>"S"</f>
        <v>S</v>
      </c>
      <c r="AH1522" t="str">
        <f>""</f>
        <v/>
      </c>
      <c r="AI1522" t="str">
        <f>""</f>
        <v/>
      </c>
      <c r="AJ1522" t="str">
        <f>""</f>
        <v/>
      </c>
      <c r="AK1522" t="str">
        <f>""</f>
        <v/>
      </c>
      <c r="AL1522" t="str">
        <f>""</f>
        <v/>
      </c>
      <c r="AM1522" t="str">
        <f>""</f>
        <v/>
      </c>
      <c r="AN1522" t="str">
        <f>""</f>
        <v/>
      </c>
      <c r="AO1522" t="str">
        <f>""</f>
        <v/>
      </c>
      <c r="AP1522" t="str">
        <f>""</f>
        <v/>
      </c>
      <c r="AQ1522" t="str">
        <f t="shared" si="772"/>
        <v>N</v>
      </c>
      <c r="AR1522" t="str">
        <f t="shared" si="772"/>
        <v>N</v>
      </c>
      <c r="AS1522" t="str">
        <f t="shared" si="772"/>
        <v>N</v>
      </c>
      <c r="AT1522" t="str">
        <f t="shared" si="772"/>
        <v>N</v>
      </c>
      <c r="AU1522" t="str">
        <f t="shared" si="772"/>
        <v>N</v>
      </c>
      <c r="AV1522" t="str">
        <f>""</f>
        <v/>
      </c>
      <c r="AW1522" t="str">
        <f>""</f>
        <v/>
      </c>
      <c r="AX1522" t="str">
        <f>""</f>
        <v/>
      </c>
      <c r="AY1522" t="str">
        <f>""</f>
        <v/>
      </c>
      <c r="AZ1522" t="str">
        <f>""</f>
        <v/>
      </c>
      <c r="BA1522" t="str">
        <f>""</f>
        <v/>
      </c>
      <c r="BB1522" t="str">
        <f>"01/07/2021 13:53:04"</f>
        <v>01/07/2021 13:53:04</v>
      </c>
      <c r="BC1522" t="str">
        <f>"12/04/2022 11:49:20"</f>
        <v>12/04/2022 11:49:20</v>
      </c>
      <c r="BD1522" t="str">
        <f>""</f>
        <v/>
      </c>
      <c r="BE1522" t="str">
        <f>""</f>
        <v/>
      </c>
      <c r="BF1522" t="str">
        <f t="shared" si="759"/>
        <v>A</v>
      </c>
      <c r="BG1522" t="str">
        <f>""</f>
        <v/>
      </c>
      <c r="BH1522" t="str">
        <f>"0,00"</f>
        <v>0,00</v>
      </c>
      <c r="BI1522" t="str">
        <f t="shared" ref="BI1522:BI1535" si="776">"EVENTUAL"</f>
        <v>EVENTUAL</v>
      </c>
      <c r="BJ1522" t="str">
        <f t="shared" si="760"/>
        <v>1</v>
      </c>
      <c r="BK1522" t="str">
        <f t="shared" si="761"/>
        <v>Farmacia</v>
      </c>
      <c r="BL1522" t="str">
        <f>""</f>
        <v/>
      </c>
      <c r="BM1522" t="str">
        <f>"VARILUX ESPECIALISTA PLATINE"</f>
        <v>VARILUX ESPECIALISTA PLATINE</v>
      </c>
      <c r="BN1522" t="str">
        <f t="shared" si="771"/>
        <v>NA</v>
      </c>
      <c r="BO1522" t="str">
        <f>"FOCO VARILUX DIGITAL"</f>
        <v>FOCO VARILUX DIGITAL</v>
      </c>
      <c r="BP1522" t="str">
        <f>""</f>
        <v/>
      </c>
      <c r="BQ1522" t="str">
        <f>""</f>
        <v/>
      </c>
      <c r="BR1522" t="str">
        <f>"01/07/2021"</f>
        <v>01/07/2021</v>
      </c>
      <c r="BS1522" t="str">
        <f>"12/04/2022"</f>
        <v>12/04/2022</v>
      </c>
      <c r="BT1522" t="str">
        <f>""</f>
        <v/>
      </c>
      <c r="BU1522" t="str">
        <f>""</f>
        <v/>
      </c>
      <c r="BV1522" t="str">
        <f>""</f>
        <v/>
      </c>
      <c r="BW1522" t="str">
        <f>"122"</f>
        <v>122</v>
      </c>
    </row>
    <row r="1523" spans="1:75" x14ac:dyDescent="0.35">
      <c r="A1523">
        <v>157126</v>
      </c>
      <c r="B1523" t="str">
        <f t="shared" si="754"/>
        <v>A</v>
      </c>
      <c r="C1523" t="str">
        <f t="shared" si="755"/>
        <v>80</v>
      </c>
      <c r="D1523" t="str">
        <f t="shared" ref="D1523:D1586" si="777">"11121004"</f>
        <v>11121004</v>
      </c>
      <c r="E1523" t="str">
        <f t="shared" ref="E1523:E1586" si="778">"121004"</f>
        <v>121004</v>
      </c>
      <c r="F1523" t="str">
        <f t="shared" ref="F1523:F1586" si="779">"FABIANA GODOY"</f>
        <v>FABIANA GODOY</v>
      </c>
      <c r="G1523" t="str">
        <f>"19854944000154"</f>
        <v>19854944000154</v>
      </c>
      <c r="H1523" t="str">
        <f t="shared" si="775"/>
        <v>0</v>
      </c>
      <c r="I1523" t="str">
        <f t="shared" si="757"/>
        <v>CONTA OPTICA</v>
      </c>
      <c r="J1523" t="str">
        <f>"OPTICA HEUSSER LTDA"</f>
        <v>OPTICA HEUSSER LTDA</v>
      </c>
      <c r="K1523" t="str">
        <f>"OTICA SOBERANA (2089)"</f>
        <v>OTICA SOBERANA (2089)</v>
      </c>
      <c r="L1523" t="str">
        <f>""</f>
        <v/>
      </c>
      <c r="M1523" t="str">
        <f>""</f>
        <v/>
      </c>
      <c r="N1523" t="str">
        <f>"OTICASOBERANA@OTICASOBERANA.COM.BR"</f>
        <v>OTICASOBERANA@OTICASOBERANA.COM.BR</v>
      </c>
      <c r="O1523" t="str">
        <f>""</f>
        <v/>
      </c>
      <c r="P1523" t="str">
        <f>"RUA HERCILIO LUZ"</f>
        <v>RUA HERCILIO LUZ</v>
      </c>
      <c r="Q1523" t="str">
        <f>"125"</f>
        <v>125</v>
      </c>
      <c r="R1523" t="str">
        <f>""</f>
        <v/>
      </c>
      <c r="S1523" t="str">
        <f>"1261"</f>
        <v>1261</v>
      </c>
      <c r="T1523" t="str">
        <f>"88301001"</f>
        <v>88301001</v>
      </c>
      <c r="U1523" t="str">
        <f t="shared" si="774"/>
        <v>CENTRO</v>
      </c>
      <c r="V1523" t="str">
        <f>"ITAJAI"</f>
        <v>ITAJAI</v>
      </c>
      <c r="W1523" t="str">
        <f t="shared" si="773"/>
        <v>SC</v>
      </c>
      <c r="X1523" t="str">
        <f t="shared" si="766"/>
        <v>47</v>
      </c>
      <c r="Y1523" t="str">
        <f>"30452415"</f>
        <v>30452415</v>
      </c>
      <c r="Z1523" t="str">
        <f>""</f>
        <v/>
      </c>
      <c r="AA1523" t="str">
        <f>""</f>
        <v/>
      </c>
      <c r="AB1523" t="str">
        <f>""</f>
        <v/>
      </c>
      <c r="AC1523" t="str">
        <f>""</f>
        <v/>
      </c>
      <c r="AD1523" t="str">
        <f>""</f>
        <v/>
      </c>
      <c r="AE1523" t="str">
        <f>""</f>
        <v/>
      </c>
      <c r="AF1523" t="str">
        <f>""</f>
        <v/>
      </c>
      <c r="AG1523" t="str">
        <f>""</f>
        <v/>
      </c>
      <c r="AH1523" t="str">
        <f>""</f>
        <v/>
      </c>
      <c r="AI1523" t="str">
        <f>""</f>
        <v/>
      </c>
      <c r="AJ1523" t="str">
        <f>""</f>
        <v/>
      </c>
      <c r="AK1523" t="str">
        <f>""</f>
        <v/>
      </c>
      <c r="AL1523" t="str">
        <f>""</f>
        <v/>
      </c>
      <c r="AM1523" t="str">
        <f>""</f>
        <v/>
      </c>
      <c r="AN1523" t="str">
        <f>""</f>
        <v/>
      </c>
      <c r="AO1523" t="str">
        <f>""</f>
        <v/>
      </c>
      <c r="AP1523" t="str">
        <f>""</f>
        <v/>
      </c>
      <c r="AQ1523" t="str">
        <f>""</f>
        <v/>
      </c>
      <c r="AR1523" t="str">
        <f>""</f>
        <v/>
      </c>
      <c r="AS1523" t="str">
        <f>""</f>
        <v/>
      </c>
      <c r="AT1523" t="str">
        <f>""</f>
        <v/>
      </c>
      <c r="AU1523" t="str">
        <f>""</f>
        <v/>
      </c>
      <c r="AV1523" t="str">
        <f>""</f>
        <v/>
      </c>
      <c r="AW1523" t="str">
        <f>""</f>
        <v/>
      </c>
      <c r="AX1523" t="str">
        <f>""</f>
        <v/>
      </c>
      <c r="AY1523" t="str">
        <f>""</f>
        <v/>
      </c>
      <c r="AZ1523" t="str">
        <f>""</f>
        <v/>
      </c>
      <c r="BA1523" t="str">
        <f>""</f>
        <v/>
      </c>
      <c r="BB1523" t="str">
        <f>"06/07/2023 12:07:48"</f>
        <v>06/07/2023 12:07:48</v>
      </c>
      <c r="BC1523" t="str">
        <f>""</f>
        <v/>
      </c>
      <c r="BD1523" t="str">
        <f>""</f>
        <v/>
      </c>
      <c r="BE1523" t="str">
        <f>""</f>
        <v/>
      </c>
      <c r="BF1523" t="str">
        <f t="shared" si="759"/>
        <v>A</v>
      </c>
      <c r="BG1523" t="str">
        <f>""</f>
        <v/>
      </c>
      <c r="BH1523" t="str">
        <f>""</f>
        <v/>
      </c>
      <c r="BI1523" t="str">
        <f t="shared" si="776"/>
        <v>EVENTUAL</v>
      </c>
      <c r="BJ1523" t="str">
        <f t="shared" si="760"/>
        <v>1</v>
      </c>
      <c r="BK1523" t="str">
        <f t="shared" si="761"/>
        <v>Farmacia</v>
      </c>
      <c r="BL1523" t="str">
        <f>""</f>
        <v/>
      </c>
      <c r="BM1523" t="str">
        <f>""</f>
        <v/>
      </c>
      <c r="BN1523" t="str">
        <f>""</f>
        <v/>
      </c>
      <c r="BO1523" t="str">
        <f>""</f>
        <v/>
      </c>
      <c r="BP1523" t="str">
        <f>""</f>
        <v/>
      </c>
      <c r="BQ1523" t="str">
        <f>""</f>
        <v/>
      </c>
      <c r="BR1523" t="str">
        <f>"06/07/2023"</f>
        <v>06/07/2023</v>
      </c>
      <c r="BS1523" t="str">
        <f>""</f>
        <v/>
      </c>
      <c r="BT1523" t="str">
        <f>""</f>
        <v/>
      </c>
      <c r="BU1523" t="str">
        <f>""</f>
        <v/>
      </c>
      <c r="BV1523" t="str">
        <f>""</f>
        <v/>
      </c>
      <c r="BW1523" t="str">
        <f>"32"</f>
        <v>32</v>
      </c>
    </row>
    <row r="1524" spans="1:75" x14ac:dyDescent="0.35">
      <c r="A1524">
        <v>137750</v>
      </c>
      <c r="B1524" t="str">
        <f t="shared" si="754"/>
        <v>A</v>
      </c>
      <c r="C1524" t="str">
        <f t="shared" si="755"/>
        <v>80</v>
      </c>
      <c r="D1524" t="str">
        <f t="shared" si="777"/>
        <v>11121004</v>
      </c>
      <c r="E1524" t="str">
        <f t="shared" si="778"/>
        <v>121004</v>
      </c>
      <c r="F1524" t="str">
        <f t="shared" si="779"/>
        <v>FABIANA GODOY</v>
      </c>
      <c r="G1524" t="str">
        <f>"18804122000104"</f>
        <v>18804122000104</v>
      </c>
      <c r="H1524" t="str">
        <f t="shared" si="775"/>
        <v>0</v>
      </c>
      <c r="I1524" t="str">
        <f t="shared" si="757"/>
        <v>CONTA OPTICA</v>
      </c>
      <c r="J1524" t="str">
        <f>"OPTICA MACHOTA LTDA ME"</f>
        <v>OPTICA MACHOTA LTDA ME</v>
      </c>
      <c r="K1524" t="str">
        <f>"OPTICA MACHOTA (2082)"</f>
        <v>OPTICA MACHOTA (2082)</v>
      </c>
      <c r="L1524" t="str">
        <f>""</f>
        <v/>
      </c>
      <c r="M1524" t="str">
        <f>""</f>
        <v/>
      </c>
      <c r="N1524" t="str">
        <f>"optica@machota.com.br"</f>
        <v>optica@machota.com.br</v>
      </c>
      <c r="O1524" t="str">
        <f>""</f>
        <v/>
      </c>
      <c r="P1524" t="str">
        <f>"RUA LAURO MULLER"</f>
        <v>RUA LAURO MULLER</v>
      </c>
      <c r="Q1524" t="str">
        <f>"150"</f>
        <v>150</v>
      </c>
      <c r="R1524" t="str">
        <f>"SALA 1"</f>
        <v>SALA 1</v>
      </c>
      <c r="S1524" t="str">
        <f>"1273"</f>
        <v>1273</v>
      </c>
      <c r="T1524" t="str">
        <f>"89080039"</f>
        <v>89080039</v>
      </c>
      <c r="U1524" t="str">
        <f t="shared" si="774"/>
        <v>CENTRO</v>
      </c>
      <c r="V1524" t="str">
        <f>"INDAIAL"</f>
        <v>INDAIAL</v>
      </c>
      <c r="W1524" t="str">
        <f t="shared" si="773"/>
        <v>SC</v>
      </c>
      <c r="X1524" t="str">
        <f t="shared" si="766"/>
        <v>47</v>
      </c>
      <c r="Y1524" t="str">
        <f>"33330275"</f>
        <v>33330275</v>
      </c>
      <c r="Z1524" t="str">
        <f>""</f>
        <v/>
      </c>
      <c r="AA1524" t="str">
        <f>""</f>
        <v/>
      </c>
      <c r="AB1524" t="str">
        <f>""</f>
        <v/>
      </c>
      <c r="AC1524" t="str">
        <f>""</f>
        <v/>
      </c>
      <c r="AD1524" t="str">
        <f>""</f>
        <v/>
      </c>
      <c r="AE1524" t="str">
        <f>""</f>
        <v/>
      </c>
      <c r="AF1524" t="str">
        <f>""</f>
        <v/>
      </c>
      <c r="AG1524" t="str">
        <f>"S"</f>
        <v>S</v>
      </c>
      <c r="AH1524" t="str">
        <f>""</f>
        <v/>
      </c>
      <c r="AI1524" t="str">
        <f>""</f>
        <v/>
      </c>
      <c r="AJ1524" t="str">
        <f>""</f>
        <v/>
      </c>
      <c r="AK1524" t="str">
        <f>""</f>
        <v/>
      </c>
      <c r="AL1524" t="str">
        <f>""</f>
        <v/>
      </c>
      <c r="AM1524" t="str">
        <f>""</f>
        <v/>
      </c>
      <c r="AN1524" t="str">
        <f>""</f>
        <v/>
      </c>
      <c r="AO1524" t="str">
        <f>""</f>
        <v/>
      </c>
      <c r="AP1524" t="str">
        <f>""</f>
        <v/>
      </c>
      <c r="AQ1524" t="str">
        <f>"N"</f>
        <v>N</v>
      </c>
      <c r="AR1524" t="str">
        <f>"N"</f>
        <v>N</v>
      </c>
      <c r="AS1524" t="str">
        <f>"N"</f>
        <v>N</v>
      </c>
      <c r="AT1524" t="str">
        <f>"N"</f>
        <v>N</v>
      </c>
      <c r="AU1524" t="str">
        <f>"N"</f>
        <v>N</v>
      </c>
      <c r="AV1524" t="str">
        <f>""</f>
        <v/>
      </c>
      <c r="AW1524" t="str">
        <f>""</f>
        <v/>
      </c>
      <c r="AX1524" t="str">
        <f>""</f>
        <v/>
      </c>
      <c r="AY1524" t="str">
        <f>""</f>
        <v/>
      </c>
      <c r="AZ1524" t="str">
        <f>""</f>
        <v/>
      </c>
      <c r="BA1524" t="str">
        <f>""</f>
        <v/>
      </c>
      <c r="BB1524" t="str">
        <f>"01/07/2021 13:53:04"</f>
        <v>01/07/2021 13:53:04</v>
      </c>
      <c r="BC1524" t="str">
        <f>"05/01/2023 16:42:05"</f>
        <v>05/01/2023 16:42:05</v>
      </c>
      <c r="BD1524" t="str">
        <f>""</f>
        <v/>
      </c>
      <c r="BE1524" t="str">
        <f>""</f>
        <v/>
      </c>
      <c r="BF1524" t="str">
        <f t="shared" si="759"/>
        <v>A</v>
      </c>
      <c r="BG1524" t="str">
        <f>""</f>
        <v/>
      </c>
      <c r="BH1524" t="str">
        <f>"0,00"</f>
        <v>0,00</v>
      </c>
      <c r="BI1524" t="str">
        <f t="shared" si="776"/>
        <v>EVENTUAL</v>
      </c>
      <c r="BJ1524" t="str">
        <f t="shared" si="760"/>
        <v>1</v>
      </c>
      <c r="BK1524" t="str">
        <f t="shared" si="761"/>
        <v>Farmacia</v>
      </c>
      <c r="BL1524" t="str">
        <f>""</f>
        <v/>
      </c>
      <c r="BM1524" t="str">
        <f>"CREDENCIADO VARILUX"</f>
        <v>CREDENCIADO VARILUX</v>
      </c>
      <c r="BN1524" t="str">
        <f>"EL360"</f>
        <v>EL360</v>
      </c>
      <c r="BO1524" t="str">
        <f>"FOCO VARILUX DIGITAL"</f>
        <v>FOCO VARILUX DIGITAL</v>
      </c>
      <c r="BP1524" t="str">
        <f>""</f>
        <v/>
      </c>
      <c r="BQ1524" t="str">
        <f>""</f>
        <v/>
      </c>
      <c r="BR1524" t="str">
        <f>"01/07/2021"</f>
        <v>01/07/2021</v>
      </c>
      <c r="BS1524" t="str">
        <f>"05/01/2023"</f>
        <v>05/01/2023</v>
      </c>
      <c r="BT1524" t="str">
        <f>""</f>
        <v/>
      </c>
      <c r="BU1524" t="str">
        <f>""</f>
        <v/>
      </c>
      <c r="BV1524" t="str">
        <f>""</f>
        <v/>
      </c>
      <c r="BW1524" t="str">
        <f>"Não visitado"</f>
        <v>Não visitado</v>
      </c>
    </row>
    <row r="1525" spans="1:75" x14ac:dyDescent="0.35">
      <c r="A1525">
        <v>157093</v>
      </c>
      <c r="B1525" t="str">
        <f t="shared" si="754"/>
        <v>A</v>
      </c>
      <c r="C1525" t="str">
        <f t="shared" si="755"/>
        <v>80</v>
      </c>
      <c r="D1525" t="str">
        <f t="shared" si="777"/>
        <v>11121004</v>
      </c>
      <c r="E1525" t="str">
        <f t="shared" si="778"/>
        <v>121004</v>
      </c>
      <c r="F1525" t="str">
        <f t="shared" si="779"/>
        <v>FABIANA GODOY</v>
      </c>
      <c r="G1525" t="str">
        <f>"37107116000134"</f>
        <v>37107116000134</v>
      </c>
      <c r="H1525" t="str">
        <f t="shared" si="775"/>
        <v>0</v>
      </c>
      <c r="I1525" t="str">
        <f t="shared" si="757"/>
        <v>CONTA OPTICA</v>
      </c>
      <c r="J1525" t="str">
        <f>"OPTICA MARTINS LTDA"</f>
        <v>OPTICA MARTINS LTDA</v>
      </c>
      <c r="K1525" t="str">
        <f>"OPTICA MARTIN'S (4641)"</f>
        <v>OPTICA MARTIN'S (4641)</v>
      </c>
      <c r="L1525" t="str">
        <f>""</f>
        <v/>
      </c>
      <c r="M1525" t="str">
        <f>""</f>
        <v/>
      </c>
      <c r="N1525" t="str">
        <f>"MMARTINS038@HOTMAIL.COM"</f>
        <v>MMARTINS038@HOTMAIL.COM</v>
      </c>
      <c r="O1525" t="str">
        <f>""</f>
        <v/>
      </c>
      <c r="P1525" t="str">
        <f>"RUA CORONEL BUCHELLE"</f>
        <v>RUA CORONEL BUCHELLE</v>
      </c>
      <c r="Q1525" t="str">
        <f>"748"</f>
        <v>748</v>
      </c>
      <c r="R1525" t="str">
        <f>""</f>
        <v/>
      </c>
      <c r="S1525" t="str">
        <f>"1260"</f>
        <v>1260</v>
      </c>
      <c r="T1525" t="str">
        <f>"88200000"</f>
        <v>88200000</v>
      </c>
      <c r="U1525" t="str">
        <f t="shared" si="774"/>
        <v>CENTRO</v>
      </c>
      <c r="V1525" t="str">
        <f>"TIJUCAS"</f>
        <v>TIJUCAS</v>
      </c>
      <c r="W1525" t="str">
        <f t="shared" si="773"/>
        <v>SC</v>
      </c>
      <c r="X1525" t="str">
        <f>"48"</f>
        <v>48</v>
      </c>
      <c r="Y1525" t="str">
        <f>"991060866"</f>
        <v>991060866</v>
      </c>
      <c r="Z1525" t="str">
        <f>""</f>
        <v/>
      </c>
      <c r="AA1525" t="str">
        <f>""</f>
        <v/>
      </c>
      <c r="AB1525" t="str">
        <f>""</f>
        <v/>
      </c>
      <c r="AC1525" t="str">
        <f>""</f>
        <v/>
      </c>
      <c r="AD1525" t="str">
        <f>""</f>
        <v/>
      </c>
      <c r="AE1525" t="str">
        <f>""</f>
        <v/>
      </c>
      <c r="AF1525" t="str">
        <f>""</f>
        <v/>
      </c>
      <c r="AG1525" t="str">
        <f>""</f>
        <v/>
      </c>
      <c r="AH1525" t="str">
        <f>""</f>
        <v/>
      </c>
      <c r="AI1525" t="str">
        <f>""</f>
        <v/>
      </c>
      <c r="AJ1525" t="str">
        <f>""</f>
        <v/>
      </c>
      <c r="AK1525" t="str">
        <f>""</f>
        <v/>
      </c>
      <c r="AL1525" t="str">
        <f>""</f>
        <v/>
      </c>
      <c r="AM1525" t="str">
        <f>""</f>
        <v/>
      </c>
      <c r="AN1525" t="str">
        <f>""</f>
        <v/>
      </c>
      <c r="AO1525" t="str">
        <f>""</f>
        <v/>
      </c>
      <c r="AP1525" t="str">
        <f>""</f>
        <v/>
      </c>
      <c r="AQ1525" t="str">
        <f>""</f>
        <v/>
      </c>
      <c r="AR1525" t="str">
        <f>""</f>
        <v/>
      </c>
      <c r="AS1525" t="str">
        <f>""</f>
        <v/>
      </c>
      <c r="AT1525" t="str">
        <f>""</f>
        <v/>
      </c>
      <c r="AU1525" t="str">
        <f>""</f>
        <v/>
      </c>
      <c r="AV1525" t="str">
        <f>""</f>
        <v/>
      </c>
      <c r="AW1525" t="str">
        <f>""</f>
        <v/>
      </c>
      <c r="AX1525" t="str">
        <f>""</f>
        <v/>
      </c>
      <c r="AY1525" t="str">
        <f>""</f>
        <v/>
      </c>
      <c r="AZ1525" t="str">
        <f>""</f>
        <v/>
      </c>
      <c r="BA1525" t="str">
        <f>""</f>
        <v/>
      </c>
      <c r="BB1525" t="str">
        <f>"06/07/2023 12:07:48"</f>
        <v>06/07/2023 12:07:48</v>
      </c>
      <c r="BC1525" t="str">
        <f>""</f>
        <v/>
      </c>
      <c r="BD1525" t="str">
        <f>""</f>
        <v/>
      </c>
      <c r="BE1525" t="str">
        <f>""</f>
        <v/>
      </c>
      <c r="BF1525" t="str">
        <f t="shared" si="759"/>
        <v>A</v>
      </c>
      <c r="BG1525" t="str">
        <f>""</f>
        <v/>
      </c>
      <c r="BH1525" t="str">
        <f>""</f>
        <v/>
      </c>
      <c r="BI1525" t="str">
        <f t="shared" si="776"/>
        <v>EVENTUAL</v>
      </c>
      <c r="BJ1525" t="str">
        <f t="shared" si="760"/>
        <v>1</v>
      </c>
      <c r="BK1525" t="str">
        <f t="shared" si="761"/>
        <v>Farmacia</v>
      </c>
      <c r="BL1525" t="str">
        <f>""</f>
        <v/>
      </c>
      <c r="BM1525" t="str">
        <f>""</f>
        <v/>
      </c>
      <c r="BN1525" t="str">
        <f>""</f>
        <v/>
      </c>
      <c r="BO1525" t="str">
        <f>""</f>
        <v/>
      </c>
      <c r="BP1525" t="str">
        <f>""</f>
        <v/>
      </c>
      <c r="BQ1525" t="str">
        <f>""</f>
        <v/>
      </c>
      <c r="BR1525" t="str">
        <f>"06/07/2023"</f>
        <v>06/07/2023</v>
      </c>
      <c r="BS1525" t="str">
        <f>""</f>
        <v/>
      </c>
      <c r="BT1525" t="str">
        <f>""</f>
        <v/>
      </c>
      <c r="BU1525" t="str">
        <f>""</f>
        <v/>
      </c>
      <c r="BV1525" t="str">
        <f>""</f>
        <v/>
      </c>
      <c r="BW1525" t="str">
        <f>"Não visitado"</f>
        <v>Não visitado</v>
      </c>
    </row>
    <row r="1526" spans="1:75" x14ac:dyDescent="0.35">
      <c r="A1526">
        <v>157115</v>
      </c>
      <c r="B1526" t="str">
        <f t="shared" si="754"/>
        <v>A</v>
      </c>
      <c r="C1526" t="str">
        <f t="shared" si="755"/>
        <v>80</v>
      </c>
      <c r="D1526" t="str">
        <f t="shared" si="777"/>
        <v>11121004</v>
      </c>
      <c r="E1526" t="str">
        <f t="shared" si="778"/>
        <v>121004</v>
      </c>
      <c r="F1526" t="str">
        <f t="shared" si="779"/>
        <v>FABIANA GODOY</v>
      </c>
      <c r="G1526" t="str">
        <f>"41680049000110"</f>
        <v>41680049000110</v>
      </c>
      <c r="H1526" t="str">
        <f t="shared" si="775"/>
        <v>0</v>
      </c>
      <c r="I1526" t="str">
        <f t="shared" si="757"/>
        <v>CONTA OPTICA</v>
      </c>
      <c r="J1526" t="str">
        <f>"OPTICA PARIS PRIME LTDA"</f>
        <v>OPTICA PARIS PRIME LTDA</v>
      </c>
      <c r="K1526" t="str">
        <f>"PARIS PRIME (4340)"</f>
        <v>PARIS PRIME (4340)</v>
      </c>
      <c r="L1526" t="str">
        <f>""</f>
        <v/>
      </c>
      <c r="M1526" t="str">
        <f>""</f>
        <v/>
      </c>
      <c r="N1526" t="str">
        <f>"OPTICAPARISPRIMEBC@GMAIL.COM"</f>
        <v>OPTICAPARISPRIMEBC@GMAIL.COM</v>
      </c>
      <c r="O1526" t="str">
        <f>""</f>
        <v/>
      </c>
      <c r="P1526" t="str">
        <f>"RUA 908"</f>
        <v>RUA 908</v>
      </c>
      <c r="Q1526" t="str">
        <f>"51"</f>
        <v>51</v>
      </c>
      <c r="R1526" t="str">
        <f>""</f>
        <v/>
      </c>
      <c r="S1526" t="str">
        <f>"1262"</f>
        <v>1262</v>
      </c>
      <c r="T1526" t="str">
        <f>"88330582"</f>
        <v>88330582</v>
      </c>
      <c r="U1526" t="str">
        <f t="shared" si="774"/>
        <v>CENTRO</v>
      </c>
      <c r="V1526" t="str">
        <f>"BALNEARIO CAMBORIU"</f>
        <v>BALNEARIO CAMBORIU</v>
      </c>
      <c r="W1526" t="str">
        <f t="shared" si="773"/>
        <v>SC</v>
      </c>
      <c r="X1526" t="str">
        <f t="shared" ref="X1526:X1555" si="780">"47"</f>
        <v>47</v>
      </c>
      <c r="Y1526" t="str">
        <f>"992331878"</f>
        <v>992331878</v>
      </c>
      <c r="Z1526" t="str">
        <f>""</f>
        <v/>
      </c>
      <c r="AA1526" t="str">
        <f>""</f>
        <v/>
      </c>
      <c r="AB1526" t="str">
        <f>""</f>
        <v/>
      </c>
      <c r="AC1526" t="str">
        <f>""</f>
        <v/>
      </c>
      <c r="AD1526" t="str">
        <f>""</f>
        <v/>
      </c>
      <c r="AE1526" t="str">
        <f>""</f>
        <v/>
      </c>
      <c r="AF1526" t="str">
        <f>""</f>
        <v/>
      </c>
      <c r="AG1526" t="str">
        <f>""</f>
        <v/>
      </c>
      <c r="AH1526" t="str">
        <f>""</f>
        <v/>
      </c>
      <c r="AI1526" t="str">
        <f>""</f>
        <v/>
      </c>
      <c r="AJ1526" t="str">
        <f>""</f>
        <v/>
      </c>
      <c r="AK1526" t="str">
        <f>""</f>
        <v/>
      </c>
      <c r="AL1526" t="str">
        <f>""</f>
        <v/>
      </c>
      <c r="AM1526" t="str">
        <f>""</f>
        <v/>
      </c>
      <c r="AN1526" t="str">
        <f>""</f>
        <v/>
      </c>
      <c r="AO1526" t="str">
        <f>""</f>
        <v/>
      </c>
      <c r="AP1526" t="str">
        <f>""</f>
        <v/>
      </c>
      <c r="AQ1526" t="str">
        <f>""</f>
        <v/>
      </c>
      <c r="AR1526" t="str">
        <f>""</f>
        <v/>
      </c>
      <c r="AS1526" t="str">
        <f>""</f>
        <v/>
      </c>
      <c r="AT1526" t="str">
        <f>""</f>
        <v/>
      </c>
      <c r="AU1526" t="str">
        <f>""</f>
        <v/>
      </c>
      <c r="AV1526" t="str">
        <f>""</f>
        <v/>
      </c>
      <c r="AW1526" t="str">
        <f>""</f>
        <v/>
      </c>
      <c r="AX1526" t="str">
        <f>""</f>
        <v/>
      </c>
      <c r="AY1526" t="str">
        <f>""</f>
        <v/>
      </c>
      <c r="AZ1526" t="str">
        <f>""</f>
        <v/>
      </c>
      <c r="BA1526" t="str">
        <f>""</f>
        <v/>
      </c>
      <c r="BB1526" t="str">
        <f>"06/07/2023 12:07:48"</f>
        <v>06/07/2023 12:07:48</v>
      </c>
      <c r="BC1526" t="str">
        <f>""</f>
        <v/>
      </c>
      <c r="BD1526" t="str">
        <f>""</f>
        <v/>
      </c>
      <c r="BE1526" t="str">
        <f>""</f>
        <v/>
      </c>
      <c r="BF1526" t="str">
        <f t="shared" si="759"/>
        <v>A</v>
      </c>
      <c r="BG1526" t="str">
        <f>""</f>
        <v/>
      </c>
      <c r="BH1526" t="str">
        <f>""</f>
        <v/>
      </c>
      <c r="BI1526" t="str">
        <f t="shared" si="776"/>
        <v>EVENTUAL</v>
      </c>
      <c r="BJ1526" t="str">
        <f t="shared" si="760"/>
        <v>1</v>
      </c>
      <c r="BK1526" t="str">
        <f t="shared" si="761"/>
        <v>Farmacia</v>
      </c>
      <c r="BL1526" t="str">
        <f>""</f>
        <v/>
      </c>
      <c r="BM1526" t="str">
        <f>""</f>
        <v/>
      </c>
      <c r="BN1526" t="str">
        <f>""</f>
        <v/>
      </c>
      <c r="BO1526" t="str">
        <f>""</f>
        <v/>
      </c>
      <c r="BP1526" t="str">
        <f>""</f>
        <v/>
      </c>
      <c r="BQ1526" t="str">
        <f>""</f>
        <v/>
      </c>
      <c r="BR1526" t="str">
        <f>"06/07/2023"</f>
        <v>06/07/2023</v>
      </c>
      <c r="BS1526" t="str">
        <f>""</f>
        <v/>
      </c>
      <c r="BT1526" t="str">
        <f>""</f>
        <v/>
      </c>
      <c r="BU1526" t="str">
        <f>""</f>
        <v/>
      </c>
      <c r="BV1526" t="str">
        <f>""</f>
        <v/>
      </c>
      <c r="BW1526" t="str">
        <f>"53"</f>
        <v>53</v>
      </c>
    </row>
    <row r="1527" spans="1:75" x14ac:dyDescent="0.35">
      <c r="A1527">
        <v>140104</v>
      </c>
      <c r="B1527" t="str">
        <f t="shared" si="754"/>
        <v>A</v>
      </c>
      <c r="C1527" t="str">
        <f t="shared" si="755"/>
        <v>80</v>
      </c>
      <c r="D1527" t="str">
        <f t="shared" si="777"/>
        <v>11121004</v>
      </c>
      <c r="E1527" t="str">
        <f t="shared" si="778"/>
        <v>121004</v>
      </c>
      <c r="F1527" t="str">
        <f t="shared" si="779"/>
        <v>FABIANA GODOY</v>
      </c>
      <c r="G1527" t="str">
        <f>"43212936000199"</f>
        <v>43212936000199</v>
      </c>
      <c r="H1527" t="str">
        <f t="shared" si="775"/>
        <v>0</v>
      </c>
      <c r="I1527" t="str">
        <f t="shared" si="757"/>
        <v>CONTA OPTICA</v>
      </c>
      <c r="J1527" t="str">
        <f>"OPTICA PASOLD LTDA"</f>
        <v>OPTICA PASOLD LTDA</v>
      </c>
      <c r="K1527" t="str">
        <f>"OPTICA PASOLD (4384)"</f>
        <v>OPTICA PASOLD (4384)</v>
      </c>
      <c r="L1527" t="str">
        <f>""</f>
        <v/>
      </c>
      <c r="M1527" t="str">
        <f>""</f>
        <v/>
      </c>
      <c r="N1527" t="str">
        <f>"OPTICAPASOLD@GMAIL.COM"</f>
        <v>OPTICAPASOLD@GMAIL.COM</v>
      </c>
      <c r="O1527" t="str">
        <f>""</f>
        <v/>
      </c>
      <c r="P1527" t="str">
        <f>"RUA GUSTAVO ZIMMERMANN"</f>
        <v>RUA GUSTAVO ZIMMERMANN</v>
      </c>
      <c r="Q1527" t="str">
        <f>"4410"</f>
        <v>4410</v>
      </c>
      <c r="R1527" t="str">
        <f>"SALA 01"</f>
        <v>SALA 01</v>
      </c>
      <c r="S1527" t="str">
        <f>""</f>
        <v/>
      </c>
      <c r="T1527" t="str">
        <f>"89063000"</f>
        <v>89063000</v>
      </c>
      <c r="U1527" t="str">
        <f>"ITOUPAVA CENTRAL"</f>
        <v>ITOUPAVA CENTRAL</v>
      </c>
      <c r="V1527" t="str">
        <f>"BLUMENAU"</f>
        <v>BLUMENAU</v>
      </c>
      <c r="W1527" t="str">
        <f t="shared" si="773"/>
        <v>SC</v>
      </c>
      <c r="X1527" t="str">
        <f t="shared" si="780"/>
        <v>47</v>
      </c>
      <c r="Y1527" t="str">
        <f>"33254266"</f>
        <v>33254266</v>
      </c>
      <c r="Z1527" t="str">
        <f>""</f>
        <v/>
      </c>
      <c r="AA1527" t="str">
        <f>""</f>
        <v/>
      </c>
      <c r="AB1527" t="str">
        <f>""</f>
        <v/>
      </c>
      <c r="AC1527" t="str">
        <f>""</f>
        <v/>
      </c>
      <c r="AD1527" t="str">
        <f>""</f>
        <v/>
      </c>
      <c r="AE1527" t="str">
        <f>""</f>
        <v/>
      </c>
      <c r="AF1527" t="str">
        <f>""</f>
        <v/>
      </c>
      <c r="AG1527" t="str">
        <f>"S"</f>
        <v>S</v>
      </c>
      <c r="AH1527" t="str">
        <f>""</f>
        <v/>
      </c>
      <c r="AI1527" t="str">
        <f>""</f>
        <v/>
      </c>
      <c r="AJ1527" t="str">
        <f>""</f>
        <v/>
      </c>
      <c r="AK1527" t="str">
        <f>""</f>
        <v/>
      </c>
      <c r="AL1527" t="str">
        <f>""</f>
        <v/>
      </c>
      <c r="AM1527" t="str">
        <f>""</f>
        <v/>
      </c>
      <c r="AN1527" t="str">
        <f>""</f>
        <v/>
      </c>
      <c r="AO1527" t="str">
        <f>""</f>
        <v/>
      </c>
      <c r="AP1527" t="str">
        <f>""</f>
        <v/>
      </c>
      <c r="AQ1527" t="str">
        <f>"N"</f>
        <v>N</v>
      </c>
      <c r="AR1527" t="str">
        <f>"N"</f>
        <v>N</v>
      </c>
      <c r="AS1527" t="str">
        <f>"N"</f>
        <v>N</v>
      </c>
      <c r="AT1527" t="str">
        <f>"N"</f>
        <v>N</v>
      </c>
      <c r="AU1527" t="str">
        <f>"N"</f>
        <v>N</v>
      </c>
      <c r="AV1527" t="str">
        <f>""</f>
        <v/>
      </c>
      <c r="AW1527" t="str">
        <f>""</f>
        <v/>
      </c>
      <c r="AX1527" t="str">
        <f>""</f>
        <v/>
      </c>
      <c r="AY1527" t="str">
        <f>""</f>
        <v/>
      </c>
      <c r="AZ1527" t="str">
        <f>""</f>
        <v/>
      </c>
      <c r="BA1527" t="str">
        <f>""</f>
        <v/>
      </c>
      <c r="BB1527" t="str">
        <f>"06/09/2021 19:24:15"</f>
        <v>06/09/2021 19:24:15</v>
      </c>
      <c r="BC1527" t="str">
        <f>"19/01/2022 08:43:14"</f>
        <v>19/01/2022 08:43:14</v>
      </c>
      <c r="BD1527" t="str">
        <f>""</f>
        <v/>
      </c>
      <c r="BE1527" t="str">
        <f>""</f>
        <v/>
      </c>
      <c r="BF1527" t="str">
        <f t="shared" si="759"/>
        <v>A</v>
      </c>
      <c r="BG1527" t="str">
        <f>""</f>
        <v/>
      </c>
      <c r="BH1527" t="str">
        <f>"0,00"</f>
        <v>0,00</v>
      </c>
      <c r="BI1527" t="str">
        <f t="shared" si="776"/>
        <v>EVENTUAL</v>
      </c>
      <c r="BJ1527" t="str">
        <f t="shared" si="760"/>
        <v>1</v>
      </c>
      <c r="BK1527" t="str">
        <f t="shared" si="761"/>
        <v>Farmacia</v>
      </c>
      <c r="BL1527" t="str">
        <f>""</f>
        <v/>
      </c>
      <c r="BM1527" t="str">
        <f>"NÃO É VARILUX ESPECIALISTA"</f>
        <v>NÃO É VARILUX ESPECIALISTA</v>
      </c>
      <c r="BN1527" t="str">
        <f>"NA"</f>
        <v>NA</v>
      </c>
      <c r="BO1527" t="str">
        <f>"FOCO KODAK 2"</f>
        <v>FOCO KODAK 2</v>
      </c>
      <c r="BP1527" t="str">
        <f>""</f>
        <v/>
      </c>
      <c r="BQ1527" t="str">
        <f>""</f>
        <v/>
      </c>
      <c r="BR1527" t="str">
        <f>"06/09/2021"</f>
        <v>06/09/2021</v>
      </c>
      <c r="BS1527" t="str">
        <f>"19/01/2022"</f>
        <v>19/01/2022</v>
      </c>
      <c r="BT1527" t="str">
        <f>""</f>
        <v/>
      </c>
      <c r="BU1527" t="str">
        <f>""</f>
        <v/>
      </c>
      <c r="BV1527" t="str">
        <f>""</f>
        <v/>
      </c>
      <c r="BW1527" t="str">
        <f>"38"</f>
        <v>38</v>
      </c>
    </row>
    <row r="1528" spans="1:75" x14ac:dyDescent="0.35">
      <c r="A1528">
        <v>157117</v>
      </c>
      <c r="B1528" t="str">
        <f t="shared" si="754"/>
        <v>A</v>
      </c>
      <c r="C1528" t="str">
        <f t="shared" si="755"/>
        <v>80</v>
      </c>
      <c r="D1528" t="str">
        <f t="shared" si="777"/>
        <v>11121004</v>
      </c>
      <c r="E1528" t="str">
        <f t="shared" si="778"/>
        <v>121004</v>
      </c>
      <c r="F1528" t="str">
        <f t="shared" si="779"/>
        <v>FABIANA GODOY</v>
      </c>
      <c r="G1528" t="str">
        <f>"28029736000101"</f>
        <v>28029736000101</v>
      </c>
      <c r="H1528" t="str">
        <f t="shared" si="775"/>
        <v>0</v>
      </c>
      <c r="I1528" t="str">
        <f t="shared" si="757"/>
        <v>CONTA OPTICA</v>
      </c>
      <c r="J1528" t="str">
        <f>"OPTICA S &amp; V LTDA - ME"</f>
        <v>OPTICA S &amp; V LTDA - ME</v>
      </c>
      <c r="K1528" t="str">
        <f>"SOVERAL OTICA E RELOJOARIA (3805)"</f>
        <v>SOVERAL OTICA E RELOJOARIA (3805)</v>
      </c>
      <c r="L1528" t="str">
        <f>""</f>
        <v/>
      </c>
      <c r="M1528" t="str">
        <f>""</f>
        <v/>
      </c>
      <c r="N1528" t="str">
        <f>"FISCAL@KARRER.COM.BR"</f>
        <v>FISCAL@KARRER.COM.BR</v>
      </c>
      <c r="O1528" t="str">
        <f>""</f>
        <v/>
      </c>
      <c r="P1528" t="str">
        <f>"RUA BRASIL"</f>
        <v>RUA BRASIL</v>
      </c>
      <c r="Q1528" t="str">
        <f>"1148"</f>
        <v>1148</v>
      </c>
      <c r="R1528" t="str">
        <f>"LJ 07"</f>
        <v>LJ 07</v>
      </c>
      <c r="S1528" t="str">
        <f>"1262"</f>
        <v>1262</v>
      </c>
      <c r="T1528" t="str">
        <f>"88330045"</f>
        <v>88330045</v>
      </c>
      <c r="U1528" t="str">
        <f>"CENTRO"</f>
        <v>CENTRO</v>
      </c>
      <c r="V1528" t="str">
        <f>"BALNEARIO CAMBORIU"</f>
        <v>BALNEARIO CAMBORIU</v>
      </c>
      <c r="W1528" t="str">
        <f t="shared" si="773"/>
        <v>SC</v>
      </c>
      <c r="X1528" t="str">
        <f t="shared" si="780"/>
        <v>47</v>
      </c>
      <c r="Y1528" t="str">
        <f>"33670297"</f>
        <v>33670297</v>
      </c>
      <c r="Z1528" t="str">
        <f>""</f>
        <v/>
      </c>
      <c r="AA1528" t="str">
        <f>""</f>
        <v/>
      </c>
      <c r="AB1528" t="str">
        <f>""</f>
        <v/>
      </c>
      <c r="AC1528" t="str">
        <f>""</f>
        <v/>
      </c>
      <c r="AD1528" t="str">
        <f>""</f>
        <v/>
      </c>
      <c r="AE1528" t="str">
        <f>""</f>
        <v/>
      </c>
      <c r="AF1528" t="str">
        <f>""</f>
        <v/>
      </c>
      <c r="AG1528" t="str">
        <f>""</f>
        <v/>
      </c>
      <c r="AH1528" t="str">
        <f>""</f>
        <v/>
      </c>
      <c r="AI1528" t="str">
        <f>""</f>
        <v/>
      </c>
      <c r="AJ1528" t="str">
        <f>""</f>
        <v/>
      </c>
      <c r="AK1528" t="str">
        <f>""</f>
        <v/>
      </c>
      <c r="AL1528" t="str">
        <f>""</f>
        <v/>
      </c>
      <c r="AM1528" t="str">
        <f>""</f>
        <v/>
      </c>
      <c r="AN1528" t="str">
        <f>""</f>
        <v/>
      </c>
      <c r="AO1528" t="str">
        <f>""</f>
        <v/>
      </c>
      <c r="AP1528" t="str">
        <f>""</f>
        <v/>
      </c>
      <c r="AQ1528" t="str">
        <f>""</f>
        <v/>
      </c>
      <c r="AR1528" t="str">
        <f>""</f>
        <v/>
      </c>
      <c r="AS1528" t="str">
        <f>""</f>
        <v/>
      </c>
      <c r="AT1528" t="str">
        <f>""</f>
        <v/>
      </c>
      <c r="AU1528" t="str">
        <f>""</f>
        <v/>
      </c>
      <c r="AV1528" t="str">
        <f>""</f>
        <v/>
      </c>
      <c r="AW1528" t="str">
        <f>""</f>
        <v/>
      </c>
      <c r="AX1528" t="str">
        <f>""</f>
        <v/>
      </c>
      <c r="AY1528" t="str">
        <f>""</f>
        <v/>
      </c>
      <c r="AZ1528" t="str">
        <f>""</f>
        <v/>
      </c>
      <c r="BA1528" t="str">
        <f>""</f>
        <v/>
      </c>
      <c r="BB1528" t="str">
        <f>"06/07/2023 12:07:48"</f>
        <v>06/07/2023 12:07:48</v>
      </c>
      <c r="BC1528" t="str">
        <f>""</f>
        <v/>
      </c>
      <c r="BD1528" t="str">
        <f>""</f>
        <v/>
      </c>
      <c r="BE1528" t="str">
        <f>""</f>
        <v/>
      </c>
      <c r="BF1528" t="str">
        <f t="shared" si="759"/>
        <v>A</v>
      </c>
      <c r="BG1528" t="str">
        <f>""</f>
        <v/>
      </c>
      <c r="BH1528" t="str">
        <f>""</f>
        <v/>
      </c>
      <c r="BI1528" t="str">
        <f t="shared" si="776"/>
        <v>EVENTUAL</v>
      </c>
      <c r="BJ1528" t="str">
        <f t="shared" si="760"/>
        <v>1</v>
      </c>
      <c r="BK1528" t="str">
        <f t="shared" si="761"/>
        <v>Farmacia</v>
      </c>
      <c r="BL1528" t="str">
        <f>""</f>
        <v/>
      </c>
      <c r="BM1528" t="str">
        <f>""</f>
        <v/>
      </c>
      <c r="BN1528" t="str">
        <f>""</f>
        <v/>
      </c>
      <c r="BO1528" t="str">
        <f>""</f>
        <v/>
      </c>
      <c r="BP1528" t="str">
        <f>""</f>
        <v/>
      </c>
      <c r="BQ1528" t="str">
        <f>""</f>
        <v/>
      </c>
      <c r="BR1528" t="str">
        <f>"06/07/2023"</f>
        <v>06/07/2023</v>
      </c>
      <c r="BS1528" t="str">
        <f>""</f>
        <v/>
      </c>
      <c r="BT1528" t="str">
        <f>""</f>
        <v/>
      </c>
      <c r="BU1528" t="str">
        <f>""</f>
        <v/>
      </c>
      <c r="BV1528" t="str">
        <f>""</f>
        <v/>
      </c>
      <c r="BW1528" t="str">
        <f>"Não visitado"</f>
        <v>Não visitado</v>
      </c>
    </row>
    <row r="1529" spans="1:75" x14ac:dyDescent="0.35">
      <c r="A1529">
        <v>137753</v>
      </c>
      <c r="B1529" t="str">
        <f t="shared" si="754"/>
        <v>A</v>
      </c>
      <c r="C1529" t="str">
        <f t="shared" si="755"/>
        <v>80</v>
      </c>
      <c r="D1529" t="str">
        <f t="shared" si="777"/>
        <v>11121004</v>
      </c>
      <c r="E1529" t="str">
        <f t="shared" si="778"/>
        <v>121004</v>
      </c>
      <c r="F1529" t="str">
        <f t="shared" si="779"/>
        <v>FABIANA GODOY</v>
      </c>
      <c r="G1529" t="str">
        <f>"80716418000139"</f>
        <v>80716418000139</v>
      </c>
      <c r="H1529" t="str">
        <f t="shared" si="775"/>
        <v>0</v>
      </c>
      <c r="I1529" t="str">
        <f t="shared" si="757"/>
        <v>CONTA OPTICA</v>
      </c>
      <c r="J1529" t="str">
        <f>"OPTICA SOLANO LTDA - EPP"</f>
        <v>OPTICA SOLANO LTDA - EPP</v>
      </c>
      <c r="K1529" t="str">
        <f>"OPTICA VEJA (231)"</f>
        <v>OPTICA VEJA (231)</v>
      </c>
      <c r="L1529" t="str">
        <f>""</f>
        <v/>
      </c>
      <c r="M1529" t="str">
        <f>""</f>
        <v/>
      </c>
      <c r="N1529" t="str">
        <f>"opticaveja@gmail.com"</f>
        <v>opticaveja@gmail.com</v>
      </c>
      <c r="O1529" t="str">
        <f>""</f>
        <v/>
      </c>
      <c r="P1529" t="str">
        <f>"RUA SANTOS DUMONT"</f>
        <v>RUA SANTOS DUMONT</v>
      </c>
      <c r="Q1529" t="str">
        <f>"279"</f>
        <v>279</v>
      </c>
      <c r="R1529" t="str">
        <f>""</f>
        <v/>
      </c>
      <c r="S1529" t="str">
        <f>"1276"</f>
        <v>1276</v>
      </c>
      <c r="T1529" t="str">
        <f>"89160145"</f>
        <v>89160145</v>
      </c>
      <c r="U1529" t="str">
        <f>"CENTRO"</f>
        <v>CENTRO</v>
      </c>
      <c r="V1529" t="str">
        <f>"RIO DO SUL"</f>
        <v>RIO DO SUL</v>
      </c>
      <c r="W1529" t="str">
        <f t="shared" si="773"/>
        <v>SC</v>
      </c>
      <c r="X1529" t="str">
        <f t="shared" si="780"/>
        <v>47</v>
      </c>
      <c r="Y1529" t="str">
        <f>"35212568"</f>
        <v>35212568</v>
      </c>
      <c r="Z1529" t="str">
        <f>""</f>
        <v/>
      </c>
      <c r="AA1529" t="str">
        <f>""</f>
        <v/>
      </c>
      <c r="AB1529" t="str">
        <f>""</f>
        <v/>
      </c>
      <c r="AC1529" t="str">
        <f>""</f>
        <v/>
      </c>
      <c r="AD1529" t="str">
        <f>""</f>
        <v/>
      </c>
      <c r="AE1529" t="str">
        <f>""</f>
        <v/>
      </c>
      <c r="AF1529" t="str">
        <f>""</f>
        <v/>
      </c>
      <c r="AG1529" t="str">
        <f>"S"</f>
        <v>S</v>
      </c>
      <c r="AH1529" t="str">
        <f>""</f>
        <v/>
      </c>
      <c r="AI1529" t="str">
        <f>""</f>
        <v/>
      </c>
      <c r="AJ1529" t="str">
        <f>""</f>
        <v/>
      </c>
      <c r="AK1529" t="str">
        <f>""</f>
        <v/>
      </c>
      <c r="AL1529" t="str">
        <f>""</f>
        <v/>
      </c>
      <c r="AM1529" t="str">
        <f>""</f>
        <v/>
      </c>
      <c r="AN1529" t="str">
        <f>""</f>
        <v/>
      </c>
      <c r="AO1529" t="str">
        <f>""</f>
        <v/>
      </c>
      <c r="AP1529" t="str">
        <f>""</f>
        <v/>
      </c>
      <c r="AQ1529" t="str">
        <f>"N"</f>
        <v>N</v>
      </c>
      <c r="AR1529" t="str">
        <f>"N"</f>
        <v>N</v>
      </c>
      <c r="AS1529" t="str">
        <f>"N"</f>
        <v>N</v>
      </c>
      <c r="AT1529" t="str">
        <f>"N"</f>
        <v>N</v>
      </c>
      <c r="AU1529" t="str">
        <f>"N"</f>
        <v>N</v>
      </c>
      <c r="AV1529" t="str">
        <f>""</f>
        <v/>
      </c>
      <c r="AW1529" t="str">
        <f>""</f>
        <v/>
      </c>
      <c r="AX1529" t="str">
        <f>""</f>
        <v/>
      </c>
      <c r="AY1529" t="str">
        <f>""</f>
        <v/>
      </c>
      <c r="AZ1529" t="str">
        <f>""</f>
        <v/>
      </c>
      <c r="BA1529" t="str">
        <f>""</f>
        <v/>
      </c>
      <c r="BB1529" t="str">
        <f>"01/07/2021 13:53:04"</f>
        <v>01/07/2021 13:53:04</v>
      </c>
      <c r="BC1529" t="str">
        <f>"14/01/2022 08:33:02"</f>
        <v>14/01/2022 08:33:02</v>
      </c>
      <c r="BD1529" t="str">
        <f>""</f>
        <v/>
      </c>
      <c r="BE1529" t="str">
        <f>""</f>
        <v/>
      </c>
      <c r="BF1529" t="str">
        <f t="shared" si="759"/>
        <v>A</v>
      </c>
      <c r="BG1529" t="str">
        <f>""</f>
        <v/>
      </c>
      <c r="BH1529" t="str">
        <f>"0,00"</f>
        <v>0,00</v>
      </c>
      <c r="BI1529" t="str">
        <f t="shared" si="776"/>
        <v>EVENTUAL</v>
      </c>
      <c r="BJ1529" t="str">
        <f t="shared" si="760"/>
        <v>1</v>
      </c>
      <c r="BK1529" t="str">
        <f t="shared" si="761"/>
        <v>Farmacia</v>
      </c>
      <c r="BL1529" t="str">
        <f>""</f>
        <v/>
      </c>
      <c r="BM1529" t="str">
        <f>"NÃO É VARILUX ESPECIALISTA"</f>
        <v>NÃO É VARILUX ESPECIALISTA</v>
      </c>
      <c r="BN1529" t="str">
        <f>"EL360"</f>
        <v>EL360</v>
      </c>
      <c r="BO1529" t="str">
        <f>"FOCO VARILUX"</f>
        <v>FOCO VARILUX</v>
      </c>
      <c r="BP1529" t="str">
        <f>""</f>
        <v/>
      </c>
      <c r="BQ1529" t="str">
        <f>""</f>
        <v/>
      </c>
      <c r="BR1529" t="str">
        <f>"01/07/2021"</f>
        <v>01/07/2021</v>
      </c>
      <c r="BS1529" t="str">
        <f>"14/01/2022"</f>
        <v>14/01/2022</v>
      </c>
      <c r="BT1529" t="str">
        <f>""</f>
        <v/>
      </c>
      <c r="BU1529" t="str">
        <f>""</f>
        <v/>
      </c>
      <c r="BV1529" t="str">
        <f>""</f>
        <v/>
      </c>
      <c r="BW1529" t="str">
        <f>"42"</f>
        <v>42</v>
      </c>
    </row>
    <row r="1530" spans="1:75" x14ac:dyDescent="0.35">
      <c r="A1530">
        <v>157744</v>
      </c>
      <c r="B1530" t="str">
        <f t="shared" si="754"/>
        <v>A</v>
      </c>
      <c r="C1530" t="str">
        <f t="shared" si="755"/>
        <v>80</v>
      </c>
      <c r="D1530" t="str">
        <f t="shared" si="777"/>
        <v>11121004</v>
      </c>
      <c r="E1530" t="str">
        <f t="shared" si="778"/>
        <v>121004</v>
      </c>
      <c r="F1530" t="str">
        <f t="shared" si="779"/>
        <v>FABIANA GODOY</v>
      </c>
      <c r="G1530" t="str">
        <f>"09230775000128"</f>
        <v>09230775000128</v>
      </c>
      <c r="H1530" t="str">
        <f t="shared" si="775"/>
        <v>0</v>
      </c>
      <c r="I1530" t="str">
        <f t="shared" si="757"/>
        <v>CONTA OPTICA</v>
      </c>
      <c r="J1530" t="str">
        <f>"OPTICA TESTONI LTDA"</f>
        <v>OPTICA TESTONI LTDA</v>
      </c>
      <c r="K1530" t="str">
        <f>"OTICA TESTONI (1390)"</f>
        <v>OTICA TESTONI (1390)</v>
      </c>
      <c r="L1530" t="str">
        <f>""</f>
        <v/>
      </c>
      <c r="M1530" t="str">
        <f>""</f>
        <v/>
      </c>
      <c r="N1530" t="str">
        <f>"opticatestoni@hotmail.com"</f>
        <v>opticatestoni@hotmail.com</v>
      </c>
      <c r="O1530" t="str">
        <f>""</f>
        <v/>
      </c>
      <c r="P1530" t="str">
        <f>"RUA SAO JOSE"</f>
        <v>RUA SAO JOSE</v>
      </c>
      <c r="Q1530" t="str">
        <f>"196"</f>
        <v>196</v>
      </c>
      <c r="R1530" t="str">
        <f>"SALA 03"</f>
        <v>SALA 03</v>
      </c>
      <c r="S1530" t="str">
        <f>""</f>
        <v/>
      </c>
      <c r="T1530" t="str">
        <f>"89110010"</f>
        <v>89110010</v>
      </c>
      <c r="U1530" t="str">
        <f>"CENTRO"</f>
        <v>CENTRO</v>
      </c>
      <c r="V1530" t="str">
        <f>"GASPAR"</f>
        <v>GASPAR</v>
      </c>
      <c r="W1530" t="str">
        <f t="shared" si="773"/>
        <v>SC</v>
      </c>
      <c r="X1530" t="str">
        <f t="shared" si="780"/>
        <v>47</v>
      </c>
      <c r="Y1530" t="str">
        <f>"33328800"</f>
        <v>33328800</v>
      </c>
      <c r="Z1530" t="str">
        <f>""</f>
        <v/>
      </c>
      <c r="AA1530" t="str">
        <f>""</f>
        <v/>
      </c>
      <c r="AB1530" t="str">
        <f>""</f>
        <v/>
      </c>
      <c r="AC1530" t="str">
        <f>""</f>
        <v/>
      </c>
      <c r="AD1530" t="str">
        <f>""</f>
        <v/>
      </c>
      <c r="AE1530" t="str">
        <f>""</f>
        <v/>
      </c>
      <c r="AF1530" t="str">
        <f>""</f>
        <v/>
      </c>
      <c r="AG1530" t="str">
        <f>""</f>
        <v/>
      </c>
      <c r="AH1530" t="str">
        <f>""</f>
        <v/>
      </c>
      <c r="AI1530" t="str">
        <f>""</f>
        <v/>
      </c>
      <c r="AJ1530" t="str">
        <f>""</f>
        <v/>
      </c>
      <c r="AK1530" t="str">
        <f>""</f>
        <v/>
      </c>
      <c r="AL1530" t="str">
        <f>""</f>
        <v/>
      </c>
      <c r="AM1530" t="str">
        <f>""</f>
        <v/>
      </c>
      <c r="AN1530" t="str">
        <f>""</f>
        <v/>
      </c>
      <c r="AO1530" t="str">
        <f>""</f>
        <v/>
      </c>
      <c r="AP1530" t="str">
        <f>""</f>
        <v/>
      </c>
      <c r="AQ1530" t="str">
        <f>""</f>
        <v/>
      </c>
      <c r="AR1530" t="str">
        <f>""</f>
        <v/>
      </c>
      <c r="AS1530" t="str">
        <f>""</f>
        <v/>
      </c>
      <c r="AT1530" t="str">
        <f>""</f>
        <v/>
      </c>
      <c r="AU1530" t="str">
        <f>""</f>
        <v/>
      </c>
      <c r="AV1530" t="str">
        <f>""</f>
        <v/>
      </c>
      <c r="AW1530" t="str">
        <f>""</f>
        <v/>
      </c>
      <c r="AX1530" t="str">
        <f>""</f>
        <v/>
      </c>
      <c r="AY1530" t="str">
        <f>""</f>
        <v/>
      </c>
      <c r="AZ1530" t="str">
        <f>""</f>
        <v/>
      </c>
      <c r="BA1530" t="str">
        <f>""</f>
        <v/>
      </c>
      <c r="BB1530" t="str">
        <f>"11/07/2023 02:26:32"</f>
        <v>11/07/2023 02:26:32</v>
      </c>
      <c r="BC1530" t="str">
        <f>""</f>
        <v/>
      </c>
      <c r="BD1530" t="str">
        <f>""</f>
        <v/>
      </c>
      <c r="BE1530" t="str">
        <f>""</f>
        <v/>
      </c>
      <c r="BF1530" t="str">
        <f t="shared" si="759"/>
        <v>A</v>
      </c>
      <c r="BG1530" t="str">
        <f>""</f>
        <v/>
      </c>
      <c r="BH1530" t="str">
        <f>""</f>
        <v/>
      </c>
      <c r="BI1530" t="str">
        <f t="shared" si="776"/>
        <v>EVENTUAL</v>
      </c>
      <c r="BJ1530" t="str">
        <f t="shared" si="760"/>
        <v>1</v>
      </c>
      <c r="BK1530" t="str">
        <f t="shared" si="761"/>
        <v>Farmacia</v>
      </c>
      <c r="BL1530" t="str">
        <f>""</f>
        <v/>
      </c>
      <c r="BM1530" t="str">
        <f>""</f>
        <v/>
      </c>
      <c r="BN1530" t="str">
        <f>""</f>
        <v/>
      </c>
      <c r="BO1530" t="str">
        <f>""</f>
        <v/>
      </c>
      <c r="BP1530" t="str">
        <f>""</f>
        <v/>
      </c>
      <c r="BQ1530" t="str">
        <f>""</f>
        <v/>
      </c>
      <c r="BR1530" t="str">
        <f>"11/07/2023"</f>
        <v>11/07/2023</v>
      </c>
      <c r="BS1530" t="str">
        <f>""</f>
        <v/>
      </c>
      <c r="BT1530" t="str">
        <f>""</f>
        <v/>
      </c>
      <c r="BU1530" t="str">
        <f>""</f>
        <v/>
      </c>
      <c r="BV1530" t="str">
        <f>""</f>
        <v/>
      </c>
      <c r="BW1530" t="str">
        <f>"42"</f>
        <v>42</v>
      </c>
    </row>
    <row r="1531" spans="1:75" x14ac:dyDescent="0.35">
      <c r="A1531">
        <v>137756</v>
      </c>
      <c r="B1531" t="str">
        <f t="shared" si="754"/>
        <v>A</v>
      </c>
      <c r="C1531" t="str">
        <f t="shared" si="755"/>
        <v>80</v>
      </c>
      <c r="D1531" t="str">
        <f t="shared" si="777"/>
        <v>11121004</v>
      </c>
      <c r="E1531" t="str">
        <f t="shared" si="778"/>
        <v>121004</v>
      </c>
      <c r="F1531" t="str">
        <f t="shared" si="779"/>
        <v>FABIANA GODOY</v>
      </c>
      <c r="G1531" t="str">
        <f>"15048254000157"</f>
        <v>15048254000157</v>
      </c>
      <c r="H1531" t="str">
        <f t="shared" si="775"/>
        <v>0</v>
      </c>
      <c r="I1531" t="str">
        <f t="shared" si="757"/>
        <v>CONTA OPTICA</v>
      </c>
      <c r="J1531" t="str">
        <f>"OPTICA TOMAZI LTDA ME"</f>
        <v>OPTICA TOMAZI LTDA ME</v>
      </c>
      <c r="K1531" t="str">
        <f>"OPTICA CONFORTO VISUAL (1906)"</f>
        <v>OPTICA CONFORTO VISUAL (1906)</v>
      </c>
      <c r="L1531" t="str">
        <f>""</f>
        <v/>
      </c>
      <c r="M1531" t="str">
        <f>""</f>
        <v/>
      </c>
      <c r="N1531" t="str">
        <f>"atendimento@opticaconfortovisual.com.br"</f>
        <v>atendimento@opticaconfortovisual.com.br</v>
      </c>
      <c r="O1531" t="str">
        <f>""</f>
        <v/>
      </c>
      <c r="P1531" t="str">
        <f>"RUA 412 A"</f>
        <v>RUA 412 A</v>
      </c>
      <c r="Q1531" t="str">
        <f>"340"</f>
        <v>340</v>
      </c>
      <c r="R1531" t="str">
        <f>"SL1"</f>
        <v>SL1</v>
      </c>
      <c r="S1531" t="str">
        <f>"1260"</f>
        <v>1260</v>
      </c>
      <c r="T1531" t="str">
        <f>"88220000"</f>
        <v>88220000</v>
      </c>
      <c r="U1531" t="str">
        <f>"MORRETES"</f>
        <v>MORRETES</v>
      </c>
      <c r="V1531" t="str">
        <f>"ITAPEMA"</f>
        <v>ITAPEMA</v>
      </c>
      <c r="W1531" t="str">
        <f t="shared" si="773"/>
        <v>SC</v>
      </c>
      <c r="X1531" t="str">
        <f t="shared" si="780"/>
        <v>47</v>
      </c>
      <c r="Y1531" t="str">
        <f>"33689661"</f>
        <v>33689661</v>
      </c>
      <c r="Z1531" t="str">
        <f>""</f>
        <v/>
      </c>
      <c r="AA1531" t="str">
        <f>""</f>
        <v/>
      </c>
      <c r="AB1531" t="str">
        <f>""</f>
        <v/>
      </c>
      <c r="AC1531" t="str">
        <f>""</f>
        <v/>
      </c>
      <c r="AD1531" t="str">
        <f>""</f>
        <v/>
      </c>
      <c r="AE1531" t="str">
        <f>""</f>
        <v/>
      </c>
      <c r="AF1531" t="str">
        <f>""</f>
        <v/>
      </c>
      <c r="AG1531" t="str">
        <f>"S"</f>
        <v>S</v>
      </c>
      <c r="AH1531" t="str">
        <f>""</f>
        <v/>
      </c>
      <c r="AI1531" t="str">
        <f>""</f>
        <v/>
      </c>
      <c r="AJ1531" t="str">
        <f>""</f>
        <v/>
      </c>
      <c r="AK1531" t="str">
        <f>""</f>
        <v/>
      </c>
      <c r="AL1531" t="str">
        <f>""</f>
        <v/>
      </c>
      <c r="AM1531" t="str">
        <f>""</f>
        <v/>
      </c>
      <c r="AN1531" t="str">
        <f>""</f>
        <v/>
      </c>
      <c r="AO1531" t="str">
        <f>""</f>
        <v/>
      </c>
      <c r="AP1531" t="str">
        <f>""</f>
        <v/>
      </c>
      <c r="AQ1531" t="str">
        <f>"N"</f>
        <v>N</v>
      </c>
      <c r="AR1531" t="str">
        <f>"N"</f>
        <v>N</v>
      </c>
      <c r="AS1531" t="str">
        <f>"N"</f>
        <v>N</v>
      </c>
      <c r="AT1531" t="str">
        <f>"N"</f>
        <v>N</v>
      </c>
      <c r="AU1531" t="str">
        <f>"N"</f>
        <v>N</v>
      </c>
      <c r="AV1531" t="str">
        <f>""</f>
        <v/>
      </c>
      <c r="AW1531" t="str">
        <f>""</f>
        <v/>
      </c>
      <c r="AX1531" t="str">
        <f>""</f>
        <v/>
      </c>
      <c r="AY1531" t="str">
        <f>""</f>
        <v/>
      </c>
      <c r="AZ1531" t="str">
        <f>""</f>
        <v/>
      </c>
      <c r="BA1531" t="str">
        <f>""</f>
        <v/>
      </c>
      <c r="BB1531" t="str">
        <f>"01/07/2021 13:53:04"</f>
        <v>01/07/2021 13:53:04</v>
      </c>
      <c r="BC1531" t="str">
        <f>"05/04/2022 16:16:22"</f>
        <v>05/04/2022 16:16:22</v>
      </c>
      <c r="BD1531" t="str">
        <f>""</f>
        <v/>
      </c>
      <c r="BE1531" t="str">
        <f>""</f>
        <v/>
      </c>
      <c r="BF1531" t="str">
        <f t="shared" si="759"/>
        <v>A</v>
      </c>
      <c r="BG1531" t="str">
        <f>""</f>
        <v/>
      </c>
      <c r="BH1531" t="str">
        <f>"0,00"</f>
        <v>0,00</v>
      </c>
      <c r="BI1531" t="str">
        <f t="shared" si="776"/>
        <v>EVENTUAL</v>
      </c>
      <c r="BJ1531" t="str">
        <f t="shared" si="760"/>
        <v>1</v>
      </c>
      <c r="BK1531" t="str">
        <f t="shared" si="761"/>
        <v>Farmacia</v>
      </c>
      <c r="BL1531" t="str">
        <f>""</f>
        <v/>
      </c>
      <c r="BM1531" t="str">
        <f>"NÃO É VARILUX ESPECIALISTA"</f>
        <v>NÃO É VARILUX ESPECIALISTA</v>
      </c>
      <c r="BN1531" t="str">
        <f>"NA"</f>
        <v>NA</v>
      </c>
      <c r="BO1531" t="str">
        <f>"FOCO KODAK 2"</f>
        <v>FOCO KODAK 2</v>
      </c>
      <c r="BP1531" t="str">
        <f>""</f>
        <v/>
      </c>
      <c r="BQ1531" t="str">
        <f>""</f>
        <v/>
      </c>
      <c r="BR1531" t="str">
        <f>"01/07/2021"</f>
        <v>01/07/2021</v>
      </c>
      <c r="BS1531" t="str">
        <f>"05/04/2022"</f>
        <v>05/04/2022</v>
      </c>
      <c r="BT1531" t="str">
        <f>""</f>
        <v/>
      </c>
      <c r="BU1531" t="str">
        <f>""</f>
        <v/>
      </c>
      <c r="BV1531" t="str">
        <f>""</f>
        <v/>
      </c>
      <c r="BW1531" t="str">
        <f>"161"</f>
        <v>161</v>
      </c>
    </row>
    <row r="1532" spans="1:75" x14ac:dyDescent="0.35">
      <c r="A1532">
        <v>157108</v>
      </c>
      <c r="B1532" t="str">
        <f t="shared" si="754"/>
        <v>A</v>
      </c>
      <c r="C1532" t="str">
        <f t="shared" si="755"/>
        <v>80</v>
      </c>
      <c r="D1532" t="str">
        <f t="shared" si="777"/>
        <v>11121004</v>
      </c>
      <c r="E1532" t="str">
        <f t="shared" si="778"/>
        <v>121004</v>
      </c>
      <c r="F1532" t="str">
        <f t="shared" si="779"/>
        <v>FABIANA GODOY</v>
      </c>
      <c r="G1532" t="str">
        <f>"34613945000109"</f>
        <v>34613945000109</v>
      </c>
      <c r="H1532" t="str">
        <f t="shared" si="775"/>
        <v>0</v>
      </c>
      <c r="I1532" t="str">
        <f t="shared" si="757"/>
        <v>CONTA OPTICA</v>
      </c>
      <c r="J1532" t="str">
        <f>"OPTICA VEJA BRASIL LTDA"</f>
        <v>OPTICA VEJA BRASIL LTDA</v>
      </c>
      <c r="K1532" t="str">
        <f>"OPTICA VEJA BRASIL (4458)"</f>
        <v>OPTICA VEJA BRASIL (4458)</v>
      </c>
      <c r="L1532" t="str">
        <f>""</f>
        <v/>
      </c>
      <c r="M1532" t="str">
        <f>""</f>
        <v/>
      </c>
      <c r="N1532" t="str">
        <f>"OPTICAVEJABRASIL@HOTMAIL.COM"</f>
        <v>OPTICAVEJABRASIL@HOTMAIL.COM</v>
      </c>
      <c r="O1532" t="str">
        <f>""</f>
        <v/>
      </c>
      <c r="P1532" t="str">
        <f>"RUA HEITOR LIBERATO"</f>
        <v>RUA HEITOR LIBERATO</v>
      </c>
      <c r="Q1532" t="str">
        <f>"699"</f>
        <v>699</v>
      </c>
      <c r="R1532" t="str">
        <f>"SALA 1A"</f>
        <v>SALA 1A</v>
      </c>
      <c r="S1532" t="str">
        <f>""</f>
        <v/>
      </c>
      <c r="T1532" t="str">
        <f>"88303100"</f>
        <v>88303100</v>
      </c>
      <c r="U1532" t="str">
        <f>"CENTRO"</f>
        <v>CENTRO</v>
      </c>
      <c r="V1532" t="str">
        <f>"ITAJAI"</f>
        <v>ITAJAI</v>
      </c>
      <c r="W1532" t="str">
        <f t="shared" si="773"/>
        <v>SC</v>
      </c>
      <c r="X1532" t="str">
        <f t="shared" si="780"/>
        <v>47</v>
      </c>
      <c r="Y1532" t="str">
        <f>"33469618"</f>
        <v>33469618</v>
      </c>
      <c r="Z1532" t="str">
        <f>""</f>
        <v/>
      </c>
      <c r="AA1532" t="str">
        <f>""</f>
        <v/>
      </c>
      <c r="AB1532" t="str">
        <f>""</f>
        <v/>
      </c>
      <c r="AC1532" t="str">
        <f>""</f>
        <v/>
      </c>
      <c r="AD1532" t="str">
        <f>""</f>
        <v/>
      </c>
      <c r="AE1532" t="str">
        <f>""</f>
        <v/>
      </c>
      <c r="AF1532" t="str">
        <f>""</f>
        <v/>
      </c>
      <c r="AG1532" t="str">
        <f>""</f>
        <v/>
      </c>
      <c r="AH1532" t="str">
        <f>""</f>
        <v/>
      </c>
      <c r="AI1532" t="str">
        <f>""</f>
        <v/>
      </c>
      <c r="AJ1532" t="str">
        <f>""</f>
        <v/>
      </c>
      <c r="AK1532" t="str">
        <f>""</f>
        <v/>
      </c>
      <c r="AL1532" t="str">
        <f>""</f>
        <v/>
      </c>
      <c r="AM1532" t="str">
        <f>""</f>
        <v/>
      </c>
      <c r="AN1532" t="str">
        <f>""</f>
        <v/>
      </c>
      <c r="AO1532" t="str">
        <f>""</f>
        <v/>
      </c>
      <c r="AP1532" t="str">
        <f>""</f>
        <v/>
      </c>
      <c r="AQ1532" t="str">
        <f>""</f>
        <v/>
      </c>
      <c r="AR1532" t="str">
        <f>""</f>
        <v/>
      </c>
      <c r="AS1532" t="str">
        <f>""</f>
        <v/>
      </c>
      <c r="AT1532" t="str">
        <f>""</f>
        <v/>
      </c>
      <c r="AU1532" t="str">
        <f>""</f>
        <v/>
      </c>
      <c r="AV1532" t="str">
        <f>""</f>
        <v/>
      </c>
      <c r="AW1532" t="str">
        <f>""</f>
        <v/>
      </c>
      <c r="AX1532" t="str">
        <f>""</f>
        <v/>
      </c>
      <c r="AY1532" t="str">
        <f>""</f>
        <v/>
      </c>
      <c r="AZ1532" t="str">
        <f>""</f>
        <v/>
      </c>
      <c r="BA1532" t="str">
        <f>""</f>
        <v/>
      </c>
      <c r="BB1532" t="str">
        <f>"06/07/2023 12:07:48"</f>
        <v>06/07/2023 12:07:48</v>
      </c>
      <c r="BC1532" t="str">
        <f>""</f>
        <v/>
      </c>
      <c r="BD1532" t="str">
        <f>""</f>
        <v/>
      </c>
      <c r="BE1532" t="str">
        <f>""</f>
        <v/>
      </c>
      <c r="BF1532" t="str">
        <f t="shared" si="759"/>
        <v>A</v>
      </c>
      <c r="BG1532" t="str">
        <f>""</f>
        <v/>
      </c>
      <c r="BH1532" t="str">
        <f>""</f>
        <v/>
      </c>
      <c r="BI1532" t="str">
        <f t="shared" si="776"/>
        <v>EVENTUAL</v>
      </c>
      <c r="BJ1532" t="str">
        <f t="shared" si="760"/>
        <v>1</v>
      </c>
      <c r="BK1532" t="str">
        <f t="shared" si="761"/>
        <v>Farmacia</v>
      </c>
      <c r="BL1532" t="str">
        <f>""</f>
        <v/>
      </c>
      <c r="BM1532" t="str">
        <f>""</f>
        <v/>
      </c>
      <c r="BN1532" t="str">
        <f>""</f>
        <v/>
      </c>
      <c r="BO1532" t="str">
        <f>""</f>
        <v/>
      </c>
      <c r="BP1532" t="str">
        <f>""</f>
        <v/>
      </c>
      <c r="BQ1532" t="str">
        <f>""</f>
        <v/>
      </c>
      <c r="BR1532" t="str">
        <f>"06/07/2023"</f>
        <v>06/07/2023</v>
      </c>
      <c r="BS1532" t="str">
        <f>""</f>
        <v/>
      </c>
      <c r="BT1532" t="str">
        <f>""</f>
        <v/>
      </c>
      <c r="BU1532" t="str">
        <f>""</f>
        <v/>
      </c>
      <c r="BV1532" t="str">
        <f>""</f>
        <v/>
      </c>
      <c r="BW1532" t="str">
        <f>"4"</f>
        <v>4</v>
      </c>
    </row>
    <row r="1533" spans="1:75" x14ac:dyDescent="0.35">
      <c r="A1533">
        <v>118741</v>
      </c>
      <c r="B1533" t="str">
        <f t="shared" si="754"/>
        <v>A</v>
      </c>
      <c r="C1533" t="str">
        <f t="shared" si="755"/>
        <v>80</v>
      </c>
      <c r="D1533" t="str">
        <f t="shared" si="777"/>
        <v>11121004</v>
      </c>
      <c r="E1533" t="str">
        <f t="shared" si="778"/>
        <v>121004</v>
      </c>
      <c r="F1533" t="str">
        <f t="shared" si="779"/>
        <v>FABIANA GODOY</v>
      </c>
      <c r="G1533" t="str">
        <f>"06934722000108"</f>
        <v>06934722000108</v>
      </c>
      <c r="H1533" t="str">
        <f>""</f>
        <v/>
      </c>
      <c r="I1533" t="str">
        <f t="shared" si="757"/>
        <v>CONTA OPTICA</v>
      </c>
      <c r="J1533" t="str">
        <f>"OPTICA VITOR LTDA - ME"</f>
        <v>OPTICA VITOR LTDA - ME</v>
      </c>
      <c r="K1533" t="str">
        <f>"OPTICA FAKINNE (604)"</f>
        <v>OPTICA FAKINNE (604)</v>
      </c>
      <c r="L1533" t="str">
        <f>""</f>
        <v/>
      </c>
      <c r="M1533" t="str">
        <f>""</f>
        <v/>
      </c>
      <c r="N1533" t="str">
        <f>"optica.vitor@gmail.com"</f>
        <v>optica.vitor@gmail.com</v>
      </c>
      <c r="O1533" t="str">
        <f>""</f>
        <v/>
      </c>
      <c r="P1533" t="str">
        <f>"RUA MIRADOR"</f>
        <v>RUA MIRADOR</v>
      </c>
      <c r="Q1533" t="str">
        <f>"570"</f>
        <v>570</v>
      </c>
      <c r="R1533" t="str">
        <f>"SALA 02"</f>
        <v>SALA 02</v>
      </c>
      <c r="S1533" t="str">
        <f>"1275"</f>
        <v>1275</v>
      </c>
      <c r="T1533" t="str">
        <f>"89150000"</f>
        <v>89150000</v>
      </c>
      <c r="U1533" t="str">
        <f>"CENTRO"</f>
        <v>CENTRO</v>
      </c>
      <c r="V1533" t="str">
        <f>"PRESIDENTE GETÚLIO"</f>
        <v>PRESIDENTE GETÚLIO</v>
      </c>
      <c r="W1533" t="str">
        <f t="shared" si="773"/>
        <v>SC</v>
      </c>
      <c r="X1533" t="str">
        <f t="shared" si="780"/>
        <v>47</v>
      </c>
      <c r="Y1533" t="str">
        <f>"33520050"</f>
        <v>33520050</v>
      </c>
      <c r="Z1533" t="str">
        <f>""</f>
        <v/>
      </c>
      <c r="AA1533" t="str">
        <f>""</f>
        <v/>
      </c>
      <c r="AB1533" t="str">
        <f>""</f>
        <v/>
      </c>
      <c r="AC1533" t="str">
        <f>""</f>
        <v/>
      </c>
      <c r="AD1533" t="str">
        <f>""</f>
        <v/>
      </c>
      <c r="AE1533" t="str">
        <f>""</f>
        <v/>
      </c>
      <c r="AF1533" t="str">
        <f>""</f>
        <v/>
      </c>
      <c r="AG1533" t="str">
        <f>""</f>
        <v/>
      </c>
      <c r="AH1533" t="str">
        <f>""</f>
        <v/>
      </c>
      <c r="AI1533" t="str">
        <f>""</f>
        <v/>
      </c>
      <c r="AJ1533" t="str">
        <f>"0"</f>
        <v>0</v>
      </c>
      <c r="AK1533" t="str">
        <f>"0"</f>
        <v>0</v>
      </c>
      <c r="AL1533" t="str">
        <f>"0"</f>
        <v>0</v>
      </c>
      <c r="AM1533" t="str">
        <f>""</f>
        <v/>
      </c>
      <c r="AN1533" t="str">
        <f>""</f>
        <v/>
      </c>
      <c r="AO1533" t="str">
        <f>""</f>
        <v/>
      </c>
      <c r="AP1533" t="str">
        <f>""</f>
        <v/>
      </c>
      <c r="AQ1533" t="str">
        <f>""</f>
        <v/>
      </c>
      <c r="AR1533" t="str">
        <f>""</f>
        <v/>
      </c>
      <c r="AS1533" t="str">
        <f>""</f>
        <v/>
      </c>
      <c r="AT1533" t="str">
        <f>""</f>
        <v/>
      </c>
      <c r="AU1533" t="str">
        <f>""</f>
        <v/>
      </c>
      <c r="AV1533" t="str">
        <f>""</f>
        <v/>
      </c>
      <c r="AW1533" t="str">
        <f>""</f>
        <v/>
      </c>
      <c r="AX1533" t="str">
        <f>""</f>
        <v/>
      </c>
      <c r="AY1533" t="str">
        <f>""</f>
        <v/>
      </c>
      <c r="AZ1533" t="str">
        <f>""</f>
        <v/>
      </c>
      <c r="BA1533" t="str">
        <f>""</f>
        <v/>
      </c>
      <c r="BB1533" t="str">
        <f>""</f>
        <v/>
      </c>
      <c r="BC1533" t="str">
        <f>""</f>
        <v/>
      </c>
      <c r="BD1533" t="str">
        <f>""</f>
        <v/>
      </c>
      <c r="BE1533" t="str">
        <f>""</f>
        <v/>
      </c>
      <c r="BF1533" t="str">
        <f t="shared" si="759"/>
        <v>A</v>
      </c>
      <c r="BG1533" t="str">
        <f>"0,00"</f>
        <v>0,00</v>
      </c>
      <c r="BH1533" t="str">
        <f>"0,00"</f>
        <v>0,00</v>
      </c>
      <c r="BI1533" t="str">
        <f t="shared" si="776"/>
        <v>EVENTUAL</v>
      </c>
      <c r="BJ1533" t="str">
        <f t="shared" si="760"/>
        <v>1</v>
      </c>
      <c r="BK1533" t="str">
        <f t="shared" si="761"/>
        <v>Farmacia</v>
      </c>
      <c r="BL1533" t="str">
        <f>""</f>
        <v/>
      </c>
      <c r="BM1533" t="str">
        <f>"NÃO É VARILUX ESPECIALISTA"</f>
        <v>NÃO É VARILUX ESPECIALISTA</v>
      </c>
      <c r="BN1533" t="str">
        <f>"NA"</f>
        <v>NA</v>
      </c>
      <c r="BO1533" t="str">
        <f>"OUTROS"</f>
        <v>OUTROS</v>
      </c>
      <c r="BP1533" t="str">
        <f>""</f>
        <v/>
      </c>
      <c r="BQ1533" t="str">
        <f>""</f>
        <v/>
      </c>
      <c r="BR1533" t="str">
        <f>""</f>
        <v/>
      </c>
      <c r="BS1533" t="str">
        <f>""</f>
        <v/>
      </c>
      <c r="BT1533" t="str">
        <f>""</f>
        <v/>
      </c>
      <c r="BU1533" t="str">
        <f>""</f>
        <v/>
      </c>
      <c r="BV1533" t="str">
        <f>"8"</f>
        <v>8</v>
      </c>
      <c r="BW1533" t="str">
        <f>"46"</f>
        <v>46</v>
      </c>
    </row>
    <row r="1534" spans="1:75" x14ac:dyDescent="0.35">
      <c r="A1534">
        <v>137759</v>
      </c>
      <c r="B1534" t="str">
        <f t="shared" si="754"/>
        <v>A</v>
      </c>
      <c r="C1534" t="str">
        <f t="shared" si="755"/>
        <v>80</v>
      </c>
      <c r="D1534" t="str">
        <f t="shared" si="777"/>
        <v>11121004</v>
      </c>
      <c r="E1534" t="str">
        <f t="shared" si="778"/>
        <v>121004</v>
      </c>
      <c r="F1534" t="str">
        <f t="shared" si="779"/>
        <v>FABIANA GODOY</v>
      </c>
      <c r="G1534" t="str">
        <f>"11987438000121"</f>
        <v>11987438000121</v>
      </c>
      <c r="H1534" t="str">
        <f t="shared" ref="H1534:H1539" si="781">"0"</f>
        <v>0</v>
      </c>
      <c r="I1534" t="str">
        <f t="shared" si="757"/>
        <v>CONTA OPTICA</v>
      </c>
      <c r="J1534" t="str">
        <f>"OPTICAS LUMEN LTDA"</f>
        <v>OPTICAS LUMEN LTDA</v>
      </c>
      <c r="K1534" t="str">
        <f>"OPTICAS LUMEN (1743)"</f>
        <v>OPTICAS LUMEN (1743)</v>
      </c>
      <c r="L1534" t="str">
        <f>""</f>
        <v/>
      </c>
      <c r="M1534" t="str">
        <f>""</f>
        <v/>
      </c>
      <c r="N1534" t="str">
        <f>"opticaslumen@hotmail.com"</f>
        <v>opticaslumen@hotmail.com</v>
      </c>
      <c r="O1534" t="str">
        <f>""</f>
        <v/>
      </c>
      <c r="P1534" t="str">
        <f>"AVENIDA BRASIL"</f>
        <v>AVENIDA BRASIL</v>
      </c>
      <c r="Q1534" t="str">
        <f>"3660"</f>
        <v>3660</v>
      </c>
      <c r="R1534" t="str">
        <f>"SALA 10"</f>
        <v>SALA 10</v>
      </c>
      <c r="S1534" t="str">
        <f>"1262"</f>
        <v>1262</v>
      </c>
      <c r="T1534" t="str">
        <f>"88330063"</f>
        <v>88330063</v>
      </c>
      <c r="U1534" t="str">
        <f>"CENTRO"</f>
        <v>CENTRO</v>
      </c>
      <c r="V1534" t="str">
        <f>"BALNEÁRIO CAMBORIÚ"</f>
        <v>BALNEÁRIO CAMBORIÚ</v>
      </c>
      <c r="W1534" t="str">
        <f t="shared" si="773"/>
        <v>SC</v>
      </c>
      <c r="X1534" t="str">
        <f t="shared" si="780"/>
        <v>47</v>
      </c>
      <c r="Y1534" t="str">
        <f>"32683953"</f>
        <v>32683953</v>
      </c>
      <c r="Z1534" t="str">
        <f>""</f>
        <v/>
      </c>
      <c r="AA1534" t="str">
        <f>""</f>
        <v/>
      </c>
      <c r="AB1534" t="str">
        <f>""</f>
        <v/>
      </c>
      <c r="AC1534" t="str">
        <f>""</f>
        <v/>
      </c>
      <c r="AD1534" t="str">
        <f>""</f>
        <v/>
      </c>
      <c r="AE1534" t="str">
        <f>""</f>
        <v/>
      </c>
      <c r="AF1534" t="str">
        <f>""</f>
        <v/>
      </c>
      <c r="AG1534" t="str">
        <f>"S"</f>
        <v>S</v>
      </c>
      <c r="AH1534" t="str">
        <f>""</f>
        <v/>
      </c>
      <c r="AI1534" t="str">
        <f>""</f>
        <v/>
      </c>
      <c r="AJ1534" t="str">
        <f>""</f>
        <v/>
      </c>
      <c r="AK1534" t="str">
        <f>""</f>
        <v/>
      </c>
      <c r="AL1534" t="str">
        <f>""</f>
        <v/>
      </c>
      <c r="AM1534" t="str">
        <f>""</f>
        <v/>
      </c>
      <c r="AN1534" t="str">
        <f>""</f>
        <v/>
      </c>
      <c r="AO1534" t="str">
        <f>""</f>
        <v/>
      </c>
      <c r="AP1534" t="str">
        <f>""</f>
        <v/>
      </c>
      <c r="AQ1534" t="str">
        <f>"N"</f>
        <v>N</v>
      </c>
      <c r="AR1534" t="str">
        <f>"N"</f>
        <v>N</v>
      </c>
      <c r="AS1534" t="str">
        <f>"N"</f>
        <v>N</v>
      </c>
      <c r="AT1534" t="str">
        <f>"N"</f>
        <v>N</v>
      </c>
      <c r="AU1534" t="str">
        <f>"N"</f>
        <v>N</v>
      </c>
      <c r="AV1534" t="str">
        <f>""</f>
        <v/>
      </c>
      <c r="AW1534" t="str">
        <f>""</f>
        <v/>
      </c>
      <c r="AX1534" t="str">
        <f>""</f>
        <v/>
      </c>
      <c r="AY1534" t="str">
        <f>""</f>
        <v/>
      </c>
      <c r="AZ1534" t="str">
        <f>""</f>
        <v/>
      </c>
      <c r="BA1534" t="str">
        <f>""</f>
        <v/>
      </c>
      <c r="BB1534" t="str">
        <f>"01/07/2021 13:53:04"</f>
        <v>01/07/2021 13:53:04</v>
      </c>
      <c r="BC1534" t="str">
        <f>"06/04/2022 15:16:11"</f>
        <v>06/04/2022 15:16:11</v>
      </c>
      <c r="BD1534" t="str">
        <f>""</f>
        <v/>
      </c>
      <c r="BE1534" t="str">
        <f>""</f>
        <v/>
      </c>
      <c r="BF1534" t="str">
        <f t="shared" si="759"/>
        <v>A</v>
      </c>
      <c r="BG1534" t="str">
        <f>""</f>
        <v/>
      </c>
      <c r="BH1534" t="str">
        <f>"0,00"</f>
        <v>0,00</v>
      </c>
      <c r="BI1534" t="str">
        <f t="shared" si="776"/>
        <v>EVENTUAL</v>
      </c>
      <c r="BJ1534" t="str">
        <f t="shared" si="760"/>
        <v>1</v>
      </c>
      <c r="BK1534" t="str">
        <f t="shared" si="761"/>
        <v>Farmacia</v>
      </c>
      <c r="BL1534" t="str">
        <f>""</f>
        <v/>
      </c>
      <c r="BM1534" t="str">
        <f>"NÃO É VARILUX ESPECIALISTA"</f>
        <v>NÃO É VARILUX ESPECIALISTA</v>
      </c>
      <c r="BN1534" t="str">
        <f>"NA"</f>
        <v>NA</v>
      </c>
      <c r="BO1534" t="str">
        <f>"FOCO KODAK 2"</f>
        <v>FOCO KODAK 2</v>
      </c>
      <c r="BP1534" t="str">
        <f>""</f>
        <v/>
      </c>
      <c r="BQ1534" t="str">
        <f>""</f>
        <v/>
      </c>
      <c r="BR1534" t="str">
        <f>"01/07/2021"</f>
        <v>01/07/2021</v>
      </c>
      <c r="BS1534" t="str">
        <f>"06/04/2022"</f>
        <v>06/04/2022</v>
      </c>
      <c r="BT1534" t="str">
        <f>""</f>
        <v/>
      </c>
      <c r="BU1534" t="str">
        <f>""</f>
        <v/>
      </c>
      <c r="BV1534" t="str">
        <f>""</f>
        <v/>
      </c>
      <c r="BW1534" t="str">
        <f>"14"</f>
        <v>14</v>
      </c>
    </row>
    <row r="1535" spans="1:75" x14ac:dyDescent="0.35">
      <c r="A1535">
        <v>144182</v>
      </c>
      <c r="B1535" t="str">
        <f t="shared" si="754"/>
        <v>A</v>
      </c>
      <c r="C1535" t="str">
        <f t="shared" si="755"/>
        <v>80</v>
      </c>
      <c r="D1535" t="str">
        <f t="shared" si="777"/>
        <v>11121004</v>
      </c>
      <c r="E1535" t="str">
        <f t="shared" si="778"/>
        <v>121004</v>
      </c>
      <c r="F1535" t="str">
        <f t="shared" si="779"/>
        <v>FABIANA GODOY</v>
      </c>
      <c r="G1535" t="str">
        <f>"34653674000107"</f>
        <v>34653674000107</v>
      </c>
      <c r="H1535" t="str">
        <f t="shared" si="781"/>
        <v>0</v>
      </c>
      <c r="I1535" t="str">
        <f t="shared" si="757"/>
        <v>CONTA OPTICA</v>
      </c>
      <c r="J1535" t="str">
        <f>"OPTIK OTICA LTDA"</f>
        <v>OPTIK OTICA LTDA</v>
      </c>
      <c r="K1535" t="str">
        <f>"OPTIK OTICA (4422)"</f>
        <v>OPTIK OTICA (4422)</v>
      </c>
      <c r="L1535" t="str">
        <f>""</f>
        <v/>
      </c>
      <c r="M1535" t="str">
        <f>""</f>
        <v/>
      </c>
      <c r="N1535" t="str">
        <f>"OPTIK.OTICA@GMAIL.COM"</f>
        <v>OPTIK.OTICA@GMAIL.COM</v>
      </c>
      <c r="O1535" t="str">
        <f>""</f>
        <v/>
      </c>
      <c r="P1535" t="str">
        <f>"AVENIDA BRASIL"</f>
        <v>AVENIDA BRASIL</v>
      </c>
      <c r="Q1535" t="str">
        <f>"720"</f>
        <v>720</v>
      </c>
      <c r="R1535" t="str">
        <f>"SALA 01"</f>
        <v>SALA 01</v>
      </c>
      <c r="S1535" t="str">
        <f>""</f>
        <v/>
      </c>
      <c r="T1535" t="str">
        <f>"88330043"</f>
        <v>88330043</v>
      </c>
      <c r="U1535" t="str">
        <f>"CENTRO"</f>
        <v>CENTRO</v>
      </c>
      <c r="V1535" t="str">
        <f>"BALNEARIO CAMBORIU"</f>
        <v>BALNEARIO CAMBORIU</v>
      </c>
      <c r="W1535" t="str">
        <f t="shared" si="773"/>
        <v>SC</v>
      </c>
      <c r="X1535" t="str">
        <f t="shared" si="780"/>
        <v>47</v>
      </c>
      <c r="Y1535" t="str">
        <f>"999164017"</f>
        <v>999164017</v>
      </c>
      <c r="Z1535" t="str">
        <f>""</f>
        <v/>
      </c>
      <c r="AA1535" t="str">
        <f>""</f>
        <v/>
      </c>
      <c r="AB1535" t="str">
        <f>""</f>
        <v/>
      </c>
      <c r="AC1535" t="str">
        <f>""</f>
        <v/>
      </c>
      <c r="AD1535" t="str">
        <f>""</f>
        <v/>
      </c>
      <c r="AE1535" t="str">
        <f>""</f>
        <v/>
      </c>
      <c r="AF1535" t="str">
        <f>""</f>
        <v/>
      </c>
      <c r="AG1535" t="str">
        <f>""</f>
        <v/>
      </c>
      <c r="AH1535" t="str">
        <f>""</f>
        <v/>
      </c>
      <c r="AI1535" t="str">
        <f>""</f>
        <v/>
      </c>
      <c r="AJ1535" t="str">
        <f>""</f>
        <v/>
      </c>
      <c r="AK1535" t="str">
        <f>""</f>
        <v/>
      </c>
      <c r="AL1535" t="str">
        <f>""</f>
        <v/>
      </c>
      <c r="AM1535" t="str">
        <f>""</f>
        <v/>
      </c>
      <c r="AN1535" t="str">
        <f>""</f>
        <v/>
      </c>
      <c r="AO1535" t="str">
        <f>""</f>
        <v/>
      </c>
      <c r="AP1535" t="str">
        <f>""</f>
        <v/>
      </c>
      <c r="AQ1535" t="str">
        <f>""</f>
        <v/>
      </c>
      <c r="AR1535" t="str">
        <f>""</f>
        <v/>
      </c>
      <c r="AS1535" t="str">
        <f>""</f>
        <v/>
      </c>
      <c r="AT1535" t="str">
        <f>""</f>
        <v/>
      </c>
      <c r="AU1535" t="str">
        <f>""</f>
        <v/>
      </c>
      <c r="AV1535" t="str">
        <f>""</f>
        <v/>
      </c>
      <c r="AW1535" t="str">
        <f>""</f>
        <v/>
      </c>
      <c r="AX1535" t="str">
        <f>""</f>
        <v/>
      </c>
      <c r="AY1535" t="str">
        <f>""</f>
        <v/>
      </c>
      <c r="AZ1535" t="str">
        <f>""</f>
        <v/>
      </c>
      <c r="BA1535" t="str">
        <f>""</f>
        <v/>
      </c>
      <c r="BB1535" t="str">
        <f>"26/11/2021 14:59:30"</f>
        <v>26/11/2021 14:59:30</v>
      </c>
      <c r="BC1535" t="str">
        <f>""</f>
        <v/>
      </c>
      <c r="BD1535" t="str">
        <f>""</f>
        <v/>
      </c>
      <c r="BE1535" t="str">
        <f>""</f>
        <v/>
      </c>
      <c r="BF1535" t="str">
        <f t="shared" si="759"/>
        <v>A</v>
      </c>
      <c r="BG1535" t="str">
        <f>""</f>
        <v/>
      </c>
      <c r="BH1535" t="str">
        <f>""</f>
        <v/>
      </c>
      <c r="BI1535" t="str">
        <f t="shared" si="776"/>
        <v>EVENTUAL</v>
      </c>
      <c r="BJ1535" t="str">
        <f t="shared" si="760"/>
        <v>1</v>
      </c>
      <c r="BK1535" t="str">
        <f t="shared" si="761"/>
        <v>Farmacia</v>
      </c>
      <c r="BL1535" t="str">
        <f>""</f>
        <v/>
      </c>
      <c r="BM1535" t="str">
        <f>""</f>
        <v/>
      </c>
      <c r="BN1535" t="str">
        <f>""</f>
        <v/>
      </c>
      <c r="BO1535" t="str">
        <f>"OUTROS"</f>
        <v>OUTROS</v>
      </c>
      <c r="BP1535" t="str">
        <f>""</f>
        <v/>
      </c>
      <c r="BQ1535" t="str">
        <f>""</f>
        <v/>
      </c>
      <c r="BR1535" t="str">
        <f>"26/11/2021"</f>
        <v>26/11/2021</v>
      </c>
      <c r="BS1535" t="str">
        <f>""</f>
        <v/>
      </c>
      <c r="BT1535" t="str">
        <f>""</f>
        <v/>
      </c>
      <c r="BU1535" t="str">
        <f>""</f>
        <v/>
      </c>
      <c r="BV1535" t="str">
        <f>""</f>
        <v/>
      </c>
      <c r="BW1535" t="str">
        <f>"Não visitado"</f>
        <v>Não visitado</v>
      </c>
    </row>
    <row r="1536" spans="1:75" x14ac:dyDescent="0.35">
      <c r="A1536">
        <v>137760</v>
      </c>
      <c r="B1536" t="str">
        <f t="shared" si="754"/>
        <v>A</v>
      </c>
      <c r="C1536" t="str">
        <f t="shared" si="755"/>
        <v>80</v>
      </c>
      <c r="D1536" t="str">
        <f t="shared" si="777"/>
        <v>11121004</v>
      </c>
      <c r="E1536" t="str">
        <f t="shared" si="778"/>
        <v>121004</v>
      </c>
      <c r="F1536" t="str">
        <f t="shared" si="779"/>
        <v>FABIANA GODOY</v>
      </c>
      <c r="G1536" t="str">
        <f>"82642877000140"</f>
        <v>82642877000140</v>
      </c>
      <c r="H1536" t="str">
        <f t="shared" si="781"/>
        <v>0</v>
      </c>
      <c r="I1536" t="str">
        <f t="shared" si="757"/>
        <v>CONTA OPTICA</v>
      </c>
      <c r="J1536" t="str">
        <f>"OSVENUS OSCAR DE AMORIM ME"</f>
        <v>OSVENUS OSCAR DE AMORIM ME</v>
      </c>
      <c r="K1536" t="str">
        <f>"OSVENUS OSCAR DE AMORIM ME (298)"</f>
        <v>OSVENUS OSCAR DE AMORIM ME (298)</v>
      </c>
      <c r="L1536" t="str">
        <f>""</f>
        <v/>
      </c>
      <c r="M1536" t="str">
        <f>""</f>
        <v/>
      </c>
      <c r="N1536" t="str">
        <f>"odettemauricio@gmail.com"</f>
        <v>odettemauricio@gmail.com</v>
      </c>
      <c r="O1536" t="str">
        <f>""</f>
        <v/>
      </c>
      <c r="P1536" t="str">
        <f>"RUA AMAZONAS"</f>
        <v>RUA AMAZONAS</v>
      </c>
      <c r="Q1536" t="str">
        <f>"3689"</f>
        <v>3689</v>
      </c>
      <c r="R1536" t="str">
        <f>""</f>
        <v/>
      </c>
      <c r="S1536" t="str">
        <f>"1273"</f>
        <v>1273</v>
      </c>
      <c r="T1536" t="str">
        <f>"89022001"</f>
        <v>89022001</v>
      </c>
      <c r="U1536" t="str">
        <f>"GARCIA"</f>
        <v>GARCIA</v>
      </c>
      <c r="V1536" t="str">
        <f>"BLUMENAU"</f>
        <v>BLUMENAU</v>
      </c>
      <c r="W1536" t="str">
        <f t="shared" si="773"/>
        <v>SC</v>
      </c>
      <c r="X1536" t="str">
        <f t="shared" si="780"/>
        <v>47</v>
      </c>
      <c r="Y1536" t="str">
        <f>"33240059"</f>
        <v>33240059</v>
      </c>
      <c r="Z1536" t="str">
        <f>""</f>
        <v/>
      </c>
      <c r="AA1536" t="str">
        <f>""</f>
        <v/>
      </c>
      <c r="AB1536" t="str">
        <f>""</f>
        <v/>
      </c>
      <c r="AC1536" t="str">
        <f>""</f>
        <v/>
      </c>
      <c r="AD1536" t="str">
        <f>""</f>
        <v/>
      </c>
      <c r="AE1536" t="str">
        <f>""</f>
        <v/>
      </c>
      <c r="AF1536" t="str">
        <f>""</f>
        <v/>
      </c>
      <c r="AG1536" t="str">
        <f>"S"</f>
        <v>S</v>
      </c>
      <c r="AH1536" t="str">
        <f>""</f>
        <v/>
      </c>
      <c r="AI1536" t="str">
        <f>""</f>
        <v/>
      </c>
      <c r="AJ1536" t="str">
        <f>""</f>
        <v/>
      </c>
      <c r="AK1536" t="str">
        <f>""</f>
        <v/>
      </c>
      <c r="AL1536" t="str">
        <f>""</f>
        <v/>
      </c>
      <c r="AM1536" t="str">
        <f>""</f>
        <v/>
      </c>
      <c r="AN1536" t="str">
        <f>""</f>
        <v/>
      </c>
      <c r="AO1536" t="str">
        <f>""</f>
        <v/>
      </c>
      <c r="AP1536" t="str">
        <f>""</f>
        <v/>
      </c>
      <c r="AQ1536" t="str">
        <f>"N"</f>
        <v>N</v>
      </c>
      <c r="AR1536" t="str">
        <f>"N"</f>
        <v>N</v>
      </c>
      <c r="AS1536" t="str">
        <f>"N"</f>
        <v>N</v>
      </c>
      <c r="AT1536" t="str">
        <f>"N"</f>
        <v>N</v>
      </c>
      <c r="AU1536" t="str">
        <f>"N"</f>
        <v>N</v>
      </c>
      <c r="AV1536" t="str">
        <f>""</f>
        <v/>
      </c>
      <c r="AW1536" t="str">
        <f>""</f>
        <v/>
      </c>
      <c r="AX1536" t="str">
        <f>""</f>
        <v/>
      </c>
      <c r="AY1536" t="str">
        <f>""</f>
        <v/>
      </c>
      <c r="AZ1536" t="str">
        <f>""</f>
        <v/>
      </c>
      <c r="BA1536" t="str">
        <f>""</f>
        <v/>
      </c>
      <c r="BB1536" t="str">
        <f>"01/07/2021 13:53:04"</f>
        <v>01/07/2021 13:53:04</v>
      </c>
      <c r="BC1536" t="str">
        <f>"14/07/2023 15:31:43"</f>
        <v>14/07/2023 15:31:43</v>
      </c>
      <c r="BD1536" t="str">
        <f>""</f>
        <v/>
      </c>
      <c r="BE1536" t="str">
        <f>""</f>
        <v/>
      </c>
      <c r="BF1536" t="str">
        <f t="shared" si="759"/>
        <v>A</v>
      </c>
      <c r="BG1536" t="str">
        <f>""</f>
        <v/>
      </c>
      <c r="BH1536" t="str">
        <f>"0,00"</f>
        <v>0,00</v>
      </c>
      <c r="BI1536" t="str">
        <f>"MENSAL"</f>
        <v>MENSAL</v>
      </c>
      <c r="BJ1536" t="str">
        <f t="shared" si="760"/>
        <v>1</v>
      </c>
      <c r="BK1536" t="str">
        <f t="shared" si="761"/>
        <v>Farmacia</v>
      </c>
      <c r="BL1536" t="str">
        <f>""</f>
        <v/>
      </c>
      <c r="BM1536" t="str">
        <f>"NÃO É VARILUX ESPECIALISTA"</f>
        <v>NÃO É VARILUX ESPECIALISTA</v>
      </c>
      <c r="BN1536" t="str">
        <f>"NA"</f>
        <v>NA</v>
      </c>
      <c r="BO1536" t="str">
        <f>"FOCO VARILUX"</f>
        <v>FOCO VARILUX</v>
      </c>
      <c r="BP1536" t="str">
        <f>""</f>
        <v/>
      </c>
      <c r="BQ1536" t="str">
        <f>""</f>
        <v/>
      </c>
      <c r="BR1536" t="str">
        <f>"01/07/2021"</f>
        <v>01/07/2021</v>
      </c>
      <c r="BS1536" t="str">
        <f>"14/07/2023"</f>
        <v>14/07/2023</v>
      </c>
      <c r="BT1536" t="str">
        <f>""</f>
        <v/>
      </c>
      <c r="BU1536" t="str">
        <f>""</f>
        <v/>
      </c>
      <c r="BV1536" t="str">
        <f>""</f>
        <v/>
      </c>
      <c r="BW1536" t="str">
        <f>"28"</f>
        <v>28</v>
      </c>
    </row>
    <row r="1537" spans="1:75" x14ac:dyDescent="0.35">
      <c r="A1537">
        <v>120549</v>
      </c>
      <c r="B1537" t="str">
        <f t="shared" si="754"/>
        <v>A</v>
      </c>
      <c r="C1537" t="str">
        <f t="shared" si="755"/>
        <v>80</v>
      </c>
      <c r="D1537" t="str">
        <f t="shared" si="777"/>
        <v>11121004</v>
      </c>
      <c r="E1537" t="str">
        <f t="shared" si="778"/>
        <v>121004</v>
      </c>
      <c r="F1537" t="str">
        <f t="shared" si="779"/>
        <v>FABIANA GODOY</v>
      </c>
      <c r="G1537" t="str">
        <f>"07464773000178"</f>
        <v>07464773000178</v>
      </c>
      <c r="H1537" t="str">
        <f t="shared" si="781"/>
        <v>0</v>
      </c>
      <c r="I1537" t="str">
        <f t="shared" si="757"/>
        <v>CONTA OPTICA</v>
      </c>
      <c r="J1537" t="str">
        <f>"OTICA ANA MARIA LIMITADA ME"</f>
        <v>OTICA ANA MARIA LIMITADA ME</v>
      </c>
      <c r="K1537" t="str">
        <f>"OTICA ANA MARIA LIMITADA ME (736)"</f>
        <v>OTICA ANA MARIA LIMITADA ME (736)</v>
      </c>
      <c r="L1537" t="str">
        <f>""</f>
        <v/>
      </c>
      <c r="M1537" t="str">
        <f>""</f>
        <v/>
      </c>
      <c r="N1537" t="str">
        <f>"oticaanamaria@hotmail.com"</f>
        <v>oticaanamaria@hotmail.com</v>
      </c>
      <c r="O1537" t="str">
        <f>""</f>
        <v/>
      </c>
      <c r="P1537" t="str">
        <f>"AVENIDA NEREU RAMOS"</f>
        <v>AVENIDA NEREU RAMOS</v>
      </c>
      <c r="Q1537" t="str">
        <f>"222"</f>
        <v>222</v>
      </c>
      <c r="R1537" t="str">
        <f>"SALA 01"</f>
        <v>SALA 01</v>
      </c>
      <c r="S1537" t="str">
        <f>"1263"</f>
        <v>1263</v>
      </c>
      <c r="T1537" t="str">
        <f>"88380000"</f>
        <v>88380000</v>
      </c>
      <c r="U1537" t="str">
        <f t="shared" ref="U1537:U1543" si="782">"CENTRO"</f>
        <v>CENTRO</v>
      </c>
      <c r="V1537" t="str">
        <f>"BALNEARIO PICARRAS"</f>
        <v>BALNEARIO PICARRAS</v>
      </c>
      <c r="W1537" t="str">
        <f t="shared" si="773"/>
        <v>SC</v>
      </c>
      <c r="X1537" t="str">
        <f t="shared" si="780"/>
        <v>47</v>
      </c>
      <c r="Y1537" t="str">
        <f>"33454914"</f>
        <v>33454914</v>
      </c>
      <c r="Z1537" t="str">
        <f>""</f>
        <v/>
      </c>
      <c r="AA1537" t="str">
        <f>""</f>
        <v/>
      </c>
      <c r="AB1537" t="str">
        <f>""</f>
        <v/>
      </c>
      <c r="AC1537" t="str">
        <f>""</f>
        <v/>
      </c>
      <c r="AD1537" t="str">
        <f>""</f>
        <v/>
      </c>
      <c r="AE1537" t="str">
        <f>""</f>
        <v/>
      </c>
      <c r="AF1537" t="str">
        <f>""</f>
        <v/>
      </c>
      <c r="AG1537" t="str">
        <f>""</f>
        <v/>
      </c>
      <c r="AH1537" t="str">
        <f>""</f>
        <v/>
      </c>
      <c r="AI1537" t="str">
        <f>""</f>
        <v/>
      </c>
      <c r="AJ1537" t="str">
        <f>""</f>
        <v/>
      </c>
      <c r="AK1537" t="str">
        <f>""</f>
        <v/>
      </c>
      <c r="AL1537" t="str">
        <f>""</f>
        <v/>
      </c>
      <c r="AM1537" t="str">
        <f>""</f>
        <v/>
      </c>
      <c r="AN1537" t="str">
        <f>""</f>
        <v/>
      </c>
      <c r="AO1537" t="str">
        <f>""</f>
        <v/>
      </c>
      <c r="AP1537" t="str">
        <f>""</f>
        <v/>
      </c>
      <c r="AQ1537" t="str">
        <f>""</f>
        <v/>
      </c>
      <c r="AR1537" t="str">
        <f>""</f>
        <v/>
      </c>
      <c r="AS1537" t="str">
        <f>""</f>
        <v/>
      </c>
      <c r="AT1537" t="str">
        <f>""</f>
        <v/>
      </c>
      <c r="AU1537" t="str">
        <f>""</f>
        <v/>
      </c>
      <c r="AV1537" t="str">
        <f>""</f>
        <v/>
      </c>
      <c r="AW1537" t="str">
        <f>""</f>
        <v/>
      </c>
      <c r="AX1537" t="str">
        <f>""</f>
        <v/>
      </c>
      <c r="AY1537" t="str">
        <f>""</f>
        <v/>
      </c>
      <c r="AZ1537" t="str">
        <f>""</f>
        <v/>
      </c>
      <c r="BA1537" t="str">
        <f>""</f>
        <v/>
      </c>
      <c r="BB1537" t="str">
        <f>"22/09/2020 15:29:33"</f>
        <v>22/09/2020 15:29:33</v>
      </c>
      <c r="BC1537" t="str">
        <f>""</f>
        <v/>
      </c>
      <c r="BD1537" t="str">
        <f>""</f>
        <v/>
      </c>
      <c r="BE1537" t="str">
        <f>""</f>
        <v/>
      </c>
      <c r="BF1537" t="str">
        <f t="shared" si="759"/>
        <v>A</v>
      </c>
      <c r="BG1537" t="str">
        <f>""</f>
        <v/>
      </c>
      <c r="BH1537" t="str">
        <f>""</f>
        <v/>
      </c>
      <c r="BI1537" t="str">
        <f t="shared" ref="BI1537:BI1542" si="783">"EVENTUAL"</f>
        <v>EVENTUAL</v>
      </c>
      <c r="BJ1537" t="str">
        <f t="shared" si="760"/>
        <v>1</v>
      </c>
      <c r="BK1537" t="str">
        <f t="shared" si="761"/>
        <v>Farmacia</v>
      </c>
      <c r="BL1537" t="str">
        <f>""</f>
        <v/>
      </c>
      <c r="BM1537" t="str">
        <f>"NÃO É VARILUX ESPECIALISTA"</f>
        <v>NÃO É VARILUX ESPECIALISTA</v>
      </c>
      <c r="BN1537" t="str">
        <f>"NA"</f>
        <v>NA</v>
      </c>
      <c r="BO1537" t="str">
        <f>"FOCO VARILUX DIGITAL"</f>
        <v>FOCO VARILUX DIGITAL</v>
      </c>
      <c r="BP1537" t="str">
        <f>""</f>
        <v/>
      </c>
      <c r="BQ1537" t="str">
        <f>""</f>
        <v/>
      </c>
      <c r="BR1537" t="str">
        <f>"22/09/2020"</f>
        <v>22/09/2020</v>
      </c>
      <c r="BS1537" t="str">
        <f>""</f>
        <v/>
      </c>
      <c r="BT1537" t="str">
        <f>""</f>
        <v/>
      </c>
      <c r="BU1537" t="str">
        <f>""</f>
        <v/>
      </c>
      <c r="BV1537" t="str">
        <f>"1"</f>
        <v>1</v>
      </c>
      <c r="BW1537" t="str">
        <f>"Não visitado"</f>
        <v>Não visitado</v>
      </c>
    </row>
    <row r="1538" spans="1:75" x14ac:dyDescent="0.35">
      <c r="A1538">
        <v>157748</v>
      </c>
      <c r="B1538" t="str">
        <f t="shared" ref="B1538:B1601" si="784">"A"</f>
        <v>A</v>
      </c>
      <c r="C1538" t="str">
        <f t="shared" ref="C1538:C1601" si="785">"80"</f>
        <v>80</v>
      </c>
      <c r="D1538" t="str">
        <f t="shared" si="777"/>
        <v>11121004</v>
      </c>
      <c r="E1538" t="str">
        <f t="shared" si="778"/>
        <v>121004</v>
      </c>
      <c r="F1538" t="str">
        <f t="shared" si="779"/>
        <v>FABIANA GODOY</v>
      </c>
      <c r="G1538" t="str">
        <f>"05011362000100"</f>
        <v>05011362000100</v>
      </c>
      <c r="H1538" t="str">
        <f t="shared" si="781"/>
        <v>0</v>
      </c>
      <c r="I1538" t="str">
        <f t="shared" ref="I1538:I1601" si="786">"CONTA OPTICA"</f>
        <v>CONTA OPTICA</v>
      </c>
      <c r="J1538" t="str">
        <f>"OTICA ATUAL LTDA ME"</f>
        <v>OTICA ATUAL LTDA ME</v>
      </c>
      <c r="K1538" t="str">
        <f>"OTICA ATUAL (150)"</f>
        <v>OTICA ATUAL (150)</v>
      </c>
      <c r="L1538" t="str">
        <f>""</f>
        <v/>
      </c>
      <c r="M1538" t="str">
        <f>""</f>
        <v/>
      </c>
      <c r="N1538" t="str">
        <f>"CENTROOPTICO182@GMAIL.COM"</f>
        <v>CENTROOPTICO182@GMAIL.COM</v>
      </c>
      <c r="O1538" t="str">
        <f>""</f>
        <v/>
      </c>
      <c r="P1538" t="str">
        <f>"RUA OTTO RENAUX"</f>
        <v>RUA OTTO RENAUX</v>
      </c>
      <c r="Q1538" t="str">
        <f>"182"</f>
        <v>182</v>
      </c>
      <c r="R1538" t="str">
        <f>"SALA 05"</f>
        <v>SALA 05</v>
      </c>
      <c r="S1538" t="str">
        <f>"1263"</f>
        <v>1263</v>
      </c>
      <c r="T1538" t="str">
        <f>"88351300"</f>
        <v>88351300</v>
      </c>
      <c r="U1538" t="str">
        <f t="shared" si="782"/>
        <v>CENTRO</v>
      </c>
      <c r="V1538" t="str">
        <f>"BRUSQUE"</f>
        <v>BRUSQUE</v>
      </c>
      <c r="W1538" t="str">
        <f t="shared" si="773"/>
        <v>SC</v>
      </c>
      <c r="X1538" t="str">
        <f t="shared" si="780"/>
        <v>47</v>
      </c>
      <c r="Y1538" t="str">
        <f>"30443113"</f>
        <v>30443113</v>
      </c>
      <c r="Z1538" t="str">
        <f>""</f>
        <v/>
      </c>
      <c r="AA1538" t="str">
        <f>""</f>
        <v/>
      </c>
      <c r="AB1538" t="str">
        <f>""</f>
        <v/>
      </c>
      <c r="AC1538" t="str">
        <f>""</f>
        <v/>
      </c>
      <c r="AD1538" t="str">
        <f>""</f>
        <v/>
      </c>
      <c r="AE1538" t="str">
        <f>""</f>
        <v/>
      </c>
      <c r="AF1538" t="str">
        <f>""</f>
        <v/>
      </c>
      <c r="AG1538" t="str">
        <f>""</f>
        <v/>
      </c>
      <c r="AH1538" t="str">
        <f>""</f>
        <v/>
      </c>
      <c r="AI1538" t="str">
        <f>""</f>
        <v/>
      </c>
      <c r="AJ1538" t="str">
        <f>""</f>
        <v/>
      </c>
      <c r="AK1538" t="str">
        <f>""</f>
        <v/>
      </c>
      <c r="AL1538" t="str">
        <f>""</f>
        <v/>
      </c>
      <c r="AM1538" t="str">
        <f>""</f>
        <v/>
      </c>
      <c r="AN1538" t="str">
        <f>""</f>
        <v/>
      </c>
      <c r="AO1538" t="str">
        <f>""</f>
        <v/>
      </c>
      <c r="AP1538" t="str">
        <f>""</f>
        <v/>
      </c>
      <c r="AQ1538" t="str">
        <f>""</f>
        <v/>
      </c>
      <c r="AR1538" t="str">
        <f>""</f>
        <v/>
      </c>
      <c r="AS1538" t="str">
        <f>""</f>
        <v/>
      </c>
      <c r="AT1538" t="str">
        <f>""</f>
        <v/>
      </c>
      <c r="AU1538" t="str">
        <f>""</f>
        <v/>
      </c>
      <c r="AV1538" t="str">
        <f>""</f>
        <v/>
      </c>
      <c r="AW1538" t="str">
        <f>""</f>
        <v/>
      </c>
      <c r="AX1538" t="str">
        <f>""</f>
        <v/>
      </c>
      <c r="AY1538" t="str">
        <f>""</f>
        <v/>
      </c>
      <c r="AZ1538" t="str">
        <f>""</f>
        <v/>
      </c>
      <c r="BA1538" t="str">
        <f>""</f>
        <v/>
      </c>
      <c r="BB1538" t="str">
        <f>"11/07/2023 02:26:32"</f>
        <v>11/07/2023 02:26:32</v>
      </c>
      <c r="BC1538" t="str">
        <f>""</f>
        <v/>
      </c>
      <c r="BD1538" t="str">
        <f>""</f>
        <v/>
      </c>
      <c r="BE1538" t="str">
        <f>""</f>
        <v/>
      </c>
      <c r="BF1538" t="str">
        <f t="shared" ref="BF1538:BF1601" si="787">"A"</f>
        <v>A</v>
      </c>
      <c r="BG1538" t="str">
        <f>""</f>
        <v/>
      </c>
      <c r="BH1538" t="str">
        <f>""</f>
        <v/>
      </c>
      <c r="BI1538" t="str">
        <f t="shared" si="783"/>
        <v>EVENTUAL</v>
      </c>
      <c r="BJ1538" t="str">
        <f t="shared" ref="BJ1538:BJ1601" si="788">"1"</f>
        <v>1</v>
      </c>
      <c r="BK1538" t="str">
        <f t="shared" ref="BK1538:BK1601" si="789">"Farmacia"</f>
        <v>Farmacia</v>
      </c>
      <c r="BL1538" t="str">
        <f>""</f>
        <v/>
      </c>
      <c r="BM1538" t="str">
        <f>""</f>
        <v/>
      </c>
      <c r="BN1538" t="str">
        <f>""</f>
        <v/>
      </c>
      <c r="BO1538" t="str">
        <f>""</f>
        <v/>
      </c>
      <c r="BP1538" t="str">
        <f>""</f>
        <v/>
      </c>
      <c r="BQ1538" t="str">
        <f>""</f>
        <v/>
      </c>
      <c r="BR1538" t="str">
        <f>"11/07/2023"</f>
        <v>11/07/2023</v>
      </c>
      <c r="BS1538" t="str">
        <f>""</f>
        <v/>
      </c>
      <c r="BT1538" t="str">
        <f>""</f>
        <v/>
      </c>
      <c r="BU1538" t="str">
        <f>""</f>
        <v/>
      </c>
      <c r="BV1538" t="str">
        <f>""</f>
        <v/>
      </c>
      <c r="BW1538" t="str">
        <f>"Não visitado"</f>
        <v>Não visitado</v>
      </c>
    </row>
    <row r="1539" spans="1:75" x14ac:dyDescent="0.35">
      <c r="A1539">
        <v>137763</v>
      </c>
      <c r="B1539" t="str">
        <f t="shared" si="784"/>
        <v>A</v>
      </c>
      <c r="C1539" t="str">
        <f t="shared" si="785"/>
        <v>80</v>
      </c>
      <c r="D1539" t="str">
        <f t="shared" si="777"/>
        <v>11121004</v>
      </c>
      <c r="E1539" t="str">
        <f t="shared" si="778"/>
        <v>121004</v>
      </c>
      <c r="F1539" t="str">
        <f t="shared" si="779"/>
        <v>FABIANA GODOY</v>
      </c>
      <c r="G1539" t="str">
        <f>"83779421000190"</f>
        <v>83779421000190</v>
      </c>
      <c r="H1539" t="str">
        <f t="shared" si="781"/>
        <v>0</v>
      </c>
      <c r="I1539" t="str">
        <f t="shared" si="786"/>
        <v>CONTA OPTICA</v>
      </c>
      <c r="J1539" t="str">
        <f>"OTICA BAIER LTDA EPP"</f>
        <v>OTICA BAIER LTDA EPP</v>
      </c>
      <c r="K1539" t="str">
        <f>"OTICA BAIER MATRIZ (274)"</f>
        <v>OTICA BAIER MATRIZ (274)</v>
      </c>
      <c r="L1539" t="str">
        <f>""</f>
        <v/>
      </c>
      <c r="M1539" t="str">
        <f>""</f>
        <v/>
      </c>
      <c r="N1539" t="str">
        <f>"baierexpress@terra.com.br"</f>
        <v>baierexpress@terra.com.br</v>
      </c>
      <c r="O1539" t="str">
        <f>""</f>
        <v/>
      </c>
      <c r="P1539" t="str">
        <f>"RUA SETE DE SETEMBRO"</f>
        <v>RUA SETE DE SETEMBRO</v>
      </c>
      <c r="Q1539" t="str">
        <f>"1213"</f>
        <v>1213</v>
      </c>
      <c r="R1539" t="str">
        <f>"LJ236"</f>
        <v>LJ236</v>
      </c>
      <c r="S1539" t="str">
        <f>"1271"</f>
        <v>1271</v>
      </c>
      <c r="T1539" t="str">
        <f>"89010202"</f>
        <v>89010202</v>
      </c>
      <c r="U1539" t="str">
        <f t="shared" si="782"/>
        <v>CENTRO</v>
      </c>
      <c r="V1539" t="str">
        <f>"BLUMENAU"</f>
        <v>BLUMENAU</v>
      </c>
      <c r="W1539" t="str">
        <f t="shared" si="773"/>
        <v>SC</v>
      </c>
      <c r="X1539" t="str">
        <f t="shared" si="780"/>
        <v>47</v>
      </c>
      <c r="Y1539" t="str">
        <f>"30372693"</f>
        <v>30372693</v>
      </c>
      <c r="Z1539" t="str">
        <f>""</f>
        <v/>
      </c>
      <c r="AA1539" t="str">
        <f>""</f>
        <v/>
      </c>
      <c r="AB1539" t="str">
        <f>""</f>
        <v/>
      </c>
      <c r="AC1539" t="str">
        <f>""</f>
        <v/>
      </c>
      <c r="AD1539" t="str">
        <f>""</f>
        <v/>
      </c>
      <c r="AE1539" t="str">
        <f>""</f>
        <v/>
      </c>
      <c r="AF1539" t="str">
        <f>""</f>
        <v/>
      </c>
      <c r="AG1539" t="str">
        <f>"S"</f>
        <v>S</v>
      </c>
      <c r="AH1539" t="str">
        <f>""</f>
        <v/>
      </c>
      <c r="AI1539" t="str">
        <f>""</f>
        <v/>
      </c>
      <c r="AJ1539" t="str">
        <f>""</f>
        <v/>
      </c>
      <c r="AK1539" t="str">
        <f>""</f>
        <v/>
      </c>
      <c r="AL1539" t="str">
        <f>""</f>
        <v/>
      </c>
      <c r="AM1539" t="str">
        <f>""</f>
        <v/>
      </c>
      <c r="AN1539" t="str">
        <f>""</f>
        <v/>
      </c>
      <c r="AO1539" t="str">
        <f>""</f>
        <v/>
      </c>
      <c r="AP1539" t="str">
        <f>""</f>
        <v/>
      </c>
      <c r="AQ1539" t="str">
        <f>"N"</f>
        <v>N</v>
      </c>
      <c r="AR1539" t="str">
        <f>"N"</f>
        <v>N</v>
      </c>
      <c r="AS1539" t="str">
        <f>"N"</f>
        <v>N</v>
      </c>
      <c r="AT1539" t="str">
        <f>"N"</f>
        <v>N</v>
      </c>
      <c r="AU1539" t="str">
        <f>"N"</f>
        <v>N</v>
      </c>
      <c r="AV1539" t="str">
        <f>""</f>
        <v/>
      </c>
      <c r="AW1539" t="str">
        <f>""</f>
        <v/>
      </c>
      <c r="AX1539" t="str">
        <f>""</f>
        <v/>
      </c>
      <c r="AY1539" t="str">
        <f>""</f>
        <v/>
      </c>
      <c r="AZ1539" t="str">
        <f>""</f>
        <v/>
      </c>
      <c r="BA1539" t="str">
        <f>""</f>
        <v/>
      </c>
      <c r="BB1539" t="str">
        <f>"01/07/2021 13:53:04"</f>
        <v>01/07/2021 13:53:04</v>
      </c>
      <c r="BC1539" t="str">
        <f>"14/12/2021 10:21:33"</f>
        <v>14/12/2021 10:21:33</v>
      </c>
      <c r="BD1539" t="str">
        <f>""</f>
        <v/>
      </c>
      <c r="BE1539" t="str">
        <f>""</f>
        <v/>
      </c>
      <c r="BF1539" t="str">
        <f t="shared" si="787"/>
        <v>A</v>
      </c>
      <c r="BG1539" t="str">
        <f>""</f>
        <v/>
      </c>
      <c r="BH1539" t="str">
        <f>"0,00"</f>
        <v>0,00</v>
      </c>
      <c r="BI1539" t="str">
        <f t="shared" si="783"/>
        <v>EVENTUAL</v>
      </c>
      <c r="BJ1539" t="str">
        <f t="shared" si="788"/>
        <v>1</v>
      </c>
      <c r="BK1539" t="str">
        <f t="shared" si="789"/>
        <v>Farmacia</v>
      </c>
      <c r="BL1539" t="str">
        <f>""</f>
        <v/>
      </c>
      <c r="BM1539" t="str">
        <f>"NÃO É VARILUX ESPECIALISTA"</f>
        <v>NÃO É VARILUX ESPECIALISTA</v>
      </c>
      <c r="BN1539" t="str">
        <f>"NA"</f>
        <v>NA</v>
      </c>
      <c r="BO1539" t="str">
        <f>"FOCO VARILUX DIGITAL"</f>
        <v>FOCO VARILUX DIGITAL</v>
      </c>
      <c r="BP1539" t="str">
        <f>""</f>
        <v/>
      </c>
      <c r="BQ1539" t="str">
        <f>""</f>
        <v/>
      </c>
      <c r="BR1539" t="str">
        <f>"01/07/2021"</f>
        <v>01/07/2021</v>
      </c>
      <c r="BS1539" t="str">
        <f>"14/12/2021"</f>
        <v>14/12/2021</v>
      </c>
      <c r="BT1539" t="str">
        <f>""</f>
        <v/>
      </c>
      <c r="BU1539" t="str">
        <f>""</f>
        <v/>
      </c>
      <c r="BV1539" t="str">
        <f>""</f>
        <v/>
      </c>
      <c r="BW1539" t="str">
        <f>"29"</f>
        <v>29</v>
      </c>
    </row>
    <row r="1540" spans="1:75" x14ac:dyDescent="0.35">
      <c r="A1540">
        <v>158721</v>
      </c>
      <c r="B1540" t="str">
        <f t="shared" si="784"/>
        <v>A</v>
      </c>
      <c r="C1540" t="str">
        <f t="shared" si="785"/>
        <v>80</v>
      </c>
      <c r="D1540" t="str">
        <f t="shared" si="777"/>
        <v>11121004</v>
      </c>
      <c r="E1540" t="str">
        <f t="shared" si="778"/>
        <v>121004</v>
      </c>
      <c r="F1540" t="str">
        <f t="shared" si="779"/>
        <v>FABIANA GODOY</v>
      </c>
      <c r="G1540" t="str">
        <f>"50434557000109"</f>
        <v>50434557000109</v>
      </c>
      <c r="H1540" t="str">
        <f>""</f>
        <v/>
      </c>
      <c r="I1540" t="str">
        <f t="shared" si="786"/>
        <v>CONTA OPTICA</v>
      </c>
      <c r="J1540" t="str">
        <f>"OTICA BALDEGA LTDA."</f>
        <v>OTICA BALDEGA LTDA.</v>
      </c>
      <c r="K1540" t="str">
        <f>"CONCEITOS VISUAL OTICA E CONCEITOS OTICA KIDS (4719)"</f>
        <v>CONCEITOS VISUAL OTICA E CONCEITOS OTICA KIDS (4719)</v>
      </c>
      <c r="L1540" t="str">
        <f>""</f>
        <v/>
      </c>
      <c r="M1540" t="str">
        <f>""</f>
        <v/>
      </c>
      <c r="N1540" t="str">
        <f>"GRUPOCONCEITOS@OUTLOOK.COM"</f>
        <v>GRUPOCONCEITOS@OUTLOOK.COM</v>
      </c>
      <c r="O1540" t="str">
        <f>""</f>
        <v/>
      </c>
      <c r="P1540" t="str">
        <f>"RUA CARLOS GOMES"</f>
        <v>RUA CARLOS GOMES</v>
      </c>
      <c r="Q1540" t="str">
        <f>"5"</f>
        <v>5</v>
      </c>
      <c r="R1540" t="str">
        <f>"SALA 01"</f>
        <v>SALA 01</v>
      </c>
      <c r="S1540" t="str">
        <f>"1276"</f>
        <v>1276</v>
      </c>
      <c r="T1540" t="str">
        <f>"89160051"</f>
        <v>89160051</v>
      </c>
      <c r="U1540" t="str">
        <f t="shared" si="782"/>
        <v>CENTRO</v>
      </c>
      <c r="V1540" t="str">
        <f>"RIO DO SUL"</f>
        <v>RIO DO SUL</v>
      </c>
      <c r="W1540" t="str">
        <f t="shared" si="773"/>
        <v>SC</v>
      </c>
      <c r="X1540" t="str">
        <f t="shared" si="780"/>
        <v>47</v>
      </c>
      <c r="Y1540" t="str">
        <f>"35218105"</f>
        <v>35218105</v>
      </c>
      <c r="Z1540" t="str">
        <f>""</f>
        <v/>
      </c>
      <c r="AA1540" t="str">
        <f>""</f>
        <v/>
      </c>
      <c r="AB1540" t="str">
        <f>""</f>
        <v/>
      </c>
      <c r="AC1540" t="str">
        <f>""</f>
        <v/>
      </c>
      <c r="AD1540" t="str">
        <f>""</f>
        <v/>
      </c>
      <c r="AE1540" t="str">
        <f>""</f>
        <v/>
      </c>
      <c r="AF1540" t="str">
        <f>""</f>
        <v/>
      </c>
      <c r="AG1540" t="str">
        <f>""</f>
        <v/>
      </c>
      <c r="AH1540" t="str">
        <f>""</f>
        <v/>
      </c>
      <c r="AI1540" t="str">
        <f>""</f>
        <v/>
      </c>
      <c r="AJ1540" t="str">
        <f>""</f>
        <v/>
      </c>
      <c r="AK1540" t="str">
        <f>""</f>
        <v/>
      </c>
      <c r="AL1540" t="str">
        <f>""</f>
        <v/>
      </c>
      <c r="AM1540" t="str">
        <f>""</f>
        <v/>
      </c>
      <c r="AN1540" t="str">
        <f>""</f>
        <v/>
      </c>
      <c r="AO1540" t="str">
        <f>""</f>
        <v/>
      </c>
      <c r="AP1540" t="str">
        <f>""</f>
        <v/>
      </c>
      <c r="AQ1540" t="str">
        <f>""</f>
        <v/>
      </c>
      <c r="AR1540" t="str">
        <f>""</f>
        <v/>
      </c>
      <c r="AS1540" t="str">
        <f>""</f>
        <v/>
      </c>
      <c r="AT1540" t="str">
        <f>""</f>
        <v/>
      </c>
      <c r="AU1540" t="str">
        <f>""</f>
        <v/>
      </c>
      <c r="AV1540" t="str">
        <f>""</f>
        <v/>
      </c>
      <c r="AW1540" t="str">
        <f>""</f>
        <v/>
      </c>
      <c r="AX1540" t="str">
        <f>""</f>
        <v/>
      </c>
      <c r="AY1540" t="str">
        <f>""</f>
        <v/>
      </c>
      <c r="AZ1540" t="str">
        <f>""</f>
        <v/>
      </c>
      <c r="BA1540" t="str">
        <f>""</f>
        <v/>
      </c>
      <c r="BB1540" t="str">
        <f>"17/08/2023 16:48:06"</f>
        <v>17/08/2023 16:48:06</v>
      </c>
      <c r="BC1540" t="str">
        <f>""</f>
        <v/>
      </c>
      <c r="BD1540" t="str">
        <f>""</f>
        <v/>
      </c>
      <c r="BE1540" t="str">
        <f>""</f>
        <v/>
      </c>
      <c r="BF1540" t="str">
        <f t="shared" si="787"/>
        <v>A</v>
      </c>
      <c r="BG1540" t="str">
        <f>""</f>
        <v/>
      </c>
      <c r="BH1540" t="str">
        <f>""</f>
        <v/>
      </c>
      <c r="BI1540" t="str">
        <f t="shared" si="783"/>
        <v>EVENTUAL</v>
      </c>
      <c r="BJ1540" t="str">
        <f t="shared" si="788"/>
        <v>1</v>
      </c>
      <c r="BK1540" t="str">
        <f t="shared" si="789"/>
        <v>Farmacia</v>
      </c>
      <c r="BL1540" t="str">
        <f>""</f>
        <v/>
      </c>
      <c r="BM1540" t="str">
        <f>""</f>
        <v/>
      </c>
      <c r="BN1540" t="str">
        <f>""</f>
        <v/>
      </c>
      <c r="BO1540" t="str">
        <f>""</f>
        <v/>
      </c>
      <c r="BP1540" t="str">
        <f>""</f>
        <v/>
      </c>
      <c r="BQ1540" t="str">
        <f>""</f>
        <v/>
      </c>
      <c r="BR1540" t="str">
        <f>"17/08/2023"</f>
        <v>17/08/2023</v>
      </c>
      <c r="BS1540" t="str">
        <f>""</f>
        <v/>
      </c>
      <c r="BT1540" t="str">
        <f>""</f>
        <v/>
      </c>
      <c r="BU1540" t="str">
        <f>""</f>
        <v/>
      </c>
      <c r="BV1540" t="str">
        <f>""</f>
        <v/>
      </c>
      <c r="BW1540" t="str">
        <f>"Não visitado"</f>
        <v>Não visitado</v>
      </c>
    </row>
    <row r="1541" spans="1:75" x14ac:dyDescent="0.35">
      <c r="A1541">
        <v>137764</v>
      </c>
      <c r="B1541" t="str">
        <f t="shared" si="784"/>
        <v>A</v>
      </c>
      <c r="C1541" t="str">
        <f t="shared" si="785"/>
        <v>80</v>
      </c>
      <c r="D1541" t="str">
        <f t="shared" si="777"/>
        <v>11121004</v>
      </c>
      <c r="E1541" t="str">
        <f t="shared" si="778"/>
        <v>121004</v>
      </c>
      <c r="F1541" t="str">
        <f t="shared" si="779"/>
        <v>FABIANA GODOY</v>
      </c>
      <c r="G1541" t="str">
        <f>"32828492000102"</f>
        <v>32828492000102</v>
      </c>
      <c r="H1541" t="str">
        <f t="shared" ref="H1541:H1554" si="790">"0"</f>
        <v>0</v>
      </c>
      <c r="I1541" t="str">
        <f t="shared" si="786"/>
        <v>CONTA OPTICA</v>
      </c>
      <c r="J1541" t="str">
        <f>"OTICA BALNEARIO CAMBORIU COM. DE PROD. OPTICOS LTDA"</f>
        <v>OTICA BALNEARIO CAMBORIU COM. DE PROD. OPTICOS LTDA</v>
      </c>
      <c r="K1541" t="str">
        <f>"OTICA BC (3981)"</f>
        <v>OTICA BC (3981)</v>
      </c>
      <c r="L1541" t="str">
        <f>""</f>
        <v/>
      </c>
      <c r="M1541" t="str">
        <f>""</f>
        <v/>
      </c>
      <c r="N1541" t="str">
        <f>"oticabc@hotmail.com"</f>
        <v>oticabc@hotmail.com</v>
      </c>
      <c r="O1541" t="str">
        <f>""</f>
        <v/>
      </c>
      <c r="P1541" t="str">
        <f>"RUA 3 AVENIDA"</f>
        <v>RUA 3 AVENIDA</v>
      </c>
      <c r="Q1541" t="str">
        <f>"965"</f>
        <v>965</v>
      </c>
      <c r="R1541" t="str">
        <f>"LOJA 3"</f>
        <v>LOJA 3</v>
      </c>
      <c r="S1541" t="str">
        <f>"1262"</f>
        <v>1262</v>
      </c>
      <c r="T1541" t="str">
        <f>"88330091"</f>
        <v>88330091</v>
      </c>
      <c r="U1541" t="str">
        <f t="shared" si="782"/>
        <v>CENTRO</v>
      </c>
      <c r="V1541" t="str">
        <f>"BALNEÁRIO CAMBORIÚ"</f>
        <v>BALNEÁRIO CAMBORIÚ</v>
      </c>
      <c r="W1541" t="str">
        <f t="shared" si="773"/>
        <v>SC</v>
      </c>
      <c r="X1541" t="str">
        <f t="shared" si="780"/>
        <v>47</v>
      </c>
      <c r="Y1541" t="str">
        <f>"33663292"</f>
        <v>33663292</v>
      </c>
      <c r="Z1541" t="str">
        <f>""</f>
        <v/>
      </c>
      <c r="AA1541" t="str">
        <f>""</f>
        <v/>
      </c>
      <c r="AB1541" t="str">
        <f>""</f>
        <v/>
      </c>
      <c r="AC1541" t="str">
        <f>""</f>
        <v/>
      </c>
      <c r="AD1541" t="str">
        <f>""</f>
        <v/>
      </c>
      <c r="AE1541" t="str">
        <f>""</f>
        <v/>
      </c>
      <c r="AF1541" t="str">
        <f>""</f>
        <v/>
      </c>
      <c r="AG1541" t="str">
        <f>"S"</f>
        <v>S</v>
      </c>
      <c r="AH1541" t="str">
        <f>""</f>
        <v/>
      </c>
      <c r="AI1541" t="str">
        <f>""</f>
        <v/>
      </c>
      <c r="AJ1541" t="str">
        <f>""</f>
        <v/>
      </c>
      <c r="AK1541" t="str">
        <f>""</f>
        <v/>
      </c>
      <c r="AL1541" t="str">
        <f>""</f>
        <v/>
      </c>
      <c r="AM1541" t="str">
        <f>""</f>
        <v/>
      </c>
      <c r="AN1541" t="str">
        <f>""</f>
        <v/>
      </c>
      <c r="AO1541" t="str">
        <f>""</f>
        <v/>
      </c>
      <c r="AP1541" t="str">
        <f>""</f>
        <v/>
      </c>
      <c r="AQ1541" t="str">
        <f>"N"</f>
        <v>N</v>
      </c>
      <c r="AR1541" t="str">
        <f>"N"</f>
        <v>N</v>
      </c>
      <c r="AS1541" t="str">
        <f>"N"</f>
        <v>N</v>
      </c>
      <c r="AT1541" t="str">
        <f>"N"</f>
        <v>N</v>
      </c>
      <c r="AU1541" t="str">
        <f>"N"</f>
        <v>N</v>
      </c>
      <c r="AV1541" t="str">
        <f>""</f>
        <v/>
      </c>
      <c r="AW1541" t="str">
        <f>""</f>
        <v/>
      </c>
      <c r="AX1541" t="str">
        <f>""</f>
        <v/>
      </c>
      <c r="AY1541" t="str">
        <f>""</f>
        <v/>
      </c>
      <c r="AZ1541" t="str">
        <f>""</f>
        <v/>
      </c>
      <c r="BA1541" t="str">
        <f>""</f>
        <v/>
      </c>
      <c r="BB1541" t="str">
        <f>"01/07/2021 13:53:04"</f>
        <v>01/07/2021 13:53:04</v>
      </c>
      <c r="BC1541" t="str">
        <f>"29/07/2022 15:43:05"</f>
        <v>29/07/2022 15:43:05</v>
      </c>
      <c r="BD1541" t="str">
        <f>""</f>
        <v/>
      </c>
      <c r="BE1541" t="str">
        <f>""</f>
        <v/>
      </c>
      <c r="BF1541" t="str">
        <f t="shared" si="787"/>
        <v>A</v>
      </c>
      <c r="BG1541" t="str">
        <f>""</f>
        <v/>
      </c>
      <c r="BH1541" t="str">
        <f>"0,00"</f>
        <v>0,00</v>
      </c>
      <c r="BI1541" t="str">
        <f t="shared" si="783"/>
        <v>EVENTUAL</v>
      </c>
      <c r="BJ1541" t="str">
        <f t="shared" si="788"/>
        <v>1</v>
      </c>
      <c r="BK1541" t="str">
        <f t="shared" si="789"/>
        <v>Farmacia</v>
      </c>
      <c r="BL1541" t="str">
        <f>""</f>
        <v/>
      </c>
      <c r="BM1541" t="str">
        <f>"NÃO É VARILUX ESPECIALISTA"</f>
        <v>NÃO É VARILUX ESPECIALISTA</v>
      </c>
      <c r="BN1541" t="str">
        <f>"NA"</f>
        <v>NA</v>
      </c>
      <c r="BO1541" t="str">
        <f>"FOCO VARILUX"</f>
        <v>FOCO VARILUX</v>
      </c>
      <c r="BP1541" t="str">
        <f>""</f>
        <v/>
      </c>
      <c r="BQ1541" t="str">
        <f>""</f>
        <v/>
      </c>
      <c r="BR1541" t="str">
        <f>"01/07/2021"</f>
        <v>01/07/2021</v>
      </c>
      <c r="BS1541" t="str">
        <f>"29/07/2022"</f>
        <v>29/07/2022</v>
      </c>
      <c r="BT1541" t="str">
        <f>""</f>
        <v/>
      </c>
      <c r="BU1541" t="str">
        <f>""</f>
        <v/>
      </c>
      <c r="BV1541" t="str">
        <f>""</f>
        <v/>
      </c>
      <c r="BW1541" t="str">
        <f>"359"</f>
        <v>359</v>
      </c>
    </row>
    <row r="1542" spans="1:75" x14ac:dyDescent="0.35">
      <c r="A1542">
        <v>157120</v>
      </c>
      <c r="B1542" t="str">
        <f t="shared" si="784"/>
        <v>A</v>
      </c>
      <c r="C1542" t="str">
        <f t="shared" si="785"/>
        <v>80</v>
      </c>
      <c r="D1542" t="str">
        <f t="shared" si="777"/>
        <v>11121004</v>
      </c>
      <c r="E1542" t="str">
        <f t="shared" si="778"/>
        <v>121004</v>
      </c>
      <c r="F1542" t="str">
        <f t="shared" si="779"/>
        <v>FABIANA GODOY</v>
      </c>
      <c r="G1542" t="str">
        <f>"22794987000104"</f>
        <v>22794987000104</v>
      </c>
      <c r="H1542" t="str">
        <f t="shared" si="790"/>
        <v>0</v>
      </c>
      <c r="I1542" t="str">
        <f t="shared" si="786"/>
        <v>CONTA OPTICA</v>
      </c>
      <c r="J1542" t="str">
        <f>"OTICA BC COMERCIO DE PRODUTOS OPTICOS"</f>
        <v>OTICA BC COMERCIO DE PRODUTOS OPTICOS</v>
      </c>
      <c r="K1542" t="str">
        <f>"OTICA BC (2252)"</f>
        <v>OTICA BC (2252)</v>
      </c>
      <c r="L1542" t="str">
        <f>""</f>
        <v/>
      </c>
      <c r="M1542" t="str">
        <f>""</f>
        <v/>
      </c>
      <c r="N1542" t="str">
        <f>"OTICABC@HOTMAIL.COM"</f>
        <v>OTICABC@HOTMAIL.COM</v>
      </c>
      <c r="O1542" t="str">
        <f>""</f>
        <v/>
      </c>
      <c r="P1542" t="str">
        <f>"3ª AVENIDA"</f>
        <v>3ª AVENIDA</v>
      </c>
      <c r="Q1542" t="str">
        <f>"965"</f>
        <v>965</v>
      </c>
      <c r="R1542" t="str">
        <f>"LOJA 03"</f>
        <v>LOJA 03</v>
      </c>
      <c r="S1542" t="str">
        <f>"1262"</f>
        <v>1262</v>
      </c>
      <c r="T1542" t="str">
        <f>"88330091"</f>
        <v>88330091</v>
      </c>
      <c r="U1542" t="str">
        <f t="shared" si="782"/>
        <v>CENTRO</v>
      </c>
      <c r="V1542" t="str">
        <f>"BALNEARIO CAMBORIU"</f>
        <v>BALNEARIO CAMBORIU</v>
      </c>
      <c r="W1542" t="str">
        <f t="shared" si="773"/>
        <v>SC</v>
      </c>
      <c r="X1542" t="str">
        <f t="shared" si="780"/>
        <v>47</v>
      </c>
      <c r="Y1542" t="str">
        <f>"33663292"</f>
        <v>33663292</v>
      </c>
      <c r="Z1542" t="str">
        <f>""</f>
        <v/>
      </c>
      <c r="AA1542" t="str">
        <f>""</f>
        <v/>
      </c>
      <c r="AB1542" t="str">
        <f>""</f>
        <v/>
      </c>
      <c r="AC1542" t="str">
        <f>""</f>
        <v/>
      </c>
      <c r="AD1542" t="str">
        <f>""</f>
        <v/>
      </c>
      <c r="AE1542" t="str">
        <f>""</f>
        <v/>
      </c>
      <c r="AF1542" t="str">
        <f>""</f>
        <v/>
      </c>
      <c r="AG1542" t="str">
        <f>""</f>
        <v/>
      </c>
      <c r="AH1542" t="str">
        <f>""</f>
        <v/>
      </c>
      <c r="AI1542" t="str">
        <f>""</f>
        <v/>
      </c>
      <c r="AJ1542" t="str">
        <f>""</f>
        <v/>
      </c>
      <c r="AK1542" t="str">
        <f>""</f>
        <v/>
      </c>
      <c r="AL1542" t="str">
        <f>""</f>
        <v/>
      </c>
      <c r="AM1542" t="str">
        <f>""</f>
        <v/>
      </c>
      <c r="AN1542" t="str">
        <f>""</f>
        <v/>
      </c>
      <c r="AO1542" t="str">
        <f>""</f>
        <v/>
      </c>
      <c r="AP1542" t="str">
        <f>""</f>
        <v/>
      </c>
      <c r="AQ1542" t="str">
        <f>""</f>
        <v/>
      </c>
      <c r="AR1542" t="str">
        <f>""</f>
        <v/>
      </c>
      <c r="AS1542" t="str">
        <f>""</f>
        <v/>
      </c>
      <c r="AT1542" t="str">
        <f>""</f>
        <v/>
      </c>
      <c r="AU1542" t="str">
        <f>""</f>
        <v/>
      </c>
      <c r="AV1542" t="str">
        <f>""</f>
        <v/>
      </c>
      <c r="AW1542" t="str">
        <f>""</f>
        <v/>
      </c>
      <c r="AX1542" t="str">
        <f>""</f>
        <v/>
      </c>
      <c r="AY1542" t="str">
        <f>""</f>
        <v/>
      </c>
      <c r="AZ1542" t="str">
        <f>""</f>
        <v/>
      </c>
      <c r="BA1542" t="str">
        <f>""</f>
        <v/>
      </c>
      <c r="BB1542" t="str">
        <f>"06/07/2023 12:07:48"</f>
        <v>06/07/2023 12:07:48</v>
      </c>
      <c r="BC1542" t="str">
        <f>""</f>
        <v/>
      </c>
      <c r="BD1542" t="str">
        <f>""</f>
        <v/>
      </c>
      <c r="BE1542" t="str">
        <f>""</f>
        <v/>
      </c>
      <c r="BF1542" t="str">
        <f t="shared" si="787"/>
        <v>A</v>
      </c>
      <c r="BG1542" t="str">
        <f>""</f>
        <v/>
      </c>
      <c r="BH1542" t="str">
        <f>""</f>
        <v/>
      </c>
      <c r="BI1542" t="str">
        <f t="shared" si="783"/>
        <v>EVENTUAL</v>
      </c>
      <c r="BJ1542" t="str">
        <f t="shared" si="788"/>
        <v>1</v>
      </c>
      <c r="BK1542" t="str">
        <f t="shared" si="789"/>
        <v>Farmacia</v>
      </c>
      <c r="BL1542" t="str">
        <f>""</f>
        <v/>
      </c>
      <c r="BM1542" t="str">
        <f>""</f>
        <v/>
      </c>
      <c r="BN1542" t="str">
        <f>""</f>
        <v/>
      </c>
      <c r="BO1542" t="str">
        <f>""</f>
        <v/>
      </c>
      <c r="BP1542" t="str">
        <f>""</f>
        <v/>
      </c>
      <c r="BQ1542" t="str">
        <f>""</f>
        <v/>
      </c>
      <c r="BR1542" t="str">
        <f>"06/07/2023"</f>
        <v>06/07/2023</v>
      </c>
      <c r="BS1542" t="str">
        <f>""</f>
        <v/>
      </c>
      <c r="BT1542" t="str">
        <f>""</f>
        <v/>
      </c>
      <c r="BU1542" t="str">
        <f>""</f>
        <v/>
      </c>
      <c r="BV1542" t="str">
        <f>""</f>
        <v/>
      </c>
      <c r="BW1542" t="str">
        <f>"Não visitado"</f>
        <v>Não visitado</v>
      </c>
    </row>
    <row r="1543" spans="1:75" x14ac:dyDescent="0.35">
      <c r="A1543">
        <v>157109</v>
      </c>
      <c r="B1543" t="str">
        <f t="shared" si="784"/>
        <v>A</v>
      </c>
      <c r="C1543" t="str">
        <f t="shared" si="785"/>
        <v>80</v>
      </c>
      <c r="D1543" t="str">
        <f t="shared" si="777"/>
        <v>11121004</v>
      </c>
      <c r="E1543" t="str">
        <f t="shared" si="778"/>
        <v>121004</v>
      </c>
      <c r="F1543" t="str">
        <f t="shared" si="779"/>
        <v>FABIANA GODOY</v>
      </c>
      <c r="G1543" t="str">
        <f>"12161320000293"</f>
        <v>12161320000293</v>
      </c>
      <c r="H1543" t="str">
        <f t="shared" si="790"/>
        <v>0</v>
      </c>
      <c r="I1543" t="str">
        <f t="shared" si="786"/>
        <v>CONTA OPTICA</v>
      </c>
      <c r="J1543" t="str">
        <f>"OTICA BELA IRIS LTDA"</f>
        <v>OTICA BELA IRIS LTDA</v>
      </c>
      <c r="K1543" t="str">
        <f>"OTICA GRAVATA (4457)"</f>
        <v>OTICA GRAVATA (4457)</v>
      </c>
      <c r="L1543" t="str">
        <f>""</f>
        <v/>
      </c>
      <c r="M1543" t="str">
        <f>""</f>
        <v/>
      </c>
      <c r="N1543" t="str">
        <f>"OTICABELAIRIS@HOTMAIL.COM"</f>
        <v>OTICABELAIRIS@HOTMAIL.COM</v>
      </c>
      <c r="O1543" t="str">
        <f>""</f>
        <v/>
      </c>
      <c r="P1543" t="str">
        <f>"NEREU RAMOS"</f>
        <v>NEREU RAMOS</v>
      </c>
      <c r="Q1543" t="str">
        <f>"122"</f>
        <v>122</v>
      </c>
      <c r="R1543" t="str">
        <f>""</f>
        <v/>
      </c>
      <c r="S1543" t="str">
        <f>"1263"</f>
        <v>1263</v>
      </c>
      <c r="T1543" t="str">
        <f>"88380000"</f>
        <v>88380000</v>
      </c>
      <c r="U1543" t="str">
        <f t="shared" si="782"/>
        <v>CENTRO</v>
      </c>
      <c r="V1543" t="str">
        <f>"BALNEÁRIO PIÇARRAS"</f>
        <v>BALNEÁRIO PIÇARRAS</v>
      </c>
      <c r="W1543" t="str">
        <f t="shared" si="773"/>
        <v>SC</v>
      </c>
      <c r="X1543" t="str">
        <f t="shared" si="780"/>
        <v>47</v>
      </c>
      <c r="Y1543" t="str">
        <f>"999764746"</f>
        <v>999764746</v>
      </c>
      <c r="Z1543" t="str">
        <f>""</f>
        <v/>
      </c>
      <c r="AA1543" t="str">
        <f>""</f>
        <v/>
      </c>
      <c r="AB1543" t="str">
        <f>""</f>
        <v/>
      </c>
      <c r="AC1543" t="str">
        <f>""</f>
        <v/>
      </c>
      <c r="AD1543" t="str">
        <f>""</f>
        <v/>
      </c>
      <c r="AE1543" t="str">
        <f>""</f>
        <v/>
      </c>
      <c r="AF1543" t="str">
        <f>""</f>
        <v/>
      </c>
      <c r="AG1543" t="str">
        <f>"S"</f>
        <v>S</v>
      </c>
      <c r="AH1543" t="str">
        <f>""</f>
        <v/>
      </c>
      <c r="AI1543" t="str">
        <f>""</f>
        <v/>
      </c>
      <c r="AJ1543" t="str">
        <f>""</f>
        <v/>
      </c>
      <c r="AK1543" t="str">
        <f>""</f>
        <v/>
      </c>
      <c r="AL1543" t="str">
        <f>""</f>
        <v/>
      </c>
      <c r="AM1543" t="str">
        <f>""</f>
        <v/>
      </c>
      <c r="AN1543" t="str">
        <f>""</f>
        <v/>
      </c>
      <c r="AO1543" t="str">
        <f>""</f>
        <v/>
      </c>
      <c r="AP1543" t="str">
        <f>""</f>
        <v/>
      </c>
      <c r="AQ1543" t="str">
        <f t="shared" ref="AQ1543:AU1544" si="791">"N"</f>
        <v>N</v>
      </c>
      <c r="AR1543" t="str">
        <f t="shared" si="791"/>
        <v>N</v>
      </c>
      <c r="AS1543" t="str">
        <f t="shared" si="791"/>
        <v>N</v>
      </c>
      <c r="AT1543" t="str">
        <f t="shared" si="791"/>
        <v>N</v>
      </c>
      <c r="AU1543" t="str">
        <f t="shared" si="791"/>
        <v>N</v>
      </c>
      <c r="AV1543" t="str">
        <f>""</f>
        <v/>
      </c>
      <c r="AW1543" t="str">
        <f>""</f>
        <v/>
      </c>
      <c r="AX1543" t="str">
        <f>""</f>
        <v/>
      </c>
      <c r="AY1543" t="str">
        <f>""</f>
        <v/>
      </c>
      <c r="AZ1543" t="str">
        <f>""</f>
        <v/>
      </c>
      <c r="BA1543" t="str">
        <f>""</f>
        <v/>
      </c>
      <c r="BB1543" t="str">
        <f>"06/07/2023 12:07:48"</f>
        <v>06/07/2023 12:07:48</v>
      </c>
      <c r="BC1543" t="str">
        <f>"14/07/2023 16:10:44"</f>
        <v>14/07/2023 16:10:44</v>
      </c>
      <c r="BD1543" t="str">
        <f>""</f>
        <v/>
      </c>
      <c r="BE1543" t="str">
        <f>""</f>
        <v/>
      </c>
      <c r="BF1543" t="str">
        <f t="shared" si="787"/>
        <v>A</v>
      </c>
      <c r="BG1543" t="str">
        <f>""</f>
        <v/>
      </c>
      <c r="BH1543" t="str">
        <f>"0,00"</f>
        <v>0,00</v>
      </c>
      <c r="BI1543" t="str">
        <f>"MENSAL"</f>
        <v>MENSAL</v>
      </c>
      <c r="BJ1543" t="str">
        <f t="shared" si="788"/>
        <v>1</v>
      </c>
      <c r="BK1543" t="str">
        <f t="shared" si="789"/>
        <v>Farmacia</v>
      </c>
      <c r="BL1543" t="str">
        <f>""</f>
        <v/>
      </c>
      <c r="BM1543" t="str">
        <f>""</f>
        <v/>
      </c>
      <c r="BN1543" t="str">
        <f>""</f>
        <v/>
      </c>
      <c r="BO1543" t="str">
        <f>""</f>
        <v/>
      </c>
      <c r="BP1543" t="str">
        <f>""</f>
        <v/>
      </c>
      <c r="BQ1543" t="str">
        <f>""</f>
        <v/>
      </c>
      <c r="BR1543" t="str">
        <f>"06/07/2023"</f>
        <v>06/07/2023</v>
      </c>
      <c r="BS1543" t="str">
        <f>"14/07/2023"</f>
        <v>14/07/2023</v>
      </c>
      <c r="BT1543" t="str">
        <f>""</f>
        <v/>
      </c>
      <c r="BU1543" t="str">
        <f>""</f>
        <v/>
      </c>
      <c r="BV1543" t="str">
        <f>""</f>
        <v/>
      </c>
      <c r="BW1543" t="str">
        <f>"133"</f>
        <v>133</v>
      </c>
    </row>
    <row r="1544" spans="1:75" x14ac:dyDescent="0.35">
      <c r="A1544">
        <v>137766</v>
      </c>
      <c r="B1544" t="str">
        <f t="shared" si="784"/>
        <v>A</v>
      </c>
      <c r="C1544" t="str">
        <f t="shared" si="785"/>
        <v>80</v>
      </c>
      <c r="D1544" t="str">
        <f t="shared" si="777"/>
        <v>11121004</v>
      </c>
      <c r="E1544" t="str">
        <f t="shared" si="778"/>
        <v>121004</v>
      </c>
      <c r="F1544" t="str">
        <f t="shared" si="779"/>
        <v>FABIANA GODOY</v>
      </c>
      <c r="G1544" t="str">
        <f>"12161320000102"</f>
        <v>12161320000102</v>
      </c>
      <c r="H1544" t="str">
        <f t="shared" si="790"/>
        <v>0</v>
      </c>
      <c r="I1544" t="str">
        <f t="shared" si="786"/>
        <v>CONTA OPTICA</v>
      </c>
      <c r="J1544" t="str">
        <f>"OTICA BELA IRIS LTDA ME"</f>
        <v>OTICA BELA IRIS LTDA ME</v>
      </c>
      <c r="K1544" t="str">
        <f>"OTICA BELA IRIS (1755)"</f>
        <v>OTICA BELA IRIS (1755)</v>
      </c>
      <c r="L1544" t="str">
        <f>""</f>
        <v/>
      </c>
      <c r="M1544" t="str">
        <f>""</f>
        <v/>
      </c>
      <c r="N1544" t="str">
        <f>"atendimento@belairis.com.br"</f>
        <v>atendimento@belairis.com.br</v>
      </c>
      <c r="O1544" t="str">
        <f>""</f>
        <v/>
      </c>
      <c r="P1544" t="str">
        <f>"AVENIDA PREFEITO JOSE JUVENAL MAFRA"</f>
        <v>AVENIDA PREFEITO JOSE JUVENAL MAFRA</v>
      </c>
      <c r="Q1544" t="str">
        <f>"7271"</f>
        <v>7271</v>
      </c>
      <c r="R1544" t="str">
        <f>"SALA 03"</f>
        <v>SALA 03</v>
      </c>
      <c r="S1544" t="str">
        <f>""</f>
        <v/>
      </c>
      <c r="T1544" t="str">
        <f>"88372618"</f>
        <v>88372618</v>
      </c>
      <c r="U1544" t="str">
        <f>"GRAVATA"</f>
        <v>GRAVATA</v>
      </c>
      <c r="V1544" t="str">
        <f>"NAVEGANTES"</f>
        <v>NAVEGANTES</v>
      </c>
      <c r="W1544" t="str">
        <f t="shared" si="773"/>
        <v>SC</v>
      </c>
      <c r="X1544" t="str">
        <f t="shared" si="780"/>
        <v>47</v>
      </c>
      <c r="Y1544" t="str">
        <f>"33427784"</f>
        <v>33427784</v>
      </c>
      <c r="Z1544" t="str">
        <f>""</f>
        <v/>
      </c>
      <c r="AA1544" t="str">
        <f>""</f>
        <v/>
      </c>
      <c r="AB1544" t="str">
        <f>""</f>
        <v/>
      </c>
      <c r="AC1544" t="str">
        <f>""</f>
        <v/>
      </c>
      <c r="AD1544" t="str">
        <f>""</f>
        <v/>
      </c>
      <c r="AE1544" t="str">
        <f>""</f>
        <v/>
      </c>
      <c r="AF1544" t="str">
        <f>""</f>
        <v/>
      </c>
      <c r="AG1544" t="str">
        <f>"S"</f>
        <v>S</v>
      </c>
      <c r="AH1544" t="str">
        <f>""</f>
        <v/>
      </c>
      <c r="AI1544" t="str">
        <f>""</f>
        <v/>
      </c>
      <c r="AJ1544" t="str">
        <f>""</f>
        <v/>
      </c>
      <c r="AK1544" t="str">
        <f>""</f>
        <v/>
      </c>
      <c r="AL1544" t="str">
        <f>""</f>
        <v/>
      </c>
      <c r="AM1544" t="str">
        <f>""</f>
        <v/>
      </c>
      <c r="AN1544" t="str">
        <f>""</f>
        <v/>
      </c>
      <c r="AO1544" t="str">
        <f>""</f>
        <v/>
      </c>
      <c r="AP1544" t="str">
        <f>""</f>
        <v/>
      </c>
      <c r="AQ1544" t="str">
        <f t="shared" si="791"/>
        <v>N</v>
      </c>
      <c r="AR1544" t="str">
        <f t="shared" si="791"/>
        <v>N</v>
      </c>
      <c r="AS1544" t="str">
        <f t="shared" si="791"/>
        <v>N</v>
      </c>
      <c r="AT1544" t="str">
        <f t="shared" si="791"/>
        <v>N</v>
      </c>
      <c r="AU1544" t="str">
        <f t="shared" si="791"/>
        <v>N</v>
      </c>
      <c r="AV1544" t="str">
        <f>""</f>
        <v/>
      </c>
      <c r="AW1544" t="str">
        <f>""</f>
        <v/>
      </c>
      <c r="AX1544" t="str">
        <f>""</f>
        <v/>
      </c>
      <c r="AY1544" t="str">
        <f>""</f>
        <v/>
      </c>
      <c r="AZ1544" t="str">
        <f>""</f>
        <v/>
      </c>
      <c r="BA1544" t="str">
        <f>""</f>
        <v/>
      </c>
      <c r="BB1544" t="str">
        <f>"01/07/2021 13:53:04"</f>
        <v>01/07/2021 13:53:04</v>
      </c>
      <c r="BC1544" t="str">
        <f>"14/07/2023 09:57:41"</f>
        <v>14/07/2023 09:57:41</v>
      </c>
      <c r="BD1544" t="str">
        <f>""</f>
        <v/>
      </c>
      <c r="BE1544" t="str">
        <f>""</f>
        <v/>
      </c>
      <c r="BF1544" t="str">
        <f t="shared" si="787"/>
        <v>A</v>
      </c>
      <c r="BG1544" t="str">
        <f>""</f>
        <v/>
      </c>
      <c r="BH1544" t="str">
        <f>"0,00"</f>
        <v>0,00</v>
      </c>
      <c r="BI1544" t="str">
        <f>"MENSAL"</f>
        <v>MENSAL</v>
      </c>
      <c r="BJ1544" t="str">
        <f t="shared" si="788"/>
        <v>1</v>
      </c>
      <c r="BK1544" t="str">
        <f t="shared" si="789"/>
        <v>Farmacia</v>
      </c>
      <c r="BL1544" t="str">
        <f>""</f>
        <v/>
      </c>
      <c r="BM1544" t="str">
        <f>"NÃO É VARILUX ESPECIALISTA"</f>
        <v>NÃO É VARILUX ESPECIALISTA</v>
      </c>
      <c r="BN1544" t="str">
        <f>"EL360"</f>
        <v>EL360</v>
      </c>
      <c r="BO1544" t="str">
        <f>"FOCO KODAK 2"</f>
        <v>FOCO KODAK 2</v>
      </c>
      <c r="BP1544" t="str">
        <f>""</f>
        <v/>
      </c>
      <c r="BQ1544" t="str">
        <f>""</f>
        <v/>
      </c>
      <c r="BR1544" t="str">
        <f>"01/07/2021"</f>
        <v>01/07/2021</v>
      </c>
      <c r="BS1544" t="str">
        <f>"14/07/2023"</f>
        <v>14/07/2023</v>
      </c>
      <c r="BT1544" t="str">
        <f>""</f>
        <v/>
      </c>
      <c r="BU1544" t="str">
        <f>""</f>
        <v/>
      </c>
      <c r="BV1544" t="str">
        <f>""</f>
        <v/>
      </c>
      <c r="BW1544" t="str">
        <f>"2"</f>
        <v>2</v>
      </c>
    </row>
    <row r="1545" spans="1:75" x14ac:dyDescent="0.35">
      <c r="A1545">
        <v>144181</v>
      </c>
      <c r="B1545" t="str">
        <f t="shared" si="784"/>
        <v>A</v>
      </c>
      <c r="C1545" t="str">
        <f t="shared" si="785"/>
        <v>80</v>
      </c>
      <c r="D1545" t="str">
        <f t="shared" si="777"/>
        <v>11121004</v>
      </c>
      <c r="E1545" t="str">
        <f t="shared" si="778"/>
        <v>121004</v>
      </c>
      <c r="F1545" t="str">
        <f t="shared" si="779"/>
        <v>FABIANA GODOY</v>
      </c>
      <c r="G1545" t="str">
        <f>"28534548000130"</f>
        <v>28534548000130</v>
      </c>
      <c r="H1545" t="str">
        <f t="shared" si="790"/>
        <v>0</v>
      </c>
      <c r="I1545" t="str">
        <f t="shared" si="786"/>
        <v>CONTA OPTICA</v>
      </c>
      <c r="J1545" t="str">
        <f>"OTICA BELA LTDA"</f>
        <v>OTICA BELA LTDA</v>
      </c>
      <c r="K1545" t="str">
        <f>"BELLA OTICA (4423)"</f>
        <v>BELLA OTICA (4423)</v>
      </c>
      <c r="L1545" t="str">
        <f>""</f>
        <v/>
      </c>
      <c r="M1545" t="str">
        <f>""</f>
        <v/>
      </c>
      <c r="N1545" t="str">
        <f>"ATINAREGIENE@HOTMAIL.COM"</f>
        <v>ATINAREGIENE@HOTMAIL.COM</v>
      </c>
      <c r="O1545" t="str">
        <f>""</f>
        <v/>
      </c>
      <c r="P1545" t="str">
        <f>"AVENIDA PREFEITO JOSE JUVENAL MAFRA"</f>
        <v>AVENIDA PREFEITO JOSE JUVENAL MAFRA</v>
      </c>
      <c r="Q1545" t="str">
        <f>"173"</f>
        <v>173</v>
      </c>
      <c r="R1545" t="str">
        <f>"SALA 04"</f>
        <v>SALA 04</v>
      </c>
      <c r="S1545" t="str">
        <f>""</f>
        <v/>
      </c>
      <c r="T1545" t="str">
        <f>"88370430"</f>
        <v>88370430</v>
      </c>
      <c r="U1545" t="str">
        <f>"CENTRO"</f>
        <v>CENTRO</v>
      </c>
      <c r="V1545" t="str">
        <f>"NAVEGANTES"</f>
        <v>NAVEGANTES</v>
      </c>
      <c r="W1545" t="str">
        <f t="shared" si="773"/>
        <v>SC</v>
      </c>
      <c r="X1545" t="str">
        <f t="shared" si="780"/>
        <v>47</v>
      </c>
      <c r="Y1545" t="str">
        <f>"30483367"</f>
        <v>30483367</v>
      </c>
      <c r="Z1545" t="str">
        <f>""</f>
        <v/>
      </c>
      <c r="AA1545" t="str">
        <f>""</f>
        <v/>
      </c>
      <c r="AB1545" t="str">
        <f>""</f>
        <v/>
      </c>
      <c r="AC1545" t="str">
        <f>""</f>
        <v/>
      </c>
      <c r="AD1545" t="str">
        <f>""</f>
        <v/>
      </c>
      <c r="AE1545" t="str">
        <f>""</f>
        <v/>
      </c>
      <c r="AF1545" t="str">
        <f>""</f>
        <v/>
      </c>
      <c r="AG1545" t="str">
        <f>""</f>
        <v/>
      </c>
      <c r="AH1545" t="str">
        <f>""</f>
        <v/>
      </c>
      <c r="AI1545" t="str">
        <f>""</f>
        <v/>
      </c>
      <c r="AJ1545" t="str">
        <f>""</f>
        <v/>
      </c>
      <c r="AK1545" t="str">
        <f>""</f>
        <v/>
      </c>
      <c r="AL1545" t="str">
        <f>""</f>
        <v/>
      </c>
      <c r="AM1545" t="str">
        <f>""</f>
        <v/>
      </c>
      <c r="AN1545" t="str">
        <f>""</f>
        <v/>
      </c>
      <c r="AO1545" t="str">
        <f>""</f>
        <v/>
      </c>
      <c r="AP1545" t="str">
        <f>""</f>
        <v/>
      </c>
      <c r="AQ1545" t="str">
        <f>""</f>
        <v/>
      </c>
      <c r="AR1545" t="str">
        <f>""</f>
        <v/>
      </c>
      <c r="AS1545" t="str">
        <f>""</f>
        <v/>
      </c>
      <c r="AT1545" t="str">
        <f>""</f>
        <v/>
      </c>
      <c r="AU1545" t="str">
        <f>""</f>
        <v/>
      </c>
      <c r="AV1545" t="str">
        <f>""</f>
        <v/>
      </c>
      <c r="AW1545" t="str">
        <f>""</f>
        <v/>
      </c>
      <c r="AX1545" t="str">
        <f>""</f>
        <v/>
      </c>
      <c r="AY1545" t="str">
        <f>""</f>
        <v/>
      </c>
      <c r="AZ1545" t="str">
        <f>""</f>
        <v/>
      </c>
      <c r="BA1545" t="str">
        <f>""</f>
        <v/>
      </c>
      <c r="BB1545" t="str">
        <f>"26/11/2021 14:59:30"</f>
        <v>26/11/2021 14:59:30</v>
      </c>
      <c r="BC1545" t="str">
        <f>""</f>
        <v/>
      </c>
      <c r="BD1545" t="str">
        <f>""</f>
        <v/>
      </c>
      <c r="BE1545" t="str">
        <f>""</f>
        <v/>
      </c>
      <c r="BF1545" t="str">
        <f t="shared" si="787"/>
        <v>A</v>
      </c>
      <c r="BG1545" t="str">
        <f>""</f>
        <v/>
      </c>
      <c r="BH1545" t="str">
        <f>""</f>
        <v/>
      </c>
      <c r="BI1545" t="str">
        <f t="shared" ref="BI1545:BI1552" si="792">"EVENTUAL"</f>
        <v>EVENTUAL</v>
      </c>
      <c r="BJ1545" t="str">
        <f t="shared" si="788"/>
        <v>1</v>
      </c>
      <c r="BK1545" t="str">
        <f t="shared" si="789"/>
        <v>Farmacia</v>
      </c>
      <c r="BL1545" t="str">
        <f>""</f>
        <v/>
      </c>
      <c r="BM1545" t="str">
        <f>""</f>
        <v/>
      </c>
      <c r="BN1545" t="str">
        <f>""</f>
        <v/>
      </c>
      <c r="BO1545" t="str">
        <f>"OUTROS"</f>
        <v>OUTROS</v>
      </c>
      <c r="BP1545" t="str">
        <f>""</f>
        <v/>
      </c>
      <c r="BQ1545" t="str">
        <f>""</f>
        <v/>
      </c>
      <c r="BR1545" t="str">
        <f>"26/11/2021"</f>
        <v>26/11/2021</v>
      </c>
      <c r="BS1545" t="str">
        <f>""</f>
        <v/>
      </c>
      <c r="BT1545" t="str">
        <f>""</f>
        <v/>
      </c>
      <c r="BU1545" t="str">
        <f>""</f>
        <v/>
      </c>
      <c r="BV1545" t="str">
        <f>""</f>
        <v/>
      </c>
      <c r="BW1545" t="str">
        <f>"Não visitado"</f>
        <v>Não visitado</v>
      </c>
    </row>
    <row r="1546" spans="1:75" x14ac:dyDescent="0.35">
      <c r="A1546">
        <v>137767</v>
      </c>
      <c r="B1546" t="str">
        <f t="shared" si="784"/>
        <v>A</v>
      </c>
      <c r="C1546" t="str">
        <f t="shared" si="785"/>
        <v>80</v>
      </c>
      <c r="D1546" t="str">
        <f t="shared" si="777"/>
        <v>11121004</v>
      </c>
      <c r="E1546" t="str">
        <f t="shared" si="778"/>
        <v>121004</v>
      </c>
      <c r="F1546" t="str">
        <f t="shared" si="779"/>
        <v>FABIANA GODOY</v>
      </c>
      <c r="G1546" t="str">
        <f>"85200897000150"</f>
        <v>85200897000150</v>
      </c>
      <c r="H1546" t="str">
        <f t="shared" si="790"/>
        <v>0</v>
      </c>
      <c r="I1546" t="str">
        <f t="shared" si="786"/>
        <v>CONTA OPTICA</v>
      </c>
      <c r="J1546" t="str">
        <f>"OTICA BELA VISTA LTDA ME"</f>
        <v>OTICA BELA VISTA LTDA ME</v>
      </c>
      <c r="K1546" t="str">
        <f>"OTICA BELA VISTA LTDA ME (277)"</f>
        <v>OTICA BELA VISTA LTDA ME (277)</v>
      </c>
      <c r="L1546" t="str">
        <f>""</f>
        <v/>
      </c>
      <c r="M1546" t="str">
        <f>""</f>
        <v/>
      </c>
      <c r="N1546" t="str">
        <f>"belavista290@hotmail.com"</f>
        <v>belavista290@hotmail.com</v>
      </c>
      <c r="O1546" t="str">
        <f>""</f>
        <v/>
      </c>
      <c r="P1546" t="str">
        <f>"AVENIDA OSCAR BARCELOS"</f>
        <v>AVENIDA OSCAR BARCELOS</v>
      </c>
      <c r="Q1546" t="str">
        <f>"290"</f>
        <v>290</v>
      </c>
      <c r="R1546" t="str">
        <f>""</f>
        <v/>
      </c>
      <c r="S1546" t="str">
        <f>"1276"</f>
        <v>1276</v>
      </c>
      <c r="T1546" t="str">
        <f>"89160027"</f>
        <v>89160027</v>
      </c>
      <c r="U1546" t="str">
        <f>"CENTRO"</f>
        <v>CENTRO</v>
      </c>
      <c r="V1546" t="str">
        <f>"RIO DO SUL"</f>
        <v>RIO DO SUL</v>
      </c>
      <c r="W1546" t="str">
        <f t="shared" si="773"/>
        <v>SC</v>
      </c>
      <c r="X1546" t="str">
        <f t="shared" si="780"/>
        <v>47</v>
      </c>
      <c r="Y1546" t="str">
        <f>"35213914"</f>
        <v>35213914</v>
      </c>
      <c r="Z1546" t="str">
        <f>""</f>
        <v/>
      </c>
      <c r="AA1546" t="str">
        <f>""</f>
        <v/>
      </c>
      <c r="AB1546" t="str">
        <f>""</f>
        <v/>
      </c>
      <c r="AC1546" t="str">
        <f>""</f>
        <v/>
      </c>
      <c r="AD1546" t="str">
        <f>""</f>
        <v/>
      </c>
      <c r="AE1546" t="str">
        <f>""</f>
        <v/>
      </c>
      <c r="AF1546" t="str">
        <f>""</f>
        <v/>
      </c>
      <c r="AG1546" t="str">
        <f>"S"</f>
        <v>S</v>
      </c>
      <c r="AH1546" t="str">
        <f>""</f>
        <v/>
      </c>
      <c r="AI1546" t="str">
        <f>""</f>
        <v/>
      </c>
      <c r="AJ1546" t="str">
        <f>""</f>
        <v/>
      </c>
      <c r="AK1546" t="str">
        <f>""</f>
        <v/>
      </c>
      <c r="AL1546" t="str">
        <f>""</f>
        <v/>
      </c>
      <c r="AM1546" t="str">
        <f>""</f>
        <v/>
      </c>
      <c r="AN1546" t="str">
        <f>""</f>
        <v/>
      </c>
      <c r="AO1546" t="str">
        <f>""</f>
        <v/>
      </c>
      <c r="AP1546" t="str">
        <f>""</f>
        <v/>
      </c>
      <c r="AQ1546" t="str">
        <f>"N"</f>
        <v>N</v>
      </c>
      <c r="AR1546" t="str">
        <f>"N"</f>
        <v>N</v>
      </c>
      <c r="AS1546" t="str">
        <f>"N"</f>
        <v>N</v>
      </c>
      <c r="AT1546" t="str">
        <f>"N"</f>
        <v>N</v>
      </c>
      <c r="AU1546" t="str">
        <f>"N"</f>
        <v>N</v>
      </c>
      <c r="AV1546" t="str">
        <f>""</f>
        <v/>
      </c>
      <c r="AW1546" t="str">
        <f>""</f>
        <v/>
      </c>
      <c r="AX1546" t="str">
        <f>""</f>
        <v/>
      </c>
      <c r="AY1546" t="str">
        <f>""</f>
        <v/>
      </c>
      <c r="AZ1546" t="str">
        <f>""</f>
        <v/>
      </c>
      <c r="BA1546" t="str">
        <f>""</f>
        <v/>
      </c>
      <c r="BB1546" t="str">
        <f>"01/07/2021 13:53:04"</f>
        <v>01/07/2021 13:53:04</v>
      </c>
      <c r="BC1546" t="str">
        <f>"01/10/2021 15:30:31"</f>
        <v>01/10/2021 15:30:31</v>
      </c>
      <c r="BD1546" t="str">
        <f>""</f>
        <v/>
      </c>
      <c r="BE1546" t="str">
        <f>""</f>
        <v/>
      </c>
      <c r="BF1546" t="str">
        <f t="shared" si="787"/>
        <v>A</v>
      </c>
      <c r="BG1546" t="str">
        <f>""</f>
        <v/>
      </c>
      <c r="BH1546" t="str">
        <f>"0,00"</f>
        <v>0,00</v>
      </c>
      <c r="BI1546" t="str">
        <f t="shared" si="792"/>
        <v>EVENTUAL</v>
      </c>
      <c r="BJ1546" t="str">
        <f t="shared" si="788"/>
        <v>1</v>
      </c>
      <c r="BK1546" t="str">
        <f t="shared" si="789"/>
        <v>Farmacia</v>
      </c>
      <c r="BL1546" t="str">
        <f>""</f>
        <v/>
      </c>
      <c r="BM1546" t="str">
        <f>"VARILUX ESPECIALISTA SELECT"</f>
        <v>VARILUX ESPECIALISTA SELECT</v>
      </c>
      <c r="BN1546" t="str">
        <f>"NA"</f>
        <v>NA</v>
      </c>
      <c r="BO1546" t="str">
        <f>"FOCO VARILUX DIGITAL"</f>
        <v>FOCO VARILUX DIGITAL</v>
      </c>
      <c r="BP1546" t="str">
        <f>""</f>
        <v/>
      </c>
      <c r="BQ1546" t="str">
        <f>""</f>
        <v/>
      </c>
      <c r="BR1546" t="str">
        <f>"01/07/2021"</f>
        <v>01/07/2021</v>
      </c>
      <c r="BS1546" t="str">
        <f>"01/10/2021"</f>
        <v>01/10/2021</v>
      </c>
      <c r="BT1546" t="str">
        <f>""</f>
        <v/>
      </c>
      <c r="BU1546" t="str">
        <f>""</f>
        <v/>
      </c>
      <c r="BV1546" t="str">
        <f>""</f>
        <v/>
      </c>
      <c r="BW1546" t="str">
        <f>"119"</f>
        <v>119</v>
      </c>
    </row>
    <row r="1547" spans="1:75" x14ac:dyDescent="0.35">
      <c r="A1547">
        <v>157060</v>
      </c>
      <c r="B1547" t="str">
        <f t="shared" si="784"/>
        <v>A</v>
      </c>
      <c r="C1547" t="str">
        <f t="shared" si="785"/>
        <v>80</v>
      </c>
      <c r="D1547" t="str">
        <f t="shared" si="777"/>
        <v>11121004</v>
      </c>
      <c r="E1547" t="str">
        <f t="shared" si="778"/>
        <v>121004</v>
      </c>
      <c r="F1547" t="str">
        <f t="shared" si="779"/>
        <v>FABIANA GODOY</v>
      </c>
      <c r="G1547" t="str">
        <f>"46036039000160"</f>
        <v>46036039000160</v>
      </c>
      <c r="H1547" t="str">
        <f t="shared" si="790"/>
        <v>0</v>
      </c>
      <c r="I1547" t="str">
        <f t="shared" si="786"/>
        <v>CONTA OPTICA</v>
      </c>
      <c r="J1547" t="str">
        <f>"OTICA BELLA LUZ LTDA"</f>
        <v>OTICA BELLA LUZ LTDA</v>
      </c>
      <c r="K1547" t="str">
        <f>"BELLA LUZ (4507)"</f>
        <v>BELLA LUZ (4507)</v>
      </c>
      <c r="L1547" t="str">
        <f>""</f>
        <v/>
      </c>
      <c r="M1547" t="str">
        <f>""</f>
        <v/>
      </c>
      <c r="N1547" t="str">
        <f>"ALINETATIANELCL@GMAIL.COM"</f>
        <v>ALINETATIANELCL@GMAIL.COM</v>
      </c>
      <c r="O1547" t="str">
        <f>""</f>
        <v/>
      </c>
      <c r="P1547" t="str">
        <f>"RUA HENRIQUE CONRAD"</f>
        <v>RUA HENRIQUE CONRAD</v>
      </c>
      <c r="Q1547" t="str">
        <f>"183"</f>
        <v>183</v>
      </c>
      <c r="R1547" t="str">
        <f>"SALA 02"</f>
        <v>SALA 02</v>
      </c>
      <c r="S1547" t="str">
        <f>""</f>
        <v/>
      </c>
      <c r="T1547" t="str">
        <f>"89075350"</f>
        <v>89075350</v>
      </c>
      <c r="U1547" t="str">
        <f>"VILA ITOUPAVA"</f>
        <v>VILA ITOUPAVA</v>
      </c>
      <c r="V1547" t="str">
        <f>"BLUMENAU"</f>
        <v>BLUMENAU</v>
      </c>
      <c r="W1547" t="str">
        <f t="shared" si="773"/>
        <v>SC</v>
      </c>
      <c r="X1547" t="str">
        <f t="shared" si="780"/>
        <v>47</v>
      </c>
      <c r="Y1547" t="str">
        <f>"33344492"</f>
        <v>33344492</v>
      </c>
      <c r="Z1547" t="str">
        <f>""</f>
        <v/>
      </c>
      <c r="AA1547" t="str">
        <f>""</f>
        <v/>
      </c>
      <c r="AB1547" t="str">
        <f>""</f>
        <v/>
      </c>
      <c r="AC1547" t="str">
        <f>""</f>
        <v/>
      </c>
      <c r="AD1547" t="str">
        <f>""</f>
        <v/>
      </c>
      <c r="AE1547" t="str">
        <f>""</f>
        <v/>
      </c>
      <c r="AF1547" t="str">
        <f>""</f>
        <v/>
      </c>
      <c r="AG1547" t="str">
        <f>""</f>
        <v/>
      </c>
      <c r="AH1547" t="str">
        <f>""</f>
        <v/>
      </c>
      <c r="AI1547" t="str">
        <f>""</f>
        <v/>
      </c>
      <c r="AJ1547" t="str">
        <f>""</f>
        <v/>
      </c>
      <c r="AK1547" t="str">
        <f>""</f>
        <v/>
      </c>
      <c r="AL1547" t="str">
        <f>""</f>
        <v/>
      </c>
      <c r="AM1547" t="str">
        <f>""</f>
        <v/>
      </c>
      <c r="AN1547" t="str">
        <f>""</f>
        <v/>
      </c>
      <c r="AO1547" t="str">
        <f>""</f>
        <v/>
      </c>
      <c r="AP1547" t="str">
        <f>""</f>
        <v/>
      </c>
      <c r="AQ1547" t="str">
        <f>""</f>
        <v/>
      </c>
      <c r="AR1547" t="str">
        <f>""</f>
        <v/>
      </c>
      <c r="AS1547" t="str">
        <f>""</f>
        <v/>
      </c>
      <c r="AT1547" t="str">
        <f>""</f>
        <v/>
      </c>
      <c r="AU1547" t="str">
        <f>""</f>
        <v/>
      </c>
      <c r="AV1547" t="str">
        <f>""</f>
        <v/>
      </c>
      <c r="AW1547" t="str">
        <f>""</f>
        <v/>
      </c>
      <c r="AX1547" t="str">
        <f>""</f>
        <v/>
      </c>
      <c r="AY1547" t="str">
        <f>""</f>
        <v/>
      </c>
      <c r="AZ1547" t="str">
        <f>""</f>
        <v/>
      </c>
      <c r="BA1547" t="str">
        <f>""</f>
        <v/>
      </c>
      <c r="BB1547" t="str">
        <f>"06/07/2023 12:07:48"</f>
        <v>06/07/2023 12:07:48</v>
      </c>
      <c r="BC1547" t="str">
        <f>""</f>
        <v/>
      </c>
      <c r="BD1547" t="str">
        <f>""</f>
        <v/>
      </c>
      <c r="BE1547" t="str">
        <f>""</f>
        <v/>
      </c>
      <c r="BF1547" t="str">
        <f t="shared" si="787"/>
        <v>A</v>
      </c>
      <c r="BG1547" t="str">
        <f>""</f>
        <v/>
      </c>
      <c r="BH1547" t="str">
        <f>""</f>
        <v/>
      </c>
      <c r="BI1547" t="str">
        <f t="shared" si="792"/>
        <v>EVENTUAL</v>
      </c>
      <c r="BJ1547" t="str">
        <f t="shared" si="788"/>
        <v>1</v>
      </c>
      <c r="BK1547" t="str">
        <f t="shared" si="789"/>
        <v>Farmacia</v>
      </c>
      <c r="BL1547" t="str">
        <f>""</f>
        <v/>
      </c>
      <c r="BM1547" t="str">
        <f>""</f>
        <v/>
      </c>
      <c r="BN1547" t="str">
        <f>""</f>
        <v/>
      </c>
      <c r="BO1547" t="str">
        <f>""</f>
        <v/>
      </c>
      <c r="BP1547" t="str">
        <f>""</f>
        <v/>
      </c>
      <c r="BQ1547" t="str">
        <f>""</f>
        <v/>
      </c>
      <c r="BR1547" t="str">
        <f>"06/07/2023"</f>
        <v>06/07/2023</v>
      </c>
      <c r="BS1547" t="str">
        <f>""</f>
        <v/>
      </c>
      <c r="BT1547" t="str">
        <f>""</f>
        <v/>
      </c>
      <c r="BU1547" t="str">
        <f>""</f>
        <v/>
      </c>
      <c r="BV1547" t="str">
        <f>""</f>
        <v/>
      </c>
      <c r="BW1547" t="str">
        <f>"Não visitado"</f>
        <v>Não visitado</v>
      </c>
    </row>
    <row r="1548" spans="1:75" x14ac:dyDescent="0.35">
      <c r="A1548">
        <v>137768</v>
      </c>
      <c r="B1548" t="str">
        <f t="shared" si="784"/>
        <v>A</v>
      </c>
      <c r="C1548" t="str">
        <f t="shared" si="785"/>
        <v>80</v>
      </c>
      <c r="D1548" t="str">
        <f t="shared" si="777"/>
        <v>11121004</v>
      </c>
      <c r="E1548" t="str">
        <f t="shared" si="778"/>
        <v>121004</v>
      </c>
      <c r="F1548" t="str">
        <f t="shared" si="779"/>
        <v>FABIANA GODOY</v>
      </c>
      <c r="G1548" t="str">
        <f>"37145252000119"</f>
        <v>37145252000119</v>
      </c>
      <c r="H1548" t="str">
        <f t="shared" si="790"/>
        <v>0</v>
      </c>
      <c r="I1548" t="str">
        <f t="shared" si="786"/>
        <v>CONTA OPTICA</v>
      </c>
      <c r="J1548" t="str">
        <f>"OTICA BIANCO LTDA"</f>
        <v>OTICA BIANCO LTDA</v>
      </c>
      <c r="K1548" t="str">
        <f>"OTICA BIANCO (4163)"</f>
        <v>OTICA BIANCO (4163)</v>
      </c>
      <c r="L1548" t="str">
        <f>""</f>
        <v/>
      </c>
      <c r="M1548" t="str">
        <f>""</f>
        <v/>
      </c>
      <c r="N1548" t="str">
        <f>"oticabianco@hotmail.com"</f>
        <v>oticabianco@hotmail.com</v>
      </c>
      <c r="O1548" t="str">
        <f>""</f>
        <v/>
      </c>
      <c r="P1548" t="str">
        <f>"AVENIDA GOVERNADOR CELSO RAMOS"</f>
        <v>AVENIDA GOVERNADOR CELSO RAMOS</v>
      </c>
      <c r="Q1548" t="str">
        <f>"3027"</f>
        <v>3027</v>
      </c>
      <c r="R1548" t="str">
        <f>""</f>
        <v/>
      </c>
      <c r="S1548" t="str">
        <f>"1260"</f>
        <v>1260</v>
      </c>
      <c r="T1548" t="str">
        <f>"88210000"</f>
        <v>88210000</v>
      </c>
      <c r="U1548" t="str">
        <f>"CENTRO"</f>
        <v>CENTRO</v>
      </c>
      <c r="V1548" t="str">
        <f>"PORTO BELO"</f>
        <v>PORTO BELO</v>
      </c>
      <c r="W1548" t="str">
        <f t="shared" si="773"/>
        <v>SC</v>
      </c>
      <c r="X1548" t="str">
        <f t="shared" si="780"/>
        <v>47</v>
      </c>
      <c r="Y1548" t="str">
        <f>"33694776"</f>
        <v>33694776</v>
      </c>
      <c r="Z1548" t="str">
        <f>""</f>
        <v/>
      </c>
      <c r="AA1548" t="str">
        <f>""</f>
        <v/>
      </c>
      <c r="AB1548" t="str">
        <f>""</f>
        <v/>
      </c>
      <c r="AC1548" t="str">
        <f>""</f>
        <v/>
      </c>
      <c r="AD1548" t="str">
        <f>""</f>
        <v/>
      </c>
      <c r="AE1548" t="str">
        <f>""</f>
        <v/>
      </c>
      <c r="AF1548" t="str">
        <f>""</f>
        <v/>
      </c>
      <c r="AG1548" t="str">
        <f>"S"</f>
        <v>S</v>
      </c>
      <c r="AH1548" t="str">
        <f>""</f>
        <v/>
      </c>
      <c r="AI1548" t="str">
        <f>""</f>
        <v/>
      </c>
      <c r="AJ1548" t="str">
        <f>""</f>
        <v/>
      </c>
      <c r="AK1548" t="str">
        <f>""</f>
        <v/>
      </c>
      <c r="AL1548" t="str">
        <f>""</f>
        <v/>
      </c>
      <c r="AM1548" t="str">
        <f>""</f>
        <v/>
      </c>
      <c r="AN1548" t="str">
        <f>""</f>
        <v/>
      </c>
      <c r="AO1548" t="str">
        <f>""</f>
        <v/>
      </c>
      <c r="AP1548" t="str">
        <f>""</f>
        <v/>
      </c>
      <c r="AQ1548" t="str">
        <f t="shared" ref="AQ1548:AU1549" si="793">"N"</f>
        <v>N</v>
      </c>
      <c r="AR1548" t="str">
        <f t="shared" si="793"/>
        <v>N</v>
      </c>
      <c r="AS1548" t="str">
        <f t="shared" si="793"/>
        <v>N</v>
      </c>
      <c r="AT1548" t="str">
        <f t="shared" si="793"/>
        <v>N</v>
      </c>
      <c r="AU1548" t="str">
        <f t="shared" si="793"/>
        <v>N</v>
      </c>
      <c r="AV1548" t="str">
        <f>""</f>
        <v/>
      </c>
      <c r="AW1548" t="str">
        <f>""</f>
        <v/>
      </c>
      <c r="AX1548" t="str">
        <f>""</f>
        <v/>
      </c>
      <c r="AY1548" t="str">
        <f>""</f>
        <v/>
      </c>
      <c r="AZ1548" t="str">
        <f>""</f>
        <v/>
      </c>
      <c r="BA1548" t="str">
        <f>""</f>
        <v/>
      </c>
      <c r="BB1548" t="str">
        <f>"01/07/2021 13:53:04"</f>
        <v>01/07/2021 13:53:04</v>
      </c>
      <c r="BC1548" t="str">
        <f>"08/11/2021 11:35:18"</f>
        <v>08/11/2021 11:35:18</v>
      </c>
      <c r="BD1548" t="str">
        <f>""</f>
        <v/>
      </c>
      <c r="BE1548" t="str">
        <f>""</f>
        <v/>
      </c>
      <c r="BF1548" t="str">
        <f t="shared" si="787"/>
        <v>A</v>
      </c>
      <c r="BG1548" t="str">
        <f>""</f>
        <v/>
      </c>
      <c r="BH1548" t="str">
        <f>"0,00"</f>
        <v>0,00</v>
      </c>
      <c r="BI1548" t="str">
        <f t="shared" si="792"/>
        <v>EVENTUAL</v>
      </c>
      <c r="BJ1548" t="str">
        <f t="shared" si="788"/>
        <v>1</v>
      </c>
      <c r="BK1548" t="str">
        <f t="shared" si="789"/>
        <v>Farmacia</v>
      </c>
      <c r="BL1548" t="str">
        <f>""</f>
        <v/>
      </c>
      <c r="BM1548" t="str">
        <f>"NÃO É VARILUX ESPECIALISTA"</f>
        <v>NÃO É VARILUX ESPECIALISTA</v>
      </c>
      <c r="BN1548" t="str">
        <f>"NA"</f>
        <v>NA</v>
      </c>
      <c r="BO1548" t="str">
        <f>"OUTROS"</f>
        <v>OUTROS</v>
      </c>
      <c r="BP1548" t="str">
        <f>""</f>
        <v/>
      </c>
      <c r="BQ1548" t="str">
        <f>""</f>
        <v/>
      </c>
      <c r="BR1548" t="str">
        <f>"01/07/2021"</f>
        <v>01/07/2021</v>
      </c>
      <c r="BS1548" t="str">
        <f>"08/11/2021"</f>
        <v>08/11/2021</v>
      </c>
      <c r="BT1548" t="str">
        <f>""</f>
        <v/>
      </c>
      <c r="BU1548" t="str">
        <f>""</f>
        <v/>
      </c>
      <c r="BV1548" t="str">
        <f>""</f>
        <v/>
      </c>
      <c r="BW1548" t="str">
        <f>"37"</f>
        <v>37</v>
      </c>
    </row>
    <row r="1549" spans="1:75" x14ac:dyDescent="0.35">
      <c r="A1549">
        <v>137769</v>
      </c>
      <c r="B1549" t="str">
        <f t="shared" si="784"/>
        <v>A</v>
      </c>
      <c r="C1549" t="str">
        <f t="shared" si="785"/>
        <v>80</v>
      </c>
      <c r="D1549" t="str">
        <f t="shared" si="777"/>
        <v>11121004</v>
      </c>
      <c r="E1549" t="str">
        <f t="shared" si="778"/>
        <v>121004</v>
      </c>
      <c r="F1549" t="str">
        <f t="shared" si="779"/>
        <v>FABIANA GODOY</v>
      </c>
      <c r="G1549" t="str">
        <f>"11206259000100"</f>
        <v>11206259000100</v>
      </c>
      <c r="H1549" t="str">
        <f t="shared" si="790"/>
        <v>0</v>
      </c>
      <c r="I1549" t="str">
        <f t="shared" si="786"/>
        <v>CONTA OPTICA</v>
      </c>
      <c r="J1549" t="str">
        <f>"OTICA BRUSQUENSE LTDA ME"</f>
        <v>OTICA BRUSQUENSE LTDA ME</v>
      </c>
      <c r="K1549" t="str">
        <f>"OTICA BRUSQUENSE LTDA ME (1688)"</f>
        <v>OTICA BRUSQUENSE LTDA ME (1688)</v>
      </c>
      <c r="L1549" t="str">
        <f>""</f>
        <v/>
      </c>
      <c r="M1549" t="str">
        <f>""</f>
        <v/>
      </c>
      <c r="N1549" t="str">
        <f>"oticabrusquense@yahoo.com.br"</f>
        <v>oticabrusquense@yahoo.com.br</v>
      </c>
      <c r="O1549" t="str">
        <f>""</f>
        <v/>
      </c>
      <c r="P1549" t="str">
        <f>"RUA SANTOS DUMONT"</f>
        <v>RUA SANTOS DUMONT</v>
      </c>
      <c r="Q1549" t="str">
        <f>"951"</f>
        <v>951</v>
      </c>
      <c r="R1549" t="str">
        <f>""</f>
        <v/>
      </c>
      <c r="S1549" t="str">
        <f>"1263"</f>
        <v>1263</v>
      </c>
      <c r="T1549" t="str">
        <f>"88352201"</f>
        <v>88352201</v>
      </c>
      <c r="U1549" t="str">
        <f>"SANTA TEREZINHA"</f>
        <v>SANTA TEREZINHA</v>
      </c>
      <c r="V1549" t="str">
        <f>"BRUSQUE"</f>
        <v>BRUSQUE</v>
      </c>
      <c r="W1549" t="str">
        <f t="shared" si="773"/>
        <v>SC</v>
      </c>
      <c r="X1549" t="str">
        <f t="shared" si="780"/>
        <v>47</v>
      </c>
      <c r="Y1549" t="str">
        <f>"33501283"</f>
        <v>33501283</v>
      </c>
      <c r="Z1549" t="str">
        <f>""</f>
        <v/>
      </c>
      <c r="AA1549" t="str">
        <f>""</f>
        <v/>
      </c>
      <c r="AB1549" t="str">
        <f>""</f>
        <v/>
      </c>
      <c r="AC1549" t="str">
        <f>""</f>
        <v/>
      </c>
      <c r="AD1549" t="str">
        <f>""</f>
        <v/>
      </c>
      <c r="AE1549" t="str">
        <f>""</f>
        <v/>
      </c>
      <c r="AF1549" t="str">
        <f>""</f>
        <v/>
      </c>
      <c r="AG1549" t="str">
        <f>"S"</f>
        <v>S</v>
      </c>
      <c r="AH1549" t="str">
        <f>""</f>
        <v/>
      </c>
      <c r="AI1549" t="str">
        <f>""</f>
        <v/>
      </c>
      <c r="AJ1549" t="str">
        <f>""</f>
        <v/>
      </c>
      <c r="AK1549" t="str">
        <f>""</f>
        <v/>
      </c>
      <c r="AL1549" t="str">
        <f>""</f>
        <v/>
      </c>
      <c r="AM1549" t="str">
        <f>""</f>
        <v/>
      </c>
      <c r="AN1549" t="str">
        <f>""</f>
        <v/>
      </c>
      <c r="AO1549" t="str">
        <f>""</f>
        <v/>
      </c>
      <c r="AP1549" t="str">
        <f>""</f>
        <v/>
      </c>
      <c r="AQ1549" t="str">
        <f t="shared" si="793"/>
        <v>N</v>
      </c>
      <c r="AR1549" t="str">
        <f t="shared" si="793"/>
        <v>N</v>
      </c>
      <c r="AS1549" t="str">
        <f t="shared" si="793"/>
        <v>N</v>
      </c>
      <c r="AT1549" t="str">
        <f t="shared" si="793"/>
        <v>N</v>
      </c>
      <c r="AU1549" t="str">
        <f t="shared" si="793"/>
        <v>N</v>
      </c>
      <c r="AV1549" t="str">
        <f>""</f>
        <v/>
      </c>
      <c r="AW1549" t="str">
        <f>""</f>
        <v/>
      </c>
      <c r="AX1549" t="str">
        <f>""</f>
        <v/>
      </c>
      <c r="AY1549" t="str">
        <f>""</f>
        <v/>
      </c>
      <c r="AZ1549" t="str">
        <f>""</f>
        <v/>
      </c>
      <c r="BA1549" t="str">
        <f>""</f>
        <v/>
      </c>
      <c r="BB1549" t="str">
        <f>"01/07/2021 13:53:04"</f>
        <v>01/07/2021 13:53:04</v>
      </c>
      <c r="BC1549" t="str">
        <f>"21/01/2022 16:14:39"</f>
        <v>21/01/2022 16:14:39</v>
      </c>
      <c r="BD1549" t="str">
        <f>""</f>
        <v/>
      </c>
      <c r="BE1549" t="str">
        <f>""</f>
        <v/>
      </c>
      <c r="BF1549" t="str">
        <f t="shared" si="787"/>
        <v>A</v>
      </c>
      <c r="BG1549" t="str">
        <f>""</f>
        <v/>
      </c>
      <c r="BH1549" t="str">
        <f>"0,00"</f>
        <v>0,00</v>
      </c>
      <c r="BI1549" t="str">
        <f t="shared" si="792"/>
        <v>EVENTUAL</v>
      </c>
      <c r="BJ1549" t="str">
        <f t="shared" si="788"/>
        <v>1</v>
      </c>
      <c r="BK1549" t="str">
        <f t="shared" si="789"/>
        <v>Farmacia</v>
      </c>
      <c r="BL1549" t="str">
        <f>""</f>
        <v/>
      </c>
      <c r="BM1549" t="str">
        <f>"NÃO É VARILUX ESPECIALISTA"</f>
        <v>NÃO É VARILUX ESPECIALISTA</v>
      </c>
      <c r="BN1549" t="str">
        <f>"NA"</f>
        <v>NA</v>
      </c>
      <c r="BO1549" t="str">
        <f>"FOCO KODAK 2"</f>
        <v>FOCO KODAK 2</v>
      </c>
      <c r="BP1549" t="str">
        <f>""</f>
        <v/>
      </c>
      <c r="BQ1549" t="str">
        <f>""</f>
        <v/>
      </c>
      <c r="BR1549" t="str">
        <f>"01/07/2021"</f>
        <v>01/07/2021</v>
      </c>
      <c r="BS1549" t="str">
        <f>"21/01/2022"</f>
        <v>21/01/2022</v>
      </c>
      <c r="BT1549" t="str">
        <f>""</f>
        <v/>
      </c>
      <c r="BU1549" t="str">
        <f>""</f>
        <v/>
      </c>
      <c r="BV1549" t="str">
        <f>""</f>
        <v/>
      </c>
      <c r="BW1549" t="str">
        <f>"1"</f>
        <v>1</v>
      </c>
    </row>
    <row r="1550" spans="1:75" x14ac:dyDescent="0.35">
      <c r="A1550">
        <v>157048</v>
      </c>
      <c r="B1550" t="str">
        <f t="shared" si="784"/>
        <v>A</v>
      </c>
      <c r="C1550" t="str">
        <f t="shared" si="785"/>
        <v>80</v>
      </c>
      <c r="D1550" t="str">
        <f t="shared" si="777"/>
        <v>11121004</v>
      </c>
      <c r="E1550" t="str">
        <f t="shared" si="778"/>
        <v>121004</v>
      </c>
      <c r="F1550" t="str">
        <f t="shared" si="779"/>
        <v>FABIANA GODOY</v>
      </c>
      <c r="G1550" t="str">
        <f>"40032255000150"</f>
        <v>40032255000150</v>
      </c>
      <c r="H1550" t="str">
        <f t="shared" si="790"/>
        <v>0</v>
      </c>
      <c r="I1550" t="str">
        <f t="shared" si="786"/>
        <v>CONTA OPTICA</v>
      </c>
      <c r="J1550" t="str">
        <f>"OTICA BUDAG ITUPORANGA LTDA"</f>
        <v>OTICA BUDAG ITUPORANGA LTDA</v>
      </c>
      <c r="K1550" t="str">
        <f>"MERCADAO DOS OCULOS (4675)"</f>
        <v>MERCADAO DOS OCULOS (4675)</v>
      </c>
      <c r="L1550" t="str">
        <f>""</f>
        <v/>
      </c>
      <c r="M1550" t="str">
        <f>""</f>
        <v/>
      </c>
      <c r="N1550" t="str">
        <f>"LISANDRA.ORTODONTIC@GMAIL.COM"</f>
        <v>LISANDRA.ORTODONTIC@GMAIL.COM</v>
      </c>
      <c r="O1550" t="str">
        <f>""</f>
        <v/>
      </c>
      <c r="P1550" t="str">
        <f>"RUA TV JACOB SENS"</f>
        <v>RUA TV JACOB SENS</v>
      </c>
      <c r="Q1550" t="str">
        <f>"111"</f>
        <v>111</v>
      </c>
      <c r="R1550" t="str">
        <f>"SALA 02"</f>
        <v>SALA 02</v>
      </c>
      <c r="S1550" t="str">
        <f>"1264"</f>
        <v>1264</v>
      </c>
      <c r="T1550" t="str">
        <f>"88400000"</f>
        <v>88400000</v>
      </c>
      <c r="U1550" t="str">
        <f t="shared" ref="U1550:U1555" si="794">"CENTRO"</f>
        <v>CENTRO</v>
      </c>
      <c r="V1550" t="str">
        <f>"ITUPORANGA"</f>
        <v>ITUPORANGA</v>
      </c>
      <c r="W1550" t="str">
        <f t="shared" si="773"/>
        <v>SC</v>
      </c>
      <c r="X1550" t="str">
        <f t="shared" si="780"/>
        <v>47</v>
      </c>
      <c r="Y1550" t="str">
        <f>"996034038"</f>
        <v>996034038</v>
      </c>
      <c r="Z1550" t="str">
        <f>""</f>
        <v/>
      </c>
      <c r="AA1550" t="str">
        <f>""</f>
        <v/>
      </c>
      <c r="AB1550" t="str">
        <f>""</f>
        <v/>
      </c>
      <c r="AC1550" t="str">
        <f>""</f>
        <v/>
      </c>
      <c r="AD1550" t="str">
        <f>""</f>
        <v/>
      </c>
      <c r="AE1550" t="str">
        <f>""</f>
        <v/>
      </c>
      <c r="AF1550" t="str">
        <f>""</f>
        <v/>
      </c>
      <c r="AG1550" t="str">
        <f>""</f>
        <v/>
      </c>
      <c r="AH1550" t="str">
        <f>""</f>
        <v/>
      </c>
      <c r="AI1550" t="str">
        <f>""</f>
        <v/>
      </c>
      <c r="AJ1550" t="str">
        <f>""</f>
        <v/>
      </c>
      <c r="AK1550" t="str">
        <f>""</f>
        <v/>
      </c>
      <c r="AL1550" t="str">
        <f>""</f>
        <v/>
      </c>
      <c r="AM1550" t="str">
        <f>""</f>
        <v/>
      </c>
      <c r="AN1550" t="str">
        <f>""</f>
        <v/>
      </c>
      <c r="AO1550" t="str">
        <f>""</f>
        <v/>
      </c>
      <c r="AP1550" t="str">
        <f>""</f>
        <v/>
      </c>
      <c r="AQ1550" t="str">
        <f>""</f>
        <v/>
      </c>
      <c r="AR1550" t="str">
        <f>""</f>
        <v/>
      </c>
      <c r="AS1550" t="str">
        <f>""</f>
        <v/>
      </c>
      <c r="AT1550" t="str">
        <f>""</f>
        <v/>
      </c>
      <c r="AU1550" t="str">
        <f>""</f>
        <v/>
      </c>
      <c r="AV1550" t="str">
        <f>""</f>
        <v/>
      </c>
      <c r="AW1550" t="str">
        <f>""</f>
        <v/>
      </c>
      <c r="AX1550" t="str">
        <f>""</f>
        <v/>
      </c>
      <c r="AY1550" t="str">
        <f>""</f>
        <v/>
      </c>
      <c r="AZ1550" t="str">
        <f>""</f>
        <v/>
      </c>
      <c r="BA1550" t="str">
        <f>""</f>
        <v/>
      </c>
      <c r="BB1550" t="str">
        <f>"06/07/2023 12:07:48"</f>
        <v>06/07/2023 12:07:48</v>
      </c>
      <c r="BC1550" t="str">
        <f>""</f>
        <v/>
      </c>
      <c r="BD1550" t="str">
        <f>""</f>
        <v/>
      </c>
      <c r="BE1550" t="str">
        <f>""</f>
        <v/>
      </c>
      <c r="BF1550" t="str">
        <f t="shared" si="787"/>
        <v>A</v>
      </c>
      <c r="BG1550" t="str">
        <f>""</f>
        <v/>
      </c>
      <c r="BH1550" t="str">
        <f>""</f>
        <v/>
      </c>
      <c r="BI1550" t="str">
        <f t="shared" si="792"/>
        <v>EVENTUAL</v>
      </c>
      <c r="BJ1550" t="str">
        <f t="shared" si="788"/>
        <v>1</v>
      </c>
      <c r="BK1550" t="str">
        <f t="shared" si="789"/>
        <v>Farmacia</v>
      </c>
      <c r="BL1550" t="str">
        <f>""</f>
        <v/>
      </c>
      <c r="BM1550" t="str">
        <f>""</f>
        <v/>
      </c>
      <c r="BN1550" t="str">
        <f>""</f>
        <v/>
      </c>
      <c r="BO1550" t="str">
        <f>""</f>
        <v/>
      </c>
      <c r="BP1550" t="str">
        <f>""</f>
        <v/>
      </c>
      <c r="BQ1550" t="str">
        <f>""</f>
        <v/>
      </c>
      <c r="BR1550" t="str">
        <f>"06/07/2023"</f>
        <v>06/07/2023</v>
      </c>
      <c r="BS1550" t="str">
        <f>""</f>
        <v/>
      </c>
      <c r="BT1550" t="str">
        <f>""</f>
        <v/>
      </c>
      <c r="BU1550" t="str">
        <f>""</f>
        <v/>
      </c>
      <c r="BV1550" t="str">
        <f>""</f>
        <v/>
      </c>
      <c r="BW1550" t="str">
        <f>"Não visitado"</f>
        <v>Não visitado</v>
      </c>
    </row>
    <row r="1551" spans="1:75" x14ac:dyDescent="0.35">
      <c r="A1551">
        <v>137770</v>
      </c>
      <c r="B1551" t="str">
        <f t="shared" si="784"/>
        <v>A</v>
      </c>
      <c r="C1551" t="str">
        <f t="shared" si="785"/>
        <v>80</v>
      </c>
      <c r="D1551" t="str">
        <f t="shared" si="777"/>
        <v>11121004</v>
      </c>
      <c r="E1551" t="str">
        <f t="shared" si="778"/>
        <v>121004</v>
      </c>
      <c r="F1551" t="str">
        <f t="shared" si="779"/>
        <v>FABIANA GODOY</v>
      </c>
      <c r="G1551" t="str">
        <f>"34069820000151"</f>
        <v>34069820000151</v>
      </c>
      <c r="H1551" t="str">
        <f t="shared" si="790"/>
        <v>0</v>
      </c>
      <c r="I1551" t="str">
        <f t="shared" si="786"/>
        <v>CONTA OPTICA</v>
      </c>
      <c r="J1551" t="str">
        <f>"OTICA BUDAG LTDA"</f>
        <v>OTICA BUDAG LTDA</v>
      </c>
      <c r="K1551" t="str">
        <f>"REDE DE OTICAS MERCADAO DOS OCULOS (4040)"</f>
        <v>REDE DE OTICAS MERCADAO DOS OCULOS (4040)</v>
      </c>
      <c r="L1551" t="str">
        <f>""</f>
        <v/>
      </c>
      <c r="M1551" t="str">
        <f>""</f>
        <v/>
      </c>
      <c r="N1551" t="str">
        <f>"mdoriodosul@outlook.com"</f>
        <v>mdoriodosul@outlook.com</v>
      </c>
      <c r="O1551" t="str">
        <f>""</f>
        <v/>
      </c>
      <c r="P1551" t="str">
        <f>"RUA CARLOS GOMES"</f>
        <v>RUA CARLOS GOMES</v>
      </c>
      <c r="Q1551" t="str">
        <f>"132"</f>
        <v>132</v>
      </c>
      <c r="R1551" t="str">
        <f>""</f>
        <v/>
      </c>
      <c r="S1551" t="str">
        <f>"1276"</f>
        <v>1276</v>
      </c>
      <c r="T1551" t="str">
        <f>"89160051"</f>
        <v>89160051</v>
      </c>
      <c r="U1551" t="str">
        <f t="shared" si="794"/>
        <v>CENTRO</v>
      </c>
      <c r="V1551" t="str">
        <f>"RIO DO SUL"</f>
        <v>RIO DO SUL</v>
      </c>
      <c r="W1551" t="str">
        <f t="shared" si="773"/>
        <v>SC</v>
      </c>
      <c r="X1551" t="str">
        <f t="shared" si="780"/>
        <v>47</v>
      </c>
      <c r="Y1551" t="str">
        <f>"999421210"</f>
        <v>999421210</v>
      </c>
      <c r="Z1551" t="str">
        <f>""</f>
        <v/>
      </c>
      <c r="AA1551" t="str">
        <f>""</f>
        <v/>
      </c>
      <c r="AB1551" t="str">
        <f>""</f>
        <v/>
      </c>
      <c r="AC1551" t="str">
        <f>""</f>
        <v/>
      </c>
      <c r="AD1551" t="str">
        <f>""</f>
        <v/>
      </c>
      <c r="AE1551" t="str">
        <f>""</f>
        <v/>
      </c>
      <c r="AF1551" t="str">
        <f>""</f>
        <v/>
      </c>
      <c r="AG1551" t="str">
        <f>""</f>
        <v/>
      </c>
      <c r="AH1551" t="str">
        <f>""</f>
        <v/>
      </c>
      <c r="AI1551" t="str">
        <f>""</f>
        <v/>
      </c>
      <c r="AJ1551" t="str">
        <f>""</f>
        <v/>
      </c>
      <c r="AK1551" t="str">
        <f>""</f>
        <v/>
      </c>
      <c r="AL1551" t="str">
        <f>""</f>
        <v/>
      </c>
      <c r="AM1551" t="str">
        <f>""</f>
        <v/>
      </c>
      <c r="AN1551" t="str">
        <f>""</f>
        <v/>
      </c>
      <c r="AO1551" t="str">
        <f>""</f>
        <v/>
      </c>
      <c r="AP1551" t="str">
        <f>""</f>
        <v/>
      </c>
      <c r="AQ1551" t="str">
        <f>""</f>
        <v/>
      </c>
      <c r="AR1551" t="str">
        <f>""</f>
        <v/>
      </c>
      <c r="AS1551" t="str">
        <f>""</f>
        <v/>
      </c>
      <c r="AT1551" t="str">
        <f>""</f>
        <v/>
      </c>
      <c r="AU1551" t="str">
        <f>""</f>
        <v/>
      </c>
      <c r="AV1551" t="str">
        <f>""</f>
        <v/>
      </c>
      <c r="AW1551" t="str">
        <f>""</f>
        <v/>
      </c>
      <c r="AX1551" t="str">
        <f>""</f>
        <v/>
      </c>
      <c r="AY1551" t="str">
        <f>""</f>
        <v/>
      </c>
      <c r="AZ1551" t="str">
        <f>""</f>
        <v/>
      </c>
      <c r="BA1551" t="str">
        <f>""</f>
        <v/>
      </c>
      <c r="BB1551" t="str">
        <f>"01/07/2021 13:53:04"</f>
        <v>01/07/2021 13:53:04</v>
      </c>
      <c r="BC1551" t="str">
        <f>""</f>
        <v/>
      </c>
      <c r="BD1551" t="str">
        <f>""</f>
        <v/>
      </c>
      <c r="BE1551" t="str">
        <f>""</f>
        <v/>
      </c>
      <c r="BF1551" t="str">
        <f t="shared" si="787"/>
        <v>A</v>
      </c>
      <c r="BG1551" t="str">
        <f>""</f>
        <v/>
      </c>
      <c r="BH1551" t="str">
        <f>""</f>
        <v/>
      </c>
      <c r="BI1551" t="str">
        <f t="shared" si="792"/>
        <v>EVENTUAL</v>
      </c>
      <c r="BJ1551" t="str">
        <f t="shared" si="788"/>
        <v>1</v>
      </c>
      <c r="BK1551" t="str">
        <f t="shared" si="789"/>
        <v>Farmacia</v>
      </c>
      <c r="BL1551" t="str">
        <f>""</f>
        <v/>
      </c>
      <c r="BM1551" t="str">
        <f>"NÃO É VARILUX ESPECIALISTA"</f>
        <v>NÃO É VARILUX ESPECIALISTA</v>
      </c>
      <c r="BN1551" t="str">
        <f>"NA"</f>
        <v>NA</v>
      </c>
      <c r="BO1551" t="str">
        <f>"FOCO KODAK 2"</f>
        <v>FOCO KODAK 2</v>
      </c>
      <c r="BP1551" t="str">
        <f>""</f>
        <v/>
      </c>
      <c r="BQ1551" t="str">
        <f>""</f>
        <v/>
      </c>
      <c r="BR1551" t="str">
        <f>"01/07/2021"</f>
        <v>01/07/2021</v>
      </c>
      <c r="BS1551" t="str">
        <f>""</f>
        <v/>
      </c>
      <c r="BT1551" t="str">
        <f>""</f>
        <v/>
      </c>
      <c r="BU1551" t="str">
        <f>""</f>
        <v/>
      </c>
      <c r="BV1551" t="str">
        <f>""</f>
        <v/>
      </c>
      <c r="BW1551" t="str">
        <f>"Não visitado"</f>
        <v>Não visitado</v>
      </c>
    </row>
    <row r="1552" spans="1:75" x14ac:dyDescent="0.35">
      <c r="A1552">
        <v>137771</v>
      </c>
      <c r="B1552" t="str">
        <f t="shared" si="784"/>
        <v>A</v>
      </c>
      <c r="C1552" t="str">
        <f t="shared" si="785"/>
        <v>80</v>
      </c>
      <c r="D1552" t="str">
        <f t="shared" si="777"/>
        <v>11121004</v>
      </c>
      <c r="E1552" t="str">
        <f t="shared" si="778"/>
        <v>121004</v>
      </c>
      <c r="F1552" t="str">
        <f t="shared" si="779"/>
        <v>FABIANA GODOY</v>
      </c>
      <c r="G1552" t="str">
        <f>"29737117000134"</f>
        <v>29737117000134</v>
      </c>
      <c r="H1552" t="str">
        <f t="shared" si="790"/>
        <v>0</v>
      </c>
      <c r="I1552" t="str">
        <f t="shared" si="786"/>
        <v>CONTA OPTICA</v>
      </c>
      <c r="J1552" t="str">
        <f>"OTICA DA BARRA EIRELI"</f>
        <v>OTICA DA BARRA EIRELI</v>
      </c>
      <c r="K1552" t="str">
        <f>"OTICA DA BARRA (3881)"</f>
        <v>OTICA DA BARRA (3881)</v>
      </c>
      <c r="L1552" t="str">
        <f>""</f>
        <v/>
      </c>
      <c r="M1552" t="str">
        <f>""</f>
        <v/>
      </c>
      <c r="N1552" t="str">
        <f>"oticadabarra@outlook.com"</f>
        <v>oticadabarra@outlook.com</v>
      </c>
      <c r="O1552" t="str">
        <f>""</f>
        <v/>
      </c>
      <c r="P1552" t="str">
        <f>"AVENIDA SANTA CATARINA"</f>
        <v>AVENIDA SANTA CATARINA</v>
      </c>
      <c r="Q1552" t="str">
        <f>"1520"</f>
        <v>1520</v>
      </c>
      <c r="R1552" t="str">
        <f>""</f>
        <v/>
      </c>
      <c r="S1552" t="str">
        <f>"1263"</f>
        <v>1263</v>
      </c>
      <c r="T1552" t="str">
        <f>"88390000"</f>
        <v>88390000</v>
      </c>
      <c r="U1552" t="str">
        <f t="shared" si="794"/>
        <v>CENTRO</v>
      </c>
      <c r="V1552" t="str">
        <f>"BARRA VELHA"</f>
        <v>BARRA VELHA</v>
      </c>
      <c r="W1552" t="str">
        <f t="shared" si="773"/>
        <v>SC</v>
      </c>
      <c r="X1552" t="str">
        <f t="shared" si="780"/>
        <v>47</v>
      </c>
      <c r="Y1552" t="str">
        <f>"34563412"</f>
        <v>34563412</v>
      </c>
      <c r="Z1552" t="str">
        <f>""</f>
        <v/>
      </c>
      <c r="AA1552" t="str">
        <f>""</f>
        <v/>
      </c>
      <c r="AB1552" t="str">
        <f>""</f>
        <v/>
      </c>
      <c r="AC1552" t="str">
        <f>""</f>
        <v/>
      </c>
      <c r="AD1552" t="str">
        <f>""</f>
        <v/>
      </c>
      <c r="AE1552" t="str">
        <f>""</f>
        <v/>
      </c>
      <c r="AF1552" t="str">
        <f>""</f>
        <v/>
      </c>
      <c r="AG1552" t="str">
        <f>"S"</f>
        <v>S</v>
      </c>
      <c r="AH1552" t="str">
        <f>""</f>
        <v/>
      </c>
      <c r="AI1552" t="str">
        <f>""</f>
        <v/>
      </c>
      <c r="AJ1552" t="str">
        <f>""</f>
        <v/>
      </c>
      <c r="AK1552" t="str">
        <f>""</f>
        <v/>
      </c>
      <c r="AL1552" t="str">
        <f>""</f>
        <v/>
      </c>
      <c r="AM1552" t="str">
        <f>""</f>
        <v/>
      </c>
      <c r="AN1552" t="str">
        <f>""</f>
        <v/>
      </c>
      <c r="AO1552" t="str">
        <f>""</f>
        <v/>
      </c>
      <c r="AP1552" t="str">
        <f>""</f>
        <v/>
      </c>
      <c r="AQ1552" t="str">
        <f t="shared" ref="AQ1552:AU1553" si="795">"N"</f>
        <v>N</v>
      </c>
      <c r="AR1552" t="str">
        <f t="shared" si="795"/>
        <v>N</v>
      </c>
      <c r="AS1552" t="str">
        <f t="shared" si="795"/>
        <v>N</v>
      </c>
      <c r="AT1552" t="str">
        <f t="shared" si="795"/>
        <v>N</v>
      </c>
      <c r="AU1552" t="str">
        <f t="shared" si="795"/>
        <v>N</v>
      </c>
      <c r="AV1552" t="str">
        <f>""</f>
        <v/>
      </c>
      <c r="AW1552" t="str">
        <f>""</f>
        <v/>
      </c>
      <c r="AX1552" t="str">
        <f>""</f>
        <v/>
      </c>
      <c r="AY1552" t="str">
        <f>""</f>
        <v/>
      </c>
      <c r="AZ1552" t="str">
        <f>""</f>
        <v/>
      </c>
      <c r="BA1552" t="str">
        <f>""</f>
        <v/>
      </c>
      <c r="BB1552" t="str">
        <f>"01/07/2021 13:53:04"</f>
        <v>01/07/2021 13:53:04</v>
      </c>
      <c r="BC1552" t="str">
        <f>"22/04/2022 15:18:37"</f>
        <v>22/04/2022 15:18:37</v>
      </c>
      <c r="BD1552" t="str">
        <f>""</f>
        <v/>
      </c>
      <c r="BE1552" t="str">
        <f>""</f>
        <v/>
      </c>
      <c r="BF1552" t="str">
        <f t="shared" si="787"/>
        <v>A</v>
      </c>
      <c r="BG1552" t="str">
        <f>""</f>
        <v/>
      </c>
      <c r="BH1552" t="str">
        <f>"0,00"</f>
        <v>0,00</v>
      </c>
      <c r="BI1552" t="str">
        <f t="shared" si="792"/>
        <v>EVENTUAL</v>
      </c>
      <c r="BJ1552" t="str">
        <f t="shared" si="788"/>
        <v>1</v>
      </c>
      <c r="BK1552" t="str">
        <f t="shared" si="789"/>
        <v>Farmacia</v>
      </c>
      <c r="BL1552" t="str">
        <f>""</f>
        <v/>
      </c>
      <c r="BM1552" t="str">
        <f>"NÃO É VARILUX ESPECIALISTA"</f>
        <v>NÃO É VARILUX ESPECIALISTA</v>
      </c>
      <c r="BN1552" t="str">
        <f>"NA"</f>
        <v>NA</v>
      </c>
      <c r="BO1552" t="str">
        <f>"FOCO KODAK 2"</f>
        <v>FOCO KODAK 2</v>
      </c>
      <c r="BP1552" t="str">
        <f>""</f>
        <v/>
      </c>
      <c r="BQ1552" t="str">
        <f>""</f>
        <v/>
      </c>
      <c r="BR1552" t="str">
        <f>"01/07/2021"</f>
        <v>01/07/2021</v>
      </c>
      <c r="BS1552" t="str">
        <f>"22/04/2022"</f>
        <v>22/04/2022</v>
      </c>
      <c r="BT1552" t="str">
        <f>""</f>
        <v/>
      </c>
      <c r="BU1552" t="str">
        <f>""</f>
        <v/>
      </c>
      <c r="BV1552" t="str">
        <f>""</f>
        <v/>
      </c>
      <c r="BW1552" t="str">
        <f>"64"</f>
        <v>64</v>
      </c>
    </row>
    <row r="1553" spans="1:75" x14ac:dyDescent="0.35">
      <c r="A1553">
        <v>137772</v>
      </c>
      <c r="B1553" t="str">
        <f t="shared" si="784"/>
        <v>A</v>
      </c>
      <c r="C1553" t="str">
        <f t="shared" si="785"/>
        <v>80</v>
      </c>
      <c r="D1553" t="str">
        <f t="shared" si="777"/>
        <v>11121004</v>
      </c>
      <c r="E1553" t="str">
        <f t="shared" si="778"/>
        <v>121004</v>
      </c>
      <c r="F1553" t="str">
        <f t="shared" si="779"/>
        <v>FABIANA GODOY</v>
      </c>
      <c r="G1553" t="str">
        <f>"11649679000160"</f>
        <v>11649679000160</v>
      </c>
      <c r="H1553" t="str">
        <f t="shared" si="790"/>
        <v>0</v>
      </c>
      <c r="I1553" t="str">
        <f t="shared" si="786"/>
        <v>CONTA OPTICA</v>
      </c>
      <c r="J1553" t="str">
        <f>"OTICA DA FAMILIA A B LTDA EPP"</f>
        <v>OTICA DA FAMILIA A B LTDA EPP</v>
      </c>
      <c r="K1553" t="str">
        <f>"OTICA DA FAMILIA (1731)"</f>
        <v>OTICA DA FAMILIA (1731)</v>
      </c>
      <c r="L1553" t="str">
        <f>""</f>
        <v/>
      </c>
      <c r="M1553" t="str">
        <f>""</f>
        <v/>
      </c>
      <c r="N1553" t="str">
        <f>"faig@uol.com.br"</f>
        <v>faig@uol.com.br</v>
      </c>
      <c r="O1553" t="str">
        <f>""</f>
        <v/>
      </c>
      <c r="P1553" t="str">
        <f>"RUA ALBERTO SANTOS DUMONT (3 AV.)"</f>
        <v>RUA ALBERTO SANTOS DUMONT (3 AV.)</v>
      </c>
      <c r="Q1553" t="str">
        <f>"39"</f>
        <v>39</v>
      </c>
      <c r="R1553" t="str">
        <f>"SL 2B"</f>
        <v>SL 2B</v>
      </c>
      <c r="S1553" t="str">
        <f>"1262"</f>
        <v>1262</v>
      </c>
      <c r="T1553" t="str">
        <f>"88330096"</f>
        <v>88330096</v>
      </c>
      <c r="U1553" t="str">
        <f t="shared" si="794"/>
        <v>CENTRO</v>
      </c>
      <c r="V1553" t="str">
        <f>"BALNEÁRIO CAMBORIÚ"</f>
        <v>BALNEÁRIO CAMBORIÚ</v>
      </c>
      <c r="W1553" t="str">
        <f t="shared" si="773"/>
        <v>SC</v>
      </c>
      <c r="X1553" t="str">
        <f t="shared" si="780"/>
        <v>47</v>
      </c>
      <c r="Y1553" t="str">
        <f>"33690077"</f>
        <v>33690077</v>
      </c>
      <c r="Z1553" t="str">
        <f>""</f>
        <v/>
      </c>
      <c r="AA1553" t="str">
        <f>""</f>
        <v/>
      </c>
      <c r="AB1553" t="str">
        <f>""</f>
        <v/>
      </c>
      <c r="AC1553" t="str">
        <f>""</f>
        <v/>
      </c>
      <c r="AD1553" t="str">
        <f>""</f>
        <v/>
      </c>
      <c r="AE1553" t="str">
        <f>""</f>
        <v/>
      </c>
      <c r="AF1553" t="str">
        <f>""</f>
        <v/>
      </c>
      <c r="AG1553" t="str">
        <f>"S"</f>
        <v>S</v>
      </c>
      <c r="AH1553" t="str">
        <f>""</f>
        <v/>
      </c>
      <c r="AI1553" t="str">
        <f>""</f>
        <v/>
      </c>
      <c r="AJ1553" t="str">
        <f>""</f>
        <v/>
      </c>
      <c r="AK1553" t="str">
        <f>""</f>
        <v/>
      </c>
      <c r="AL1553" t="str">
        <f>""</f>
        <v/>
      </c>
      <c r="AM1553" t="str">
        <f>""</f>
        <v/>
      </c>
      <c r="AN1553" t="str">
        <f>""</f>
        <v/>
      </c>
      <c r="AO1553" t="str">
        <f>""</f>
        <v/>
      </c>
      <c r="AP1553" t="str">
        <f>""</f>
        <v/>
      </c>
      <c r="AQ1553" t="str">
        <f t="shared" si="795"/>
        <v>N</v>
      </c>
      <c r="AR1553" t="str">
        <f t="shared" si="795"/>
        <v>N</v>
      </c>
      <c r="AS1553" t="str">
        <f t="shared" si="795"/>
        <v>N</v>
      </c>
      <c r="AT1553" t="str">
        <f t="shared" si="795"/>
        <v>N</v>
      </c>
      <c r="AU1553" t="str">
        <f t="shared" si="795"/>
        <v>N</v>
      </c>
      <c r="AV1553" t="str">
        <f>""</f>
        <v/>
      </c>
      <c r="AW1553" t="str">
        <f>""</f>
        <v/>
      </c>
      <c r="AX1553" t="str">
        <f>""</f>
        <v/>
      </c>
      <c r="AY1553" t="str">
        <f>""</f>
        <v/>
      </c>
      <c r="AZ1553" t="str">
        <f>""</f>
        <v/>
      </c>
      <c r="BA1553" t="str">
        <f>""</f>
        <v/>
      </c>
      <c r="BB1553" t="str">
        <f>"01/07/2021 13:53:04"</f>
        <v>01/07/2021 13:53:04</v>
      </c>
      <c r="BC1553" t="str">
        <f>"13/07/2023 10:16:56"</f>
        <v>13/07/2023 10:16:56</v>
      </c>
      <c r="BD1553" t="str">
        <f>""</f>
        <v/>
      </c>
      <c r="BE1553" t="str">
        <f>""</f>
        <v/>
      </c>
      <c r="BF1553" t="str">
        <f t="shared" si="787"/>
        <v>A</v>
      </c>
      <c r="BG1553" t="str">
        <f>""</f>
        <v/>
      </c>
      <c r="BH1553" t="str">
        <f>"0,00"</f>
        <v>0,00</v>
      </c>
      <c r="BI1553" t="str">
        <f>"MENSAL"</f>
        <v>MENSAL</v>
      </c>
      <c r="BJ1553" t="str">
        <f t="shared" si="788"/>
        <v>1</v>
      </c>
      <c r="BK1553" t="str">
        <f t="shared" si="789"/>
        <v>Farmacia</v>
      </c>
      <c r="BL1553" t="str">
        <f>""</f>
        <v/>
      </c>
      <c r="BM1553" t="str">
        <f>"NÃO É VARILUX ESPECIALISTA"</f>
        <v>NÃO É VARILUX ESPECIALISTA</v>
      </c>
      <c r="BN1553" t="str">
        <f>"EL360"</f>
        <v>EL360</v>
      </c>
      <c r="BO1553" t="str">
        <f>"OUTROS"</f>
        <v>OUTROS</v>
      </c>
      <c r="BP1553" t="str">
        <f>""</f>
        <v/>
      </c>
      <c r="BQ1553" t="str">
        <f>""</f>
        <v/>
      </c>
      <c r="BR1553" t="str">
        <f>"01/07/2021"</f>
        <v>01/07/2021</v>
      </c>
      <c r="BS1553" t="str">
        <f>"13/07/2023"</f>
        <v>13/07/2023</v>
      </c>
      <c r="BT1553" t="str">
        <f>""</f>
        <v/>
      </c>
      <c r="BU1553" t="str">
        <f>""</f>
        <v/>
      </c>
      <c r="BV1553" t="str">
        <f>""</f>
        <v/>
      </c>
      <c r="BW1553" t="str">
        <f>"17"</f>
        <v>17</v>
      </c>
    </row>
    <row r="1554" spans="1:75" x14ac:dyDescent="0.35">
      <c r="A1554">
        <v>157770</v>
      </c>
      <c r="B1554" t="str">
        <f t="shared" si="784"/>
        <v>A</v>
      </c>
      <c r="C1554" t="str">
        <f t="shared" si="785"/>
        <v>80</v>
      </c>
      <c r="D1554" t="str">
        <f t="shared" si="777"/>
        <v>11121004</v>
      </c>
      <c r="E1554" t="str">
        <f t="shared" si="778"/>
        <v>121004</v>
      </c>
      <c r="F1554" t="str">
        <f t="shared" si="779"/>
        <v>FABIANA GODOY</v>
      </c>
      <c r="G1554" t="str">
        <f>"43112263000103"</f>
        <v>43112263000103</v>
      </c>
      <c r="H1554" t="str">
        <f t="shared" si="790"/>
        <v>0</v>
      </c>
      <c r="I1554" t="str">
        <f t="shared" si="786"/>
        <v>CONTA OPTICA</v>
      </c>
      <c r="J1554" t="str">
        <f>"OTICA DAZANI LTDA"</f>
        <v>OTICA DAZANI LTDA</v>
      </c>
      <c r="K1554" t="str">
        <f>"OTICA DAZANI (4538)"</f>
        <v>OTICA DAZANI (4538)</v>
      </c>
      <c r="L1554" t="str">
        <f>""</f>
        <v/>
      </c>
      <c r="M1554" t="str">
        <f>""</f>
        <v/>
      </c>
      <c r="N1554" t="str">
        <f>"OTICADAZANI@GMAIL.COM"</f>
        <v>OTICADAZANI@GMAIL.COM</v>
      </c>
      <c r="O1554" t="str">
        <f>""</f>
        <v/>
      </c>
      <c r="P1554" t="str">
        <f>"RUA 10"</f>
        <v>RUA 10</v>
      </c>
      <c r="Q1554" t="str">
        <f>"201"</f>
        <v>201</v>
      </c>
      <c r="R1554" t="str">
        <f>""</f>
        <v/>
      </c>
      <c r="S1554" t="str">
        <f>"1262"</f>
        <v>1262</v>
      </c>
      <c r="T1554" t="str">
        <f>"88330657"</f>
        <v>88330657</v>
      </c>
      <c r="U1554" t="str">
        <f t="shared" si="794"/>
        <v>CENTRO</v>
      </c>
      <c r="V1554" t="str">
        <f>"BALNEARIO CAMBORIU"</f>
        <v>BALNEARIO CAMBORIU</v>
      </c>
      <c r="W1554" t="str">
        <f t="shared" si="773"/>
        <v>SC</v>
      </c>
      <c r="X1554" t="str">
        <f t="shared" si="780"/>
        <v>47</v>
      </c>
      <c r="Y1554" t="str">
        <f>"999899173"</f>
        <v>999899173</v>
      </c>
      <c r="Z1554" t="str">
        <f>""</f>
        <v/>
      </c>
      <c r="AA1554" t="str">
        <f>""</f>
        <v/>
      </c>
      <c r="AB1554" t="str">
        <f>""</f>
        <v/>
      </c>
      <c r="AC1554" t="str">
        <f>""</f>
        <v/>
      </c>
      <c r="AD1554" t="str">
        <f>""</f>
        <v/>
      </c>
      <c r="AE1554" t="str">
        <f>""</f>
        <v/>
      </c>
      <c r="AF1554" t="str">
        <f>""</f>
        <v/>
      </c>
      <c r="AG1554" t="str">
        <f>""</f>
        <v/>
      </c>
      <c r="AH1554" t="str">
        <f>""</f>
        <v/>
      </c>
      <c r="AI1554" t="str">
        <f>""</f>
        <v/>
      </c>
      <c r="AJ1554" t="str">
        <f>""</f>
        <v/>
      </c>
      <c r="AK1554" t="str">
        <f>""</f>
        <v/>
      </c>
      <c r="AL1554" t="str">
        <f>""</f>
        <v/>
      </c>
      <c r="AM1554" t="str">
        <f>""</f>
        <v/>
      </c>
      <c r="AN1554" t="str">
        <f>""</f>
        <v/>
      </c>
      <c r="AO1554" t="str">
        <f>""</f>
        <v/>
      </c>
      <c r="AP1554" t="str">
        <f>""</f>
        <v/>
      </c>
      <c r="AQ1554" t="str">
        <f>""</f>
        <v/>
      </c>
      <c r="AR1554" t="str">
        <f>""</f>
        <v/>
      </c>
      <c r="AS1554" t="str">
        <f>""</f>
        <v/>
      </c>
      <c r="AT1554" t="str">
        <f>""</f>
        <v/>
      </c>
      <c r="AU1554" t="str">
        <f>""</f>
        <v/>
      </c>
      <c r="AV1554" t="str">
        <f>""</f>
        <v/>
      </c>
      <c r="AW1554" t="str">
        <f>""</f>
        <v/>
      </c>
      <c r="AX1554" t="str">
        <f>""</f>
        <v/>
      </c>
      <c r="AY1554" t="str">
        <f>""</f>
        <v/>
      </c>
      <c r="AZ1554" t="str">
        <f>""</f>
        <v/>
      </c>
      <c r="BA1554" t="str">
        <f>""</f>
        <v/>
      </c>
      <c r="BB1554" t="str">
        <f>"11/07/2023 02:26:32"</f>
        <v>11/07/2023 02:26:32</v>
      </c>
      <c r="BC1554" t="str">
        <f>""</f>
        <v/>
      </c>
      <c r="BD1554" t="str">
        <f>""</f>
        <v/>
      </c>
      <c r="BE1554" t="str">
        <f>""</f>
        <v/>
      </c>
      <c r="BF1554" t="str">
        <f t="shared" si="787"/>
        <v>A</v>
      </c>
      <c r="BG1554" t="str">
        <f>""</f>
        <v/>
      </c>
      <c r="BH1554" t="str">
        <f>""</f>
        <v/>
      </c>
      <c r="BI1554" t="str">
        <f t="shared" ref="BI1554:BI1562" si="796">"EVENTUAL"</f>
        <v>EVENTUAL</v>
      </c>
      <c r="BJ1554" t="str">
        <f t="shared" si="788"/>
        <v>1</v>
      </c>
      <c r="BK1554" t="str">
        <f t="shared" si="789"/>
        <v>Farmacia</v>
      </c>
      <c r="BL1554" t="str">
        <f>""</f>
        <v/>
      </c>
      <c r="BM1554" t="str">
        <f>""</f>
        <v/>
      </c>
      <c r="BN1554" t="str">
        <f>""</f>
        <v/>
      </c>
      <c r="BO1554" t="str">
        <f>""</f>
        <v/>
      </c>
      <c r="BP1554" t="str">
        <f>""</f>
        <v/>
      </c>
      <c r="BQ1554" t="str">
        <f>""</f>
        <v/>
      </c>
      <c r="BR1554" t="str">
        <f>"11/07/2023"</f>
        <v>11/07/2023</v>
      </c>
      <c r="BS1554" t="str">
        <f>""</f>
        <v/>
      </c>
      <c r="BT1554" t="str">
        <f>""</f>
        <v/>
      </c>
      <c r="BU1554" t="str">
        <f>""</f>
        <v/>
      </c>
      <c r="BV1554" t="str">
        <f>""</f>
        <v/>
      </c>
      <c r="BW1554" t="str">
        <f>"64"</f>
        <v>64</v>
      </c>
    </row>
    <row r="1555" spans="1:75" x14ac:dyDescent="0.35">
      <c r="A1555">
        <v>158713</v>
      </c>
      <c r="B1555" t="str">
        <f t="shared" si="784"/>
        <v>A</v>
      </c>
      <c r="C1555" t="str">
        <f t="shared" si="785"/>
        <v>80</v>
      </c>
      <c r="D1555" t="str">
        <f t="shared" si="777"/>
        <v>11121004</v>
      </c>
      <c r="E1555" t="str">
        <f t="shared" si="778"/>
        <v>121004</v>
      </c>
      <c r="F1555" t="str">
        <f t="shared" si="779"/>
        <v>FABIANA GODOY</v>
      </c>
      <c r="G1555" t="str">
        <f>"51177953000160"</f>
        <v>51177953000160</v>
      </c>
      <c r="H1555" t="str">
        <f>""</f>
        <v/>
      </c>
      <c r="I1555" t="str">
        <f t="shared" si="786"/>
        <v>CONTA OPTICA</v>
      </c>
      <c r="J1555" t="str">
        <f>"OTICA D'MOMM LTDA"</f>
        <v>OTICA D'MOMM LTDA</v>
      </c>
      <c r="K1555" t="str">
        <f>"OTICA D'MOMM (4742)"</f>
        <v>OTICA D'MOMM (4742)</v>
      </c>
      <c r="L1555" t="str">
        <f>""</f>
        <v/>
      </c>
      <c r="M1555" t="str">
        <f>""</f>
        <v/>
      </c>
      <c r="N1555" t="str">
        <f>"FINANCEIRO@OTICAMOMM.COM.BR"</f>
        <v>FINANCEIRO@OTICAMOMM.COM.BR</v>
      </c>
      <c r="O1555" t="str">
        <f>""</f>
        <v/>
      </c>
      <c r="P1555" t="str">
        <f>"RUA GERMANO BRANDES SENIOR"</f>
        <v>RUA GERMANO BRANDES SENIOR</v>
      </c>
      <c r="Q1555" t="str">
        <f>"711"</f>
        <v>711</v>
      </c>
      <c r="R1555" t="str">
        <f>"SALAS 3 E 4"</f>
        <v>SALAS 3 E 4</v>
      </c>
      <c r="S1555" t="str">
        <f>"1275"</f>
        <v>1275</v>
      </c>
      <c r="T1555" t="str">
        <f>"89120000"</f>
        <v>89120000</v>
      </c>
      <c r="U1555" t="str">
        <f t="shared" si="794"/>
        <v>CENTRO</v>
      </c>
      <c r="V1555" t="str">
        <f>"TIMBO"</f>
        <v>TIMBO</v>
      </c>
      <c r="W1555" t="str">
        <f t="shared" si="773"/>
        <v>SC</v>
      </c>
      <c r="X1555" t="str">
        <f t="shared" si="780"/>
        <v>47</v>
      </c>
      <c r="Y1555" t="str">
        <f>"33824746"</f>
        <v>33824746</v>
      </c>
      <c r="Z1555" t="str">
        <f>""</f>
        <v/>
      </c>
      <c r="AA1555" t="str">
        <f>""</f>
        <v/>
      </c>
      <c r="AB1555" t="str">
        <f>""</f>
        <v/>
      </c>
      <c r="AC1555" t="str">
        <f>""</f>
        <v/>
      </c>
      <c r="AD1555" t="str">
        <f>""</f>
        <v/>
      </c>
      <c r="AE1555" t="str">
        <f>""</f>
        <v/>
      </c>
      <c r="AF1555" t="str">
        <f>""</f>
        <v/>
      </c>
      <c r="AG1555" t="str">
        <f>""</f>
        <v/>
      </c>
      <c r="AH1555" t="str">
        <f>""</f>
        <v/>
      </c>
      <c r="AI1555" t="str">
        <f>""</f>
        <v/>
      </c>
      <c r="AJ1555" t="str">
        <f>""</f>
        <v/>
      </c>
      <c r="AK1555" t="str">
        <f>""</f>
        <v/>
      </c>
      <c r="AL1555" t="str">
        <f>""</f>
        <v/>
      </c>
      <c r="AM1555" t="str">
        <f>""</f>
        <v/>
      </c>
      <c r="AN1555" t="str">
        <f>""</f>
        <v/>
      </c>
      <c r="AO1555" t="str">
        <f>""</f>
        <v/>
      </c>
      <c r="AP1555" t="str">
        <f>""</f>
        <v/>
      </c>
      <c r="AQ1555" t="str">
        <f>""</f>
        <v/>
      </c>
      <c r="AR1555" t="str">
        <f>""</f>
        <v/>
      </c>
      <c r="AS1555" t="str">
        <f>""</f>
        <v/>
      </c>
      <c r="AT1555" t="str">
        <f>""</f>
        <v/>
      </c>
      <c r="AU1555" t="str">
        <f>""</f>
        <v/>
      </c>
      <c r="AV1555" t="str">
        <f>""</f>
        <v/>
      </c>
      <c r="AW1555" t="str">
        <f>""</f>
        <v/>
      </c>
      <c r="AX1555" t="str">
        <f>""</f>
        <v/>
      </c>
      <c r="AY1555" t="str">
        <f>""</f>
        <v/>
      </c>
      <c r="AZ1555" t="str">
        <f>""</f>
        <v/>
      </c>
      <c r="BA1555" t="str">
        <f>""</f>
        <v/>
      </c>
      <c r="BB1555" t="str">
        <f>"17/08/2023 16:48:06"</f>
        <v>17/08/2023 16:48:06</v>
      </c>
      <c r="BC1555" t="str">
        <f>""</f>
        <v/>
      </c>
      <c r="BD1555" t="str">
        <f>""</f>
        <v/>
      </c>
      <c r="BE1555" t="str">
        <f>""</f>
        <v/>
      </c>
      <c r="BF1555" t="str">
        <f t="shared" si="787"/>
        <v>A</v>
      </c>
      <c r="BG1555" t="str">
        <f>""</f>
        <v/>
      </c>
      <c r="BH1555" t="str">
        <f>""</f>
        <v/>
      </c>
      <c r="BI1555" t="str">
        <f t="shared" si="796"/>
        <v>EVENTUAL</v>
      </c>
      <c r="BJ1555" t="str">
        <f t="shared" si="788"/>
        <v>1</v>
      </c>
      <c r="BK1555" t="str">
        <f t="shared" si="789"/>
        <v>Farmacia</v>
      </c>
      <c r="BL1555" t="str">
        <f>""</f>
        <v/>
      </c>
      <c r="BM1555" t="str">
        <f>""</f>
        <v/>
      </c>
      <c r="BN1555" t="str">
        <f>""</f>
        <v/>
      </c>
      <c r="BO1555" t="str">
        <f>""</f>
        <v/>
      </c>
      <c r="BP1555" t="str">
        <f>""</f>
        <v/>
      </c>
      <c r="BQ1555" t="str">
        <f>""</f>
        <v/>
      </c>
      <c r="BR1555" t="str">
        <f>"17/08/2023"</f>
        <v>17/08/2023</v>
      </c>
      <c r="BS1555" t="str">
        <f>""</f>
        <v/>
      </c>
      <c r="BT1555" t="str">
        <f>""</f>
        <v/>
      </c>
      <c r="BU1555" t="str">
        <f>""</f>
        <v/>
      </c>
      <c r="BV1555" t="str">
        <f>""</f>
        <v/>
      </c>
      <c r="BW1555" t="str">
        <f>"23"</f>
        <v>23</v>
      </c>
    </row>
    <row r="1556" spans="1:75" x14ac:dyDescent="0.35">
      <c r="A1556">
        <v>157785</v>
      </c>
      <c r="B1556" t="str">
        <f t="shared" si="784"/>
        <v>A</v>
      </c>
      <c r="C1556" t="str">
        <f t="shared" si="785"/>
        <v>80</v>
      </c>
      <c r="D1556" t="str">
        <f t="shared" si="777"/>
        <v>11121004</v>
      </c>
      <c r="E1556" t="str">
        <f t="shared" si="778"/>
        <v>121004</v>
      </c>
      <c r="F1556" t="str">
        <f t="shared" si="779"/>
        <v>FABIANA GODOY</v>
      </c>
      <c r="G1556" t="str">
        <f>"28872637000278"</f>
        <v>28872637000278</v>
      </c>
      <c r="H1556" t="str">
        <f>"0"</f>
        <v>0</v>
      </c>
      <c r="I1556" t="str">
        <f t="shared" si="786"/>
        <v>CONTA OPTICA</v>
      </c>
      <c r="J1556" t="str">
        <f>"OTICA E JOALHERIA MAGOO LTDA"</f>
        <v>OTICA E JOALHERIA MAGOO LTDA</v>
      </c>
      <c r="K1556" t="str">
        <f>"OTICA MAGOO (3905)"</f>
        <v>OTICA MAGOO (3905)</v>
      </c>
      <c r="L1556" t="str">
        <f>""</f>
        <v/>
      </c>
      <c r="M1556" t="str">
        <f>""</f>
        <v/>
      </c>
      <c r="N1556" t="str">
        <f>"ITAPEMA@OTICASMAGOO.COM.BR"</f>
        <v>ITAPEMA@OTICASMAGOO.COM.BR</v>
      </c>
      <c r="O1556" t="str">
        <f>""</f>
        <v/>
      </c>
      <c r="P1556" t="str">
        <f>"NEREU RAMOS"</f>
        <v>NEREU RAMOS</v>
      </c>
      <c r="Q1556" t="str">
        <f>"4880"</f>
        <v>4880</v>
      </c>
      <c r="R1556" t="str">
        <f>"SL 03"</f>
        <v>SL 03</v>
      </c>
      <c r="S1556" t="str">
        <f>""</f>
        <v/>
      </c>
      <c r="T1556" t="str">
        <f>"88220971"</f>
        <v>88220971</v>
      </c>
      <c r="U1556" t="str">
        <f>"MEIA PRAIA"</f>
        <v>MEIA PRAIA</v>
      </c>
      <c r="V1556" t="str">
        <f>"ITAPEMA"</f>
        <v>ITAPEMA</v>
      </c>
      <c r="W1556" t="str">
        <f t="shared" si="773"/>
        <v>SC</v>
      </c>
      <c r="X1556" t="str">
        <f>"41"</f>
        <v>41</v>
      </c>
      <c r="Y1556" t="str">
        <f>"31532990"</f>
        <v>31532990</v>
      </c>
      <c r="Z1556" t="str">
        <f>""</f>
        <v/>
      </c>
      <c r="AA1556" t="str">
        <f>""</f>
        <v/>
      </c>
      <c r="AB1556" t="str">
        <f>""</f>
        <v/>
      </c>
      <c r="AC1556" t="str">
        <f>""</f>
        <v/>
      </c>
      <c r="AD1556" t="str">
        <f>""</f>
        <v/>
      </c>
      <c r="AE1556" t="str">
        <f>""</f>
        <v/>
      </c>
      <c r="AF1556" t="str">
        <f>""</f>
        <v/>
      </c>
      <c r="AG1556" t="str">
        <f>""</f>
        <v/>
      </c>
      <c r="AH1556" t="str">
        <f>""</f>
        <v/>
      </c>
      <c r="AI1556" t="str">
        <f>""</f>
        <v/>
      </c>
      <c r="AJ1556" t="str">
        <f>""</f>
        <v/>
      </c>
      <c r="AK1556" t="str">
        <f>""</f>
        <v/>
      </c>
      <c r="AL1556" t="str">
        <f>""</f>
        <v/>
      </c>
      <c r="AM1556" t="str">
        <f>""</f>
        <v/>
      </c>
      <c r="AN1556" t="str">
        <f>""</f>
        <v/>
      </c>
      <c r="AO1556" t="str">
        <f>""</f>
        <v/>
      </c>
      <c r="AP1556" t="str">
        <f>""</f>
        <v/>
      </c>
      <c r="AQ1556" t="str">
        <f>""</f>
        <v/>
      </c>
      <c r="AR1556" t="str">
        <f>""</f>
        <v/>
      </c>
      <c r="AS1556" t="str">
        <f>""</f>
        <v/>
      </c>
      <c r="AT1556" t="str">
        <f>""</f>
        <v/>
      </c>
      <c r="AU1556" t="str">
        <f>""</f>
        <v/>
      </c>
      <c r="AV1556" t="str">
        <f>""</f>
        <v/>
      </c>
      <c r="AW1556" t="str">
        <f>""</f>
        <v/>
      </c>
      <c r="AX1556" t="str">
        <f>""</f>
        <v/>
      </c>
      <c r="AY1556" t="str">
        <f>""</f>
        <v/>
      </c>
      <c r="AZ1556" t="str">
        <f>""</f>
        <v/>
      </c>
      <c r="BA1556" t="str">
        <f>""</f>
        <v/>
      </c>
      <c r="BB1556" t="str">
        <f>"11/07/2023 02:26:32"</f>
        <v>11/07/2023 02:26:32</v>
      </c>
      <c r="BC1556" t="str">
        <f>""</f>
        <v/>
      </c>
      <c r="BD1556" t="str">
        <f>""</f>
        <v/>
      </c>
      <c r="BE1556" t="str">
        <f>""</f>
        <v/>
      </c>
      <c r="BF1556" t="str">
        <f t="shared" si="787"/>
        <v>A</v>
      </c>
      <c r="BG1556" t="str">
        <f>""</f>
        <v/>
      </c>
      <c r="BH1556" t="str">
        <f>""</f>
        <v/>
      </c>
      <c r="BI1556" t="str">
        <f t="shared" si="796"/>
        <v>EVENTUAL</v>
      </c>
      <c r="BJ1556" t="str">
        <f t="shared" si="788"/>
        <v>1</v>
      </c>
      <c r="BK1556" t="str">
        <f t="shared" si="789"/>
        <v>Farmacia</v>
      </c>
      <c r="BL1556" t="str">
        <f>""</f>
        <v/>
      </c>
      <c r="BM1556" t="str">
        <f>""</f>
        <v/>
      </c>
      <c r="BN1556" t="str">
        <f>""</f>
        <v/>
      </c>
      <c r="BO1556" t="str">
        <f>""</f>
        <v/>
      </c>
      <c r="BP1556" t="str">
        <f>""</f>
        <v/>
      </c>
      <c r="BQ1556" t="str">
        <f>""</f>
        <v/>
      </c>
      <c r="BR1556" t="str">
        <f>"11/07/2023"</f>
        <v>11/07/2023</v>
      </c>
      <c r="BS1556" t="str">
        <f>""</f>
        <v/>
      </c>
      <c r="BT1556" t="str">
        <f>""</f>
        <v/>
      </c>
      <c r="BU1556" t="str">
        <f>""</f>
        <v/>
      </c>
      <c r="BV1556" t="str">
        <f>""</f>
        <v/>
      </c>
      <c r="BW1556" t="str">
        <f>"Não visitado"</f>
        <v>Não visitado</v>
      </c>
    </row>
    <row r="1557" spans="1:75" x14ac:dyDescent="0.35">
      <c r="A1557">
        <v>137776</v>
      </c>
      <c r="B1557" t="str">
        <f t="shared" si="784"/>
        <v>A</v>
      </c>
      <c r="C1557" t="str">
        <f t="shared" si="785"/>
        <v>80</v>
      </c>
      <c r="D1557" t="str">
        <f t="shared" si="777"/>
        <v>11121004</v>
      </c>
      <c r="E1557" t="str">
        <f t="shared" si="778"/>
        <v>121004</v>
      </c>
      <c r="F1557" t="str">
        <f t="shared" si="779"/>
        <v>FABIANA GODOY</v>
      </c>
      <c r="G1557" t="str">
        <f>"11817536000110"</f>
        <v>11817536000110</v>
      </c>
      <c r="H1557" t="str">
        <f>"0"</f>
        <v>0</v>
      </c>
      <c r="I1557" t="str">
        <f t="shared" si="786"/>
        <v>CONTA OPTICA</v>
      </c>
      <c r="J1557" t="str">
        <f>"OTICA E RELOJOALHERIA ROSAR LTDA  ME"</f>
        <v>OTICA E RELOJOALHERIA ROSAR LTDA  ME</v>
      </c>
      <c r="K1557" t="str">
        <f>"OTICA E RELOJOARIA ROSAR LTDA (1734)"</f>
        <v>OTICA E RELOJOARIA ROSAR LTDA (1734)</v>
      </c>
      <c r="L1557" t="str">
        <f>""</f>
        <v/>
      </c>
      <c r="M1557" t="str">
        <f>""</f>
        <v/>
      </c>
      <c r="N1557" t="str">
        <f>"maiconrosar@hotmail.com"</f>
        <v>maiconrosar@hotmail.com</v>
      </c>
      <c r="O1557" t="str">
        <f>""</f>
        <v/>
      </c>
      <c r="P1557" t="str">
        <f>"RUA PRESIDENTE NEREU"</f>
        <v>RUA PRESIDENTE NEREU</v>
      </c>
      <c r="Q1557" t="str">
        <f>"346"</f>
        <v>346</v>
      </c>
      <c r="R1557" t="str">
        <f>"SL 03"</f>
        <v>SL 03</v>
      </c>
      <c r="S1557" t="str">
        <f>"1264"</f>
        <v>1264</v>
      </c>
      <c r="T1557" t="str">
        <f>"88400000"</f>
        <v>88400000</v>
      </c>
      <c r="U1557" t="str">
        <f>"CENTRO"</f>
        <v>CENTRO</v>
      </c>
      <c r="V1557" t="str">
        <f>"ITUPORANGA"</f>
        <v>ITUPORANGA</v>
      </c>
      <c r="W1557" t="str">
        <f t="shared" si="773"/>
        <v>SC</v>
      </c>
      <c r="X1557" t="str">
        <f t="shared" ref="X1557:X1571" si="797">"47"</f>
        <v>47</v>
      </c>
      <c r="Y1557" t="str">
        <f>"35333836"</f>
        <v>35333836</v>
      </c>
      <c r="Z1557" t="str">
        <f>""</f>
        <v/>
      </c>
      <c r="AA1557" t="str">
        <f>""</f>
        <v/>
      </c>
      <c r="AB1557" t="str">
        <f>""</f>
        <v/>
      </c>
      <c r="AC1557" t="str">
        <f>""</f>
        <v/>
      </c>
      <c r="AD1557" t="str">
        <f>""</f>
        <v/>
      </c>
      <c r="AE1557" t="str">
        <f>""</f>
        <v/>
      </c>
      <c r="AF1557" t="str">
        <f>""</f>
        <v/>
      </c>
      <c r="AG1557" t="str">
        <f>"S"</f>
        <v>S</v>
      </c>
      <c r="AH1557" t="str">
        <f>""</f>
        <v/>
      </c>
      <c r="AI1557" t="str">
        <f>""</f>
        <v/>
      </c>
      <c r="AJ1557" t="str">
        <f>""</f>
        <v/>
      </c>
      <c r="AK1557" t="str">
        <f>""</f>
        <v/>
      </c>
      <c r="AL1557" t="str">
        <f>""</f>
        <v/>
      </c>
      <c r="AM1557" t="str">
        <f>""</f>
        <v/>
      </c>
      <c r="AN1557" t="str">
        <f>""</f>
        <v/>
      </c>
      <c r="AO1557" t="str">
        <f>""</f>
        <v/>
      </c>
      <c r="AP1557" t="str">
        <f>""</f>
        <v/>
      </c>
      <c r="AQ1557" t="str">
        <f>"N"</f>
        <v>N</v>
      </c>
      <c r="AR1557" t="str">
        <f>"N"</f>
        <v>N</v>
      </c>
      <c r="AS1557" t="str">
        <f>"N"</f>
        <v>N</v>
      </c>
      <c r="AT1557" t="str">
        <f>"N"</f>
        <v>N</v>
      </c>
      <c r="AU1557" t="str">
        <f>"N"</f>
        <v>N</v>
      </c>
      <c r="AV1557" t="str">
        <f>""</f>
        <v/>
      </c>
      <c r="AW1557" t="str">
        <f>""</f>
        <v/>
      </c>
      <c r="AX1557" t="str">
        <f>""</f>
        <v/>
      </c>
      <c r="AY1557" t="str">
        <f>""</f>
        <v/>
      </c>
      <c r="AZ1557" t="str">
        <f>""</f>
        <v/>
      </c>
      <c r="BA1557" t="str">
        <f>""</f>
        <v/>
      </c>
      <c r="BB1557" t="str">
        <f>"01/07/2021 13:53:04"</f>
        <v>01/07/2021 13:53:04</v>
      </c>
      <c r="BC1557" t="str">
        <f>"04/04/2022 17:52:59"</f>
        <v>04/04/2022 17:52:59</v>
      </c>
      <c r="BD1557" t="str">
        <f>""</f>
        <v/>
      </c>
      <c r="BE1557" t="str">
        <f>""</f>
        <v/>
      </c>
      <c r="BF1557" t="str">
        <f t="shared" si="787"/>
        <v>A</v>
      </c>
      <c r="BG1557" t="str">
        <f>""</f>
        <v/>
      </c>
      <c r="BH1557" t="str">
        <f t="shared" ref="BH1557:BH1565" si="798">"0,00"</f>
        <v>0,00</v>
      </c>
      <c r="BI1557" t="str">
        <f t="shared" si="796"/>
        <v>EVENTUAL</v>
      </c>
      <c r="BJ1557" t="str">
        <f t="shared" si="788"/>
        <v>1</v>
      </c>
      <c r="BK1557" t="str">
        <f t="shared" si="789"/>
        <v>Farmacia</v>
      </c>
      <c r="BL1557" t="str">
        <f>""</f>
        <v/>
      </c>
      <c r="BM1557" t="str">
        <f>"NÃO É VARILUX ESPECIALISTA"</f>
        <v>NÃO É VARILUX ESPECIALISTA</v>
      </c>
      <c r="BN1557" t="str">
        <f>"NA"</f>
        <v>NA</v>
      </c>
      <c r="BO1557" t="str">
        <f>"FOCO KODAK 2"</f>
        <v>FOCO KODAK 2</v>
      </c>
      <c r="BP1557" t="str">
        <f>""</f>
        <v/>
      </c>
      <c r="BQ1557" t="str">
        <f>""</f>
        <v/>
      </c>
      <c r="BR1557" t="str">
        <f>"01/07/2021"</f>
        <v>01/07/2021</v>
      </c>
      <c r="BS1557" t="str">
        <f>"04/04/2022"</f>
        <v>04/04/2022</v>
      </c>
      <c r="BT1557" t="str">
        <f>""</f>
        <v/>
      </c>
      <c r="BU1557" t="str">
        <f>""</f>
        <v/>
      </c>
      <c r="BV1557" t="str">
        <f>""</f>
        <v/>
      </c>
      <c r="BW1557" t="str">
        <f>"30"</f>
        <v>30</v>
      </c>
    </row>
    <row r="1558" spans="1:75" x14ac:dyDescent="0.35">
      <c r="A1558">
        <v>130952</v>
      </c>
      <c r="B1558" t="str">
        <f t="shared" si="784"/>
        <v>A</v>
      </c>
      <c r="C1558" t="str">
        <f t="shared" si="785"/>
        <v>80</v>
      </c>
      <c r="D1558" t="str">
        <f t="shared" si="777"/>
        <v>11121004</v>
      </c>
      <c r="E1558" t="str">
        <f t="shared" si="778"/>
        <v>121004</v>
      </c>
      <c r="F1558" t="str">
        <f t="shared" si="779"/>
        <v>FABIANA GODOY</v>
      </c>
      <c r="G1558" t="str">
        <f>"00075815000130"</f>
        <v>00075815000130</v>
      </c>
      <c r="H1558" t="str">
        <f>""</f>
        <v/>
      </c>
      <c r="I1558" t="str">
        <f t="shared" si="786"/>
        <v>CONTA OPTICA</v>
      </c>
      <c r="J1558" t="str">
        <f>"OTICA E RELOJOARIA MONDINI LTDA"</f>
        <v>OTICA E RELOJOARIA MONDINI LTDA</v>
      </c>
      <c r="K1558" t="str">
        <f>"OTICA E RELOJOARIA MONDINI (172)"</f>
        <v>OTICA E RELOJOARIA MONDINI (172)</v>
      </c>
      <c r="L1558" t="str">
        <f>""</f>
        <v/>
      </c>
      <c r="M1558" t="str">
        <f>""</f>
        <v/>
      </c>
      <c r="N1558" t="str">
        <f>"fernandomondini@hotmail.com"</f>
        <v>fernandomondini@hotmail.com</v>
      </c>
      <c r="O1558" t="str">
        <f>""</f>
        <v/>
      </c>
      <c r="P1558" t="str">
        <f>"RUA 23 DE JULHO"</f>
        <v>RUA 23 DE JULHO</v>
      </c>
      <c r="Q1558" t="str">
        <f>"60"</f>
        <v>60</v>
      </c>
      <c r="R1558" t="str">
        <f>""</f>
        <v/>
      </c>
      <c r="S1558" t="str">
        <f>"1276"</f>
        <v>1276</v>
      </c>
      <c r="T1558" t="str">
        <f>"89172000"</f>
        <v>89172000</v>
      </c>
      <c r="U1558" t="str">
        <f>"PLANALTO"</f>
        <v>PLANALTO</v>
      </c>
      <c r="V1558" t="str">
        <f>"POUSO REDONDO"</f>
        <v>POUSO REDONDO</v>
      </c>
      <c r="W1558" t="str">
        <f t="shared" si="773"/>
        <v>SC</v>
      </c>
      <c r="X1558" t="str">
        <f t="shared" si="797"/>
        <v>47</v>
      </c>
      <c r="Y1558" t="str">
        <f>"35451121"</f>
        <v>35451121</v>
      </c>
      <c r="Z1558" t="str">
        <f>""</f>
        <v/>
      </c>
      <c r="AA1558" t="str">
        <f>""</f>
        <v/>
      </c>
      <c r="AB1558" t="str">
        <f>""</f>
        <v/>
      </c>
      <c r="AC1558" t="str">
        <f>""</f>
        <v/>
      </c>
      <c r="AD1558" t="str">
        <f>""</f>
        <v/>
      </c>
      <c r="AE1558" t="str">
        <f>""</f>
        <v/>
      </c>
      <c r="AF1558" t="str">
        <f>""</f>
        <v/>
      </c>
      <c r="AG1558" t="str">
        <f>""</f>
        <v/>
      </c>
      <c r="AH1558" t="str">
        <f>""</f>
        <v/>
      </c>
      <c r="AI1558" t="str">
        <f>""</f>
        <v/>
      </c>
      <c r="AJ1558" t="str">
        <f>"0"</f>
        <v>0</v>
      </c>
      <c r="AK1558" t="str">
        <f>"0"</f>
        <v>0</v>
      </c>
      <c r="AL1558" t="str">
        <f>"0"</f>
        <v>0</v>
      </c>
      <c r="AM1558" t="str">
        <f>""</f>
        <v/>
      </c>
      <c r="AN1558" t="str">
        <f>""</f>
        <v/>
      </c>
      <c r="AO1558" t="str">
        <f>""</f>
        <v/>
      </c>
      <c r="AP1558" t="str">
        <f>""</f>
        <v/>
      </c>
      <c r="AQ1558" t="str">
        <f>""</f>
        <v/>
      </c>
      <c r="AR1558" t="str">
        <f>""</f>
        <v/>
      </c>
      <c r="AS1558" t="str">
        <f>""</f>
        <v/>
      </c>
      <c r="AT1558" t="str">
        <f>""</f>
        <v/>
      </c>
      <c r="AU1558" t="str">
        <f>""</f>
        <v/>
      </c>
      <c r="AV1558" t="str">
        <f>""</f>
        <v/>
      </c>
      <c r="AW1558" t="str">
        <f>""</f>
        <v/>
      </c>
      <c r="AX1558" t="str">
        <f>""</f>
        <v/>
      </c>
      <c r="AY1558" t="str">
        <f>""</f>
        <v/>
      </c>
      <c r="AZ1558" t="str">
        <f>""</f>
        <v/>
      </c>
      <c r="BA1558" t="str">
        <f>""</f>
        <v/>
      </c>
      <c r="BB1558" t="str">
        <f>""</f>
        <v/>
      </c>
      <c r="BC1558" t="str">
        <f>""</f>
        <v/>
      </c>
      <c r="BD1558" t="str">
        <f>""</f>
        <v/>
      </c>
      <c r="BE1558" t="str">
        <f>""</f>
        <v/>
      </c>
      <c r="BF1558" t="str">
        <f t="shared" si="787"/>
        <v>A</v>
      </c>
      <c r="BG1558" t="str">
        <f>"0,00"</f>
        <v>0,00</v>
      </c>
      <c r="BH1558" t="str">
        <f t="shared" si="798"/>
        <v>0,00</v>
      </c>
      <c r="BI1558" t="str">
        <f t="shared" si="796"/>
        <v>EVENTUAL</v>
      </c>
      <c r="BJ1558" t="str">
        <f t="shared" si="788"/>
        <v>1</v>
      </c>
      <c r="BK1558" t="str">
        <f t="shared" si="789"/>
        <v>Farmacia</v>
      </c>
      <c r="BL1558" t="str">
        <f>""</f>
        <v/>
      </c>
      <c r="BM1558" t="str">
        <f>"NÃO É VARILUX ESPECIALISTA"</f>
        <v>NÃO É VARILUX ESPECIALISTA</v>
      </c>
      <c r="BN1558" t="str">
        <f>"NA"</f>
        <v>NA</v>
      </c>
      <c r="BO1558" t="str">
        <f>"FOCO VARILUX DIGITAL"</f>
        <v>FOCO VARILUX DIGITAL</v>
      </c>
      <c r="BP1558" t="str">
        <f>""</f>
        <v/>
      </c>
      <c r="BQ1558" t="str">
        <f>""</f>
        <v/>
      </c>
      <c r="BR1558" t="str">
        <f>""</f>
        <v/>
      </c>
      <c r="BS1558" t="str">
        <f>""</f>
        <v/>
      </c>
      <c r="BT1558" t="str">
        <f>""</f>
        <v/>
      </c>
      <c r="BU1558" t="str">
        <f>""</f>
        <v/>
      </c>
      <c r="BV1558" t="str">
        <f>"9"</f>
        <v>9</v>
      </c>
      <c r="BW1558" t="str">
        <f>"Não visitado"</f>
        <v>Não visitado</v>
      </c>
    </row>
    <row r="1559" spans="1:75" x14ac:dyDescent="0.35">
      <c r="A1559">
        <v>137778</v>
      </c>
      <c r="B1559" t="str">
        <f t="shared" si="784"/>
        <v>A</v>
      </c>
      <c r="C1559" t="str">
        <f t="shared" si="785"/>
        <v>80</v>
      </c>
      <c r="D1559" t="str">
        <f t="shared" si="777"/>
        <v>11121004</v>
      </c>
      <c r="E1559" t="str">
        <f t="shared" si="778"/>
        <v>121004</v>
      </c>
      <c r="F1559" t="str">
        <f t="shared" si="779"/>
        <v>FABIANA GODOY</v>
      </c>
      <c r="G1559" t="str">
        <f>"85189504000154"</f>
        <v>85189504000154</v>
      </c>
      <c r="H1559" t="str">
        <f>"0"</f>
        <v>0</v>
      </c>
      <c r="I1559" t="str">
        <f t="shared" si="786"/>
        <v>CONTA OPTICA</v>
      </c>
      <c r="J1559" t="str">
        <f>"OTICA E RELOJOARIA RAEDER LTDA - ME"</f>
        <v>OTICA E RELOJOARIA RAEDER LTDA - ME</v>
      </c>
      <c r="K1559" t="str">
        <f>"OTICA E RELOJOARIA READER (388)"</f>
        <v>OTICA E RELOJOARIA READER (388)</v>
      </c>
      <c r="L1559" t="str">
        <f>""</f>
        <v/>
      </c>
      <c r="M1559" t="str">
        <f>""</f>
        <v/>
      </c>
      <c r="N1559" t="str">
        <f>"opticaraeder@yahoo.com.br"</f>
        <v>opticaraeder@yahoo.com.br</v>
      </c>
      <c r="O1559" t="str">
        <f>""</f>
        <v/>
      </c>
      <c r="P1559" t="str">
        <f>"RUA MANOEL VIEIRA GARCAO"</f>
        <v>RUA MANOEL VIEIRA GARCAO</v>
      </c>
      <c r="Q1559" t="str">
        <f>"99"</f>
        <v>99</v>
      </c>
      <c r="R1559" t="str">
        <f>""</f>
        <v/>
      </c>
      <c r="S1559" t="str">
        <f>"1261"</f>
        <v>1261</v>
      </c>
      <c r="T1559" t="str">
        <f>"88301425"</f>
        <v>88301425</v>
      </c>
      <c r="U1559" t="str">
        <f>"CENTRO"</f>
        <v>CENTRO</v>
      </c>
      <c r="V1559" t="str">
        <f>"ITAJAÍ"</f>
        <v>ITAJAÍ</v>
      </c>
      <c r="W1559" t="str">
        <f t="shared" si="773"/>
        <v>SC</v>
      </c>
      <c r="X1559" t="str">
        <f t="shared" si="797"/>
        <v>47</v>
      </c>
      <c r="Y1559" t="str">
        <f>"30456574"</f>
        <v>30456574</v>
      </c>
      <c r="Z1559" t="str">
        <f>""</f>
        <v/>
      </c>
      <c r="AA1559" t="str">
        <f>""</f>
        <v/>
      </c>
      <c r="AB1559" t="str">
        <f>""</f>
        <v/>
      </c>
      <c r="AC1559" t="str">
        <f>""</f>
        <v/>
      </c>
      <c r="AD1559" t="str">
        <f>""</f>
        <v/>
      </c>
      <c r="AE1559" t="str">
        <f>""</f>
        <v/>
      </c>
      <c r="AF1559" t="str">
        <f>""</f>
        <v/>
      </c>
      <c r="AG1559" t="str">
        <f>"S"</f>
        <v>S</v>
      </c>
      <c r="AH1559" t="str">
        <f>""</f>
        <v/>
      </c>
      <c r="AI1559" t="str">
        <f>""</f>
        <v/>
      </c>
      <c r="AJ1559" t="str">
        <f>""</f>
        <v/>
      </c>
      <c r="AK1559" t="str">
        <f>""</f>
        <v/>
      </c>
      <c r="AL1559" t="str">
        <f>""</f>
        <v/>
      </c>
      <c r="AM1559" t="str">
        <f>""</f>
        <v/>
      </c>
      <c r="AN1559" t="str">
        <f>""</f>
        <v/>
      </c>
      <c r="AO1559" t="str">
        <f>""</f>
        <v/>
      </c>
      <c r="AP1559" t="str">
        <f>""</f>
        <v/>
      </c>
      <c r="AQ1559" t="str">
        <f t="shared" ref="AQ1559:AU1561" si="799">"N"</f>
        <v>N</v>
      </c>
      <c r="AR1559" t="str">
        <f t="shared" si="799"/>
        <v>N</v>
      </c>
      <c r="AS1559" t="str">
        <f t="shared" si="799"/>
        <v>N</v>
      </c>
      <c r="AT1559" t="str">
        <f t="shared" si="799"/>
        <v>N</v>
      </c>
      <c r="AU1559" t="str">
        <f t="shared" si="799"/>
        <v>N</v>
      </c>
      <c r="AV1559" t="str">
        <f>""</f>
        <v/>
      </c>
      <c r="AW1559" t="str">
        <f>""</f>
        <v/>
      </c>
      <c r="AX1559" t="str">
        <f>""</f>
        <v/>
      </c>
      <c r="AY1559" t="str">
        <f>""</f>
        <v/>
      </c>
      <c r="AZ1559" t="str">
        <f>""</f>
        <v/>
      </c>
      <c r="BA1559" t="str">
        <f>""</f>
        <v/>
      </c>
      <c r="BB1559" t="str">
        <f>"01/07/2021 13:53:04"</f>
        <v>01/07/2021 13:53:04</v>
      </c>
      <c r="BC1559" t="str">
        <f>"01/11/2021 17:05:15"</f>
        <v>01/11/2021 17:05:15</v>
      </c>
      <c r="BD1559" t="str">
        <f>""</f>
        <v/>
      </c>
      <c r="BE1559" t="str">
        <f>""</f>
        <v/>
      </c>
      <c r="BF1559" t="str">
        <f t="shared" si="787"/>
        <v>A</v>
      </c>
      <c r="BG1559" t="str">
        <f>""</f>
        <v/>
      </c>
      <c r="BH1559" t="str">
        <f t="shared" si="798"/>
        <v>0,00</v>
      </c>
      <c r="BI1559" t="str">
        <f t="shared" si="796"/>
        <v>EVENTUAL</v>
      </c>
      <c r="BJ1559" t="str">
        <f t="shared" si="788"/>
        <v>1</v>
      </c>
      <c r="BK1559" t="str">
        <f t="shared" si="789"/>
        <v>Farmacia</v>
      </c>
      <c r="BL1559" t="str">
        <f>""</f>
        <v/>
      </c>
      <c r="BM1559" t="str">
        <f>"NÃO É VARILUX ESPECIALISTA"</f>
        <v>NÃO É VARILUX ESPECIALISTA</v>
      </c>
      <c r="BN1559" t="str">
        <f>"EL360"</f>
        <v>EL360</v>
      </c>
      <c r="BO1559" t="str">
        <f>"FOCO KODAK 2"</f>
        <v>FOCO KODAK 2</v>
      </c>
      <c r="BP1559" t="str">
        <f>""</f>
        <v/>
      </c>
      <c r="BQ1559" t="str">
        <f>""</f>
        <v/>
      </c>
      <c r="BR1559" t="str">
        <f>"01/07/2021"</f>
        <v>01/07/2021</v>
      </c>
      <c r="BS1559" t="str">
        <f>"01/11/2021"</f>
        <v>01/11/2021</v>
      </c>
      <c r="BT1559" t="str">
        <f>""</f>
        <v/>
      </c>
      <c r="BU1559" t="str">
        <f>""</f>
        <v/>
      </c>
      <c r="BV1559" t="str">
        <f>""</f>
        <v/>
      </c>
      <c r="BW1559" t="str">
        <f>"172"</f>
        <v>172</v>
      </c>
    </row>
    <row r="1560" spans="1:75" x14ac:dyDescent="0.35">
      <c r="A1560">
        <v>137780</v>
      </c>
      <c r="B1560" t="str">
        <f t="shared" si="784"/>
        <v>A</v>
      </c>
      <c r="C1560" t="str">
        <f t="shared" si="785"/>
        <v>80</v>
      </c>
      <c r="D1560" t="str">
        <f t="shared" si="777"/>
        <v>11121004</v>
      </c>
      <c r="E1560" t="str">
        <f t="shared" si="778"/>
        <v>121004</v>
      </c>
      <c r="F1560" t="str">
        <f t="shared" si="779"/>
        <v>FABIANA GODOY</v>
      </c>
      <c r="G1560" t="str">
        <f>"27525919000155"</f>
        <v>27525919000155</v>
      </c>
      <c r="H1560" t="str">
        <f>"0"</f>
        <v>0</v>
      </c>
      <c r="I1560" t="str">
        <f t="shared" si="786"/>
        <v>CONTA OPTICA</v>
      </c>
      <c r="J1560" t="str">
        <f>"OTICA EDU VALENTI LTDA"</f>
        <v>OTICA EDU VALENTI LTDA</v>
      </c>
      <c r="K1560" t="str">
        <f>"OTICA EDU VELENTI (4128)"</f>
        <v>OTICA EDU VELENTI (4128)</v>
      </c>
      <c r="L1560" t="str">
        <f>""</f>
        <v/>
      </c>
      <c r="M1560" t="str">
        <f>""</f>
        <v/>
      </c>
      <c r="N1560" t="str">
        <f>"eduardogtavares6@gmail.com"</f>
        <v>eduardogtavares6@gmail.com</v>
      </c>
      <c r="O1560" t="str">
        <f>""</f>
        <v/>
      </c>
      <c r="P1560" t="str">
        <f>"RUA VICTOR JUVENCIO MAFRA"</f>
        <v>RUA VICTOR JUVENCIO MAFRA</v>
      </c>
      <c r="Q1560" t="str">
        <f>"47"</f>
        <v>47</v>
      </c>
      <c r="R1560" t="str">
        <f>"BOX 20 E 25"</f>
        <v>BOX 20 E 25</v>
      </c>
      <c r="S1560" t="str">
        <f>""</f>
        <v/>
      </c>
      <c r="T1560" t="str">
        <f>"88340233"</f>
        <v>88340233</v>
      </c>
      <c r="U1560" t="str">
        <f>"CENTRO"</f>
        <v>CENTRO</v>
      </c>
      <c r="V1560" t="str">
        <f>"CAMBORIÚ"</f>
        <v>CAMBORIÚ</v>
      </c>
      <c r="W1560" t="str">
        <f t="shared" si="773"/>
        <v>SC</v>
      </c>
      <c r="X1560" t="str">
        <f t="shared" si="797"/>
        <v>47</v>
      </c>
      <c r="Y1560" t="str">
        <f>"33654602"</f>
        <v>33654602</v>
      </c>
      <c r="Z1560" t="str">
        <f>""</f>
        <v/>
      </c>
      <c r="AA1560" t="str">
        <f>""</f>
        <v/>
      </c>
      <c r="AB1560" t="str">
        <f>""</f>
        <v/>
      </c>
      <c r="AC1560" t="str">
        <f>""</f>
        <v/>
      </c>
      <c r="AD1560" t="str">
        <f>""</f>
        <v/>
      </c>
      <c r="AE1560" t="str">
        <f>""</f>
        <v/>
      </c>
      <c r="AF1560" t="str">
        <f>""</f>
        <v/>
      </c>
      <c r="AG1560" t="str">
        <f>"S"</f>
        <v>S</v>
      </c>
      <c r="AH1560" t="str">
        <f>""</f>
        <v/>
      </c>
      <c r="AI1560" t="str">
        <f>""</f>
        <v/>
      </c>
      <c r="AJ1560" t="str">
        <f>""</f>
        <v/>
      </c>
      <c r="AK1560" t="str">
        <f>""</f>
        <v/>
      </c>
      <c r="AL1560" t="str">
        <f>""</f>
        <v/>
      </c>
      <c r="AM1560" t="str">
        <f>""</f>
        <v/>
      </c>
      <c r="AN1560" t="str">
        <f>""</f>
        <v/>
      </c>
      <c r="AO1560" t="str">
        <f>""</f>
        <v/>
      </c>
      <c r="AP1560" t="str">
        <f>""</f>
        <v/>
      </c>
      <c r="AQ1560" t="str">
        <f t="shared" si="799"/>
        <v>N</v>
      </c>
      <c r="AR1560" t="str">
        <f t="shared" si="799"/>
        <v>N</v>
      </c>
      <c r="AS1560" t="str">
        <f t="shared" si="799"/>
        <v>N</v>
      </c>
      <c r="AT1560" t="str">
        <f t="shared" si="799"/>
        <v>N</v>
      </c>
      <c r="AU1560" t="str">
        <f t="shared" si="799"/>
        <v>N</v>
      </c>
      <c r="AV1560" t="str">
        <f>""</f>
        <v/>
      </c>
      <c r="AW1560" t="str">
        <f>""</f>
        <v/>
      </c>
      <c r="AX1560" t="str">
        <f>""</f>
        <v/>
      </c>
      <c r="AY1560" t="str">
        <f>""</f>
        <v/>
      </c>
      <c r="AZ1560" t="str">
        <f>""</f>
        <v/>
      </c>
      <c r="BA1560" t="str">
        <f>""</f>
        <v/>
      </c>
      <c r="BB1560" t="str">
        <f>"01/07/2021 13:53:04"</f>
        <v>01/07/2021 13:53:04</v>
      </c>
      <c r="BC1560" t="str">
        <f>"06/04/2022 17:27:44"</f>
        <v>06/04/2022 17:27:44</v>
      </c>
      <c r="BD1560" t="str">
        <f>""</f>
        <v/>
      </c>
      <c r="BE1560" t="str">
        <f>""</f>
        <v/>
      </c>
      <c r="BF1560" t="str">
        <f t="shared" si="787"/>
        <v>A</v>
      </c>
      <c r="BG1560" t="str">
        <f>""</f>
        <v/>
      </c>
      <c r="BH1560" t="str">
        <f t="shared" si="798"/>
        <v>0,00</v>
      </c>
      <c r="BI1560" t="str">
        <f t="shared" si="796"/>
        <v>EVENTUAL</v>
      </c>
      <c r="BJ1560" t="str">
        <f t="shared" si="788"/>
        <v>1</v>
      </c>
      <c r="BK1560" t="str">
        <f t="shared" si="789"/>
        <v>Farmacia</v>
      </c>
      <c r="BL1560" t="str">
        <f>""</f>
        <v/>
      </c>
      <c r="BM1560" t="str">
        <f>"NÃO É VARILUX ESPECIALISTA"</f>
        <v>NÃO É VARILUX ESPECIALISTA</v>
      </c>
      <c r="BN1560" t="str">
        <f>"NA"</f>
        <v>NA</v>
      </c>
      <c r="BO1560" t="str">
        <f>"FOCO KODAK 2"</f>
        <v>FOCO KODAK 2</v>
      </c>
      <c r="BP1560" t="str">
        <f>""</f>
        <v/>
      </c>
      <c r="BQ1560" t="str">
        <f>""</f>
        <v/>
      </c>
      <c r="BR1560" t="str">
        <f>"01/07/2021"</f>
        <v>01/07/2021</v>
      </c>
      <c r="BS1560" t="str">
        <f>"06/04/2022"</f>
        <v>06/04/2022</v>
      </c>
      <c r="BT1560" t="str">
        <f>""</f>
        <v/>
      </c>
      <c r="BU1560" t="str">
        <f>""</f>
        <v/>
      </c>
      <c r="BV1560" t="str">
        <f>""</f>
        <v/>
      </c>
      <c r="BW1560" t="str">
        <f>"79"</f>
        <v>79</v>
      </c>
    </row>
    <row r="1561" spans="1:75" x14ac:dyDescent="0.35">
      <c r="A1561">
        <v>145041</v>
      </c>
      <c r="B1561" t="str">
        <f t="shared" si="784"/>
        <v>A</v>
      </c>
      <c r="C1561" t="str">
        <f t="shared" si="785"/>
        <v>80</v>
      </c>
      <c r="D1561" t="str">
        <f t="shared" si="777"/>
        <v>11121004</v>
      </c>
      <c r="E1561" t="str">
        <f t="shared" si="778"/>
        <v>121004</v>
      </c>
      <c r="F1561" t="str">
        <f t="shared" si="779"/>
        <v>FABIANA GODOY</v>
      </c>
      <c r="G1561" t="str">
        <f>"27525919000236"</f>
        <v>27525919000236</v>
      </c>
      <c r="H1561" t="str">
        <f>"0"</f>
        <v>0</v>
      </c>
      <c r="I1561" t="str">
        <f t="shared" si="786"/>
        <v>CONTA OPTICA</v>
      </c>
      <c r="J1561" t="str">
        <f>"OTICA EDU VALENTI LTDA"</f>
        <v>OTICA EDU VALENTI LTDA</v>
      </c>
      <c r="K1561" t="str">
        <f>"OTICAS DI VALENTI (4453)"</f>
        <v>OTICAS DI VALENTI (4453)</v>
      </c>
      <c r="L1561" t="str">
        <f>""</f>
        <v/>
      </c>
      <c r="M1561" t="str">
        <f>""</f>
        <v/>
      </c>
      <c r="N1561" t="str">
        <f>"GABRIELFELIPESILVAS@GMAIL.COM"</f>
        <v>GABRIELFELIPESILVAS@GMAIL.COM</v>
      </c>
      <c r="O1561" t="str">
        <f>""</f>
        <v/>
      </c>
      <c r="P1561" t="str">
        <f>"RUA JOSE FRANCISCO BERNARDES"</f>
        <v>RUA JOSE FRANCISCO BERNARDES</v>
      </c>
      <c r="Q1561" t="str">
        <f>"226"</f>
        <v>226</v>
      </c>
      <c r="R1561" t="str">
        <f>""</f>
        <v/>
      </c>
      <c r="S1561" t="str">
        <f>""</f>
        <v/>
      </c>
      <c r="T1561" t="str">
        <f>"88340233"</f>
        <v>88340233</v>
      </c>
      <c r="U1561" t="str">
        <f>"CENTRO"</f>
        <v>CENTRO</v>
      </c>
      <c r="V1561" t="str">
        <f>"CAMBORIÚ"</f>
        <v>CAMBORIÚ</v>
      </c>
      <c r="W1561" t="str">
        <f t="shared" si="773"/>
        <v>SC</v>
      </c>
      <c r="X1561" t="str">
        <f t="shared" si="797"/>
        <v>47</v>
      </c>
      <c r="Y1561" t="str">
        <f>"32691867"</f>
        <v>32691867</v>
      </c>
      <c r="Z1561" t="str">
        <f>""</f>
        <v/>
      </c>
      <c r="AA1561" t="str">
        <f>""</f>
        <v/>
      </c>
      <c r="AB1561" t="str">
        <f>""</f>
        <v/>
      </c>
      <c r="AC1561" t="str">
        <f>""</f>
        <v/>
      </c>
      <c r="AD1561" t="str">
        <f>""</f>
        <v/>
      </c>
      <c r="AE1561" t="str">
        <f>""</f>
        <v/>
      </c>
      <c r="AF1561" t="str">
        <f>""</f>
        <v/>
      </c>
      <c r="AG1561" t="str">
        <f>"S"</f>
        <v>S</v>
      </c>
      <c r="AH1561" t="str">
        <f>""</f>
        <v/>
      </c>
      <c r="AI1561" t="str">
        <f>""</f>
        <v/>
      </c>
      <c r="AJ1561" t="str">
        <f>""</f>
        <v/>
      </c>
      <c r="AK1561" t="str">
        <f>""</f>
        <v/>
      </c>
      <c r="AL1561" t="str">
        <f>""</f>
        <v/>
      </c>
      <c r="AM1561" t="str">
        <f>""</f>
        <v/>
      </c>
      <c r="AN1561" t="str">
        <f>""</f>
        <v/>
      </c>
      <c r="AO1561" t="str">
        <f>""</f>
        <v/>
      </c>
      <c r="AP1561" t="str">
        <f>""</f>
        <v/>
      </c>
      <c r="AQ1561" t="str">
        <f t="shared" si="799"/>
        <v>N</v>
      </c>
      <c r="AR1561" t="str">
        <f t="shared" si="799"/>
        <v>N</v>
      </c>
      <c r="AS1561" t="str">
        <f t="shared" si="799"/>
        <v>N</v>
      </c>
      <c r="AT1561" t="str">
        <f t="shared" si="799"/>
        <v>N</v>
      </c>
      <c r="AU1561" t="str">
        <f t="shared" si="799"/>
        <v>N</v>
      </c>
      <c r="AV1561" t="str">
        <f>""</f>
        <v/>
      </c>
      <c r="AW1561" t="str">
        <f>""</f>
        <v/>
      </c>
      <c r="AX1561" t="str">
        <f>""</f>
        <v/>
      </c>
      <c r="AY1561" t="str">
        <f>""</f>
        <v/>
      </c>
      <c r="AZ1561" t="str">
        <f>""</f>
        <v/>
      </c>
      <c r="BA1561" t="str">
        <f>""</f>
        <v/>
      </c>
      <c r="BB1561" t="str">
        <f>"19/01/2022 14:34:24"</f>
        <v>19/01/2022 14:34:24</v>
      </c>
      <c r="BC1561" t="str">
        <f>"07/07/2023 16:52:20"</f>
        <v>07/07/2023 16:52:20</v>
      </c>
      <c r="BD1561" t="str">
        <f>""</f>
        <v/>
      </c>
      <c r="BE1561" t="str">
        <f>""</f>
        <v/>
      </c>
      <c r="BF1561" t="str">
        <f t="shared" si="787"/>
        <v>A</v>
      </c>
      <c r="BG1561" t="str">
        <f>""</f>
        <v/>
      </c>
      <c r="BH1561" t="str">
        <f t="shared" si="798"/>
        <v>0,00</v>
      </c>
      <c r="BI1561" t="str">
        <f t="shared" si="796"/>
        <v>EVENTUAL</v>
      </c>
      <c r="BJ1561" t="str">
        <f t="shared" si="788"/>
        <v>1</v>
      </c>
      <c r="BK1561" t="str">
        <f t="shared" si="789"/>
        <v>Farmacia</v>
      </c>
      <c r="BL1561" t="str">
        <f>""</f>
        <v/>
      </c>
      <c r="BM1561" t="str">
        <f>""</f>
        <v/>
      </c>
      <c r="BN1561" t="str">
        <f>""</f>
        <v/>
      </c>
      <c r="BO1561" t="str">
        <f>""</f>
        <v/>
      </c>
      <c r="BP1561" t="str">
        <f>""</f>
        <v/>
      </c>
      <c r="BQ1561" t="str">
        <f>""</f>
        <v/>
      </c>
      <c r="BR1561" t="str">
        <f>"19/01/2022"</f>
        <v>19/01/2022</v>
      </c>
      <c r="BS1561" t="str">
        <f>"07/07/2023"</f>
        <v>07/07/2023</v>
      </c>
      <c r="BT1561" t="str">
        <f>""</f>
        <v/>
      </c>
      <c r="BU1561" t="str">
        <f>""</f>
        <v/>
      </c>
      <c r="BV1561" t="str">
        <f>""</f>
        <v/>
      </c>
      <c r="BW1561" t="str">
        <f>"49"</f>
        <v>49</v>
      </c>
    </row>
    <row r="1562" spans="1:75" x14ac:dyDescent="0.35">
      <c r="A1562">
        <v>117464</v>
      </c>
      <c r="B1562" t="str">
        <f t="shared" si="784"/>
        <v>A</v>
      </c>
      <c r="C1562" t="str">
        <f t="shared" si="785"/>
        <v>80</v>
      </c>
      <c r="D1562" t="str">
        <f t="shared" si="777"/>
        <v>11121004</v>
      </c>
      <c r="E1562" t="str">
        <f t="shared" si="778"/>
        <v>121004</v>
      </c>
      <c r="F1562" t="str">
        <f t="shared" si="779"/>
        <v>FABIANA GODOY</v>
      </c>
      <c r="G1562" t="str">
        <f>"09571304000183"</f>
        <v>09571304000183</v>
      </c>
      <c r="H1562" t="str">
        <f>"0"</f>
        <v>0</v>
      </c>
      <c r="I1562" t="str">
        <f t="shared" si="786"/>
        <v>CONTA OPTICA</v>
      </c>
      <c r="J1562" t="str">
        <f>"OTICA EL SHADAY LTDA ME"</f>
        <v>OTICA EL SHADAY LTDA ME</v>
      </c>
      <c r="K1562" t="str">
        <f>"OPTICA EL SHADAY (1431)"</f>
        <v>OPTICA EL SHADAY (1431)</v>
      </c>
      <c r="L1562" t="str">
        <f>""</f>
        <v/>
      </c>
      <c r="M1562" t="str">
        <f>""</f>
        <v/>
      </c>
      <c r="N1562" t="str">
        <f>"comprasopticaelshaday@gmail.com"</f>
        <v>comprasopticaelshaday@gmail.com</v>
      </c>
      <c r="O1562" t="str">
        <f>""</f>
        <v/>
      </c>
      <c r="P1562" t="str">
        <f>"RUA INDAIAL"</f>
        <v>RUA INDAIAL</v>
      </c>
      <c r="Q1562" t="str">
        <f>"951"</f>
        <v>951</v>
      </c>
      <c r="R1562" t="str">
        <f>"SALA 03"</f>
        <v>SALA 03</v>
      </c>
      <c r="S1562" t="str">
        <f>"1261"</f>
        <v>1261</v>
      </c>
      <c r="T1562" t="str">
        <f>"88320000"</f>
        <v>88320000</v>
      </c>
      <c r="U1562" t="str">
        <f>"SAO JUDAS"</f>
        <v>SAO JUDAS</v>
      </c>
      <c r="V1562" t="str">
        <f>"ILHOTA"</f>
        <v>ILHOTA</v>
      </c>
      <c r="W1562" t="str">
        <f t="shared" si="773"/>
        <v>SC</v>
      </c>
      <c r="X1562" t="str">
        <f t="shared" si="797"/>
        <v>47</v>
      </c>
      <c r="Y1562" t="str">
        <f>"30455519"</f>
        <v>30455519</v>
      </c>
      <c r="Z1562" t="str">
        <f>""</f>
        <v/>
      </c>
      <c r="AA1562" t="str">
        <f>""</f>
        <v/>
      </c>
      <c r="AB1562" t="str">
        <f>""</f>
        <v/>
      </c>
      <c r="AC1562" t="str">
        <f>""</f>
        <v/>
      </c>
      <c r="AD1562" t="str">
        <f>""</f>
        <v/>
      </c>
      <c r="AE1562" t="str">
        <f>""</f>
        <v/>
      </c>
      <c r="AF1562" t="str">
        <f>""</f>
        <v/>
      </c>
      <c r="AG1562" t="str">
        <f>""</f>
        <v/>
      </c>
      <c r="AH1562" t="str">
        <f>""</f>
        <v/>
      </c>
      <c r="AI1562" t="str">
        <f>""</f>
        <v/>
      </c>
      <c r="AJ1562" t="str">
        <f t="shared" ref="AJ1562:AL1563" si="800">"0"</f>
        <v>0</v>
      </c>
      <c r="AK1562" t="str">
        <f t="shared" si="800"/>
        <v>0</v>
      </c>
      <c r="AL1562" t="str">
        <f t="shared" si="800"/>
        <v>0</v>
      </c>
      <c r="AM1562" t="str">
        <f>""</f>
        <v/>
      </c>
      <c r="AN1562" t="str">
        <f>""</f>
        <v/>
      </c>
      <c r="AO1562" t="str">
        <f>""</f>
        <v/>
      </c>
      <c r="AP1562" t="str">
        <f>""</f>
        <v/>
      </c>
      <c r="AQ1562" t="str">
        <f>""</f>
        <v/>
      </c>
      <c r="AR1562" t="str">
        <f>""</f>
        <v/>
      </c>
      <c r="AS1562" t="str">
        <f>""</f>
        <v/>
      </c>
      <c r="AT1562" t="str">
        <f>""</f>
        <v/>
      </c>
      <c r="AU1562" t="str">
        <f>""</f>
        <v/>
      </c>
      <c r="AV1562" t="str">
        <f>""</f>
        <v/>
      </c>
      <c r="AW1562" t="str">
        <f>""</f>
        <v/>
      </c>
      <c r="AX1562" t="str">
        <f>""</f>
        <v/>
      </c>
      <c r="AY1562" t="str">
        <f>""</f>
        <v/>
      </c>
      <c r="AZ1562" t="str">
        <f>""</f>
        <v/>
      </c>
      <c r="BA1562" t="str">
        <f>""</f>
        <v/>
      </c>
      <c r="BB1562" t="str">
        <f>"22/07/2020 08:24:23"</f>
        <v>22/07/2020 08:24:23</v>
      </c>
      <c r="BC1562" t="str">
        <f>""</f>
        <v/>
      </c>
      <c r="BD1562" t="str">
        <f>""</f>
        <v/>
      </c>
      <c r="BE1562" t="str">
        <f>""</f>
        <v/>
      </c>
      <c r="BF1562" t="str">
        <f t="shared" si="787"/>
        <v>A</v>
      </c>
      <c r="BG1562" t="str">
        <f>"0,00"</f>
        <v>0,00</v>
      </c>
      <c r="BH1562" t="str">
        <f t="shared" si="798"/>
        <v>0,00</v>
      </c>
      <c r="BI1562" t="str">
        <f t="shared" si="796"/>
        <v>EVENTUAL</v>
      </c>
      <c r="BJ1562" t="str">
        <f t="shared" si="788"/>
        <v>1</v>
      </c>
      <c r="BK1562" t="str">
        <f t="shared" si="789"/>
        <v>Farmacia</v>
      </c>
      <c r="BL1562" t="str">
        <f>""</f>
        <v/>
      </c>
      <c r="BM1562" t="str">
        <f>"NÃO É VARILUX ESPECIALISTA"</f>
        <v>NÃO É VARILUX ESPECIALISTA</v>
      </c>
      <c r="BN1562" t="str">
        <f>"NA"</f>
        <v>NA</v>
      </c>
      <c r="BO1562" t="str">
        <f>"FOCO KODAK 2"</f>
        <v>FOCO KODAK 2</v>
      </c>
      <c r="BP1562" t="str">
        <f>""</f>
        <v/>
      </c>
      <c r="BQ1562" t="str">
        <f>""</f>
        <v/>
      </c>
      <c r="BR1562" t="str">
        <f>"22/07/2020"</f>
        <v>22/07/2020</v>
      </c>
      <c r="BS1562" t="str">
        <f>""</f>
        <v/>
      </c>
      <c r="BT1562" t="str">
        <f>""</f>
        <v/>
      </c>
      <c r="BU1562" t="str">
        <f>""</f>
        <v/>
      </c>
      <c r="BV1562" t="str">
        <f>"6"</f>
        <v>6</v>
      </c>
      <c r="BW1562" t="str">
        <f>"Não visitado"</f>
        <v>Não visitado</v>
      </c>
    </row>
    <row r="1563" spans="1:75" x14ac:dyDescent="0.35">
      <c r="A1563">
        <v>1241</v>
      </c>
      <c r="B1563" t="str">
        <f t="shared" si="784"/>
        <v>A</v>
      </c>
      <c r="C1563" t="str">
        <f t="shared" si="785"/>
        <v>80</v>
      </c>
      <c r="D1563" t="str">
        <f t="shared" si="777"/>
        <v>11121004</v>
      </c>
      <c r="E1563" t="str">
        <f t="shared" si="778"/>
        <v>121004</v>
      </c>
      <c r="F1563" t="str">
        <f t="shared" si="779"/>
        <v>FABIANA GODOY</v>
      </c>
      <c r="G1563" t="str">
        <f>"02036031000128"</f>
        <v>02036031000128</v>
      </c>
      <c r="H1563" t="str">
        <f>""</f>
        <v/>
      </c>
      <c r="I1563" t="str">
        <f t="shared" si="786"/>
        <v>CONTA OPTICA</v>
      </c>
      <c r="J1563" t="str">
        <f>"OTICA ELEGANCE LTDA"</f>
        <v>OTICA ELEGANCE LTDA</v>
      </c>
      <c r="K1563" t="str">
        <f>"OTICA ELEGANCE (1050)"</f>
        <v>OTICA ELEGANCE (1050)</v>
      </c>
      <c r="L1563" t="str">
        <f>""</f>
        <v/>
      </c>
      <c r="M1563" t="str">
        <f>""</f>
        <v/>
      </c>
      <c r="N1563" t="str">
        <f>"oticaeleganceltda@hotmail.com"</f>
        <v>oticaeleganceltda@hotmail.com</v>
      </c>
      <c r="O1563" t="str">
        <f>""</f>
        <v/>
      </c>
      <c r="P1563" t="str">
        <f>"RUA QUINZE DE NOVEMBRO"</f>
        <v>RUA QUINZE DE NOVEMBRO</v>
      </c>
      <c r="Q1563" t="str">
        <f>"597"</f>
        <v>597</v>
      </c>
      <c r="R1563" t="str">
        <f>""</f>
        <v/>
      </c>
      <c r="S1563" t="str">
        <f>"1271"</f>
        <v>1271</v>
      </c>
      <c r="T1563" t="str">
        <f>"89010001"</f>
        <v>89010001</v>
      </c>
      <c r="U1563" t="str">
        <f>"CENTRO"</f>
        <v>CENTRO</v>
      </c>
      <c r="V1563" t="str">
        <f>"BLUMENAU"</f>
        <v>BLUMENAU</v>
      </c>
      <c r="W1563" t="str">
        <f t="shared" si="773"/>
        <v>SC</v>
      </c>
      <c r="X1563" t="str">
        <f t="shared" si="797"/>
        <v>47</v>
      </c>
      <c r="Y1563" t="str">
        <f>"33220182"</f>
        <v>33220182</v>
      </c>
      <c r="Z1563" t="str">
        <f>""</f>
        <v/>
      </c>
      <c r="AA1563" t="str">
        <f>""</f>
        <v/>
      </c>
      <c r="AB1563" t="str">
        <f>""</f>
        <v/>
      </c>
      <c r="AC1563" t="str">
        <f>""</f>
        <v/>
      </c>
      <c r="AD1563" t="str">
        <f>""</f>
        <v/>
      </c>
      <c r="AE1563" t="str">
        <f>""</f>
        <v/>
      </c>
      <c r="AF1563" t="str">
        <f>""</f>
        <v/>
      </c>
      <c r="AG1563" t="str">
        <f>"S"</f>
        <v>S</v>
      </c>
      <c r="AH1563" t="str">
        <f>""</f>
        <v/>
      </c>
      <c r="AI1563" t="str">
        <f>""</f>
        <v/>
      </c>
      <c r="AJ1563" t="str">
        <f t="shared" si="800"/>
        <v>0</v>
      </c>
      <c r="AK1563" t="str">
        <f t="shared" si="800"/>
        <v>0</v>
      </c>
      <c r="AL1563" t="str">
        <f t="shared" si="800"/>
        <v>0</v>
      </c>
      <c r="AM1563" t="str">
        <f>""</f>
        <v/>
      </c>
      <c r="AN1563" t="str">
        <f>""</f>
        <v/>
      </c>
      <c r="AO1563" t="str">
        <f>""</f>
        <v/>
      </c>
      <c r="AP1563" t="str">
        <f>""</f>
        <v/>
      </c>
      <c r="AQ1563" t="str">
        <f t="shared" ref="AQ1563:AU1565" si="801">"N"</f>
        <v>N</v>
      </c>
      <c r="AR1563" t="str">
        <f t="shared" si="801"/>
        <v>N</v>
      </c>
      <c r="AS1563" t="str">
        <f t="shared" si="801"/>
        <v>N</v>
      </c>
      <c r="AT1563" t="str">
        <f t="shared" si="801"/>
        <v>N</v>
      </c>
      <c r="AU1563" t="str">
        <f t="shared" si="801"/>
        <v>N</v>
      </c>
      <c r="AV1563" t="str">
        <f>""</f>
        <v/>
      </c>
      <c r="AW1563" t="str">
        <f>""</f>
        <v/>
      </c>
      <c r="AX1563" t="str">
        <f>""</f>
        <v/>
      </c>
      <c r="AY1563" t="str">
        <f>""</f>
        <v/>
      </c>
      <c r="AZ1563" t="str">
        <f>""</f>
        <v/>
      </c>
      <c r="BA1563" t="str">
        <f>""</f>
        <v/>
      </c>
      <c r="BB1563" t="str">
        <f>"27/07/2018 09:26:11"</f>
        <v>27/07/2018 09:26:11</v>
      </c>
      <c r="BC1563" t="str">
        <f>"17/07/2023 17:50:42"</f>
        <v>17/07/2023 17:50:42</v>
      </c>
      <c r="BD1563" t="str">
        <f>""</f>
        <v/>
      </c>
      <c r="BE1563" t="str">
        <f>"1241"</f>
        <v>1241</v>
      </c>
      <c r="BF1563" t="str">
        <f t="shared" si="787"/>
        <v>A</v>
      </c>
      <c r="BG1563" t="str">
        <f>"0,00"</f>
        <v>0,00</v>
      </c>
      <c r="BH1563" t="str">
        <f t="shared" si="798"/>
        <v>0,00</v>
      </c>
      <c r="BI1563" t="str">
        <f>"MENSAL"</f>
        <v>MENSAL</v>
      </c>
      <c r="BJ1563" t="str">
        <f t="shared" si="788"/>
        <v>1</v>
      </c>
      <c r="BK1563" t="str">
        <f t="shared" si="789"/>
        <v>Farmacia</v>
      </c>
      <c r="BL1563" t="str">
        <f>""</f>
        <v/>
      </c>
      <c r="BM1563" t="str">
        <f>"VARILUX ESPECIALISTA SELECT"</f>
        <v>VARILUX ESPECIALISTA SELECT</v>
      </c>
      <c r="BN1563" t="str">
        <f>"NA"</f>
        <v>NA</v>
      </c>
      <c r="BO1563" t="str">
        <f>"FOCO VARILUX"</f>
        <v>FOCO VARILUX</v>
      </c>
      <c r="BP1563" t="str">
        <f>""</f>
        <v/>
      </c>
      <c r="BQ1563" t="str">
        <f>""</f>
        <v/>
      </c>
      <c r="BR1563" t="str">
        <f>"27/07/2018"</f>
        <v>27/07/2018</v>
      </c>
      <c r="BS1563" t="str">
        <f>"17/07/2023"</f>
        <v>17/07/2023</v>
      </c>
      <c r="BT1563" t="str">
        <f>""</f>
        <v/>
      </c>
      <c r="BU1563" t="str">
        <f>""</f>
        <v/>
      </c>
      <c r="BV1563" t="str">
        <f>"5"</f>
        <v>5</v>
      </c>
      <c r="BW1563" t="str">
        <f>"1"</f>
        <v>1</v>
      </c>
    </row>
    <row r="1564" spans="1:75" x14ac:dyDescent="0.35">
      <c r="A1564">
        <v>137783</v>
      </c>
      <c r="B1564" t="str">
        <f t="shared" si="784"/>
        <v>A</v>
      </c>
      <c r="C1564" t="str">
        <f t="shared" si="785"/>
        <v>80</v>
      </c>
      <c r="D1564" t="str">
        <f t="shared" si="777"/>
        <v>11121004</v>
      </c>
      <c r="E1564" t="str">
        <f t="shared" si="778"/>
        <v>121004</v>
      </c>
      <c r="F1564" t="str">
        <f t="shared" si="779"/>
        <v>FABIANA GODOY</v>
      </c>
      <c r="G1564" t="str">
        <f>"18668936000150"</f>
        <v>18668936000150</v>
      </c>
      <c r="H1564" t="str">
        <f t="shared" ref="H1564:H1580" si="802">"0"</f>
        <v>0</v>
      </c>
      <c r="I1564" t="str">
        <f t="shared" si="786"/>
        <v>CONTA OPTICA</v>
      </c>
      <c r="J1564" t="str">
        <f>"OTICA ENCANTO COMERCIO DE OCULOS LTDA ME"</f>
        <v>OTICA ENCANTO COMERCIO DE OCULOS LTDA ME</v>
      </c>
      <c r="K1564" t="str">
        <f>"OTICA ENCANTO (2060)"</f>
        <v>OTICA ENCANTO (2060)</v>
      </c>
      <c r="L1564" t="str">
        <f>""</f>
        <v/>
      </c>
      <c r="M1564" t="str">
        <f>""</f>
        <v/>
      </c>
      <c r="N1564" t="str">
        <f>"sinaradevitte@hotmail.com"</f>
        <v>sinaradevitte@hotmail.com</v>
      </c>
      <c r="O1564" t="str">
        <f>""</f>
        <v/>
      </c>
      <c r="P1564" t="str">
        <f>"RUA VEREADOR MANOEL JOSE DOS SANTOS"</f>
        <v>RUA VEREADOR MANOEL JOSE DOS SANTOS</v>
      </c>
      <c r="Q1564" t="str">
        <f>"1241"</f>
        <v>1241</v>
      </c>
      <c r="R1564" t="str">
        <f>"SALA 5"</f>
        <v>SALA 5</v>
      </c>
      <c r="S1564" t="str">
        <f>"1260"</f>
        <v>1260</v>
      </c>
      <c r="T1564" t="str">
        <f>"88215000"</f>
        <v>88215000</v>
      </c>
      <c r="U1564" t="str">
        <f>"CENTRO"</f>
        <v>CENTRO</v>
      </c>
      <c r="V1564" t="str">
        <f>"BOMBINHAS"</f>
        <v>BOMBINHAS</v>
      </c>
      <c r="W1564" t="str">
        <f t="shared" si="773"/>
        <v>SC</v>
      </c>
      <c r="X1564" t="str">
        <f t="shared" si="797"/>
        <v>47</v>
      </c>
      <c r="Y1564" t="str">
        <f>"32649307"</f>
        <v>32649307</v>
      </c>
      <c r="Z1564" t="str">
        <f>""</f>
        <v/>
      </c>
      <c r="AA1564" t="str">
        <f>""</f>
        <v/>
      </c>
      <c r="AB1564" t="str">
        <f>""</f>
        <v/>
      </c>
      <c r="AC1564" t="str">
        <f>""</f>
        <v/>
      </c>
      <c r="AD1564" t="str">
        <f>""</f>
        <v/>
      </c>
      <c r="AE1564" t="str">
        <f>""</f>
        <v/>
      </c>
      <c r="AF1564" t="str">
        <f>""</f>
        <v/>
      </c>
      <c r="AG1564" t="str">
        <f>"S"</f>
        <v>S</v>
      </c>
      <c r="AH1564" t="str">
        <f>""</f>
        <v/>
      </c>
      <c r="AI1564" t="str">
        <f>""</f>
        <v/>
      </c>
      <c r="AJ1564" t="str">
        <f>""</f>
        <v/>
      </c>
      <c r="AK1564" t="str">
        <f>""</f>
        <v/>
      </c>
      <c r="AL1564" t="str">
        <f>""</f>
        <v/>
      </c>
      <c r="AM1564" t="str">
        <f>""</f>
        <v/>
      </c>
      <c r="AN1564" t="str">
        <f>""</f>
        <v/>
      </c>
      <c r="AO1564" t="str">
        <f>""</f>
        <v/>
      </c>
      <c r="AP1564" t="str">
        <f>""</f>
        <v/>
      </c>
      <c r="AQ1564" t="str">
        <f t="shared" si="801"/>
        <v>N</v>
      </c>
      <c r="AR1564" t="str">
        <f t="shared" si="801"/>
        <v>N</v>
      </c>
      <c r="AS1564" t="str">
        <f t="shared" si="801"/>
        <v>N</v>
      </c>
      <c r="AT1564" t="str">
        <f t="shared" si="801"/>
        <v>N</v>
      </c>
      <c r="AU1564" t="str">
        <f t="shared" si="801"/>
        <v>N</v>
      </c>
      <c r="AV1564" t="str">
        <f>""</f>
        <v/>
      </c>
      <c r="AW1564" t="str">
        <f>""</f>
        <v/>
      </c>
      <c r="AX1564" t="str">
        <f>""</f>
        <v/>
      </c>
      <c r="AY1564" t="str">
        <f>""</f>
        <v/>
      </c>
      <c r="AZ1564" t="str">
        <f>""</f>
        <v/>
      </c>
      <c r="BA1564" t="str">
        <f>""</f>
        <v/>
      </c>
      <c r="BB1564" t="str">
        <f>"01/07/2021 13:53:04"</f>
        <v>01/07/2021 13:53:04</v>
      </c>
      <c r="BC1564" t="str">
        <f>"25/07/2022 17:24:57"</f>
        <v>25/07/2022 17:24:57</v>
      </c>
      <c r="BD1564" t="str">
        <f>""</f>
        <v/>
      </c>
      <c r="BE1564" t="str">
        <f>""</f>
        <v/>
      </c>
      <c r="BF1564" t="str">
        <f t="shared" si="787"/>
        <v>A</v>
      </c>
      <c r="BG1564" t="str">
        <f>""</f>
        <v/>
      </c>
      <c r="BH1564" t="str">
        <f t="shared" si="798"/>
        <v>0,00</v>
      </c>
      <c r="BI1564" t="str">
        <f>"EVENTUAL"</f>
        <v>EVENTUAL</v>
      </c>
      <c r="BJ1564" t="str">
        <f t="shared" si="788"/>
        <v>1</v>
      </c>
      <c r="BK1564" t="str">
        <f t="shared" si="789"/>
        <v>Farmacia</v>
      </c>
      <c r="BL1564" t="str">
        <f>""</f>
        <v/>
      </c>
      <c r="BM1564" t="str">
        <f>"NÃO É VARILUX ESPECIALISTA"</f>
        <v>NÃO É VARILUX ESPECIALISTA</v>
      </c>
      <c r="BN1564" t="str">
        <f>"NA"</f>
        <v>NA</v>
      </c>
      <c r="BO1564" t="str">
        <f>"OUTROS"</f>
        <v>OUTROS</v>
      </c>
      <c r="BP1564" t="str">
        <f>""</f>
        <v/>
      </c>
      <c r="BQ1564" t="str">
        <f>""</f>
        <v/>
      </c>
      <c r="BR1564" t="str">
        <f>"01/07/2021"</f>
        <v>01/07/2021</v>
      </c>
      <c r="BS1564" t="str">
        <f>"25/07/2022"</f>
        <v>25/07/2022</v>
      </c>
      <c r="BT1564" t="str">
        <f>""</f>
        <v/>
      </c>
      <c r="BU1564" t="str">
        <f>""</f>
        <v/>
      </c>
      <c r="BV1564" t="str">
        <f>""</f>
        <v/>
      </c>
      <c r="BW1564" t="str">
        <f>"842"</f>
        <v>842</v>
      </c>
    </row>
    <row r="1565" spans="1:75" x14ac:dyDescent="0.35">
      <c r="A1565">
        <v>137784</v>
      </c>
      <c r="B1565" t="str">
        <f t="shared" si="784"/>
        <v>A</v>
      </c>
      <c r="C1565" t="str">
        <f t="shared" si="785"/>
        <v>80</v>
      </c>
      <c r="D1565" t="str">
        <f t="shared" si="777"/>
        <v>11121004</v>
      </c>
      <c r="E1565" t="str">
        <f t="shared" si="778"/>
        <v>121004</v>
      </c>
      <c r="F1565" t="str">
        <f t="shared" si="779"/>
        <v>FABIANA GODOY</v>
      </c>
      <c r="G1565" t="str">
        <f>"24264154000159"</f>
        <v>24264154000159</v>
      </c>
      <c r="H1565" t="str">
        <f t="shared" si="802"/>
        <v>0</v>
      </c>
      <c r="I1565" t="str">
        <f t="shared" si="786"/>
        <v>CONTA OPTICA</v>
      </c>
      <c r="J1565" t="str">
        <f>"OTICA ESTEFANO LTDA"</f>
        <v>OTICA ESTEFANO LTDA</v>
      </c>
      <c r="K1565" t="str">
        <f>"OTICA ESTEFANO (4276)"</f>
        <v>OTICA ESTEFANO (4276)</v>
      </c>
      <c r="L1565" t="str">
        <f>""</f>
        <v/>
      </c>
      <c r="M1565" t="str">
        <f>""</f>
        <v/>
      </c>
      <c r="N1565" t="str">
        <f>"OTICAESTEFANO@HOTMAIL.COM"</f>
        <v>OTICAESTEFANO@HOTMAIL.COM</v>
      </c>
      <c r="O1565" t="str">
        <f>""</f>
        <v/>
      </c>
      <c r="P1565" t="str">
        <f>"RUA ESTEFANO JOSE VANOLLI"</f>
        <v>RUA ESTEFANO JOSE VANOLLI</v>
      </c>
      <c r="Q1565" t="str">
        <f>"926"</f>
        <v>926</v>
      </c>
      <c r="R1565" t="str">
        <f>"SALA 02"</f>
        <v>SALA 02</v>
      </c>
      <c r="S1565" t="str">
        <f>"1261"</f>
        <v>1261</v>
      </c>
      <c r="T1565" t="str">
        <f>"88309202"</f>
        <v>88309202</v>
      </c>
      <c r="U1565" t="str">
        <f>"SAO VICENTE"</f>
        <v>SAO VICENTE</v>
      </c>
      <c r="V1565" t="str">
        <f>"ITAJAÍ"</f>
        <v>ITAJAÍ</v>
      </c>
      <c r="W1565" t="str">
        <f t="shared" si="773"/>
        <v>SC</v>
      </c>
      <c r="X1565" t="str">
        <f t="shared" si="797"/>
        <v>47</v>
      </c>
      <c r="Y1565" t="str">
        <f>"30837191"</f>
        <v>30837191</v>
      </c>
      <c r="Z1565" t="str">
        <f>""</f>
        <v/>
      </c>
      <c r="AA1565" t="str">
        <f>""</f>
        <v/>
      </c>
      <c r="AB1565" t="str">
        <f>""</f>
        <v/>
      </c>
      <c r="AC1565" t="str">
        <f>""</f>
        <v/>
      </c>
      <c r="AD1565" t="str">
        <f>""</f>
        <v/>
      </c>
      <c r="AE1565" t="str">
        <f>""</f>
        <v/>
      </c>
      <c r="AF1565" t="str">
        <f>""</f>
        <v/>
      </c>
      <c r="AG1565" t="str">
        <f>"S"</f>
        <v>S</v>
      </c>
      <c r="AH1565" t="str">
        <f>""</f>
        <v/>
      </c>
      <c r="AI1565" t="str">
        <f>""</f>
        <v/>
      </c>
      <c r="AJ1565" t="str">
        <f>""</f>
        <v/>
      </c>
      <c r="AK1565" t="str">
        <f>""</f>
        <v/>
      </c>
      <c r="AL1565" t="str">
        <f>""</f>
        <v/>
      </c>
      <c r="AM1565" t="str">
        <f>""</f>
        <v/>
      </c>
      <c r="AN1565" t="str">
        <f>""</f>
        <v/>
      </c>
      <c r="AO1565" t="str">
        <f>""</f>
        <v/>
      </c>
      <c r="AP1565" t="str">
        <f>""</f>
        <v/>
      </c>
      <c r="AQ1565" t="str">
        <f t="shared" si="801"/>
        <v>N</v>
      </c>
      <c r="AR1565" t="str">
        <f t="shared" si="801"/>
        <v>N</v>
      </c>
      <c r="AS1565" t="str">
        <f t="shared" si="801"/>
        <v>N</v>
      </c>
      <c r="AT1565" t="str">
        <f t="shared" si="801"/>
        <v>N</v>
      </c>
      <c r="AU1565" t="str">
        <f t="shared" si="801"/>
        <v>N</v>
      </c>
      <c r="AV1565" t="str">
        <f>""</f>
        <v/>
      </c>
      <c r="AW1565" t="str">
        <f>""</f>
        <v/>
      </c>
      <c r="AX1565" t="str">
        <f>""</f>
        <v/>
      </c>
      <c r="AY1565" t="str">
        <f>""</f>
        <v/>
      </c>
      <c r="AZ1565" t="str">
        <f>""</f>
        <v/>
      </c>
      <c r="BA1565" t="str">
        <f>""</f>
        <v/>
      </c>
      <c r="BB1565" t="str">
        <f>"01/07/2021 13:53:04"</f>
        <v>01/07/2021 13:53:04</v>
      </c>
      <c r="BC1565" t="str">
        <f>"15/12/2022 16:55:38"</f>
        <v>15/12/2022 16:55:38</v>
      </c>
      <c r="BD1565" t="str">
        <f>""</f>
        <v/>
      </c>
      <c r="BE1565" t="str">
        <f>""</f>
        <v/>
      </c>
      <c r="BF1565" t="str">
        <f t="shared" si="787"/>
        <v>A</v>
      </c>
      <c r="BG1565" t="str">
        <f>""</f>
        <v/>
      </c>
      <c r="BH1565" t="str">
        <f t="shared" si="798"/>
        <v>0,00</v>
      </c>
      <c r="BI1565" t="str">
        <f>"EVENTUAL"</f>
        <v>EVENTUAL</v>
      </c>
      <c r="BJ1565" t="str">
        <f t="shared" si="788"/>
        <v>1</v>
      </c>
      <c r="BK1565" t="str">
        <f t="shared" si="789"/>
        <v>Farmacia</v>
      </c>
      <c r="BL1565" t="str">
        <f>""</f>
        <v/>
      </c>
      <c r="BM1565" t="str">
        <f>"NÃO É VARILUX ESPECIALISTA"</f>
        <v>NÃO É VARILUX ESPECIALISTA</v>
      </c>
      <c r="BN1565" t="str">
        <f>"NA"</f>
        <v>NA</v>
      </c>
      <c r="BO1565" t="str">
        <f>""</f>
        <v/>
      </c>
      <c r="BP1565" t="str">
        <f>""</f>
        <v/>
      </c>
      <c r="BQ1565" t="str">
        <f>""</f>
        <v/>
      </c>
      <c r="BR1565" t="str">
        <f>"01/07/2021"</f>
        <v>01/07/2021</v>
      </c>
      <c r="BS1565" t="str">
        <f>"15/12/2022"</f>
        <v>15/12/2022</v>
      </c>
      <c r="BT1565" t="str">
        <f>""</f>
        <v/>
      </c>
      <c r="BU1565" t="str">
        <f>""</f>
        <v/>
      </c>
      <c r="BV1565" t="str">
        <f>""</f>
        <v/>
      </c>
      <c r="BW1565" t="str">
        <f>"407"</f>
        <v>407</v>
      </c>
    </row>
    <row r="1566" spans="1:75" x14ac:dyDescent="0.35">
      <c r="A1566">
        <v>127630</v>
      </c>
      <c r="B1566" t="str">
        <f t="shared" si="784"/>
        <v>A</v>
      </c>
      <c r="C1566" t="str">
        <f t="shared" si="785"/>
        <v>80</v>
      </c>
      <c r="D1566" t="str">
        <f t="shared" si="777"/>
        <v>11121004</v>
      </c>
      <c r="E1566" t="str">
        <f t="shared" si="778"/>
        <v>121004</v>
      </c>
      <c r="F1566" t="str">
        <f t="shared" si="779"/>
        <v>FABIANA GODOY</v>
      </c>
      <c r="G1566" t="str">
        <f>"02359110000250"</f>
        <v>02359110000250</v>
      </c>
      <c r="H1566" t="str">
        <f t="shared" si="802"/>
        <v>0</v>
      </c>
      <c r="I1566" t="str">
        <f t="shared" si="786"/>
        <v>CONTA OPTICA</v>
      </c>
      <c r="J1566" t="str">
        <f>"OTICA EVIDENCE LTDA"</f>
        <v>OTICA EVIDENCE LTDA</v>
      </c>
      <c r="K1566" t="str">
        <f>"OTICA EVIDENCE (1385)"</f>
        <v>OTICA EVIDENCE (1385)</v>
      </c>
      <c r="L1566" t="str">
        <f>""</f>
        <v/>
      </c>
      <c r="M1566" t="str">
        <f>""</f>
        <v/>
      </c>
      <c r="N1566" t="str">
        <f>"contato@oticamomm.com.br"</f>
        <v>contato@oticamomm.com.br</v>
      </c>
      <c r="O1566" t="str">
        <f>""</f>
        <v/>
      </c>
      <c r="P1566" t="str">
        <f>"AVENIDA GETULIO VARGAS"</f>
        <v>AVENIDA GETULIO VARGAS</v>
      </c>
      <c r="Q1566" t="str">
        <f>"101"</f>
        <v>101</v>
      </c>
      <c r="R1566" t="str">
        <f>"SALA 04"</f>
        <v>SALA 04</v>
      </c>
      <c r="S1566" t="str">
        <f>"1275"</f>
        <v>1275</v>
      </c>
      <c r="T1566" t="str">
        <f>"89130000"</f>
        <v>89130000</v>
      </c>
      <c r="U1566" t="str">
        <f>"CENTRO"</f>
        <v>CENTRO</v>
      </c>
      <c r="V1566" t="str">
        <f>"INDAIAL"</f>
        <v>INDAIAL</v>
      </c>
      <c r="W1566" t="str">
        <f t="shared" si="773"/>
        <v>SC</v>
      </c>
      <c r="X1566" t="str">
        <f t="shared" si="797"/>
        <v>47</v>
      </c>
      <c r="Y1566" t="str">
        <f>"33338889"</f>
        <v>33338889</v>
      </c>
      <c r="Z1566" t="str">
        <f>""</f>
        <v/>
      </c>
      <c r="AA1566" t="str">
        <f>""</f>
        <v/>
      </c>
      <c r="AB1566" t="str">
        <f>""</f>
        <v/>
      </c>
      <c r="AC1566" t="str">
        <f>""</f>
        <v/>
      </c>
      <c r="AD1566" t="str">
        <f>""</f>
        <v/>
      </c>
      <c r="AE1566" t="str">
        <f>""</f>
        <v/>
      </c>
      <c r="AF1566" t="str">
        <f>""</f>
        <v/>
      </c>
      <c r="AG1566" t="str">
        <f>""</f>
        <v/>
      </c>
      <c r="AH1566" t="str">
        <f>""</f>
        <v/>
      </c>
      <c r="AI1566" t="str">
        <f>""</f>
        <v/>
      </c>
      <c r="AJ1566" t="str">
        <f>""</f>
        <v/>
      </c>
      <c r="AK1566" t="str">
        <f>""</f>
        <v/>
      </c>
      <c r="AL1566" t="str">
        <f>""</f>
        <v/>
      </c>
      <c r="AM1566" t="str">
        <f>""</f>
        <v/>
      </c>
      <c r="AN1566" t="str">
        <f>""</f>
        <v/>
      </c>
      <c r="AO1566" t="str">
        <f>""</f>
        <v/>
      </c>
      <c r="AP1566" t="str">
        <f>""</f>
        <v/>
      </c>
      <c r="AQ1566" t="str">
        <f>""</f>
        <v/>
      </c>
      <c r="AR1566" t="str">
        <f>""</f>
        <v/>
      </c>
      <c r="AS1566" t="str">
        <f>""</f>
        <v/>
      </c>
      <c r="AT1566" t="str">
        <f>""</f>
        <v/>
      </c>
      <c r="AU1566" t="str">
        <f>""</f>
        <v/>
      </c>
      <c r="AV1566" t="str">
        <f>""</f>
        <v/>
      </c>
      <c r="AW1566" t="str">
        <f>""</f>
        <v/>
      </c>
      <c r="AX1566" t="str">
        <f>""</f>
        <v/>
      </c>
      <c r="AY1566" t="str">
        <f>""</f>
        <v/>
      </c>
      <c r="AZ1566" t="str">
        <f>""</f>
        <v/>
      </c>
      <c r="BA1566" t="str">
        <f>""</f>
        <v/>
      </c>
      <c r="BB1566" t="str">
        <f>"07/10/2020 09:08:38"</f>
        <v>07/10/2020 09:08:38</v>
      </c>
      <c r="BC1566" t="str">
        <f>""</f>
        <v/>
      </c>
      <c r="BD1566" t="str">
        <f>""</f>
        <v/>
      </c>
      <c r="BE1566" t="str">
        <f>""</f>
        <v/>
      </c>
      <c r="BF1566" t="str">
        <f t="shared" si="787"/>
        <v>A</v>
      </c>
      <c r="BG1566" t="str">
        <f>""</f>
        <v/>
      </c>
      <c r="BH1566" t="str">
        <f>""</f>
        <v/>
      </c>
      <c r="BI1566" t="str">
        <f>"EVENTUAL"</f>
        <v>EVENTUAL</v>
      </c>
      <c r="BJ1566" t="str">
        <f t="shared" si="788"/>
        <v>1</v>
      </c>
      <c r="BK1566" t="str">
        <f t="shared" si="789"/>
        <v>Farmacia</v>
      </c>
      <c r="BL1566" t="str">
        <f>""</f>
        <v/>
      </c>
      <c r="BM1566" t="str">
        <f>"NÃO É VARILUX ESPECIALISTA"</f>
        <v>NÃO É VARILUX ESPECIALISTA</v>
      </c>
      <c r="BN1566" t="str">
        <f>"EL360"</f>
        <v>EL360</v>
      </c>
      <c r="BO1566" t="str">
        <f>"FOCO VARILUX DIGITAL"</f>
        <v>FOCO VARILUX DIGITAL</v>
      </c>
      <c r="BP1566" t="str">
        <f>""</f>
        <v/>
      </c>
      <c r="BQ1566" t="str">
        <f>""</f>
        <v/>
      </c>
      <c r="BR1566" t="str">
        <f>"07/10/2020"</f>
        <v>07/10/2020</v>
      </c>
      <c r="BS1566" t="str">
        <f>""</f>
        <v/>
      </c>
      <c r="BT1566" t="str">
        <f>""</f>
        <v/>
      </c>
      <c r="BU1566" t="str">
        <f>""</f>
        <v/>
      </c>
      <c r="BV1566" t="str">
        <f>"5"</f>
        <v>5</v>
      </c>
      <c r="BW1566" t="str">
        <f>"67"</f>
        <v>67</v>
      </c>
    </row>
    <row r="1567" spans="1:75" x14ac:dyDescent="0.35">
      <c r="A1567">
        <v>127629</v>
      </c>
      <c r="B1567" t="str">
        <f t="shared" si="784"/>
        <v>A</v>
      </c>
      <c r="C1567" t="str">
        <f t="shared" si="785"/>
        <v>80</v>
      </c>
      <c r="D1567" t="str">
        <f t="shared" si="777"/>
        <v>11121004</v>
      </c>
      <c r="E1567" t="str">
        <f t="shared" si="778"/>
        <v>121004</v>
      </c>
      <c r="F1567" t="str">
        <f t="shared" si="779"/>
        <v>FABIANA GODOY</v>
      </c>
      <c r="G1567" t="str">
        <f>"02359110000170"</f>
        <v>02359110000170</v>
      </c>
      <c r="H1567" t="str">
        <f t="shared" si="802"/>
        <v>0</v>
      </c>
      <c r="I1567" t="str">
        <f t="shared" si="786"/>
        <v>CONTA OPTICA</v>
      </c>
      <c r="J1567" t="str">
        <f>"OTICA EVIDENCE LTDA  EPP"</f>
        <v>OTICA EVIDENCE LTDA  EPP</v>
      </c>
      <c r="K1567" t="str">
        <f>"OTICA EVIDENCE LTDA (1080)"</f>
        <v>OTICA EVIDENCE LTDA (1080)</v>
      </c>
      <c r="L1567" t="str">
        <f>""</f>
        <v/>
      </c>
      <c r="M1567" t="str">
        <f>""</f>
        <v/>
      </c>
      <c r="N1567" t="str">
        <f>"contato@oticamomm.com.br"</f>
        <v>contato@oticamomm.com.br</v>
      </c>
      <c r="O1567" t="str">
        <f>""</f>
        <v/>
      </c>
      <c r="P1567" t="str">
        <f>"RUA GENERAL OSORIO"</f>
        <v>RUA GENERAL OSORIO</v>
      </c>
      <c r="Q1567" t="str">
        <f>"25"</f>
        <v>25</v>
      </c>
      <c r="R1567" t="str">
        <f>"SALA 02 A"</f>
        <v>SALA 02 A</v>
      </c>
      <c r="S1567" t="str">
        <f>"1275"</f>
        <v>1275</v>
      </c>
      <c r="T1567" t="str">
        <f>"89120000"</f>
        <v>89120000</v>
      </c>
      <c r="U1567" t="str">
        <f>"CENTRO"</f>
        <v>CENTRO</v>
      </c>
      <c r="V1567" t="str">
        <f>"TIMBÓ"</f>
        <v>TIMBÓ</v>
      </c>
      <c r="W1567" t="str">
        <f t="shared" si="773"/>
        <v>SC</v>
      </c>
      <c r="X1567" t="str">
        <f t="shared" si="797"/>
        <v>47</v>
      </c>
      <c r="Y1567" t="str">
        <f>"33822141"</f>
        <v>33822141</v>
      </c>
      <c r="Z1567" t="str">
        <f>""</f>
        <v/>
      </c>
      <c r="AA1567" t="str">
        <f>""</f>
        <v/>
      </c>
      <c r="AB1567" t="str">
        <f>""</f>
        <v/>
      </c>
      <c r="AC1567" t="str">
        <f>""</f>
        <v/>
      </c>
      <c r="AD1567" t="str">
        <f>""</f>
        <v/>
      </c>
      <c r="AE1567" t="str">
        <f>""</f>
        <v/>
      </c>
      <c r="AF1567" t="str">
        <f>""</f>
        <v/>
      </c>
      <c r="AG1567" t="str">
        <f>"S"</f>
        <v>S</v>
      </c>
      <c r="AH1567" t="str">
        <f>""</f>
        <v/>
      </c>
      <c r="AI1567" t="str">
        <f>""</f>
        <v/>
      </c>
      <c r="AJ1567" t="str">
        <f>""</f>
        <v/>
      </c>
      <c r="AK1567" t="str">
        <f>""</f>
        <v/>
      </c>
      <c r="AL1567" t="str">
        <f>""</f>
        <v/>
      </c>
      <c r="AM1567" t="str">
        <f>""</f>
        <v/>
      </c>
      <c r="AN1567" t="str">
        <f>""</f>
        <v/>
      </c>
      <c r="AO1567" t="str">
        <f>""</f>
        <v/>
      </c>
      <c r="AP1567" t="str">
        <f>""</f>
        <v/>
      </c>
      <c r="AQ1567" t="str">
        <f>"N"</f>
        <v>N</v>
      </c>
      <c r="AR1567" t="str">
        <f>"N"</f>
        <v>N</v>
      </c>
      <c r="AS1567" t="str">
        <f>"N"</f>
        <v>N</v>
      </c>
      <c r="AT1567" t="str">
        <f>"N"</f>
        <v>N</v>
      </c>
      <c r="AU1567" t="str">
        <f>"N"</f>
        <v>N</v>
      </c>
      <c r="AV1567" t="str">
        <f>""</f>
        <v/>
      </c>
      <c r="AW1567" t="str">
        <f>""</f>
        <v/>
      </c>
      <c r="AX1567" t="str">
        <f>""</f>
        <v/>
      </c>
      <c r="AY1567" t="str">
        <f>""</f>
        <v/>
      </c>
      <c r="AZ1567" t="str">
        <f>""</f>
        <v/>
      </c>
      <c r="BA1567" t="str">
        <f>""</f>
        <v/>
      </c>
      <c r="BB1567" t="str">
        <f>"07/10/2020 09:08:38"</f>
        <v>07/10/2020 09:08:38</v>
      </c>
      <c r="BC1567" t="str">
        <f>"19/07/2023 15:24:16"</f>
        <v>19/07/2023 15:24:16</v>
      </c>
      <c r="BD1567" t="str">
        <f>""</f>
        <v/>
      </c>
      <c r="BE1567" t="str">
        <f>""</f>
        <v/>
      </c>
      <c r="BF1567" t="str">
        <f t="shared" si="787"/>
        <v>A</v>
      </c>
      <c r="BG1567" t="str">
        <f>""</f>
        <v/>
      </c>
      <c r="BH1567" t="str">
        <f>"0,00"</f>
        <v>0,00</v>
      </c>
      <c r="BI1567" t="str">
        <f>"MENSAL"</f>
        <v>MENSAL</v>
      </c>
      <c r="BJ1567" t="str">
        <f t="shared" si="788"/>
        <v>1</v>
      </c>
      <c r="BK1567" t="str">
        <f t="shared" si="789"/>
        <v>Farmacia</v>
      </c>
      <c r="BL1567" t="str">
        <f>""</f>
        <v/>
      </c>
      <c r="BM1567" t="str">
        <f>"NÃO É VARILUX ESPECIALISTA"</f>
        <v>NÃO É VARILUX ESPECIALISTA</v>
      </c>
      <c r="BN1567" t="str">
        <f>"EL360"</f>
        <v>EL360</v>
      </c>
      <c r="BO1567" t="str">
        <f>"FOCO KODAK 2"</f>
        <v>FOCO KODAK 2</v>
      </c>
      <c r="BP1567" t="str">
        <f>""</f>
        <v/>
      </c>
      <c r="BQ1567" t="str">
        <f>""</f>
        <v/>
      </c>
      <c r="BR1567" t="str">
        <f>"07/10/2020"</f>
        <v>07/10/2020</v>
      </c>
      <c r="BS1567" t="str">
        <f>"19/07/2023"</f>
        <v>19/07/2023</v>
      </c>
      <c r="BT1567" t="str">
        <f>""</f>
        <v/>
      </c>
      <c r="BU1567" t="str">
        <f>""</f>
        <v/>
      </c>
      <c r="BV1567" t="str">
        <f>"6"</f>
        <v>6</v>
      </c>
      <c r="BW1567" t="str">
        <f>"113"</f>
        <v>113</v>
      </c>
    </row>
    <row r="1568" spans="1:75" x14ac:dyDescent="0.35">
      <c r="A1568">
        <v>144880</v>
      </c>
      <c r="B1568" t="str">
        <f t="shared" si="784"/>
        <v>A</v>
      </c>
      <c r="C1568" t="str">
        <f t="shared" si="785"/>
        <v>80</v>
      </c>
      <c r="D1568" t="str">
        <f t="shared" si="777"/>
        <v>11121004</v>
      </c>
      <c r="E1568" t="str">
        <f t="shared" si="778"/>
        <v>121004</v>
      </c>
      <c r="F1568" t="str">
        <f t="shared" si="779"/>
        <v>FABIANA GODOY</v>
      </c>
      <c r="G1568" t="str">
        <f>"43767861000102"</f>
        <v>43767861000102</v>
      </c>
      <c r="H1568" t="str">
        <f t="shared" si="802"/>
        <v>0</v>
      </c>
      <c r="I1568" t="str">
        <f t="shared" si="786"/>
        <v>CONTA OPTICA</v>
      </c>
      <c r="J1568" t="str">
        <f>"OTICA FLLY NK LTDA"</f>
        <v>OTICA FLLY NK LTDA</v>
      </c>
      <c r="K1568" t="str">
        <f>"OTICA CHILLI BEANS (4443)"</f>
        <v>OTICA CHILLI BEANS (4443)</v>
      </c>
      <c r="L1568" t="str">
        <f>""</f>
        <v/>
      </c>
      <c r="M1568" t="str">
        <f>""</f>
        <v/>
      </c>
      <c r="N1568" t="str">
        <f>"ALLAN@GRUPOFLLY.COM.BR"</f>
        <v>ALLAN@GRUPOFLLY.COM.BR</v>
      </c>
      <c r="O1568" t="str">
        <f>""</f>
        <v/>
      </c>
      <c r="P1568" t="str">
        <f>"RUA SETE DE SETEMBRO"</f>
        <v>RUA SETE DE SETEMBRO</v>
      </c>
      <c r="Q1568" t="str">
        <f>"1213"</f>
        <v>1213</v>
      </c>
      <c r="R1568" t="str">
        <f>"SALA L83"</f>
        <v>SALA L83</v>
      </c>
      <c r="S1568" t="str">
        <f>"1273"</f>
        <v>1273</v>
      </c>
      <c r="T1568" t="str">
        <f>"89010911"</f>
        <v>89010911</v>
      </c>
      <c r="U1568" t="str">
        <f>"CENTRO"</f>
        <v>CENTRO</v>
      </c>
      <c r="V1568" t="str">
        <f>"BLUMENAU"</f>
        <v>BLUMENAU</v>
      </c>
      <c r="W1568" t="str">
        <f t="shared" si="773"/>
        <v>SC</v>
      </c>
      <c r="X1568" t="str">
        <f t="shared" si="797"/>
        <v>47</v>
      </c>
      <c r="Y1568" t="str">
        <f>"984494348"</f>
        <v>984494348</v>
      </c>
      <c r="Z1568" t="str">
        <f>""</f>
        <v/>
      </c>
      <c r="AA1568" t="str">
        <f>""</f>
        <v/>
      </c>
      <c r="AB1568" t="str">
        <f>""</f>
        <v/>
      </c>
      <c r="AC1568" t="str">
        <f>""</f>
        <v/>
      </c>
      <c r="AD1568" t="str">
        <f>""</f>
        <v/>
      </c>
      <c r="AE1568" t="str">
        <f>""</f>
        <v/>
      </c>
      <c r="AF1568" t="str">
        <f>""</f>
        <v/>
      </c>
      <c r="AG1568" t="str">
        <f>""</f>
        <v/>
      </c>
      <c r="AH1568" t="str">
        <f>""</f>
        <v/>
      </c>
      <c r="AI1568" t="str">
        <f>""</f>
        <v/>
      </c>
      <c r="AJ1568" t="str">
        <f>""</f>
        <v/>
      </c>
      <c r="AK1568" t="str">
        <f>""</f>
        <v/>
      </c>
      <c r="AL1568" t="str">
        <f>""</f>
        <v/>
      </c>
      <c r="AM1568" t="str">
        <f>""</f>
        <v/>
      </c>
      <c r="AN1568" t="str">
        <f>""</f>
        <v/>
      </c>
      <c r="AO1568" t="str">
        <f>""</f>
        <v/>
      </c>
      <c r="AP1568" t="str">
        <f>""</f>
        <v/>
      </c>
      <c r="AQ1568" t="str">
        <f>""</f>
        <v/>
      </c>
      <c r="AR1568" t="str">
        <f>""</f>
        <v/>
      </c>
      <c r="AS1568" t="str">
        <f>""</f>
        <v/>
      </c>
      <c r="AT1568" t="str">
        <f>""</f>
        <v/>
      </c>
      <c r="AU1568" t="str">
        <f>""</f>
        <v/>
      </c>
      <c r="AV1568" t="str">
        <f>""</f>
        <v/>
      </c>
      <c r="AW1568" t="str">
        <f>""</f>
        <v/>
      </c>
      <c r="AX1568" t="str">
        <f>""</f>
        <v/>
      </c>
      <c r="AY1568" t="str">
        <f>""</f>
        <v/>
      </c>
      <c r="AZ1568" t="str">
        <f>""</f>
        <v/>
      </c>
      <c r="BA1568" t="str">
        <f>""</f>
        <v/>
      </c>
      <c r="BB1568" t="str">
        <f>"28/12/2021 17:14:38"</f>
        <v>28/12/2021 17:14:38</v>
      </c>
      <c r="BC1568" t="str">
        <f>""</f>
        <v/>
      </c>
      <c r="BD1568" t="str">
        <f>""</f>
        <v/>
      </c>
      <c r="BE1568" t="str">
        <f>""</f>
        <v/>
      </c>
      <c r="BF1568" t="str">
        <f t="shared" si="787"/>
        <v>A</v>
      </c>
      <c r="BG1568" t="str">
        <f>""</f>
        <v/>
      </c>
      <c r="BH1568" t="str">
        <f>""</f>
        <v/>
      </c>
      <c r="BI1568" t="str">
        <f t="shared" ref="BI1568:BI1588" si="803">"EVENTUAL"</f>
        <v>EVENTUAL</v>
      </c>
      <c r="BJ1568" t="str">
        <f t="shared" si="788"/>
        <v>1</v>
      </c>
      <c r="BK1568" t="str">
        <f t="shared" si="789"/>
        <v>Farmacia</v>
      </c>
      <c r="BL1568" t="str">
        <f>""</f>
        <v/>
      </c>
      <c r="BM1568" t="str">
        <f>""</f>
        <v/>
      </c>
      <c r="BN1568" t="str">
        <f>""</f>
        <v/>
      </c>
      <c r="BO1568" t="str">
        <f>"FOCO VARILUX"</f>
        <v>FOCO VARILUX</v>
      </c>
      <c r="BP1568" t="str">
        <f>""</f>
        <v/>
      </c>
      <c r="BQ1568" t="str">
        <f>""</f>
        <v/>
      </c>
      <c r="BR1568" t="str">
        <f>"28/12/2021"</f>
        <v>28/12/2021</v>
      </c>
      <c r="BS1568" t="str">
        <f>""</f>
        <v/>
      </c>
      <c r="BT1568" t="str">
        <f>""</f>
        <v/>
      </c>
      <c r="BU1568" t="str">
        <f>""</f>
        <v/>
      </c>
      <c r="BV1568" t="str">
        <f>""</f>
        <v/>
      </c>
      <c r="BW1568" t="str">
        <f>"358"</f>
        <v>358</v>
      </c>
    </row>
    <row r="1569" spans="1:75" x14ac:dyDescent="0.35">
      <c r="A1569">
        <v>137787</v>
      </c>
      <c r="B1569" t="str">
        <f t="shared" si="784"/>
        <v>A</v>
      </c>
      <c r="C1569" t="str">
        <f t="shared" si="785"/>
        <v>80</v>
      </c>
      <c r="D1569" t="str">
        <f t="shared" si="777"/>
        <v>11121004</v>
      </c>
      <c r="E1569" t="str">
        <f t="shared" si="778"/>
        <v>121004</v>
      </c>
      <c r="F1569" t="str">
        <f t="shared" si="779"/>
        <v>FABIANA GODOY</v>
      </c>
      <c r="G1569" t="str">
        <f>"20395229000180"</f>
        <v>20395229000180</v>
      </c>
      <c r="H1569" t="str">
        <f t="shared" si="802"/>
        <v>0</v>
      </c>
      <c r="I1569" t="str">
        <f t="shared" si="786"/>
        <v>CONTA OPTICA</v>
      </c>
      <c r="J1569" t="str">
        <f>"OTICA FLORIANI LTDA"</f>
        <v>OTICA FLORIANI LTDA</v>
      </c>
      <c r="K1569" t="str">
        <f>"OTICA FLORIANI LTDA (2112)"</f>
        <v>OTICA FLORIANI LTDA (2112)</v>
      </c>
      <c r="L1569" t="str">
        <f>""</f>
        <v/>
      </c>
      <c r="M1569" t="str">
        <f>""</f>
        <v/>
      </c>
      <c r="N1569" t="str">
        <f>"tatipiler@hotmail.com"</f>
        <v>tatipiler@hotmail.com</v>
      </c>
      <c r="O1569" t="str">
        <f>""</f>
        <v/>
      </c>
      <c r="P1569" t="str">
        <f>"RUA FREI ESTANISLAU SCHAETTE"</f>
        <v>RUA FREI ESTANISLAU SCHAETTE</v>
      </c>
      <c r="Q1569" t="str">
        <f>"59"</f>
        <v>59</v>
      </c>
      <c r="R1569" t="str">
        <f>"LOJA 02"</f>
        <v>LOJA 02</v>
      </c>
      <c r="S1569" t="str">
        <f>"1273"</f>
        <v>1273</v>
      </c>
      <c r="T1569" t="str">
        <f>"89037001"</f>
        <v>89037001</v>
      </c>
      <c r="U1569" t="str">
        <f>"AGUA VERDE"</f>
        <v>AGUA VERDE</v>
      </c>
      <c r="V1569" t="str">
        <f>"BLUMENAU"</f>
        <v>BLUMENAU</v>
      </c>
      <c r="W1569" t="str">
        <f t="shared" si="773"/>
        <v>SC</v>
      </c>
      <c r="X1569" t="str">
        <f t="shared" si="797"/>
        <v>47</v>
      </c>
      <c r="Y1569" t="str">
        <f>"32373235"</f>
        <v>32373235</v>
      </c>
      <c r="Z1569" t="str">
        <f>""</f>
        <v/>
      </c>
      <c r="AA1569" t="str">
        <f>""</f>
        <v/>
      </c>
      <c r="AB1569" t="str">
        <f>""</f>
        <v/>
      </c>
      <c r="AC1569" t="str">
        <f>""</f>
        <v/>
      </c>
      <c r="AD1569" t="str">
        <f>""</f>
        <v/>
      </c>
      <c r="AE1569" t="str">
        <f>""</f>
        <v/>
      </c>
      <c r="AF1569" t="str">
        <f>""</f>
        <v/>
      </c>
      <c r="AG1569" t="str">
        <f>"S"</f>
        <v>S</v>
      </c>
      <c r="AH1569" t="str">
        <f>""</f>
        <v/>
      </c>
      <c r="AI1569" t="str">
        <f>""</f>
        <v/>
      </c>
      <c r="AJ1569" t="str">
        <f>""</f>
        <v/>
      </c>
      <c r="AK1569" t="str">
        <f>""</f>
        <v/>
      </c>
      <c r="AL1569" t="str">
        <f>""</f>
        <v/>
      </c>
      <c r="AM1569" t="str">
        <f>""</f>
        <v/>
      </c>
      <c r="AN1569" t="str">
        <f>""</f>
        <v/>
      </c>
      <c r="AO1569" t="str">
        <f>""</f>
        <v/>
      </c>
      <c r="AP1569" t="str">
        <f>""</f>
        <v/>
      </c>
      <c r="AQ1569" t="str">
        <f t="shared" ref="AQ1569:AU1571" si="804">"N"</f>
        <v>N</v>
      </c>
      <c r="AR1569" t="str">
        <f t="shared" si="804"/>
        <v>N</v>
      </c>
      <c r="AS1569" t="str">
        <f t="shared" si="804"/>
        <v>N</v>
      </c>
      <c r="AT1569" t="str">
        <f t="shared" si="804"/>
        <v>N</v>
      </c>
      <c r="AU1569" t="str">
        <f t="shared" si="804"/>
        <v>N</v>
      </c>
      <c r="AV1569" t="str">
        <f>""</f>
        <v/>
      </c>
      <c r="AW1569" t="str">
        <f>""</f>
        <v/>
      </c>
      <c r="AX1569" t="str">
        <f>""</f>
        <v/>
      </c>
      <c r="AY1569" t="str">
        <f>""</f>
        <v/>
      </c>
      <c r="AZ1569" t="str">
        <f>""</f>
        <v/>
      </c>
      <c r="BA1569" t="str">
        <f>""</f>
        <v/>
      </c>
      <c r="BB1569" t="str">
        <f>"01/07/2021 13:53:04"</f>
        <v>01/07/2021 13:53:04</v>
      </c>
      <c r="BC1569" t="str">
        <f>"04/04/2022 14:33:19"</f>
        <v>04/04/2022 14:33:19</v>
      </c>
      <c r="BD1569" t="str">
        <f>""</f>
        <v/>
      </c>
      <c r="BE1569" t="str">
        <f>""</f>
        <v/>
      </c>
      <c r="BF1569" t="str">
        <f t="shared" si="787"/>
        <v>A</v>
      </c>
      <c r="BG1569" t="str">
        <f>""</f>
        <v/>
      </c>
      <c r="BH1569" t="str">
        <f>"0,00"</f>
        <v>0,00</v>
      </c>
      <c r="BI1569" t="str">
        <f t="shared" si="803"/>
        <v>EVENTUAL</v>
      </c>
      <c r="BJ1569" t="str">
        <f t="shared" si="788"/>
        <v>1</v>
      </c>
      <c r="BK1569" t="str">
        <f t="shared" si="789"/>
        <v>Farmacia</v>
      </c>
      <c r="BL1569" t="str">
        <f>""</f>
        <v/>
      </c>
      <c r="BM1569" t="str">
        <f>"NÃO É VARILUX ESPECIALISTA"</f>
        <v>NÃO É VARILUX ESPECIALISTA</v>
      </c>
      <c r="BN1569" t="str">
        <f>"EL360"</f>
        <v>EL360</v>
      </c>
      <c r="BO1569" t="str">
        <f>"OUTROS"</f>
        <v>OUTROS</v>
      </c>
      <c r="BP1569" t="str">
        <f>""</f>
        <v/>
      </c>
      <c r="BQ1569" t="str">
        <f>""</f>
        <v/>
      </c>
      <c r="BR1569" t="str">
        <f>"01/07/2021"</f>
        <v>01/07/2021</v>
      </c>
      <c r="BS1569" t="str">
        <f>"04/04/2022"</f>
        <v>04/04/2022</v>
      </c>
      <c r="BT1569" t="str">
        <f>""</f>
        <v/>
      </c>
      <c r="BU1569" t="str">
        <f>""</f>
        <v/>
      </c>
      <c r="BV1569" t="str">
        <f>""</f>
        <v/>
      </c>
      <c r="BW1569" t="str">
        <f>"11"</f>
        <v>11</v>
      </c>
    </row>
    <row r="1570" spans="1:75" x14ac:dyDescent="0.35">
      <c r="A1570">
        <v>137789</v>
      </c>
      <c r="B1570" t="str">
        <f t="shared" si="784"/>
        <v>A</v>
      </c>
      <c r="C1570" t="str">
        <f t="shared" si="785"/>
        <v>80</v>
      </c>
      <c r="D1570" t="str">
        <f t="shared" si="777"/>
        <v>11121004</v>
      </c>
      <c r="E1570" t="str">
        <f t="shared" si="778"/>
        <v>121004</v>
      </c>
      <c r="F1570" t="str">
        <f t="shared" si="779"/>
        <v>FABIANA GODOY</v>
      </c>
      <c r="G1570" t="str">
        <f>"10821412000146"</f>
        <v>10821412000146</v>
      </c>
      <c r="H1570" t="str">
        <f t="shared" si="802"/>
        <v>0</v>
      </c>
      <c r="I1570" t="str">
        <f t="shared" si="786"/>
        <v>CONTA OPTICA</v>
      </c>
      <c r="J1570" t="str">
        <f>"OTICA GETULIENSE LTDA"</f>
        <v>OTICA GETULIENSE LTDA</v>
      </c>
      <c r="K1570" t="str">
        <f>"OTICA GETULIENSE LTDA (1502)"</f>
        <v>OTICA GETULIENSE LTDA (1502)</v>
      </c>
      <c r="L1570" t="str">
        <f>""</f>
        <v/>
      </c>
      <c r="M1570" t="str">
        <f>""</f>
        <v/>
      </c>
      <c r="N1570" t="str">
        <f>"oticagetuliense@hotmail.com"</f>
        <v>oticagetuliense@hotmail.com</v>
      </c>
      <c r="O1570" t="str">
        <f>""</f>
        <v/>
      </c>
      <c r="P1570" t="str">
        <f>"RUA CURT HERING"</f>
        <v>RUA CURT HERING</v>
      </c>
      <c r="Q1570" t="str">
        <f>"64"</f>
        <v>64</v>
      </c>
      <c r="R1570" t="str">
        <f>"SL 01"</f>
        <v>SL 01</v>
      </c>
      <c r="S1570" t="str">
        <f>"1275"</f>
        <v>1275</v>
      </c>
      <c r="T1570" t="str">
        <f>"89150000"</f>
        <v>89150000</v>
      </c>
      <c r="U1570" t="str">
        <f>"CENTRO"</f>
        <v>CENTRO</v>
      </c>
      <c r="V1570" t="str">
        <f>"PRESIDENTE GETÚLIO"</f>
        <v>PRESIDENTE GETÚLIO</v>
      </c>
      <c r="W1570" t="str">
        <f t="shared" si="773"/>
        <v>SC</v>
      </c>
      <c r="X1570" t="str">
        <f t="shared" si="797"/>
        <v>47</v>
      </c>
      <c r="Y1570" t="str">
        <f>"33523297"</f>
        <v>33523297</v>
      </c>
      <c r="Z1570" t="str">
        <f>""</f>
        <v/>
      </c>
      <c r="AA1570" t="str">
        <f>""</f>
        <v/>
      </c>
      <c r="AB1570" t="str">
        <f>""</f>
        <v/>
      </c>
      <c r="AC1570" t="str">
        <f>""</f>
        <v/>
      </c>
      <c r="AD1570" t="str">
        <f>""</f>
        <v/>
      </c>
      <c r="AE1570" t="str">
        <f>""</f>
        <v/>
      </c>
      <c r="AF1570" t="str">
        <f>""</f>
        <v/>
      </c>
      <c r="AG1570" t="str">
        <f>"S"</f>
        <v>S</v>
      </c>
      <c r="AH1570" t="str">
        <f>""</f>
        <v/>
      </c>
      <c r="AI1570" t="str">
        <f>""</f>
        <v/>
      </c>
      <c r="AJ1570" t="str">
        <f>""</f>
        <v/>
      </c>
      <c r="AK1570" t="str">
        <f>""</f>
        <v/>
      </c>
      <c r="AL1570" t="str">
        <f>""</f>
        <v/>
      </c>
      <c r="AM1570" t="str">
        <f>""</f>
        <v/>
      </c>
      <c r="AN1570" t="str">
        <f>""</f>
        <v/>
      </c>
      <c r="AO1570" t="str">
        <f>""</f>
        <v/>
      </c>
      <c r="AP1570" t="str">
        <f>""</f>
        <v/>
      </c>
      <c r="AQ1570" t="str">
        <f t="shared" si="804"/>
        <v>N</v>
      </c>
      <c r="AR1570" t="str">
        <f t="shared" si="804"/>
        <v>N</v>
      </c>
      <c r="AS1570" t="str">
        <f t="shared" si="804"/>
        <v>N</v>
      </c>
      <c r="AT1570" t="str">
        <f t="shared" si="804"/>
        <v>N</v>
      </c>
      <c r="AU1570" t="str">
        <f t="shared" si="804"/>
        <v>N</v>
      </c>
      <c r="AV1570" t="str">
        <f>""</f>
        <v/>
      </c>
      <c r="AW1570" t="str">
        <f>""</f>
        <v/>
      </c>
      <c r="AX1570" t="str">
        <f>""</f>
        <v/>
      </c>
      <c r="AY1570" t="str">
        <f>""</f>
        <v/>
      </c>
      <c r="AZ1570" t="str">
        <f>""</f>
        <v/>
      </c>
      <c r="BA1570" t="str">
        <f>""</f>
        <v/>
      </c>
      <c r="BB1570" t="str">
        <f>"01/07/2021 13:53:04"</f>
        <v>01/07/2021 13:53:04</v>
      </c>
      <c r="BC1570" t="str">
        <f>"21/03/2022 15:34:57"</f>
        <v>21/03/2022 15:34:57</v>
      </c>
      <c r="BD1570" t="str">
        <f>""</f>
        <v/>
      </c>
      <c r="BE1570" t="str">
        <f>""</f>
        <v/>
      </c>
      <c r="BF1570" t="str">
        <f t="shared" si="787"/>
        <v>A</v>
      </c>
      <c r="BG1570" t="str">
        <f>""</f>
        <v/>
      </c>
      <c r="BH1570" t="str">
        <f>"0,00"</f>
        <v>0,00</v>
      </c>
      <c r="BI1570" t="str">
        <f t="shared" si="803"/>
        <v>EVENTUAL</v>
      </c>
      <c r="BJ1570" t="str">
        <f t="shared" si="788"/>
        <v>1</v>
      </c>
      <c r="BK1570" t="str">
        <f t="shared" si="789"/>
        <v>Farmacia</v>
      </c>
      <c r="BL1570" t="str">
        <f>""</f>
        <v/>
      </c>
      <c r="BM1570" t="str">
        <f>"VARILUX ESPECIALISTA SELECT"</f>
        <v>VARILUX ESPECIALISTA SELECT</v>
      </c>
      <c r="BN1570" t="str">
        <f>"NA"</f>
        <v>NA</v>
      </c>
      <c r="BO1570" t="str">
        <f>"FOCO VARILUX DIGITAL"</f>
        <v>FOCO VARILUX DIGITAL</v>
      </c>
      <c r="BP1570" t="str">
        <f>""</f>
        <v/>
      </c>
      <c r="BQ1570" t="str">
        <f>""</f>
        <v/>
      </c>
      <c r="BR1570" t="str">
        <f>"01/07/2021"</f>
        <v>01/07/2021</v>
      </c>
      <c r="BS1570" t="str">
        <f>"21/03/2022"</f>
        <v>21/03/2022</v>
      </c>
      <c r="BT1570" t="str">
        <f>""</f>
        <v/>
      </c>
      <c r="BU1570" t="str">
        <f>""</f>
        <v/>
      </c>
      <c r="BV1570" t="str">
        <f>""</f>
        <v/>
      </c>
      <c r="BW1570" t="str">
        <f>"16"</f>
        <v>16</v>
      </c>
    </row>
    <row r="1571" spans="1:75" x14ac:dyDescent="0.35">
      <c r="A1571">
        <v>137790</v>
      </c>
      <c r="B1571" t="str">
        <f t="shared" si="784"/>
        <v>A</v>
      </c>
      <c r="C1571" t="str">
        <f t="shared" si="785"/>
        <v>80</v>
      </c>
      <c r="D1571" t="str">
        <f t="shared" si="777"/>
        <v>11121004</v>
      </c>
      <c r="E1571" t="str">
        <f t="shared" si="778"/>
        <v>121004</v>
      </c>
      <c r="F1571" t="str">
        <f t="shared" si="779"/>
        <v>FABIANA GODOY</v>
      </c>
      <c r="G1571" t="str">
        <f>"12329754000179"</f>
        <v>12329754000179</v>
      </c>
      <c r="H1571" t="str">
        <f t="shared" si="802"/>
        <v>0</v>
      </c>
      <c r="I1571" t="str">
        <f t="shared" si="786"/>
        <v>CONTA OPTICA</v>
      </c>
      <c r="J1571" t="str">
        <f>"OTICA GEVAERD LTDA"</f>
        <v>OTICA GEVAERD LTDA</v>
      </c>
      <c r="K1571" t="str">
        <f>"OTICA GEVAERD LTDA (1791)"</f>
        <v>OTICA GEVAERD LTDA (1791)</v>
      </c>
      <c r="L1571" t="str">
        <f>""</f>
        <v/>
      </c>
      <c r="M1571" t="str">
        <f>""</f>
        <v/>
      </c>
      <c r="N1571" t="str">
        <f>"oticagevaerdgba@gmail.com"</f>
        <v>oticagevaerdgba@gmail.com</v>
      </c>
      <c r="O1571" t="str">
        <f>""</f>
        <v/>
      </c>
      <c r="P1571" t="str">
        <f>"RUA BRUSQUE"</f>
        <v>RUA BRUSQUE</v>
      </c>
      <c r="Q1571" t="str">
        <f>"190"</f>
        <v>190</v>
      </c>
      <c r="R1571" t="str">
        <f>"SALAS 01 E 03"</f>
        <v>SALAS 01 E 03</v>
      </c>
      <c r="S1571" t="str">
        <f>"1263"</f>
        <v>1263</v>
      </c>
      <c r="T1571" t="str">
        <f>"88360000"</f>
        <v>88360000</v>
      </c>
      <c r="U1571" t="str">
        <f>"CENTRO"</f>
        <v>CENTRO</v>
      </c>
      <c r="V1571" t="str">
        <f>"GUABIRUBA"</f>
        <v>GUABIRUBA</v>
      </c>
      <c r="W1571" t="str">
        <f t="shared" si="773"/>
        <v>SC</v>
      </c>
      <c r="X1571" t="str">
        <f t="shared" si="797"/>
        <v>47</v>
      </c>
      <c r="Y1571" t="str">
        <f>"33541035"</f>
        <v>33541035</v>
      </c>
      <c r="Z1571" t="str">
        <f>""</f>
        <v/>
      </c>
      <c r="AA1571" t="str">
        <f>""</f>
        <v/>
      </c>
      <c r="AB1571" t="str">
        <f>""</f>
        <v/>
      </c>
      <c r="AC1571" t="str">
        <f>""</f>
        <v/>
      </c>
      <c r="AD1571" t="str">
        <f>""</f>
        <v/>
      </c>
      <c r="AE1571" t="str">
        <f>""</f>
        <v/>
      </c>
      <c r="AF1571" t="str">
        <f>""</f>
        <v/>
      </c>
      <c r="AG1571" t="str">
        <f>"S"</f>
        <v>S</v>
      </c>
      <c r="AH1571" t="str">
        <f>""</f>
        <v/>
      </c>
      <c r="AI1571" t="str">
        <f>""</f>
        <v/>
      </c>
      <c r="AJ1571" t="str">
        <f>""</f>
        <v/>
      </c>
      <c r="AK1571" t="str">
        <f>""</f>
        <v/>
      </c>
      <c r="AL1571" t="str">
        <f>""</f>
        <v/>
      </c>
      <c r="AM1571" t="str">
        <f>""</f>
        <v/>
      </c>
      <c r="AN1571" t="str">
        <f>""</f>
        <v/>
      </c>
      <c r="AO1571" t="str">
        <f>""</f>
        <v/>
      </c>
      <c r="AP1571" t="str">
        <f>""</f>
        <v/>
      </c>
      <c r="AQ1571" t="str">
        <f t="shared" si="804"/>
        <v>N</v>
      </c>
      <c r="AR1571" t="str">
        <f t="shared" si="804"/>
        <v>N</v>
      </c>
      <c r="AS1571" t="str">
        <f t="shared" si="804"/>
        <v>N</v>
      </c>
      <c r="AT1571" t="str">
        <f t="shared" si="804"/>
        <v>N</v>
      </c>
      <c r="AU1571" t="str">
        <f t="shared" si="804"/>
        <v>N</v>
      </c>
      <c r="AV1571" t="str">
        <f>""</f>
        <v/>
      </c>
      <c r="AW1571" t="str">
        <f>""</f>
        <v/>
      </c>
      <c r="AX1571" t="str">
        <f>""</f>
        <v/>
      </c>
      <c r="AY1571" t="str">
        <f>""</f>
        <v/>
      </c>
      <c r="AZ1571" t="str">
        <f>""</f>
        <v/>
      </c>
      <c r="BA1571" t="str">
        <f>""</f>
        <v/>
      </c>
      <c r="BB1571" t="str">
        <f>"01/07/2021 13:53:04"</f>
        <v>01/07/2021 13:53:04</v>
      </c>
      <c r="BC1571" t="str">
        <f>"11/04/2022 17:25:21"</f>
        <v>11/04/2022 17:25:21</v>
      </c>
      <c r="BD1571" t="str">
        <f>""</f>
        <v/>
      </c>
      <c r="BE1571" t="str">
        <f>""</f>
        <v/>
      </c>
      <c r="BF1571" t="str">
        <f t="shared" si="787"/>
        <v>A</v>
      </c>
      <c r="BG1571" t="str">
        <f>""</f>
        <v/>
      </c>
      <c r="BH1571" t="str">
        <f>"0,00"</f>
        <v>0,00</v>
      </c>
      <c r="BI1571" t="str">
        <f t="shared" si="803"/>
        <v>EVENTUAL</v>
      </c>
      <c r="BJ1571" t="str">
        <f t="shared" si="788"/>
        <v>1</v>
      </c>
      <c r="BK1571" t="str">
        <f t="shared" si="789"/>
        <v>Farmacia</v>
      </c>
      <c r="BL1571" t="str">
        <f>""</f>
        <v/>
      </c>
      <c r="BM1571" t="str">
        <f>"NÃO É VARILUX ESPECIALISTA"</f>
        <v>NÃO É VARILUX ESPECIALISTA</v>
      </c>
      <c r="BN1571" t="str">
        <f>"NA"</f>
        <v>NA</v>
      </c>
      <c r="BO1571" t="str">
        <f>"FOCO VARILUX"</f>
        <v>FOCO VARILUX</v>
      </c>
      <c r="BP1571" t="str">
        <f>""</f>
        <v/>
      </c>
      <c r="BQ1571" t="str">
        <f>""</f>
        <v/>
      </c>
      <c r="BR1571" t="str">
        <f>"01/07/2021"</f>
        <v>01/07/2021</v>
      </c>
      <c r="BS1571" t="str">
        <f>"11/04/2022"</f>
        <v>11/04/2022</v>
      </c>
      <c r="BT1571" t="str">
        <f>""</f>
        <v/>
      </c>
      <c r="BU1571" t="str">
        <f>""</f>
        <v/>
      </c>
      <c r="BV1571" t="str">
        <f>""</f>
        <v/>
      </c>
      <c r="BW1571" t="str">
        <f>"14"</f>
        <v>14</v>
      </c>
    </row>
    <row r="1572" spans="1:75" x14ac:dyDescent="0.35">
      <c r="A1572">
        <v>157764</v>
      </c>
      <c r="B1572" t="str">
        <f t="shared" si="784"/>
        <v>A</v>
      </c>
      <c r="C1572" t="str">
        <f t="shared" si="785"/>
        <v>80</v>
      </c>
      <c r="D1572" t="str">
        <f t="shared" si="777"/>
        <v>11121004</v>
      </c>
      <c r="E1572" t="str">
        <f t="shared" si="778"/>
        <v>121004</v>
      </c>
      <c r="F1572" t="str">
        <f t="shared" si="779"/>
        <v>FABIANA GODOY</v>
      </c>
      <c r="G1572" t="str">
        <f>"37809744000161"</f>
        <v>37809744000161</v>
      </c>
      <c r="H1572" t="str">
        <f t="shared" si="802"/>
        <v>0</v>
      </c>
      <c r="I1572" t="str">
        <f t="shared" si="786"/>
        <v>CONTA OPTICA</v>
      </c>
      <c r="J1572" t="str">
        <f>"OTICA GODOY LTDA"</f>
        <v>OTICA GODOY LTDA</v>
      </c>
      <c r="K1572" t="str">
        <f>"OTICA GODOY (4711)"</f>
        <v>OTICA GODOY (4711)</v>
      </c>
      <c r="L1572" t="str">
        <f>""</f>
        <v/>
      </c>
      <c r="M1572" t="str">
        <f>""</f>
        <v/>
      </c>
      <c r="N1572" t="str">
        <f>"OTICAGODOY@GMAIL.COM"</f>
        <v>OTICAGODOY@GMAIL.COM</v>
      </c>
      <c r="O1572" t="str">
        <f>""</f>
        <v/>
      </c>
      <c r="P1572" t="str">
        <f>"EUGENIO KRAUSE"</f>
        <v>EUGENIO KRAUSE</v>
      </c>
      <c r="Q1572" t="str">
        <f>"1994"</f>
        <v>1994</v>
      </c>
      <c r="R1572" t="str">
        <f>"SALA 01"</f>
        <v>SALA 01</v>
      </c>
      <c r="S1572" t="str">
        <f>"1263"</f>
        <v>1263</v>
      </c>
      <c r="T1572" t="str">
        <f>"88385000"</f>
        <v>88385000</v>
      </c>
      <c r="U1572" t="str">
        <f>"CENTRO"</f>
        <v>CENTRO</v>
      </c>
      <c r="V1572" t="str">
        <f>"PENHA"</f>
        <v>PENHA</v>
      </c>
      <c r="W1572" t="str">
        <f t="shared" si="773"/>
        <v>SC</v>
      </c>
      <c r="X1572" t="str">
        <f>"11"</f>
        <v>11</v>
      </c>
      <c r="Y1572" t="str">
        <f>"981243513"</f>
        <v>981243513</v>
      </c>
      <c r="Z1572" t="str">
        <f>""</f>
        <v/>
      </c>
      <c r="AA1572" t="str">
        <f>""</f>
        <v/>
      </c>
      <c r="AB1572" t="str">
        <f>""</f>
        <v/>
      </c>
      <c r="AC1572" t="str">
        <f>""</f>
        <v/>
      </c>
      <c r="AD1572" t="str">
        <f>""</f>
        <v/>
      </c>
      <c r="AE1572" t="str">
        <f>""</f>
        <v/>
      </c>
      <c r="AF1572" t="str">
        <f>""</f>
        <v/>
      </c>
      <c r="AG1572" t="str">
        <f>""</f>
        <v/>
      </c>
      <c r="AH1572" t="str">
        <f>""</f>
        <v/>
      </c>
      <c r="AI1572" t="str">
        <f>""</f>
        <v/>
      </c>
      <c r="AJ1572" t="str">
        <f>""</f>
        <v/>
      </c>
      <c r="AK1572" t="str">
        <f>""</f>
        <v/>
      </c>
      <c r="AL1572" t="str">
        <f>""</f>
        <v/>
      </c>
      <c r="AM1572" t="str">
        <f>""</f>
        <v/>
      </c>
      <c r="AN1572" t="str">
        <f>""</f>
        <v/>
      </c>
      <c r="AO1572" t="str">
        <f>""</f>
        <v/>
      </c>
      <c r="AP1572" t="str">
        <f>""</f>
        <v/>
      </c>
      <c r="AQ1572" t="str">
        <f>""</f>
        <v/>
      </c>
      <c r="AR1572" t="str">
        <f>""</f>
        <v/>
      </c>
      <c r="AS1572" t="str">
        <f>""</f>
        <v/>
      </c>
      <c r="AT1572" t="str">
        <f>""</f>
        <v/>
      </c>
      <c r="AU1572" t="str">
        <f>""</f>
        <v/>
      </c>
      <c r="AV1572" t="str">
        <f>""</f>
        <v/>
      </c>
      <c r="AW1572" t="str">
        <f>""</f>
        <v/>
      </c>
      <c r="AX1572" t="str">
        <f>""</f>
        <v/>
      </c>
      <c r="AY1572" t="str">
        <f>""</f>
        <v/>
      </c>
      <c r="AZ1572" t="str">
        <f>""</f>
        <v/>
      </c>
      <c r="BA1572" t="str">
        <f>""</f>
        <v/>
      </c>
      <c r="BB1572" t="str">
        <f>"11/07/2023 02:26:32"</f>
        <v>11/07/2023 02:26:32</v>
      </c>
      <c r="BC1572" t="str">
        <f>""</f>
        <v/>
      </c>
      <c r="BD1572" t="str">
        <f>""</f>
        <v/>
      </c>
      <c r="BE1572" t="str">
        <f>""</f>
        <v/>
      </c>
      <c r="BF1572" t="str">
        <f t="shared" si="787"/>
        <v>A</v>
      </c>
      <c r="BG1572" t="str">
        <f>""</f>
        <v/>
      </c>
      <c r="BH1572" t="str">
        <f>""</f>
        <v/>
      </c>
      <c r="BI1572" t="str">
        <f t="shared" si="803"/>
        <v>EVENTUAL</v>
      </c>
      <c r="BJ1572" t="str">
        <f t="shared" si="788"/>
        <v>1</v>
      </c>
      <c r="BK1572" t="str">
        <f t="shared" si="789"/>
        <v>Farmacia</v>
      </c>
      <c r="BL1572" t="str">
        <f>""</f>
        <v/>
      </c>
      <c r="BM1572" t="str">
        <f>""</f>
        <v/>
      </c>
      <c r="BN1572" t="str">
        <f>""</f>
        <v/>
      </c>
      <c r="BO1572" t="str">
        <f>""</f>
        <v/>
      </c>
      <c r="BP1572" t="str">
        <f>""</f>
        <v/>
      </c>
      <c r="BQ1572" t="str">
        <f>""</f>
        <v/>
      </c>
      <c r="BR1572" t="str">
        <f>"11/07/2023"</f>
        <v>11/07/2023</v>
      </c>
      <c r="BS1572" t="str">
        <f>""</f>
        <v/>
      </c>
      <c r="BT1572" t="str">
        <f>""</f>
        <v/>
      </c>
      <c r="BU1572" t="str">
        <f>""</f>
        <v/>
      </c>
      <c r="BV1572" t="str">
        <f>""</f>
        <v/>
      </c>
      <c r="BW1572" t="str">
        <f>"8"</f>
        <v>8</v>
      </c>
    </row>
    <row r="1573" spans="1:75" x14ac:dyDescent="0.35">
      <c r="A1573">
        <v>157053</v>
      </c>
      <c r="B1573" t="str">
        <f t="shared" si="784"/>
        <v>A</v>
      </c>
      <c r="C1573" t="str">
        <f t="shared" si="785"/>
        <v>80</v>
      </c>
      <c r="D1573" t="str">
        <f t="shared" si="777"/>
        <v>11121004</v>
      </c>
      <c r="E1573" t="str">
        <f t="shared" si="778"/>
        <v>121004</v>
      </c>
      <c r="F1573" t="str">
        <f t="shared" si="779"/>
        <v>FABIANA GODOY</v>
      </c>
      <c r="G1573" t="str">
        <f>"46836545000133"</f>
        <v>46836545000133</v>
      </c>
      <c r="H1573" t="str">
        <f t="shared" si="802"/>
        <v>0</v>
      </c>
      <c r="I1573" t="str">
        <f t="shared" si="786"/>
        <v>CONTA OPTICA</v>
      </c>
      <c r="J1573" t="str">
        <f>"OTICA GRATTA LTDA"</f>
        <v>OTICA GRATTA LTDA</v>
      </c>
      <c r="K1573" t="str">
        <f>"OTICA GRATTA (4597)"</f>
        <v>OTICA GRATTA (4597)</v>
      </c>
      <c r="L1573" t="str">
        <f>""</f>
        <v/>
      </c>
      <c r="M1573" t="str">
        <f>""</f>
        <v/>
      </c>
      <c r="N1573" t="str">
        <f>"MARIANADUARTE0312@GMAIL.COM"</f>
        <v>MARIANADUARTE0312@GMAIL.COM</v>
      </c>
      <c r="O1573" t="str">
        <f>""</f>
        <v/>
      </c>
      <c r="P1573" t="str">
        <f>"RUA SANTA CATARINA"</f>
        <v>RUA SANTA CATARINA</v>
      </c>
      <c r="Q1573" t="str">
        <f>"2654"</f>
        <v>2654</v>
      </c>
      <c r="R1573" t="str">
        <f>"SALA 03"</f>
        <v>SALA 03</v>
      </c>
      <c r="S1573" t="str">
        <f>""</f>
        <v/>
      </c>
      <c r="T1573" t="str">
        <f>"89148000"</f>
        <v>89148000</v>
      </c>
      <c r="U1573" t="str">
        <f>"CENTRO"</f>
        <v>CENTRO</v>
      </c>
      <c r="V1573" t="str">
        <f>"VITOR MEIRELES"</f>
        <v>VITOR MEIRELES</v>
      </c>
      <c r="W1573" t="str">
        <f t="shared" si="773"/>
        <v>SC</v>
      </c>
      <c r="X1573" t="str">
        <f t="shared" ref="X1573:X1579" si="805">"47"</f>
        <v>47</v>
      </c>
      <c r="Y1573" t="str">
        <f>"996998365"</f>
        <v>996998365</v>
      </c>
      <c r="Z1573" t="str">
        <f>""</f>
        <v/>
      </c>
      <c r="AA1573" t="str">
        <f>""</f>
        <v/>
      </c>
      <c r="AB1573" t="str">
        <f>""</f>
        <v/>
      </c>
      <c r="AC1573" t="str">
        <f>""</f>
        <v/>
      </c>
      <c r="AD1573" t="str">
        <f>""</f>
        <v/>
      </c>
      <c r="AE1573" t="str">
        <f>""</f>
        <v/>
      </c>
      <c r="AF1573" t="str">
        <f>""</f>
        <v/>
      </c>
      <c r="AG1573" t="str">
        <f>""</f>
        <v/>
      </c>
      <c r="AH1573" t="str">
        <f>""</f>
        <v/>
      </c>
      <c r="AI1573" t="str">
        <f>""</f>
        <v/>
      </c>
      <c r="AJ1573" t="str">
        <f>""</f>
        <v/>
      </c>
      <c r="AK1573" t="str">
        <f>""</f>
        <v/>
      </c>
      <c r="AL1573" t="str">
        <f>""</f>
        <v/>
      </c>
      <c r="AM1573" t="str">
        <f>""</f>
        <v/>
      </c>
      <c r="AN1573" t="str">
        <f>""</f>
        <v/>
      </c>
      <c r="AO1573" t="str">
        <f>""</f>
        <v/>
      </c>
      <c r="AP1573" t="str">
        <f>""</f>
        <v/>
      </c>
      <c r="AQ1573" t="str">
        <f>""</f>
        <v/>
      </c>
      <c r="AR1573" t="str">
        <f>""</f>
        <v/>
      </c>
      <c r="AS1573" t="str">
        <f>""</f>
        <v/>
      </c>
      <c r="AT1573" t="str">
        <f>""</f>
        <v/>
      </c>
      <c r="AU1573" t="str">
        <f>""</f>
        <v/>
      </c>
      <c r="AV1573" t="str">
        <f>""</f>
        <v/>
      </c>
      <c r="AW1573" t="str">
        <f>""</f>
        <v/>
      </c>
      <c r="AX1573" t="str">
        <f>""</f>
        <v/>
      </c>
      <c r="AY1573" t="str">
        <f>""</f>
        <v/>
      </c>
      <c r="AZ1573" t="str">
        <f>""</f>
        <v/>
      </c>
      <c r="BA1573" t="str">
        <f>""</f>
        <v/>
      </c>
      <c r="BB1573" t="str">
        <f>"06/07/2023 12:07:48"</f>
        <v>06/07/2023 12:07:48</v>
      </c>
      <c r="BC1573" t="str">
        <f>""</f>
        <v/>
      </c>
      <c r="BD1573" t="str">
        <f>""</f>
        <v/>
      </c>
      <c r="BE1573" t="str">
        <f>""</f>
        <v/>
      </c>
      <c r="BF1573" t="str">
        <f t="shared" si="787"/>
        <v>A</v>
      </c>
      <c r="BG1573" t="str">
        <f>""</f>
        <v/>
      </c>
      <c r="BH1573" t="str">
        <f>""</f>
        <v/>
      </c>
      <c r="BI1573" t="str">
        <f t="shared" si="803"/>
        <v>EVENTUAL</v>
      </c>
      <c r="BJ1573" t="str">
        <f t="shared" si="788"/>
        <v>1</v>
      </c>
      <c r="BK1573" t="str">
        <f t="shared" si="789"/>
        <v>Farmacia</v>
      </c>
      <c r="BL1573" t="str">
        <f>""</f>
        <v/>
      </c>
      <c r="BM1573" t="str">
        <f>""</f>
        <v/>
      </c>
      <c r="BN1573" t="str">
        <f>""</f>
        <v/>
      </c>
      <c r="BO1573" t="str">
        <f>""</f>
        <v/>
      </c>
      <c r="BP1573" t="str">
        <f>""</f>
        <v/>
      </c>
      <c r="BQ1573" t="str">
        <f>""</f>
        <v/>
      </c>
      <c r="BR1573" t="str">
        <f>"06/07/2023"</f>
        <v>06/07/2023</v>
      </c>
      <c r="BS1573" t="str">
        <f>""</f>
        <v/>
      </c>
      <c r="BT1573" t="str">
        <f>""</f>
        <v/>
      </c>
      <c r="BU1573" t="str">
        <f>""</f>
        <v/>
      </c>
      <c r="BV1573" t="str">
        <f>""</f>
        <v/>
      </c>
      <c r="BW1573" t="str">
        <f>"120"</f>
        <v>120</v>
      </c>
    </row>
    <row r="1574" spans="1:75" x14ac:dyDescent="0.35">
      <c r="A1574">
        <v>137791</v>
      </c>
      <c r="B1574" t="str">
        <f t="shared" si="784"/>
        <v>A</v>
      </c>
      <c r="C1574" t="str">
        <f t="shared" si="785"/>
        <v>80</v>
      </c>
      <c r="D1574" t="str">
        <f t="shared" si="777"/>
        <v>11121004</v>
      </c>
      <c r="E1574" t="str">
        <f t="shared" si="778"/>
        <v>121004</v>
      </c>
      <c r="F1574" t="str">
        <f t="shared" si="779"/>
        <v>FABIANA GODOY</v>
      </c>
      <c r="G1574" t="str">
        <f>"82645086000174"</f>
        <v>82645086000174</v>
      </c>
      <c r="H1574" t="str">
        <f t="shared" si="802"/>
        <v>0</v>
      </c>
      <c r="I1574" t="str">
        <f t="shared" si="786"/>
        <v>CONTA OPTICA</v>
      </c>
      <c r="J1574" t="str">
        <f>"OTICA HOPPE LTDA"</f>
        <v>OTICA HOPPE LTDA</v>
      </c>
      <c r="K1574" t="str">
        <f>"OTICA HOPPE (313)"</f>
        <v>OTICA HOPPE (313)</v>
      </c>
      <c r="L1574" t="str">
        <f>""</f>
        <v/>
      </c>
      <c r="M1574" t="str">
        <f>""</f>
        <v/>
      </c>
      <c r="N1574" t="str">
        <f>"opticahoppe@gmail.com"</f>
        <v>opticahoppe@gmail.com</v>
      </c>
      <c r="O1574" t="str">
        <f>""</f>
        <v/>
      </c>
      <c r="P1574" t="str">
        <f>"RUA SAO PAULO"</f>
        <v>RUA SAO PAULO</v>
      </c>
      <c r="Q1574" t="str">
        <f>"3030"</f>
        <v>3030</v>
      </c>
      <c r="R1574" t="str">
        <f>""</f>
        <v/>
      </c>
      <c r="S1574" t="str">
        <f>"1273"</f>
        <v>1273</v>
      </c>
      <c r="T1574" t="str">
        <f>"89030000"</f>
        <v>89030000</v>
      </c>
      <c r="U1574" t="str">
        <f>"ITOUPAVA SECA"</f>
        <v>ITOUPAVA SECA</v>
      </c>
      <c r="V1574" t="str">
        <f>"BLUMENAU"</f>
        <v>BLUMENAU</v>
      </c>
      <c r="W1574" t="str">
        <f t="shared" si="773"/>
        <v>SC</v>
      </c>
      <c r="X1574" t="str">
        <f t="shared" si="805"/>
        <v>47</v>
      </c>
      <c r="Y1574" t="str">
        <f>"33231695"</f>
        <v>33231695</v>
      </c>
      <c r="Z1574" t="str">
        <f>""</f>
        <v/>
      </c>
      <c r="AA1574" t="str">
        <f>""</f>
        <v/>
      </c>
      <c r="AB1574" t="str">
        <f>""</f>
        <v/>
      </c>
      <c r="AC1574" t="str">
        <f>""</f>
        <v/>
      </c>
      <c r="AD1574" t="str">
        <f>""</f>
        <v/>
      </c>
      <c r="AE1574" t="str">
        <f>""</f>
        <v/>
      </c>
      <c r="AF1574" t="str">
        <f>""</f>
        <v/>
      </c>
      <c r="AG1574" t="str">
        <f>"S"</f>
        <v>S</v>
      </c>
      <c r="AH1574" t="str">
        <f>""</f>
        <v/>
      </c>
      <c r="AI1574" t="str">
        <f>""</f>
        <v/>
      </c>
      <c r="AJ1574" t="str">
        <f>""</f>
        <v/>
      </c>
      <c r="AK1574" t="str">
        <f>""</f>
        <v/>
      </c>
      <c r="AL1574" t="str">
        <f>""</f>
        <v/>
      </c>
      <c r="AM1574" t="str">
        <f>""</f>
        <v/>
      </c>
      <c r="AN1574" t="str">
        <f>""</f>
        <v/>
      </c>
      <c r="AO1574" t="str">
        <f>""</f>
        <v/>
      </c>
      <c r="AP1574" t="str">
        <f>""</f>
        <v/>
      </c>
      <c r="AQ1574" t="str">
        <f t="shared" ref="AQ1574:AU1575" si="806">"N"</f>
        <v>N</v>
      </c>
      <c r="AR1574" t="str">
        <f t="shared" si="806"/>
        <v>N</v>
      </c>
      <c r="AS1574" t="str">
        <f t="shared" si="806"/>
        <v>N</v>
      </c>
      <c r="AT1574" t="str">
        <f t="shared" si="806"/>
        <v>N</v>
      </c>
      <c r="AU1574" t="str">
        <f t="shared" si="806"/>
        <v>N</v>
      </c>
      <c r="AV1574" t="str">
        <f>""</f>
        <v/>
      </c>
      <c r="AW1574" t="str">
        <f>""</f>
        <v/>
      </c>
      <c r="AX1574" t="str">
        <f>""</f>
        <v/>
      </c>
      <c r="AY1574" t="str">
        <f>""</f>
        <v/>
      </c>
      <c r="AZ1574" t="str">
        <f>""</f>
        <v/>
      </c>
      <c r="BA1574" t="str">
        <f>""</f>
        <v/>
      </c>
      <c r="BB1574" t="str">
        <f>"01/07/2021 13:53:04"</f>
        <v>01/07/2021 13:53:04</v>
      </c>
      <c r="BC1574" t="str">
        <f>"15/03/2022 08:55:58"</f>
        <v>15/03/2022 08:55:58</v>
      </c>
      <c r="BD1574" t="str">
        <f>""</f>
        <v/>
      </c>
      <c r="BE1574" t="str">
        <f>""</f>
        <v/>
      </c>
      <c r="BF1574" t="str">
        <f t="shared" si="787"/>
        <v>A</v>
      </c>
      <c r="BG1574" t="str">
        <f>""</f>
        <v/>
      </c>
      <c r="BH1574" t="str">
        <f>"0,00"</f>
        <v>0,00</v>
      </c>
      <c r="BI1574" t="str">
        <f t="shared" si="803"/>
        <v>EVENTUAL</v>
      </c>
      <c r="BJ1574" t="str">
        <f t="shared" si="788"/>
        <v>1</v>
      </c>
      <c r="BK1574" t="str">
        <f t="shared" si="789"/>
        <v>Farmacia</v>
      </c>
      <c r="BL1574" t="str">
        <f>""</f>
        <v/>
      </c>
      <c r="BM1574" t="str">
        <f>"VARILUX ESPECIALISTA PLATINE"</f>
        <v>VARILUX ESPECIALISTA PLATINE</v>
      </c>
      <c r="BN1574" t="str">
        <f>"NA"</f>
        <v>NA</v>
      </c>
      <c r="BO1574" t="str">
        <f>"FOCO VARILUX DIGITAL"</f>
        <v>FOCO VARILUX DIGITAL</v>
      </c>
      <c r="BP1574" t="str">
        <f>""</f>
        <v/>
      </c>
      <c r="BQ1574" t="str">
        <f>""</f>
        <v/>
      </c>
      <c r="BR1574" t="str">
        <f>"01/07/2021"</f>
        <v>01/07/2021</v>
      </c>
      <c r="BS1574" t="str">
        <f>"15/03/2022"</f>
        <v>15/03/2022</v>
      </c>
      <c r="BT1574" t="str">
        <f>""</f>
        <v/>
      </c>
      <c r="BU1574" t="str">
        <f>""</f>
        <v/>
      </c>
      <c r="BV1574" t="str">
        <f>""</f>
        <v/>
      </c>
      <c r="BW1574" t="str">
        <f>"23"</f>
        <v>23</v>
      </c>
    </row>
    <row r="1575" spans="1:75" x14ac:dyDescent="0.35">
      <c r="A1575">
        <v>137792</v>
      </c>
      <c r="B1575" t="str">
        <f t="shared" si="784"/>
        <v>A</v>
      </c>
      <c r="C1575" t="str">
        <f t="shared" si="785"/>
        <v>80</v>
      </c>
      <c r="D1575" t="str">
        <f t="shared" si="777"/>
        <v>11121004</v>
      </c>
      <c r="E1575" t="str">
        <f t="shared" si="778"/>
        <v>121004</v>
      </c>
      <c r="F1575" t="str">
        <f t="shared" si="779"/>
        <v>FABIANA GODOY</v>
      </c>
      <c r="G1575" t="str">
        <f>"83240614000178"</f>
        <v>83240614000178</v>
      </c>
      <c r="H1575" t="str">
        <f t="shared" si="802"/>
        <v>0</v>
      </c>
      <c r="I1575" t="str">
        <f t="shared" si="786"/>
        <v>CONTA OPTICA</v>
      </c>
      <c r="J1575" t="str">
        <f>"OTICA HUSADEL LTDA"</f>
        <v>OTICA HUSADEL LTDA</v>
      </c>
      <c r="K1575" t="str">
        <f>"OTICA HUSADEL LTDA (314)"</f>
        <v>OTICA HUSADEL LTDA (314)</v>
      </c>
      <c r="L1575" t="str">
        <f>""</f>
        <v/>
      </c>
      <c r="M1575" t="str">
        <f>""</f>
        <v/>
      </c>
      <c r="N1575" t="str">
        <f>"husadel.otica@oi.com.br"</f>
        <v>husadel.otica@oi.com.br</v>
      </c>
      <c r="O1575" t="str">
        <f>""</f>
        <v/>
      </c>
      <c r="P1575" t="str">
        <f>"RUA QUINZE DE NOVEMBRO"</f>
        <v>RUA QUINZE DE NOVEMBRO</v>
      </c>
      <c r="Q1575" t="str">
        <f>"801"</f>
        <v>801</v>
      </c>
      <c r="R1575" t="str">
        <f>""</f>
        <v/>
      </c>
      <c r="S1575" t="str">
        <f>"1271"</f>
        <v>1271</v>
      </c>
      <c r="T1575" t="str">
        <f>"89010001"</f>
        <v>89010001</v>
      </c>
      <c r="U1575" t="str">
        <f>"CENTRO"</f>
        <v>CENTRO</v>
      </c>
      <c r="V1575" t="str">
        <f>"BLUMENAU"</f>
        <v>BLUMENAU</v>
      </c>
      <c r="W1575" t="str">
        <f t="shared" si="773"/>
        <v>SC</v>
      </c>
      <c r="X1575" t="str">
        <f t="shared" si="805"/>
        <v>47</v>
      </c>
      <c r="Y1575" t="str">
        <f>"33223768"</f>
        <v>33223768</v>
      </c>
      <c r="Z1575" t="str">
        <f>""</f>
        <v/>
      </c>
      <c r="AA1575" t="str">
        <f>""</f>
        <v/>
      </c>
      <c r="AB1575" t="str">
        <f>""</f>
        <v/>
      </c>
      <c r="AC1575" t="str">
        <f>""</f>
        <v/>
      </c>
      <c r="AD1575" t="str">
        <f>""</f>
        <v/>
      </c>
      <c r="AE1575" t="str">
        <f>""</f>
        <v/>
      </c>
      <c r="AF1575" t="str">
        <f>""</f>
        <v/>
      </c>
      <c r="AG1575" t="str">
        <f>"S"</f>
        <v>S</v>
      </c>
      <c r="AH1575" t="str">
        <f>""</f>
        <v/>
      </c>
      <c r="AI1575" t="str">
        <f>""</f>
        <v/>
      </c>
      <c r="AJ1575" t="str">
        <f>""</f>
        <v/>
      </c>
      <c r="AK1575" t="str">
        <f>""</f>
        <v/>
      </c>
      <c r="AL1575" t="str">
        <f>""</f>
        <v/>
      </c>
      <c r="AM1575" t="str">
        <f>""</f>
        <v/>
      </c>
      <c r="AN1575" t="str">
        <f>""</f>
        <v/>
      </c>
      <c r="AO1575" t="str">
        <f>""</f>
        <v/>
      </c>
      <c r="AP1575" t="str">
        <f>""</f>
        <v/>
      </c>
      <c r="AQ1575" t="str">
        <f t="shared" si="806"/>
        <v>N</v>
      </c>
      <c r="AR1575" t="str">
        <f t="shared" si="806"/>
        <v>N</v>
      </c>
      <c r="AS1575" t="str">
        <f t="shared" si="806"/>
        <v>N</v>
      </c>
      <c r="AT1575" t="str">
        <f t="shared" si="806"/>
        <v>N</v>
      </c>
      <c r="AU1575" t="str">
        <f t="shared" si="806"/>
        <v>N</v>
      </c>
      <c r="AV1575" t="str">
        <f>""</f>
        <v/>
      </c>
      <c r="AW1575" t="str">
        <f>""</f>
        <v/>
      </c>
      <c r="AX1575" t="str">
        <f>""</f>
        <v/>
      </c>
      <c r="AY1575" t="str">
        <f>""</f>
        <v/>
      </c>
      <c r="AZ1575" t="str">
        <f>""</f>
        <v/>
      </c>
      <c r="BA1575" t="str">
        <f>""</f>
        <v/>
      </c>
      <c r="BB1575" t="str">
        <f>"01/07/2021 13:53:04"</f>
        <v>01/07/2021 13:53:04</v>
      </c>
      <c r="BC1575" t="str">
        <f>"18/04/2022 16:11:53"</f>
        <v>18/04/2022 16:11:53</v>
      </c>
      <c r="BD1575" t="str">
        <f>""</f>
        <v/>
      </c>
      <c r="BE1575" t="str">
        <f>""</f>
        <v/>
      </c>
      <c r="BF1575" t="str">
        <f t="shared" si="787"/>
        <v>A</v>
      </c>
      <c r="BG1575" t="str">
        <f>""</f>
        <v/>
      </c>
      <c r="BH1575" t="str">
        <f>"0,00"</f>
        <v>0,00</v>
      </c>
      <c r="BI1575" t="str">
        <f t="shared" si="803"/>
        <v>EVENTUAL</v>
      </c>
      <c r="BJ1575" t="str">
        <f t="shared" si="788"/>
        <v>1</v>
      </c>
      <c r="BK1575" t="str">
        <f t="shared" si="789"/>
        <v>Farmacia</v>
      </c>
      <c r="BL1575" t="str">
        <f>""</f>
        <v/>
      </c>
      <c r="BM1575" t="str">
        <f>"VARILUX ESPECIALISTA SELECT"</f>
        <v>VARILUX ESPECIALISTA SELECT</v>
      </c>
      <c r="BN1575" t="str">
        <f>"NA"</f>
        <v>NA</v>
      </c>
      <c r="BO1575" t="str">
        <f>"FOCO VARILUX DIGITAL"</f>
        <v>FOCO VARILUX DIGITAL</v>
      </c>
      <c r="BP1575" t="str">
        <f>""</f>
        <v/>
      </c>
      <c r="BQ1575" t="str">
        <f>""</f>
        <v/>
      </c>
      <c r="BR1575" t="str">
        <f>"01/07/2021"</f>
        <v>01/07/2021</v>
      </c>
      <c r="BS1575" t="str">
        <f>"18/04/2022"</f>
        <v>18/04/2022</v>
      </c>
      <c r="BT1575" t="str">
        <f>""</f>
        <v/>
      </c>
      <c r="BU1575" t="str">
        <f>""</f>
        <v/>
      </c>
      <c r="BV1575" t="str">
        <f>""</f>
        <v/>
      </c>
      <c r="BW1575" t="str">
        <f>"2"</f>
        <v>2</v>
      </c>
    </row>
    <row r="1576" spans="1:75" x14ac:dyDescent="0.35">
      <c r="A1576">
        <v>157124</v>
      </c>
      <c r="B1576" t="str">
        <f t="shared" si="784"/>
        <v>A</v>
      </c>
      <c r="C1576" t="str">
        <f t="shared" si="785"/>
        <v>80</v>
      </c>
      <c r="D1576" t="str">
        <f t="shared" si="777"/>
        <v>11121004</v>
      </c>
      <c r="E1576" t="str">
        <f t="shared" si="778"/>
        <v>121004</v>
      </c>
      <c r="F1576" t="str">
        <f t="shared" si="779"/>
        <v>FABIANA GODOY</v>
      </c>
      <c r="G1576" t="str">
        <f>"22194483000145"</f>
        <v>22194483000145</v>
      </c>
      <c r="H1576" t="str">
        <f t="shared" si="802"/>
        <v>0</v>
      </c>
      <c r="I1576" t="str">
        <f t="shared" si="786"/>
        <v>CONTA OPTICA</v>
      </c>
      <c r="J1576" t="str">
        <f>"OTICA IMPERIO LTDA ME"</f>
        <v>OTICA IMPERIO LTDA ME</v>
      </c>
      <c r="K1576" t="str">
        <f>"OTICA IMPERIO  (2219)"</f>
        <v>OTICA IMPERIO  (2219)</v>
      </c>
      <c r="L1576" t="str">
        <f>""</f>
        <v/>
      </c>
      <c r="M1576" t="str">
        <f>""</f>
        <v/>
      </c>
      <c r="N1576" t="str">
        <f>"IMPERIOOTICA@HOTMAIL.COM"</f>
        <v>IMPERIOOTICA@HOTMAIL.COM</v>
      </c>
      <c r="O1576" t="str">
        <f>""</f>
        <v/>
      </c>
      <c r="P1576" t="str">
        <f>"RUA 252"</f>
        <v>RUA 252</v>
      </c>
      <c r="Q1576" t="str">
        <f>"181"</f>
        <v>181</v>
      </c>
      <c r="R1576" t="str">
        <f>"SALA 01"</f>
        <v>SALA 01</v>
      </c>
      <c r="S1576" t="str">
        <f>"1260"</f>
        <v>1260</v>
      </c>
      <c r="T1576" t="str">
        <f>"88220000"</f>
        <v>88220000</v>
      </c>
      <c r="U1576" t="str">
        <f>"MEIA PRAIA"</f>
        <v>MEIA PRAIA</v>
      </c>
      <c r="V1576" t="str">
        <f>"ITAPEMA"</f>
        <v>ITAPEMA</v>
      </c>
      <c r="W1576" t="str">
        <f t="shared" si="773"/>
        <v>SC</v>
      </c>
      <c r="X1576" t="str">
        <f t="shared" si="805"/>
        <v>47</v>
      </c>
      <c r="Y1576" t="str">
        <f>"33639228"</f>
        <v>33639228</v>
      </c>
      <c r="Z1576" t="str">
        <f>""</f>
        <v/>
      </c>
      <c r="AA1576" t="str">
        <f>""</f>
        <v/>
      </c>
      <c r="AB1576" t="str">
        <f>""</f>
        <v/>
      </c>
      <c r="AC1576" t="str">
        <f>""</f>
        <v/>
      </c>
      <c r="AD1576" t="str">
        <f>""</f>
        <v/>
      </c>
      <c r="AE1576" t="str">
        <f>""</f>
        <v/>
      </c>
      <c r="AF1576" t="str">
        <f>""</f>
        <v/>
      </c>
      <c r="AG1576" t="str">
        <f>""</f>
        <v/>
      </c>
      <c r="AH1576" t="str">
        <f>""</f>
        <v/>
      </c>
      <c r="AI1576" t="str">
        <f>""</f>
        <v/>
      </c>
      <c r="AJ1576" t="str">
        <f>""</f>
        <v/>
      </c>
      <c r="AK1576" t="str">
        <f>""</f>
        <v/>
      </c>
      <c r="AL1576" t="str">
        <f>""</f>
        <v/>
      </c>
      <c r="AM1576" t="str">
        <f>""</f>
        <v/>
      </c>
      <c r="AN1576" t="str">
        <f>""</f>
        <v/>
      </c>
      <c r="AO1576" t="str">
        <f>""</f>
        <v/>
      </c>
      <c r="AP1576" t="str">
        <f>""</f>
        <v/>
      </c>
      <c r="AQ1576" t="str">
        <f>""</f>
        <v/>
      </c>
      <c r="AR1576" t="str">
        <f>""</f>
        <v/>
      </c>
      <c r="AS1576" t="str">
        <f>""</f>
        <v/>
      </c>
      <c r="AT1576" t="str">
        <f>""</f>
        <v/>
      </c>
      <c r="AU1576" t="str">
        <f>""</f>
        <v/>
      </c>
      <c r="AV1576" t="str">
        <f>""</f>
        <v/>
      </c>
      <c r="AW1576" t="str">
        <f>""</f>
        <v/>
      </c>
      <c r="AX1576" t="str">
        <f>""</f>
        <v/>
      </c>
      <c r="AY1576" t="str">
        <f>""</f>
        <v/>
      </c>
      <c r="AZ1576" t="str">
        <f>""</f>
        <v/>
      </c>
      <c r="BA1576" t="str">
        <f>""</f>
        <v/>
      </c>
      <c r="BB1576" t="str">
        <f>"06/07/2023 12:07:48"</f>
        <v>06/07/2023 12:07:48</v>
      </c>
      <c r="BC1576" t="str">
        <f>""</f>
        <v/>
      </c>
      <c r="BD1576" t="str">
        <f>""</f>
        <v/>
      </c>
      <c r="BE1576" t="str">
        <f>""</f>
        <v/>
      </c>
      <c r="BF1576" t="str">
        <f t="shared" si="787"/>
        <v>A</v>
      </c>
      <c r="BG1576" t="str">
        <f>""</f>
        <v/>
      </c>
      <c r="BH1576" t="str">
        <f>""</f>
        <v/>
      </c>
      <c r="BI1576" t="str">
        <f t="shared" si="803"/>
        <v>EVENTUAL</v>
      </c>
      <c r="BJ1576" t="str">
        <f t="shared" si="788"/>
        <v>1</v>
      </c>
      <c r="BK1576" t="str">
        <f t="shared" si="789"/>
        <v>Farmacia</v>
      </c>
      <c r="BL1576" t="str">
        <f>""</f>
        <v/>
      </c>
      <c r="BM1576" t="str">
        <f>""</f>
        <v/>
      </c>
      <c r="BN1576" t="str">
        <f>""</f>
        <v/>
      </c>
      <c r="BO1576" t="str">
        <f>""</f>
        <v/>
      </c>
      <c r="BP1576" t="str">
        <f>""</f>
        <v/>
      </c>
      <c r="BQ1576" t="str">
        <f>""</f>
        <v/>
      </c>
      <c r="BR1576" t="str">
        <f>"06/07/2023"</f>
        <v>06/07/2023</v>
      </c>
      <c r="BS1576" t="str">
        <f>""</f>
        <v/>
      </c>
      <c r="BT1576" t="str">
        <f>""</f>
        <v/>
      </c>
      <c r="BU1576" t="str">
        <f>""</f>
        <v/>
      </c>
      <c r="BV1576" t="str">
        <f>""</f>
        <v/>
      </c>
      <c r="BW1576" t="str">
        <f>"Não visitado"</f>
        <v>Não visitado</v>
      </c>
    </row>
    <row r="1577" spans="1:75" x14ac:dyDescent="0.35">
      <c r="A1577">
        <v>137794</v>
      </c>
      <c r="B1577" t="str">
        <f t="shared" si="784"/>
        <v>A</v>
      </c>
      <c r="C1577" t="str">
        <f t="shared" si="785"/>
        <v>80</v>
      </c>
      <c r="D1577" t="str">
        <f t="shared" si="777"/>
        <v>11121004</v>
      </c>
      <c r="E1577" t="str">
        <f t="shared" si="778"/>
        <v>121004</v>
      </c>
      <c r="F1577" t="str">
        <f t="shared" si="779"/>
        <v>FABIANA GODOY</v>
      </c>
      <c r="G1577" t="str">
        <f>"38444452000135"</f>
        <v>38444452000135</v>
      </c>
      <c r="H1577" t="str">
        <f t="shared" si="802"/>
        <v>0</v>
      </c>
      <c r="I1577" t="str">
        <f t="shared" si="786"/>
        <v>CONTA OPTICA</v>
      </c>
      <c r="J1577" t="str">
        <f>"OTICA INDAIAL LTDA"</f>
        <v>OTICA INDAIAL LTDA</v>
      </c>
      <c r="K1577" t="str">
        <f>"INSTITUTO DOS OCULOS (4204)"</f>
        <v>INSTITUTO DOS OCULOS (4204)</v>
      </c>
      <c r="L1577" t="str">
        <f>""</f>
        <v/>
      </c>
      <c r="M1577" t="str">
        <f>""</f>
        <v/>
      </c>
      <c r="N1577" t="str">
        <f>"indaial@institutodosoculos.com"</f>
        <v>indaial@institutodosoculos.com</v>
      </c>
      <c r="O1577" t="str">
        <f>""</f>
        <v/>
      </c>
      <c r="P1577" t="str">
        <f>"RUA MARECHAL DEODORO DA FONSECA"</f>
        <v>RUA MARECHAL DEODORO DA FONSECA</v>
      </c>
      <c r="Q1577" t="str">
        <f>"1025"</f>
        <v>1025</v>
      </c>
      <c r="R1577" t="str">
        <f>"LADO LOTERICA"</f>
        <v>LADO LOTERICA</v>
      </c>
      <c r="S1577" t="str">
        <f>""</f>
        <v/>
      </c>
      <c r="T1577" t="str">
        <f>"89080126"</f>
        <v>89080126</v>
      </c>
      <c r="U1577" t="str">
        <f>"TAPAJOS"</f>
        <v>TAPAJOS</v>
      </c>
      <c r="V1577" t="str">
        <f>"INDAIAL"</f>
        <v>INDAIAL</v>
      </c>
      <c r="W1577" t="str">
        <f t="shared" si="773"/>
        <v>SC</v>
      </c>
      <c r="X1577" t="str">
        <f t="shared" si="805"/>
        <v>47</v>
      </c>
      <c r="Y1577" t="str">
        <f>"992926091"</f>
        <v>992926091</v>
      </c>
      <c r="Z1577" t="str">
        <f>""</f>
        <v/>
      </c>
      <c r="AA1577" t="str">
        <f>""</f>
        <v/>
      </c>
      <c r="AB1577" t="str">
        <f>""</f>
        <v/>
      </c>
      <c r="AC1577" t="str">
        <f>""</f>
        <v/>
      </c>
      <c r="AD1577" t="str">
        <f>""</f>
        <v/>
      </c>
      <c r="AE1577" t="str">
        <f>""</f>
        <v/>
      </c>
      <c r="AF1577" t="str">
        <f>""</f>
        <v/>
      </c>
      <c r="AG1577" t="str">
        <f>"S"</f>
        <v>S</v>
      </c>
      <c r="AH1577" t="str">
        <f>""</f>
        <v/>
      </c>
      <c r="AI1577" t="str">
        <f>""</f>
        <v/>
      </c>
      <c r="AJ1577" t="str">
        <f>""</f>
        <v/>
      </c>
      <c r="AK1577" t="str">
        <f>""</f>
        <v/>
      </c>
      <c r="AL1577" t="str">
        <f>""</f>
        <v/>
      </c>
      <c r="AM1577" t="str">
        <f>""</f>
        <v/>
      </c>
      <c r="AN1577" t="str">
        <f>""</f>
        <v/>
      </c>
      <c r="AO1577" t="str">
        <f>""</f>
        <v/>
      </c>
      <c r="AP1577" t="str">
        <f>""</f>
        <v/>
      </c>
      <c r="AQ1577" t="str">
        <f>"N"</f>
        <v>N</v>
      </c>
      <c r="AR1577" t="str">
        <f>"N"</f>
        <v>N</v>
      </c>
      <c r="AS1577" t="str">
        <f>"N"</f>
        <v>N</v>
      </c>
      <c r="AT1577" t="str">
        <f>"N"</f>
        <v>N</v>
      </c>
      <c r="AU1577" t="str">
        <f>"N"</f>
        <v>N</v>
      </c>
      <c r="AV1577" t="str">
        <f>""</f>
        <v/>
      </c>
      <c r="AW1577" t="str">
        <f>""</f>
        <v/>
      </c>
      <c r="AX1577" t="str">
        <f>""</f>
        <v/>
      </c>
      <c r="AY1577" t="str">
        <f>""</f>
        <v/>
      </c>
      <c r="AZ1577" t="str">
        <f>""</f>
        <v/>
      </c>
      <c r="BA1577" t="str">
        <f>""</f>
        <v/>
      </c>
      <c r="BB1577" t="str">
        <f>"01/07/2021 13:53:04"</f>
        <v>01/07/2021 13:53:04</v>
      </c>
      <c r="BC1577" t="str">
        <f>"28/04/2022 08:40:08"</f>
        <v>28/04/2022 08:40:08</v>
      </c>
      <c r="BD1577" t="str">
        <f>""</f>
        <v/>
      </c>
      <c r="BE1577" t="str">
        <f>""</f>
        <v/>
      </c>
      <c r="BF1577" t="str">
        <f t="shared" si="787"/>
        <v>A</v>
      </c>
      <c r="BG1577" t="str">
        <f>""</f>
        <v/>
      </c>
      <c r="BH1577" t="str">
        <f>"0,00"</f>
        <v>0,00</v>
      </c>
      <c r="BI1577" t="str">
        <f t="shared" si="803"/>
        <v>EVENTUAL</v>
      </c>
      <c r="BJ1577" t="str">
        <f t="shared" si="788"/>
        <v>1</v>
      </c>
      <c r="BK1577" t="str">
        <f t="shared" si="789"/>
        <v>Farmacia</v>
      </c>
      <c r="BL1577" t="str">
        <f>""</f>
        <v/>
      </c>
      <c r="BM1577" t="str">
        <f>"NÃO É VARILUX ESPECIALISTA"</f>
        <v>NÃO É VARILUX ESPECIALISTA</v>
      </c>
      <c r="BN1577" t="str">
        <f>"NA"</f>
        <v>NA</v>
      </c>
      <c r="BO1577" t="str">
        <f>"FOCO VARILUX"</f>
        <v>FOCO VARILUX</v>
      </c>
      <c r="BP1577" t="str">
        <f>""</f>
        <v/>
      </c>
      <c r="BQ1577" t="str">
        <f>""</f>
        <v/>
      </c>
      <c r="BR1577" t="str">
        <f>"01/07/2021"</f>
        <v>01/07/2021</v>
      </c>
      <c r="BS1577" t="str">
        <f>"28/04/2022"</f>
        <v>28/04/2022</v>
      </c>
      <c r="BT1577" t="str">
        <f>""</f>
        <v/>
      </c>
      <c r="BU1577" t="str">
        <f>""</f>
        <v/>
      </c>
      <c r="BV1577" t="str">
        <f>""</f>
        <v/>
      </c>
      <c r="BW1577" t="str">
        <f>"44"</f>
        <v>44</v>
      </c>
    </row>
    <row r="1578" spans="1:75" x14ac:dyDescent="0.35">
      <c r="A1578">
        <v>157745</v>
      </c>
      <c r="B1578" t="str">
        <f t="shared" si="784"/>
        <v>A</v>
      </c>
      <c r="C1578" t="str">
        <f t="shared" si="785"/>
        <v>80</v>
      </c>
      <c r="D1578" t="str">
        <f t="shared" si="777"/>
        <v>11121004</v>
      </c>
      <c r="E1578" t="str">
        <f t="shared" si="778"/>
        <v>121004</v>
      </c>
      <c r="F1578" t="str">
        <f t="shared" si="779"/>
        <v>FABIANA GODOY</v>
      </c>
      <c r="G1578" t="str">
        <f>"06166659000107"</f>
        <v>06166659000107</v>
      </c>
      <c r="H1578" t="str">
        <f t="shared" si="802"/>
        <v>0</v>
      </c>
      <c r="I1578" t="str">
        <f t="shared" si="786"/>
        <v>CONTA OPTICA</v>
      </c>
      <c r="J1578" t="str">
        <f>"OTICA INOVA LTDA ME"</f>
        <v>OTICA INOVA LTDA ME</v>
      </c>
      <c r="K1578" t="str">
        <f>"OTICA INOVA (1330)"</f>
        <v>OTICA INOVA (1330)</v>
      </c>
      <c r="L1578" t="str">
        <f>""</f>
        <v/>
      </c>
      <c r="M1578" t="str">
        <f>""</f>
        <v/>
      </c>
      <c r="N1578" t="str">
        <f>"COMERCIAL@OTICAINOVA.COM.BR"</f>
        <v>COMERCIAL@OTICAINOVA.COM.BR</v>
      </c>
      <c r="O1578" t="str">
        <f>""</f>
        <v/>
      </c>
      <c r="P1578" t="str">
        <f>"RUA PORTO ALEGRE"</f>
        <v>RUA PORTO ALEGRE</v>
      </c>
      <c r="Q1578" t="str">
        <f>"60"</f>
        <v>60</v>
      </c>
      <c r="R1578" t="str">
        <f>""</f>
        <v/>
      </c>
      <c r="S1578" t="str">
        <f>"1275"</f>
        <v>1275</v>
      </c>
      <c r="T1578" t="str">
        <f>"89130000"</f>
        <v>89130000</v>
      </c>
      <c r="U1578" t="str">
        <f>"TAPAJOS"</f>
        <v>TAPAJOS</v>
      </c>
      <c r="V1578" t="str">
        <f>"INDAIAL"</f>
        <v>INDAIAL</v>
      </c>
      <c r="W1578" t="str">
        <f t="shared" si="773"/>
        <v>SC</v>
      </c>
      <c r="X1578" t="str">
        <f t="shared" si="805"/>
        <v>47</v>
      </c>
      <c r="Y1578" t="str">
        <f>"33941476"</f>
        <v>33941476</v>
      </c>
      <c r="Z1578" t="str">
        <f>""</f>
        <v/>
      </c>
      <c r="AA1578" t="str">
        <f>""</f>
        <v/>
      </c>
      <c r="AB1578" t="str">
        <f>""</f>
        <v/>
      </c>
      <c r="AC1578" t="str">
        <f>""</f>
        <v/>
      </c>
      <c r="AD1578" t="str">
        <f>""</f>
        <v/>
      </c>
      <c r="AE1578" t="str">
        <f>""</f>
        <v/>
      </c>
      <c r="AF1578" t="str">
        <f>""</f>
        <v/>
      </c>
      <c r="AG1578" t="str">
        <f>""</f>
        <v/>
      </c>
      <c r="AH1578" t="str">
        <f>""</f>
        <v/>
      </c>
      <c r="AI1578" t="str">
        <f>""</f>
        <v/>
      </c>
      <c r="AJ1578" t="str">
        <f>""</f>
        <v/>
      </c>
      <c r="AK1578" t="str">
        <f>""</f>
        <v/>
      </c>
      <c r="AL1578" t="str">
        <f>""</f>
        <v/>
      </c>
      <c r="AM1578" t="str">
        <f>""</f>
        <v/>
      </c>
      <c r="AN1578" t="str">
        <f>""</f>
        <v/>
      </c>
      <c r="AO1578" t="str">
        <f>""</f>
        <v/>
      </c>
      <c r="AP1578" t="str">
        <f>""</f>
        <v/>
      </c>
      <c r="AQ1578" t="str">
        <f>""</f>
        <v/>
      </c>
      <c r="AR1578" t="str">
        <f>""</f>
        <v/>
      </c>
      <c r="AS1578" t="str">
        <f>""</f>
        <v/>
      </c>
      <c r="AT1578" t="str">
        <f>""</f>
        <v/>
      </c>
      <c r="AU1578" t="str">
        <f>""</f>
        <v/>
      </c>
      <c r="AV1578" t="str">
        <f>""</f>
        <v/>
      </c>
      <c r="AW1578" t="str">
        <f>""</f>
        <v/>
      </c>
      <c r="AX1578" t="str">
        <f>""</f>
        <v/>
      </c>
      <c r="AY1578" t="str">
        <f>""</f>
        <v/>
      </c>
      <c r="AZ1578" t="str">
        <f>""</f>
        <v/>
      </c>
      <c r="BA1578" t="str">
        <f>""</f>
        <v/>
      </c>
      <c r="BB1578" t="str">
        <f>"11/07/2023 02:26:32"</f>
        <v>11/07/2023 02:26:32</v>
      </c>
      <c r="BC1578" t="str">
        <f>""</f>
        <v/>
      </c>
      <c r="BD1578" t="str">
        <f>""</f>
        <v/>
      </c>
      <c r="BE1578" t="str">
        <f>""</f>
        <v/>
      </c>
      <c r="BF1578" t="str">
        <f t="shared" si="787"/>
        <v>A</v>
      </c>
      <c r="BG1578" t="str">
        <f>""</f>
        <v/>
      </c>
      <c r="BH1578" t="str">
        <f>""</f>
        <v/>
      </c>
      <c r="BI1578" t="str">
        <f t="shared" si="803"/>
        <v>EVENTUAL</v>
      </c>
      <c r="BJ1578" t="str">
        <f t="shared" si="788"/>
        <v>1</v>
      </c>
      <c r="BK1578" t="str">
        <f t="shared" si="789"/>
        <v>Farmacia</v>
      </c>
      <c r="BL1578" t="str">
        <f>""</f>
        <v/>
      </c>
      <c r="BM1578" t="str">
        <f>""</f>
        <v/>
      </c>
      <c r="BN1578" t="str">
        <f>""</f>
        <v/>
      </c>
      <c r="BO1578" t="str">
        <f>""</f>
        <v/>
      </c>
      <c r="BP1578" t="str">
        <f>""</f>
        <v/>
      </c>
      <c r="BQ1578" t="str">
        <f>""</f>
        <v/>
      </c>
      <c r="BR1578" t="str">
        <f>"11/07/2023"</f>
        <v>11/07/2023</v>
      </c>
      <c r="BS1578" t="str">
        <f>""</f>
        <v/>
      </c>
      <c r="BT1578" t="str">
        <f>""</f>
        <v/>
      </c>
      <c r="BU1578" t="str">
        <f>""</f>
        <v/>
      </c>
      <c r="BV1578" t="str">
        <f>""</f>
        <v/>
      </c>
      <c r="BW1578" t="str">
        <f>"Não visitado"</f>
        <v>Não visitado</v>
      </c>
    </row>
    <row r="1579" spans="1:75" x14ac:dyDescent="0.35">
      <c r="A1579">
        <v>137796</v>
      </c>
      <c r="B1579" t="str">
        <f t="shared" si="784"/>
        <v>A</v>
      </c>
      <c r="C1579" t="str">
        <f t="shared" si="785"/>
        <v>80</v>
      </c>
      <c r="D1579" t="str">
        <f t="shared" si="777"/>
        <v>11121004</v>
      </c>
      <c r="E1579" t="str">
        <f t="shared" si="778"/>
        <v>121004</v>
      </c>
      <c r="F1579" t="str">
        <f t="shared" si="779"/>
        <v>FABIANA GODOY</v>
      </c>
      <c r="G1579" t="str">
        <f>"85205938000109"</f>
        <v>85205938000109</v>
      </c>
      <c r="H1579" t="str">
        <f t="shared" si="802"/>
        <v>0</v>
      </c>
      <c r="I1579" t="str">
        <f t="shared" si="786"/>
        <v>CONTA OPTICA</v>
      </c>
      <c r="J1579" t="str">
        <f>"OTICA ITACU LTDA ME"</f>
        <v>OTICA ITACU LTDA ME</v>
      </c>
      <c r="K1579" t="str">
        <f>"OTICA ITACU LTDA ME (1272)"</f>
        <v>OTICA ITACU LTDA ME (1272)</v>
      </c>
      <c r="L1579" t="str">
        <f>""</f>
        <v/>
      </c>
      <c r="M1579" t="str">
        <f>""</f>
        <v/>
      </c>
      <c r="N1579" t="str">
        <f>"itacu@terra.com.br"</f>
        <v>itacu@terra.com.br</v>
      </c>
      <c r="O1579" t="str">
        <f>""</f>
        <v/>
      </c>
      <c r="P1579" t="str">
        <f>"RUA 1500"</f>
        <v>RUA 1500</v>
      </c>
      <c r="Q1579" t="str">
        <f>"1020"</f>
        <v>1020</v>
      </c>
      <c r="R1579" t="str">
        <f>"SALA 01"</f>
        <v>SALA 01</v>
      </c>
      <c r="S1579" t="str">
        <f>"1262"</f>
        <v>1262</v>
      </c>
      <c r="T1579" t="str">
        <f>"88330657"</f>
        <v>88330657</v>
      </c>
      <c r="U1579" t="str">
        <f>"CENTRO"</f>
        <v>CENTRO</v>
      </c>
      <c r="V1579" t="str">
        <f>"BALNEÁRIO CAMBORIÚ"</f>
        <v>BALNEÁRIO CAMBORIÚ</v>
      </c>
      <c r="W1579" t="str">
        <f t="shared" si="773"/>
        <v>SC</v>
      </c>
      <c r="X1579" t="str">
        <f t="shared" si="805"/>
        <v>47</v>
      </c>
      <c r="Y1579" t="str">
        <f>"33632369"</f>
        <v>33632369</v>
      </c>
      <c r="Z1579" t="str">
        <f>""</f>
        <v/>
      </c>
      <c r="AA1579" t="str">
        <f>""</f>
        <v/>
      </c>
      <c r="AB1579" t="str">
        <f>""</f>
        <v/>
      </c>
      <c r="AC1579" t="str">
        <f>""</f>
        <v/>
      </c>
      <c r="AD1579" t="str">
        <f>""</f>
        <v/>
      </c>
      <c r="AE1579" t="str">
        <f>""</f>
        <v/>
      </c>
      <c r="AF1579" t="str">
        <f>""</f>
        <v/>
      </c>
      <c r="AG1579" t="str">
        <f>"S"</f>
        <v>S</v>
      </c>
      <c r="AH1579" t="str">
        <f>""</f>
        <v/>
      </c>
      <c r="AI1579" t="str">
        <f>""</f>
        <v/>
      </c>
      <c r="AJ1579" t="str">
        <f>""</f>
        <v/>
      </c>
      <c r="AK1579" t="str">
        <f>""</f>
        <v/>
      </c>
      <c r="AL1579" t="str">
        <f>""</f>
        <v/>
      </c>
      <c r="AM1579" t="str">
        <f>""</f>
        <v/>
      </c>
      <c r="AN1579" t="str">
        <f>""</f>
        <v/>
      </c>
      <c r="AO1579" t="str">
        <f>""</f>
        <v/>
      </c>
      <c r="AP1579" t="str">
        <f>""</f>
        <v/>
      </c>
      <c r="AQ1579" t="str">
        <f>"N"</f>
        <v>N</v>
      </c>
      <c r="AR1579" t="str">
        <f>"N"</f>
        <v>N</v>
      </c>
      <c r="AS1579" t="str">
        <f>"N"</f>
        <v>N</v>
      </c>
      <c r="AT1579" t="str">
        <f>"N"</f>
        <v>N</v>
      </c>
      <c r="AU1579" t="str">
        <f>"N"</f>
        <v>N</v>
      </c>
      <c r="AV1579" t="str">
        <f>""</f>
        <v/>
      </c>
      <c r="AW1579" t="str">
        <f>""</f>
        <v/>
      </c>
      <c r="AX1579" t="str">
        <f>""</f>
        <v/>
      </c>
      <c r="AY1579" t="str">
        <f>""</f>
        <v/>
      </c>
      <c r="AZ1579" t="str">
        <f>""</f>
        <v/>
      </c>
      <c r="BA1579" t="str">
        <f>""</f>
        <v/>
      </c>
      <c r="BB1579" t="str">
        <f>"01/07/2021 13:53:04"</f>
        <v>01/07/2021 13:53:04</v>
      </c>
      <c r="BC1579" t="str">
        <f>"22/04/2022 10:27:43"</f>
        <v>22/04/2022 10:27:43</v>
      </c>
      <c r="BD1579" t="str">
        <f>""</f>
        <v/>
      </c>
      <c r="BE1579" t="str">
        <f>""</f>
        <v/>
      </c>
      <c r="BF1579" t="str">
        <f t="shared" si="787"/>
        <v>A</v>
      </c>
      <c r="BG1579" t="str">
        <f>""</f>
        <v/>
      </c>
      <c r="BH1579" t="str">
        <f>"0,00"</f>
        <v>0,00</v>
      </c>
      <c r="BI1579" t="str">
        <f t="shared" si="803"/>
        <v>EVENTUAL</v>
      </c>
      <c r="BJ1579" t="str">
        <f t="shared" si="788"/>
        <v>1</v>
      </c>
      <c r="BK1579" t="str">
        <f t="shared" si="789"/>
        <v>Farmacia</v>
      </c>
      <c r="BL1579" t="str">
        <f>""</f>
        <v/>
      </c>
      <c r="BM1579" t="str">
        <f>"VARILUX ESPECIALISTA PREMIER"</f>
        <v>VARILUX ESPECIALISTA PREMIER</v>
      </c>
      <c r="BN1579" t="str">
        <f>"NA"</f>
        <v>NA</v>
      </c>
      <c r="BO1579" t="str">
        <f>"FOCO VARILUX DIGITAL"</f>
        <v>FOCO VARILUX DIGITAL</v>
      </c>
      <c r="BP1579" t="str">
        <f>""</f>
        <v/>
      </c>
      <c r="BQ1579" t="str">
        <f>""</f>
        <v/>
      </c>
      <c r="BR1579" t="str">
        <f>"01/07/2021"</f>
        <v>01/07/2021</v>
      </c>
      <c r="BS1579" t="str">
        <f>"22/04/2022"</f>
        <v>22/04/2022</v>
      </c>
      <c r="BT1579" t="str">
        <f>""</f>
        <v/>
      </c>
      <c r="BU1579" t="str">
        <f>""</f>
        <v/>
      </c>
      <c r="BV1579" t="str">
        <f>""</f>
        <v/>
      </c>
      <c r="BW1579" t="str">
        <f>"11"</f>
        <v>11</v>
      </c>
    </row>
    <row r="1580" spans="1:75" x14ac:dyDescent="0.35">
      <c r="A1580">
        <v>157066</v>
      </c>
      <c r="B1580" t="str">
        <f t="shared" si="784"/>
        <v>A</v>
      </c>
      <c r="C1580" t="str">
        <f t="shared" si="785"/>
        <v>80</v>
      </c>
      <c r="D1580" t="str">
        <f t="shared" si="777"/>
        <v>11121004</v>
      </c>
      <c r="E1580" t="str">
        <f t="shared" si="778"/>
        <v>121004</v>
      </c>
      <c r="F1580" t="str">
        <f t="shared" si="779"/>
        <v>FABIANA GODOY</v>
      </c>
      <c r="G1580" t="str">
        <f>"30839953000290"</f>
        <v>30839953000290</v>
      </c>
      <c r="H1580" t="str">
        <f t="shared" si="802"/>
        <v>0</v>
      </c>
      <c r="I1580" t="str">
        <f t="shared" si="786"/>
        <v>CONTA OPTICA</v>
      </c>
      <c r="J1580" t="str">
        <f>"OTICA ITAJAI LTDA"</f>
        <v>OTICA ITAJAI LTDA</v>
      </c>
      <c r="K1580" t="str">
        <f>"INSTITUTO DOS OCULOS (4318)"</f>
        <v>INSTITUTO DOS OCULOS (4318)</v>
      </c>
      <c r="L1580" t="str">
        <f>""</f>
        <v/>
      </c>
      <c r="M1580" t="str">
        <f>""</f>
        <v/>
      </c>
      <c r="N1580" t="str">
        <f>"CONTASAPAGAR@INSTITUTODOSOCULOS.COM"</f>
        <v>CONTASAPAGAR@INSTITUTODOSOCULOS.COM</v>
      </c>
      <c r="O1580" t="str">
        <f>""</f>
        <v/>
      </c>
      <c r="P1580" t="str">
        <f>"RUA 15 DE NOVEMBRO"</f>
        <v>RUA 15 DE NOVEMBRO</v>
      </c>
      <c r="Q1580" t="str">
        <f>"500"</f>
        <v>500</v>
      </c>
      <c r="R1580" t="str">
        <f>"LOJA 02"</f>
        <v>LOJA 02</v>
      </c>
      <c r="S1580" t="str">
        <f>"1271"</f>
        <v>1271</v>
      </c>
      <c r="T1580" t="str">
        <f>"89010000"</f>
        <v>89010000</v>
      </c>
      <c r="U1580" t="str">
        <f>"CENTRO"</f>
        <v>CENTRO</v>
      </c>
      <c r="V1580" t="str">
        <f>"BLUMENAU"</f>
        <v>BLUMENAU</v>
      </c>
      <c r="W1580" t="str">
        <f t="shared" si="773"/>
        <v>SC</v>
      </c>
      <c r="X1580" t="str">
        <f>"41"</f>
        <v>41</v>
      </c>
      <c r="Y1580" t="str">
        <f>"30174314"</f>
        <v>30174314</v>
      </c>
      <c r="Z1580" t="str">
        <f>""</f>
        <v/>
      </c>
      <c r="AA1580" t="str">
        <f>""</f>
        <v/>
      </c>
      <c r="AB1580" t="str">
        <f>""</f>
        <v/>
      </c>
      <c r="AC1580" t="str">
        <f>""</f>
        <v/>
      </c>
      <c r="AD1580" t="str">
        <f>""</f>
        <v/>
      </c>
      <c r="AE1580" t="str">
        <f>""</f>
        <v/>
      </c>
      <c r="AF1580" t="str">
        <f>""</f>
        <v/>
      </c>
      <c r="AG1580" t="str">
        <f>""</f>
        <v/>
      </c>
      <c r="AH1580" t="str">
        <f>""</f>
        <v/>
      </c>
      <c r="AI1580" t="str">
        <f>""</f>
        <v/>
      </c>
      <c r="AJ1580" t="str">
        <f>""</f>
        <v/>
      </c>
      <c r="AK1580" t="str">
        <f>""</f>
        <v/>
      </c>
      <c r="AL1580" t="str">
        <f>""</f>
        <v/>
      </c>
      <c r="AM1580" t="str">
        <f>""</f>
        <v/>
      </c>
      <c r="AN1580" t="str">
        <f>""</f>
        <v/>
      </c>
      <c r="AO1580" t="str">
        <f>""</f>
        <v/>
      </c>
      <c r="AP1580" t="str">
        <f>""</f>
        <v/>
      </c>
      <c r="AQ1580" t="str">
        <f>""</f>
        <v/>
      </c>
      <c r="AR1580" t="str">
        <f>""</f>
        <v/>
      </c>
      <c r="AS1580" t="str">
        <f>""</f>
        <v/>
      </c>
      <c r="AT1580" t="str">
        <f>""</f>
        <v/>
      </c>
      <c r="AU1580" t="str">
        <f>""</f>
        <v/>
      </c>
      <c r="AV1580" t="str">
        <f>""</f>
        <v/>
      </c>
      <c r="AW1580" t="str">
        <f>""</f>
        <v/>
      </c>
      <c r="AX1580" t="str">
        <f>""</f>
        <v/>
      </c>
      <c r="AY1580" t="str">
        <f>""</f>
        <v/>
      </c>
      <c r="AZ1580" t="str">
        <f>""</f>
        <v/>
      </c>
      <c r="BA1580" t="str">
        <f>""</f>
        <v/>
      </c>
      <c r="BB1580" t="str">
        <f>"06/07/2023 12:07:48"</f>
        <v>06/07/2023 12:07:48</v>
      </c>
      <c r="BC1580" t="str">
        <f>""</f>
        <v/>
      </c>
      <c r="BD1580" t="str">
        <f>""</f>
        <v/>
      </c>
      <c r="BE1580" t="str">
        <f>""</f>
        <v/>
      </c>
      <c r="BF1580" t="str">
        <f t="shared" si="787"/>
        <v>A</v>
      </c>
      <c r="BG1580" t="str">
        <f>""</f>
        <v/>
      </c>
      <c r="BH1580" t="str">
        <f>""</f>
        <v/>
      </c>
      <c r="BI1580" t="str">
        <f t="shared" si="803"/>
        <v>EVENTUAL</v>
      </c>
      <c r="BJ1580" t="str">
        <f t="shared" si="788"/>
        <v>1</v>
      </c>
      <c r="BK1580" t="str">
        <f t="shared" si="789"/>
        <v>Farmacia</v>
      </c>
      <c r="BL1580" t="str">
        <f>""</f>
        <v/>
      </c>
      <c r="BM1580" t="str">
        <f>""</f>
        <v/>
      </c>
      <c r="BN1580" t="str">
        <f>""</f>
        <v/>
      </c>
      <c r="BO1580" t="str">
        <f>""</f>
        <v/>
      </c>
      <c r="BP1580" t="str">
        <f>""</f>
        <v/>
      </c>
      <c r="BQ1580" t="str">
        <f>""</f>
        <v/>
      </c>
      <c r="BR1580" t="str">
        <f>"06/07/2023"</f>
        <v>06/07/2023</v>
      </c>
      <c r="BS1580" t="str">
        <f>""</f>
        <v/>
      </c>
      <c r="BT1580" t="str">
        <f>""</f>
        <v/>
      </c>
      <c r="BU1580" t="str">
        <f>""</f>
        <v/>
      </c>
      <c r="BV1580" t="str">
        <f>""</f>
        <v/>
      </c>
      <c r="BW1580" t="str">
        <f>"Não visitado"</f>
        <v>Não visitado</v>
      </c>
    </row>
    <row r="1581" spans="1:75" x14ac:dyDescent="0.35">
      <c r="A1581">
        <v>158714</v>
      </c>
      <c r="B1581" t="str">
        <f t="shared" si="784"/>
        <v>A</v>
      </c>
      <c r="C1581" t="str">
        <f t="shared" si="785"/>
        <v>80</v>
      </c>
      <c r="D1581" t="str">
        <f t="shared" si="777"/>
        <v>11121004</v>
      </c>
      <c r="E1581" t="str">
        <f t="shared" si="778"/>
        <v>121004</v>
      </c>
      <c r="F1581" t="str">
        <f t="shared" si="779"/>
        <v>FABIANA GODOY</v>
      </c>
      <c r="G1581" t="str">
        <f>"46426558000134"</f>
        <v>46426558000134</v>
      </c>
      <c r="H1581" t="str">
        <f>""</f>
        <v/>
      </c>
      <c r="I1581" t="str">
        <f t="shared" si="786"/>
        <v>CONTA OPTICA</v>
      </c>
      <c r="J1581" t="str">
        <f>"OTICA J.L. LTDA"</f>
        <v>OTICA J.L. LTDA</v>
      </c>
      <c r="K1581" t="str">
        <f>"LAINNE OTICA, JOIAS E RELOGIOS (4739)"</f>
        <v>LAINNE OTICA, JOIAS E RELOGIOS (4739)</v>
      </c>
      <c r="L1581" t="str">
        <f>""</f>
        <v/>
      </c>
      <c r="M1581" t="str">
        <f>""</f>
        <v/>
      </c>
      <c r="N1581" t="str">
        <f>"FINANCEIRO@OTICALAINNE.COM.BR"</f>
        <v>FINANCEIRO@OTICALAINNE.COM.BR</v>
      </c>
      <c r="O1581" t="str">
        <f>""</f>
        <v/>
      </c>
      <c r="P1581" t="str">
        <f>"RUA BOTUVERA SC 486"</f>
        <v>RUA BOTUVERA SC 486</v>
      </c>
      <c r="Q1581" t="str">
        <f>"184"</f>
        <v>184</v>
      </c>
      <c r="R1581" t="str">
        <f>"LOJA 02"</f>
        <v>LOJA 02</v>
      </c>
      <c r="S1581" t="str">
        <f>""</f>
        <v/>
      </c>
      <c r="T1581" t="str">
        <f>"88359002"</f>
        <v>88359002</v>
      </c>
      <c r="U1581" t="str">
        <f>"DOM JOAQUIM - URBANO"</f>
        <v>DOM JOAQUIM - URBANO</v>
      </c>
      <c r="V1581" t="str">
        <f>"BRUSQUE"</f>
        <v>BRUSQUE</v>
      </c>
      <c r="W1581" t="str">
        <f t="shared" si="773"/>
        <v>SC</v>
      </c>
      <c r="X1581" t="str">
        <f>""</f>
        <v/>
      </c>
      <c r="Y1581" t="str">
        <f>""</f>
        <v/>
      </c>
      <c r="Z1581" t="str">
        <f>""</f>
        <v/>
      </c>
      <c r="AA1581" t="str">
        <f>""</f>
        <v/>
      </c>
      <c r="AB1581" t="str">
        <f>""</f>
        <v/>
      </c>
      <c r="AC1581" t="str">
        <f>""</f>
        <v/>
      </c>
      <c r="AD1581" t="str">
        <f>""</f>
        <v/>
      </c>
      <c r="AE1581" t="str">
        <f>""</f>
        <v/>
      </c>
      <c r="AF1581" t="str">
        <f>""</f>
        <v/>
      </c>
      <c r="AG1581" t="str">
        <f>""</f>
        <v/>
      </c>
      <c r="AH1581" t="str">
        <f>""</f>
        <v/>
      </c>
      <c r="AI1581" t="str">
        <f>""</f>
        <v/>
      </c>
      <c r="AJ1581" t="str">
        <f>""</f>
        <v/>
      </c>
      <c r="AK1581" t="str">
        <f>""</f>
        <v/>
      </c>
      <c r="AL1581" t="str">
        <f>""</f>
        <v/>
      </c>
      <c r="AM1581" t="str">
        <f>""</f>
        <v/>
      </c>
      <c r="AN1581" t="str">
        <f>""</f>
        <v/>
      </c>
      <c r="AO1581" t="str">
        <f>""</f>
        <v/>
      </c>
      <c r="AP1581" t="str">
        <f>""</f>
        <v/>
      </c>
      <c r="AQ1581" t="str">
        <f>""</f>
        <v/>
      </c>
      <c r="AR1581" t="str">
        <f>""</f>
        <v/>
      </c>
      <c r="AS1581" t="str">
        <f>""</f>
        <v/>
      </c>
      <c r="AT1581" t="str">
        <f>""</f>
        <v/>
      </c>
      <c r="AU1581" t="str">
        <f>""</f>
        <v/>
      </c>
      <c r="AV1581" t="str">
        <f>""</f>
        <v/>
      </c>
      <c r="AW1581" t="str">
        <f>""</f>
        <v/>
      </c>
      <c r="AX1581" t="str">
        <f>""</f>
        <v/>
      </c>
      <c r="AY1581" t="str">
        <f>""</f>
        <v/>
      </c>
      <c r="AZ1581" t="str">
        <f>""</f>
        <v/>
      </c>
      <c r="BA1581" t="str">
        <f>""</f>
        <v/>
      </c>
      <c r="BB1581" t="str">
        <f>"17/08/2023 16:48:06"</f>
        <v>17/08/2023 16:48:06</v>
      </c>
      <c r="BC1581" t="str">
        <f>""</f>
        <v/>
      </c>
      <c r="BD1581" t="str">
        <f>""</f>
        <v/>
      </c>
      <c r="BE1581" t="str">
        <f>""</f>
        <v/>
      </c>
      <c r="BF1581" t="str">
        <f t="shared" si="787"/>
        <v>A</v>
      </c>
      <c r="BG1581" t="str">
        <f>""</f>
        <v/>
      </c>
      <c r="BH1581" t="str">
        <f>""</f>
        <v/>
      </c>
      <c r="BI1581" t="str">
        <f t="shared" si="803"/>
        <v>EVENTUAL</v>
      </c>
      <c r="BJ1581" t="str">
        <f t="shared" si="788"/>
        <v>1</v>
      </c>
      <c r="BK1581" t="str">
        <f t="shared" si="789"/>
        <v>Farmacia</v>
      </c>
      <c r="BL1581" t="str">
        <f>""</f>
        <v/>
      </c>
      <c r="BM1581" t="str">
        <f>""</f>
        <v/>
      </c>
      <c r="BN1581" t="str">
        <f>""</f>
        <v/>
      </c>
      <c r="BO1581" t="str">
        <f>""</f>
        <v/>
      </c>
      <c r="BP1581" t="str">
        <f>""</f>
        <v/>
      </c>
      <c r="BQ1581" t="str">
        <f>""</f>
        <v/>
      </c>
      <c r="BR1581" t="str">
        <f>"17/08/2023"</f>
        <v>17/08/2023</v>
      </c>
      <c r="BS1581" t="str">
        <f>""</f>
        <v/>
      </c>
      <c r="BT1581" t="str">
        <f>""</f>
        <v/>
      </c>
      <c r="BU1581" t="str">
        <f>""</f>
        <v/>
      </c>
      <c r="BV1581" t="str">
        <f>""</f>
        <v/>
      </c>
      <c r="BW1581" t="str">
        <f>"Não visitado"</f>
        <v>Não visitado</v>
      </c>
    </row>
    <row r="1582" spans="1:75" x14ac:dyDescent="0.35">
      <c r="A1582">
        <v>137798</v>
      </c>
      <c r="B1582" t="str">
        <f t="shared" si="784"/>
        <v>A</v>
      </c>
      <c r="C1582" t="str">
        <f t="shared" si="785"/>
        <v>80</v>
      </c>
      <c r="D1582" t="str">
        <f t="shared" si="777"/>
        <v>11121004</v>
      </c>
      <c r="E1582" t="str">
        <f t="shared" si="778"/>
        <v>121004</v>
      </c>
      <c r="F1582" t="str">
        <f t="shared" si="779"/>
        <v>FABIANA GODOY</v>
      </c>
      <c r="G1582" t="str">
        <f>"29747694000107"</f>
        <v>29747694000107</v>
      </c>
      <c r="H1582" t="str">
        <f>"0"</f>
        <v>0</v>
      </c>
      <c r="I1582" t="str">
        <f t="shared" si="786"/>
        <v>CONTA OPTICA</v>
      </c>
      <c r="J1582" t="str">
        <f>"OTICA JAN LTDA"</f>
        <v>OTICA JAN LTDA</v>
      </c>
      <c r="K1582" t="str">
        <f>"OTICA JAN (4265)"</f>
        <v>OTICA JAN (4265)</v>
      </c>
      <c r="L1582" t="str">
        <f>""</f>
        <v/>
      </c>
      <c r="M1582" t="str">
        <f>""</f>
        <v/>
      </c>
      <c r="N1582" t="str">
        <f>"oticajan@hotmail.com"</f>
        <v>oticajan@hotmail.com</v>
      </c>
      <c r="O1582" t="str">
        <f>""</f>
        <v/>
      </c>
      <c r="P1582" t="str">
        <f>"RUA DOS CACADORES"</f>
        <v>RUA DOS CACADORES</v>
      </c>
      <c r="Q1582" t="str">
        <f>"840"</f>
        <v>840</v>
      </c>
      <c r="R1582" t="str">
        <f>""</f>
        <v/>
      </c>
      <c r="S1582" t="str">
        <f>""</f>
        <v/>
      </c>
      <c r="T1582" t="str">
        <f>"89040000"</f>
        <v>89040000</v>
      </c>
      <c r="U1582" t="str">
        <f>"VELHA"</f>
        <v>VELHA</v>
      </c>
      <c r="V1582" t="str">
        <f>"BLUMENAU"</f>
        <v>BLUMENAU</v>
      </c>
      <c r="W1582" t="str">
        <f t="shared" si="773"/>
        <v>SC</v>
      </c>
      <c r="X1582" t="str">
        <f>"47"</f>
        <v>47</v>
      </c>
      <c r="Y1582" t="str">
        <f>"30419841"</f>
        <v>30419841</v>
      </c>
      <c r="Z1582" t="str">
        <f>""</f>
        <v/>
      </c>
      <c r="AA1582" t="str">
        <f>""</f>
        <v/>
      </c>
      <c r="AB1582" t="str">
        <f>""</f>
        <v/>
      </c>
      <c r="AC1582" t="str">
        <f>""</f>
        <v/>
      </c>
      <c r="AD1582" t="str">
        <f>""</f>
        <v/>
      </c>
      <c r="AE1582" t="str">
        <f>""</f>
        <v/>
      </c>
      <c r="AF1582" t="str">
        <f>""</f>
        <v/>
      </c>
      <c r="AG1582" t="str">
        <f>"S"</f>
        <v>S</v>
      </c>
      <c r="AH1582" t="str">
        <f>""</f>
        <v/>
      </c>
      <c r="AI1582" t="str">
        <f>""</f>
        <v/>
      </c>
      <c r="AJ1582" t="str">
        <f>""</f>
        <v/>
      </c>
      <c r="AK1582" t="str">
        <f>""</f>
        <v/>
      </c>
      <c r="AL1582" t="str">
        <f>""</f>
        <v/>
      </c>
      <c r="AM1582" t="str">
        <f>""</f>
        <v/>
      </c>
      <c r="AN1582" t="str">
        <f>""</f>
        <v/>
      </c>
      <c r="AO1582" t="str">
        <f>""</f>
        <v/>
      </c>
      <c r="AP1582" t="str">
        <f>""</f>
        <v/>
      </c>
      <c r="AQ1582" t="str">
        <f>"N"</f>
        <v>N</v>
      </c>
      <c r="AR1582" t="str">
        <f>"N"</f>
        <v>N</v>
      </c>
      <c r="AS1582" t="str">
        <f>"N"</f>
        <v>N</v>
      </c>
      <c r="AT1582" t="str">
        <f>"N"</f>
        <v>N</v>
      </c>
      <c r="AU1582" t="str">
        <f>"N"</f>
        <v>N</v>
      </c>
      <c r="AV1582" t="str">
        <f>""</f>
        <v/>
      </c>
      <c r="AW1582" t="str">
        <f>""</f>
        <v/>
      </c>
      <c r="AX1582" t="str">
        <f>""</f>
        <v/>
      </c>
      <c r="AY1582" t="str">
        <f>""</f>
        <v/>
      </c>
      <c r="AZ1582" t="str">
        <f>""</f>
        <v/>
      </c>
      <c r="BA1582" t="str">
        <f>""</f>
        <v/>
      </c>
      <c r="BB1582" t="str">
        <f>"01/07/2021 13:53:04"</f>
        <v>01/07/2021 13:53:04</v>
      </c>
      <c r="BC1582" t="str">
        <f>"29/08/2022 14:48:16"</f>
        <v>29/08/2022 14:48:16</v>
      </c>
      <c r="BD1582" t="str">
        <f>""</f>
        <v/>
      </c>
      <c r="BE1582" t="str">
        <f>""</f>
        <v/>
      </c>
      <c r="BF1582" t="str">
        <f t="shared" si="787"/>
        <v>A</v>
      </c>
      <c r="BG1582" t="str">
        <f>""</f>
        <v/>
      </c>
      <c r="BH1582" t="str">
        <f>"0,00"</f>
        <v>0,00</v>
      </c>
      <c r="BI1582" t="str">
        <f t="shared" si="803"/>
        <v>EVENTUAL</v>
      </c>
      <c r="BJ1582" t="str">
        <f t="shared" si="788"/>
        <v>1</v>
      </c>
      <c r="BK1582" t="str">
        <f t="shared" si="789"/>
        <v>Farmacia</v>
      </c>
      <c r="BL1582" t="str">
        <f>""</f>
        <v/>
      </c>
      <c r="BM1582" t="str">
        <f>"NÃO É VARILUX ESPECIALISTA"</f>
        <v>NÃO É VARILUX ESPECIALISTA</v>
      </c>
      <c r="BN1582" t="str">
        <f>"NA"</f>
        <v>NA</v>
      </c>
      <c r="BO1582" t="str">
        <f>"OUTROS"</f>
        <v>OUTROS</v>
      </c>
      <c r="BP1582" t="str">
        <f>""</f>
        <v/>
      </c>
      <c r="BQ1582" t="str">
        <f>""</f>
        <v/>
      </c>
      <c r="BR1582" t="str">
        <f>"01/07/2021"</f>
        <v>01/07/2021</v>
      </c>
      <c r="BS1582" t="str">
        <f>"29/08/2022"</f>
        <v>29/08/2022</v>
      </c>
      <c r="BT1582" t="str">
        <f>""</f>
        <v/>
      </c>
      <c r="BU1582" t="str">
        <f>""</f>
        <v/>
      </c>
      <c r="BV1582" t="str">
        <f>""</f>
        <v/>
      </c>
      <c r="BW1582" t="str">
        <f>"42"</f>
        <v>42</v>
      </c>
    </row>
    <row r="1583" spans="1:75" x14ac:dyDescent="0.35">
      <c r="A1583">
        <v>158719</v>
      </c>
      <c r="B1583" t="str">
        <f t="shared" si="784"/>
        <v>A</v>
      </c>
      <c r="C1583" t="str">
        <f t="shared" si="785"/>
        <v>80</v>
      </c>
      <c r="D1583" t="str">
        <f t="shared" si="777"/>
        <v>11121004</v>
      </c>
      <c r="E1583" t="str">
        <f t="shared" si="778"/>
        <v>121004</v>
      </c>
      <c r="F1583" t="str">
        <f t="shared" si="779"/>
        <v>FABIANA GODOY</v>
      </c>
      <c r="G1583" t="str">
        <f>"50723889000103"</f>
        <v>50723889000103</v>
      </c>
      <c r="H1583" t="str">
        <f>""</f>
        <v/>
      </c>
      <c r="I1583" t="str">
        <f t="shared" si="786"/>
        <v>CONTA OPTICA</v>
      </c>
      <c r="J1583" t="str">
        <f>"OTICA JC 02 LTDA"</f>
        <v>OTICA JC 02 LTDA</v>
      </c>
      <c r="K1583" t="str">
        <f>"OTICA JC (4727)"</f>
        <v>OTICA JC (4727)</v>
      </c>
      <c r="L1583" t="str">
        <f>""</f>
        <v/>
      </c>
      <c r="M1583" t="str">
        <f>""</f>
        <v/>
      </c>
      <c r="N1583" t="str">
        <f>"SC-BALNEARIOPICARRAS@MERCADAODOSOCULOS.COM.BR"</f>
        <v>SC-BALNEARIOPICARRAS@MERCADAODOSOCULOS.COM.BR</v>
      </c>
      <c r="O1583" t="str">
        <f>""</f>
        <v/>
      </c>
      <c r="P1583" t="str">
        <f>"GETULIO VARGAS"</f>
        <v>GETULIO VARGAS</v>
      </c>
      <c r="Q1583" t="str">
        <f>"45"</f>
        <v>45</v>
      </c>
      <c r="R1583" t="str">
        <f>"SALA 01"</f>
        <v>SALA 01</v>
      </c>
      <c r="S1583" t="str">
        <f>"1263"</f>
        <v>1263</v>
      </c>
      <c r="T1583" t="str">
        <f>"88380000"</f>
        <v>88380000</v>
      </c>
      <c r="U1583" t="str">
        <f>"CENTRO"</f>
        <v>CENTRO</v>
      </c>
      <c r="V1583" t="str">
        <f>"BALNEARIO PICARRAS"</f>
        <v>BALNEARIO PICARRAS</v>
      </c>
      <c r="W1583" t="str">
        <f t="shared" si="773"/>
        <v>SC</v>
      </c>
      <c r="X1583" t="str">
        <f>"48"</f>
        <v>48</v>
      </c>
      <c r="Y1583" t="str">
        <f>"992091177"</f>
        <v>992091177</v>
      </c>
      <c r="Z1583" t="str">
        <f>""</f>
        <v/>
      </c>
      <c r="AA1583" t="str">
        <f>""</f>
        <v/>
      </c>
      <c r="AB1583" t="str">
        <f>""</f>
        <v/>
      </c>
      <c r="AC1583" t="str">
        <f>""</f>
        <v/>
      </c>
      <c r="AD1583" t="str">
        <f>""</f>
        <v/>
      </c>
      <c r="AE1583" t="str">
        <f>""</f>
        <v/>
      </c>
      <c r="AF1583" t="str">
        <f>""</f>
        <v/>
      </c>
      <c r="AG1583" t="str">
        <f>""</f>
        <v/>
      </c>
      <c r="AH1583" t="str">
        <f>""</f>
        <v/>
      </c>
      <c r="AI1583" t="str">
        <f>""</f>
        <v/>
      </c>
      <c r="AJ1583" t="str">
        <f>""</f>
        <v/>
      </c>
      <c r="AK1583" t="str">
        <f>""</f>
        <v/>
      </c>
      <c r="AL1583" t="str">
        <f>""</f>
        <v/>
      </c>
      <c r="AM1583" t="str">
        <f>""</f>
        <v/>
      </c>
      <c r="AN1583" t="str">
        <f>""</f>
        <v/>
      </c>
      <c r="AO1583" t="str">
        <f>""</f>
        <v/>
      </c>
      <c r="AP1583" t="str">
        <f>""</f>
        <v/>
      </c>
      <c r="AQ1583" t="str">
        <f>""</f>
        <v/>
      </c>
      <c r="AR1583" t="str">
        <f>""</f>
        <v/>
      </c>
      <c r="AS1583" t="str">
        <f>""</f>
        <v/>
      </c>
      <c r="AT1583" t="str">
        <f>""</f>
        <v/>
      </c>
      <c r="AU1583" t="str">
        <f>""</f>
        <v/>
      </c>
      <c r="AV1583" t="str">
        <f>""</f>
        <v/>
      </c>
      <c r="AW1583" t="str">
        <f>""</f>
        <v/>
      </c>
      <c r="AX1583" t="str">
        <f>""</f>
        <v/>
      </c>
      <c r="AY1583" t="str">
        <f>""</f>
        <v/>
      </c>
      <c r="AZ1583" t="str">
        <f>""</f>
        <v/>
      </c>
      <c r="BA1583" t="str">
        <f>""</f>
        <v/>
      </c>
      <c r="BB1583" t="str">
        <f>"17/08/2023 16:48:06"</f>
        <v>17/08/2023 16:48:06</v>
      </c>
      <c r="BC1583" t="str">
        <f>""</f>
        <v/>
      </c>
      <c r="BD1583" t="str">
        <f>""</f>
        <v/>
      </c>
      <c r="BE1583" t="str">
        <f>""</f>
        <v/>
      </c>
      <c r="BF1583" t="str">
        <f t="shared" si="787"/>
        <v>A</v>
      </c>
      <c r="BG1583" t="str">
        <f>""</f>
        <v/>
      </c>
      <c r="BH1583" t="str">
        <f>""</f>
        <v/>
      </c>
      <c r="BI1583" t="str">
        <f t="shared" si="803"/>
        <v>EVENTUAL</v>
      </c>
      <c r="BJ1583" t="str">
        <f t="shared" si="788"/>
        <v>1</v>
      </c>
      <c r="BK1583" t="str">
        <f t="shared" si="789"/>
        <v>Farmacia</v>
      </c>
      <c r="BL1583" t="str">
        <f>""</f>
        <v/>
      </c>
      <c r="BM1583" t="str">
        <f>""</f>
        <v/>
      </c>
      <c r="BN1583" t="str">
        <f>""</f>
        <v/>
      </c>
      <c r="BO1583" t="str">
        <f>""</f>
        <v/>
      </c>
      <c r="BP1583" t="str">
        <f>""</f>
        <v/>
      </c>
      <c r="BQ1583" t="str">
        <f>""</f>
        <v/>
      </c>
      <c r="BR1583" t="str">
        <f>"17/08/2023"</f>
        <v>17/08/2023</v>
      </c>
      <c r="BS1583" t="str">
        <f>""</f>
        <v/>
      </c>
      <c r="BT1583" t="str">
        <f>""</f>
        <v/>
      </c>
      <c r="BU1583" t="str">
        <f>""</f>
        <v/>
      </c>
      <c r="BV1583" t="str">
        <f>""</f>
        <v/>
      </c>
      <c r="BW1583" t="str">
        <f>"Não visitado"</f>
        <v>Não visitado</v>
      </c>
    </row>
    <row r="1584" spans="1:75" x14ac:dyDescent="0.35">
      <c r="A1584">
        <v>158720</v>
      </c>
      <c r="B1584" t="str">
        <f t="shared" si="784"/>
        <v>A</v>
      </c>
      <c r="C1584" t="str">
        <f t="shared" si="785"/>
        <v>80</v>
      </c>
      <c r="D1584" t="str">
        <f t="shared" si="777"/>
        <v>11121004</v>
      </c>
      <c r="E1584" t="str">
        <f t="shared" si="778"/>
        <v>121004</v>
      </c>
      <c r="F1584" t="str">
        <f t="shared" si="779"/>
        <v>FABIANA GODOY</v>
      </c>
      <c r="G1584" t="str">
        <f>"46240223000127"</f>
        <v>46240223000127</v>
      </c>
      <c r="H1584" t="str">
        <f>""</f>
        <v/>
      </c>
      <c r="I1584" t="str">
        <f t="shared" si="786"/>
        <v>CONTA OPTICA</v>
      </c>
      <c r="J1584" t="str">
        <f>"OTICA JC LTDA"</f>
        <v>OTICA JC LTDA</v>
      </c>
      <c r="K1584" t="str">
        <f>"MERCADAO DOS OCULOS (4721)"</f>
        <v>MERCADAO DOS OCULOS (4721)</v>
      </c>
      <c r="L1584" t="str">
        <f>""</f>
        <v/>
      </c>
      <c r="M1584" t="str">
        <f>""</f>
        <v/>
      </c>
      <c r="N1584" t="str">
        <f>"SC-PENHA@MERCADAODOSOCULOS.COM.BR"</f>
        <v>SC-PENHA@MERCADAODOSOCULOS.COM.BR</v>
      </c>
      <c r="O1584" t="str">
        <f>""</f>
        <v/>
      </c>
      <c r="P1584" t="str">
        <f>"RUA NILO ANASTACIO VIEIRA"</f>
        <v>RUA NILO ANASTACIO VIEIRA</v>
      </c>
      <c r="Q1584" t="str">
        <f>"27"</f>
        <v>27</v>
      </c>
      <c r="R1584" t="str">
        <f>""</f>
        <v/>
      </c>
      <c r="S1584" t="str">
        <f>"1263"</f>
        <v>1263</v>
      </c>
      <c r="T1584" t="str">
        <f>"88385000"</f>
        <v>88385000</v>
      </c>
      <c r="U1584" t="str">
        <f>"CENTRO"</f>
        <v>CENTRO</v>
      </c>
      <c r="V1584" t="str">
        <f>"PENHA"</f>
        <v>PENHA</v>
      </c>
      <c r="W1584" t="str">
        <f t="shared" ref="W1584:W1647" si="807">"SC"</f>
        <v>SC</v>
      </c>
      <c r="X1584" t="str">
        <f>"48"</f>
        <v>48</v>
      </c>
      <c r="Y1584" t="str">
        <f>"992091177"</f>
        <v>992091177</v>
      </c>
      <c r="Z1584" t="str">
        <f>""</f>
        <v/>
      </c>
      <c r="AA1584" t="str">
        <f>""</f>
        <v/>
      </c>
      <c r="AB1584" t="str">
        <f>""</f>
        <v/>
      </c>
      <c r="AC1584" t="str">
        <f>""</f>
        <v/>
      </c>
      <c r="AD1584" t="str">
        <f>""</f>
        <v/>
      </c>
      <c r="AE1584" t="str">
        <f>""</f>
        <v/>
      </c>
      <c r="AF1584" t="str">
        <f>""</f>
        <v/>
      </c>
      <c r="AG1584" t="str">
        <f>""</f>
        <v/>
      </c>
      <c r="AH1584" t="str">
        <f>""</f>
        <v/>
      </c>
      <c r="AI1584" t="str">
        <f>""</f>
        <v/>
      </c>
      <c r="AJ1584" t="str">
        <f>""</f>
        <v/>
      </c>
      <c r="AK1584" t="str">
        <f>""</f>
        <v/>
      </c>
      <c r="AL1584" t="str">
        <f>""</f>
        <v/>
      </c>
      <c r="AM1584" t="str">
        <f>""</f>
        <v/>
      </c>
      <c r="AN1584" t="str">
        <f>""</f>
        <v/>
      </c>
      <c r="AO1584" t="str">
        <f>""</f>
        <v/>
      </c>
      <c r="AP1584" t="str">
        <f>""</f>
        <v/>
      </c>
      <c r="AQ1584" t="str">
        <f>""</f>
        <v/>
      </c>
      <c r="AR1584" t="str">
        <f>""</f>
        <v/>
      </c>
      <c r="AS1584" t="str">
        <f>""</f>
        <v/>
      </c>
      <c r="AT1584" t="str">
        <f>""</f>
        <v/>
      </c>
      <c r="AU1584" t="str">
        <f>""</f>
        <v/>
      </c>
      <c r="AV1584" t="str">
        <f>""</f>
        <v/>
      </c>
      <c r="AW1584" t="str">
        <f>""</f>
        <v/>
      </c>
      <c r="AX1584" t="str">
        <f>""</f>
        <v/>
      </c>
      <c r="AY1584" t="str">
        <f>""</f>
        <v/>
      </c>
      <c r="AZ1584" t="str">
        <f>""</f>
        <v/>
      </c>
      <c r="BA1584" t="str">
        <f>""</f>
        <v/>
      </c>
      <c r="BB1584" t="str">
        <f>"17/08/2023 16:48:06"</f>
        <v>17/08/2023 16:48:06</v>
      </c>
      <c r="BC1584" t="str">
        <f>""</f>
        <v/>
      </c>
      <c r="BD1584" t="str">
        <f>""</f>
        <v/>
      </c>
      <c r="BE1584" t="str">
        <f>""</f>
        <v/>
      </c>
      <c r="BF1584" t="str">
        <f t="shared" si="787"/>
        <v>A</v>
      </c>
      <c r="BG1584" t="str">
        <f>""</f>
        <v/>
      </c>
      <c r="BH1584" t="str">
        <f>""</f>
        <v/>
      </c>
      <c r="BI1584" t="str">
        <f t="shared" si="803"/>
        <v>EVENTUAL</v>
      </c>
      <c r="BJ1584" t="str">
        <f t="shared" si="788"/>
        <v>1</v>
      </c>
      <c r="BK1584" t="str">
        <f t="shared" si="789"/>
        <v>Farmacia</v>
      </c>
      <c r="BL1584" t="str">
        <f>""</f>
        <v/>
      </c>
      <c r="BM1584" t="str">
        <f>""</f>
        <v/>
      </c>
      <c r="BN1584" t="str">
        <f>""</f>
        <v/>
      </c>
      <c r="BO1584" t="str">
        <f>""</f>
        <v/>
      </c>
      <c r="BP1584" t="str">
        <f>""</f>
        <v/>
      </c>
      <c r="BQ1584" t="str">
        <f>""</f>
        <v/>
      </c>
      <c r="BR1584" t="str">
        <f>"17/08/2023"</f>
        <v>17/08/2023</v>
      </c>
      <c r="BS1584" t="str">
        <f>""</f>
        <v/>
      </c>
      <c r="BT1584" t="str">
        <f>""</f>
        <v/>
      </c>
      <c r="BU1584" t="str">
        <f>""</f>
        <v/>
      </c>
      <c r="BV1584" t="str">
        <f>""</f>
        <v/>
      </c>
      <c r="BW1584" t="str">
        <f>"Não visitado"</f>
        <v>Não visitado</v>
      </c>
    </row>
    <row r="1585" spans="1:75" x14ac:dyDescent="0.35">
      <c r="A1585">
        <v>137799</v>
      </c>
      <c r="B1585" t="str">
        <f t="shared" si="784"/>
        <v>A</v>
      </c>
      <c r="C1585" t="str">
        <f t="shared" si="785"/>
        <v>80</v>
      </c>
      <c r="D1585" t="str">
        <f t="shared" si="777"/>
        <v>11121004</v>
      </c>
      <c r="E1585" t="str">
        <f t="shared" si="778"/>
        <v>121004</v>
      </c>
      <c r="F1585" t="str">
        <f t="shared" si="779"/>
        <v>FABIANA GODOY</v>
      </c>
      <c r="G1585" t="str">
        <f>"83104919000152"</f>
        <v>83104919000152</v>
      </c>
      <c r="H1585" t="str">
        <f>"0"</f>
        <v>0</v>
      </c>
      <c r="I1585" t="str">
        <f t="shared" si="786"/>
        <v>CONTA OPTICA</v>
      </c>
      <c r="J1585" t="str">
        <f>"OTICA LABES LTDA ME"</f>
        <v>OTICA LABES LTDA ME</v>
      </c>
      <c r="K1585" t="str">
        <f>"OTICA LABES LTDA (317)"</f>
        <v>OTICA LABES LTDA (317)</v>
      </c>
      <c r="L1585" t="str">
        <f>""</f>
        <v/>
      </c>
      <c r="M1585" t="str">
        <f>""</f>
        <v/>
      </c>
      <c r="N1585" t="str">
        <f>"otica@labesnet.com.br"</f>
        <v>otica@labesnet.com.br</v>
      </c>
      <c r="O1585" t="str">
        <f>""</f>
        <v/>
      </c>
      <c r="P1585" t="str">
        <f>"RUA HERCILIO LUZ"</f>
        <v>RUA HERCILIO LUZ</v>
      </c>
      <c r="Q1585" t="str">
        <f>"412"</f>
        <v>412</v>
      </c>
      <c r="R1585" t="str">
        <f>""</f>
        <v/>
      </c>
      <c r="S1585" t="str">
        <f>"1261"</f>
        <v>1261</v>
      </c>
      <c r="T1585" t="str">
        <f>"88301001"</f>
        <v>88301001</v>
      </c>
      <c r="U1585" t="str">
        <f>"CENTRO"</f>
        <v>CENTRO</v>
      </c>
      <c r="V1585" t="str">
        <f>"ITAJAÍ"</f>
        <v>ITAJAÍ</v>
      </c>
      <c r="W1585" t="str">
        <f t="shared" si="807"/>
        <v>SC</v>
      </c>
      <c r="X1585" t="str">
        <f>"47"</f>
        <v>47</v>
      </c>
      <c r="Y1585" t="str">
        <f>"33443327"</f>
        <v>33443327</v>
      </c>
      <c r="Z1585" t="str">
        <f>""</f>
        <v/>
      </c>
      <c r="AA1585" t="str">
        <f>""</f>
        <v/>
      </c>
      <c r="AB1585" t="str">
        <f>""</f>
        <v/>
      </c>
      <c r="AC1585" t="str">
        <f>""</f>
        <v/>
      </c>
      <c r="AD1585" t="str">
        <f>""</f>
        <v/>
      </c>
      <c r="AE1585" t="str">
        <f>""</f>
        <v/>
      </c>
      <c r="AF1585" t="str">
        <f>""</f>
        <v/>
      </c>
      <c r="AG1585" t="str">
        <f>"S"</f>
        <v>S</v>
      </c>
      <c r="AH1585" t="str">
        <f>""</f>
        <v/>
      </c>
      <c r="AI1585" t="str">
        <f>""</f>
        <v/>
      </c>
      <c r="AJ1585" t="str">
        <f>""</f>
        <v/>
      </c>
      <c r="AK1585" t="str">
        <f>""</f>
        <v/>
      </c>
      <c r="AL1585" t="str">
        <f>""</f>
        <v/>
      </c>
      <c r="AM1585" t="str">
        <f>""</f>
        <v/>
      </c>
      <c r="AN1585" t="str">
        <f>""</f>
        <v/>
      </c>
      <c r="AO1585" t="str">
        <f>""</f>
        <v/>
      </c>
      <c r="AP1585" t="str">
        <f>""</f>
        <v/>
      </c>
      <c r="AQ1585" t="str">
        <f>"N"</f>
        <v>N</v>
      </c>
      <c r="AR1585" t="str">
        <f>"N"</f>
        <v>N</v>
      </c>
      <c r="AS1585" t="str">
        <f>"N"</f>
        <v>N</v>
      </c>
      <c r="AT1585" t="str">
        <f>"N"</f>
        <v>N</v>
      </c>
      <c r="AU1585" t="str">
        <f>"N"</f>
        <v>N</v>
      </c>
      <c r="AV1585" t="str">
        <f>""</f>
        <v/>
      </c>
      <c r="AW1585" t="str">
        <f>""</f>
        <v/>
      </c>
      <c r="AX1585" t="str">
        <f>""</f>
        <v/>
      </c>
      <c r="AY1585" t="str">
        <f>""</f>
        <v/>
      </c>
      <c r="AZ1585" t="str">
        <f>""</f>
        <v/>
      </c>
      <c r="BA1585" t="str">
        <f>""</f>
        <v/>
      </c>
      <c r="BB1585" t="str">
        <f>"01/07/2021 13:53:04"</f>
        <v>01/07/2021 13:53:04</v>
      </c>
      <c r="BC1585" t="str">
        <f>"28/01/2022 11:38:36"</f>
        <v>28/01/2022 11:38:36</v>
      </c>
      <c r="BD1585" t="str">
        <f>""</f>
        <v/>
      </c>
      <c r="BE1585" t="str">
        <f>""</f>
        <v/>
      </c>
      <c r="BF1585" t="str">
        <f t="shared" si="787"/>
        <v>A</v>
      </c>
      <c r="BG1585" t="str">
        <f>""</f>
        <v/>
      </c>
      <c r="BH1585" t="str">
        <f>"0,00"</f>
        <v>0,00</v>
      </c>
      <c r="BI1585" t="str">
        <f t="shared" si="803"/>
        <v>EVENTUAL</v>
      </c>
      <c r="BJ1585" t="str">
        <f t="shared" si="788"/>
        <v>1</v>
      </c>
      <c r="BK1585" t="str">
        <f t="shared" si="789"/>
        <v>Farmacia</v>
      </c>
      <c r="BL1585" t="str">
        <f>""</f>
        <v/>
      </c>
      <c r="BM1585" t="str">
        <f>"NÃO É VARILUX ESPECIALISTA"</f>
        <v>NÃO É VARILUX ESPECIALISTA</v>
      </c>
      <c r="BN1585" t="str">
        <f>"EL360"</f>
        <v>EL360</v>
      </c>
      <c r="BO1585" t="str">
        <f>"FOCO VARILUX"</f>
        <v>FOCO VARILUX</v>
      </c>
      <c r="BP1585" t="str">
        <f>""</f>
        <v/>
      </c>
      <c r="BQ1585" t="str">
        <f>""</f>
        <v/>
      </c>
      <c r="BR1585" t="str">
        <f>"01/07/2021"</f>
        <v>01/07/2021</v>
      </c>
      <c r="BS1585" t="str">
        <f>"28/01/2022"</f>
        <v>28/01/2022</v>
      </c>
      <c r="BT1585" t="str">
        <f>""</f>
        <v/>
      </c>
      <c r="BU1585" t="str">
        <f>""</f>
        <v/>
      </c>
      <c r="BV1585" t="str">
        <f>""</f>
        <v/>
      </c>
      <c r="BW1585" t="str">
        <f>"15"</f>
        <v>15</v>
      </c>
    </row>
    <row r="1586" spans="1:75" x14ac:dyDescent="0.35">
      <c r="A1586">
        <v>4351</v>
      </c>
      <c r="B1586" t="str">
        <f t="shared" si="784"/>
        <v>A</v>
      </c>
      <c r="C1586" t="str">
        <f t="shared" si="785"/>
        <v>80</v>
      </c>
      <c r="D1586" t="str">
        <f t="shared" si="777"/>
        <v>11121004</v>
      </c>
      <c r="E1586" t="str">
        <f t="shared" si="778"/>
        <v>121004</v>
      </c>
      <c r="F1586" t="str">
        <f t="shared" si="779"/>
        <v>FABIANA GODOY</v>
      </c>
      <c r="G1586" t="str">
        <f>"05135930000176"</f>
        <v>05135930000176</v>
      </c>
      <c r="H1586" t="str">
        <f>""</f>
        <v/>
      </c>
      <c r="I1586" t="str">
        <f t="shared" si="786"/>
        <v>CONTA OPTICA</v>
      </c>
      <c r="J1586" t="str">
        <f>"OTICA LUIZ ALVES LTDA ME"</f>
        <v>OTICA LUIZ ALVES LTDA ME</v>
      </c>
      <c r="K1586" t="str">
        <f>"BAIER EXPRESS (218)"</f>
        <v>BAIER EXPRESS (218)</v>
      </c>
      <c r="L1586" t="str">
        <f>""</f>
        <v/>
      </c>
      <c r="M1586" t="str">
        <f>""</f>
        <v/>
      </c>
      <c r="N1586" t="str">
        <f>""</f>
        <v/>
      </c>
      <c r="O1586" t="str">
        <f>""</f>
        <v/>
      </c>
      <c r="P1586" t="str">
        <f>"RUA PROFESSOR SIMAO HESS"</f>
        <v>RUA PROFESSOR SIMAO HESS</v>
      </c>
      <c r="Q1586" t="str">
        <f>"515"</f>
        <v>515</v>
      </c>
      <c r="R1586" t="str">
        <f>"SALA 02"</f>
        <v>SALA 02</v>
      </c>
      <c r="S1586" t="str">
        <f>""</f>
        <v/>
      </c>
      <c r="T1586" t="str">
        <f>"89128000"</f>
        <v>89128000</v>
      </c>
      <c r="U1586" t="str">
        <f>"VILA DO SALTO"</f>
        <v>VILA DO SALTO</v>
      </c>
      <c r="V1586" t="str">
        <f>"LUIZ ALVES"</f>
        <v>LUIZ ALVES</v>
      </c>
      <c r="W1586" t="str">
        <f t="shared" si="807"/>
        <v>SC</v>
      </c>
      <c r="X1586" t="str">
        <f>"47"</f>
        <v>47</v>
      </c>
      <c r="Y1586" t="str">
        <f>"33771756"</f>
        <v>33771756</v>
      </c>
      <c r="Z1586" t="str">
        <f>""</f>
        <v/>
      </c>
      <c r="AA1586" t="str">
        <f>""</f>
        <v/>
      </c>
      <c r="AB1586" t="str">
        <f>""</f>
        <v/>
      </c>
      <c r="AC1586" t="str">
        <f>""</f>
        <v/>
      </c>
      <c r="AD1586" t="str">
        <f>""</f>
        <v/>
      </c>
      <c r="AE1586" t="str">
        <f>""</f>
        <v/>
      </c>
      <c r="AF1586" t="str">
        <f>""</f>
        <v/>
      </c>
      <c r="AG1586" t="str">
        <f>""</f>
        <v/>
      </c>
      <c r="AH1586" t="str">
        <f>""</f>
        <v/>
      </c>
      <c r="AI1586" t="str">
        <f>""</f>
        <v/>
      </c>
      <c r="AJ1586" t="str">
        <f>""</f>
        <v/>
      </c>
      <c r="AK1586" t="str">
        <f>""</f>
        <v/>
      </c>
      <c r="AL1586" t="str">
        <f>""</f>
        <v/>
      </c>
      <c r="AM1586" t="str">
        <f>""</f>
        <v/>
      </c>
      <c r="AN1586" t="str">
        <f>""</f>
        <v/>
      </c>
      <c r="AO1586" t="str">
        <f>""</f>
        <v/>
      </c>
      <c r="AP1586" t="str">
        <f>""</f>
        <v/>
      </c>
      <c r="AQ1586" t="str">
        <f>""</f>
        <v/>
      </c>
      <c r="AR1586" t="str">
        <f>""</f>
        <v/>
      </c>
      <c r="AS1586" t="str">
        <f>""</f>
        <v/>
      </c>
      <c r="AT1586" t="str">
        <f>""</f>
        <v/>
      </c>
      <c r="AU1586" t="str">
        <f>""</f>
        <v/>
      </c>
      <c r="AV1586" t="str">
        <f>""</f>
        <v/>
      </c>
      <c r="AW1586" t="str">
        <f>""</f>
        <v/>
      </c>
      <c r="AX1586" t="str">
        <f>""</f>
        <v/>
      </c>
      <c r="AY1586" t="str">
        <f>""</f>
        <v/>
      </c>
      <c r="AZ1586" t="str">
        <f>""</f>
        <v/>
      </c>
      <c r="BA1586" t="str">
        <f>""</f>
        <v/>
      </c>
      <c r="BB1586" t="str">
        <f>"30/08/2018 17:21:40"</f>
        <v>30/08/2018 17:21:40</v>
      </c>
      <c r="BC1586" t="str">
        <f>""</f>
        <v/>
      </c>
      <c r="BD1586" t="str">
        <f>""</f>
        <v/>
      </c>
      <c r="BE1586" t="str">
        <f>""</f>
        <v/>
      </c>
      <c r="BF1586" t="str">
        <f t="shared" si="787"/>
        <v>A</v>
      </c>
      <c r="BG1586" t="str">
        <f>""</f>
        <v/>
      </c>
      <c r="BH1586" t="str">
        <f>""</f>
        <v/>
      </c>
      <c r="BI1586" t="str">
        <f t="shared" si="803"/>
        <v>EVENTUAL</v>
      </c>
      <c r="BJ1586" t="str">
        <f t="shared" si="788"/>
        <v>1</v>
      </c>
      <c r="BK1586" t="str">
        <f t="shared" si="789"/>
        <v>Farmacia</v>
      </c>
      <c r="BL1586" t="str">
        <f>""</f>
        <v/>
      </c>
      <c r="BM1586" t="str">
        <f>"NÃO É VARILUX ESPECIALISTA"</f>
        <v>NÃO É VARILUX ESPECIALISTA</v>
      </c>
      <c r="BN1586" t="str">
        <f t="shared" ref="BN1586:BN1593" si="808">"NA"</f>
        <v>NA</v>
      </c>
      <c r="BO1586" t="str">
        <f>"OUTROS"</f>
        <v>OUTROS</v>
      </c>
      <c r="BP1586" t="str">
        <f>""</f>
        <v/>
      </c>
      <c r="BQ1586" t="str">
        <f>""</f>
        <v/>
      </c>
      <c r="BR1586" t="str">
        <f>"30/08/2018"</f>
        <v>30/08/2018</v>
      </c>
      <c r="BS1586" t="str">
        <f>""</f>
        <v/>
      </c>
      <c r="BT1586" t="str">
        <f>""</f>
        <v/>
      </c>
      <c r="BU1586" t="str">
        <f>""</f>
        <v/>
      </c>
      <c r="BV1586" t="str">
        <f>"9"</f>
        <v>9</v>
      </c>
      <c r="BW1586" t="str">
        <f>"Não visitado"</f>
        <v>Não visitado</v>
      </c>
    </row>
    <row r="1587" spans="1:75" x14ac:dyDescent="0.35">
      <c r="A1587">
        <v>137801</v>
      </c>
      <c r="B1587" t="str">
        <f t="shared" si="784"/>
        <v>A</v>
      </c>
      <c r="C1587" t="str">
        <f t="shared" si="785"/>
        <v>80</v>
      </c>
      <c r="D1587" t="str">
        <f t="shared" ref="D1587:D1650" si="809">"11121004"</f>
        <v>11121004</v>
      </c>
      <c r="E1587" t="str">
        <f t="shared" ref="E1587:E1650" si="810">"121004"</f>
        <v>121004</v>
      </c>
      <c r="F1587" t="str">
        <f t="shared" ref="F1587:F1650" si="811">"FABIANA GODOY"</f>
        <v>FABIANA GODOY</v>
      </c>
      <c r="G1587" t="str">
        <f>"82887878000155"</f>
        <v>82887878000155</v>
      </c>
      <c r="H1587" t="str">
        <f t="shared" ref="H1587:H1595" si="812">"0"</f>
        <v>0</v>
      </c>
      <c r="I1587" t="str">
        <f t="shared" si="786"/>
        <v>CONTA OPTICA</v>
      </c>
      <c r="J1587" t="str">
        <f>"OTICA MANI LTDA - EPP"</f>
        <v>OTICA MANI LTDA - EPP</v>
      </c>
      <c r="K1587" t="str">
        <f>"OTICA MANI LTDA (322)"</f>
        <v>OTICA MANI LTDA (322)</v>
      </c>
      <c r="L1587" t="str">
        <f>""</f>
        <v/>
      </c>
      <c r="M1587" t="str">
        <f>""</f>
        <v/>
      </c>
      <c r="N1587" t="str">
        <f>"timbo@opticamani.com.br"</f>
        <v>timbo@opticamani.com.br</v>
      </c>
      <c r="O1587" t="str">
        <f>""</f>
        <v/>
      </c>
      <c r="P1587" t="str">
        <f>"RUA GETULIO VARGAS"</f>
        <v>RUA GETULIO VARGAS</v>
      </c>
      <c r="Q1587" t="str">
        <f>"91"</f>
        <v>91</v>
      </c>
      <c r="R1587" t="str">
        <f>""</f>
        <v/>
      </c>
      <c r="S1587" t="str">
        <f>"1275"</f>
        <v>1275</v>
      </c>
      <c r="T1587" t="str">
        <f>"89120000"</f>
        <v>89120000</v>
      </c>
      <c r="U1587" t="str">
        <f t="shared" ref="U1587:U1593" si="813">"CENTRO"</f>
        <v>CENTRO</v>
      </c>
      <c r="V1587" t="str">
        <f>"TIMBÓ"</f>
        <v>TIMBÓ</v>
      </c>
      <c r="W1587" t="str">
        <f t="shared" si="807"/>
        <v>SC</v>
      </c>
      <c r="X1587" t="str">
        <f>"47"</f>
        <v>47</v>
      </c>
      <c r="Y1587" t="str">
        <f>"33824159"</f>
        <v>33824159</v>
      </c>
      <c r="Z1587" t="str">
        <f>""</f>
        <v/>
      </c>
      <c r="AA1587" t="str">
        <f>""</f>
        <v/>
      </c>
      <c r="AB1587" t="str">
        <f>""</f>
        <v/>
      </c>
      <c r="AC1587" t="str">
        <f>""</f>
        <v/>
      </c>
      <c r="AD1587" t="str">
        <f>""</f>
        <v/>
      </c>
      <c r="AE1587" t="str">
        <f>""</f>
        <v/>
      </c>
      <c r="AF1587" t="str">
        <f>""</f>
        <v/>
      </c>
      <c r="AG1587" t="str">
        <f t="shared" ref="AG1587:AG1593" si="814">"S"</f>
        <v>S</v>
      </c>
      <c r="AH1587" t="str">
        <f>""</f>
        <v/>
      </c>
      <c r="AI1587" t="str">
        <f>""</f>
        <v/>
      </c>
      <c r="AJ1587" t="str">
        <f>""</f>
        <v/>
      </c>
      <c r="AK1587" t="str">
        <f>""</f>
        <v/>
      </c>
      <c r="AL1587" t="str">
        <f>""</f>
        <v/>
      </c>
      <c r="AM1587" t="str">
        <f>""</f>
        <v/>
      </c>
      <c r="AN1587" t="str">
        <f>""</f>
        <v/>
      </c>
      <c r="AO1587" t="str">
        <f>""</f>
        <v/>
      </c>
      <c r="AP1587" t="str">
        <f>""</f>
        <v/>
      </c>
      <c r="AQ1587" t="str">
        <f t="shared" ref="AQ1587:AU1593" si="815">"N"</f>
        <v>N</v>
      </c>
      <c r="AR1587" t="str">
        <f t="shared" si="815"/>
        <v>N</v>
      </c>
      <c r="AS1587" t="str">
        <f t="shared" si="815"/>
        <v>N</v>
      </c>
      <c r="AT1587" t="str">
        <f t="shared" si="815"/>
        <v>N</v>
      </c>
      <c r="AU1587" t="str">
        <f t="shared" si="815"/>
        <v>N</v>
      </c>
      <c r="AV1587" t="str">
        <f>""</f>
        <v/>
      </c>
      <c r="AW1587" t="str">
        <f>""</f>
        <v/>
      </c>
      <c r="AX1587" t="str">
        <f>""</f>
        <v/>
      </c>
      <c r="AY1587" t="str">
        <f>""</f>
        <v/>
      </c>
      <c r="AZ1587" t="str">
        <f>""</f>
        <v/>
      </c>
      <c r="BA1587" t="str">
        <f>""</f>
        <v/>
      </c>
      <c r="BB1587" t="str">
        <f t="shared" ref="BB1587:BB1593" si="816">"01/07/2021 13:53:04"</f>
        <v>01/07/2021 13:53:04</v>
      </c>
      <c r="BC1587" t="str">
        <f>"20/07/2021 11:47:22"</f>
        <v>20/07/2021 11:47:22</v>
      </c>
      <c r="BD1587" t="str">
        <f>""</f>
        <v/>
      </c>
      <c r="BE1587" t="str">
        <f>""</f>
        <v/>
      </c>
      <c r="BF1587" t="str">
        <f t="shared" si="787"/>
        <v>A</v>
      </c>
      <c r="BG1587" t="str">
        <f>""</f>
        <v/>
      </c>
      <c r="BH1587" t="str">
        <f t="shared" ref="BH1587:BH1593" si="817">"0,00"</f>
        <v>0,00</v>
      </c>
      <c r="BI1587" t="str">
        <f t="shared" si="803"/>
        <v>EVENTUAL</v>
      </c>
      <c r="BJ1587" t="str">
        <f t="shared" si="788"/>
        <v>1</v>
      </c>
      <c r="BK1587" t="str">
        <f t="shared" si="789"/>
        <v>Farmacia</v>
      </c>
      <c r="BL1587" t="str">
        <f>""</f>
        <v/>
      </c>
      <c r="BM1587" t="str">
        <f>"VARILUX ESPECIALISTA SELECT"</f>
        <v>VARILUX ESPECIALISTA SELECT</v>
      </c>
      <c r="BN1587" t="str">
        <f t="shared" si="808"/>
        <v>NA</v>
      </c>
      <c r="BO1587" t="str">
        <f>"FOCO VARILUX DIGITAL"</f>
        <v>FOCO VARILUX DIGITAL</v>
      </c>
      <c r="BP1587" t="str">
        <f>""</f>
        <v/>
      </c>
      <c r="BQ1587" t="str">
        <f>""</f>
        <v/>
      </c>
      <c r="BR1587" t="str">
        <f t="shared" ref="BR1587:BR1593" si="818">"01/07/2021"</f>
        <v>01/07/2021</v>
      </c>
      <c r="BS1587" t="str">
        <f>"20/07/2021"</f>
        <v>20/07/2021</v>
      </c>
      <c r="BT1587" t="str">
        <f>""</f>
        <v/>
      </c>
      <c r="BU1587" t="str">
        <f>""</f>
        <v/>
      </c>
      <c r="BV1587" t="str">
        <f>""</f>
        <v/>
      </c>
      <c r="BW1587" t="str">
        <f>"28"</f>
        <v>28</v>
      </c>
    </row>
    <row r="1588" spans="1:75" x14ac:dyDescent="0.35">
      <c r="A1588">
        <v>137802</v>
      </c>
      <c r="B1588" t="str">
        <f t="shared" si="784"/>
        <v>A</v>
      </c>
      <c r="C1588" t="str">
        <f t="shared" si="785"/>
        <v>80</v>
      </c>
      <c r="D1588" t="str">
        <f t="shared" si="809"/>
        <v>11121004</v>
      </c>
      <c r="E1588" t="str">
        <f t="shared" si="810"/>
        <v>121004</v>
      </c>
      <c r="F1588" t="str">
        <f t="shared" si="811"/>
        <v>FABIANA GODOY</v>
      </c>
      <c r="G1588" t="str">
        <f>"33463057000186"</f>
        <v>33463057000186</v>
      </c>
      <c r="H1588" t="str">
        <f t="shared" si="812"/>
        <v>0</v>
      </c>
      <c r="I1588" t="str">
        <f t="shared" si="786"/>
        <v>CONTA OPTICA</v>
      </c>
      <c r="J1588" t="str">
        <f>"OTICA MARIANA DE BRITO EIRELI"</f>
        <v>OTICA MARIANA DE BRITO EIRELI</v>
      </c>
      <c r="K1588" t="str">
        <f>"OTICA ANA MARIA (4001)"</f>
        <v>OTICA ANA MARIA (4001)</v>
      </c>
      <c r="L1588" t="str">
        <f>""</f>
        <v/>
      </c>
      <c r="M1588" t="str">
        <f>""</f>
        <v/>
      </c>
      <c r="N1588" t="str">
        <f>""</f>
        <v/>
      </c>
      <c r="O1588" t="str">
        <f>""</f>
        <v/>
      </c>
      <c r="P1588" t="str">
        <f>"AVENIDA NEREU RAMOS"</f>
        <v>AVENIDA NEREU RAMOS</v>
      </c>
      <c r="Q1588" t="str">
        <f>"222"</f>
        <v>222</v>
      </c>
      <c r="R1588" t="str">
        <f>"SALA 01"</f>
        <v>SALA 01</v>
      </c>
      <c r="S1588" t="str">
        <f>"1263"</f>
        <v>1263</v>
      </c>
      <c r="T1588" t="str">
        <f>"88380000"</f>
        <v>88380000</v>
      </c>
      <c r="U1588" t="str">
        <f t="shared" si="813"/>
        <v>CENTRO</v>
      </c>
      <c r="V1588" t="str">
        <f>"BALNEÁRIO PIÇARRAS"</f>
        <v>BALNEÁRIO PIÇARRAS</v>
      </c>
      <c r="W1588" t="str">
        <f t="shared" si="807"/>
        <v>SC</v>
      </c>
      <c r="X1588" t="str">
        <f>"47"</f>
        <v>47</v>
      </c>
      <c r="Y1588" t="str">
        <f>"33454914"</f>
        <v>33454914</v>
      </c>
      <c r="Z1588" t="str">
        <f>""</f>
        <v/>
      </c>
      <c r="AA1588" t="str">
        <f>""</f>
        <v/>
      </c>
      <c r="AB1588" t="str">
        <f>""</f>
        <v/>
      </c>
      <c r="AC1588" t="str">
        <f>""</f>
        <v/>
      </c>
      <c r="AD1588" t="str">
        <f>""</f>
        <v/>
      </c>
      <c r="AE1588" t="str">
        <f>""</f>
        <v/>
      </c>
      <c r="AF1588" t="str">
        <f>""</f>
        <v/>
      </c>
      <c r="AG1588" t="str">
        <f t="shared" si="814"/>
        <v>S</v>
      </c>
      <c r="AH1588" t="str">
        <f>""</f>
        <v/>
      </c>
      <c r="AI1588" t="str">
        <f>""</f>
        <v/>
      </c>
      <c r="AJ1588" t="str">
        <f>""</f>
        <v/>
      </c>
      <c r="AK1588" t="str">
        <f>""</f>
        <v/>
      </c>
      <c r="AL1588" t="str">
        <f>""</f>
        <v/>
      </c>
      <c r="AM1588" t="str">
        <f>""</f>
        <v/>
      </c>
      <c r="AN1588" t="str">
        <f>""</f>
        <v/>
      </c>
      <c r="AO1588" t="str">
        <f>""</f>
        <v/>
      </c>
      <c r="AP1588" t="str">
        <f>""</f>
        <v/>
      </c>
      <c r="AQ1588" t="str">
        <f t="shared" si="815"/>
        <v>N</v>
      </c>
      <c r="AR1588" t="str">
        <f t="shared" si="815"/>
        <v>N</v>
      </c>
      <c r="AS1588" t="str">
        <f t="shared" si="815"/>
        <v>N</v>
      </c>
      <c r="AT1588" t="str">
        <f t="shared" si="815"/>
        <v>N</v>
      </c>
      <c r="AU1588" t="str">
        <f t="shared" si="815"/>
        <v>N</v>
      </c>
      <c r="AV1588" t="str">
        <f>""</f>
        <v/>
      </c>
      <c r="AW1588" t="str">
        <f>""</f>
        <v/>
      </c>
      <c r="AX1588" t="str">
        <f>""</f>
        <v/>
      </c>
      <c r="AY1588" t="str">
        <f>""</f>
        <v/>
      </c>
      <c r="AZ1588" t="str">
        <f>""</f>
        <v/>
      </c>
      <c r="BA1588" t="str">
        <f>""</f>
        <v/>
      </c>
      <c r="BB1588" t="str">
        <f t="shared" si="816"/>
        <v>01/07/2021 13:53:04</v>
      </c>
      <c r="BC1588" t="str">
        <f>"01/11/2022 08:44:09"</f>
        <v>01/11/2022 08:44:09</v>
      </c>
      <c r="BD1588" t="str">
        <f>""</f>
        <v/>
      </c>
      <c r="BE1588" t="str">
        <f>""</f>
        <v/>
      </c>
      <c r="BF1588" t="str">
        <f t="shared" si="787"/>
        <v>A</v>
      </c>
      <c r="BG1588" t="str">
        <f>""</f>
        <v/>
      </c>
      <c r="BH1588" t="str">
        <f t="shared" si="817"/>
        <v>0,00</v>
      </c>
      <c r="BI1588" t="str">
        <f t="shared" si="803"/>
        <v>EVENTUAL</v>
      </c>
      <c r="BJ1588" t="str">
        <f t="shared" si="788"/>
        <v>1</v>
      </c>
      <c r="BK1588" t="str">
        <f t="shared" si="789"/>
        <v>Farmacia</v>
      </c>
      <c r="BL1588" t="str">
        <f>""</f>
        <v/>
      </c>
      <c r="BM1588" t="str">
        <f>"VARILUX ESPECIALISTA SELECT"</f>
        <v>VARILUX ESPECIALISTA SELECT</v>
      </c>
      <c r="BN1588" t="str">
        <f t="shared" si="808"/>
        <v>NA</v>
      </c>
      <c r="BO1588" t="str">
        <f>"FOCO VARILUX DIGITAL"</f>
        <v>FOCO VARILUX DIGITAL</v>
      </c>
      <c r="BP1588" t="str">
        <f>""</f>
        <v/>
      </c>
      <c r="BQ1588" t="str">
        <f>""</f>
        <v/>
      </c>
      <c r="BR1588" t="str">
        <f t="shared" si="818"/>
        <v>01/07/2021</v>
      </c>
      <c r="BS1588" t="str">
        <f>"01/11/2022"</f>
        <v>01/11/2022</v>
      </c>
      <c r="BT1588" t="str">
        <f>""</f>
        <v/>
      </c>
      <c r="BU1588" t="str">
        <f>""</f>
        <v/>
      </c>
      <c r="BV1588" t="str">
        <f>""</f>
        <v/>
      </c>
      <c r="BW1588" t="str">
        <f>"7"</f>
        <v>7</v>
      </c>
    </row>
    <row r="1589" spans="1:75" x14ac:dyDescent="0.35">
      <c r="A1589">
        <v>137804</v>
      </c>
      <c r="B1589" t="str">
        <f t="shared" si="784"/>
        <v>A</v>
      </c>
      <c r="C1589" t="str">
        <f t="shared" si="785"/>
        <v>80</v>
      </c>
      <c r="D1589" t="str">
        <f t="shared" si="809"/>
        <v>11121004</v>
      </c>
      <c r="E1589" t="str">
        <f t="shared" si="810"/>
        <v>121004</v>
      </c>
      <c r="F1589" t="str">
        <f t="shared" si="811"/>
        <v>FABIANA GODOY</v>
      </c>
      <c r="G1589" t="str">
        <f>"39305968000161"</f>
        <v>39305968000161</v>
      </c>
      <c r="H1589" t="str">
        <f t="shared" si="812"/>
        <v>0</v>
      </c>
      <c r="I1589" t="str">
        <f t="shared" si="786"/>
        <v>CONTA OPTICA</v>
      </c>
      <c r="J1589" t="str">
        <f>"OTICA MELLO BC LTDA"</f>
        <v>OTICA MELLO BC LTDA</v>
      </c>
      <c r="K1589" t="str">
        <f>"OTICA MELLO (4252)"</f>
        <v>OTICA MELLO (4252)</v>
      </c>
      <c r="L1589" t="str">
        <f>""</f>
        <v/>
      </c>
      <c r="M1589" t="str">
        <f>""</f>
        <v/>
      </c>
      <c r="N1589" t="str">
        <f>"messias.optiserv@gmail.com"</f>
        <v>messias.optiserv@gmail.com</v>
      </c>
      <c r="O1589" t="str">
        <f>""</f>
        <v/>
      </c>
      <c r="P1589" t="str">
        <f>"AVENIDA BRASIL"</f>
        <v>AVENIDA BRASIL</v>
      </c>
      <c r="Q1589" t="str">
        <f>"1148"</f>
        <v>1148</v>
      </c>
      <c r="R1589" t="str">
        <f>"SALA:07"</f>
        <v>SALA:07</v>
      </c>
      <c r="S1589" t="str">
        <f>"1262"</f>
        <v>1262</v>
      </c>
      <c r="T1589" t="str">
        <f>"88330045"</f>
        <v>88330045</v>
      </c>
      <c r="U1589" t="str">
        <f t="shared" si="813"/>
        <v>CENTRO</v>
      </c>
      <c r="V1589" t="str">
        <f>"BALNEÁRIO CAMBORIÚ"</f>
        <v>BALNEÁRIO CAMBORIÚ</v>
      </c>
      <c r="W1589" t="str">
        <f t="shared" si="807"/>
        <v>SC</v>
      </c>
      <c r="X1589" t="str">
        <f>""</f>
        <v/>
      </c>
      <c r="Y1589" t="str">
        <f>""</f>
        <v/>
      </c>
      <c r="Z1589" t="str">
        <f>""</f>
        <v/>
      </c>
      <c r="AA1589" t="str">
        <f>""</f>
        <v/>
      </c>
      <c r="AB1589" t="str">
        <f>""</f>
        <v/>
      </c>
      <c r="AC1589" t="str">
        <f>""</f>
        <v/>
      </c>
      <c r="AD1589" t="str">
        <f>""</f>
        <v/>
      </c>
      <c r="AE1589" t="str">
        <f>""</f>
        <v/>
      </c>
      <c r="AF1589" t="str">
        <f>""</f>
        <v/>
      </c>
      <c r="AG1589" t="str">
        <f t="shared" si="814"/>
        <v>S</v>
      </c>
      <c r="AH1589" t="str">
        <f>""</f>
        <v/>
      </c>
      <c r="AI1589" t="str">
        <f>""</f>
        <v/>
      </c>
      <c r="AJ1589" t="str">
        <f>""</f>
        <v/>
      </c>
      <c r="AK1589" t="str">
        <f>""</f>
        <v/>
      </c>
      <c r="AL1589" t="str">
        <f>""</f>
        <v/>
      </c>
      <c r="AM1589" t="str">
        <f>""</f>
        <v/>
      </c>
      <c r="AN1589" t="str">
        <f>""</f>
        <v/>
      </c>
      <c r="AO1589" t="str">
        <f>""</f>
        <v/>
      </c>
      <c r="AP1589" t="str">
        <f>""</f>
        <v/>
      </c>
      <c r="AQ1589" t="str">
        <f t="shared" si="815"/>
        <v>N</v>
      </c>
      <c r="AR1589" t="str">
        <f t="shared" si="815"/>
        <v>N</v>
      </c>
      <c r="AS1589" t="str">
        <f t="shared" si="815"/>
        <v>N</v>
      </c>
      <c r="AT1589" t="str">
        <f t="shared" si="815"/>
        <v>N</v>
      </c>
      <c r="AU1589" t="str">
        <f t="shared" si="815"/>
        <v>N</v>
      </c>
      <c r="AV1589" t="str">
        <f>""</f>
        <v/>
      </c>
      <c r="AW1589" t="str">
        <f>""</f>
        <v/>
      </c>
      <c r="AX1589" t="str">
        <f>""</f>
        <v/>
      </c>
      <c r="AY1589" t="str">
        <f>""</f>
        <v/>
      </c>
      <c r="AZ1589" t="str">
        <f>""</f>
        <v/>
      </c>
      <c r="BA1589" t="str">
        <f>""</f>
        <v/>
      </c>
      <c r="BB1589" t="str">
        <f t="shared" si="816"/>
        <v>01/07/2021 13:53:04</v>
      </c>
      <c r="BC1589" t="str">
        <f>"13/07/2023 15:35:28"</f>
        <v>13/07/2023 15:35:28</v>
      </c>
      <c r="BD1589" t="str">
        <f>""</f>
        <v/>
      </c>
      <c r="BE1589" t="str">
        <f>""</f>
        <v/>
      </c>
      <c r="BF1589" t="str">
        <f t="shared" si="787"/>
        <v>A</v>
      </c>
      <c r="BG1589" t="str">
        <f>""</f>
        <v/>
      </c>
      <c r="BH1589" t="str">
        <f t="shared" si="817"/>
        <v>0,00</v>
      </c>
      <c r="BI1589" t="str">
        <f>"MENSAL"</f>
        <v>MENSAL</v>
      </c>
      <c r="BJ1589" t="str">
        <f t="shared" si="788"/>
        <v>1</v>
      </c>
      <c r="BK1589" t="str">
        <f t="shared" si="789"/>
        <v>Farmacia</v>
      </c>
      <c r="BL1589" t="str">
        <f>""</f>
        <v/>
      </c>
      <c r="BM1589" t="str">
        <f>"NÃO É VARILUX ESPECIALISTA"</f>
        <v>NÃO É VARILUX ESPECIALISTA</v>
      </c>
      <c r="BN1589" t="str">
        <f t="shared" si="808"/>
        <v>NA</v>
      </c>
      <c r="BO1589" t="str">
        <f>""</f>
        <v/>
      </c>
      <c r="BP1589" t="str">
        <f>""</f>
        <v/>
      </c>
      <c r="BQ1589" t="str">
        <f>""</f>
        <v/>
      </c>
      <c r="BR1589" t="str">
        <f t="shared" si="818"/>
        <v>01/07/2021</v>
      </c>
      <c r="BS1589" t="str">
        <f>"13/07/2023"</f>
        <v>13/07/2023</v>
      </c>
      <c r="BT1589" t="str">
        <f>""</f>
        <v/>
      </c>
      <c r="BU1589" t="str">
        <f>""</f>
        <v/>
      </c>
      <c r="BV1589" t="str">
        <f>""</f>
        <v/>
      </c>
      <c r="BW1589" t="str">
        <f>"7"</f>
        <v>7</v>
      </c>
    </row>
    <row r="1590" spans="1:75" x14ac:dyDescent="0.35">
      <c r="A1590">
        <v>137805</v>
      </c>
      <c r="B1590" t="str">
        <f t="shared" si="784"/>
        <v>A</v>
      </c>
      <c r="C1590" t="str">
        <f t="shared" si="785"/>
        <v>80</v>
      </c>
      <c r="D1590" t="str">
        <f t="shared" si="809"/>
        <v>11121004</v>
      </c>
      <c r="E1590" t="str">
        <f t="shared" si="810"/>
        <v>121004</v>
      </c>
      <c r="F1590" t="str">
        <f t="shared" si="811"/>
        <v>FABIANA GODOY</v>
      </c>
      <c r="G1590" t="str">
        <f>"79917886000192"</f>
        <v>79917886000192</v>
      </c>
      <c r="H1590" t="str">
        <f t="shared" si="812"/>
        <v>0</v>
      </c>
      <c r="I1590" t="str">
        <f t="shared" si="786"/>
        <v>CONTA OPTICA</v>
      </c>
      <c r="J1590" t="str">
        <f>"OTICA MODERNA LTDA EPP"</f>
        <v>OTICA MODERNA LTDA EPP</v>
      </c>
      <c r="K1590" t="str">
        <f>"OTICA MODERNA LTDA (329)"</f>
        <v>OTICA MODERNA LTDA (329)</v>
      </c>
      <c r="L1590" t="str">
        <f>""</f>
        <v/>
      </c>
      <c r="M1590" t="str">
        <f>""</f>
        <v/>
      </c>
      <c r="N1590" t="str">
        <f>"laboratorio01@oticamoderna.com"</f>
        <v>laboratorio01@oticamoderna.com</v>
      </c>
      <c r="O1590" t="str">
        <f>""</f>
        <v/>
      </c>
      <c r="P1590" t="str">
        <f>"AVENIDA CONSUL CARLOS RENAUX"</f>
        <v>AVENIDA CONSUL CARLOS RENAUX</v>
      </c>
      <c r="Q1590" t="str">
        <f>"97"</f>
        <v>97</v>
      </c>
      <c r="R1590" t="str">
        <f>""</f>
        <v/>
      </c>
      <c r="S1590" t="str">
        <f>"1263"</f>
        <v>1263</v>
      </c>
      <c r="T1590" t="str">
        <f>"88350001"</f>
        <v>88350001</v>
      </c>
      <c r="U1590" t="str">
        <f t="shared" si="813"/>
        <v>CENTRO</v>
      </c>
      <c r="V1590" t="str">
        <f>"BRUSQUE"</f>
        <v>BRUSQUE</v>
      </c>
      <c r="W1590" t="str">
        <f t="shared" si="807"/>
        <v>SC</v>
      </c>
      <c r="X1590" t="str">
        <f t="shared" ref="X1590:X1611" si="819">"47"</f>
        <v>47</v>
      </c>
      <c r="Y1590" t="str">
        <f>"32510770"</f>
        <v>32510770</v>
      </c>
      <c r="Z1590" t="str">
        <f>""</f>
        <v/>
      </c>
      <c r="AA1590" t="str">
        <f>""</f>
        <v/>
      </c>
      <c r="AB1590" t="str">
        <f>""</f>
        <v/>
      </c>
      <c r="AC1590" t="str">
        <f>""</f>
        <v/>
      </c>
      <c r="AD1590" t="str">
        <f>""</f>
        <v/>
      </c>
      <c r="AE1590" t="str">
        <f>""</f>
        <v/>
      </c>
      <c r="AF1590" t="str">
        <f>""</f>
        <v/>
      </c>
      <c r="AG1590" t="str">
        <f t="shared" si="814"/>
        <v>S</v>
      </c>
      <c r="AH1590" t="str">
        <f>""</f>
        <v/>
      </c>
      <c r="AI1590" t="str">
        <f>""</f>
        <v/>
      </c>
      <c r="AJ1590" t="str">
        <f>""</f>
        <v/>
      </c>
      <c r="AK1590" t="str">
        <f>""</f>
        <v/>
      </c>
      <c r="AL1590" t="str">
        <f>""</f>
        <v/>
      </c>
      <c r="AM1590" t="str">
        <f>""</f>
        <v/>
      </c>
      <c r="AN1590" t="str">
        <f>""</f>
        <v/>
      </c>
      <c r="AO1590" t="str">
        <f>""</f>
        <v/>
      </c>
      <c r="AP1590" t="str">
        <f>""</f>
        <v/>
      </c>
      <c r="AQ1590" t="str">
        <f t="shared" si="815"/>
        <v>N</v>
      </c>
      <c r="AR1590" t="str">
        <f t="shared" si="815"/>
        <v>N</v>
      </c>
      <c r="AS1590" t="str">
        <f t="shared" si="815"/>
        <v>N</v>
      </c>
      <c r="AT1590" t="str">
        <f t="shared" si="815"/>
        <v>N</v>
      </c>
      <c r="AU1590" t="str">
        <f t="shared" si="815"/>
        <v>N</v>
      </c>
      <c r="AV1590" t="str">
        <f>""</f>
        <v/>
      </c>
      <c r="AW1590" t="str">
        <f>""</f>
        <v/>
      </c>
      <c r="AX1590" t="str">
        <f>""</f>
        <v/>
      </c>
      <c r="AY1590" t="str">
        <f>""</f>
        <v/>
      </c>
      <c r="AZ1590" t="str">
        <f>""</f>
        <v/>
      </c>
      <c r="BA1590" t="str">
        <f>""</f>
        <v/>
      </c>
      <c r="BB1590" t="str">
        <f t="shared" si="816"/>
        <v>01/07/2021 13:53:04</v>
      </c>
      <c r="BC1590" t="str">
        <f>"20/07/2023 16:44:13"</f>
        <v>20/07/2023 16:44:13</v>
      </c>
      <c r="BD1590" t="str">
        <f>""</f>
        <v/>
      </c>
      <c r="BE1590" t="str">
        <f>""</f>
        <v/>
      </c>
      <c r="BF1590" t="str">
        <f t="shared" si="787"/>
        <v>A</v>
      </c>
      <c r="BG1590" t="str">
        <f>""</f>
        <v/>
      </c>
      <c r="BH1590" t="str">
        <f t="shared" si="817"/>
        <v>0,00</v>
      </c>
      <c r="BI1590" t="str">
        <f>"MENSAL"</f>
        <v>MENSAL</v>
      </c>
      <c r="BJ1590" t="str">
        <f t="shared" si="788"/>
        <v>1</v>
      </c>
      <c r="BK1590" t="str">
        <f t="shared" si="789"/>
        <v>Farmacia</v>
      </c>
      <c r="BL1590" t="str">
        <f>""</f>
        <v/>
      </c>
      <c r="BM1590" t="str">
        <f>"VARILUX ESPECIALISTA PLATINE"</f>
        <v>VARILUX ESPECIALISTA PLATINE</v>
      </c>
      <c r="BN1590" t="str">
        <f t="shared" si="808"/>
        <v>NA</v>
      </c>
      <c r="BO1590" t="str">
        <f>"FOCO VARILUX DIGITAL"</f>
        <v>FOCO VARILUX DIGITAL</v>
      </c>
      <c r="BP1590" t="str">
        <f>""</f>
        <v/>
      </c>
      <c r="BQ1590" t="str">
        <f>""</f>
        <v/>
      </c>
      <c r="BR1590" t="str">
        <f t="shared" si="818"/>
        <v>01/07/2021</v>
      </c>
      <c r="BS1590" t="str">
        <f>"20/07/2023"</f>
        <v>20/07/2023</v>
      </c>
      <c r="BT1590" t="str">
        <f>""</f>
        <v/>
      </c>
      <c r="BU1590" t="str">
        <f>""</f>
        <v/>
      </c>
      <c r="BV1590" t="str">
        <f>""</f>
        <v/>
      </c>
      <c r="BW1590" t="str">
        <f>"3"</f>
        <v>3</v>
      </c>
    </row>
    <row r="1591" spans="1:75" x14ac:dyDescent="0.35">
      <c r="A1591">
        <v>137806</v>
      </c>
      <c r="B1591" t="str">
        <f t="shared" si="784"/>
        <v>A</v>
      </c>
      <c r="C1591" t="str">
        <f t="shared" si="785"/>
        <v>80</v>
      </c>
      <c r="D1591" t="str">
        <f t="shared" si="809"/>
        <v>11121004</v>
      </c>
      <c r="E1591" t="str">
        <f t="shared" si="810"/>
        <v>121004</v>
      </c>
      <c r="F1591" t="str">
        <f t="shared" si="811"/>
        <v>FABIANA GODOY</v>
      </c>
      <c r="G1591" t="str">
        <f>"79677456000302"</f>
        <v>79677456000302</v>
      </c>
      <c r="H1591" t="str">
        <f t="shared" si="812"/>
        <v>0</v>
      </c>
      <c r="I1591" t="str">
        <f t="shared" si="786"/>
        <v>CONTA OPTICA</v>
      </c>
      <c r="J1591" t="str">
        <f>"OTICA MOMM LTDA"</f>
        <v>OTICA MOMM LTDA</v>
      </c>
      <c r="K1591" t="str">
        <f>"MOMM - TIMBO (1258)"</f>
        <v>MOMM - TIMBO (1258)</v>
      </c>
      <c r="L1591" t="str">
        <f>""</f>
        <v/>
      </c>
      <c r="M1591" t="str">
        <f>""</f>
        <v/>
      </c>
      <c r="N1591" t="str">
        <f>"escritoriogrupomomm@hotmail.com"</f>
        <v>escritoriogrupomomm@hotmail.com</v>
      </c>
      <c r="O1591" t="str">
        <f>""</f>
        <v/>
      </c>
      <c r="P1591" t="str">
        <f>"AVENIDA GETULIO VARGAS"</f>
        <v>AVENIDA GETULIO VARGAS</v>
      </c>
      <c r="Q1591" t="str">
        <f>"101"</f>
        <v>101</v>
      </c>
      <c r="R1591" t="str">
        <f>"SALA 04"</f>
        <v>SALA 04</v>
      </c>
      <c r="S1591" t="str">
        <f>""</f>
        <v/>
      </c>
      <c r="T1591" t="str">
        <f>"89080024"</f>
        <v>89080024</v>
      </c>
      <c r="U1591" t="str">
        <f t="shared" si="813"/>
        <v>CENTRO</v>
      </c>
      <c r="V1591" t="str">
        <f>"INDAIAL"</f>
        <v>INDAIAL</v>
      </c>
      <c r="W1591" t="str">
        <f t="shared" si="807"/>
        <v>SC</v>
      </c>
      <c r="X1591" t="str">
        <f t="shared" si="819"/>
        <v>47</v>
      </c>
      <c r="Y1591" t="str">
        <f>"33338889"</f>
        <v>33338889</v>
      </c>
      <c r="Z1591" t="str">
        <f>""</f>
        <v/>
      </c>
      <c r="AA1591" t="str">
        <f>""</f>
        <v/>
      </c>
      <c r="AB1591" t="str">
        <f>""</f>
        <v/>
      </c>
      <c r="AC1591" t="str">
        <f>""</f>
        <v/>
      </c>
      <c r="AD1591" t="str">
        <f>""</f>
        <v/>
      </c>
      <c r="AE1591" t="str">
        <f>""</f>
        <v/>
      </c>
      <c r="AF1591" t="str">
        <f>""</f>
        <v/>
      </c>
      <c r="AG1591" t="str">
        <f t="shared" si="814"/>
        <v>S</v>
      </c>
      <c r="AH1591" t="str">
        <f>""</f>
        <v/>
      </c>
      <c r="AI1591" t="str">
        <f>""</f>
        <v/>
      </c>
      <c r="AJ1591" t="str">
        <f>""</f>
        <v/>
      </c>
      <c r="AK1591" t="str">
        <f>""</f>
        <v/>
      </c>
      <c r="AL1591" t="str">
        <f>""</f>
        <v/>
      </c>
      <c r="AM1591" t="str">
        <f>""</f>
        <v/>
      </c>
      <c r="AN1591" t="str">
        <f>""</f>
        <v/>
      </c>
      <c r="AO1591" t="str">
        <f>""</f>
        <v/>
      </c>
      <c r="AP1591" t="str">
        <f>""</f>
        <v/>
      </c>
      <c r="AQ1591" t="str">
        <f t="shared" si="815"/>
        <v>N</v>
      </c>
      <c r="AR1591" t="str">
        <f t="shared" si="815"/>
        <v>N</v>
      </c>
      <c r="AS1591" t="str">
        <f t="shared" si="815"/>
        <v>N</v>
      </c>
      <c r="AT1591" t="str">
        <f t="shared" si="815"/>
        <v>N</v>
      </c>
      <c r="AU1591" t="str">
        <f t="shared" si="815"/>
        <v>N</v>
      </c>
      <c r="AV1591" t="str">
        <f>""</f>
        <v/>
      </c>
      <c r="AW1591" t="str">
        <f>""</f>
        <v/>
      </c>
      <c r="AX1591" t="str">
        <f>""</f>
        <v/>
      </c>
      <c r="AY1591" t="str">
        <f>""</f>
        <v/>
      </c>
      <c r="AZ1591" t="str">
        <f>""</f>
        <v/>
      </c>
      <c r="BA1591" t="str">
        <f>""</f>
        <v/>
      </c>
      <c r="BB1591" t="str">
        <f t="shared" si="816"/>
        <v>01/07/2021 13:53:04</v>
      </c>
      <c r="BC1591" t="str">
        <f>"10/07/2023 14:30:05"</f>
        <v>10/07/2023 14:30:05</v>
      </c>
      <c r="BD1591" t="str">
        <f>""</f>
        <v/>
      </c>
      <c r="BE1591" t="str">
        <f>""</f>
        <v/>
      </c>
      <c r="BF1591" t="str">
        <f t="shared" si="787"/>
        <v>A</v>
      </c>
      <c r="BG1591" t="str">
        <f>""</f>
        <v/>
      </c>
      <c r="BH1591" t="str">
        <f t="shared" si="817"/>
        <v>0,00</v>
      </c>
      <c r="BI1591" t="str">
        <f>"EVENTUAL"</f>
        <v>EVENTUAL</v>
      </c>
      <c r="BJ1591" t="str">
        <f t="shared" si="788"/>
        <v>1</v>
      </c>
      <c r="BK1591" t="str">
        <f t="shared" si="789"/>
        <v>Farmacia</v>
      </c>
      <c r="BL1591" t="str">
        <f>""</f>
        <v/>
      </c>
      <c r="BM1591" t="str">
        <f>"NÃO É VARILUX ESPECIALISTA"</f>
        <v>NÃO É VARILUX ESPECIALISTA</v>
      </c>
      <c r="BN1591" t="str">
        <f t="shared" si="808"/>
        <v>NA</v>
      </c>
      <c r="BO1591" t="str">
        <f>"OUTROS"</f>
        <v>OUTROS</v>
      </c>
      <c r="BP1591" t="str">
        <f>""</f>
        <v/>
      </c>
      <c r="BQ1591" t="str">
        <f>""</f>
        <v/>
      </c>
      <c r="BR1591" t="str">
        <f t="shared" si="818"/>
        <v>01/07/2021</v>
      </c>
      <c r="BS1591" t="str">
        <f>"10/07/2023"</f>
        <v>10/07/2023</v>
      </c>
      <c r="BT1591" t="str">
        <f>""</f>
        <v/>
      </c>
      <c r="BU1591" t="str">
        <f>""</f>
        <v/>
      </c>
      <c r="BV1591" t="str">
        <f>""</f>
        <v/>
      </c>
      <c r="BW1591" t="str">
        <f>"10"</f>
        <v>10</v>
      </c>
    </row>
    <row r="1592" spans="1:75" x14ac:dyDescent="0.35">
      <c r="A1592">
        <v>137807</v>
      </c>
      <c r="B1592" t="str">
        <f t="shared" si="784"/>
        <v>A</v>
      </c>
      <c r="C1592" t="str">
        <f t="shared" si="785"/>
        <v>80</v>
      </c>
      <c r="D1592" t="str">
        <f t="shared" si="809"/>
        <v>11121004</v>
      </c>
      <c r="E1592" t="str">
        <f t="shared" si="810"/>
        <v>121004</v>
      </c>
      <c r="F1592" t="str">
        <f t="shared" si="811"/>
        <v>FABIANA GODOY</v>
      </c>
      <c r="G1592" t="str">
        <f>"79677456000493"</f>
        <v>79677456000493</v>
      </c>
      <c r="H1592" t="str">
        <f t="shared" si="812"/>
        <v>0</v>
      </c>
      <c r="I1592" t="str">
        <f t="shared" si="786"/>
        <v>CONTA OPTICA</v>
      </c>
      <c r="J1592" t="str">
        <f>"OTICA MOMM LTDA EPP"</f>
        <v>OTICA MOMM LTDA EPP</v>
      </c>
      <c r="K1592" t="str">
        <f>"OTICA MOMM LTDA EPP (1777)"</f>
        <v>OTICA MOMM LTDA EPP (1777)</v>
      </c>
      <c r="L1592" t="str">
        <f>""</f>
        <v/>
      </c>
      <c r="M1592" t="str">
        <f>""</f>
        <v/>
      </c>
      <c r="N1592" t="str">
        <f>"contato@oticamomm.com.br"</f>
        <v>contato@oticamomm.com.br</v>
      </c>
      <c r="O1592" t="str">
        <f>""</f>
        <v/>
      </c>
      <c r="P1592" t="str">
        <f>"AVENIDA GETULIO VARGAS"</f>
        <v>AVENIDA GETULIO VARGAS</v>
      </c>
      <c r="Q1592" t="str">
        <f>"101"</f>
        <v>101</v>
      </c>
      <c r="R1592" t="str">
        <f>"SALA 04"</f>
        <v>SALA 04</v>
      </c>
      <c r="S1592" t="str">
        <f>""</f>
        <v/>
      </c>
      <c r="T1592" t="str">
        <f>"89080024"</f>
        <v>89080024</v>
      </c>
      <c r="U1592" t="str">
        <f t="shared" si="813"/>
        <v>CENTRO</v>
      </c>
      <c r="V1592" t="str">
        <f>"INDAIAL"</f>
        <v>INDAIAL</v>
      </c>
      <c r="W1592" t="str">
        <f t="shared" si="807"/>
        <v>SC</v>
      </c>
      <c r="X1592" t="str">
        <f t="shared" si="819"/>
        <v>47</v>
      </c>
      <c r="Y1592" t="str">
        <f>"33338889"</f>
        <v>33338889</v>
      </c>
      <c r="Z1592" t="str">
        <f>""</f>
        <v/>
      </c>
      <c r="AA1592" t="str">
        <f>""</f>
        <v/>
      </c>
      <c r="AB1592" t="str">
        <f>""</f>
        <v/>
      </c>
      <c r="AC1592" t="str">
        <f>""</f>
        <v/>
      </c>
      <c r="AD1592" t="str">
        <f>""</f>
        <v/>
      </c>
      <c r="AE1592" t="str">
        <f>""</f>
        <v/>
      </c>
      <c r="AF1592" t="str">
        <f>""</f>
        <v/>
      </c>
      <c r="AG1592" t="str">
        <f t="shared" si="814"/>
        <v>S</v>
      </c>
      <c r="AH1592" t="str">
        <f>""</f>
        <v/>
      </c>
      <c r="AI1592" t="str">
        <f>""</f>
        <v/>
      </c>
      <c r="AJ1592" t="str">
        <f>""</f>
        <v/>
      </c>
      <c r="AK1592" t="str">
        <f>""</f>
        <v/>
      </c>
      <c r="AL1592" t="str">
        <f>""</f>
        <v/>
      </c>
      <c r="AM1592" t="str">
        <f>""</f>
        <v/>
      </c>
      <c r="AN1592" t="str">
        <f>""</f>
        <v/>
      </c>
      <c r="AO1592" t="str">
        <f>""</f>
        <v/>
      </c>
      <c r="AP1592" t="str">
        <f>""</f>
        <v/>
      </c>
      <c r="AQ1592" t="str">
        <f t="shared" si="815"/>
        <v>N</v>
      </c>
      <c r="AR1592" t="str">
        <f t="shared" si="815"/>
        <v>N</v>
      </c>
      <c r="AS1592" t="str">
        <f t="shared" si="815"/>
        <v>N</v>
      </c>
      <c r="AT1592" t="str">
        <f t="shared" si="815"/>
        <v>N</v>
      </c>
      <c r="AU1592" t="str">
        <f t="shared" si="815"/>
        <v>N</v>
      </c>
      <c r="AV1592" t="str">
        <f>""</f>
        <v/>
      </c>
      <c r="AW1592" t="str">
        <f>""</f>
        <v/>
      </c>
      <c r="AX1592" t="str">
        <f>""</f>
        <v/>
      </c>
      <c r="AY1592" t="str">
        <f>""</f>
        <v/>
      </c>
      <c r="AZ1592" t="str">
        <f>""</f>
        <v/>
      </c>
      <c r="BA1592" t="str">
        <f>""</f>
        <v/>
      </c>
      <c r="BB1592" t="str">
        <f t="shared" si="816"/>
        <v>01/07/2021 13:53:04</v>
      </c>
      <c r="BC1592" t="str">
        <f>"11/07/2023 15:14:14"</f>
        <v>11/07/2023 15:14:14</v>
      </c>
      <c r="BD1592" t="str">
        <f>""</f>
        <v/>
      </c>
      <c r="BE1592" t="str">
        <f>""</f>
        <v/>
      </c>
      <c r="BF1592" t="str">
        <f t="shared" si="787"/>
        <v>A</v>
      </c>
      <c r="BG1592" t="str">
        <f>""</f>
        <v/>
      </c>
      <c r="BH1592" t="str">
        <f t="shared" si="817"/>
        <v>0,00</v>
      </c>
      <c r="BI1592" t="str">
        <f>"MENSAL"</f>
        <v>MENSAL</v>
      </c>
      <c r="BJ1592" t="str">
        <f t="shared" si="788"/>
        <v>1</v>
      </c>
      <c r="BK1592" t="str">
        <f t="shared" si="789"/>
        <v>Farmacia</v>
      </c>
      <c r="BL1592" t="str">
        <f>""</f>
        <v/>
      </c>
      <c r="BM1592" t="str">
        <f>"NÃO É VARILUX ESPECIALISTA"</f>
        <v>NÃO É VARILUX ESPECIALISTA</v>
      </c>
      <c r="BN1592" t="str">
        <f t="shared" si="808"/>
        <v>NA</v>
      </c>
      <c r="BO1592" t="str">
        <f>""</f>
        <v/>
      </c>
      <c r="BP1592" t="str">
        <f>""</f>
        <v/>
      </c>
      <c r="BQ1592" t="str">
        <f>""</f>
        <v/>
      </c>
      <c r="BR1592" t="str">
        <f t="shared" si="818"/>
        <v>01/07/2021</v>
      </c>
      <c r="BS1592" t="str">
        <f>"11/07/2023"</f>
        <v>11/07/2023</v>
      </c>
      <c r="BT1592" t="str">
        <f>""</f>
        <v/>
      </c>
      <c r="BU1592" t="str">
        <f>""</f>
        <v/>
      </c>
      <c r="BV1592" t="str">
        <f>""</f>
        <v/>
      </c>
      <c r="BW1592" t="str">
        <f>"10"</f>
        <v>10</v>
      </c>
    </row>
    <row r="1593" spans="1:75" x14ac:dyDescent="0.35">
      <c r="A1593">
        <v>137808</v>
      </c>
      <c r="B1593" t="str">
        <f t="shared" si="784"/>
        <v>A</v>
      </c>
      <c r="C1593" t="str">
        <f t="shared" si="785"/>
        <v>80</v>
      </c>
      <c r="D1593" t="str">
        <f t="shared" si="809"/>
        <v>11121004</v>
      </c>
      <c r="E1593" t="str">
        <f t="shared" si="810"/>
        <v>121004</v>
      </c>
      <c r="F1593" t="str">
        <f t="shared" si="811"/>
        <v>FABIANA GODOY</v>
      </c>
      <c r="G1593" t="str">
        <f>"79677456000140"</f>
        <v>79677456000140</v>
      </c>
      <c r="H1593" t="str">
        <f t="shared" si="812"/>
        <v>0</v>
      </c>
      <c r="I1593" t="str">
        <f t="shared" si="786"/>
        <v>CONTA OPTICA</v>
      </c>
      <c r="J1593" t="str">
        <f>"OTICA MOMM LTDA EPP"</f>
        <v>OTICA MOMM LTDA EPP</v>
      </c>
      <c r="K1593" t="str">
        <f>"MOMM - INDAIAL (330)"</f>
        <v>MOMM - INDAIAL (330)</v>
      </c>
      <c r="L1593" t="str">
        <f>""</f>
        <v/>
      </c>
      <c r="M1593" t="str">
        <f>""</f>
        <v/>
      </c>
      <c r="N1593" t="str">
        <f>"contato@oticamomm.com.br"</f>
        <v>contato@oticamomm.com.br</v>
      </c>
      <c r="O1593" t="str">
        <f>""</f>
        <v/>
      </c>
      <c r="P1593" t="str">
        <f>"RUA GETULIO VARGAS"</f>
        <v>RUA GETULIO VARGAS</v>
      </c>
      <c r="Q1593" t="str">
        <f>"101"</f>
        <v>101</v>
      </c>
      <c r="R1593" t="str">
        <f>"SALA 04"</f>
        <v>SALA 04</v>
      </c>
      <c r="S1593" t="str">
        <f>""</f>
        <v/>
      </c>
      <c r="T1593" t="str">
        <f>"89080024"</f>
        <v>89080024</v>
      </c>
      <c r="U1593" t="str">
        <f t="shared" si="813"/>
        <v>CENTRO</v>
      </c>
      <c r="V1593" t="str">
        <f>"INDAIAL"</f>
        <v>INDAIAL</v>
      </c>
      <c r="W1593" t="str">
        <f t="shared" si="807"/>
        <v>SC</v>
      </c>
      <c r="X1593" t="str">
        <f t="shared" si="819"/>
        <v>47</v>
      </c>
      <c r="Y1593" t="str">
        <f>"33338889"</f>
        <v>33338889</v>
      </c>
      <c r="Z1593" t="str">
        <f>""</f>
        <v/>
      </c>
      <c r="AA1593" t="str">
        <f>""</f>
        <v/>
      </c>
      <c r="AB1593" t="str">
        <f>""</f>
        <v/>
      </c>
      <c r="AC1593" t="str">
        <f>""</f>
        <v/>
      </c>
      <c r="AD1593" t="str">
        <f>""</f>
        <v/>
      </c>
      <c r="AE1593" t="str">
        <f>""</f>
        <v/>
      </c>
      <c r="AF1593" t="str">
        <f>""</f>
        <v/>
      </c>
      <c r="AG1593" t="str">
        <f t="shared" si="814"/>
        <v>S</v>
      </c>
      <c r="AH1593" t="str">
        <f>""</f>
        <v/>
      </c>
      <c r="AI1593" t="str">
        <f>""</f>
        <v/>
      </c>
      <c r="AJ1593" t="str">
        <f>""</f>
        <v/>
      </c>
      <c r="AK1593" t="str">
        <f>""</f>
        <v/>
      </c>
      <c r="AL1593" t="str">
        <f>""</f>
        <v/>
      </c>
      <c r="AM1593" t="str">
        <f>""</f>
        <v/>
      </c>
      <c r="AN1593" t="str">
        <f>""</f>
        <v/>
      </c>
      <c r="AO1593" t="str">
        <f>""</f>
        <v/>
      </c>
      <c r="AP1593" t="str">
        <f>""</f>
        <v/>
      </c>
      <c r="AQ1593" t="str">
        <f t="shared" si="815"/>
        <v>N</v>
      </c>
      <c r="AR1593" t="str">
        <f t="shared" si="815"/>
        <v>N</v>
      </c>
      <c r="AS1593" t="str">
        <f t="shared" si="815"/>
        <v>N</v>
      </c>
      <c r="AT1593" t="str">
        <f t="shared" si="815"/>
        <v>N</v>
      </c>
      <c r="AU1593" t="str">
        <f t="shared" si="815"/>
        <v>N</v>
      </c>
      <c r="AV1593" t="str">
        <f>""</f>
        <v/>
      </c>
      <c r="AW1593" t="str">
        <f>""</f>
        <v/>
      </c>
      <c r="AX1593" t="str">
        <f>""</f>
        <v/>
      </c>
      <c r="AY1593" t="str">
        <f>""</f>
        <v/>
      </c>
      <c r="AZ1593" t="str">
        <f>""</f>
        <v/>
      </c>
      <c r="BA1593" t="str">
        <f>""</f>
        <v/>
      </c>
      <c r="BB1593" t="str">
        <f t="shared" si="816"/>
        <v>01/07/2021 13:53:04</v>
      </c>
      <c r="BC1593" t="str">
        <f>"10/07/2023 14:31:01"</f>
        <v>10/07/2023 14:31:01</v>
      </c>
      <c r="BD1593" t="str">
        <f>""</f>
        <v/>
      </c>
      <c r="BE1593" t="str">
        <f>""</f>
        <v/>
      </c>
      <c r="BF1593" t="str">
        <f t="shared" si="787"/>
        <v>A</v>
      </c>
      <c r="BG1593" t="str">
        <f>""</f>
        <v/>
      </c>
      <c r="BH1593" t="str">
        <f t="shared" si="817"/>
        <v>0,00</v>
      </c>
      <c r="BI1593" t="str">
        <f t="shared" ref="BI1593:BI1606" si="820">"EVENTUAL"</f>
        <v>EVENTUAL</v>
      </c>
      <c r="BJ1593" t="str">
        <f t="shared" si="788"/>
        <v>1</v>
      </c>
      <c r="BK1593" t="str">
        <f t="shared" si="789"/>
        <v>Farmacia</v>
      </c>
      <c r="BL1593" t="str">
        <f>""</f>
        <v/>
      </c>
      <c r="BM1593" t="str">
        <f>"VARILUX ESPECIALISTA SELECT"</f>
        <v>VARILUX ESPECIALISTA SELECT</v>
      </c>
      <c r="BN1593" t="str">
        <f t="shared" si="808"/>
        <v>NA</v>
      </c>
      <c r="BO1593" t="str">
        <f>"FOCO VARILUX DIGITAL"</f>
        <v>FOCO VARILUX DIGITAL</v>
      </c>
      <c r="BP1593" t="str">
        <f>""</f>
        <v/>
      </c>
      <c r="BQ1593" t="str">
        <f>""</f>
        <v/>
      </c>
      <c r="BR1593" t="str">
        <f t="shared" si="818"/>
        <v>01/07/2021</v>
      </c>
      <c r="BS1593" t="str">
        <f>"10/07/2023"</f>
        <v>10/07/2023</v>
      </c>
      <c r="BT1593" t="str">
        <f>""</f>
        <v/>
      </c>
      <c r="BU1593" t="str">
        <f>""</f>
        <v/>
      </c>
      <c r="BV1593" t="str">
        <f>""</f>
        <v/>
      </c>
      <c r="BW1593" t="str">
        <f>"36"</f>
        <v>36</v>
      </c>
    </row>
    <row r="1594" spans="1:75" x14ac:dyDescent="0.35">
      <c r="A1594">
        <v>157777</v>
      </c>
      <c r="B1594" t="str">
        <f t="shared" si="784"/>
        <v>A</v>
      </c>
      <c r="C1594" t="str">
        <f t="shared" si="785"/>
        <v>80</v>
      </c>
      <c r="D1594" t="str">
        <f t="shared" si="809"/>
        <v>11121004</v>
      </c>
      <c r="E1594" t="str">
        <f t="shared" si="810"/>
        <v>121004</v>
      </c>
      <c r="F1594" t="str">
        <f t="shared" si="811"/>
        <v>FABIANA GODOY</v>
      </c>
      <c r="G1594" t="str">
        <f>"36248165000124"</f>
        <v>36248165000124</v>
      </c>
      <c r="H1594" t="str">
        <f t="shared" si="812"/>
        <v>0</v>
      </c>
      <c r="I1594" t="str">
        <f t="shared" si="786"/>
        <v>CONTA OPTICA</v>
      </c>
      <c r="J1594" t="str">
        <f>"OTICA MORRETES EIRELI"</f>
        <v>OTICA MORRETES EIRELI</v>
      </c>
      <c r="K1594" t="str">
        <f>"OTICA EVIDENCE (4193)"</f>
        <v>OTICA EVIDENCE (4193)</v>
      </c>
      <c r="L1594" t="str">
        <f>""</f>
        <v/>
      </c>
      <c r="M1594" t="str">
        <f>""</f>
        <v/>
      </c>
      <c r="N1594" t="str">
        <f>"OTICA.EVIDENCE@YAHOO.COM"</f>
        <v>OTICA.EVIDENCE@YAHOO.COM</v>
      </c>
      <c r="O1594" t="str">
        <f>""</f>
        <v/>
      </c>
      <c r="P1594" t="str">
        <f>"RUA 418"</f>
        <v>RUA 418</v>
      </c>
      <c r="Q1594" t="str">
        <f>"429"</f>
        <v>429</v>
      </c>
      <c r="R1594" t="str">
        <f>"ESQUI RUA 406 E"</f>
        <v>ESQUI RUA 406 E</v>
      </c>
      <c r="S1594" t="str">
        <f>"1260"</f>
        <v>1260</v>
      </c>
      <c r="T1594" t="str">
        <f>"88220000"</f>
        <v>88220000</v>
      </c>
      <c r="U1594" t="str">
        <f>"MORRETE"</f>
        <v>MORRETE</v>
      </c>
      <c r="V1594" t="str">
        <f>"ITAPEMA"</f>
        <v>ITAPEMA</v>
      </c>
      <c r="W1594" t="str">
        <f t="shared" si="807"/>
        <v>SC</v>
      </c>
      <c r="X1594" t="str">
        <f t="shared" si="819"/>
        <v>47</v>
      </c>
      <c r="Y1594" t="str">
        <f>"997810283"</f>
        <v>997810283</v>
      </c>
      <c r="Z1594" t="str">
        <f>""</f>
        <v/>
      </c>
      <c r="AA1594" t="str">
        <f>""</f>
        <v/>
      </c>
      <c r="AB1594" t="str">
        <f>""</f>
        <v/>
      </c>
      <c r="AC1594" t="str">
        <f>""</f>
        <v/>
      </c>
      <c r="AD1594" t="str">
        <f>""</f>
        <v/>
      </c>
      <c r="AE1594" t="str">
        <f>""</f>
        <v/>
      </c>
      <c r="AF1594" t="str">
        <f>""</f>
        <v/>
      </c>
      <c r="AG1594" t="str">
        <f>""</f>
        <v/>
      </c>
      <c r="AH1594" t="str">
        <f>""</f>
        <v/>
      </c>
      <c r="AI1594" t="str">
        <f>""</f>
        <v/>
      </c>
      <c r="AJ1594" t="str">
        <f>""</f>
        <v/>
      </c>
      <c r="AK1594" t="str">
        <f>""</f>
        <v/>
      </c>
      <c r="AL1594" t="str">
        <f>""</f>
        <v/>
      </c>
      <c r="AM1594" t="str">
        <f>""</f>
        <v/>
      </c>
      <c r="AN1594" t="str">
        <f>""</f>
        <v/>
      </c>
      <c r="AO1594" t="str">
        <f>""</f>
        <v/>
      </c>
      <c r="AP1594" t="str">
        <f>""</f>
        <v/>
      </c>
      <c r="AQ1594" t="str">
        <f>""</f>
        <v/>
      </c>
      <c r="AR1594" t="str">
        <f>""</f>
        <v/>
      </c>
      <c r="AS1594" t="str">
        <f>""</f>
        <v/>
      </c>
      <c r="AT1594" t="str">
        <f>""</f>
        <v/>
      </c>
      <c r="AU1594" t="str">
        <f>""</f>
        <v/>
      </c>
      <c r="AV1594" t="str">
        <f>""</f>
        <v/>
      </c>
      <c r="AW1594" t="str">
        <f>""</f>
        <v/>
      </c>
      <c r="AX1594" t="str">
        <f>""</f>
        <v/>
      </c>
      <c r="AY1594" t="str">
        <f>""</f>
        <v/>
      </c>
      <c r="AZ1594" t="str">
        <f>""</f>
        <v/>
      </c>
      <c r="BA1594" t="str">
        <f>""</f>
        <v/>
      </c>
      <c r="BB1594" t="str">
        <f>"11/07/2023 02:26:32"</f>
        <v>11/07/2023 02:26:32</v>
      </c>
      <c r="BC1594" t="str">
        <f>""</f>
        <v/>
      </c>
      <c r="BD1594" t="str">
        <f>""</f>
        <v/>
      </c>
      <c r="BE1594" t="str">
        <f>""</f>
        <v/>
      </c>
      <c r="BF1594" t="str">
        <f t="shared" si="787"/>
        <v>A</v>
      </c>
      <c r="BG1594" t="str">
        <f>""</f>
        <v/>
      </c>
      <c r="BH1594" t="str">
        <f>""</f>
        <v/>
      </c>
      <c r="BI1594" t="str">
        <f t="shared" si="820"/>
        <v>EVENTUAL</v>
      </c>
      <c r="BJ1594" t="str">
        <f t="shared" si="788"/>
        <v>1</v>
      </c>
      <c r="BK1594" t="str">
        <f t="shared" si="789"/>
        <v>Farmacia</v>
      </c>
      <c r="BL1594" t="str">
        <f>""</f>
        <v/>
      </c>
      <c r="BM1594" t="str">
        <f>""</f>
        <v/>
      </c>
      <c r="BN1594" t="str">
        <f>""</f>
        <v/>
      </c>
      <c r="BO1594" t="str">
        <f>""</f>
        <v/>
      </c>
      <c r="BP1594" t="str">
        <f>""</f>
        <v/>
      </c>
      <c r="BQ1594" t="str">
        <f>""</f>
        <v/>
      </c>
      <c r="BR1594" t="str">
        <f>"11/07/2023"</f>
        <v>11/07/2023</v>
      </c>
      <c r="BS1594" t="str">
        <f>""</f>
        <v/>
      </c>
      <c r="BT1594" t="str">
        <f>""</f>
        <v/>
      </c>
      <c r="BU1594" t="str">
        <f>""</f>
        <v/>
      </c>
      <c r="BV1594" t="str">
        <f>""</f>
        <v/>
      </c>
      <c r="BW1594" t="str">
        <f>"Não visitado"</f>
        <v>Não visitado</v>
      </c>
    </row>
    <row r="1595" spans="1:75" x14ac:dyDescent="0.35">
      <c r="A1595">
        <v>137810</v>
      </c>
      <c r="B1595" t="str">
        <f t="shared" si="784"/>
        <v>A</v>
      </c>
      <c r="C1595" t="str">
        <f t="shared" si="785"/>
        <v>80</v>
      </c>
      <c r="D1595" t="str">
        <f t="shared" si="809"/>
        <v>11121004</v>
      </c>
      <c r="E1595" t="str">
        <f t="shared" si="810"/>
        <v>121004</v>
      </c>
      <c r="F1595" t="str">
        <f t="shared" si="811"/>
        <v>FABIANA GODOY</v>
      </c>
      <c r="G1595" t="str">
        <f>"75564245000140"</f>
        <v>75564245000140</v>
      </c>
      <c r="H1595" t="str">
        <f t="shared" si="812"/>
        <v>0</v>
      </c>
      <c r="I1595" t="str">
        <f t="shared" si="786"/>
        <v>CONTA OPTICA</v>
      </c>
      <c r="J1595" t="str">
        <f>"OTICA MOURA FERRO EIRELI"</f>
        <v>OTICA MOURA FERRO EIRELI</v>
      </c>
      <c r="K1595" t="str">
        <f>"MOURA FERRO (238)"</f>
        <v>MOURA FERRO (238)</v>
      </c>
      <c r="L1595" t="str">
        <f>""</f>
        <v/>
      </c>
      <c r="M1595" t="str">
        <f>""</f>
        <v/>
      </c>
      <c r="N1595" t="str">
        <f>"lulamferro@gmail.com"</f>
        <v>lulamferro@gmail.com</v>
      </c>
      <c r="O1595" t="str">
        <f>""</f>
        <v/>
      </c>
      <c r="P1595" t="str">
        <f>"RUA TUIUTI"</f>
        <v>RUA TUIUTI</v>
      </c>
      <c r="Q1595" t="str">
        <f>"20"</f>
        <v>20</v>
      </c>
      <c r="R1595" t="str">
        <f>""</f>
        <v/>
      </c>
      <c r="S1595" t="str">
        <f>"1276"</f>
        <v>1276</v>
      </c>
      <c r="T1595" t="str">
        <f>"89160045"</f>
        <v>89160045</v>
      </c>
      <c r="U1595" t="str">
        <f>"CENTRO"</f>
        <v>CENTRO</v>
      </c>
      <c r="V1595" t="str">
        <f>"RIO DO SUL"</f>
        <v>RIO DO SUL</v>
      </c>
      <c r="W1595" t="str">
        <f t="shared" si="807"/>
        <v>SC</v>
      </c>
      <c r="X1595" t="str">
        <f t="shared" si="819"/>
        <v>47</v>
      </c>
      <c r="Y1595" t="str">
        <f>"35213311"</f>
        <v>35213311</v>
      </c>
      <c r="Z1595" t="str">
        <f>""</f>
        <v/>
      </c>
      <c r="AA1595" t="str">
        <f>""</f>
        <v/>
      </c>
      <c r="AB1595" t="str">
        <f>""</f>
        <v/>
      </c>
      <c r="AC1595" t="str">
        <f>""</f>
        <v/>
      </c>
      <c r="AD1595" t="str">
        <f>""</f>
        <v/>
      </c>
      <c r="AE1595" t="str">
        <f>""</f>
        <v/>
      </c>
      <c r="AF1595" t="str">
        <f>""</f>
        <v/>
      </c>
      <c r="AG1595" t="str">
        <f>"S"</f>
        <v>S</v>
      </c>
      <c r="AH1595" t="str">
        <f>""</f>
        <v/>
      </c>
      <c r="AI1595" t="str">
        <f>""</f>
        <v/>
      </c>
      <c r="AJ1595" t="str">
        <f>""</f>
        <v/>
      </c>
      <c r="AK1595" t="str">
        <f>""</f>
        <v/>
      </c>
      <c r="AL1595" t="str">
        <f>""</f>
        <v/>
      </c>
      <c r="AM1595" t="str">
        <f>""</f>
        <v/>
      </c>
      <c r="AN1595" t="str">
        <f>""</f>
        <v/>
      </c>
      <c r="AO1595" t="str">
        <f>""</f>
        <v/>
      </c>
      <c r="AP1595" t="str">
        <f>""</f>
        <v/>
      </c>
      <c r="AQ1595" t="str">
        <f>"N"</f>
        <v>N</v>
      </c>
      <c r="AR1595" t="str">
        <f>"N"</f>
        <v>N</v>
      </c>
      <c r="AS1595" t="str">
        <f>"N"</f>
        <v>N</v>
      </c>
      <c r="AT1595" t="str">
        <f>"N"</f>
        <v>N</v>
      </c>
      <c r="AU1595" t="str">
        <f>"N"</f>
        <v>N</v>
      </c>
      <c r="AV1595" t="str">
        <f>""</f>
        <v/>
      </c>
      <c r="AW1595" t="str">
        <f>""</f>
        <v/>
      </c>
      <c r="AX1595" t="str">
        <f>""</f>
        <v/>
      </c>
      <c r="AY1595" t="str">
        <f>""</f>
        <v/>
      </c>
      <c r="AZ1595" t="str">
        <f>""</f>
        <v/>
      </c>
      <c r="BA1595" t="str">
        <f>""</f>
        <v/>
      </c>
      <c r="BB1595" t="str">
        <f>"01/07/2021 13:53:04"</f>
        <v>01/07/2021 13:53:04</v>
      </c>
      <c r="BC1595" t="str">
        <f>"29/10/2021 16:49:06"</f>
        <v>29/10/2021 16:49:06</v>
      </c>
      <c r="BD1595" t="str">
        <f>""</f>
        <v/>
      </c>
      <c r="BE1595" t="str">
        <f>""</f>
        <v/>
      </c>
      <c r="BF1595" t="str">
        <f t="shared" si="787"/>
        <v>A</v>
      </c>
      <c r="BG1595" t="str">
        <f>""</f>
        <v/>
      </c>
      <c r="BH1595" t="str">
        <f>"0,00"</f>
        <v>0,00</v>
      </c>
      <c r="BI1595" t="str">
        <f t="shared" si="820"/>
        <v>EVENTUAL</v>
      </c>
      <c r="BJ1595" t="str">
        <f t="shared" si="788"/>
        <v>1</v>
      </c>
      <c r="BK1595" t="str">
        <f t="shared" si="789"/>
        <v>Farmacia</v>
      </c>
      <c r="BL1595" t="str">
        <f>""</f>
        <v/>
      </c>
      <c r="BM1595" t="str">
        <f>"CREDENCIADO VARILUX"</f>
        <v>CREDENCIADO VARILUX</v>
      </c>
      <c r="BN1595" t="str">
        <f>"EL360"</f>
        <v>EL360</v>
      </c>
      <c r="BO1595" t="str">
        <f>"FOCO VARILUX DIGITAL"</f>
        <v>FOCO VARILUX DIGITAL</v>
      </c>
      <c r="BP1595" t="str">
        <f>""</f>
        <v/>
      </c>
      <c r="BQ1595" t="str">
        <f>""</f>
        <v/>
      </c>
      <c r="BR1595" t="str">
        <f>"01/07/2021"</f>
        <v>01/07/2021</v>
      </c>
      <c r="BS1595" t="str">
        <f>"29/10/2021"</f>
        <v>29/10/2021</v>
      </c>
      <c r="BT1595" t="str">
        <f>""</f>
        <v/>
      </c>
      <c r="BU1595" t="str">
        <f>""</f>
        <v/>
      </c>
      <c r="BV1595" t="str">
        <f>""</f>
        <v/>
      </c>
      <c r="BW1595" t="str">
        <f>"10"</f>
        <v>10</v>
      </c>
    </row>
    <row r="1596" spans="1:75" x14ac:dyDescent="0.35">
      <c r="A1596">
        <v>1317</v>
      </c>
      <c r="B1596" t="str">
        <f t="shared" si="784"/>
        <v>A</v>
      </c>
      <c r="C1596" t="str">
        <f t="shared" si="785"/>
        <v>80</v>
      </c>
      <c r="D1596" t="str">
        <f t="shared" si="809"/>
        <v>11121004</v>
      </c>
      <c r="E1596" t="str">
        <f t="shared" si="810"/>
        <v>121004</v>
      </c>
      <c r="F1596" t="str">
        <f t="shared" si="811"/>
        <v>FABIANA GODOY</v>
      </c>
      <c r="G1596" t="str">
        <f>"08732865000154"</f>
        <v>08732865000154</v>
      </c>
      <c r="H1596" t="str">
        <f>""</f>
        <v/>
      </c>
      <c r="I1596" t="str">
        <f t="shared" si="786"/>
        <v>CONTA OPTICA</v>
      </c>
      <c r="J1596" t="str">
        <f>"OTICA NICOLY WAGNER LTDA"</f>
        <v>OTICA NICOLY WAGNER LTDA</v>
      </c>
      <c r="K1596" t="str">
        <f>"VISUAL OTICA (1282)"</f>
        <v>VISUAL OTICA (1282)</v>
      </c>
      <c r="L1596" t="str">
        <f>""</f>
        <v/>
      </c>
      <c r="M1596" t="str">
        <f>""</f>
        <v/>
      </c>
      <c r="N1596" t="str">
        <f>"visualotica_bnu@yahoo.com.br"</f>
        <v>visualotica_bnu@yahoo.com.br</v>
      </c>
      <c r="O1596" t="str">
        <f>""</f>
        <v/>
      </c>
      <c r="P1596" t="str">
        <f>"RUA DOS CACADORES"</f>
        <v>RUA DOS CACADORES</v>
      </c>
      <c r="Q1596" t="str">
        <f>"2368"</f>
        <v>2368</v>
      </c>
      <c r="R1596" t="str">
        <f>""</f>
        <v/>
      </c>
      <c r="S1596" t="str">
        <f>"1273"</f>
        <v>1273</v>
      </c>
      <c r="T1596" t="str">
        <f>"89040003"</f>
        <v>89040003</v>
      </c>
      <c r="U1596" t="str">
        <f>"VELHA"</f>
        <v>VELHA</v>
      </c>
      <c r="V1596" t="str">
        <f>"BLUMENAU"</f>
        <v>BLUMENAU</v>
      </c>
      <c r="W1596" t="str">
        <f t="shared" si="807"/>
        <v>SC</v>
      </c>
      <c r="X1596" t="str">
        <f t="shared" si="819"/>
        <v>47</v>
      </c>
      <c r="Y1596" t="str">
        <f>"33255479"</f>
        <v>33255479</v>
      </c>
      <c r="Z1596" t="str">
        <f>""</f>
        <v/>
      </c>
      <c r="AA1596" t="str">
        <f>""</f>
        <v/>
      </c>
      <c r="AB1596" t="str">
        <f>""</f>
        <v/>
      </c>
      <c r="AC1596" t="str">
        <f>""</f>
        <v/>
      </c>
      <c r="AD1596" t="str">
        <f>""</f>
        <v/>
      </c>
      <c r="AE1596" t="str">
        <f>""</f>
        <v/>
      </c>
      <c r="AF1596" t="str">
        <f>""</f>
        <v/>
      </c>
      <c r="AG1596" t="str">
        <f>""</f>
        <v/>
      </c>
      <c r="AH1596" t="str">
        <f>""</f>
        <v/>
      </c>
      <c r="AI1596" t="str">
        <f>""</f>
        <v/>
      </c>
      <c r="AJ1596" t="str">
        <f t="shared" ref="AJ1596:AL1597" si="821">"0"</f>
        <v>0</v>
      </c>
      <c r="AK1596" t="str">
        <f t="shared" si="821"/>
        <v>0</v>
      </c>
      <c r="AL1596" t="str">
        <f t="shared" si="821"/>
        <v>0</v>
      </c>
      <c r="AM1596" t="str">
        <f>""</f>
        <v/>
      </c>
      <c r="AN1596" t="str">
        <f>""</f>
        <v/>
      </c>
      <c r="AO1596" t="str">
        <f>""</f>
        <v/>
      </c>
      <c r="AP1596" t="str">
        <f>""</f>
        <v/>
      </c>
      <c r="AQ1596" t="str">
        <f>""</f>
        <v/>
      </c>
      <c r="AR1596" t="str">
        <f>""</f>
        <v/>
      </c>
      <c r="AS1596" t="str">
        <f>""</f>
        <v/>
      </c>
      <c r="AT1596" t="str">
        <f>""</f>
        <v/>
      </c>
      <c r="AU1596" t="str">
        <f>""</f>
        <v/>
      </c>
      <c r="AV1596" t="str">
        <f>""</f>
        <v/>
      </c>
      <c r="AW1596" t="str">
        <f>""</f>
        <v/>
      </c>
      <c r="AX1596" t="str">
        <f>""</f>
        <v/>
      </c>
      <c r="AY1596" t="str">
        <f>""</f>
        <v/>
      </c>
      <c r="AZ1596" t="str">
        <f>""</f>
        <v/>
      </c>
      <c r="BA1596" t="str">
        <f>""</f>
        <v/>
      </c>
      <c r="BB1596" t="str">
        <f>"27/07/2018 09:26:14"</f>
        <v>27/07/2018 09:26:14</v>
      </c>
      <c r="BC1596" t="str">
        <f>""</f>
        <v/>
      </c>
      <c r="BD1596" t="str">
        <f>""</f>
        <v/>
      </c>
      <c r="BE1596" t="str">
        <f>"1317"</f>
        <v>1317</v>
      </c>
      <c r="BF1596" t="str">
        <f t="shared" si="787"/>
        <v>A</v>
      </c>
      <c r="BG1596" t="str">
        <f>"0,00"</f>
        <v>0,00</v>
      </c>
      <c r="BH1596" t="str">
        <f>"0,00"</f>
        <v>0,00</v>
      </c>
      <c r="BI1596" t="str">
        <f t="shared" si="820"/>
        <v>EVENTUAL</v>
      </c>
      <c r="BJ1596" t="str">
        <f t="shared" si="788"/>
        <v>1</v>
      </c>
      <c r="BK1596" t="str">
        <f t="shared" si="789"/>
        <v>Farmacia</v>
      </c>
      <c r="BL1596" t="str">
        <f>""</f>
        <v/>
      </c>
      <c r="BM1596" t="str">
        <f>"NÃO É VARILUX ESPECIALISTA"</f>
        <v>NÃO É VARILUX ESPECIALISTA</v>
      </c>
      <c r="BN1596" t="str">
        <f>"NA"</f>
        <v>NA</v>
      </c>
      <c r="BO1596" t="str">
        <f>"FOCO KODAK 2"</f>
        <v>FOCO KODAK 2</v>
      </c>
      <c r="BP1596" t="str">
        <f>""</f>
        <v/>
      </c>
      <c r="BQ1596" t="str">
        <f>""</f>
        <v/>
      </c>
      <c r="BR1596" t="str">
        <f>"27/07/2018"</f>
        <v>27/07/2018</v>
      </c>
      <c r="BS1596" t="str">
        <f>""</f>
        <v/>
      </c>
      <c r="BT1596" t="str">
        <f>""</f>
        <v/>
      </c>
      <c r="BU1596" t="str">
        <f>""</f>
        <v/>
      </c>
      <c r="BV1596" t="str">
        <f>"6"</f>
        <v>6</v>
      </c>
      <c r="BW1596" t="str">
        <f>"Não visitado"</f>
        <v>Não visitado</v>
      </c>
    </row>
    <row r="1597" spans="1:75" x14ac:dyDescent="0.35">
      <c r="A1597">
        <v>1232</v>
      </c>
      <c r="B1597" t="str">
        <f t="shared" si="784"/>
        <v>A</v>
      </c>
      <c r="C1597" t="str">
        <f t="shared" si="785"/>
        <v>80</v>
      </c>
      <c r="D1597" t="str">
        <f t="shared" si="809"/>
        <v>11121004</v>
      </c>
      <c r="E1597" t="str">
        <f t="shared" si="810"/>
        <v>121004</v>
      </c>
      <c r="F1597" t="str">
        <f t="shared" si="811"/>
        <v>FABIANA GODOY</v>
      </c>
      <c r="G1597" t="str">
        <f>"01381779000103"</f>
        <v>01381779000103</v>
      </c>
      <c r="H1597" t="str">
        <f>""</f>
        <v/>
      </c>
      <c r="I1597" t="str">
        <f t="shared" si="786"/>
        <v>CONTA OPTICA</v>
      </c>
      <c r="J1597" t="str">
        <f>"OTICA OELKE FORTALEZA LTDA ME"</f>
        <v>OTICA OELKE FORTALEZA LTDA ME</v>
      </c>
      <c r="K1597" t="str">
        <f>"OTICA OELKE FORTALEZA LTDA (972)"</f>
        <v>OTICA OELKE FORTALEZA LTDA (972)</v>
      </c>
      <c r="L1597" t="str">
        <f>""</f>
        <v/>
      </c>
      <c r="M1597" t="str">
        <f>""</f>
        <v/>
      </c>
      <c r="N1597" t="str">
        <f>"otica.fortaleza@gmail.com"</f>
        <v>otica.fortaleza@gmail.com</v>
      </c>
      <c r="O1597" t="str">
        <f>""</f>
        <v/>
      </c>
      <c r="P1597" t="str">
        <f>"RUA FRANCISCO VAHLDIECK"</f>
        <v>RUA FRANCISCO VAHLDIECK</v>
      </c>
      <c r="Q1597" t="str">
        <f>"2215"</f>
        <v>2215</v>
      </c>
      <c r="R1597" t="str">
        <f>""</f>
        <v/>
      </c>
      <c r="S1597" t="str">
        <f>"1273"</f>
        <v>1273</v>
      </c>
      <c r="T1597" t="str">
        <f>"89057000"</f>
        <v>89057000</v>
      </c>
      <c r="U1597" t="str">
        <f>"FORTALEZA"</f>
        <v>FORTALEZA</v>
      </c>
      <c r="V1597" t="str">
        <f>"BLUMENAU"</f>
        <v>BLUMENAU</v>
      </c>
      <c r="W1597" t="str">
        <f t="shared" si="807"/>
        <v>SC</v>
      </c>
      <c r="X1597" t="str">
        <f t="shared" si="819"/>
        <v>47</v>
      </c>
      <c r="Y1597" t="str">
        <f>"33390516"</f>
        <v>33390516</v>
      </c>
      <c r="Z1597" t="str">
        <f>""</f>
        <v/>
      </c>
      <c r="AA1597" t="str">
        <f>""</f>
        <v/>
      </c>
      <c r="AB1597" t="str">
        <f>""</f>
        <v/>
      </c>
      <c r="AC1597" t="str">
        <f>""</f>
        <v/>
      </c>
      <c r="AD1597" t="str">
        <f>""</f>
        <v/>
      </c>
      <c r="AE1597" t="str">
        <f>""</f>
        <v/>
      </c>
      <c r="AF1597" t="str">
        <f>""</f>
        <v/>
      </c>
      <c r="AG1597" t="str">
        <f>""</f>
        <v/>
      </c>
      <c r="AH1597" t="str">
        <f>""</f>
        <v/>
      </c>
      <c r="AI1597" t="str">
        <f>""</f>
        <v/>
      </c>
      <c r="AJ1597" t="str">
        <f t="shared" si="821"/>
        <v>0</v>
      </c>
      <c r="AK1597" t="str">
        <f t="shared" si="821"/>
        <v>0</v>
      </c>
      <c r="AL1597" t="str">
        <f t="shared" si="821"/>
        <v>0</v>
      </c>
      <c r="AM1597" t="str">
        <f>""</f>
        <v/>
      </c>
      <c r="AN1597" t="str">
        <f>""</f>
        <v/>
      </c>
      <c r="AO1597" t="str">
        <f>""</f>
        <v/>
      </c>
      <c r="AP1597" t="str">
        <f>""</f>
        <v/>
      </c>
      <c r="AQ1597" t="str">
        <f>""</f>
        <v/>
      </c>
      <c r="AR1597" t="str">
        <f>""</f>
        <v/>
      </c>
      <c r="AS1597" t="str">
        <f>""</f>
        <v/>
      </c>
      <c r="AT1597" t="str">
        <f>""</f>
        <v/>
      </c>
      <c r="AU1597" t="str">
        <f>""</f>
        <v/>
      </c>
      <c r="AV1597" t="str">
        <f>""</f>
        <v/>
      </c>
      <c r="AW1597" t="str">
        <f>""</f>
        <v/>
      </c>
      <c r="AX1597" t="str">
        <f>""</f>
        <v/>
      </c>
      <c r="AY1597" t="str">
        <f>""</f>
        <v/>
      </c>
      <c r="AZ1597" t="str">
        <f>""</f>
        <v/>
      </c>
      <c r="BA1597" t="str">
        <f>""</f>
        <v/>
      </c>
      <c r="BB1597" t="str">
        <f>"27/07/2018 09:26:11"</f>
        <v>27/07/2018 09:26:11</v>
      </c>
      <c r="BC1597" t="str">
        <f>""</f>
        <v/>
      </c>
      <c r="BD1597" t="str">
        <f>""</f>
        <v/>
      </c>
      <c r="BE1597" t="str">
        <f>"1232"</f>
        <v>1232</v>
      </c>
      <c r="BF1597" t="str">
        <f t="shared" si="787"/>
        <v>A</v>
      </c>
      <c r="BG1597" t="str">
        <f>"0,00"</f>
        <v>0,00</v>
      </c>
      <c r="BH1597" t="str">
        <f>"0,00"</f>
        <v>0,00</v>
      </c>
      <c r="BI1597" t="str">
        <f t="shared" si="820"/>
        <v>EVENTUAL</v>
      </c>
      <c r="BJ1597" t="str">
        <f t="shared" si="788"/>
        <v>1</v>
      </c>
      <c r="BK1597" t="str">
        <f t="shared" si="789"/>
        <v>Farmacia</v>
      </c>
      <c r="BL1597" t="str">
        <f>""</f>
        <v/>
      </c>
      <c r="BM1597" t="str">
        <f>"NÃO É VARILUX ESPECIALISTA"</f>
        <v>NÃO É VARILUX ESPECIALISTA</v>
      </c>
      <c r="BN1597" t="str">
        <f>"NA"</f>
        <v>NA</v>
      </c>
      <c r="BO1597" t="str">
        <f>"FOCO KODAK 2"</f>
        <v>FOCO KODAK 2</v>
      </c>
      <c r="BP1597" t="str">
        <f>""</f>
        <v/>
      </c>
      <c r="BQ1597" t="str">
        <f>""</f>
        <v/>
      </c>
      <c r="BR1597" t="str">
        <f>"27/07/2018"</f>
        <v>27/07/2018</v>
      </c>
      <c r="BS1597" t="str">
        <f>""</f>
        <v/>
      </c>
      <c r="BT1597" t="str">
        <f>""</f>
        <v/>
      </c>
      <c r="BU1597" t="str">
        <f>""</f>
        <v/>
      </c>
      <c r="BV1597" t="str">
        <f>"4"</f>
        <v>4</v>
      </c>
      <c r="BW1597" t="str">
        <f>"11"</f>
        <v>11</v>
      </c>
    </row>
    <row r="1598" spans="1:75" x14ac:dyDescent="0.35">
      <c r="A1598">
        <v>157101</v>
      </c>
      <c r="B1598" t="str">
        <f t="shared" si="784"/>
        <v>A</v>
      </c>
      <c r="C1598" t="str">
        <f t="shared" si="785"/>
        <v>80</v>
      </c>
      <c r="D1598" t="str">
        <f t="shared" si="809"/>
        <v>11121004</v>
      </c>
      <c r="E1598" t="str">
        <f t="shared" si="810"/>
        <v>121004</v>
      </c>
      <c r="F1598" t="str">
        <f t="shared" si="811"/>
        <v>FABIANA GODOY</v>
      </c>
      <c r="G1598" t="str">
        <f>"46089205000196"</f>
        <v>46089205000196</v>
      </c>
      <c r="H1598" t="str">
        <f>"0"</f>
        <v>0</v>
      </c>
      <c r="I1598" t="str">
        <f t="shared" si="786"/>
        <v>CONTA OPTICA</v>
      </c>
      <c r="J1598" t="str">
        <f>"OTICA OG PICARRAS LTDA"</f>
        <v>OTICA OG PICARRAS LTDA</v>
      </c>
      <c r="K1598" t="str">
        <f>"OTICA OG PICARRAS (4526)"</f>
        <v>OTICA OG PICARRAS (4526)</v>
      </c>
      <c r="L1598" t="str">
        <f>""</f>
        <v/>
      </c>
      <c r="M1598" t="str">
        <f>""</f>
        <v/>
      </c>
      <c r="N1598" t="str">
        <f>"OGPICARRAS@GMAIL.COM"</f>
        <v>OGPICARRAS@GMAIL.COM</v>
      </c>
      <c r="O1598" t="str">
        <f>""</f>
        <v/>
      </c>
      <c r="P1598" t="str">
        <f>"PRESIDENTE GETULIO VARGAS"</f>
        <v>PRESIDENTE GETULIO VARGAS</v>
      </c>
      <c r="Q1598" t="str">
        <f>"256"</f>
        <v>256</v>
      </c>
      <c r="R1598" t="str">
        <f>"SALA 01"</f>
        <v>SALA 01</v>
      </c>
      <c r="S1598" t="str">
        <f>"1263"</f>
        <v>1263</v>
      </c>
      <c r="T1598" t="str">
        <f>"88380000"</f>
        <v>88380000</v>
      </c>
      <c r="U1598" t="str">
        <f>"CENTRO"</f>
        <v>CENTRO</v>
      </c>
      <c r="V1598" t="str">
        <f>"BALNEARIO PICARRAS"</f>
        <v>BALNEARIO PICARRAS</v>
      </c>
      <c r="W1598" t="str">
        <f t="shared" si="807"/>
        <v>SC</v>
      </c>
      <c r="X1598" t="str">
        <f t="shared" si="819"/>
        <v>47</v>
      </c>
      <c r="Y1598" t="str">
        <f>"31701144"</f>
        <v>31701144</v>
      </c>
      <c r="Z1598" t="str">
        <f>""</f>
        <v/>
      </c>
      <c r="AA1598" t="str">
        <f>""</f>
        <v/>
      </c>
      <c r="AB1598" t="str">
        <f>""</f>
        <v/>
      </c>
      <c r="AC1598" t="str">
        <f>""</f>
        <v/>
      </c>
      <c r="AD1598" t="str">
        <f>""</f>
        <v/>
      </c>
      <c r="AE1598" t="str">
        <f>""</f>
        <v/>
      </c>
      <c r="AF1598" t="str">
        <f>""</f>
        <v/>
      </c>
      <c r="AG1598" t="str">
        <f>""</f>
        <v/>
      </c>
      <c r="AH1598" t="str">
        <f>""</f>
        <v/>
      </c>
      <c r="AI1598" t="str">
        <f>""</f>
        <v/>
      </c>
      <c r="AJ1598" t="str">
        <f>""</f>
        <v/>
      </c>
      <c r="AK1598" t="str">
        <f>""</f>
        <v/>
      </c>
      <c r="AL1598" t="str">
        <f>""</f>
        <v/>
      </c>
      <c r="AM1598" t="str">
        <f>""</f>
        <v/>
      </c>
      <c r="AN1598" t="str">
        <f>""</f>
        <v/>
      </c>
      <c r="AO1598" t="str">
        <f>""</f>
        <v/>
      </c>
      <c r="AP1598" t="str">
        <f>""</f>
        <v/>
      </c>
      <c r="AQ1598" t="str">
        <f>""</f>
        <v/>
      </c>
      <c r="AR1598" t="str">
        <f>""</f>
        <v/>
      </c>
      <c r="AS1598" t="str">
        <f>""</f>
        <v/>
      </c>
      <c r="AT1598" t="str">
        <f>""</f>
        <v/>
      </c>
      <c r="AU1598" t="str">
        <f>""</f>
        <v/>
      </c>
      <c r="AV1598" t="str">
        <f>""</f>
        <v/>
      </c>
      <c r="AW1598" t="str">
        <f>""</f>
        <v/>
      </c>
      <c r="AX1598" t="str">
        <f>""</f>
        <v/>
      </c>
      <c r="AY1598" t="str">
        <f>""</f>
        <v/>
      </c>
      <c r="AZ1598" t="str">
        <f>""</f>
        <v/>
      </c>
      <c r="BA1598" t="str">
        <f>""</f>
        <v/>
      </c>
      <c r="BB1598" t="str">
        <f>"06/07/2023 12:07:48"</f>
        <v>06/07/2023 12:07:48</v>
      </c>
      <c r="BC1598" t="str">
        <f>""</f>
        <v/>
      </c>
      <c r="BD1598" t="str">
        <f>""</f>
        <v/>
      </c>
      <c r="BE1598" t="str">
        <f>""</f>
        <v/>
      </c>
      <c r="BF1598" t="str">
        <f t="shared" si="787"/>
        <v>A</v>
      </c>
      <c r="BG1598" t="str">
        <f>""</f>
        <v/>
      </c>
      <c r="BH1598" t="str">
        <f>""</f>
        <v/>
      </c>
      <c r="BI1598" t="str">
        <f t="shared" si="820"/>
        <v>EVENTUAL</v>
      </c>
      <c r="BJ1598" t="str">
        <f t="shared" si="788"/>
        <v>1</v>
      </c>
      <c r="BK1598" t="str">
        <f t="shared" si="789"/>
        <v>Farmacia</v>
      </c>
      <c r="BL1598" t="str">
        <f>""</f>
        <v/>
      </c>
      <c r="BM1598" t="str">
        <f>""</f>
        <v/>
      </c>
      <c r="BN1598" t="str">
        <f>""</f>
        <v/>
      </c>
      <c r="BO1598" t="str">
        <f>""</f>
        <v/>
      </c>
      <c r="BP1598" t="str">
        <f>""</f>
        <v/>
      </c>
      <c r="BQ1598" t="str">
        <f>""</f>
        <v/>
      </c>
      <c r="BR1598" t="str">
        <f>"06/07/2023"</f>
        <v>06/07/2023</v>
      </c>
      <c r="BS1598" t="str">
        <f>""</f>
        <v/>
      </c>
      <c r="BT1598" t="str">
        <f>""</f>
        <v/>
      </c>
      <c r="BU1598" t="str">
        <f>""</f>
        <v/>
      </c>
      <c r="BV1598" t="str">
        <f>""</f>
        <v/>
      </c>
      <c r="BW1598" t="str">
        <f>"64"</f>
        <v>64</v>
      </c>
    </row>
    <row r="1599" spans="1:75" x14ac:dyDescent="0.35">
      <c r="A1599">
        <v>1235</v>
      </c>
      <c r="B1599" t="str">
        <f t="shared" si="784"/>
        <v>A</v>
      </c>
      <c r="C1599" t="str">
        <f t="shared" si="785"/>
        <v>80</v>
      </c>
      <c r="D1599" t="str">
        <f t="shared" si="809"/>
        <v>11121004</v>
      </c>
      <c r="E1599" t="str">
        <f t="shared" si="810"/>
        <v>121004</v>
      </c>
      <c r="F1599" t="str">
        <f t="shared" si="811"/>
        <v>FABIANA GODOY</v>
      </c>
      <c r="G1599" t="str">
        <f>"01470725000106"</f>
        <v>01470725000106</v>
      </c>
      <c r="H1599" t="str">
        <f>""</f>
        <v/>
      </c>
      <c r="I1599" t="str">
        <f t="shared" si="786"/>
        <v>CONTA OPTICA</v>
      </c>
      <c r="J1599" t="str">
        <f>"OTICA REALCE LTDA"</f>
        <v>OTICA REALCE LTDA</v>
      </c>
      <c r="K1599" t="str">
        <f>"OTICA REALCE I (987)"</f>
        <v>OTICA REALCE I (987)</v>
      </c>
      <c r="L1599" t="str">
        <f>""</f>
        <v/>
      </c>
      <c r="M1599" t="str">
        <f>""</f>
        <v/>
      </c>
      <c r="N1599" t="str">
        <f>"oticarealce@terra.com.br"</f>
        <v>oticarealce@terra.com.br</v>
      </c>
      <c r="O1599" t="str">
        <f>""</f>
        <v/>
      </c>
      <c r="P1599" t="str">
        <f>"RUA QUINZE DE NOVEMBRO"</f>
        <v>RUA QUINZE DE NOVEMBRO</v>
      </c>
      <c r="Q1599" t="str">
        <f>"858"</f>
        <v>858</v>
      </c>
      <c r="R1599" t="str">
        <f>""</f>
        <v/>
      </c>
      <c r="S1599" t="str">
        <f>"1271"</f>
        <v>1271</v>
      </c>
      <c r="T1599" t="str">
        <f>"89010000"</f>
        <v>89010000</v>
      </c>
      <c r="U1599" t="str">
        <f>"CENTRO"</f>
        <v>CENTRO</v>
      </c>
      <c r="V1599" t="str">
        <f>"BLUMENAU"</f>
        <v>BLUMENAU</v>
      </c>
      <c r="W1599" t="str">
        <f t="shared" si="807"/>
        <v>SC</v>
      </c>
      <c r="X1599" t="str">
        <f t="shared" si="819"/>
        <v>47</v>
      </c>
      <c r="Y1599" t="str">
        <f>"33267060"</f>
        <v>33267060</v>
      </c>
      <c r="Z1599" t="str">
        <f>""</f>
        <v/>
      </c>
      <c r="AA1599" t="str">
        <f>""</f>
        <v/>
      </c>
      <c r="AB1599" t="str">
        <f>""</f>
        <v/>
      </c>
      <c r="AC1599" t="str">
        <f>""</f>
        <v/>
      </c>
      <c r="AD1599" t="str">
        <f>""</f>
        <v/>
      </c>
      <c r="AE1599" t="str">
        <f>""</f>
        <v/>
      </c>
      <c r="AF1599" t="str">
        <f>""</f>
        <v/>
      </c>
      <c r="AG1599" t="str">
        <f>""</f>
        <v/>
      </c>
      <c r="AH1599" t="str">
        <f>""</f>
        <v/>
      </c>
      <c r="AI1599" t="str">
        <f>""</f>
        <v/>
      </c>
      <c r="AJ1599" t="str">
        <f t="shared" ref="AJ1599:AL1600" si="822">"0"</f>
        <v>0</v>
      </c>
      <c r="AK1599" t="str">
        <f t="shared" si="822"/>
        <v>0</v>
      </c>
      <c r="AL1599" t="str">
        <f t="shared" si="822"/>
        <v>0</v>
      </c>
      <c r="AM1599" t="str">
        <f>""</f>
        <v/>
      </c>
      <c r="AN1599" t="str">
        <f>""</f>
        <v/>
      </c>
      <c r="AO1599" t="str">
        <f>""</f>
        <v/>
      </c>
      <c r="AP1599" t="str">
        <f>""</f>
        <v/>
      </c>
      <c r="AQ1599" t="str">
        <f>""</f>
        <v/>
      </c>
      <c r="AR1599" t="str">
        <f>""</f>
        <v/>
      </c>
      <c r="AS1599" t="str">
        <f>""</f>
        <v/>
      </c>
      <c r="AT1599" t="str">
        <f>""</f>
        <v/>
      </c>
      <c r="AU1599" t="str">
        <f>""</f>
        <v/>
      </c>
      <c r="AV1599" t="str">
        <f>""</f>
        <v/>
      </c>
      <c r="AW1599" t="str">
        <f>""</f>
        <v/>
      </c>
      <c r="AX1599" t="str">
        <f>""</f>
        <v/>
      </c>
      <c r="AY1599" t="str">
        <f>""</f>
        <v/>
      </c>
      <c r="AZ1599" t="str">
        <f>""</f>
        <v/>
      </c>
      <c r="BA1599" t="str">
        <f>""</f>
        <v/>
      </c>
      <c r="BB1599" t="str">
        <f>"27/07/2018 09:26:11"</f>
        <v>27/07/2018 09:26:11</v>
      </c>
      <c r="BC1599" t="str">
        <f>""</f>
        <v/>
      </c>
      <c r="BD1599" t="str">
        <f>""</f>
        <v/>
      </c>
      <c r="BE1599" t="str">
        <f>"1235"</f>
        <v>1235</v>
      </c>
      <c r="BF1599" t="str">
        <f t="shared" si="787"/>
        <v>A</v>
      </c>
      <c r="BG1599" t="str">
        <f>"0,00"</f>
        <v>0,00</v>
      </c>
      <c r="BH1599" t="str">
        <f>"0,00"</f>
        <v>0,00</v>
      </c>
      <c r="BI1599" t="str">
        <f t="shared" si="820"/>
        <v>EVENTUAL</v>
      </c>
      <c r="BJ1599" t="str">
        <f t="shared" si="788"/>
        <v>1</v>
      </c>
      <c r="BK1599" t="str">
        <f t="shared" si="789"/>
        <v>Farmacia</v>
      </c>
      <c r="BL1599" t="str">
        <f>""</f>
        <v/>
      </c>
      <c r="BM1599" t="str">
        <f>"NÃO É VARILUX ESPECIALISTA"</f>
        <v>NÃO É VARILUX ESPECIALISTA</v>
      </c>
      <c r="BN1599" t="str">
        <f>"NA"</f>
        <v>NA</v>
      </c>
      <c r="BO1599" t="str">
        <f>"FOCO VARILUX"</f>
        <v>FOCO VARILUX</v>
      </c>
      <c r="BP1599" t="str">
        <f>""</f>
        <v/>
      </c>
      <c r="BQ1599" t="str">
        <f>""</f>
        <v/>
      </c>
      <c r="BR1599" t="str">
        <f>"27/07/2018"</f>
        <v>27/07/2018</v>
      </c>
      <c r="BS1599" t="str">
        <f>""</f>
        <v/>
      </c>
      <c r="BT1599" t="str">
        <f>""</f>
        <v/>
      </c>
      <c r="BU1599" t="str">
        <f>""</f>
        <v/>
      </c>
      <c r="BV1599" t="str">
        <f>"5"</f>
        <v>5</v>
      </c>
      <c r="BW1599" t="str">
        <f>"Não visitado"</f>
        <v>Não visitado</v>
      </c>
    </row>
    <row r="1600" spans="1:75" x14ac:dyDescent="0.35">
      <c r="A1600">
        <v>1266</v>
      </c>
      <c r="B1600" t="str">
        <f t="shared" si="784"/>
        <v>A</v>
      </c>
      <c r="C1600" t="str">
        <f t="shared" si="785"/>
        <v>80</v>
      </c>
      <c r="D1600" t="str">
        <f t="shared" si="809"/>
        <v>11121004</v>
      </c>
      <c r="E1600" t="str">
        <f t="shared" si="810"/>
        <v>121004</v>
      </c>
      <c r="F1600" t="str">
        <f t="shared" si="811"/>
        <v>FABIANA GODOY</v>
      </c>
      <c r="G1600" t="str">
        <f>"04336138000117"</f>
        <v>04336138000117</v>
      </c>
      <c r="H1600" t="str">
        <f>""</f>
        <v/>
      </c>
      <c r="I1600" t="str">
        <f t="shared" si="786"/>
        <v>CONTA OPTICA</v>
      </c>
      <c r="J1600" t="str">
        <f>"OTICA REFLEX LTDA"</f>
        <v>OTICA REFLEX LTDA</v>
      </c>
      <c r="K1600" t="str">
        <f>"OTICA REFLEX LTDA (1262)"</f>
        <v>OTICA REFLEX LTDA (1262)</v>
      </c>
      <c r="L1600" t="str">
        <f>""</f>
        <v/>
      </c>
      <c r="M1600" t="str">
        <f>""</f>
        <v/>
      </c>
      <c r="N1600" t="str">
        <f>"werner.herwer@terra.com.br"</f>
        <v>werner.herwer@terra.com.br</v>
      </c>
      <c r="O1600" t="str">
        <f>""</f>
        <v/>
      </c>
      <c r="P1600" t="str">
        <f>"RUA TIRADENTES"</f>
        <v>RUA TIRADENTES</v>
      </c>
      <c r="Q1600" t="str">
        <f>"283"</f>
        <v>283</v>
      </c>
      <c r="R1600" t="str">
        <f>"SL 06"</f>
        <v>SL 06</v>
      </c>
      <c r="S1600" t="str">
        <f>"1275"</f>
        <v>1275</v>
      </c>
      <c r="T1600" t="str">
        <f>"89140000"</f>
        <v>89140000</v>
      </c>
      <c r="U1600" t="str">
        <f>"CENTRO"</f>
        <v>CENTRO</v>
      </c>
      <c r="V1600" t="str">
        <f>"IBIRAMA"</f>
        <v>IBIRAMA</v>
      </c>
      <c r="W1600" t="str">
        <f t="shared" si="807"/>
        <v>SC</v>
      </c>
      <c r="X1600" t="str">
        <f t="shared" si="819"/>
        <v>47</v>
      </c>
      <c r="Y1600" t="str">
        <f>"33573959"</f>
        <v>33573959</v>
      </c>
      <c r="Z1600" t="str">
        <f>""</f>
        <v/>
      </c>
      <c r="AA1600" t="str">
        <f>""</f>
        <v/>
      </c>
      <c r="AB1600" t="str">
        <f>""</f>
        <v/>
      </c>
      <c r="AC1600" t="str">
        <f>""</f>
        <v/>
      </c>
      <c r="AD1600" t="str">
        <f>""</f>
        <v/>
      </c>
      <c r="AE1600" t="str">
        <f>""</f>
        <v/>
      </c>
      <c r="AF1600" t="str">
        <f>""</f>
        <v/>
      </c>
      <c r="AG1600" t="str">
        <f>""</f>
        <v/>
      </c>
      <c r="AH1600" t="str">
        <f>""</f>
        <v/>
      </c>
      <c r="AI1600" t="str">
        <f>""</f>
        <v/>
      </c>
      <c r="AJ1600" t="str">
        <f t="shared" si="822"/>
        <v>0</v>
      </c>
      <c r="AK1600" t="str">
        <f t="shared" si="822"/>
        <v>0</v>
      </c>
      <c r="AL1600" t="str">
        <f t="shared" si="822"/>
        <v>0</v>
      </c>
      <c r="AM1600" t="str">
        <f>""</f>
        <v/>
      </c>
      <c r="AN1600" t="str">
        <f>""</f>
        <v/>
      </c>
      <c r="AO1600" t="str">
        <f>""</f>
        <v/>
      </c>
      <c r="AP1600" t="str">
        <f>""</f>
        <v/>
      </c>
      <c r="AQ1600" t="str">
        <f>""</f>
        <v/>
      </c>
      <c r="AR1600" t="str">
        <f>""</f>
        <v/>
      </c>
      <c r="AS1600" t="str">
        <f>""</f>
        <v/>
      </c>
      <c r="AT1600" t="str">
        <f>""</f>
        <v/>
      </c>
      <c r="AU1600" t="str">
        <f>""</f>
        <v/>
      </c>
      <c r="AV1600" t="str">
        <f>""</f>
        <v/>
      </c>
      <c r="AW1600" t="str">
        <f>""</f>
        <v/>
      </c>
      <c r="AX1600" t="str">
        <f>""</f>
        <v/>
      </c>
      <c r="AY1600" t="str">
        <f>""</f>
        <v/>
      </c>
      <c r="AZ1600" t="str">
        <f>""</f>
        <v/>
      </c>
      <c r="BA1600" t="str">
        <f>""</f>
        <v/>
      </c>
      <c r="BB1600" t="str">
        <f>"27/07/2018 09:26:12"</f>
        <v>27/07/2018 09:26:12</v>
      </c>
      <c r="BC1600" t="str">
        <f>""</f>
        <v/>
      </c>
      <c r="BD1600" t="str">
        <f>""</f>
        <v/>
      </c>
      <c r="BE1600" t="str">
        <f>"1266"</f>
        <v>1266</v>
      </c>
      <c r="BF1600" t="str">
        <f t="shared" si="787"/>
        <v>A</v>
      </c>
      <c r="BG1600" t="str">
        <f>"0,00"</f>
        <v>0,00</v>
      </c>
      <c r="BH1600" t="str">
        <f>"0,00"</f>
        <v>0,00</v>
      </c>
      <c r="BI1600" t="str">
        <f t="shared" si="820"/>
        <v>EVENTUAL</v>
      </c>
      <c r="BJ1600" t="str">
        <f t="shared" si="788"/>
        <v>1</v>
      </c>
      <c r="BK1600" t="str">
        <f t="shared" si="789"/>
        <v>Farmacia</v>
      </c>
      <c r="BL1600" t="str">
        <f>""</f>
        <v/>
      </c>
      <c r="BM1600" t="str">
        <f>"NÃO É VARILUX ESPECIALISTA"</f>
        <v>NÃO É VARILUX ESPECIALISTA</v>
      </c>
      <c r="BN1600" t="str">
        <f>"NA"</f>
        <v>NA</v>
      </c>
      <c r="BO1600" t="str">
        <f>"OUTROS"</f>
        <v>OUTROS</v>
      </c>
      <c r="BP1600" t="str">
        <f>""</f>
        <v/>
      </c>
      <c r="BQ1600" t="str">
        <f>""</f>
        <v/>
      </c>
      <c r="BR1600" t="str">
        <f>"27/07/2018"</f>
        <v>27/07/2018</v>
      </c>
      <c r="BS1600" t="str">
        <f>""</f>
        <v/>
      </c>
      <c r="BT1600" t="str">
        <f>""</f>
        <v/>
      </c>
      <c r="BU1600" t="str">
        <f>""</f>
        <v/>
      </c>
      <c r="BV1600" t="str">
        <f>"4"</f>
        <v>4</v>
      </c>
      <c r="BW1600" t="str">
        <f>"Não visitado"</f>
        <v>Não visitado</v>
      </c>
    </row>
    <row r="1601" spans="1:75" x14ac:dyDescent="0.35">
      <c r="A1601">
        <v>137817</v>
      </c>
      <c r="B1601" t="str">
        <f t="shared" si="784"/>
        <v>A</v>
      </c>
      <c r="C1601" t="str">
        <f t="shared" si="785"/>
        <v>80</v>
      </c>
      <c r="D1601" t="str">
        <f t="shared" si="809"/>
        <v>11121004</v>
      </c>
      <c r="E1601" t="str">
        <f t="shared" si="810"/>
        <v>121004</v>
      </c>
      <c r="F1601" t="str">
        <f t="shared" si="811"/>
        <v>FABIANA GODOY</v>
      </c>
      <c r="G1601" t="str">
        <f>"17664084000160"</f>
        <v>17664084000160</v>
      </c>
      <c r="H1601" t="str">
        <f t="shared" ref="H1601:H1613" si="823">"0"</f>
        <v>0</v>
      </c>
      <c r="I1601" t="str">
        <f t="shared" si="786"/>
        <v>CONTA OPTICA</v>
      </c>
      <c r="J1601" t="str">
        <f>"OTICA RIOSUL LTDA ME"</f>
        <v>OTICA RIOSUL LTDA ME</v>
      </c>
      <c r="K1601" t="str">
        <f>"OTICA RIOSUL (1983)"</f>
        <v>OTICA RIOSUL (1983)</v>
      </c>
      <c r="L1601" t="str">
        <f>""</f>
        <v/>
      </c>
      <c r="M1601" t="str">
        <f>""</f>
        <v/>
      </c>
      <c r="N1601" t="str">
        <f>"oticariosul.financeiro@hotmail.com"</f>
        <v>oticariosul.financeiro@hotmail.com</v>
      </c>
      <c r="O1601" t="str">
        <f>""</f>
        <v/>
      </c>
      <c r="P1601" t="str">
        <f>"RUA PRESIDENTE KENNEDY"</f>
        <v>RUA PRESIDENTE KENNEDY</v>
      </c>
      <c r="Q1601" t="str">
        <f>"196"</f>
        <v>196</v>
      </c>
      <c r="R1601" t="str">
        <f>""</f>
        <v/>
      </c>
      <c r="S1601" t="str">
        <f>"1276"</f>
        <v>1276</v>
      </c>
      <c r="T1601" t="str">
        <f>"89160190"</f>
        <v>89160190</v>
      </c>
      <c r="U1601" t="str">
        <f>"JARDIM AMERICA"</f>
        <v>JARDIM AMERICA</v>
      </c>
      <c r="V1601" t="str">
        <f>"RIO DO SUL"</f>
        <v>RIO DO SUL</v>
      </c>
      <c r="W1601" t="str">
        <f t="shared" si="807"/>
        <v>SC</v>
      </c>
      <c r="X1601" t="str">
        <f t="shared" si="819"/>
        <v>47</v>
      </c>
      <c r="Y1601" t="str">
        <f>"35254557"</f>
        <v>35254557</v>
      </c>
      <c r="Z1601" t="str">
        <f>""</f>
        <v/>
      </c>
      <c r="AA1601" t="str">
        <f>""</f>
        <v/>
      </c>
      <c r="AB1601" t="str">
        <f>""</f>
        <v/>
      </c>
      <c r="AC1601" t="str">
        <f>""</f>
        <v/>
      </c>
      <c r="AD1601" t="str">
        <f>""</f>
        <v/>
      </c>
      <c r="AE1601" t="str">
        <f>""</f>
        <v/>
      </c>
      <c r="AF1601" t="str">
        <f>""</f>
        <v/>
      </c>
      <c r="AG1601" t="str">
        <f>"S"</f>
        <v>S</v>
      </c>
      <c r="AH1601" t="str">
        <f>""</f>
        <v/>
      </c>
      <c r="AI1601" t="str">
        <f>""</f>
        <v/>
      </c>
      <c r="AJ1601" t="str">
        <f>""</f>
        <v/>
      </c>
      <c r="AK1601" t="str">
        <f>""</f>
        <v/>
      </c>
      <c r="AL1601" t="str">
        <f>""</f>
        <v/>
      </c>
      <c r="AM1601" t="str">
        <f>""</f>
        <v/>
      </c>
      <c r="AN1601" t="str">
        <f>""</f>
        <v/>
      </c>
      <c r="AO1601" t="str">
        <f>""</f>
        <v/>
      </c>
      <c r="AP1601" t="str">
        <f>""</f>
        <v/>
      </c>
      <c r="AQ1601" t="str">
        <f t="shared" ref="AQ1601:AU1602" si="824">"N"</f>
        <v>N</v>
      </c>
      <c r="AR1601" t="str">
        <f t="shared" si="824"/>
        <v>N</v>
      </c>
      <c r="AS1601" t="str">
        <f t="shared" si="824"/>
        <v>N</v>
      </c>
      <c r="AT1601" t="str">
        <f t="shared" si="824"/>
        <v>N</v>
      </c>
      <c r="AU1601" t="str">
        <f t="shared" si="824"/>
        <v>N</v>
      </c>
      <c r="AV1601" t="str">
        <f>""</f>
        <v/>
      </c>
      <c r="AW1601" t="str">
        <f>""</f>
        <v/>
      </c>
      <c r="AX1601" t="str">
        <f>""</f>
        <v/>
      </c>
      <c r="AY1601" t="str">
        <f>""</f>
        <v/>
      </c>
      <c r="AZ1601" t="str">
        <f>""</f>
        <v/>
      </c>
      <c r="BA1601" t="str">
        <f>""</f>
        <v/>
      </c>
      <c r="BB1601" t="str">
        <f>"01/07/2021 13:53:04"</f>
        <v>01/07/2021 13:53:04</v>
      </c>
      <c r="BC1601" t="str">
        <f>"01/10/2021 12:51:55"</f>
        <v>01/10/2021 12:51:55</v>
      </c>
      <c r="BD1601" t="str">
        <f>""</f>
        <v/>
      </c>
      <c r="BE1601" t="str">
        <f>""</f>
        <v/>
      </c>
      <c r="BF1601" t="str">
        <f t="shared" si="787"/>
        <v>A</v>
      </c>
      <c r="BG1601" t="str">
        <f>""</f>
        <v/>
      </c>
      <c r="BH1601" t="str">
        <f>"0,00"</f>
        <v>0,00</v>
      </c>
      <c r="BI1601" t="str">
        <f t="shared" si="820"/>
        <v>EVENTUAL</v>
      </c>
      <c r="BJ1601" t="str">
        <f t="shared" si="788"/>
        <v>1</v>
      </c>
      <c r="BK1601" t="str">
        <f t="shared" si="789"/>
        <v>Farmacia</v>
      </c>
      <c r="BL1601" t="str">
        <f>""</f>
        <v/>
      </c>
      <c r="BM1601" t="str">
        <f>"VARILUX ESPECIALISTA SELECT"</f>
        <v>VARILUX ESPECIALISTA SELECT</v>
      </c>
      <c r="BN1601" t="str">
        <f>"NA"</f>
        <v>NA</v>
      </c>
      <c r="BO1601" t="str">
        <f>"FOCO VARILUX DIGITAL"</f>
        <v>FOCO VARILUX DIGITAL</v>
      </c>
      <c r="BP1601" t="str">
        <f>""</f>
        <v/>
      </c>
      <c r="BQ1601" t="str">
        <f>""</f>
        <v/>
      </c>
      <c r="BR1601" t="str">
        <f>"01/07/2021"</f>
        <v>01/07/2021</v>
      </c>
      <c r="BS1601" t="str">
        <f>"01/10/2021"</f>
        <v>01/10/2021</v>
      </c>
      <c r="BT1601" t="str">
        <f>""</f>
        <v/>
      </c>
      <c r="BU1601" t="str">
        <f>""</f>
        <v/>
      </c>
      <c r="BV1601" t="str">
        <f>""</f>
        <v/>
      </c>
      <c r="BW1601" t="str">
        <f>"24"</f>
        <v>24</v>
      </c>
    </row>
    <row r="1602" spans="1:75" x14ac:dyDescent="0.35">
      <c r="A1602">
        <v>137818</v>
      </c>
      <c r="B1602" t="str">
        <f t="shared" ref="B1602:B1665" si="825">"A"</f>
        <v>A</v>
      </c>
      <c r="C1602" t="str">
        <f t="shared" ref="C1602:C1665" si="826">"80"</f>
        <v>80</v>
      </c>
      <c r="D1602" t="str">
        <f t="shared" si="809"/>
        <v>11121004</v>
      </c>
      <c r="E1602" t="str">
        <f t="shared" si="810"/>
        <v>121004</v>
      </c>
      <c r="F1602" t="str">
        <f t="shared" si="811"/>
        <v>FABIANA GODOY</v>
      </c>
      <c r="G1602" t="str">
        <f>"14952252000125"</f>
        <v>14952252000125</v>
      </c>
      <c r="H1602" t="str">
        <f t="shared" si="823"/>
        <v>0</v>
      </c>
      <c r="I1602" t="str">
        <f t="shared" ref="I1602:I1665" si="827">"CONTA OPTICA"</f>
        <v>CONTA OPTICA</v>
      </c>
      <c r="J1602" t="str">
        <f>"OTICA RIOSULENSE LTDA ME"</f>
        <v>OTICA RIOSULENSE LTDA ME</v>
      </c>
      <c r="K1602" t="str">
        <f>"OTICA RIOSULENSE LTDA ME (1886)"</f>
        <v>OTICA RIOSULENSE LTDA ME (1886)</v>
      </c>
      <c r="L1602" t="str">
        <f>""</f>
        <v/>
      </c>
      <c r="M1602" t="str">
        <f>""</f>
        <v/>
      </c>
      <c r="N1602" t="str">
        <f>"oticariosulense.financeiro@hotmail.com"</f>
        <v>oticariosulense.financeiro@hotmail.com</v>
      </c>
      <c r="O1602" t="str">
        <f>""</f>
        <v/>
      </c>
      <c r="P1602" t="str">
        <f>"RUA CARLOS GOMES"</f>
        <v>RUA CARLOS GOMES</v>
      </c>
      <c r="Q1602" t="str">
        <f>"105"</f>
        <v>105</v>
      </c>
      <c r="R1602" t="str">
        <f>"SALA 02"</f>
        <v>SALA 02</v>
      </c>
      <c r="S1602" t="str">
        <f>"1276"</f>
        <v>1276</v>
      </c>
      <c r="T1602" t="str">
        <f>"89160051"</f>
        <v>89160051</v>
      </c>
      <c r="U1602" t="str">
        <f>"CENTRO"</f>
        <v>CENTRO</v>
      </c>
      <c r="V1602" t="str">
        <f>"RIO DO SUL"</f>
        <v>RIO DO SUL</v>
      </c>
      <c r="W1602" t="str">
        <f t="shared" si="807"/>
        <v>SC</v>
      </c>
      <c r="X1602" t="str">
        <f t="shared" si="819"/>
        <v>47</v>
      </c>
      <c r="Y1602" t="str">
        <f>"35251020"</f>
        <v>35251020</v>
      </c>
      <c r="Z1602" t="str">
        <f>""</f>
        <v/>
      </c>
      <c r="AA1602" t="str">
        <f>""</f>
        <v/>
      </c>
      <c r="AB1602" t="str">
        <f>""</f>
        <v/>
      </c>
      <c r="AC1602" t="str">
        <f>""</f>
        <v/>
      </c>
      <c r="AD1602" t="str">
        <f>""</f>
        <v/>
      </c>
      <c r="AE1602" t="str">
        <f>""</f>
        <v/>
      </c>
      <c r="AF1602" t="str">
        <f>""</f>
        <v/>
      </c>
      <c r="AG1602" t="str">
        <f>"S"</f>
        <v>S</v>
      </c>
      <c r="AH1602" t="str">
        <f>""</f>
        <v/>
      </c>
      <c r="AI1602" t="str">
        <f>""</f>
        <v/>
      </c>
      <c r="AJ1602" t="str">
        <f>""</f>
        <v/>
      </c>
      <c r="AK1602" t="str">
        <f>""</f>
        <v/>
      </c>
      <c r="AL1602" t="str">
        <f>""</f>
        <v/>
      </c>
      <c r="AM1602" t="str">
        <f>""</f>
        <v/>
      </c>
      <c r="AN1602" t="str">
        <f>""</f>
        <v/>
      </c>
      <c r="AO1602" t="str">
        <f>""</f>
        <v/>
      </c>
      <c r="AP1602" t="str">
        <f>""</f>
        <v/>
      </c>
      <c r="AQ1602" t="str">
        <f t="shared" si="824"/>
        <v>N</v>
      </c>
      <c r="AR1602" t="str">
        <f t="shared" si="824"/>
        <v>N</v>
      </c>
      <c r="AS1602" t="str">
        <f t="shared" si="824"/>
        <v>N</v>
      </c>
      <c r="AT1602" t="str">
        <f t="shared" si="824"/>
        <v>N</v>
      </c>
      <c r="AU1602" t="str">
        <f t="shared" si="824"/>
        <v>N</v>
      </c>
      <c r="AV1602" t="str">
        <f>""</f>
        <v/>
      </c>
      <c r="AW1602" t="str">
        <f>""</f>
        <v/>
      </c>
      <c r="AX1602" t="str">
        <f>""</f>
        <v/>
      </c>
      <c r="AY1602" t="str">
        <f>""</f>
        <v/>
      </c>
      <c r="AZ1602" t="str">
        <f>""</f>
        <v/>
      </c>
      <c r="BA1602" t="str">
        <f>""</f>
        <v/>
      </c>
      <c r="BB1602" t="str">
        <f>"01/07/2021 13:53:04"</f>
        <v>01/07/2021 13:53:04</v>
      </c>
      <c r="BC1602" t="str">
        <f>"18/04/2022 15:29:40"</f>
        <v>18/04/2022 15:29:40</v>
      </c>
      <c r="BD1602" t="str">
        <f>""</f>
        <v/>
      </c>
      <c r="BE1602" t="str">
        <f>""</f>
        <v/>
      </c>
      <c r="BF1602" t="str">
        <f t="shared" ref="BF1602:BF1665" si="828">"A"</f>
        <v>A</v>
      </c>
      <c r="BG1602" t="str">
        <f>""</f>
        <v/>
      </c>
      <c r="BH1602" t="str">
        <f>"0,00"</f>
        <v>0,00</v>
      </c>
      <c r="BI1602" t="str">
        <f t="shared" si="820"/>
        <v>EVENTUAL</v>
      </c>
      <c r="BJ1602" t="str">
        <f t="shared" ref="BJ1602:BJ1665" si="829">"1"</f>
        <v>1</v>
      </c>
      <c r="BK1602" t="str">
        <f t="shared" ref="BK1602:BK1665" si="830">"Farmacia"</f>
        <v>Farmacia</v>
      </c>
      <c r="BL1602" t="str">
        <f>""</f>
        <v/>
      </c>
      <c r="BM1602" t="str">
        <f>"VARILUX ESPECIALISTA SELECT"</f>
        <v>VARILUX ESPECIALISTA SELECT</v>
      </c>
      <c r="BN1602" t="str">
        <f>"NA"</f>
        <v>NA</v>
      </c>
      <c r="BO1602" t="str">
        <f>"FOCO VARILUX DIGITAL"</f>
        <v>FOCO VARILUX DIGITAL</v>
      </c>
      <c r="BP1602" t="str">
        <f>""</f>
        <v/>
      </c>
      <c r="BQ1602" t="str">
        <f>""</f>
        <v/>
      </c>
      <c r="BR1602" t="str">
        <f>"01/07/2021"</f>
        <v>01/07/2021</v>
      </c>
      <c r="BS1602" t="str">
        <f>"18/04/2022"</f>
        <v>18/04/2022</v>
      </c>
      <c r="BT1602" t="str">
        <f>""</f>
        <v/>
      </c>
      <c r="BU1602" t="str">
        <f>""</f>
        <v/>
      </c>
      <c r="BV1602" t="str">
        <f>""</f>
        <v/>
      </c>
      <c r="BW1602" t="str">
        <f>"15"</f>
        <v>15</v>
      </c>
    </row>
    <row r="1603" spans="1:75" x14ac:dyDescent="0.35">
      <c r="A1603">
        <v>157765</v>
      </c>
      <c r="B1603" t="str">
        <f t="shared" si="825"/>
        <v>A</v>
      </c>
      <c r="C1603" t="str">
        <f t="shared" si="826"/>
        <v>80</v>
      </c>
      <c r="D1603" t="str">
        <f t="shared" si="809"/>
        <v>11121004</v>
      </c>
      <c r="E1603" t="str">
        <f t="shared" si="810"/>
        <v>121004</v>
      </c>
      <c r="F1603" t="str">
        <f t="shared" si="811"/>
        <v>FABIANA GODOY</v>
      </c>
      <c r="G1603" t="str">
        <f>"48558956000130"</f>
        <v>48558956000130</v>
      </c>
      <c r="H1603" t="str">
        <f t="shared" si="823"/>
        <v>0</v>
      </c>
      <c r="I1603" t="str">
        <f t="shared" si="827"/>
        <v>CONTA OPTICA</v>
      </c>
      <c r="J1603" t="str">
        <f>"OTICA RITTER LTDA"</f>
        <v>OTICA RITTER LTDA</v>
      </c>
      <c r="K1603" t="str">
        <f>"OTICA RITTER (4686)"</f>
        <v>OTICA RITTER (4686)</v>
      </c>
      <c r="L1603" t="str">
        <f>""</f>
        <v/>
      </c>
      <c r="M1603" t="str">
        <f>""</f>
        <v/>
      </c>
      <c r="N1603" t="str">
        <f>"OTICARITTERITAJAI01@GMAIL.COM"</f>
        <v>OTICARITTERITAJAI01@GMAIL.COM</v>
      </c>
      <c r="O1603" t="str">
        <f>""</f>
        <v/>
      </c>
      <c r="P1603" t="str">
        <f>"RUA FREDERICO AUGUSTO LUIZ THIEME"</f>
        <v>RUA FREDERICO AUGUSTO LUIZ THIEME</v>
      </c>
      <c r="Q1603" t="str">
        <f>"36"</f>
        <v>36</v>
      </c>
      <c r="R1603" t="str">
        <f>"SALA 11A"</f>
        <v>SALA 11A</v>
      </c>
      <c r="S1603" t="str">
        <f>"1261"</f>
        <v>1261</v>
      </c>
      <c r="T1603" t="str">
        <f>"88303024"</f>
        <v>88303024</v>
      </c>
      <c r="U1603" t="str">
        <f>"CENTRO"</f>
        <v>CENTRO</v>
      </c>
      <c r="V1603" t="str">
        <f>"ITAJAI"</f>
        <v>ITAJAI</v>
      </c>
      <c r="W1603" t="str">
        <f t="shared" si="807"/>
        <v>SC</v>
      </c>
      <c r="X1603" t="str">
        <f t="shared" si="819"/>
        <v>47</v>
      </c>
      <c r="Y1603" t="str">
        <f>"999638757"</f>
        <v>999638757</v>
      </c>
      <c r="Z1603" t="str">
        <f>""</f>
        <v/>
      </c>
      <c r="AA1603" t="str">
        <f>""</f>
        <v/>
      </c>
      <c r="AB1603" t="str">
        <f>""</f>
        <v/>
      </c>
      <c r="AC1603" t="str">
        <f>""</f>
        <v/>
      </c>
      <c r="AD1603" t="str">
        <f>""</f>
        <v/>
      </c>
      <c r="AE1603" t="str">
        <f>""</f>
        <v/>
      </c>
      <c r="AF1603" t="str">
        <f>""</f>
        <v/>
      </c>
      <c r="AG1603" t="str">
        <f>""</f>
        <v/>
      </c>
      <c r="AH1603" t="str">
        <f>""</f>
        <v/>
      </c>
      <c r="AI1603" t="str">
        <f>""</f>
        <v/>
      </c>
      <c r="AJ1603" t="str">
        <f>""</f>
        <v/>
      </c>
      <c r="AK1603" t="str">
        <f>""</f>
        <v/>
      </c>
      <c r="AL1603" t="str">
        <f>""</f>
        <v/>
      </c>
      <c r="AM1603" t="str">
        <f>""</f>
        <v/>
      </c>
      <c r="AN1603" t="str">
        <f>""</f>
        <v/>
      </c>
      <c r="AO1603" t="str">
        <f>""</f>
        <v/>
      </c>
      <c r="AP1603" t="str">
        <f>""</f>
        <v/>
      </c>
      <c r="AQ1603" t="str">
        <f>""</f>
        <v/>
      </c>
      <c r="AR1603" t="str">
        <f>""</f>
        <v/>
      </c>
      <c r="AS1603" t="str">
        <f>""</f>
        <v/>
      </c>
      <c r="AT1603" t="str">
        <f>""</f>
        <v/>
      </c>
      <c r="AU1603" t="str">
        <f>""</f>
        <v/>
      </c>
      <c r="AV1603" t="str">
        <f>""</f>
        <v/>
      </c>
      <c r="AW1603" t="str">
        <f>""</f>
        <v/>
      </c>
      <c r="AX1603" t="str">
        <f>""</f>
        <v/>
      </c>
      <c r="AY1603" t="str">
        <f>""</f>
        <v/>
      </c>
      <c r="AZ1603" t="str">
        <f>""</f>
        <v/>
      </c>
      <c r="BA1603" t="str">
        <f>""</f>
        <v/>
      </c>
      <c r="BB1603" t="str">
        <f>"11/07/2023 02:26:32"</f>
        <v>11/07/2023 02:26:32</v>
      </c>
      <c r="BC1603" t="str">
        <f>""</f>
        <v/>
      </c>
      <c r="BD1603" t="str">
        <f>""</f>
        <v/>
      </c>
      <c r="BE1603" t="str">
        <f>""</f>
        <v/>
      </c>
      <c r="BF1603" t="str">
        <f t="shared" si="828"/>
        <v>A</v>
      </c>
      <c r="BG1603" t="str">
        <f>""</f>
        <v/>
      </c>
      <c r="BH1603" t="str">
        <f>""</f>
        <v/>
      </c>
      <c r="BI1603" t="str">
        <f t="shared" si="820"/>
        <v>EVENTUAL</v>
      </c>
      <c r="BJ1603" t="str">
        <f t="shared" si="829"/>
        <v>1</v>
      </c>
      <c r="BK1603" t="str">
        <f t="shared" si="830"/>
        <v>Farmacia</v>
      </c>
      <c r="BL1603" t="str">
        <f>""</f>
        <v/>
      </c>
      <c r="BM1603" t="str">
        <f>""</f>
        <v/>
      </c>
      <c r="BN1603" t="str">
        <f>""</f>
        <v/>
      </c>
      <c r="BO1603" t="str">
        <f>""</f>
        <v/>
      </c>
      <c r="BP1603" t="str">
        <f>""</f>
        <v/>
      </c>
      <c r="BQ1603" t="str">
        <f>""</f>
        <v/>
      </c>
      <c r="BR1603" t="str">
        <f>"11/07/2023"</f>
        <v>11/07/2023</v>
      </c>
      <c r="BS1603" t="str">
        <f>""</f>
        <v/>
      </c>
      <c r="BT1603" t="str">
        <f>""</f>
        <v/>
      </c>
      <c r="BU1603" t="str">
        <f>""</f>
        <v/>
      </c>
      <c r="BV1603" t="str">
        <f>""</f>
        <v/>
      </c>
      <c r="BW1603" t="str">
        <f>"1"</f>
        <v>1</v>
      </c>
    </row>
    <row r="1604" spans="1:75" x14ac:dyDescent="0.35">
      <c r="A1604">
        <v>137819</v>
      </c>
      <c r="B1604" t="str">
        <f t="shared" si="825"/>
        <v>A</v>
      </c>
      <c r="C1604" t="str">
        <f t="shared" si="826"/>
        <v>80</v>
      </c>
      <c r="D1604" t="str">
        <f t="shared" si="809"/>
        <v>11121004</v>
      </c>
      <c r="E1604" t="str">
        <f t="shared" si="810"/>
        <v>121004</v>
      </c>
      <c r="F1604" t="str">
        <f t="shared" si="811"/>
        <v>FABIANA GODOY</v>
      </c>
      <c r="G1604" t="str">
        <f>"17730641000102"</f>
        <v>17730641000102</v>
      </c>
      <c r="H1604" t="str">
        <f t="shared" si="823"/>
        <v>0</v>
      </c>
      <c r="I1604" t="str">
        <f t="shared" si="827"/>
        <v>CONTA OPTICA</v>
      </c>
      <c r="J1604" t="str">
        <f>"OTICA ROBERTA DUARTE EIRELE"</f>
        <v>OTICA ROBERTA DUARTE EIRELE</v>
      </c>
      <c r="K1604" t="str">
        <f>"OTICA ROBERTA (1993)"</f>
        <v>OTICA ROBERTA (1993)</v>
      </c>
      <c r="L1604" t="str">
        <f>""</f>
        <v/>
      </c>
      <c r="M1604" t="str">
        <f>""</f>
        <v/>
      </c>
      <c r="N1604" t="str">
        <f>"oticaroberta@live.com"</f>
        <v>oticaroberta@live.com</v>
      </c>
      <c r="O1604" t="str">
        <f>""</f>
        <v/>
      </c>
      <c r="P1604" t="str">
        <f>"AVENIDA PREFEITO JOSE JUVENAL MAFRA"</f>
        <v>AVENIDA PREFEITO JOSE JUVENAL MAFRA</v>
      </c>
      <c r="Q1604" t="str">
        <f>"8059"</f>
        <v>8059</v>
      </c>
      <c r="R1604" t="str">
        <f>"SALA 2 E 3"</f>
        <v>SALA 2 E 3</v>
      </c>
      <c r="S1604" t="str">
        <f>""</f>
        <v/>
      </c>
      <c r="T1604" t="str">
        <f>"88372618"</f>
        <v>88372618</v>
      </c>
      <c r="U1604" t="str">
        <f>"GRAVATA"</f>
        <v>GRAVATA</v>
      </c>
      <c r="V1604" t="str">
        <f>"NAVEGANTES"</f>
        <v>NAVEGANTES</v>
      </c>
      <c r="W1604" t="str">
        <f t="shared" si="807"/>
        <v>SC</v>
      </c>
      <c r="X1604" t="str">
        <f t="shared" si="819"/>
        <v>47</v>
      </c>
      <c r="Y1604" t="str">
        <f>"33830300"</f>
        <v>33830300</v>
      </c>
      <c r="Z1604" t="str">
        <f>""</f>
        <v/>
      </c>
      <c r="AA1604" t="str">
        <f>""</f>
        <v/>
      </c>
      <c r="AB1604" t="str">
        <f>""</f>
        <v/>
      </c>
      <c r="AC1604" t="str">
        <f>""</f>
        <v/>
      </c>
      <c r="AD1604" t="str">
        <f>""</f>
        <v/>
      </c>
      <c r="AE1604" t="str">
        <f>""</f>
        <v/>
      </c>
      <c r="AF1604" t="str">
        <f>""</f>
        <v/>
      </c>
      <c r="AG1604" t="str">
        <f>"S"</f>
        <v>S</v>
      </c>
      <c r="AH1604" t="str">
        <f>""</f>
        <v/>
      </c>
      <c r="AI1604" t="str">
        <f>""</f>
        <v/>
      </c>
      <c r="AJ1604" t="str">
        <f>""</f>
        <v/>
      </c>
      <c r="AK1604" t="str">
        <f>""</f>
        <v/>
      </c>
      <c r="AL1604" t="str">
        <f>""</f>
        <v/>
      </c>
      <c r="AM1604" t="str">
        <f>""</f>
        <v/>
      </c>
      <c r="AN1604" t="str">
        <f>""</f>
        <v/>
      </c>
      <c r="AO1604" t="str">
        <f>""</f>
        <v/>
      </c>
      <c r="AP1604" t="str">
        <f>""</f>
        <v/>
      </c>
      <c r="AQ1604" t="str">
        <f t="shared" ref="AQ1604:AU1605" si="831">"N"</f>
        <v>N</v>
      </c>
      <c r="AR1604" t="str">
        <f t="shared" si="831"/>
        <v>N</v>
      </c>
      <c r="AS1604" t="str">
        <f t="shared" si="831"/>
        <v>N</v>
      </c>
      <c r="AT1604" t="str">
        <f t="shared" si="831"/>
        <v>N</v>
      </c>
      <c r="AU1604" t="str">
        <f t="shared" si="831"/>
        <v>N</v>
      </c>
      <c r="AV1604" t="str">
        <f>""</f>
        <v/>
      </c>
      <c r="AW1604" t="str">
        <f>""</f>
        <v/>
      </c>
      <c r="AX1604" t="str">
        <f>""</f>
        <v/>
      </c>
      <c r="AY1604" t="str">
        <f>""</f>
        <v/>
      </c>
      <c r="AZ1604" t="str">
        <f>""</f>
        <v/>
      </c>
      <c r="BA1604" t="str">
        <f>""</f>
        <v/>
      </c>
      <c r="BB1604" t="str">
        <f t="shared" ref="BB1604:BB1609" si="832">"01/07/2021 13:53:04"</f>
        <v>01/07/2021 13:53:04</v>
      </c>
      <c r="BC1604" t="str">
        <f>"20/01/2022 17:20:55"</f>
        <v>20/01/2022 17:20:55</v>
      </c>
      <c r="BD1604" t="str">
        <f>""</f>
        <v/>
      </c>
      <c r="BE1604" t="str">
        <f>""</f>
        <v/>
      </c>
      <c r="BF1604" t="str">
        <f t="shared" si="828"/>
        <v>A</v>
      </c>
      <c r="BG1604" t="str">
        <f>""</f>
        <v/>
      </c>
      <c r="BH1604" t="str">
        <f>"0,00"</f>
        <v>0,00</v>
      </c>
      <c r="BI1604" t="str">
        <f t="shared" si="820"/>
        <v>EVENTUAL</v>
      </c>
      <c r="BJ1604" t="str">
        <f t="shared" si="829"/>
        <v>1</v>
      </c>
      <c r="BK1604" t="str">
        <f t="shared" si="830"/>
        <v>Farmacia</v>
      </c>
      <c r="BL1604" t="str">
        <f>""</f>
        <v/>
      </c>
      <c r="BM1604" t="str">
        <f>"NÃO É VARILUX ESPECIALISTA"</f>
        <v>NÃO É VARILUX ESPECIALISTA</v>
      </c>
      <c r="BN1604" t="str">
        <f t="shared" ref="BN1604:BN1609" si="833">"NA"</f>
        <v>NA</v>
      </c>
      <c r="BO1604" t="str">
        <f>"OUTROS"</f>
        <v>OUTROS</v>
      </c>
      <c r="BP1604" t="str">
        <f>""</f>
        <v/>
      </c>
      <c r="BQ1604" t="str">
        <f>""</f>
        <v/>
      </c>
      <c r="BR1604" t="str">
        <f t="shared" ref="BR1604:BR1609" si="834">"01/07/2021"</f>
        <v>01/07/2021</v>
      </c>
      <c r="BS1604" t="str">
        <f>"20/01/2022"</f>
        <v>20/01/2022</v>
      </c>
      <c r="BT1604" t="str">
        <f>""</f>
        <v/>
      </c>
      <c r="BU1604" t="str">
        <f>""</f>
        <v/>
      </c>
      <c r="BV1604" t="str">
        <f>""</f>
        <v/>
      </c>
      <c r="BW1604" t="str">
        <f>"59"</f>
        <v>59</v>
      </c>
    </row>
    <row r="1605" spans="1:75" x14ac:dyDescent="0.35">
      <c r="A1605">
        <v>137820</v>
      </c>
      <c r="B1605" t="str">
        <f t="shared" si="825"/>
        <v>A</v>
      </c>
      <c r="C1605" t="str">
        <f t="shared" si="826"/>
        <v>80</v>
      </c>
      <c r="D1605" t="str">
        <f t="shared" si="809"/>
        <v>11121004</v>
      </c>
      <c r="E1605" t="str">
        <f t="shared" si="810"/>
        <v>121004</v>
      </c>
      <c r="F1605" t="str">
        <f t="shared" si="811"/>
        <v>FABIANA GODOY</v>
      </c>
      <c r="G1605" t="str">
        <f>"31137275000103"</f>
        <v>31137275000103</v>
      </c>
      <c r="H1605" t="str">
        <f t="shared" si="823"/>
        <v>0</v>
      </c>
      <c r="I1605" t="str">
        <f t="shared" si="827"/>
        <v>CONTA OPTICA</v>
      </c>
      <c r="J1605" t="str">
        <f>"OTICA SANOTICA LTDA"</f>
        <v>OTICA SANOTICA LTDA</v>
      </c>
      <c r="K1605" t="str">
        <f>"MERCADAO DOS OCULOS (3932)"</f>
        <v>MERCADAO DOS OCULOS (3932)</v>
      </c>
      <c r="L1605" t="str">
        <f>""</f>
        <v/>
      </c>
      <c r="M1605" t="str">
        <f>""</f>
        <v/>
      </c>
      <c r="N1605" t="str">
        <f>"sc-blumenau@mercadaodosoculos.com.br"</f>
        <v>sc-blumenau@mercadaodosoculos.com.br</v>
      </c>
      <c r="O1605" t="str">
        <f>""</f>
        <v/>
      </c>
      <c r="P1605" t="str">
        <f>"RUA 15 DE NOVEMBRO"</f>
        <v>RUA 15 DE NOVEMBRO</v>
      </c>
      <c r="Q1605" t="str">
        <f>"1226"</f>
        <v>1226</v>
      </c>
      <c r="R1605" t="str">
        <f>"LOJA 6"</f>
        <v>LOJA 6</v>
      </c>
      <c r="S1605" t="str">
        <f>"1271"</f>
        <v>1271</v>
      </c>
      <c r="T1605" t="str">
        <f>"89010002"</f>
        <v>89010002</v>
      </c>
      <c r="U1605" t="str">
        <f>"CENTRO"</f>
        <v>CENTRO</v>
      </c>
      <c r="V1605" t="str">
        <f>"BLUMENAU"</f>
        <v>BLUMENAU</v>
      </c>
      <c r="W1605" t="str">
        <f t="shared" si="807"/>
        <v>SC</v>
      </c>
      <c r="X1605" t="str">
        <f t="shared" si="819"/>
        <v>47</v>
      </c>
      <c r="Y1605" t="str">
        <f>"32343927"</f>
        <v>32343927</v>
      </c>
      <c r="Z1605" t="str">
        <f>""</f>
        <v/>
      </c>
      <c r="AA1605" t="str">
        <f>""</f>
        <v/>
      </c>
      <c r="AB1605" t="str">
        <f>""</f>
        <v/>
      </c>
      <c r="AC1605" t="str">
        <f>""</f>
        <v/>
      </c>
      <c r="AD1605" t="str">
        <f>""</f>
        <v/>
      </c>
      <c r="AE1605" t="str">
        <f>""</f>
        <v/>
      </c>
      <c r="AF1605" t="str">
        <f>""</f>
        <v/>
      </c>
      <c r="AG1605" t="str">
        <f>"S"</f>
        <v>S</v>
      </c>
      <c r="AH1605" t="str">
        <f>""</f>
        <v/>
      </c>
      <c r="AI1605" t="str">
        <f>""</f>
        <v/>
      </c>
      <c r="AJ1605" t="str">
        <f>""</f>
        <v/>
      </c>
      <c r="AK1605" t="str">
        <f>""</f>
        <v/>
      </c>
      <c r="AL1605" t="str">
        <f>""</f>
        <v/>
      </c>
      <c r="AM1605" t="str">
        <f>""</f>
        <v/>
      </c>
      <c r="AN1605" t="str">
        <f>""</f>
        <v/>
      </c>
      <c r="AO1605" t="str">
        <f>""</f>
        <v/>
      </c>
      <c r="AP1605" t="str">
        <f>""</f>
        <v/>
      </c>
      <c r="AQ1605" t="str">
        <f t="shared" si="831"/>
        <v>N</v>
      </c>
      <c r="AR1605" t="str">
        <f t="shared" si="831"/>
        <v>N</v>
      </c>
      <c r="AS1605" t="str">
        <f t="shared" si="831"/>
        <v>N</v>
      </c>
      <c r="AT1605" t="str">
        <f t="shared" si="831"/>
        <v>N</v>
      </c>
      <c r="AU1605" t="str">
        <f t="shared" si="831"/>
        <v>N</v>
      </c>
      <c r="AV1605" t="str">
        <f>""</f>
        <v/>
      </c>
      <c r="AW1605" t="str">
        <f>""</f>
        <v/>
      </c>
      <c r="AX1605" t="str">
        <f>""</f>
        <v/>
      </c>
      <c r="AY1605" t="str">
        <f>""</f>
        <v/>
      </c>
      <c r="AZ1605" t="str">
        <f>""</f>
        <v/>
      </c>
      <c r="BA1605" t="str">
        <f>""</f>
        <v/>
      </c>
      <c r="BB1605" t="str">
        <f t="shared" si="832"/>
        <v>01/07/2021 13:53:04</v>
      </c>
      <c r="BC1605" t="str">
        <f>"09/03/2022 16:41:00"</f>
        <v>09/03/2022 16:41:00</v>
      </c>
      <c r="BD1605" t="str">
        <f>""</f>
        <v/>
      </c>
      <c r="BE1605" t="str">
        <f>""</f>
        <v/>
      </c>
      <c r="BF1605" t="str">
        <f t="shared" si="828"/>
        <v>A</v>
      </c>
      <c r="BG1605" t="str">
        <f>""</f>
        <v/>
      </c>
      <c r="BH1605" t="str">
        <f>"0,00"</f>
        <v>0,00</v>
      </c>
      <c r="BI1605" t="str">
        <f t="shared" si="820"/>
        <v>EVENTUAL</v>
      </c>
      <c r="BJ1605" t="str">
        <f t="shared" si="829"/>
        <v>1</v>
      </c>
      <c r="BK1605" t="str">
        <f t="shared" si="830"/>
        <v>Farmacia</v>
      </c>
      <c r="BL1605" t="str">
        <f>""</f>
        <v/>
      </c>
      <c r="BM1605" t="str">
        <f>"NÃO É VARILUX ESPECIALISTA"</f>
        <v>NÃO É VARILUX ESPECIALISTA</v>
      </c>
      <c r="BN1605" t="str">
        <f t="shared" si="833"/>
        <v>NA</v>
      </c>
      <c r="BO1605" t="str">
        <f>"FOCO KODAK 2"</f>
        <v>FOCO KODAK 2</v>
      </c>
      <c r="BP1605" t="str">
        <f>""</f>
        <v/>
      </c>
      <c r="BQ1605" t="str">
        <f>""</f>
        <v/>
      </c>
      <c r="BR1605" t="str">
        <f t="shared" si="834"/>
        <v>01/07/2021</v>
      </c>
      <c r="BS1605" t="str">
        <f>"09/03/2022"</f>
        <v>09/03/2022</v>
      </c>
      <c r="BT1605" t="str">
        <f>""</f>
        <v/>
      </c>
      <c r="BU1605" t="str">
        <f>""</f>
        <v/>
      </c>
      <c r="BV1605" t="str">
        <f>""</f>
        <v/>
      </c>
      <c r="BW1605" t="str">
        <f>"50"</f>
        <v>50</v>
      </c>
    </row>
    <row r="1606" spans="1:75" x14ac:dyDescent="0.35">
      <c r="A1606">
        <v>137821</v>
      </c>
      <c r="B1606" t="str">
        <f t="shared" si="825"/>
        <v>A</v>
      </c>
      <c r="C1606" t="str">
        <f t="shared" si="826"/>
        <v>80</v>
      </c>
      <c r="D1606" t="str">
        <f t="shared" si="809"/>
        <v>11121004</v>
      </c>
      <c r="E1606" t="str">
        <f t="shared" si="810"/>
        <v>121004</v>
      </c>
      <c r="F1606" t="str">
        <f t="shared" si="811"/>
        <v>FABIANA GODOY</v>
      </c>
      <c r="G1606" t="str">
        <f>"85151090000174"</f>
        <v>85151090000174</v>
      </c>
      <c r="H1606" t="str">
        <f t="shared" si="823"/>
        <v>0</v>
      </c>
      <c r="I1606" t="str">
        <f t="shared" si="827"/>
        <v>CONTA OPTICA</v>
      </c>
      <c r="J1606" t="str">
        <f>"OTICA SCHRODER LTDA ME"</f>
        <v>OTICA SCHRODER LTDA ME</v>
      </c>
      <c r="K1606" t="str">
        <f>"OTICA SCHRODER LTDA ME (352)"</f>
        <v>OTICA SCHRODER LTDA ME (352)</v>
      </c>
      <c r="L1606" t="str">
        <f>""</f>
        <v/>
      </c>
      <c r="M1606" t="str">
        <f>""</f>
        <v/>
      </c>
      <c r="N1606" t="str">
        <f>"mariana.schroder@gmail.com"</f>
        <v>mariana.schroder@gmail.com</v>
      </c>
      <c r="O1606" t="str">
        <f>""</f>
        <v/>
      </c>
      <c r="P1606" t="str">
        <f>"TRAVESSA GUILHERME KRIEGER JUNIOR"</f>
        <v>TRAVESSA GUILHERME KRIEGER JUNIOR</v>
      </c>
      <c r="Q1606" t="str">
        <f>"29"</f>
        <v>29</v>
      </c>
      <c r="R1606" t="str">
        <f>"SALA 03"</f>
        <v>SALA 03</v>
      </c>
      <c r="S1606" t="str">
        <f>"1263"</f>
        <v>1263</v>
      </c>
      <c r="T1606" t="str">
        <f>"88350010"</f>
        <v>88350010</v>
      </c>
      <c r="U1606" t="str">
        <f>"CENTRO"</f>
        <v>CENTRO</v>
      </c>
      <c r="V1606" t="str">
        <f>"BRUSQUE"</f>
        <v>BRUSQUE</v>
      </c>
      <c r="W1606" t="str">
        <f t="shared" si="807"/>
        <v>SC</v>
      </c>
      <c r="X1606" t="str">
        <f t="shared" si="819"/>
        <v>47</v>
      </c>
      <c r="Y1606" t="str">
        <f>"33513897"</f>
        <v>33513897</v>
      </c>
      <c r="Z1606" t="str">
        <f>""</f>
        <v/>
      </c>
      <c r="AA1606" t="str">
        <f>""</f>
        <v/>
      </c>
      <c r="AB1606" t="str">
        <f>""</f>
        <v/>
      </c>
      <c r="AC1606" t="str">
        <f>""</f>
        <v/>
      </c>
      <c r="AD1606" t="str">
        <f>""</f>
        <v/>
      </c>
      <c r="AE1606" t="str">
        <f>""</f>
        <v/>
      </c>
      <c r="AF1606" t="str">
        <f>""</f>
        <v/>
      </c>
      <c r="AG1606" t="str">
        <f>""</f>
        <v/>
      </c>
      <c r="AH1606" t="str">
        <f>""</f>
        <v/>
      </c>
      <c r="AI1606" t="str">
        <f>""</f>
        <v/>
      </c>
      <c r="AJ1606" t="str">
        <f>""</f>
        <v/>
      </c>
      <c r="AK1606" t="str">
        <f>""</f>
        <v/>
      </c>
      <c r="AL1606" t="str">
        <f>""</f>
        <v/>
      </c>
      <c r="AM1606" t="str">
        <f>""</f>
        <v/>
      </c>
      <c r="AN1606" t="str">
        <f>""</f>
        <v/>
      </c>
      <c r="AO1606" t="str">
        <f>""</f>
        <v/>
      </c>
      <c r="AP1606" t="str">
        <f>""</f>
        <v/>
      </c>
      <c r="AQ1606" t="str">
        <f>""</f>
        <v/>
      </c>
      <c r="AR1606" t="str">
        <f>""</f>
        <v/>
      </c>
      <c r="AS1606" t="str">
        <f>""</f>
        <v/>
      </c>
      <c r="AT1606" t="str">
        <f>""</f>
        <v/>
      </c>
      <c r="AU1606" t="str">
        <f>""</f>
        <v/>
      </c>
      <c r="AV1606" t="str">
        <f>""</f>
        <v/>
      </c>
      <c r="AW1606" t="str">
        <f>""</f>
        <v/>
      </c>
      <c r="AX1606" t="str">
        <f>""</f>
        <v/>
      </c>
      <c r="AY1606" t="str">
        <f>""</f>
        <v/>
      </c>
      <c r="AZ1606" t="str">
        <f>""</f>
        <v/>
      </c>
      <c r="BA1606" t="str">
        <f>""</f>
        <v/>
      </c>
      <c r="BB1606" t="str">
        <f t="shared" si="832"/>
        <v>01/07/2021 13:53:04</v>
      </c>
      <c r="BC1606" t="str">
        <f>""</f>
        <v/>
      </c>
      <c r="BD1606" t="str">
        <f>""</f>
        <v/>
      </c>
      <c r="BE1606" t="str">
        <f>""</f>
        <v/>
      </c>
      <c r="BF1606" t="str">
        <f t="shared" si="828"/>
        <v>A</v>
      </c>
      <c r="BG1606" t="str">
        <f>""</f>
        <v/>
      </c>
      <c r="BH1606" t="str">
        <f>""</f>
        <v/>
      </c>
      <c r="BI1606" t="str">
        <f t="shared" si="820"/>
        <v>EVENTUAL</v>
      </c>
      <c r="BJ1606" t="str">
        <f t="shared" si="829"/>
        <v>1</v>
      </c>
      <c r="BK1606" t="str">
        <f t="shared" si="830"/>
        <v>Farmacia</v>
      </c>
      <c r="BL1606" t="str">
        <f>""</f>
        <v/>
      </c>
      <c r="BM1606" t="str">
        <f>"VARILUX ESPECIALISTA PLATINE"</f>
        <v>VARILUX ESPECIALISTA PLATINE</v>
      </c>
      <c r="BN1606" t="str">
        <f t="shared" si="833"/>
        <v>NA</v>
      </c>
      <c r="BO1606" t="str">
        <f>"FOCO VARILUX DIGITAL"</f>
        <v>FOCO VARILUX DIGITAL</v>
      </c>
      <c r="BP1606" t="str">
        <f>""</f>
        <v/>
      </c>
      <c r="BQ1606" t="str">
        <f>""</f>
        <v/>
      </c>
      <c r="BR1606" t="str">
        <f t="shared" si="834"/>
        <v>01/07/2021</v>
      </c>
      <c r="BS1606" t="str">
        <f>""</f>
        <v/>
      </c>
      <c r="BT1606" t="str">
        <f>""</f>
        <v/>
      </c>
      <c r="BU1606" t="str">
        <f>""</f>
        <v/>
      </c>
      <c r="BV1606" t="str">
        <f>""</f>
        <v/>
      </c>
      <c r="BW1606" t="str">
        <f>"4"</f>
        <v>4</v>
      </c>
    </row>
    <row r="1607" spans="1:75" x14ac:dyDescent="0.35">
      <c r="A1607">
        <v>137822</v>
      </c>
      <c r="B1607" t="str">
        <f t="shared" si="825"/>
        <v>A</v>
      </c>
      <c r="C1607" t="str">
        <f t="shared" si="826"/>
        <v>80</v>
      </c>
      <c r="D1607" t="str">
        <f t="shared" si="809"/>
        <v>11121004</v>
      </c>
      <c r="E1607" t="str">
        <f t="shared" si="810"/>
        <v>121004</v>
      </c>
      <c r="F1607" t="str">
        <f t="shared" si="811"/>
        <v>FABIANA GODOY</v>
      </c>
      <c r="G1607" t="str">
        <f>"32787925000110"</f>
        <v>32787925000110</v>
      </c>
      <c r="H1607" t="str">
        <f t="shared" si="823"/>
        <v>0</v>
      </c>
      <c r="I1607" t="str">
        <f t="shared" si="827"/>
        <v>CONTA OPTICA</v>
      </c>
      <c r="J1607" t="str">
        <f>"OTICA SOUZA LTDA"</f>
        <v>OTICA SOUZA LTDA</v>
      </c>
      <c r="K1607" t="str">
        <f>"OTICA SOUZA (4207)"</f>
        <v>OTICA SOUZA (4207)</v>
      </c>
      <c r="L1607" t="str">
        <f>""</f>
        <v/>
      </c>
      <c r="M1607" t="str">
        <f>""</f>
        <v/>
      </c>
      <c r="N1607" t="str">
        <f>"vendas.oticasouza@gmail.com"</f>
        <v>vendas.oticasouza@gmail.com</v>
      </c>
      <c r="O1607" t="str">
        <f>""</f>
        <v/>
      </c>
      <c r="P1607" t="str">
        <f>"RUA BRUSQUE"</f>
        <v>RUA BRUSQUE</v>
      </c>
      <c r="Q1607" t="str">
        <f>"258"</f>
        <v>258</v>
      </c>
      <c r="R1607" t="str">
        <f>"SALA 2"</f>
        <v>SALA 2</v>
      </c>
      <c r="S1607" t="str">
        <f>""</f>
        <v/>
      </c>
      <c r="T1607" t="str">
        <f>"88302001"</f>
        <v>88302001</v>
      </c>
      <c r="U1607" t="str">
        <f>"CENTRO"</f>
        <v>CENTRO</v>
      </c>
      <c r="V1607" t="str">
        <f>"ITAJAÍ"</f>
        <v>ITAJAÍ</v>
      </c>
      <c r="W1607" t="str">
        <f t="shared" si="807"/>
        <v>SC</v>
      </c>
      <c r="X1607" t="str">
        <f t="shared" si="819"/>
        <v>47</v>
      </c>
      <c r="Y1607" t="str">
        <f>"33113545"</f>
        <v>33113545</v>
      </c>
      <c r="Z1607" t="str">
        <f>""</f>
        <v/>
      </c>
      <c r="AA1607" t="str">
        <f>""</f>
        <v/>
      </c>
      <c r="AB1607" t="str">
        <f>""</f>
        <v/>
      </c>
      <c r="AC1607" t="str">
        <f>""</f>
        <v/>
      </c>
      <c r="AD1607" t="str">
        <f>""</f>
        <v/>
      </c>
      <c r="AE1607" t="str">
        <f>""</f>
        <v/>
      </c>
      <c r="AF1607" t="str">
        <f>""</f>
        <v/>
      </c>
      <c r="AG1607" t="str">
        <f>"S"</f>
        <v>S</v>
      </c>
      <c r="AH1607" t="str">
        <f>""</f>
        <v/>
      </c>
      <c r="AI1607" t="str">
        <f>""</f>
        <v/>
      </c>
      <c r="AJ1607" t="str">
        <f>""</f>
        <v/>
      </c>
      <c r="AK1607" t="str">
        <f>""</f>
        <v/>
      </c>
      <c r="AL1607" t="str">
        <f>""</f>
        <v/>
      </c>
      <c r="AM1607" t="str">
        <f>""</f>
        <v/>
      </c>
      <c r="AN1607" t="str">
        <f>""</f>
        <v/>
      </c>
      <c r="AO1607" t="str">
        <f>""</f>
        <v/>
      </c>
      <c r="AP1607" t="str">
        <f>""</f>
        <v/>
      </c>
      <c r="AQ1607" t="str">
        <f t="shared" ref="AQ1607:AU1608" si="835">"N"</f>
        <v>N</v>
      </c>
      <c r="AR1607" t="str">
        <f t="shared" si="835"/>
        <v>N</v>
      </c>
      <c r="AS1607" t="str">
        <f t="shared" si="835"/>
        <v>N</v>
      </c>
      <c r="AT1607" t="str">
        <f t="shared" si="835"/>
        <v>N</v>
      </c>
      <c r="AU1607" t="str">
        <f t="shared" si="835"/>
        <v>N</v>
      </c>
      <c r="AV1607" t="str">
        <f>""</f>
        <v/>
      </c>
      <c r="AW1607" t="str">
        <f>""</f>
        <v/>
      </c>
      <c r="AX1607" t="str">
        <f>""</f>
        <v/>
      </c>
      <c r="AY1607" t="str">
        <f>""</f>
        <v/>
      </c>
      <c r="AZ1607" t="str">
        <f>""</f>
        <v/>
      </c>
      <c r="BA1607" t="str">
        <f>""</f>
        <v/>
      </c>
      <c r="BB1607" t="str">
        <f t="shared" si="832"/>
        <v>01/07/2021 13:53:04</v>
      </c>
      <c r="BC1607" t="str">
        <f>"17/07/2023 13:03:02"</f>
        <v>17/07/2023 13:03:02</v>
      </c>
      <c r="BD1607" t="str">
        <f>""</f>
        <v/>
      </c>
      <c r="BE1607" t="str">
        <f>""</f>
        <v/>
      </c>
      <c r="BF1607" t="str">
        <f t="shared" si="828"/>
        <v>A</v>
      </c>
      <c r="BG1607" t="str">
        <f>""</f>
        <v/>
      </c>
      <c r="BH1607" t="str">
        <f>"0,00"</f>
        <v>0,00</v>
      </c>
      <c r="BI1607" t="str">
        <f>"MENSAL"</f>
        <v>MENSAL</v>
      </c>
      <c r="BJ1607" t="str">
        <f t="shared" si="829"/>
        <v>1</v>
      </c>
      <c r="BK1607" t="str">
        <f t="shared" si="830"/>
        <v>Farmacia</v>
      </c>
      <c r="BL1607" t="str">
        <f>""</f>
        <v/>
      </c>
      <c r="BM1607" t="str">
        <f>"NÃO É VARILUX ESPECIALISTA"</f>
        <v>NÃO É VARILUX ESPECIALISTA</v>
      </c>
      <c r="BN1607" t="str">
        <f t="shared" si="833"/>
        <v>NA</v>
      </c>
      <c r="BO1607" t="str">
        <f>"FOCO VARILUX"</f>
        <v>FOCO VARILUX</v>
      </c>
      <c r="BP1607" t="str">
        <f>""</f>
        <v/>
      </c>
      <c r="BQ1607" t="str">
        <f>""</f>
        <v/>
      </c>
      <c r="BR1607" t="str">
        <f t="shared" si="834"/>
        <v>01/07/2021</v>
      </c>
      <c r="BS1607" t="str">
        <f>"17/07/2023"</f>
        <v>17/07/2023</v>
      </c>
      <c r="BT1607" t="str">
        <f>""</f>
        <v/>
      </c>
      <c r="BU1607" t="str">
        <f>""</f>
        <v/>
      </c>
      <c r="BV1607" t="str">
        <f>""</f>
        <v/>
      </c>
      <c r="BW1607" t="str">
        <f>"3"</f>
        <v>3</v>
      </c>
    </row>
    <row r="1608" spans="1:75" x14ac:dyDescent="0.35">
      <c r="A1608">
        <v>137823</v>
      </c>
      <c r="B1608" t="str">
        <f t="shared" si="825"/>
        <v>A</v>
      </c>
      <c r="C1608" t="str">
        <f t="shared" si="826"/>
        <v>80</v>
      </c>
      <c r="D1608" t="str">
        <f t="shared" si="809"/>
        <v>11121004</v>
      </c>
      <c r="E1608" t="str">
        <f t="shared" si="810"/>
        <v>121004</v>
      </c>
      <c r="F1608" t="str">
        <f t="shared" si="811"/>
        <v>FABIANA GODOY</v>
      </c>
      <c r="G1608" t="str">
        <f>"40319266000116"</f>
        <v>40319266000116</v>
      </c>
      <c r="H1608" t="str">
        <f t="shared" si="823"/>
        <v>0</v>
      </c>
      <c r="I1608" t="str">
        <f t="shared" si="827"/>
        <v>CONTA OPTICA</v>
      </c>
      <c r="J1608" t="str">
        <f>"OTICA STELLA LTDA"</f>
        <v>OTICA STELLA LTDA</v>
      </c>
      <c r="K1608" t="str">
        <f>"OTICA STELLA (4331)"</f>
        <v>OTICA STELLA (4331)</v>
      </c>
      <c r="L1608" t="str">
        <f>""</f>
        <v/>
      </c>
      <c r="M1608" t="str">
        <f>""</f>
        <v/>
      </c>
      <c r="N1608" t="str">
        <f>"GUILHERMECERVELIN@GMAIL.COM"</f>
        <v>GUILHERMECERVELIN@GMAIL.COM</v>
      </c>
      <c r="O1608" t="str">
        <f>""</f>
        <v/>
      </c>
      <c r="P1608" t="str">
        <f>"AVENIDA GOVERNADOR CELSO RAMOS"</f>
        <v>AVENIDA GOVERNADOR CELSO RAMOS</v>
      </c>
      <c r="Q1608" t="str">
        <f>"400"</f>
        <v>400</v>
      </c>
      <c r="R1608" t="str">
        <f>"SALA 02"</f>
        <v>SALA 02</v>
      </c>
      <c r="S1608" t="str">
        <f>"1260"</f>
        <v>1260</v>
      </c>
      <c r="T1608" t="str">
        <f>"88210000"</f>
        <v>88210000</v>
      </c>
      <c r="U1608" t="str">
        <f>"PEREQUE"</f>
        <v>PEREQUE</v>
      </c>
      <c r="V1608" t="str">
        <f>"PORTO BELO"</f>
        <v>PORTO BELO</v>
      </c>
      <c r="W1608" t="str">
        <f t="shared" si="807"/>
        <v>SC</v>
      </c>
      <c r="X1608" t="str">
        <f t="shared" si="819"/>
        <v>47</v>
      </c>
      <c r="Y1608" t="str">
        <f>"33698807"</f>
        <v>33698807</v>
      </c>
      <c r="Z1608" t="str">
        <f>""</f>
        <v/>
      </c>
      <c r="AA1608" t="str">
        <f>""</f>
        <v/>
      </c>
      <c r="AB1608" t="str">
        <f>""</f>
        <v/>
      </c>
      <c r="AC1608" t="str">
        <f>""</f>
        <v/>
      </c>
      <c r="AD1608" t="str">
        <f>""</f>
        <v/>
      </c>
      <c r="AE1608" t="str">
        <f>""</f>
        <v/>
      </c>
      <c r="AF1608" t="str">
        <f>""</f>
        <v/>
      </c>
      <c r="AG1608" t="str">
        <f>"S"</f>
        <v>S</v>
      </c>
      <c r="AH1608" t="str">
        <f>""</f>
        <v/>
      </c>
      <c r="AI1608" t="str">
        <f>""</f>
        <v/>
      </c>
      <c r="AJ1608" t="str">
        <f>""</f>
        <v/>
      </c>
      <c r="AK1608" t="str">
        <f>""</f>
        <v/>
      </c>
      <c r="AL1608" t="str">
        <f>""</f>
        <v/>
      </c>
      <c r="AM1608" t="str">
        <f>""</f>
        <v/>
      </c>
      <c r="AN1608" t="str">
        <f>""</f>
        <v/>
      </c>
      <c r="AO1608" t="str">
        <f>""</f>
        <v/>
      </c>
      <c r="AP1608" t="str">
        <f>""</f>
        <v/>
      </c>
      <c r="AQ1608" t="str">
        <f t="shared" si="835"/>
        <v>N</v>
      </c>
      <c r="AR1608" t="str">
        <f t="shared" si="835"/>
        <v>N</v>
      </c>
      <c r="AS1608" t="str">
        <f t="shared" si="835"/>
        <v>N</v>
      </c>
      <c r="AT1608" t="str">
        <f t="shared" si="835"/>
        <v>N</v>
      </c>
      <c r="AU1608" t="str">
        <f t="shared" si="835"/>
        <v>N</v>
      </c>
      <c r="AV1608" t="str">
        <f>""</f>
        <v/>
      </c>
      <c r="AW1608" t="str">
        <f>""</f>
        <v/>
      </c>
      <c r="AX1608" t="str">
        <f>""</f>
        <v/>
      </c>
      <c r="AY1608" t="str">
        <f>""</f>
        <v/>
      </c>
      <c r="AZ1608" t="str">
        <f>""</f>
        <v/>
      </c>
      <c r="BA1608" t="str">
        <f>""</f>
        <v/>
      </c>
      <c r="BB1608" t="str">
        <f t="shared" si="832"/>
        <v>01/07/2021 13:53:04</v>
      </c>
      <c r="BC1608" t="str">
        <f>"15/02/2022 16:53:01"</f>
        <v>15/02/2022 16:53:01</v>
      </c>
      <c r="BD1608" t="str">
        <f>""</f>
        <v/>
      </c>
      <c r="BE1608" t="str">
        <f>""</f>
        <v/>
      </c>
      <c r="BF1608" t="str">
        <f t="shared" si="828"/>
        <v>A</v>
      </c>
      <c r="BG1608" t="str">
        <f>""</f>
        <v/>
      </c>
      <c r="BH1608" t="str">
        <f>"0,00"</f>
        <v>0,00</v>
      </c>
      <c r="BI1608" t="str">
        <f t="shared" ref="BI1608:BI1624" si="836">"EVENTUAL"</f>
        <v>EVENTUAL</v>
      </c>
      <c r="BJ1608" t="str">
        <f t="shared" si="829"/>
        <v>1</v>
      </c>
      <c r="BK1608" t="str">
        <f t="shared" si="830"/>
        <v>Farmacia</v>
      </c>
      <c r="BL1608" t="str">
        <f>""</f>
        <v/>
      </c>
      <c r="BM1608" t="str">
        <f>"NÃO É VARILUX ESPECIALISTA"</f>
        <v>NÃO É VARILUX ESPECIALISTA</v>
      </c>
      <c r="BN1608" t="str">
        <f t="shared" si="833"/>
        <v>NA</v>
      </c>
      <c r="BO1608" t="str">
        <f>"OUTROS"</f>
        <v>OUTROS</v>
      </c>
      <c r="BP1608" t="str">
        <f>""</f>
        <v/>
      </c>
      <c r="BQ1608" t="str">
        <f>""</f>
        <v/>
      </c>
      <c r="BR1608" t="str">
        <f t="shared" si="834"/>
        <v>01/07/2021</v>
      </c>
      <c r="BS1608" t="str">
        <f>"15/02/2022"</f>
        <v>15/02/2022</v>
      </c>
      <c r="BT1608" t="str">
        <f>""</f>
        <v/>
      </c>
      <c r="BU1608" t="str">
        <f>""</f>
        <v/>
      </c>
      <c r="BV1608" t="str">
        <f>""</f>
        <v/>
      </c>
      <c r="BW1608" t="str">
        <f>"186"</f>
        <v>186</v>
      </c>
    </row>
    <row r="1609" spans="1:75" x14ac:dyDescent="0.35">
      <c r="A1609">
        <v>137824</v>
      </c>
      <c r="B1609" t="str">
        <f t="shared" si="825"/>
        <v>A</v>
      </c>
      <c r="C1609" t="str">
        <f t="shared" si="826"/>
        <v>80</v>
      </c>
      <c r="D1609" t="str">
        <f t="shared" si="809"/>
        <v>11121004</v>
      </c>
      <c r="E1609" t="str">
        <f t="shared" si="810"/>
        <v>121004</v>
      </c>
      <c r="F1609" t="str">
        <f t="shared" si="811"/>
        <v>FABIANA GODOY</v>
      </c>
      <c r="G1609" t="str">
        <f>"76538206000131"</f>
        <v>76538206000131</v>
      </c>
      <c r="H1609" t="str">
        <f t="shared" si="823"/>
        <v>0</v>
      </c>
      <c r="I1609" t="str">
        <f t="shared" si="827"/>
        <v>CONTA OPTICA</v>
      </c>
      <c r="J1609" t="str">
        <f>"OTICA TIMBO LTDA"</f>
        <v>OTICA TIMBO LTDA</v>
      </c>
      <c r="K1609" t="str">
        <f>"OTICA TIMBO LTDA (358)"</f>
        <v>OTICA TIMBO LTDA (358)</v>
      </c>
      <c r="L1609" t="str">
        <f>""</f>
        <v/>
      </c>
      <c r="M1609" t="str">
        <f>""</f>
        <v/>
      </c>
      <c r="N1609" t="str">
        <f>"oticatimbo@hotmail.com"</f>
        <v>oticatimbo@hotmail.com</v>
      </c>
      <c r="O1609" t="str">
        <f>""</f>
        <v/>
      </c>
      <c r="P1609" t="str">
        <f>"RUA 7 DE SETEMBRO"</f>
        <v>RUA 7 DE SETEMBRO</v>
      </c>
      <c r="Q1609" t="str">
        <f>"45"</f>
        <v>45</v>
      </c>
      <c r="R1609" t="str">
        <f>""</f>
        <v/>
      </c>
      <c r="S1609" t="str">
        <f>"1275"</f>
        <v>1275</v>
      </c>
      <c r="T1609" t="str">
        <f>"89120000"</f>
        <v>89120000</v>
      </c>
      <c r="U1609" t="str">
        <f>"CENTRO"</f>
        <v>CENTRO</v>
      </c>
      <c r="V1609" t="str">
        <f>"TIMBO"</f>
        <v>TIMBO</v>
      </c>
      <c r="W1609" t="str">
        <f t="shared" si="807"/>
        <v>SC</v>
      </c>
      <c r="X1609" t="str">
        <f t="shared" si="819"/>
        <v>47</v>
      </c>
      <c r="Y1609" t="str">
        <f>"33820710"</f>
        <v>33820710</v>
      </c>
      <c r="Z1609" t="str">
        <f>""</f>
        <v/>
      </c>
      <c r="AA1609" t="str">
        <f>""</f>
        <v/>
      </c>
      <c r="AB1609" t="str">
        <f>""</f>
        <v/>
      </c>
      <c r="AC1609" t="str">
        <f>""</f>
        <v/>
      </c>
      <c r="AD1609" t="str">
        <f>""</f>
        <v/>
      </c>
      <c r="AE1609" t="str">
        <f>""</f>
        <v/>
      </c>
      <c r="AF1609" t="str">
        <f>""</f>
        <v/>
      </c>
      <c r="AG1609" t="str">
        <f>""</f>
        <v/>
      </c>
      <c r="AH1609" t="str">
        <f>""</f>
        <v/>
      </c>
      <c r="AI1609" t="str">
        <f>""</f>
        <v/>
      </c>
      <c r="AJ1609" t="str">
        <f>""</f>
        <v/>
      </c>
      <c r="AK1609" t="str">
        <f>""</f>
        <v/>
      </c>
      <c r="AL1609" t="str">
        <f>""</f>
        <v/>
      </c>
      <c r="AM1609" t="str">
        <f>""</f>
        <v/>
      </c>
      <c r="AN1609" t="str">
        <f>""</f>
        <v/>
      </c>
      <c r="AO1609" t="str">
        <f>""</f>
        <v/>
      </c>
      <c r="AP1609" t="str">
        <f>""</f>
        <v/>
      </c>
      <c r="AQ1609" t="str">
        <f>""</f>
        <v/>
      </c>
      <c r="AR1609" t="str">
        <f>""</f>
        <v/>
      </c>
      <c r="AS1609" t="str">
        <f>""</f>
        <v/>
      </c>
      <c r="AT1609" t="str">
        <f>""</f>
        <v/>
      </c>
      <c r="AU1609" t="str">
        <f>""</f>
        <v/>
      </c>
      <c r="AV1609" t="str">
        <f>""</f>
        <v/>
      </c>
      <c r="AW1609" t="str">
        <f>""</f>
        <v/>
      </c>
      <c r="AX1609" t="str">
        <f>""</f>
        <v/>
      </c>
      <c r="AY1609" t="str">
        <f>""</f>
        <v/>
      </c>
      <c r="AZ1609" t="str">
        <f>""</f>
        <v/>
      </c>
      <c r="BA1609" t="str">
        <f>""</f>
        <v/>
      </c>
      <c r="BB1609" t="str">
        <f t="shared" si="832"/>
        <v>01/07/2021 13:53:04</v>
      </c>
      <c r="BC1609" t="str">
        <f>""</f>
        <v/>
      </c>
      <c r="BD1609" t="str">
        <f>""</f>
        <v/>
      </c>
      <c r="BE1609" t="str">
        <f>""</f>
        <v/>
      </c>
      <c r="BF1609" t="str">
        <f t="shared" si="828"/>
        <v>A</v>
      </c>
      <c r="BG1609" t="str">
        <f>""</f>
        <v/>
      </c>
      <c r="BH1609" t="str">
        <f>""</f>
        <v/>
      </c>
      <c r="BI1609" t="str">
        <f t="shared" si="836"/>
        <v>EVENTUAL</v>
      </c>
      <c r="BJ1609" t="str">
        <f t="shared" si="829"/>
        <v>1</v>
      </c>
      <c r="BK1609" t="str">
        <f t="shared" si="830"/>
        <v>Farmacia</v>
      </c>
      <c r="BL1609" t="str">
        <f>""</f>
        <v/>
      </c>
      <c r="BM1609" t="str">
        <f>"VARILUX ESPECIALISTA SELECT"</f>
        <v>VARILUX ESPECIALISTA SELECT</v>
      </c>
      <c r="BN1609" t="str">
        <f t="shared" si="833"/>
        <v>NA</v>
      </c>
      <c r="BO1609" t="str">
        <f>"FOCO VARILUX DIGITAL"</f>
        <v>FOCO VARILUX DIGITAL</v>
      </c>
      <c r="BP1609" t="str">
        <f>""</f>
        <v/>
      </c>
      <c r="BQ1609" t="str">
        <f>""</f>
        <v/>
      </c>
      <c r="BR1609" t="str">
        <f t="shared" si="834"/>
        <v>01/07/2021</v>
      </c>
      <c r="BS1609" t="str">
        <f>""</f>
        <v/>
      </c>
      <c r="BT1609" t="str">
        <f>""</f>
        <v/>
      </c>
      <c r="BU1609" t="str">
        <f>""</f>
        <v/>
      </c>
      <c r="BV1609" t="str">
        <f>""</f>
        <v/>
      </c>
      <c r="BW1609" t="str">
        <f>"2"</f>
        <v>2</v>
      </c>
    </row>
    <row r="1610" spans="1:75" x14ac:dyDescent="0.35">
      <c r="A1610">
        <v>127567</v>
      </c>
      <c r="B1610" t="str">
        <f t="shared" si="825"/>
        <v>A</v>
      </c>
      <c r="C1610" t="str">
        <f t="shared" si="826"/>
        <v>80</v>
      </c>
      <c r="D1610" t="str">
        <f t="shared" si="809"/>
        <v>11121004</v>
      </c>
      <c r="E1610" t="str">
        <f t="shared" si="810"/>
        <v>121004</v>
      </c>
      <c r="F1610" t="str">
        <f t="shared" si="811"/>
        <v>FABIANA GODOY</v>
      </c>
      <c r="G1610" t="str">
        <f>"07510051000102"</f>
        <v>07510051000102</v>
      </c>
      <c r="H1610" t="str">
        <f t="shared" si="823"/>
        <v>0</v>
      </c>
      <c r="I1610" t="str">
        <f t="shared" si="827"/>
        <v>CONTA OPTICA</v>
      </c>
      <c r="J1610" t="str">
        <f>"OTICA TOTAL E THUNDER LAB COMERCIO DE OCULOS E LENTES LTDA"</f>
        <v>OTICA TOTAL E THUNDER LAB COMERCIO DE OCULOS E LENTES LTDA</v>
      </c>
      <c r="K1610" t="str">
        <f>"OPTICA TOTAL (795)"</f>
        <v>OPTICA TOTAL (795)</v>
      </c>
      <c r="L1610" t="str">
        <f>""</f>
        <v/>
      </c>
      <c r="M1610" t="str">
        <f>""</f>
        <v/>
      </c>
      <c r="N1610" t="str">
        <f>"totalotica@hotmail.com"</f>
        <v>totalotica@hotmail.com</v>
      </c>
      <c r="O1610" t="str">
        <f>""</f>
        <v/>
      </c>
      <c r="P1610" t="str">
        <f>"AVENIDA CORONEL MARCOS KONDER"</f>
        <v>AVENIDA CORONEL MARCOS KONDER</v>
      </c>
      <c r="Q1610" t="str">
        <f>"789"</f>
        <v>789</v>
      </c>
      <c r="R1610" t="str">
        <f>"SL3"</f>
        <v>SL3</v>
      </c>
      <c r="S1610" t="str">
        <f>"1261"</f>
        <v>1261</v>
      </c>
      <c r="T1610" t="str">
        <f>"88301302"</f>
        <v>88301302</v>
      </c>
      <c r="U1610" t="str">
        <f>"CENTRO"</f>
        <v>CENTRO</v>
      </c>
      <c r="V1610" t="str">
        <f>"ITAJAÍ"</f>
        <v>ITAJAÍ</v>
      </c>
      <c r="W1610" t="str">
        <f t="shared" si="807"/>
        <v>SC</v>
      </c>
      <c r="X1610" t="str">
        <f t="shared" si="819"/>
        <v>47</v>
      </c>
      <c r="Y1610" t="str">
        <f>"30452661"</f>
        <v>30452661</v>
      </c>
      <c r="Z1610" t="str">
        <f>""</f>
        <v/>
      </c>
      <c r="AA1610" t="str">
        <f>""</f>
        <v/>
      </c>
      <c r="AB1610" t="str">
        <f>""</f>
        <v/>
      </c>
      <c r="AC1610" t="str">
        <f>""</f>
        <v/>
      </c>
      <c r="AD1610" t="str">
        <f>""</f>
        <v/>
      </c>
      <c r="AE1610" t="str">
        <f>""</f>
        <v/>
      </c>
      <c r="AF1610" t="str">
        <f>""</f>
        <v/>
      </c>
      <c r="AG1610" t="str">
        <f>""</f>
        <v/>
      </c>
      <c r="AH1610" t="str">
        <f>""</f>
        <v/>
      </c>
      <c r="AI1610" t="str">
        <f>""</f>
        <v/>
      </c>
      <c r="AJ1610" t="str">
        <f>"0"</f>
        <v>0</v>
      </c>
      <c r="AK1610" t="str">
        <f>"0"</f>
        <v>0</v>
      </c>
      <c r="AL1610" t="str">
        <f>"0"</f>
        <v>0</v>
      </c>
      <c r="AM1610" t="str">
        <f>""</f>
        <v/>
      </c>
      <c r="AN1610" t="str">
        <f>""</f>
        <v/>
      </c>
      <c r="AO1610" t="str">
        <f>""</f>
        <v/>
      </c>
      <c r="AP1610" t="str">
        <f>""</f>
        <v/>
      </c>
      <c r="AQ1610" t="str">
        <f>""</f>
        <v/>
      </c>
      <c r="AR1610" t="str">
        <f>""</f>
        <v/>
      </c>
      <c r="AS1610" t="str">
        <f>""</f>
        <v/>
      </c>
      <c r="AT1610" t="str">
        <f>""</f>
        <v/>
      </c>
      <c r="AU1610" t="str">
        <f>""</f>
        <v/>
      </c>
      <c r="AV1610" t="str">
        <f>""</f>
        <v/>
      </c>
      <c r="AW1610" t="str">
        <f>""</f>
        <v/>
      </c>
      <c r="AX1610" t="str">
        <f>""</f>
        <v/>
      </c>
      <c r="AY1610" t="str">
        <f>""</f>
        <v/>
      </c>
      <c r="AZ1610" t="str">
        <f>""</f>
        <v/>
      </c>
      <c r="BA1610" t="str">
        <f>""</f>
        <v/>
      </c>
      <c r="BB1610" t="str">
        <f>"07/10/2020 09:08:38"</f>
        <v>07/10/2020 09:08:38</v>
      </c>
      <c r="BC1610" t="str">
        <f>""</f>
        <v/>
      </c>
      <c r="BD1610" t="str">
        <f>""</f>
        <v/>
      </c>
      <c r="BE1610" t="str">
        <f>""</f>
        <v/>
      </c>
      <c r="BF1610" t="str">
        <f t="shared" si="828"/>
        <v>A</v>
      </c>
      <c r="BG1610" t="str">
        <f>"0,00"</f>
        <v>0,00</v>
      </c>
      <c r="BH1610" t="str">
        <f>"0,00"</f>
        <v>0,00</v>
      </c>
      <c r="BI1610" t="str">
        <f t="shared" si="836"/>
        <v>EVENTUAL</v>
      </c>
      <c r="BJ1610" t="str">
        <f t="shared" si="829"/>
        <v>1</v>
      </c>
      <c r="BK1610" t="str">
        <f t="shared" si="830"/>
        <v>Farmacia</v>
      </c>
      <c r="BL1610" t="str">
        <f>""</f>
        <v/>
      </c>
      <c r="BM1610" t="str">
        <f>"NÃO É VARILUX ESPECIALISTA"</f>
        <v>NÃO É VARILUX ESPECIALISTA</v>
      </c>
      <c r="BN1610" t="str">
        <f>""</f>
        <v/>
      </c>
      <c r="BO1610" t="str">
        <f>"FOCO VARILUX DIGITAL"</f>
        <v>FOCO VARILUX DIGITAL</v>
      </c>
      <c r="BP1610" t="str">
        <f>""</f>
        <v/>
      </c>
      <c r="BQ1610" t="str">
        <f>""</f>
        <v/>
      </c>
      <c r="BR1610" t="str">
        <f>"07/10/2020"</f>
        <v>07/10/2020</v>
      </c>
      <c r="BS1610" t="str">
        <f>""</f>
        <v/>
      </c>
      <c r="BT1610" t="str">
        <f>""</f>
        <v/>
      </c>
      <c r="BU1610" t="str">
        <f>""</f>
        <v/>
      </c>
      <c r="BV1610" t="str">
        <f>"5"</f>
        <v>5</v>
      </c>
      <c r="BW1610" t="str">
        <f>"106"</f>
        <v>106</v>
      </c>
    </row>
    <row r="1611" spans="1:75" x14ac:dyDescent="0.35">
      <c r="A1611">
        <v>157759</v>
      </c>
      <c r="B1611" t="str">
        <f t="shared" si="825"/>
        <v>A</v>
      </c>
      <c r="C1611" t="str">
        <f t="shared" si="826"/>
        <v>80</v>
      </c>
      <c r="D1611" t="str">
        <f t="shared" si="809"/>
        <v>11121004</v>
      </c>
      <c r="E1611" t="str">
        <f t="shared" si="810"/>
        <v>121004</v>
      </c>
      <c r="F1611" t="str">
        <f t="shared" si="811"/>
        <v>FABIANA GODOY</v>
      </c>
      <c r="G1611" t="str">
        <f>"13821836000107"</f>
        <v>13821836000107</v>
      </c>
      <c r="H1611" t="str">
        <f t="shared" si="823"/>
        <v>0</v>
      </c>
      <c r="I1611" t="str">
        <f t="shared" si="827"/>
        <v>CONTA OPTICA</v>
      </c>
      <c r="J1611" t="str">
        <f>"OTICA UNIAO BLUMENAU LTDA ME"</f>
        <v>OTICA UNIAO BLUMENAU LTDA ME</v>
      </c>
      <c r="K1611" t="str">
        <f>"OTICAS UNIAO  (1845)"</f>
        <v>OTICAS UNIAO  (1845)</v>
      </c>
      <c r="L1611" t="str">
        <f>""</f>
        <v/>
      </c>
      <c r="M1611" t="str">
        <f>""</f>
        <v/>
      </c>
      <c r="N1611" t="str">
        <f>"MARCELOCJ220@GMAIL.COM"</f>
        <v>MARCELOCJ220@GMAIL.COM</v>
      </c>
      <c r="O1611" t="str">
        <f>""</f>
        <v/>
      </c>
      <c r="P1611" t="str">
        <f>"RUA SETE DE SETEMBRO"</f>
        <v>RUA SETE DE SETEMBRO</v>
      </c>
      <c r="Q1611" t="str">
        <f>"1315"</f>
        <v>1315</v>
      </c>
      <c r="R1611" t="str">
        <f>"SALA 01"</f>
        <v>SALA 01</v>
      </c>
      <c r="S1611" t="str">
        <f>"1271"</f>
        <v>1271</v>
      </c>
      <c r="T1611" t="str">
        <f>"89010203"</f>
        <v>89010203</v>
      </c>
      <c r="U1611" t="str">
        <f>"CENTRO"</f>
        <v>CENTRO</v>
      </c>
      <c r="V1611" t="str">
        <f>"BLUMENAU"</f>
        <v>BLUMENAU</v>
      </c>
      <c r="W1611" t="str">
        <f t="shared" si="807"/>
        <v>SC</v>
      </c>
      <c r="X1611" t="str">
        <f t="shared" si="819"/>
        <v>47</v>
      </c>
      <c r="Y1611" t="str">
        <f>"33405089"</f>
        <v>33405089</v>
      </c>
      <c r="Z1611" t="str">
        <f>""</f>
        <v/>
      </c>
      <c r="AA1611" t="str">
        <f>""</f>
        <v/>
      </c>
      <c r="AB1611" t="str">
        <f>""</f>
        <v/>
      </c>
      <c r="AC1611" t="str">
        <f>""</f>
        <v/>
      </c>
      <c r="AD1611" t="str">
        <f>""</f>
        <v/>
      </c>
      <c r="AE1611" t="str">
        <f>""</f>
        <v/>
      </c>
      <c r="AF1611" t="str">
        <f>""</f>
        <v/>
      </c>
      <c r="AG1611" t="str">
        <f>""</f>
        <v/>
      </c>
      <c r="AH1611" t="str">
        <f>""</f>
        <v/>
      </c>
      <c r="AI1611" t="str">
        <f>""</f>
        <v/>
      </c>
      <c r="AJ1611" t="str">
        <f>""</f>
        <v/>
      </c>
      <c r="AK1611" t="str">
        <f>""</f>
        <v/>
      </c>
      <c r="AL1611" t="str">
        <f>""</f>
        <v/>
      </c>
      <c r="AM1611" t="str">
        <f>""</f>
        <v/>
      </c>
      <c r="AN1611" t="str">
        <f>""</f>
        <v/>
      </c>
      <c r="AO1611" t="str">
        <f>""</f>
        <v/>
      </c>
      <c r="AP1611" t="str">
        <f>""</f>
        <v/>
      </c>
      <c r="AQ1611" t="str">
        <f>""</f>
        <v/>
      </c>
      <c r="AR1611" t="str">
        <f>""</f>
        <v/>
      </c>
      <c r="AS1611" t="str">
        <f>""</f>
        <v/>
      </c>
      <c r="AT1611" t="str">
        <f>""</f>
        <v/>
      </c>
      <c r="AU1611" t="str">
        <f>""</f>
        <v/>
      </c>
      <c r="AV1611" t="str">
        <f>""</f>
        <v/>
      </c>
      <c r="AW1611" t="str">
        <f>""</f>
        <v/>
      </c>
      <c r="AX1611" t="str">
        <f>""</f>
        <v/>
      </c>
      <c r="AY1611" t="str">
        <f>""</f>
        <v/>
      </c>
      <c r="AZ1611" t="str">
        <f>""</f>
        <v/>
      </c>
      <c r="BA1611" t="str">
        <f>""</f>
        <v/>
      </c>
      <c r="BB1611" t="str">
        <f>"11/07/2023 02:26:32"</f>
        <v>11/07/2023 02:26:32</v>
      </c>
      <c r="BC1611" t="str">
        <f>""</f>
        <v/>
      </c>
      <c r="BD1611" t="str">
        <f>""</f>
        <v/>
      </c>
      <c r="BE1611" t="str">
        <f>""</f>
        <v/>
      </c>
      <c r="BF1611" t="str">
        <f t="shared" si="828"/>
        <v>A</v>
      </c>
      <c r="BG1611" t="str">
        <f>""</f>
        <v/>
      </c>
      <c r="BH1611" t="str">
        <f>""</f>
        <v/>
      </c>
      <c r="BI1611" t="str">
        <f t="shared" si="836"/>
        <v>EVENTUAL</v>
      </c>
      <c r="BJ1611" t="str">
        <f t="shared" si="829"/>
        <v>1</v>
      </c>
      <c r="BK1611" t="str">
        <f t="shared" si="830"/>
        <v>Farmacia</v>
      </c>
      <c r="BL1611" t="str">
        <f>""</f>
        <v/>
      </c>
      <c r="BM1611" t="str">
        <f>""</f>
        <v/>
      </c>
      <c r="BN1611" t="str">
        <f>""</f>
        <v/>
      </c>
      <c r="BO1611" t="str">
        <f>""</f>
        <v/>
      </c>
      <c r="BP1611" t="str">
        <f>""</f>
        <v/>
      </c>
      <c r="BQ1611" t="str">
        <f>""</f>
        <v/>
      </c>
      <c r="BR1611" t="str">
        <f>"11/07/2023"</f>
        <v>11/07/2023</v>
      </c>
      <c r="BS1611" t="str">
        <f>""</f>
        <v/>
      </c>
      <c r="BT1611" t="str">
        <f>""</f>
        <v/>
      </c>
      <c r="BU1611" t="str">
        <f>""</f>
        <v/>
      </c>
      <c r="BV1611" t="str">
        <f>""</f>
        <v/>
      </c>
      <c r="BW1611" t="str">
        <f>"Não visitado"</f>
        <v>Não visitado</v>
      </c>
    </row>
    <row r="1612" spans="1:75" x14ac:dyDescent="0.35">
      <c r="A1612">
        <v>117522</v>
      </c>
      <c r="B1612" t="str">
        <f t="shared" si="825"/>
        <v>A</v>
      </c>
      <c r="C1612" t="str">
        <f t="shared" si="826"/>
        <v>80</v>
      </c>
      <c r="D1612" t="str">
        <f t="shared" si="809"/>
        <v>11121004</v>
      </c>
      <c r="E1612" t="str">
        <f t="shared" si="810"/>
        <v>121004</v>
      </c>
      <c r="F1612" t="str">
        <f t="shared" si="811"/>
        <v>FABIANA GODOY</v>
      </c>
      <c r="G1612" t="str">
        <f>"07392762000120"</f>
        <v>07392762000120</v>
      </c>
      <c r="H1612" t="str">
        <f t="shared" si="823"/>
        <v>0</v>
      </c>
      <c r="I1612" t="str">
        <f t="shared" si="827"/>
        <v>CONTA OPTICA</v>
      </c>
      <c r="J1612" t="str">
        <f>"OTICA VICTOR LTDA ME"</f>
        <v>OTICA VICTOR LTDA ME</v>
      </c>
      <c r="K1612" t="str">
        <f>"OTICA VICTOR (1349)"</f>
        <v>OTICA VICTOR (1349)</v>
      </c>
      <c r="L1612" t="str">
        <f>""</f>
        <v/>
      </c>
      <c r="M1612" t="str">
        <f>""</f>
        <v/>
      </c>
      <c r="N1612" t="str">
        <f>"oticadovale@hotmail.com"</f>
        <v>oticadovale@hotmail.com</v>
      </c>
      <c r="O1612" t="str">
        <f>""</f>
        <v/>
      </c>
      <c r="P1612" t="str">
        <f>"RUA FLORIANOPOLIS"</f>
        <v>RUA FLORIANOPOLIS</v>
      </c>
      <c r="Q1612" t="str">
        <f>"98"</f>
        <v>98</v>
      </c>
      <c r="R1612" t="str">
        <f>"SALA 2"</f>
        <v>SALA 2</v>
      </c>
      <c r="S1612" t="str">
        <f>"1260"</f>
        <v>1260</v>
      </c>
      <c r="T1612" t="str">
        <f>"88200000"</f>
        <v>88200000</v>
      </c>
      <c r="U1612" t="str">
        <f>"CENTRO"</f>
        <v>CENTRO</v>
      </c>
      <c r="V1612" t="str">
        <f>"TIJUCAS"</f>
        <v>TIJUCAS</v>
      </c>
      <c r="W1612" t="str">
        <f t="shared" si="807"/>
        <v>SC</v>
      </c>
      <c r="X1612" t="str">
        <f>"48"</f>
        <v>48</v>
      </c>
      <c r="Y1612" t="str">
        <f>"32635941"</f>
        <v>32635941</v>
      </c>
      <c r="Z1612" t="str">
        <f>""</f>
        <v/>
      </c>
      <c r="AA1612" t="str">
        <f>""</f>
        <v/>
      </c>
      <c r="AB1612" t="str">
        <f>""</f>
        <v/>
      </c>
      <c r="AC1612" t="str">
        <f>""</f>
        <v/>
      </c>
      <c r="AD1612" t="str">
        <f>""</f>
        <v/>
      </c>
      <c r="AE1612" t="str">
        <f>""</f>
        <v/>
      </c>
      <c r="AF1612" t="str">
        <f>""</f>
        <v/>
      </c>
      <c r="AG1612" t="str">
        <f>""</f>
        <v/>
      </c>
      <c r="AH1612" t="str">
        <f>""</f>
        <v/>
      </c>
      <c r="AI1612" t="str">
        <f>""</f>
        <v/>
      </c>
      <c r="AJ1612" t="str">
        <f>"0"</f>
        <v>0</v>
      </c>
      <c r="AK1612" t="str">
        <f>"0"</f>
        <v>0</v>
      </c>
      <c r="AL1612" t="str">
        <f>"0"</f>
        <v>0</v>
      </c>
      <c r="AM1612" t="str">
        <f>""</f>
        <v/>
      </c>
      <c r="AN1612" t="str">
        <f>""</f>
        <v/>
      </c>
      <c r="AO1612" t="str">
        <f>""</f>
        <v/>
      </c>
      <c r="AP1612" t="str">
        <f>""</f>
        <v/>
      </c>
      <c r="AQ1612" t="str">
        <f>""</f>
        <v/>
      </c>
      <c r="AR1612" t="str">
        <f>""</f>
        <v/>
      </c>
      <c r="AS1612" t="str">
        <f>""</f>
        <v/>
      </c>
      <c r="AT1612" t="str">
        <f>""</f>
        <v/>
      </c>
      <c r="AU1612" t="str">
        <f>""</f>
        <v/>
      </c>
      <c r="AV1612" t="str">
        <f>""</f>
        <v/>
      </c>
      <c r="AW1612" t="str">
        <f>""</f>
        <v/>
      </c>
      <c r="AX1612" t="str">
        <f>""</f>
        <v/>
      </c>
      <c r="AY1612" t="str">
        <f>""</f>
        <v/>
      </c>
      <c r="AZ1612" t="str">
        <f>""</f>
        <v/>
      </c>
      <c r="BA1612" t="str">
        <f>""</f>
        <v/>
      </c>
      <c r="BB1612" t="str">
        <f>"22/07/2020 08:24:23"</f>
        <v>22/07/2020 08:24:23</v>
      </c>
      <c r="BC1612" t="str">
        <f>""</f>
        <v/>
      </c>
      <c r="BD1612" t="str">
        <f>""</f>
        <v/>
      </c>
      <c r="BE1612" t="str">
        <f>""</f>
        <v/>
      </c>
      <c r="BF1612" t="str">
        <f t="shared" si="828"/>
        <v>A</v>
      </c>
      <c r="BG1612" t="str">
        <f>"0,00"</f>
        <v>0,00</v>
      </c>
      <c r="BH1612" t="str">
        <f>"0,00"</f>
        <v>0,00</v>
      </c>
      <c r="BI1612" t="str">
        <f t="shared" si="836"/>
        <v>EVENTUAL</v>
      </c>
      <c r="BJ1612" t="str">
        <f t="shared" si="829"/>
        <v>1</v>
      </c>
      <c r="BK1612" t="str">
        <f t="shared" si="830"/>
        <v>Farmacia</v>
      </c>
      <c r="BL1612" t="str">
        <f>""</f>
        <v/>
      </c>
      <c r="BM1612" t="str">
        <f>"NÃO É VARILUX ESPECIALISTA"</f>
        <v>NÃO É VARILUX ESPECIALISTA</v>
      </c>
      <c r="BN1612" t="str">
        <f>"NA"</f>
        <v>NA</v>
      </c>
      <c r="BO1612" t="str">
        <f>"FOCO KODAK 2"</f>
        <v>FOCO KODAK 2</v>
      </c>
      <c r="BP1612" t="str">
        <f>""</f>
        <v/>
      </c>
      <c r="BQ1612" t="str">
        <f>""</f>
        <v/>
      </c>
      <c r="BR1612" t="str">
        <f>"22/07/2020"</f>
        <v>22/07/2020</v>
      </c>
      <c r="BS1612" t="str">
        <f>""</f>
        <v/>
      </c>
      <c r="BT1612" t="str">
        <f>""</f>
        <v/>
      </c>
      <c r="BU1612" t="str">
        <f>""</f>
        <v/>
      </c>
      <c r="BV1612" t="str">
        <f>"9"</f>
        <v>9</v>
      </c>
      <c r="BW1612" t="str">
        <f>"17"</f>
        <v>17</v>
      </c>
    </row>
    <row r="1613" spans="1:75" x14ac:dyDescent="0.35">
      <c r="A1613">
        <v>157046</v>
      </c>
      <c r="B1613" t="str">
        <f t="shared" si="825"/>
        <v>A</v>
      </c>
      <c r="C1613" t="str">
        <f t="shared" si="826"/>
        <v>80</v>
      </c>
      <c r="D1613" t="str">
        <f t="shared" si="809"/>
        <v>11121004</v>
      </c>
      <c r="E1613" t="str">
        <f t="shared" si="810"/>
        <v>121004</v>
      </c>
      <c r="F1613" t="str">
        <f t="shared" si="811"/>
        <v>FABIANA GODOY</v>
      </c>
      <c r="G1613" t="str">
        <f>"49273586000157"</f>
        <v>49273586000157</v>
      </c>
      <c r="H1613" t="str">
        <f t="shared" si="823"/>
        <v>0</v>
      </c>
      <c r="I1613" t="str">
        <f t="shared" si="827"/>
        <v>CONTA OPTICA</v>
      </c>
      <c r="J1613" t="str">
        <f>"OTICA VIIC LTDA."</f>
        <v>OTICA VIIC LTDA.</v>
      </c>
      <c r="K1613" t="str">
        <f>"OTICA VIIC (4684)"</f>
        <v>OTICA VIIC (4684)</v>
      </c>
      <c r="L1613" t="str">
        <f>""</f>
        <v/>
      </c>
      <c r="M1613" t="str">
        <f>""</f>
        <v/>
      </c>
      <c r="N1613" t="str">
        <f>"CONTATO@OTICAVIIC.COM.BR"</f>
        <v>CONTATO@OTICAVIIC.COM.BR</v>
      </c>
      <c r="O1613" t="str">
        <f>""</f>
        <v/>
      </c>
      <c r="P1613" t="str">
        <f>"RUA PROF. JACOB INEICHEN"</f>
        <v>RUA PROF. JACOB INEICHEN</v>
      </c>
      <c r="Q1613" t="str">
        <f>"50"</f>
        <v>50</v>
      </c>
      <c r="R1613" t="str">
        <f>"SALA 02"</f>
        <v>SALA 02</v>
      </c>
      <c r="S1613" t="str">
        <f>""</f>
        <v/>
      </c>
      <c r="T1613" t="str">
        <f>"89066600"</f>
        <v>89066600</v>
      </c>
      <c r="U1613" t="str">
        <f>"ITOUPAVAZINHA"</f>
        <v>ITOUPAVAZINHA</v>
      </c>
      <c r="V1613" t="str">
        <f>"BLUMENAU"</f>
        <v>BLUMENAU</v>
      </c>
      <c r="W1613" t="str">
        <f t="shared" si="807"/>
        <v>SC</v>
      </c>
      <c r="X1613" t="str">
        <f t="shared" ref="X1613:X1624" si="837">"47"</f>
        <v>47</v>
      </c>
      <c r="Y1613" t="str">
        <f>"988956724"</f>
        <v>988956724</v>
      </c>
      <c r="Z1613" t="str">
        <f>""</f>
        <v/>
      </c>
      <c r="AA1613" t="str">
        <f>""</f>
        <v/>
      </c>
      <c r="AB1613" t="str">
        <f>""</f>
        <v/>
      </c>
      <c r="AC1613" t="str">
        <f>""</f>
        <v/>
      </c>
      <c r="AD1613" t="str">
        <f>""</f>
        <v/>
      </c>
      <c r="AE1613" t="str">
        <f>""</f>
        <v/>
      </c>
      <c r="AF1613" t="str">
        <f>""</f>
        <v/>
      </c>
      <c r="AG1613" t="str">
        <f>""</f>
        <v/>
      </c>
      <c r="AH1613" t="str">
        <f>""</f>
        <v/>
      </c>
      <c r="AI1613" t="str">
        <f>""</f>
        <v/>
      </c>
      <c r="AJ1613" t="str">
        <f>""</f>
        <v/>
      </c>
      <c r="AK1613" t="str">
        <f>""</f>
        <v/>
      </c>
      <c r="AL1613" t="str">
        <f>""</f>
        <v/>
      </c>
      <c r="AM1613" t="str">
        <f>""</f>
        <v/>
      </c>
      <c r="AN1613" t="str">
        <f>""</f>
        <v/>
      </c>
      <c r="AO1613" t="str">
        <f>""</f>
        <v/>
      </c>
      <c r="AP1613" t="str">
        <f>""</f>
        <v/>
      </c>
      <c r="AQ1613" t="str">
        <f>""</f>
        <v/>
      </c>
      <c r="AR1613" t="str">
        <f>""</f>
        <v/>
      </c>
      <c r="AS1613" t="str">
        <f>""</f>
        <v/>
      </c>
      <c r="AT1613" t="str">
        <f>""</f>
        <v/>
      </c>
      <c r="AU1613" t="str">
        <f>""</f>
        <v/>
      </c>
      <c r="AV1613" t="str">
        <f>""</f>
        <v/>
      </c>
      <c r="AW1613" t="str">
        <f>""</f>
        <v/>
      </c>
      <c r="AX1613" t="str">
        <f>""</f>
        <v/>
      </c>
      <c r="AY1613" t="str">
        <f>""</f>
        <v/>
      </c>
      <c r="AZ1613" t="str">
        <f>""</f>
        <v/>
      </c>
      <c r="BA1613" t="str">
        <f>""</f>
        <v/>
      </c>
      <c r="BB1613" t="str">
        <f>"06/07/2023 12:07:48"</f>
        <v>06/07/2023 12:07:48</v>
      </c>
      <c r="BC1613" t="str">
        <f>""</f>
        <v/>
      </c>
      <c r="BD1613" t="str">
        <f>""</f>
        <v/>
      </c>
      <c r="BE1613" t="str">
        <f>""</f>
        <v/>
      </c>
      <c r="BF1613" t="str">
        <f t="shared" si="828"/>
        <v>A</v>
      </c>
      <c r="BG1613" t="str">
        <f>""</f>
        <v/>
      </c>
      <c r="BH1613" t="str">
        <f>""</f>
        <v/>
      </c>
      <c r="BI1613" t="str">
        <f t="shared" si="836"/>
        <v>EVENTUAL</v>
      </c>
      <c r="BJ1613" t="str">
        <f t="shared" si="829"/>
        <v>1</v>
      </c>
      <c r="BK1613" t="str">
        <f t="shared" si="830"/>
        <v>Farmacia</v>
      </c>
      <c r="BL1613" t="str">
        <f>""</f>
        <v/>
      </c>
      <c r="BM1613" t="str">
        <f>""</f>
        <v/>
      </c>
      <c r="BN1613" t="str">
        <f>""</f>
        <v/>
      </c>
      <c r="BO1613" t="str">
        <f>""</f>
        <v/>
      </c>
      <c r="BP1613" t="str">
        <f>""</f>
        <v/>
      </c>
      <c r="BQ1613" t="str">
        <f>""</f>
        <v/>
      </c>
      <c r="BR1613" t="str">
        <f>"06/07/2023"</f>
        <v>06/07/2023</v>
      </c>
      <c r="BS1613" t="str">
        <f>""</f>
        <v/>
      </c>
      <c r="BT1613" t="str">
        <f>""</f>
        <v/>
      </c>
      <c r="BU1613" t="str">
        <f>""</f>
        <v/>
      </c>
      <c r="BV1613" t="str">
        <f>""</f>
        <v/>
      </c>
      <c r="BW1613" t="str">
        <f>"Não visitado"</f>
        <v>Não visitado</v>
      </c>
    </row>
    <row r="1614" spans="1:75" x14ac:dyDescent="0.35">
      <c r="A1614">
        <v>158715</v>
      </c>
      <c r="B1614" t="str">
        <f t="shared" si="825"/>
        <v>A</v>
      </c>
      <c r="C1614" t="str">
        <f t="shared" si="826"/>
        <v>80</v>
      </c>
      <c r="D1614" t="str">
        <f t="shared" si="809"/>
        <v>11121004</v>
      </c>
      <c r="E1614" t="str">
        <f t="shared" si="810"/>
        <v>121004</v>
      </c>
      <c r="F1614" t="str">
        <f t="shared" si="811"/>
        <v>FABIANA GODOY</v>
      </c>
      <c r="G1614" t="str">
        <f>"50216578000158"</f>
        <v>50216578000158</v>
      </c>
      <c r="H1614" t="str">
        <f>""</f>
        <v/>
      </c>
      <c r="I1614" t="str">
        <f t="shared" si="827"/>
        <v>CONTA OPTICA</v>
      </c>
      <c r="J1614" t="str">
        <f>"OTICA VISARE LTDA"</f>
        <v>OTICA VISARE LTDA</v>
      </c>
      <c r="K1614" t="str">
        <f>"OTICA VISARE (4738)"</f>
        <v>OTICA VISARE (4738)</v>
      </c>
      <c r="L1614" t="str">
        <f>""</f>
        <v/>
      </c>
      <c r="M1614" t="str">
        <f>""</f>
        <v/>
      </c>
      <c r="N1614" t="str">
        <f>"VISAREOTICA@GMAIL.COM"</f>
        <v>VISAREOTICA@GMAIL.COM</v>
      </c>
      <c r="O1614" t="str">
        <f>""</f>
        <v/>
      </c>
      <c r="P1614" t="str">
        <f>"DEPUTADO ANTONIO HEIL"</f>
        <v>DEPUTADO ANTONIO HEIL</v>
      </c>
      <c r="Q1614" t="str">
        <f>"3730"</f>
        <v>3730</v>
      </c>
      <c r="R1614" t="str">
        <f>"SALA 01 E 02"</f>
        <v>SALA 01 E 02</v>
      </c>
      <c r="S1614" t="str">
        <f>""</f>
        <v/>
      </c>
      <c r="T1614" t="str">
        <f>"88352501"</f>
        <v>88352501</v>
      </c>
      <c r="U1614" t="str">
        <f>"NOVA BRASILIA - URBANO"</f>
        <v>NOVA BRASILIA - URBANO</v>
      </c>
      <c r="V1614" t="str">
        <f>"BRUSQUE"</f>
        <v>BRUSQUE</v>
      </c>
      <c r="W1614" t="str">
        <f t="shared" si="807"/>
        <v>SC</v>
      </c>
      <c r="X1614" t="str">
        <f t="shared" si="837"/>
        <v>47</v>
      </c>
      <c r="Y1614" t="str">
        <f>"32556000"</f>
        <v>32556000</v>
      </c>
      <c r="Z1614" t="str">
        <f>""</f>
        <v/>
      </c>
      <c r="AA1614" t="str">
        <f>""</f>
        <v/>
      </c>
      <c r="AB1614" t="str">
        <f>""</f>
        <v/>
      </c>
      <c r="AC1614" t="str">
        <f>""</f>
        <v/>
      </c>
      <c r="AD1614" t="str">
        <f>""</f>
        <v/>
      </c>
      <c r="AE1614" t="str">
        <f>""</f>
        <v/>
      </c>
      <c r="AF1614" t="str">
        <f>""</f>
        <v/>
      </c>
      <c r="AG1614" t="str">
        <f>""</f>
        <v/>
      </c>
      <c r="AH1614" t="str">
        <f>""</f>
        <v/>
      </c>
      <c r="AI1614" t="str">
        <f>""</f>
        <v/>
      </c>
      <c r="AJ1614" t="str">
        <f>""</f>
        <v/>
      </c>
      <c r="AK1614" t="str">
        <f>""</f>
        <v/>
      </c>
      <c r="AL1614" t="str">
        <f>""</f>
        <v/>
      </c>
      <c r="AM1614" t="str">
        <f>""</f>
        <v/>
      </c>
      <c r="AN1614" t="str">
        <f>""</f>
        <v/>
      </c>
      <c r="AO1614" t="str">
        <f>""</f>
        <v/>
      </c>
      <c r="AP1614" t="str">
        <f>""</f>
        <v/>
      </c>
      <c r="AQ1614" t="str">
        <f>""</f>
        <v/>
      </c>
      <c r="AR1614" t="str">
        <f>""</f>
        <v/>
      </c>
      <c r="AS1614" t="str">
        <f>""</f>
        <v/>
      </c>
      <c r="AT1614" t="str">
        <f>""</f>
        <v/>
      </c>
      <c r="AU1614" t="str">
        <f>""</f>
        <v/>
      </c>
      <c r="AV1614" t="str">
        <f>""</f>
        <v/>
      </c>
      <c r="AW1614" t="str">
        <f>""</f>
        <v/>
      </c>
      <c r="AX1614" t="str">
        <f>""</f>
        <v/>
      </c>
      <c r="AY1614" t="str">
        <f>""</f>
        <v/>
      </c>
      <c r="AZ1614" t="str">
        <f>""</f>
        <v/>
      </c>
      <c r="BA1614" t="str">
        <f>""</f>
        <v/>
      </c>
      <c r="BB1614" t="str">
        <f>"17/08/2023 16:48:06"</f>
        <v>17/08/2023 16:48:06</v>
      </c>
      <c r="BC1614" t="str">
        <f>""</f>
        <v/>
      </c>
      <c r="BD1614" t="str">
        <f>""</f>
        <v/>
      </c>
      <c r="BE1614" t="str">
        <f>""</f>
        <v/>
      </c>
      <c r="BF1614" t="str">
        <f t="shared" si="828"/>
        <v>A</v>
      </c>
      <c r="BG1614" t="str">
        <f>""</f>
        <v/>
      </c>
      <c r="BH1614" t="str">
        <f>""</f>
        <v/>
      </c>
      <c r="BI1614" t="str">
        <f t="shared" si="836"/>
        <v>EVENTUAL</v>
      </c>
      <c r="BJ1614" t="str">
        <f t="shared" si="829"/>
        <v>1</v>
      </c>
      <c r="BK1614" t="str">
        <f t="shared" si="830"/>
        <v>Farmacia</v>
      </c>
      <c r="BL1614" t="str">
        <f>""</f>
        <v/>
      </c>
      <c r="BM1614" t="str">
        <f>""</f>
        <v/>
      </c>
      <c r="BN1614" t="str">
        <f>""</f>
        <v/>
      </c>
      <c r="BO1614" t="str">
        <f>""</f>
        <v/>
      </c>
      <c r="BP1614" t="str">
        <f>""</f>
        <v/>
      </c>
      <c r="BQ1614" t="str">
        <f>""</f>
        <v/>
      </c>
      <c r="BR1614" t="str">
        <f>"17/08/2023"</f>
        <v>17/08/2023</v>
      </c>
      <c r="BS1614" t="str">
        <f>""</f>
        <v/>
      </c>
      <c r="BT1614" t="str">
        <f>""</f>
        <v/>
      </c>
      <c r="BU1614" t="str">
        <f>""</f>
        <v/>
      </c>
      <c r="BV1614" t="str">
        <f>""</f>
        <v/>
      </c>
      <c r="BW1614" t="str">
        <f>"42"</f>
        <v>42</v>
      </c>
    </row>
    <row r="1615" spans="1:75" x14ac:dyDescent="0.35">
      <c r="A1615">
        <v>137828</v>
      </c>
      <c r="B1615" t="str">
        <f t="shared" si="825"/>
        <v>A</v>
      </c>
      <c r="C1615" t="str">
        <f t="shared" si="826"/>
        <v>80</v>
      </c>
      <c r="D1615" t="str">
        <f t="shared" si="809"/>
        <v>11121004</v>
      </c>
      <c r="E1615" t="str">
        <f t="shared" si="810"/>
        <v>121004</v>
      </c>
      <c r="F1615" t="str">
        <f t="shared" si="811"/>
        <v>FABIANA GODOY</v>
      </c>
      <c r="G1615" t="str">
        <f>"72166663000191"</f>
        <v>72166663000191</v>
      </c>
      <c r="H1615" t="str">
        <f>"0"</f>
        <v>0</v>
      </c>
      <c r="I1615" t="str">
        <f t="shared" si="827"/>
        <v>CONTA OPTICA</v>
      </c>
      <c r="J1615" t="str">
        <f>"OTICA VISORAMA LTDA ME"</f>
        <v>OTICA VISORAMA LTDA ME</v>
      </c>
      <c r="K1615" t="str">
        <f>"OTICA VISORAMA (502)"</f>
        <v>OTICA VISORAMA (502)</v>
      </c>
      <c r="L1615" t="str">
        <f>""</f>
        <v/>
      </c>
      <c r="M1615" t="str">
        <f>""</f>
        <v/>
      </c>
      <c r="N1615" t="str">
        <f>"oticavisoramabnu@hotmail.com"</f>
        <v>oticavisoramabnu@hotmail.com</v>
      </c>
      <c r="O1615" t="str">
        <f>""</f>
        <v/>
      </c>
      <c r="P1615" t="str">
        <f>"RUA JOSE REUTER"</f>
        <v>RUA JOSE REUTER</v>
      </c>
      <c r="Q1615" t="str">
        <f>"220"</f>
        <v>220</v>
      </c>
      <c r="R1615" t="str">
        <f>"SALA 02"</f>
        <v>SALA 02</v>
      </c>
      <c r="S1615" t="str">
        <f>"1273"</f>
        <v>1273</v>
      </c>
      <c r="T1615" t="str">
        <f>"89046000"</f>
        <v>89046000</v>
      </c>
      <c r="U1615" t="str">
        <f>"VELHA"</f>
        <v>VELHA</v>
      </c>
      <c r="V1615" t="str">
        <f>"BLUMENAU"</f>
        <v>BLUMENAU</v>
      </c>
      <c r="W1615" t="str">
        <f t="shared" si="807"/>
        <v>SC</v>
      </c>
      <c r="X1615" t="str">
        <f t="shared" si="837"/>
        <v>47</v>
      </c>
      <c r="Y1615" t="str">
        <f>"33285627"</f>
        <v>33285627</v>
      </c>
      <c r="Z1615" t="str">
        <f>""</f>
        <v/>
      </c>
      <c r="AA1615" t="str">
        <f>""</f>
        <v/>
      </c>
      <c r="AB1615" t="str">
        <f>""</f>
        <v/>
      </c>
      <c r="AC1615" t="str">
        <f>""</f>
        <v/>
      </c>
      <c r="AD1615" t="str">
        <f>""</f>
        <v/>
      </c>
      <c r="AE1615" t="str">
        <f>""</f>
        <v/>
      </c>
      <c r="AF1615" t="str">
        <f>""</f>
        <v/>
      </c>
      <c r="AG1615" t="str">
        <f>"S"</f>
        <v>S</v>
      </c>
      <c r="AH1615" t="str">
        <f>""</f>
        <v/>
      </c>
      <c r="AI1615" t="str">
        <f>""</f>
        <v/>
      </c>
      <c r="AJ1615" t="str">
        <f>""</f>
        <v/>
      </c>
      <c r="AK1615" t="str">
        <f>""</f>
        <v/>
      </c>
      <c r="AL1615" t="str">
        <f>""</f>
        <v/>
      </c>
      <c r="AM1615" t="str">
        <f>""</f>
        <v/>
      </c>
      <c r="AN1615" t="str">
        <f>""</f>
        <v/>
      </c>
      <c r="AO1615" t="str">
        <f>""</f>
        <v/>
      </c>
      <c r="AP1615" t="str">
        <f>""</f>
        <v/>
      </c>
      <c r="AQ1615" t="str">
        <f>"N"</f>
        <v>N</v>
      </c>
      <c r="AR1615" t="str">
        <f>"N"</f>
        <v>N</v>
      </c>
      <c r="AS1615" t="str">
        <f>"N"</f>
        <v>N</v>
      </c>
      <c r="AT1615" t="str">
        <f>"N"</f>
        <v>N</v>
      </c>
      <c r="AU1615" t="str">
        <f>"N"</f>
        <v>N</v>
      </c>
      <c r="AV1615" t="str">
        <f>""</f>
        <v/>
      </c>
      <c r="AW1615" t="str">
        <f>""</f>
        <v/>
      </c>
      <c r="AX1615" t="str">
        <f>""</f>
        <v/>
      </c>
      <c r="AY1615" t="str">
        <f>""</f>
        <v/>
      </c>
      <c r="AZ1615" t="str">
        <f>""</f>
        <v/>
      </c>
      <c r="BA1615" t="str">
        <f>""</f>
        <v/>
      </c>
      <c r="BB1615" t="str">
        <f>"01/07/2021 13:53:04"</f>
        <v>01/07/2021 13:53:04</v>
      </c>
      <c r="BC1615" t="str">
        <f>"19/07/2022 17:18:46"</f>
        <v>19/07/2022 17:18:46</v>
      </c>
      <c r="BD1615" t="str">
        <f>""</f>
        <v/>
      </c>
      <c r="BE1615" t="str">
        <f>""</f>
        <v/>
      </c>
      <c r="BF1615" t="str">
        <f t="shared" si="828"/>
        <v>A</v>
      </c>
      <c r="BG1615" t="str">
        <f>""</f>
        <v/>
      </c>
      <c r="BH1615" t="str">
        <f>"0,00"</f>
        <v>0,00</v>
      </c>
      <c r="BI1615" t="str">
        <f t="shared" si="836"/>
        <v>EVENTUAL</v>
      </c>
      <c r="BJ1615" t="str">
        <f t="shared" si="829"/>
        <v>1</v>
      </c>
      <c r="BK1615" t="str">
        <f t="shared" si="830"/>
        <v>Farmacia</v>
      </c>
      <c r="BL1615" t="str">
        <f>""</f>
        <v/>
      </c>
      <c r="BM1615" t="str">
        <f>"NÃO É VARILUX ESPECIALISTA"</f>
        <v>NÃO É VARILUX ESPECIALISTA</v>
      </c>
      <c r="BN1615" t="str">
        <f>"NA"</f>
        <v>NA</v>
      </c>
      <c r="BO1615" t="str">
        <f>"FOCO VARILUX"</f>
        <v>FOCO VARILUX</v>
      </c>
      <c r="BP1615" t="str">
        <f>""</f>
        <v/>
      </c>
      <c r="BQ1615" t="str">
        <f>""</f>
        <v/>
      </c>
      <c r="BR1615" t="str">
        <f>"01/07/2021"</f>
        <v>01/07/2021</v>
      </c>
      <c r="BS1615" t="str">
        <f>"19/07/2022"</f>
        <v>19/07/2022</v>
      </c>
      <c r="BT1615" t="str">
        <f>""</f>
        <v/>
      </c>
      <c r="BU1615" t="str">
        <f>""</f>
        <v/>
      </c>
      <c r="BV1615" t="str">
        <f>""</f>
        <v/>
      </c>
      <c r="BW1615" t="str">
        <f>"1"</f>
        <v>1</v>
      </c>
    </row>
    <row r="1616" spans="1:75" x14ac:dyDescent="0.35">
      <c r="A1616">
        <v>1242</v>
      </c>
      <c r="B1616" t="str">
        <f t="shared" si="825"/>
        <v>A</v>
      </c>
      <c r="C1616" t="str">
        <f t="shared" si="826"/>
        <v>80</v>
      </c>
      <c r="D1616" t="str">
        <f t="shared" si="809"/>
        <v>11121004</v>
      </c>
      <c r="E1616" t="str">
        <f t="shared" si="810"/>
        <v>121004</v>
      </c>
      <c r="F1616" t="str">
        <f t="shared" si="811"/>
        <v>FABIANA GODOY</v>
      </c>
      <c r="G1616" t="str">
        <f>"02106829000107"</f>
        <v>02106829000107</v>
      </c>
      <c r="H1616" t="str">
        <f>""</f>
        <v/>
      </c>
      <c r="I1616" t="str">
        <f t="shared" si="827"/>
        <v>CONTA OPTICA</v>
      </c>
      <c r="J1616" t="str">
        <f>"OTICA VITORIA REGIA LTDA ME"</f>
        <v>OTICA VITORIA REGIA LTDA ME</v>
      </c>
      <c r="K1616" t="str">
        <f>"OTICA MANI (1051)"</f>
        <v>OTICA MANI (1051)</v>
      </c>
      <c r="L1616" t="str">
        <f>""</f>
        <v/>
      </c>
      <c r="M1616" t="str">
        <f>""</f>
        <v/>
      </c>
      <c r="N1616" t="str">
        <f>"indaialnfe@opticamani.com.br"</f>
        <v>indaialnfe@opticamani.com.br</v>
      </c>
      <c r="O1616" t="str">
        <f>""</f>
        <v/>
      </c>
      <c r="P1616" t="str">
        <f>"RUA ENGENHEIRO EMILIO ODEBRECHT"</f>
        <v>RUA ENGENHEIRO EMILIO ODEBRECHT</v>
      </c>
      <c r="Q1616" t="str">
        <f>"07"</f>
        <v>07</v>
      </c>
      <c r="R1616" t="str">
        <f>""</f>
        <v/>
      </c>
      <c r="S1616" t="str">
        <f>"1275"</f>
        <v>1275</v>
      </c>
      <c r="T1616" t="str">
        <f>"89130000"</f>
        <v>89130000</v>
      </c>
      <c r="U1616" t="str">
        <f>"NACOES"</f>
        <v>NACOES</v>
      </c>
      <c r="V1616" t="str">
        <f>"INDAIAL"</f>
        <v>INDAIAL</v>
      </c>
      <c r="W1616" t="str">
        <f t="shared" si="807"/>
        <v>SC</v>
      </c>
      <c r="X1616" t="str">
        <f t="shared" si="837"/>
        <v>47</v>
      </c>
      <c r="Y1616" t="str">
        <f>"33335800"</f>
        <v>33335800</v>
      </c>
      <c r="Z1616" t="str">
        <f>""</f>
        <v/>
      </c>
      <c r="AA1616" t="str">
        <f>""</f>
        <v/>
      </c>
      <c r="AB1616" t="str">
        <f>""</f>
        <v/>
      </c>
      <c r="AC1616" t="str">
        <f>""</f>
        <v/>
      </c>
      <c r="AD1616" t="str">
        <f>""</f>
        <v/>
      </c>
      <c r="AE1616" t="str">
        <f>""</f>
        <v/>
      </c>
      <c r="AF1616" t="str">
        <f>""</f>
        <v/>
      </c>
      <c r="AG1616" t="str">
        <f>""</f>
        <v/>
      </c>
      <c r="AH1616" t="str">
        <f>""</f>
        <v/>
      </c>
      <c r="AI1616" t="str">
        <f>""</f>
        <v/>
      </c>
      <c r="AJ1616" t="str">
        <f t="shared" ref="AJ1616:AL1617" si="838">"0"</f>
        <v>0</v>
      </c>
      <c r="AK1616" t="str">
        <f t="shared" si="838"/>
        <v>0</v>
      </c>
      <c r="AL1616" t="str">
        <f t="shared" si="838"/>
        <v>0</v>
      </c>
      <c r="AM1616" t="str">
        <f>""</f>
        <v/>
      </c>
      <c r="AN1616" t="str">
        <f>""</f>
        <v/>
      </c>
      <c r="AO1616" t="str">
        <f>""</f>
        <v/>
      </c>
      <c r="AP1616" t="str">
        <f>""</f>
        <v/>
      </c>
      <c r="AQ1616" t="str">
        <f>""</f>
        <v/>
      </c>
      <c r="AR1616" t="str">
        <f>""</f>
        <v/>
      </c>
      <c r="AS1616" t="str">
        <f>""</f>
        <v/>
      </c>
      <c r="AT1616" t="str">
        <f>""</f>
        <v/>
      </c>
      <c r="AU1616" t="str">
        <f>""</f>
        <v/>
      </c>
      <c r="AV1616" t="str">
        <f>""</f>
        <v/>
      </c>
      <c r="AW1616" t="str">
        <f>""</f>
        <v/>
      </c>
      <c r="AX1616" t="str">
        <f>""</f>
        <v/>
      </c>
      <c r="AY1616" t="str">
        <f>""</f>
        <v/>
      </c>
      <c r="AZ1616" t="str">
        <f>""</f>
        <v/>
      </c>
      <c r="BA1616" t="str">
        <f>""</f>
        <v/>
      </c>
      <c r="BB1616" t="str">
        <f>"27/07/2018 09:26:11"</f>
        <v>27/07/2018 09:26:11</v>
      </c>
      <c r="BC1616" t="str">
        <f>""</f>
        <v/>
      </c>
      <c r="BD1616" t="str">
        <f>""</f>
        <v/>
      </c>
      <c r="BE1616" t="str">
        <f>"1242"</f>
        <v>1242</v>
      </c>
      <c r="BF1616" t="str">
        <f t="shared" si="828"/>
        <v>A</v>
      </c>
      <c r="BG1616" t="str">
        <f>"0,00"</f>
        <v>0,00</v>
      </c>
      <c r="BH1616" t="str">
        <f>"0,00"</f>
        <v>0,00</v>
      </c>
      <c r="BI1616" t="str">
        <f t="shared" si="836"/>
        <v>EVENTUAL</v>
      </c>
      <c r="BJ1616" t="str">
        <f t="shared" si="829"/>
        <v>1</v>
      </c>
      <c r="BK1616" t="str">
        <f t="shared" si="830"/>
        <v>Farmacia</v>
      </c>
      <c r="BL1616" t="str">
        <f>""</f>
        <v/>
      </c>
      <c r="BM1616" t="str">
        <f>"NÃO É VARILUX ESPECIALISTA"</f>
        <v>NÃO É VARILUX ESPECIALISTA</v>
      </c>
      <c r="BN1616" t="str">
        <f>"NA"</f>
        <v>NA</v>
      </c>
      <c r="BO1616" t="str">
        <f>"FOCO VARILUX DIGITAL"</f>
        <v>FOCO VARILUX DIGITAL</v>
      </c>
      <c r="BP1616" t="str">
        <f>""</f>
        <v/>
      </c>
      <c r="BQ1616" t="str">
        <f>""</f>
        <v/>
      </c>
      <c r="BR1616" t="str">
        <f>"27/07/2018"</f>
        <v>27/07/2018</v>
      </c>
      <c r="BS1616" t="str">
        <f>""</f>
        <v/>
      </c>
      <c r="BT1616" t="str">
        <f>""</f>
        <v/>
      </c>
      <c r="BU1616" t="str">
        <f>""</f>
        <v/>
      </c>
      <c r="BV1616" t="str">
        <f>"5"</f>
        <v>5</v>
      </c>
      <c r="BW1616" t="str">
        <f>"28"</f>
        <v>28</v>
      </c>
    </row>
    <row r="1617" spans="1:75" x14ac:dyDescent="0.35">
      <c r="A1617">
        <v>1257</v>
      </c>
      <c r="B1617" t="str">
        <f t="shared" si="825"/>
        <v>A</v>
      </c>
      <c r="C1617" t="str">
        <f t="shared" si="826"/>
        <v>80</v>
      </c>
      <c r="D1617" t="str">
        <f t="shared" si="809"/>
        <v>11121004</v>
      </c>
      <c r="E1617" t="str">
        <f t="shared" si="810"/>
        <v>121004</v>
      </c>
      <c r="F1617" t="str">
        <f t="shared" si="811"/>
        <v>FABIANA GODOY</v>
      </c>
      <c r="G1617" t="str">
        <f>"03282127000139"</f>
        <v>03282127000139</v>
      </c>
      <c r="H1617" t="str">
        <f>""</f>
        <v/>
      </c>
      <c r="I1617" t="str">
        <f t="shared" si="827"/>
        <v>CONTA OPTICA</v>
      </c>
      <c r="J1617" t="str">
        <f>"OTICA ZUNINO LTDA"</f>
        <v>OTICA ZUNINO LTDA</v>
      </c>
      <c r="K1617" t="str">
        <f>"OTICA VENEZA (207)"</f>
        <v>OTICA VENEZA (207)</v>
      </c>
      <c r="L1617" t="str">
        <f>""</f>
        <v/>
      </c>
      <c r="M1617" t="str">
        <f>""</f>
        <v/>
      </c>
      <c r="N1617" t="str">
        <f>"otica.veneza@brturbo.com.br"</f>
        <v>otica.veneza@brturbo.com.br</v>
      </c>
      <c r="O1617" t="str">
        <f>""</f>
        <v/>
      </c>
      <c r="P1617" t="str">
        <f>"RUA FRANCISCO VAHLDIECK"</f>
        <v>RUA FRANCISCO VAHLDIECK</v>
      </c>
      <c r="Q1617" t="str">
        <f>"1004"</f>
        <v>1004</v>
      </c>
      <c r="R1617" t="str">
        <f>""</f>
        <v/>
      </c>
      <c r="S1617" t="str">
        <f>"1273"</f>
        <v>1273</v>
      </c>
      <c r="T1617" t="str">
        <f>"89056000"</f>
        <v>89056000</v>
      </c>
      <c r="U1617" t="str">
        <f>"FORTALEZA"</f>
        <v>FORTALEZA</v>
      </c>
      <c r="V1617" t="str">
        <f>"BLUMENAU"</f>
        <v>BLUMENAU</v>
      </c>
      <c r="W1617" t="str">
        <f t="shared" si="807"/>
        <v>SC</v>
      </c>
      <c r="X1617" t="str">
        <f t="shared" si="837"/>
        <v>47</v>
      </c>
      <c r="Y1617" t="str">
        <f>"33392871"</f>
        <v>33392871</v>
      </c>
      <c r="Z1617" t="str">
        <f>""</f>
        <v/>
      </c>
      <c r="AA1617" t="str">
        <f>""</f>
        <v/>
      </c>
      <c r="AB1617" t="str">
        <f>""</f>
        <v/>
      </c>
      <c r="AC1617" t="str">
        <f>""</f>
        <v/>
      </c>
      <c r="AD1617" t="str">
        <f>""</f>
        <v/>
      </c>
      <c r="AE1617" t="str">
        <f>""</f>
        <v/>
      </c>
      <c r="AF1617" t="str">
        <f>""</f>
        <v/>
      </c>
      <c r="AG1617" t="str">
        <f>""</f>
        <v/>
      </c>
      <c r="AH1617" t="str">
        <f>""</f>
        <v/>
      </c>
      <c r="AI1617" t="str">
        <f>""</f>
        <v/>
      </c>
      <c r="AJ1617" t="str">
        <f t="shared" si="838"/>
        <v>0</v>
      </c>
      <c r="AK1617" t="str">
        <f t="shared" si="838"/>
        <v>0</v>
      </c>
      <c r="AL1617" t="str">
        <f t="shared" si="838"/>
        <v>0</v>
      </c>
      <c r="AM1617" t="str">
        <f>""</f>
        <v/>
      </c>
      <c r="AN1617" t="str">
        <f>""</f>
        <v/>
      </c>
      <c r="AO1617" t="str">
        <f>""</f>
        <v/>
      </c>
      <c r="AP1617" t="str">
        <f>""</f>
        <v/>
      </c>
      <c r="AQ1617" t="str">
        <f>""</f>
        <v/>
      </c>
      <c r="AR1617" t="str">
        <f>""</f>
        <v/>
      </c>
      <c r="AS1617" t="str">
        <f>""</f>
        <v/>
      </c>
      <c r="AT1617" t="str">
        <f>""</f>
        <v/>
      </c>
      <c r="AU1617" t="str">
        <f>""</f>
        <v/>
      </c>
      <c r="AV1617" t="str">
        <f>""</f>
        <v/>
      </c>
      <c r="AW1617" t="str">
        <f>""</f>
        <v/>
      </c>
      <c r="AX1617" t="str">
        <f>""</f>
        <v/>
      </c>
      <c r="AY1617" t="str">
        <f>""</f>
        <v/>
      </c>
      <c r="AZ1617" t="str">
        <f>""</f>
        <v/>
      </c>
      <c r="BA1617" t="str">
        <f>""</f>
        <v/>
      </c>
      <c r="BB1617" t="str">
        <f>"27/07/2018 09:26:12"</f>
        <v>27/07/2018 09:26:12</v>
      </c>
      <c r="BC1617" t="str">
        <f>""</f>
        <v/>
      </c>
      <c r="BD1617" t="str">
        <f>""</f>
        <v/>
      </c>
      <c r="BE1617" t="str">
        <f>"1257"</f>
        <v>1257</v>
      </c>
      <c r="BF1617" t="str">
        <f t="shared" si="828"/>
        <v>A</v>
      </c>
      <c r="BG1617" t="str">
        <f>"0,00"</f>
        <v>0,00</v>
      </c>
      <c r="BH1617" t="str">
        <f>"0,00"</f>
        <v>0,00</v>
      </c>
      <c r="BI1617" t="str">
        <f t="shared" si="836"/>
        <v>EVENTUAL</v>
      </c>
      <c r="BJ1617" t="str">
        <f t="shared" si="829"/>
        <v>1</v>
      </c>
      <c r="BK1617" t="str">
        <f t="shared" si="830"/>
        <v>Farmacia</v>
      </c>
      <c r="BL1617" t="str">
        <f>""</f>
        <v/>
      </c>
      <c r="BM1617" t="str">
        <f>"NÃO É VARILUX ESPECIALISTA"</f>
        <v>NÃO É VARILUX ESPECIALISTA</v>
      </c>
      <c r="BN1617" t="str">
        <f>"NA"</f>
        <v>NA</v>
      </c>
      <c r="BO1617" t="str">
        <f>"FOCO VARILUX"</f>
        <v>FOCO VARILUX</v>
      </c>
      <c r="BP1617" t="str">
        <f>""</f>
        <v/>
      </c>
      <c r="BQ1617" t="str">
        <f>""</f>
        <v/>
      </c>
      <c r="BR1617" t="str">
        <f>"27/07/2018"</f>
        <v>27/07/2018</v>
      </c>
      <c r="BS1617" t="str">
        <f>""</f>
        <v/>
      </c>
      <c r="BT1617" t="str">
        <f>""</f>
        <v/>
      </c>
      <c r="BU1617" t="str">
        <f>""</f>
        <v/>
      </c>
      <c r="BV1617" t="str">
        <f>"5"</f>
        <v>5</v>
      </c>
      <c r="BW1617" t="str">
        <f>"0"</f>
        <v>0</v>
      </c>
    </row>
    <row r="1618" spans="1:75" x14ac:dyDescent="0.35">
      <c r="A1618">
        <v>157112</v>
      </c>
      <c r="B1618" t="str">
        <f t="shared" si="825"/>
        <v>A</v>
      </c>
      <c r="C1618" t="str">
        <f t="shared" si="826"/>
        <v>80</v>
      </c>
      <c r="D1618" t="str">
        <f t="shared" si="809"/>
        <v>11121004</v>
      </c>
      <c r="E1618" t="str">
        <f t="shared" si="810"/>
        <v>121004</v>
      </c>
      <c r="F1618" t="str">
        <f t="shared" si="811"/>
        <v>FABIANA GODOY</v>
      </c>
      <c r="G1618" t="str">
        <f>"44480688000120"</f>
        <v>44480688000120</v>
      </c>
      <c r="H1618" t="str">
        <f t="shared" ref="H1618:H1641" si="839">"0"</f>
        <v>0</v>
      </c>
      <c r="I1618" t="str">
        <f t="shared" si="827"/>
        <v>CONTA OPTICA</v>
      </c>
      <c r="J1618" t="str">
        <f>"OTICA ZURICH LTDA"</f>
        <v>OTICA ZURICH LTDA</v>
      </c>
      <c r="K1618" t="str">
        <f>"OTICA ZURICH (4447)"</f>
        <v>OTICA ZURICH (4447)</v>
      </c>
      <c r="L1618" t="str">
        <f>""</f>
        <v/>
      </c>
      <c r="M1618" t="str">
        <f>""</f>
        <v/>
      </c>
      <c r="N1618" t="str">
        <f>"CAIRO_SANTOSS@HOTMAIL.COM"</f>
        <v>CAIRO_SANTOSS@HOTMAIL.COM</v>
      </c>
      <c r="O1618" t="str">
        <f>""</f>
        <v/>
      </c>
      <c r="P1618" t="str">
        <f>"3A AVENIDA"</f>
        <v>3A AVENIDA</v>
      </c>
      <c r="Q1618" t="str">
        <f>"1111"</f>
        <v>1111</v>
      </c>
      <c r="R1618" t="str">
        <f>"SALA 03"</f>
        <v>SALA 03</v>
      </c>
      <c r="S1618" t="str">
        <f>""</f>
        <v/>
      </c>
      <c r="T1618" t="str">
        <f>"88330095"</f>
        <v>88330095</v>
      </c>
      <c r="U1618" t="str">
        <f>"CENTRO"</f>
        <v>CENTRO</v>
      </c>
      <c r="V1618" t="str">
        <f>"BALNEARIO CAMBORIU"</f>
        <v>BALNEARIO CAMBORIU</v>
      </c>
      <c r="W1618" t="str">
        <f t="shared" si="807"/>
        <v>SC</v>
      </c>
      <c r="X1618" t="str">
        <f t="shared" si="837"/>
        <v>47</v>
      </c>
      <c r="Y1618" t="str">
        <f>"999778993"</f>
        <v>999778993</v>
      </c>
      <c r="Z1618" t="str">
        <f>""</f>
        <v/>
      </c>
      <c r="AA1618" t="str">
        <f>""</f>
        <v/>
      </c>
      <c r="AB1618" t="str">
        <f>""</f>
        <v/>
      </c>
      <c r="AC1618" t="str">
        <f>""</f>
        <v/>
      </c>
      <c r="AD1618" t="str">
        <f>""</f>
        <v/>
      </c>
      <c r="AE1618" t="str">
        <f>""</f>
        <v/>
      </c>
      <c r="AF1618" t="str">
        <f>""</f>
        <v/>
      </c>
      <c r="AG1618" t="str">
        <f>""</f>
        <v/>
      </c>
      <c r="AH1618" t="str">
        <f>""</f>
        <v/>
      </c>
      <c r="AI1618" t="str">
        <f>""</f>
        <v/>
      </c>
      <c r="AJ1618" t="str">
        <f>""</f>
        <v/>
      </c>
      <c r="AK1618" t="str">
        <f>""</f>
        <v/>
      </c>
      <c r="AL1618" t="str">
        <f>""</f>
        <v/>
      </c>
      <c r="AM1618" t="str">
        <f>""</f>
        <v/>
      </c>
      <c r="AN1618" t="str">
        <f>""</f>
        <v/>
      </c>
      <c r="AO1618" t="str">
        <f>""</f>
        <v/>
      </c>
      <c r="AP1618" t="str">
        <f>""</f>
        <v/>
      </c>
      <c r="AQ1618" t="str">
        <f>""</f>
        <v/>
      </c>
      <c r="AR1618" t="str">
        <f>""</f>
        <v/>
      </c>
      <c r="AS1618" t="str">
        <f>""</f>
        <v/>
      </c>
      <c r="AT1618" t="str">
        <f>""</f>
        <v/>
      </c>
      <c r="AU1618" t="str">
        <f>""</f>
        <v/>
      </c>
      <c r="AV1618" t="str">
        <f>""</f>
        <v/>
      </c>
      <c r="AW1618" t="str">
        <f>""</f>
        <v/>
      </c>
      <c r="AX1618" t="str">
        <f>""</f>
        <v/>
      </c>
      <c r="AY1618" t="str">
        <f>""</f>
        <v/>
      </c>
      <c r="AZ1618" t="str">
        <f>""</f>
        <v/>
      </c>
      <c r="BA1618" t="str">
        <f>""</f>
        <v/>
      </c>
      <c r="BB1618" t="str">
        <f>"06/07/2023 12:07:48"</f>
        <v>06/07/2023 12:07:48</v>
      </c>
      <c r="BC1618" t="str">
        <f>""</f>
        <v/>
      </c>
      <c r="BD1618" t="str">
        <f>""</f>
        <v/>
      </c>
      <c r="BE1618" t="str">
        <f>""</f>
        <v/>
      </c>
      <c r="BF1618" t="str">
        <f t="shared" si="828"/>
        <v>A</v>
      </c>
      <c r="BG1618" t="str">
        <f>""</f>
        <v/>
      </c>
      <c r="BH1618" t="str">
        <f>""</f>
        <v/>
      </c>
      <c r="BI1618" t="str">
        <f t="shared" si="836"/>
        <v>EVENTUAL</v>
      </c>
      <c r="BJ1618" t="str">
        <f t="shared" si="829"/>
        <v>1</v>
      </c>
      <c r="BK1618" t="str">
        <f t="shared" si="830"/>
        <v>Farmacia</v>
      </c>
      <c r="BL1618" t="str">
        <f>""</f>
        <v/>
      </c>
      <c r="BM1618" t="str">
        <f>""</f>
        <v/>
      </c>
      <c r="BN1618" t="str">
        <f>""</f>
        <v/>
      </c>
      <c r="BO1618" t="str">
        <f>""</f>
        <v/>
      </c>
      <c r="BP1618" t="str">
        <f>""</f>
        <v/>
      </c>
      <c r="BQ1618" t="str">
        <f>""</f>
        <v/>
      </c>
      <c r="BR1618" t="str">
        <f>"06/07/2023"</f>
        <v>06/07/2023</v>
      </c>
      <c r="BS1618" t="str">
        <f>""</f>
        <v/>
      </c>
      <c r="BT1618" t="str">
        <f>""</f>
        <v/>
      </c>
      <c r="BU1618" t="str">
        <f>""</f>
        <v/>
      </c>
      <c r="BV1618" t="str">
        <f>""</f>
        <v/>
      </c>
      <c r="BW1618" t="str">
        <f>"3"</f>
        <v>3</v>
      </c>
    </row>
    <row r="1619" spans="1:75" x14ac:dyDescent="0.35">
      <c r="A1619">
        <v>157099</v>
      </c>
      <c r="B1619" t="str">
        <f t="shared" si="825"/>
        <v>A</v>
      </c>
      <c r="C1619" t="str">
        <f t="shared" si="826"/>
        <v>80</v>
      </c>
      <c r="D1619" t="str">
        <f t="shared" si="809"/>
        <v>11121004</v>
      </c>
      <c r="E1619" t="str">
        <f t="shared" si="810"/>
        <v>121004</v>
      </c>
      <c r="F1619" t="str">
        <f t="shared" si="811"/>
        <v>FABIANA GODOY</v>
      </c>
      <c r="G1619" t="str">
        <f>"45336638000136"</f>
        <v>45336638000136</v>
      </c>
      <c r="H1619" t="str">
        <f t="shared" si="839"/>
        <v>0</v>
      </c>
      <c r="I1619" t="str">
        <f t="shared" si="827"/>
        <v>CONTA OPTICA</v>
      </c>
      <c r="J1619" t="str">
        <f>"OTICAS DI VALENTI LTDA"</f>
        <v>OTICAS DI VALENTI LTDA</v>
      </c>
      <c r="K1619" t="str">
        <f>"OTICAS DI VALENTI (4559)"</f>
        <v>OTICAS DI VALENTI (4559)</v>
      </c>
      <c r="L1619" t="str">
        <f>""</f>
        <v/>
      </c>
      <c r="M1619" t="str">
        <f>""</f>
        <v/>
      </c>
      <c r="N1619" t="str">
        <f>"OTICASDIVALENTICB@GMAIL.COM"</f>
        <v>OTICASDIVALENTICB@GMAIL.COM</v>
      </c>
      <c r="O1619" t="str">
        <f>""</f>
        <v/>
      </c>
      <c r="P1619" t="str">
        <f>"RUA ANTONIO AYRES DOS SANTOS"</f>
        <v>RUA ANTONIO AYRES DOS SANTOS</v>
      </c>
      <c r="Q1619" t="str">
        <f>"558"</f>
        <v>558</v>
      </c>
      <c r="R1619" t="str">
        <f>""</f>
        <v/>
      </c>
      <c r="S1619" t="str">
        <f>""</f>
        <v/>
      </c>
      <c r="T1619" t="str">
        <f>"88309411"</f>
        <v>88309411</v>
      </c>
      <c r="U1619" t="str">
        <f>"SAO VICENTE"</f>
        <v>SAO VICENTE</v>
      </c>
      <c r="V1619" t="str">
        <f>"ITAJAÍ"</f>
        <v>ITAJAÍ</v>
      </c>
      <c r="W1619" t="str">
        <f t="shared" si="807"/>
        <v>SC</v>
      </c>
      <c r="X1619" t="str">
        <f t="shared" si="837"/>
        <v>47</v>
      </c>
      <c r="Y1619" t="str">
        <f>"32691867"</f>
        <v>32691867</v>
      </c>
      <c r="Z1619" t="str">
        <f>""</f>
        <v/>
      </c>
      <c r="AA1619" t="str">
        <f>""</f>
        <v/>
      </c>
      <c r="AB1619" t="str">
        <f>""</f>
        <v/>
      </c>
      <c r="AC1619" t="str">
        <f>""</f>
        <v/>
      </c>
      <c r="AD1619" t="str">
        <f>""</f>
        <v/>
      </c>
      <c r="AE1619" t="str">
        <f>""</f>
        <v/>
      </c>
      <c r="AF1619" t="str">
        <f>""</f>
        <v/>
      </c>
      <c r="AG1619" t="str">
        <f>"S"</f>
        <v>S</v>
      </c>
      <c r="AH1619" t="str">
        <f>""</f>
        <v/>
      </c>
      <c r="AI1619" t="str">
        <f>""</f>
        <v/>
      </c>
      <c r="AJ1619" t="str">
        <f>""</f>
        <v/>
      </c>
      <c r="AK1619" t="str">
        <f>""</f>
        <v/>
      </c>
      <c r="AL1619" t="str">
        <f>""</f>
        <v/>
      </c>
      <c r="AM1619" t="str">
        <f>""</f>
        <v/>
      </c>
      <c r="AN1619" t="str">
        <f>""</f>
        <v/>
      </c>
      <c r="AO1619" t="str">
        <f>""</f>
        <v/>
      </c>
      <c r="AP1619" t="str">
        <f>""</f>
        <v/>
      </c>
      <c r="AQ1619" t="str">
        <f>"N"</f>
        <v>N</v>
      </c>
      <c r="AR1619" t="str">
        <f>"N"</f>
        <v>N</v>
      </c>
      <c r="AS1619" t="str">
        <f>"N"</f>
        <v>N</v>
      </c>
      <c r="AT1619" t="str">
        <f>"N"</f>
        <v>N</v>
      </c>
      <c r="AU1619" t="str">
        <f>"N"</f>
        <v>N</v>
      </c>
      <c r="AV1619" t="str">
        <f>""</f>
        <v/>
      </c>
      <c r="AW1619" t="str">
        <f>""</f>
        <v/>
      </c>
      <c r="AX1619" t="str">
        <f>""</f>
        <v/>
      </c>
      <c r="AY1619" t="str">
        <f>""</f>
        <v/>
      </c>
      <c r="AZ1619" t="str">
        <f>""</f>
        <v/>
      </c>
      <c r="BA1619" t="str">
        <f>""</f>
        <v/>
      </c>
      <c r="BB1619" t="str">
        <f>"06/07/2023 12:07:48"</f>
        <v>06/07/2023 12:07:48</v>
      </c>
      <c r="BC1619" t="str">
        <f>"07/07/2023 16:48:48"</f>
        <v>07/07/2023 16:48:48</v>
      </c>
      <c r="BD1619" t="str">
        <f>""</f>
        <v/>
      </c>
      <c r="BE1619" t="str">
        <f>""</f>
        <v/>
      </c>
      <c r="BF1619" t="str">
        <f t="shared" si="828"/>
        <v>A</v>
      </c>
      <c r="BG1619" t="str">
        <f>""</f>
        <v/>
      </c>
      <c r="BH1619" t="str">
        <f>"0,00"</f>
        <v>0,00</v>
      </c>
      <c r="BI1619" t="str">
        <f t="shared" si="836"/>
        <v>EVENTUAL</v>
      </c>
      <c r="BJ1619" t="str">
        <f t="shared" si="829"/>
        <v>1</v>
      </c>
      <c r="BK1619" t="str">
        <f t="shared" si="830"/>
        <v>Farmacia</v>
      </c>
      <c r="BL1619" t="str">
        <f>""</f>
        <v/>
      </c>
      <c r="BM1619" t="str">
        <f>""</f>
        <v/>
      </c>
      <c r="BN1619" t="str">
        <f>""</f>
        <v/>
      </c>
      <c r="BO1619" t="str">
        <f>""</f>
        <v/>
      </c>
      <c r="BP1619" t="str">
        <f>""</f>
        <v/>
      </c>
      <c r="BQ1619" t="str">
        <f>""</f>
        <v/>
      </c>
      <c r="BR1619" t="str">
        <f>"06/07/2023"</f>
        <v>06/07/2023</v>
      </c>
      <c r="BS1619" t="str">
        <f>"07/07/2023"</f>
        <v>07/07/2023</v>
      </c>
      <c r="BT1619" t="str">
        <f>""</f>
        <v/>
      </c>
      <c r="BU1619" t="str">
        <f>""</f>
        <v/>
      </c>
      <c r="BV1619" t="str">
        <f>""</f>
        <v/>
      </c>
      <c r="BW1619" t="str">
        <f>"140"</f>
        <v>140</v>
      </c>
    </row>
    <row r="1620" spans="1:75" x14ac:dyDescent="0.35">
      <c r="A1620">
        <v>157757</v>
      </c>
      <c r="B1620" t="str">
        <f t="shared" si="825"/>
        <v>A</v>
      </c>
      <c r="C1620" t="str">
        <f t="shared" si="826"/>
        <v>80</v>
      </c>
      <c r="D1620" t="str">
        <f t="shared" si="809"/>
        <v>11121004</v>
      </c>
      <c r="E1620" t="str">
        <f t="shared" si="810"/>
        <v>121004</v>
      </c>
      <c r="F1620" t="str">
        <f t="shared" si="811"/>
        <v>FABIANA GODOY</v>
      </c>
      <c r="G1620" t="str">
        <f>"30267876009469"</f>
        <v>30267876009469</v>
      </c>
      <c r="H1620" t="str">
        <f t="shared" si="839"/>
        <v>0</v>
      </c>
      <c r="I1620" t="str">
        <f t="shared" si="827"/>
        <v>CONTA OPTICA</v>
      </c>
      <c r="J1620" t="str">
        <f>"OTICAS DO POVO LTDA"</f>
        <v>OTICAS DO POVO LTDA</v>
      </c>
      <c r="K1620" t="str">
        <f>"OTICAS DO POVO LTDA (1950)"</f>
        <v>OTICAS DO POVO LTDA (1950)</v>
      </c>
      <c r="L1620" t="str">
        <f>""</f>
        <v/>
      </c>
      <c r="M1620" t="str">
        <f>""</f>
        <v/>
      </c>
      <c r="N1620" t="str">
        <f>"FINANCEIRO@OTICASDOPOVO.COM.BR"</f>
        <v>FINANCEIRO@OTICASDOPOVO.COM.BR</v>
      </c>
      <c r="O1620" t="str">
        <f>""</f>
        <v/>
      </c>
      <c r="P1620" t="str">
        <f>"VIA EXP. PAUL FRITZ KUEHNRICH -   SHOP PARK"</f>
        <v>VIA EXP. PAUL FRITZ KUEHNRICH -   SHOP PARK</v>
      </c>
      <c r="Q1620" t="str">
        <f>"1600"</f>
        <v>1600</v>
      </c>
      <c r="R1620" t="str">
        <f>"LJ 1118 Á 1120"</f>
        <v>LJ 1118 Á 1120</v>
      </c>
      <c r="S1620" t="str">
        <f>"1273"</f>
        <v>1273</v>
      </c>
      <c r="T1620" t="str">
        <f>"89052381"</f>
        <v>89052381</v>
      </c>
      <c r="U1620" t="str">
        <f>"ITOUPAVA NORTE"</f>
        <v>ITOUPAVA NORTE</v>
      </c>
      <c r="V1620" t="str">
        <f>"BLUMENAU"</f>
        <v>BLUMENAU</v>
      </c>
      <c r="W1620" t="str">
        <f t="shared" si="807"/>
        <v>SC</v>
      </c>
      <c r="X1620" t="str">
        <f t="shared" si="837"/>
        <v>47</v>
      </c>
      <c r="Y1620" t="str">
        <f>"33977875"</f>
        <v>33977875</v>
      </c>
      <c r="Z1620" t="str">
        <f>""</f>
        <v/>
      </c>
      <c r="AA1620" t="str">
        <f>""</f>
        <v/>
      </c>
      <c r="AB1620" t="str">
        <f>""</f>
        <v/>
      </c>
      <c r="AC1620" t="str">
        <f>""</f>
        <v/>
      </c>
      <c r="AD1620" t="str">
        <f>""</f>
        <v/>
      </c>
      <c r="AE1620" t="str">
        <f>""</f>
        <v/>
      </c>
      <c r="AF1620" t="str">
        <f>""</f>
        <v/>
      </c>
      <c r="AG1620" t="str">
        <f>""</f>
        <v/>
      </c>
      <c r="AH1620" t="str">
        <f>""</f>
        <v/>
      </c>
      <c r="AI1620" t="str">
        <f>""</f>
        <v/>
      </c>
      <c r="AJ1620" t="str">
        <f>""</f>
        <v/>
      </c>
      <c r="AK1620" t="str">
        <f>""</f>
        <v/>
      </c>
      <c r="AL1620" t="str">
        <f>""</f>
        <v/>
      </c>
      <c r="AM1620" t="str">
        <f>""</f>
        <v/>
      </c>
      <c r="AN1620" t="str">
        <f>""</f>
        <v/>
      </c>
      <c r="AO1620" t="str">
        <f>""</f>
        <v/>
      </c>
      <c r="AP1620" t="str">
        <f>""</f>
        <v/>
      </c>
      <c r="AQ1620" t="str">
        <f>""</f>
        <v/>
      </c>
      <c r="AR1620" t="str">
        <f>""</f>
        <v/>
      </c>
      <c r="AS1620" t="str">
        <f>""</f>
        <v/>
      </c>
      <c r="AT1620" t="str">
        <f>""</f>
        <v/>
      </c>
      <c r="AU1620" t="str">
        <f>""</f>
        <v/>
      </c>
      <c r="AV1620" t="str">
        <f>""</f>
        <v/>
      </c>
      <c r="AW1620" t="str">
        <f>""</f>
        <v/>
      </c>
      <c r="AX1620" t="str">
        <f>""</f>
        <v/>
      </c>
      <c r="AY1620" t="str">
        <f>""</f>
        <v/>
      </c>
      <c r="AZ1620" t="str">
        <f>""</f>
        <v/>
      </c>
      <c r="BA1620" t="str">
        <f>""</f>
        <v/>
      </c>
      <c r="BB1620" t="str">
        <f>"11/07/2023 02:26:32"</f>
        <v>11/07/2023 02:26:32</v>
      </c>
      <c r="BC1620" t="str">
        <f>""</f>
        <v/>
      </c>
      <c r="BD1620" t="str">
        <f>""</f>
        <v/>
      </c>
      <c r="BE1620" t="str">
        <f>""</f>
        <v/>
      </c>
      <c r="BF1620" t="str">
        <f t="shared" si="828"/>
        <v>A</v>
      </c>
      <c r="BG1620" t="str">
        <f>""</f>
        <v/>
      </c>
      <c r="BH1620" t="str">
        <f>""</f>
        <v/>
      </c>
      <c r="BI1620" t="str">
        <f t="shared" si="836"/>
        <v>EVENTUAL</v>
      </c>
      <c r="BJ1620" t="str">
        <f t="shared" si="829"/>
        <v>1</v>
      </c>
      <c r="BK1620" t="str">
        <f t="shared" si="830"/>
        <v>Farmacia</v>
      </c>
      <c r="BL1620" t="str">
        <f>""</f>
        <v/>
      </c>
      <c r="BM1620" t="str">
        <f>""</f>
        <v/>
      </c>
      <c r="BN1620" t="str">
        <f>""</f>
        <v/>
      </c>
      <c r="BO1620" t="str">
        <f>""</f>
        <v/>
      </c>
      <c r="BP1620" t="str">
        <f>""</f>
        <v/>
      </c>
      <c r="BQ1620" t="str">
        <f>""</f>
        <v/>
      </c>
      <c r="BR1620" t="str">
        <f>"11/07/2023"</f>
        <v>11/07/2023</v>
      </c>
      <c r="BS1620" t="str">
        <f>""</f>
        <v/>
      </c>
      <c r="BT1620" t="str">
        <f>""</f>
        <v/>
      </c>
      <c r="BU1620" t="str">
        <f>""</f>
        <v/>
      </c>
      <c r="BV1620" t="str">
        <f>""</f>
        <v/>
      </c>
      <c r="BW1620" t="str">
        <f>"Não visitado"</f>
        <v>Não visitado</v>
      </c>
    </row>
    <row r="1621" spans="1:75" x14ac:dyDescent="0.35">
      <c r="A1621">
        <v>157042</v>
      </c>
      <c r="B1621" t="str">
        <f t="shared" si="825"/>
        <v>A</v>
      </c>
      <c r="C1621" t="str">
        <f t="shared" si="826"/>
        <v>80</v>
      </c>
      <c r="D1621" t="str">
        <f t="shared" si="809"/>
        <v>11121004</v>
      </c>
      <c r="E1621" t="str">
        <f t="shared" si="810"/>
        <v>121004</v>
      </c>
      <c r="F1621" t="str">
        <f t="shared" si="811"/>
        <v>FABIANA GODOY</v>
      </c>
      <c r="G1621" t="str">
        <f>"41554842000334"</f>
        <v>41554842000334</v>
      </c>
      <c r="H1621" t="str">
        <f t="shared" si="839"/>
        <v>0</v>
      </c>
      <c r="I1621" t="str">
        <f t="shared" si="827"/>
        <v>CONTA OPTICA</v>
      </c>
      <c r="J1621" t="str">
        <f>"OTICAS RELOJOIA LTDA"</f>
        <v>OTICAS RELOJOIA LTDA</v>
      </c>
      <c r="K1621" t="str">
        <f>"OTICAS RELOJOIA (4706)"</f>
        <v>OTICAS RELOJOIA (4706)</v>
      </c>
      <c r="L1621" t="str">
        <f>""</f>
        <v/>
      </c>
      <c r="M1621" t="str">
        <f>""</f>
        <v/>
      </c>
      <c r="N1621" t="str">
        <f>"BELLAVISAODIAMOND@GMAIL.COM"</f>
        <v>BELLAVISAODIAMOND@GMAIL.COM</v>
      </c>
      <c r="O1621" t="str">
        <f>""</f>
        <v/>
      </c>
      <c r="P1621" t="str">
        <f>"RUA BARÃO DO RIO BRANCO"</f>
        <v>RUA BARÃO DO RIO BRANCO</v>
      </c>
      <c r="Q1621" t="str">
        <f>"1087"</f>
        <v>1087</v>
      </c>
      <c r="R1621" t="str">
        <f>""</f>
        <v/>
      </c>
      <c r="S1621" t="str">
        <f>"1275"</f>
        <v>1275</v>
      </c>
      <c r="T1621" t="str">
        <f>"89136000"</f>
        <v>89136000</v>
      </c>
      <c r="U1621" t="str">
        <f>"CENTRO"</f>
        <v>CENTRO</v>
      </c>
      <c r="V1621" t="str">
        <f>"RODEIO"</f>
        <v>RODEIO</v>
      </c>
      <c r="W1621" t="str">
        <f t="shared" si="807"/>
        <v>SC</v>
      </c>
      <c r="X1621" t="str">
        <f t="shared" si="837"/>
        <v>47</v>
      </c>
      <c r="Y1621" t="str">
        <f>"33045162"</f>
        <v>33045162</v>
      </c>
      <c r="Z1621" t="str">
        <f>""</f>
        <v/>
      </c>
      <c r="AA1621" t="str">
        <f>""</f>
        <v/>
      </c>
      <c r="AB1621" t="str">
        <f>""</f>
        <v/>
      </c>
      <c r="AC1621" t="str">
        <f>""</f>
        <v/>
      </c>
      <c r="AD1621" t="str">
        <f>""</f>
        <v/>
      </c>
      <c r="AE1621" t="str">
        <f>""</f>
        <v/>
      </c>
      <c r="AF1621" t="str">
        <f>""</f>
        <v/>
      </c>
      <c r="AG1621" t="str">
        <f>""</f>
        <v/>
      </c>
      <c r="AH1621" t="str">
        <f>""</f>
        <v/>
      </c>
      <c r="AI1621" t="str">
        <f>""</f>
        <v/>
      </c>
      <c r="AJ1621" t="str">
        <f>""</f>
        <v/>
      </c>
      <c r="AK1621" t="str">
        <f>""</f>
        <v/>
      </c>
      <c r="AL1621" t="str">
        <f>""</f>
        <v/>
      </c>
      <c r="AM1621" t="str">
        <f>""</f>
        <v/>
      </c>
      <c r="AN1621" t="str">
        <f>""</f>
        <v/>
      </c>
      <c r="AO1621" t="str">
        <f>""</f>
        <v/>
      </c>
      <c r="AP1621" t="str">
        <f>""</f>
        <v/>
      </c>
      <c r="AQ1621" t="str">
        <f>""</f>
        <v/>
      </c>
      <c r="AR1621" t="str">
        <f>""</f>
        <v/>
      </c>
      <c r="AS1621" t="str">
        <f>""</f>
        <v/>
      </c>
      <c r="AT1621" t="str">
        <f>""</f>
        <v/>
      </c>
      <c r="AU1621" t="str">
        <f>""</f>
        <v/>
      </c>
      <c r="AV1621" t="str">
        <f>""</f>
        <v/>
      </c>
      <c r="AW1621" t="str">
        <f>""</f>
        <v/>
      </c>
      <c r="AX1621" t="str">
        <f>""</f>
        <v/>
      </c>
      <c r="AY1621" t="str">
        <f>""</f>
        <v/>
      </c>
      <c r="AZ1621" t="str">
        <f>""</f>
        <v/>
      </c>
      <c r="BA1621" t="str">
        <f>""</f>
        <v/>
      </c>
      <c r="BB1621" t="str">
        <f t="shared" ref="BB1621:BB1627" si="840">"06/07/2023 12:07:48"</f>
        <v>06/07/2023 12:07:48</v>
      </c>
      <c r="BC1621" t="str">
        <f>""</f>
        <v/>
      </c>
      <c r="BD1621" t="str">
        <f>""</f>
        <v/>
      </c>
      <c r="BE1621" t="str">
        <f>""</f>
        <v/>
      </c>
      <c r="BF1621" t="str">
        <f t="shared" si="828"/>
        <v>A</v>
      </c>
      <c r="BG1621" t="str">
        <f>""</f>
        <v/>
      </c>
      <c r="BH1621" t="str">
        <f>""</f>
        <v/>
      </c>
      <c r="BI1621" t="str">
        <f t="shared" si="836"/>
        <v>EVENTUAL</v>
      </c>
      <c r="BJ1621" t="str">
        <f t="shared" si="829"/>
        <v>1</v>
      </c>
      <c r="BK1621" t="str">
        <f t="shared" si="830"/>
        <v>Farmacia</v>
      </c>
      <c r="BL1621" t="str">
        <f>""</f>
        <v/>
      </c>
      <c r="BM1621" t="str">
        <f>""</f>
        <v/>
      </c>
      <c r="BN1621" t="str">
        <f>""</f>
        <v/>
      </c>
      <c r="BO1621" t="str">
        <f>""</f>
        <v/>
      </c>
      <c r="BP1621" t="str">
        <f>""</f>
        <v/>
      </c>
      <c r="BQ1621" t="str">
        <f>""</f>
        <v/>
      </c>
      <c r="BR1621" t="str">
        <f t="shared" ref="BR1621:BR1627" si="841">"06/07/2023"</f>
        <v>06/07/2023</v>
      </c>
      <c r="BS1621" t="str">
        <f>""</f>
        <v/>
      </c>
      <c r="BT1621" t="str">
        <f>""</f>
        <v/>
      </c>
      <c r="BU1621" t="str">
        <f>""</f>
        <v/>
      </c>
      <c r="BV1621" t="str">
        <f>""</f>
        <v/>
      </c>
      <c r="BW1621" t="str">
        <f>"Não visitado"</f>
        <v>Não visitado</v>
      </c>
    </row>
    <row r="1622" spans="1:75" x14ac:dyDescent="0.35">
      <c r="A1622">
        <v>157043</v>
      </c>
      <c r="B1622" t="str">
        <f t="shared" si="825"/>
        <v>A</v>
      </c>
      <c r="C1622" t="str">
        <f t="shared" si="826"/>
        <v>80</v>
      </c>
      <c r="D1622" t="str">
        <f t="shared" si="809"/>
        <v>11121004</v>
      </c>
      <c r="E1622" t="str">
        <f t="shared" si="810"/>
        <v>121004</v>
      </c>
      <c r="F1622" t="str">
        <f t="shared" si="811"/>
        <v>FABIANA GODOY</v>
      </c>
      <c r="G1622" t="str">
        <f>"41554842000253"</f>
        <v>41554842000253</v>
      </c>
      <c r="H1622" t="str">
        <f t="shared" si="839"/>
        <v>0</v>
      </c>
      <c r="I1622" t="str">
        <f t="shared" si="827"/>
        <v>CONTA OPTICA</v>
      </c>
      <c r="J1622" t="str">
        <f>"OTICAS RELOJOIA LTDA"</f>
        <v>OTICAS RELOJOIA LTDA</v>
      </c>
      <c r="K1622" t="str">
        <f>"OTICAS RELOJOIA (4705)"</f>
        <v>OTICAS RELOJOIA (4705)</v>
      </c>
      <c r="L1622" t="str">
        <f>""</f>
        <v/>
      </c>
      <c r="M1622" t="str">
        <f>""</f>
        <v/>
      </c>
      <c r="N1622" t="str">
        <f>"RELOJOIASINDAIAL@GMAIL.COM"</f>
        <v>RELOJOIASINDAIAL@GMAIL.COM</v>
      </c>
      <c r="O1622" t="str">
        <f>""</f>
        <v/>
      </c>
      <c r="P1622" t="str">
        <f>"RUA MARIA SIMAO"</f>
        <v>RUA MARIA SIMAO</v>
      </c>
      <c r="Q1622" t="str">
        <f>"715"</f>
        <v>715</v>
      </c>
      <c r="R1622" t="str">
        <f>"SALA LOJA"</f>
        <v>SALA LOJA</v>
      </c>
      <c r="S1622" t="str">
        <f>""</f>
        <v/>
      </c>
      <c r="T1622" t="str">
        <f>"89082115"</f>
        <v>89082115</v>
      </c>
      <c r="U1622" t="str">
        <f>"DAS NACOES"</f>
        <v>DAS NACOES</v>
      </c>
      <c r="V1622" t="str">
        <f>"INDAIAL"</f>
        <v>INDAIAL</v>
      </c>
      <c r="W1622" t="str">
        <f t="shared" si="807"/>
        <v>SC</v>
      </c>
      <c r="X1622" t="str">
        <f t="shared" si="837"/>
        <v>47</v>
      </c>
      <c r="Y1622" t="str">
        <f>"30192121"</f>
        <v>30192121</v>
      </c>
      <c r="Z1622" t="str">
        <f>""</f>
        <v/>
      </c>
      <c r="AA1622" t="str">
        <f>""</f>
        <v/>
      </c>
      <c r="AB1622" t="str">
        <f>""</f>
        <v/>
      </c>
      <c r="AC1622" t="str">
        <f>""</f>
        <v/>
      </c>
      <c r="AD1622" t="str">
        <f>""</f>
        <v/>
      </c>
      <c r="AE1622" t="str">
        <f>""</f>
        <v/>
      </c>
      <c r="AF1622" t="str">
        <f>""</f>
        <v/>
      </c>
      <c r="AG1622" t="str">
        <f>""</f>
        <v/>
      </c>
      <c r="AH1622" t="str">
        <f>""</f>
        <v/>
      </c>
      <c r="AI1622" t="str">
        <f>""</f>
        <v/>
      </c>
      <c r="AJ1622" t="str">
        <f>""</f>
        <v/>
      </c>
      <c r="AK1622" t="str">
        <f>""</f>
        <v/>
      </c>
      <c r="AL1622" t="str">
        <f>""</f>
        <v/>
      </c>
      <c r="AM1622" t="str">
        <f>""</f>
        <v/>
      </c>
      <c r="AN1622" t="str">
        <f>""</f>
        <v/>
      </c>
      <c r="AO1622" t="str">
        <f>""</f>
        <v/>
      </c>
      <c r="AP1622" t="str">
        <f>""</f>
        <v/>
      </c>
      <c r="AQ1622" t="str">
        <f>""</f>
        <v/>
      </c>
      <c r="AR1622" t="str">
        <f>""</f>
        <v/>
      </c>
      <c r="AS1622" t="str">
        <f>""</f>
        <v/>
      </c>
      <c r="AT1622" t="str">
        <f>""</f>
        <v/>
      </c>
      <c r="AU1622" t="str">
        <f>""</f>
        <v/>
      </c>
      <c r="AV1622" t="str">
        <f>""</f>
        <v/>
      </c>
      <c r="AW1622" t="str">
        <f>""</f>
        <v/>
      </c>
      <c r="AX1622" t="str">
        <f>""</f>
        <v/>
      </c>
      <c r="AY1622" t="str">
        <f>""</f>
        <v/>
      </c>
      <c r="AZ1622" t="str">
        <f>""</f>
        <v/>
      </c>
      <c r="BA1622" t="str">
        <f>""</f>
        <v/>
      </c>
      <c r="BB1622" t="str">
        <f t="shared" si="840"/>
        <v>06/07/2023 12:07:48</v>
      </c>
      <c r="BC1622" t="str">
        <f>""</f>
        <v/>
      </c>
      <c r="BD1622" t="str">
        <f>""</f>
        <v/>
      </c>
      <c r="BE1622" t="str">
        <f>""</f>
        <v/>
      </c>
      <c r="BF1622" t="str">
        <f t="shared" si="828"/>
        <v>A</v>
      </c>
      <c r="BG1622" t="str">
        <f>""</f>
        <v/>
      </c>
      <c r="BH1622" t="str">
        <f>""</f>
        <v/>
      </c>
      <c r="BI1622" t="str">
        <f t="shared" si="836"/>
        <v>EVENTUAL</v>
      </c>
      <c r="BJ1622" t="str">
        <f t="shared" si="829"/>
        <v>1</v>
      </c>
      <c r="BK1622" t="str">
        <f t="shared" si="830"/>
        <v>Farmacia</v>
      </c>
      <c r="BL1622" t="str">
        <f>""</f>
        <v/>
      </c>
      <c r="BM1622" t="str">
        <f>""</f>
        <v/>
      </c>
      <c r="BN1622" t="str">
        <f>""</f>
        <v/>
      </c>
      <c r="BO1622" t="str">
        <f>""</f>
        <v/>
      </c>
      <c r="BP1622" t="str">
        <f>""</f>
        <v/>
      </c>
      <c r="BQ1622" t="str">
        <f>""</f>
        <v/>
      </c>
      <c r="BR1622" t="str">
        <f t="shared" si="841"/>
        <v>06/07/2023</v>
      </c>
      <c r="BS1622" t="str">
        <f>""</f>
        <v/>
      </c>
      <c r="BT1622" t="str">
        <f>""</f>
        <v/>
      </c>
      <c r="BU1622" t="str">
        <f>""</f>
        <v/>
      </c>
      <c r="BV1622" t="str">
        <f>""</f>
        <v/>
      </c>
      <c r="BW1622" t="str">
        <f>"Não visitado"</f>
        <v>Não visitado</v>
      </c>
    </row>
    <row r="1623" spans="1:75" x14ac:dyDescent="0.35">
      <c r="A1623">
        <v>157050</v>
      </c>
      <c r="B1623" t="str">
        <f t="shared" si="825"/>
        <v>A</v>
      </c>
      <c r="C1623" t="str">
        <f t="shared" si="826"/>
        <v>80</v>
      </c>
      <c r="D1623" t="str">
        <f t="shared" si="809"/>
        <v>11121004</v>
      </c>
      <c r="E1623" t="str">
        <f t="shared" si="810"/>
        <v>121004</v>
      </c>
      <c r="F1623" t="str">
        <f t="shared" si="811"/>
        <v>FABIANA GODOY</v>
      </c>
      <c r="G1623" t="str">
        <f>"41554842000172"</f>
        <v>41554842000172</v>
      </c>
      <c r="H1623" t="str">
        <f t="shared" si="839"/>
        <v>0</v>
      </c>
      <c r="I1623" t="str">
        <f t="shared" si="827"/>
        <v>CONTA OPTICA</v>
      </c>
      <c r="J1623" t="str">
        <f>"OTICAS RELOJOIA LTDA"</f>
        <v>OTICAS RELOJOIA LTDA</v>
      </c>
      <c r="K1623" t="str">
        <f>"OPTICAS RELOJOIAS (4629)"</f>
        <v>OPTICAS RELOJOIAS (4629)</v>
      </c>
      <c r="L1623" t="str">
        <f>""</f>
        <v/>
      </c>
      <c r="M1623" t="str">
        <f>""</f>
        <v/>
      </c>
      <c r="N1623" t="str">
        <f>"RELOJOIASRIODOSUL@GMAIL.COM"</f>
        <v>RELOJOIASRIODOSUL@GMAIL.COM</v>
      </c>
      <c r="O1623" t="str">
        <f>""</f>
        <v/>
      </c>
      <c r="P1623" t="str">
        <f>"NEREU RAMOS"</f>
        <v>NEREU RAMOS</v>
      </c>
      <c r="Q1623" t="str">
        <f>"135"</f>
        <v>135</v>
      </c>
      <c r="R1623" t="str">
        <f>"SALA 01 TERREO"</f>
        <v>SALA 01 TERREO</v>
      </c>
      <c r="S1623" t="str">
        <f>"1276"</f>
        <v>1276</v>
      </c>
      <c r="T1623" t="str">
        <f>"89160043"</f>
        <v>89160043</v>
      </c>
      <c r="U1623" t="str">
        <f>"CENTRO"</f>
        <v>CENTRO</v>
      </c>
      <c r="V1623" t="str">
        <f>"RIO DO SUL"</f>
        <v>RIO DO SUL</v>
      </c>
      <c r="W1623" t="str">
        <f t="shared" si="807"/>
        <v>SC</v>
      </c>
      <c r="X1623" t="str">
        <f t="shared" si="837"/>
        <v>47</v>
      </c>
      <c r="Y1623" t="str">
        <f>"35210227"</f>
        <v>35210227</v>
      </c>
      <c r="Z1623" t="str">
        <f>""</f>
        <v/>
      </c>
      <c r="AA1623" t="str">
        <f>""</f>
        <v/>
      </c>
      <c r="AB1623" t="str">
        <f>""</f>
        <v/>
      </c>
      <c r="AC1623" t="str">
        <f>""</f>
        <v/>
      </c>
      <c r="AD1623" t="str">
        <f>""</f>
        <v/>
      </c>
      <c r="AE1623" t="str">
        <f>""</f>
        <v/>
      </c>
      <c r="AF1623" t="str">
        <f>""</f>
        <v/>
      </c>
      <c r="AG1623" t="str">
        <f>""</f>
        <v/>
      </c>
      <c r="AH1623" t="str">
        <f>""</f>
        <v/>
      </c>
      <c r="AI1623" t="str">
        <f>""</f>
        <v/>
      </c>
      <c r="AJ1623" t="str">
        <f>""</f>
        <v/>
      </c>
      <c r="AK1623" t="str">
        <f>""</f>
        <v/>
      </c>
      <c r="AL1623" t="str">
        <f>""</f>
        <v/>
      </c>
      <c r="AM1623" t="str">
        <f>""</f>
        <v/>
      </c>
      <c r="AN1623" t="str">
        <f>""</f>
        <v/>
      </c>
      <c r="AO1623" t="str">
        <f>""</f>
        <v/>
      </c>
      <c r="AP1623" t="str">
        <f>""</f>
        <v/>
      </c>
      <c r="AQ1623" t="str">
        <f>""</f>
        <v/>
      </c>
      <c r="AR1623" t="str">
        <f>""</f>
        <v/>
      </c>
      <c r="AS1623" t="str">
        <f>""</f>
        <v/>
      </c>
      <c r="AT1623" t="str">
        <f>""</f>
        <v/>
      </c>
      <c r="AU1623" t="str">
        <f>""</f>
        <v/>
      </c>
      <c r="AV1623" t="str">
        <f>""</f>
        <v/>
      </c>
      <c r="AW1623" t="str">
        <f>""</f>
        <v/>
      </c>
      <c r="AX1623" t="str">
        <f>""</f>
        <v/>
      </c>
      <c r="AY1623" t="str">
        <f>""</f>
        <v/>
      </c>
      <c r="AZ1623" t="str">
        <f>""</f>
        <v/>
      </c>
      <c r="BA1623" t="str">
        <f>""</f>
        <v/>
      </c>
      <c r="BB1623" t="str">
        <f t="shared" si="840"/>
        <v>06/07/2023 12:07:48</v>
      </c>
      <c r="BC1623" t="str">
        <f>""</f>
        <v/>
      </c>
      <c r="BD1623" t="str">
        <f>""</f>
        <v/>
      </c>
      <c r="BE1623" t="str">
        <f>""</f>
        <v/>
      </c>
      <c r="BF1623" t="str">
        <f t="shared" si="828"/>
        <v>A</v>
      </c>
      <c r="BG1623" t="str">
        <f>""</f>
        <v/>
      </c>
      <c r="BH1623" t="str">
        <f>""</f>
        <v/>
      </c>
      <c r="BI1623" t="str">
        <f t="shared" si="836"/>
        <v>EVENTUAL</v>
      </c>
      <c r="BJ1623" t="str">
        <f t="shared" si="829"/>
        <v>1</v>
      </c>
      <c r="BK1623" t="str">
        <f t="shared" si="830"/>
        <v>Farmacia</v>
      </c>
      <c r="BL1623" t="str">
        <f>""</f>
        <v/>
      </c>
      <c r="BM1623" t="str">
        <f>""</f>
        <v/>
      </c>
      <c r="BN1623" t="str">
        <f>""</f>
        <v/>
      </c>
      <c r="BO1623" t="str">
        <f>""</f>
        <v/>
      </c>
      <c r="BP1623" t="str">
        <f>""</f>
        <v/>
      </c>
      <c r="BQ1623" t="str">
        <f>""</f>
        <v/>
      </c>
      <c r="BR1623" t="str">
        <f t="shared" si="841"/>
        <v>06/07/2023</v>
      </c>
      <c r="BS1623" t="str">
        <f>""</f>
        <v/>
      </c>
      <c r="BT1623" t="str">
        <f>""</f>
        <v/>
      </c>
      <c r="BU1623" t="str">
        <f>""</f>
        <v/>
      </c>
      <c r="BV1623" t="str">
        <f>""</f>
        <v/>
      </c>
      <c r="BW1623" t="str">
        <f>"Não visitado"</f>
        <v>Não visitado</v>
      </c>
    </row>
    <row r="1624" spans="1:75" x14ac:dyDescent="0.35">
      <c r="A1624">
        <v>157061</v>
      </c>
      <c r="B1624" t="str">
        <f t="shared" si="825"/>
        <v>A</v>
      </c>
      <c r="C1624" t="str">
        <f t="shared" si="826"/>
        <v>80</v>
      </c>
      <c r="D1624" t="str">
        <f t="shared" si="809"/>
        <v>11121004</v>
      </c>
      <c r="E1624" t="str">
        <f t="shared" si="810"/>
        <v>121004</v>
      </c>
      <c r="F1624" t="str">
        <f t="shared" si="811"/>
        <v>FABIANA GODOY</v>
      </c>
      <c r="G1624" t="str">
        <f>"12447762000705"</f>
        <v>12447762000705</v>
      </c>
      <c r="H1624" t="str">
        <f t="shared" si="839"/>
        <v>0</v>
      </c>
      <c r="I1624" t="str">
        <f t="shared" si="827"/>
        <v>CONTA OPTICA</v>
      </c>
      <c r="J1624" t="str">
        <f>"OTICAS TEIXEIRA LTDA"</f>
        <v>OTICAS TEIXEIRA LTDA</v>
      </c>
      <c r="K1624" t="str">
        <f>"OTICAS RAUL (4498)"</f>
        <v>OTICAS RAUL (4498)</v>
      </c>
      <c r="L1624" t="str">
        <f>""</f>
        <v/>
      </c>
      <c r="M1624" t="str">
        <f>""</f>
        <v/>
      </c>
      <c r="N1624" t="str">
        <f>"ROSI@OTICARAUL.COM.BR"</f>
        <v>ROSI@OTICARAUL.COM.BR</v>
      </c>
      <c r="O1624" t="str">
        <f>""</f>
        <v/>
      </c>
      <c r="P1624" t="str">
        <f>"RUA BENJAMIN CONSTANT"</f>
        <v>RUA BENJAMIN CONSTANT</v>
      </c>
      <c r="Q1624" t="str">
        <f>"1670"</f>
        <v>1670</v>
      </c>
      <c r="R1624" t="str">
        <f>"LOJA 01"</f>
        <v>LOJA 01</v>
      </c>
      <c r="S1624" t="str">
        <f>""</f>
        <v/>
      </c>
      <c r="T1624" t="str">
        <f>"89037500"</f>
        <v>89037500</v>
      </c>
      <c r="U1624" t="str">
        <f>"ESCOLA AGRICOLA"</f>
        <v>ESCOLA AGRICOLA</v>
      </c>
      <c r="V1624" t="str">
        <f>"BLUMENAU"</f>
        <v>BLUMENAU</v>
      </c>
      <c r="W1624" t="str">
        <f t="shared" si="807"/>
        <v>SC</v>
      </c>
      <c r="X1624" t="str">
        <f t="shared" si="837"/>
        <v>47</v>
      </c>
      <c r="Y1624" t="str">
        <f>"992845380"</f>
        <v>992845380</v>
      </c>
      <c r="Z1624" t="str">
        <f>""</f>
        <v/>
      </c>
      <c r="AA1624" t="str">
        <f>""</f>
        <v/>
      </c>
      <c r="AB1624" t="str">
        <f>""</f>
        <v/>
      </c>
      <c r="AC1624" t="str">
        <f>""</f>
        <v/>
      </c>
      <c r="AD1624" t="str">
        <f>""</f>
        <v/>
      </c>
      <c r="AE1624" t="str">
        <f>""</f>
        <v/>
      </c>
      <c r="AF1624" t="str">
        <f>""</f>
        <v/>
      </c>
      <c r="AG1624" t="str">
        <f>""</f>
        <v/>
      </c>
      <c r="AH1624" t="str">
        <f>""</f>
        <v/>
      </c>
      <c r="AI1624" t="str">
        <f>""</f>
        <v/>
      </c>
      <c r="AJ1624" t="str">
        <f>""</f>
        <v/>
      </c>
      <c r="AK1624" t="str">
        <f>""</f>
        <v/>
      </c>
      <c r="AL1624" t="str">
        <f>""</f>
        <v/>
      </c>
      <c r="AM1624" t="str">
        <f>""</f>
        <v/>
      </c>
      <c r="AN1624" t="str">
        <f>""</f>
        <v/>
      </c>
      <c r="AO1624" t="str">
        <f>""</f>
        <v/>
      </c>
      <c r="AP1624" t="str">
        <f>""</f>
        <v/>
      </c>
      <c r="AQ1624" t="str">
        <f>""</f>
        <v/>
      </c>
      <c r="AR1624" t="str">
        <f>""</f>
        <v/>
      </c>
      <c r="AS1624" t="str">
        <f>""</f>
        <v/>
      </c>
      <c r="AT1624" t="str">
        <f>""</f>
        <v/>
      </c>
      <c r="AU1624" t="str">
        <f>""</f>
        <v/>
      </c>
      <c r="AV1624" t="str">
        <f>""</f>
        <v/>
      </c>
      <c r="AW1624" t="str">
        <f>""</f>
        <v/>
      </c>
      <c r="AX1624" t="str">
        <f>""</f>
        <v/>
      </c>
      <c r="AY1624" t="str">
        <f>""</f>
        <v/>
      </c>
      <c r="AZ1624" t="str">
        <f>""</f>
        <v/>
      </c>
      <c r="BA1624" t="str">
        <f>""</f>
        <v/>
      </c>
      <c r="BB1624" t="str">
        <f t="shared" si="840"/>
        <v>06/07/2023 12:07:48</v>
      </c>
      <c r="BC1624" t="str">
        <f>""</f>
        <v/>
      </c>
      <c r="BD1624" t="str">
        <f>""</f>
        <v/>
      </c>
      <c r="BE1624" t="str">
        <f>""</f>
        <v/>
      </c>
      <c r="BF1624" t="str">
        <f t="shared" si="828"/>
        <v>A</v>
      </c>
      <c r="BG1624" t="str">
        <f>""</f>
        <v/>
      </c>
      <c r="BH1624" t="str">
        <f>""</f>
        <v/>
      </c>
      <c r="BI1624" t="str">
        <f t="shared" si="836"/>
        <v>EVENTUAL</v>
      </c>
      <c r="BJ1624" t="str">
        <f t="shared" si="829"/>
        <v>1</v>
      </c>
      <c r="BK1624" t="str">
        <f t="shared" si="830"/>
        <v>Farmacia</v>
      </c>
      <c r="BL1624" t="str">
        <f>""</f>
        <v/>
      </c>
      <c r="BM1624" t="str">
        <f>""</f>
        <v/>
      </c>
      <c r="BN1624" t="str">
        <f>""</f>
        <v/>
      </c>
      <c r="BO1624" t="str">
        <f>""</f>
        <v/>
      </c>
      <c r="BP1624" t="str">
        <f>""</f>
        <v/>
      </c>
      <c r="BQ1624" t="str">
        <f>""</f>
        <v/>
      </c>
      <c r="BR1624" t="str">
        <f t="shared" si="841"/>
        <v>06/07/2023</v>
      </c>
      <c r="BS1624" t="str">
        <f>""</f>
        <v/>
      </c>
      <c r="BT1624" t="str">
        <f>""</f>
        <v/>
      </c>
      <c r="BU1624" t="str">
        <f>""</f>
        <v/>
      </c>
      <c r="BV1624" t="str">
        <f>""</f>
        <v/>
      </c>
      <c r="BW1624" t="str">
        <f>"71"</f>
        <v>71</v>
      </c>
    </row>
    <row r="1625" spans="1:75" x14ac:dyDescent="0.35">
      <c r="A1625">
        <v>157062</v>
      </c>
      <c r="B1625" t="str">
        <f t="shared" si="825"/>
        <v>A</v>
      </c>
      <c r="C1625" t="str">
        <f t="shared" si="826"/>
        <v>80</v>
      </c>
      <c r="D1625" t="str">
        <f t="shared" si="809"/>
        <v>11121004</v>
      </c>
      <c r="E1625" t="str">
        <f t="shared" si="810"/>
        <v>121004</v>
      </c>
      <c r="F1625" t="str">
        <f t="shared" si="811"/>
        <v>FABIANA GODOY</v>
      </c>
      <c r="G1625" t="str">
        <f>"12447762000624"</f>
        <v>12447762000624</v>
      </c>
      <c r="H1625" t="str">
        <f t="shared" si="839"/>
        <v>0</v>
      </c>
      <c r="I1625" t="str">
        <f t="shared" si="827"/>
        <v>CONTA OPTICA</v>
      </c>
      <c r="J1625" t="str">
        <f>"OTICAS TEIXEIRA LTDA"</f>
        <v>OTICAS TEIXEIRA LTDA</v>
      </c>
      <c r="K1625" t="str">
        <f>"OTICA RAUL (4492)"</f>
        <v>OTICA RAUL (4492)</v>
      </c>
      <c r="L1625" t="str">
        <f>""</f>
        <v/>
      </c>
      <c r="M1625" t="str">
        <f>""</f>
        <v/>
      </c>
      <c r="N1625" t="str">
        <f>"ROSI@OTICARAUL.COM.BR"</f>
        <v>ROSI@OTICARAUL.COM.BR</v>
      </c>
      <c r="O1625" t="str">
        <f>""</f>
        <v/>
      </c>
      <c r="P1625" t="str">
        <f>"RUA FLORIANOPOLIS"</f>
        <v>RUA FLORIANOPOLIS</v>
      </c>
      <c r="Q1625" t="str">
        <f>"1785"</f>
        <v>1785</v>
      </c>
      <c r="R1625" t="str">
        <f>"SALA 02"</f>
        <v>SALA 02</v>
      </c>
      <c r="S1625" t="str">
        <f>"1263"</f>
        <v>1263</v>
      </c>
      <c r="T1625" t="str">
        <f>"88353501"</f>
        <v>88353501</v>
      </c>
      <c r="U1625" t="str">
        <f>"PRIMEIRO DE MAIO"</f>
        <v>PRIMEIRO DE MAIO</v>
      </c>
      <c r="V1625" t="str">
        <f>"BRUSQUE"</f>
        <v>BRUSQUE</v>
      </c>
      <c r="W1625" t="str">
        <f t="shared" si="807"/>
        <v>SC</v>
      </c>
      <c r="X1625" t="str">
        <f>"17"</f>
        <v>17</v>
      </c>
      <c r="Y1625" t="str">
        <f>"992845380"</f>
        <v>992845380</v>
      </c>
      <c r="Z1625" t="str">
        <f>""</f>
        <v/>
      </c>
      <c r="AA1625" t="str">
        <f>""</f>
        <v/>
      </c>
      <c r="AB1625" t="str">
        <f>""</f>
        <v/>
      </c>
      <c r="AC1625" t="str">
        <f>""</f>
        <v/>
      </c>
      <c r="AD1625" t="str">
        <f>""</f>
        <v/>
      </c>
      <c r="AE1625" t="str">
        <f>""</f>
        <v/>
      </c>
      <c r="AF1625" t="str">
        <f>""</f>
        <v/>
      </c>
      <c r="AG1625" t="str">
        <f>"S"</f>
        <v>S</v>
      </c>
      <c r="AH1625" t="str">
        <f>""</f>
        <v/>
      </c>
      <c r="AI1625" t="str">
        <f>""</f>
        <v/>
      </c>
      <c r="AJ1625" t="str">
        <f>""</f>
        <v/>
      </c>
      <c r="AK1625" t="str">
        <f>""</f>
        <v/>
      </c>
      <c r="AL1625" t="str">
        <f>""</f>
        <v/>
      </c>
      <c r="AM1625" t="str">
        <f>""</f>
        <v/>
      </c>
      <c r="AN1625" t="str">
        <f>""</f>
        <v/>
      </c>
      <c r="AO1625" t="str">
        <f>""</f>
        <v/>
      </c>
      <c r="AP1625" t="str">
        <f>""</f>
        <v/>
      </c>
      <c r="AQ1625" t="str">
        <f t="shared" ref="AQ1625:AU1626" si="842">"N"</f>
        <v>N</v>
      </c>
      <c r="AR1625" t="str">
        <f t="shared" si="842"/>
        <v>N</v>
      </c>
      <c r="AS1625" t="str">
        <f t="shared" si="842"/>
        <v>N</v>
      </c>
      <c r="AT1625" t="str">
        <f t="shared" si="842"/>
        <v>N</v>
      </c>
      <c r="AU1625" t="str">
        <f t="shared" si="842"/>
        <v>N</v>
      </c>
      <c r="AV1625" t="str">
        <f>""</f>
        <v/>
      </c>
      <c r="AW1625" t="str">
        <f>""</f>
        <v/>
      </c>
      <c r="AX1625" t="str">
        <f>""</f>
        <v/>
      </c>
      <c r="AY1625" t="str">
        <f>""</f>
        <v/>
      </c>
      <c r="AZ1625" t="str">
        <f>""</f>
        <v/>
      </c>
      <c r="BA1625" t="str">
        <f>""</f>
        <v/>
      </c>
      <c r="BB1625" t="str">
        <f t="shared" si="840"/>
        <v>06/07/2023 12:07:48</v>
      </c>
      <c r="BC1625" t="str">
        <f>"17/07/2023 16:42:46"</f>
        <v>17/07/2023 16:42:46</v>
      </c>
      <c r="BD1625" t="str">
        <f>""</f>
        <v/>
      </c>
      <c r="BE1625" t="str">
        <f>""</f>
        <v/>
      </c>
      <c r="BF1625" t="str">
        <f t="shared" si="828"/>
        <v>A</v>
      </c>
      <c r="BG1625" t="str">
        <f>""</f>
        <v/>
      </c>
      <c r="BH1625" t="str">
        <f>"0,00"</f>
        <v>0,00</v>
      </c>
      <c r="BI1625" t="str">
        <f>"MENSAL"</f>
        <v>MENSAL</v>
      </c>
      <c r="BJ1625" t="str">
        <f t="shared" si="829"/>
        <v>1</v>
      </c>
      <c r="BK1625" t="str">
        <f t="shared" si="830"/>
        <v>Farmacia</v>
      </c>
      <c r="BL1625" t="str">
        <f>""</f>
        <v/>
      </c>
      <c r="BM1625" t="str">
        <f>""</f>
        <v/>
      </c>
      <c r="BN1625" t="str">
        <f>""</f>
        <v/>
      </c>
      <c r="BO1625" t="str">
        <f>""</f>
        <v/>
      </c>
      <c r="BP1625" t="str">
        <f>""</f>
        <v/>
      </c>
      <c r="BQ1625" t="str">
        <f>""</f>
        <v/>
      </c>
      <c r="BR1625" t="str">
        <f t="shared" si="841"/>
        <v>06/07/2023</v>
      </c>
      <c r="BS1625" t="str">
        <f>"17/07/2023"</f>
        <v>17/07/2023</v>
      </c>
      <c r="BT1625" t="str">
        <f>""</f>
        <v/>
      </c>
      <c r="BU1625" t="str">
        <f>""</f>
        <v/>
      </c>
      <c r="BV1625" t="str">
        <f>""</f>
        <v/>
      </c>
      <c r="BW1625" t="str">
        <f>"29"</f>
        <v>29</v>
      </c>
    </row>
    <row r="1626" spans="1:75" x14ac:dyDescent="0.35">
      <c r="A1626">
        <v>157121</v>
      </c>
      <c r="B1626" t="str">
        <f t="shared" si="825"/>
        <v>A</v>
      </c>
      <c r="C1626" t="str">
        <f t="shared" si="826"/>
        <v>80</v>
      </c>
      <c r="D1626" t="str">
        <f t="shared" si="809"/>
        <v>11121004</v>
      </c>
      <c r="E1626" t="str">
        <f t="shared" si="810"/>
        <v>121004</v>
      </c>
      <c r="F1626" t="str">
        <f t="shared" si="811"/>
        <v>FABIANA GODOY</v>
      </c>
      <c r="G1626" t="str">
        <f>"12447762000381"</f>
        <v>12447762000381</v>
      </c>
      <c r="H1626" t="str">
        <f t="shared" si="839"/>
        <v>0</v>
      </c>
      <c r="I1626" t="str">
        <f t="shared" si="827"/>
        <v>CONTA OPTICA</v>
      </c>
      <c r="J1626" t="str">
        <f>"OTICAS TEIXEIRA LTDA - EPP"</f>
        <v>OTICAS TEIXEIRA LTDA - EPP</v>
      </c>
      <c r="K1626" t="str">
        <f>"OTICAS RAUL (2246)"</f>
        <v>OTICAS RAUL (2246)</v>
      </c>
      <c r="L1626" t="str">
        <f>""</f>
        <v/>
      </c>
      <c r="M1626" t="str">
        <f>""</f>
        <v/>
      </c>
      <c r="N1626" t="str">
        <f>"ROSI@OTICARAUL.COM.BR"</f>
        <v>ROSI@OTICARAUL.COM.BR</v>
      </c>
      <c r="O1626" t="str">
        <f>""</f>
        <v/>
      </c>
      <c r="P1626" t="str">
        <f>"PREFEITO JOSE JUVENAL MAFRA"</f>
        <v>PREFEITO JOSE JUVENAL MAFRA</v>
      </c>
      <c r="Q1626" t="str">
        <f>"8355"</f>
        <v>8355</v>
      </c>
      <c r="R1626" t="str">
        <f>"SALA 02"</f>
        <v>SALA 02</v>
      </c>
      <c r="S1626" t="str">
        <f>"1263"</f>
        <v>1263</v>
      </c>
      <c r="T1626" t="str">
        <f>"88375000"</f>
        <v>88375000</v>
      </c>
      <c r="U1626" t="str">
        <f>"GRAVATÁ"</f>
        <v>GRAVATÁ</v>
      </c>
      <c r="V1626" t="str">
        <f>"NAVEGANTES"</f>
        <v>NAVEGANTES</v>
      </c>
      <c r="W1626" t="str">
        <f t="shared" si="807"/>
        <v>SC</v>
      </c>
      <c r="X1626" t="str">
        <f>"47"</f>
        <v>47</v>
      </c>
      <c r="Y1626" t="str">
        <f>"33260482"</f>
        <v>33260482</v>
      </c>
      <c r="Z1626" t="str">
        <f>""</f>
        <v/>
      </c>
      <c r="AA1626" t="str">
        <f>""</f>
        <v/>
      </c>
      <c r="AB1626" t="str">
        <f>""</f>
        <v/>
      </c>
      <c r="AC1626" t="str">
        <f>""</f>
        <v/>
      </c>
      <c r="AD1626" t="str">
        <f>""</f>
        <v/>
      </c>
      <c r="AE1626" t="str">
        <f>""</f>
        <v/>
      </c>
      <c r="AF1626" t="str">
        <f>""</f>
        <v/>
      </c>
      <c r="AG1626" t="str">
        <f>"S"</f>
        <v>S</v>
      </c>
      <c r="AH1626" t="str">
        <f>""</f>
        <v/>
      </c>
      <c r="AI1626" t="str">
        <f>""</f>
        <v/>
      </c>
      <c r="AJ1626" t="str">
        <f>""</f>
        <v/>
      </c>
      <c r="AK1626" t="str">
        <f>""</f>
        <v/>
      </c>
      <c r="AL1626" t="str">
        <f>""</f>
        <v/>
      </c>
      <c r="AM1626" t="str">
        <f>""</f>
        <v/>
      </c>
      <c r="AN1626" t="str">
        <f>""</f>
        <v/>
      </c>
      <c r="AO1626" t="str">
        <f>""</f>
        <v/>
      </c>
      <c r="AP1626" t="str">
        <f>""</f>
        <v/>
      </c>
      <c r="AQ1626" t="str">
        <f t="shared" si="842"/>
        <v>N</v>
      </c>
      <c r="AR1626" t="str">
        <f t="shared" si="842"/>
        <v>N</v>
      </c>
      <c r="AS1626" t="str">
        <f t="shared" si="842"/>
        <v>N</v>
      </c>
      <c r="AT1626" t="str">
        <f t="shared" si="842"/>
        <v>N</v>
      </c>
      <c r="AU1626" t="str">
        <f t="shared" si="842"/>
        <v>N</v>
      </c>
      <c r="AV1626" t="str">
        <f>""</f>
        <v/>
      </c>
      <c r="AW1626" t="str">
        <f>""</f>
        <v/>
      </c>
      <c r="AX1626" t="str">
        <f>""</f>
        <v/>
      </c>
      <c r="AY1626" t="str">
        <f>""</f>
        <v/>
      </c>
      <c r="AZ1626" t="str">
        <f>""</f>
        <v/>
      </c>
      <c r="BA1626" t="str">
        <f>""</f>
        <v/>
      </c>
      <c r="BB1626" t="str">
        <f t="shared" si="840"/>
        <v>06/07/2023 12:07:48</v>
      </c>
      <c r="BC1626" t="str">
        <f>"17/07/2023 16:40:56"</f>
        <v>17/07/2023 16:40:56</v>
      </c>
      <c r="BD1626" t="str">
        <f>""</f>
        <v/>
      </c>
      <c r="BE1626" t="str">
        <f>""</f>
        <v/>
      </c>
      <c r="BF1626" t="str">
        <f t="shared" si="828"/>
        <v>A</v>
      </c>
      <c r="BG1626" t="str">
        <f>""</f>
        <v/>
      </c>
      <c r="BH1626" t="str">
        <f>"0,00"</f>
        <v>0,00</v>
      </c>
      <c r="BI1626" t="str">
        <f>"MENSAL"</f>
        <v>MENSAL</v>
      </c>
      <c r="BJ1626" t="str">
        <f t="shared" si="829"/>
        <v>1</v>
      </c>
      <c r="BK1626" t="str">
        <f t="shared" si="830"/>
        <v>Farmacia</v>
      </c>
      <c r="BL1626" t="str">
        <f>""</f>
        <v/>
      </c>
      <c r="BM1626" t="str">
        <f>""</f>
        <v/>
      </c>
      <c r="BN1626" t="str">
        <f>""</f>
        <v/>
      </c>
      <c r="BO1626" t="str">
        <f>""</f>
        <v/>
      </c>
      <c r="BP1626" t="str">
        <f>""</f>
        <v/>
      </c>
      <c r="BQ1626" t="str">
        <f>""</f>
        <v/>
      </c>
      <c r="BR1626" t="str">
        <f t="shared" si="841"/>
        <v>06/07/2023</v>
      </c>
      <c r="BS1626" t="str">
        <f>"17/07/2023"</f>
        <v>17/07/2023</v>
      </c>
      <c r="BT1626" t="str">
        <f>""</f>
        <v/>
      </c>
      <c r="BU1626" t="str">
        <f>""</f>
        <v/>
      </c>
      <c r="BV1626" t="str">
        <f>""</f>
        <v/>
      </c>
      <c r="BW1626" t="str">
        <f>"2"</f>
        <v>2</v>
      </c>
    </row>
    <row r="1627" spans="1:75" x14ac:dyDescent="0.35">
      <c r="A1627">
        <v>157123</v>
      </c>
      <c r="B1627" t="str">
        <f t="shared" si="825"/>
        <v>A</v>
      </c>
      <c r="C1627" t="str">
        <f t="shared" si="826"/>
        <v>80</v>
      </c>
      <c r="D1627" t="str">
        <f t="shared" si="809"/>
        <v>11121004</v>
      </c>
      <c r="E1627" t="str">
        <f t="shared" si="810"/>
        <v>121004</v>
      </c>
      <c r="F1627" t="str">
        <f t="shared" si="811"/>
        <v>FABIANA GODOY</v>
      </c>
      <c r="G1627" t="str">
        <f>"12447762000209"</f>
        <v>12447762000209</v>
      </c>
      <c r="H1627" t="str">
        <f t="shared" si="839"/>
        <v>0</v>
      </c>
      <c r="I1627" t="str">
        <f t="shared" si="827"/>
        <v>CONTA OPTICA</v>
      </c>
      <c r="J1627" t="str">
        <f>"OTICAS TEIXEIRA LTDA EPP"</f>
        <v>OTICAS TEIXEIRA LTDA EPP</v>
      </c>
      <c r="K1627" t="str">
        <f>"OTICA RAUL (2243)"</f>
        <v>OTICA RAUL (2243)</v>
      </c>
      <c r="L1627" t="str">
        <f>""</f>
        <v/>
      </c>
      <c r="M1627" t="str">
        <f>""</f>
        <v/>
      </c>
      <c r="N1627" t="str">
        <f>"rosi@oticaraul.com.br"</f>
        <v>rosi@oticaraul.com.br</v>
      </c>
      <c r="O1627" t="str">
        <f>""</f>
        <v/>
      </c>
      <c r="P1627" t="str">
        <f>"RUA JOAO SACAVEM"</f>
        <v>RUA JOAO SACAVEM</v>
      </c>
      <c r="Q1627" t="str">
        <f>"221"</f>
        <v>221</v>
      </c>
      <c r="R1627" t="str">
        <f>"SALA 01"</f>
        <v>SALA 01</v>
      </c>
      <c r="S1627" t="str">
        <f>"1263"</f>
        <v>1263</v>
      </c>
      <c r="T1627" t="str">
        <f>"88375000"</f>
        <v>88375000</v>
      </c>
      <c r="U1627" t="str">
        <f>"CENTRO"</f>
        <v>CENTRO</v>
      </c>
      <c r="V1627" t="str">
        <f>"NAVEGANTES"</f>
        <v>NAVEGANTES</v>
      </c>
      <c r="W1627" t="str">
        <f t="shared" si="807"/>
        <v>SC</v>
      </c>
      <c r="X1627" t="str">
        <f>"47"</f>
        <v>47</v>
      </c>
      <c r="Y1627" t="str">
        <f>"33194993"</f>
        <v>33194993</v>
      </c>
      <c r="Z1627" t="str">
        <f>""</f>
        <v/>
      </c>
      <c r="AA1627" t="str">
        <f>""</f>
        <v/>
      </c>
      <c r="AB1627" t="str">
        <f>""</f>
        <v/>
      </c>
      <c r="AC1627" t="str">
        <f>""</f>
        <v/>
      </c>
      <c r="AD1627" t="str">
        <f>""</f>
        <v/>
      </c>
      <c r="AE1627" t="str">
        <f>""</f>
        <v/>
      </c>
      <c r="AF1627" t="str">
        <f>""</f>
        <v/>
      </c>
      <c r="AG1627" t="str">
        <f>""</f>
        <v/>
      </c>
      <c r="AH1627" t="str">
        <f>""</f>
        <v/>
      </c>
      <c r="AI1627" t="str">
        <f>""</f>
        <v/>
      </c>
      <c r="AJ1627" t="str">
        <f>""</f>
        <v/>
      </c>
      <c r="AK1627" t="str">
        <f>""</f>
        <v/>
      </c>
      <c r="AL1627" t="str">
        <f>""</f>
        <v/>
      </c>
      <c r="AM1627" t="str">
        <f>""</f>
        <v/>
      </c>
      <c r="AN1627" t="str">
        <f>""</f>
        <v/>
      </c>
      <c r="AO1627" t="str">
        <f>""</f>
        <v/>
      </c>
      <c r="AP1627" t="str">
        <f>""</f>
        <v/>
      </c>
      <c r="AQ1627" t="str">
        <f>""</f>
        <v/>
      </c>
      <c r="AR1627" t="str">
        <f>""</f>
        <v/>
      </c>
      <c r="AS1627" t="str">
        <f>""</f>
        <v/>
      </c>
      <c r="AT1627" t="str">
        <f>""</f>
        <v/>
      </c>
      <c r="AU1627" t="str">
        <f>""</f>
        <v/>
      </c>
      <c r="AV1627" t="str">
        <f>""</f>
        <v/>
      </c>
      <c r="AW1627" t="str">
        <f>""</f>
        <v/>
      </c>
      <c r="AX1627" t="str">
        <f>""</f>
        <v/>
      </c>
      <c r="AY1627" t="str">
        <f>""</f>
        <v/>
      </c>
      <c r="AZ1627" t="str">
        <f>""</f>
        <v/>
      </c>
      <c r="BA1627" t="str">
        <f>""</f>
        <v/>
      </c>
      <c r="BB1627" t="str">
        <f t="shared" si="840"/>
        <v>06/07/2023 12:07:48</v>
      </c>
      <c r="BC1627" t="str">
        <f>""</f>
        <v/>
      </c>
      <c r="BD1627" t="str">
        <f>""</f>
        <v/>
      </c>
      <c r="BE1627" t="str">
        <f>""</f>
        <v/>
      </c>
      <c r="BF1627" t="str">
        <f t="shared" si="828"/>
        <v>A</v>
      </c>
      <c r="BG1627" t="str">
        <f>""</f>
        <v/>
      </c>
      <c r="BH1627" t="str">
        <f>""</f>
        <v/>
      </c>
      <c r="BI1627" t="str">
        <f>"EVENTUAL"</f>
        <v>EVENTUAL</v>
      </c>
      <c r="BJ1627" t="str">
        <f t="shared" si="829"/>
        <v>1</v>
      </c>
      <c r="BK1627" t="str">
        <f t="shared" si="830"/>
        <v>Farmacia</v>
      </c>
      <c r="BL1627" t="str">
        <f>""</f>
        <v/>
      </c>
      <c r="BM1627" t="str">
        <f>""</f>
        <v/>
      </c>
      <c r="BN1627" t="str">
        <f>""</f>
        <v/>
      </c>
      <c r="BO1627" t="str">
        <f>""</f>
        <v/>
      </c>
      <c r="BP1627" t="str">
        <f>""</f>
        <v/>
      </c>
      <c r="BQ1627" t="str">
        <f>""</f>
        <v/>
      </c>
      <c r="BR1627" t="str">
        <f t="shared" si="841"/>
        <v>06/07/2023</v>
      </c>
      <c r="BS1627" t="str">
        <f>""</f>
        <v/>
      </c>
      <c r="BT1627" t="str">
        <f>""</f>
        <v/>
      </c>
      <c r="BU1627" t="str">
        <f>""</f>
        <v/>
      </c>
      <c r="BV1627" t="str">
        <f>""</f>
        <v/>
      </c>
      <c r="BW1627" t="str">
        <f>"116"</f>
        <v>116</v>
      </c>
    </row>
    <row r="1628" spans="1:75" x14ac:dyDescent="0.35">
      <c r="A1628">
        <v>137834</v>
      </c>
      <c r="B1628" t="str">
        <f t="shared" si="825"/>
        <v>A</v>
      </c>
      <c r="C1628" t="str">
        <f t="shared" si="826"/>
        <v>80</v>
      </c>
      <c r="D1628" t="str">
        <f t="shared" si="809"/>
        <v>11121004</v>
      </c>
      <c r="E1628" t="str">
        <f t="shared" si="810"/>
        <v>121004</v>
      </c>
      <c r="F1628" t="str">
        <f t="shared" si="811"/>
        <v>FABIANA GODOY</v>
      </c>
      <c r="G1628" t="str">
        <f>"12447762000543"</f>
        <v>12447762000543</v>
      </c>
      <c r="H1628" t="str">
        <f t="shared" si="839"/>
        <v>0</v>
      </c>
      <c r="I1628" t="str">
        <f t="shared" si="827"/>
        <v>CONTA OPTICA</v>
      </c>
      <c r="J1628" t="str">
        <f>"OTICAS TEIXEIRA LTDA EPP"</f>
        <v>OTICAS TEIXEIRA LTDA EPP</v>
      </c>
      <c r="K1628" t="str">
        <f>"OTICA RAUL (2241)"</f>
        <v>OTICA RAUL (2241)</v>
      </c>
      <c r="L1628" t="str">
        <f>""</f>
        <v/>
      </c>
      <c r="M1628" t="str">
        <f>""</f>
        <v/>
      </c>
      <c r="N1628" t="str">
        <f>"rosi@oticaraul.com.br"</f>
        <v>rosi@oticaraul.com.br</v>
      </c>
      <c r="O1628" t="str">
        <f>""</f>
        <v/>
      </c>
      <c r="P1628" t="str">
        <f>"RUA JOHANN SACHSE"</f>
        <v>RUA JOHANN SACHSE</v>
      </c>
      <c r="Q1628" t="str">
        <f>"3155"</f>
        <v>3155</v>
      </c>
      <c r="R1628" t="str">
        <f>"LOJA 01"</f>
        <v>LOJA 01</v>
      </c>
      <c r="S1628" t="str">
        <f>"1273"</f>
        <v>1273</v>
      </c>
      <c r="T1628" t="str">
        <f>"89070400"</f>
        <v>89070400</v>
      </c>
      <c r="U1628" t="str">
        <f>"BADENFURT"</f>
        <v>BADENFURT</v>
      </c>
      <c r="V1628" t="str">
        <f>"BLUMENAU"</f>
        <v>BLUMENAU</v>
      </c>
      <c r="W1628" t="str">
        <f t="shared" si="807"/>
        <v>SC</v>
      </c>
      <c r="X1628" t="str">
        <f>"47"</f>
        <v>47</v>
      </c>
      <c r="Y1628" t="str">
        <f>"33396548"</f>
        <v>33396548</v>
      </c>
      <c r="Z1628" t="str">
        <f>""</f>
        <v/>
      </c>
      <c r="AA1628" t="str">
        <f>""</f>
        <v/>
      </c>
      <c r="AB1628" t="str">
        <f>""</f>
        <v/>
      </c>
      <c r="AC1628" t="str">
        <f>""</f>
        <v/>
      </c>
      <c r="AD1628" t="str">
        <f>""</f>
        <v/>
      </c>
      <c r="AE1628" t="str">
        <f>""</f>
        <v/>
      </c>
      <c r="AF1628" t="str">
        <f>""</f>
        <v/>
      </c>
      <c r="AG1628" t="str">
        <f>""</f>
        <v/>
      </c>
      <c r="AH1628" t="str">
        <f>""</f>
        <v/>
      </c>
      <c r="AI1628" t="str">
        <f>""</f>
        <v/>
      </c>
      <c r="AJ1628" t="str">
        <f>""</f>
        <v/>
      </c>
      <c r="AK1628" t="str">
        <f>""</f>
        <v/>
      </c>
      <c r="AL1628" t="str">
        <f>""</f>
        <v/>
      </c>
      <c r="AM1628" t="str">
        <f>""</f>
        <v/>
      </c>
      <c r="AN1628" t="str">
        <f>""</f>
        <v/>
      </c>
      <c r="AO1628" t="str">
        <f>""</f>
        <v/>
      </c>
      <c r="AP1628" t="str">
        <f>""</f>
        <v/>
      </c>
      <c r="AQ1628" t="str">
        <f>""</f>
        <v/>
      </c>
      <c r="AR1628" t="str">
        <f>""</f>
        <v/>
      </c>
      <c r="AS1628" t="str">
        <f>""</f>
        <v/>
      </c>
      <c r="AT1628" t="str">
        <f>""</f>
        <v/>
      </c>
      <c r="AU1628" t="str">
        <f>""</f>
        <v/>
      </c>
      <c r="AV1628" t="str">
        <f>""</f>
        <v/>
      </c>
      <c r="AW1628" t="str">
        <f>""</f>
        <v/>
      </c>
      <c r="AX1628" t="str">
        <f>""</f>
        <v/>
      </c>
      <c r="AY1628" t="str">
        <f>""</f>
        <v/>
      </c>
      <c r="AZ1628" t="str">
        <f>""</f>
        <v/>
      </c>
      <c r="BA1628" t="str">
        <f>""</f>
        <v/>
      </c>
      <c r="BB1628" t="str">
        <f t="shared" ref="BB1628:BB1634" si="843">"01/07/2021 13:53:04"</f>
        <v>01/07/2021 13:53:04</v>
      </c>
      <c r="BC1628" t="str">
        <f>""</f>
        <v/>
      </c>
      <c r="BD1628" t="str">
        <f>""</f>
        <v/>
      </c>
      <c r="BE1628" t="str">
        <f>""</f>
        <v/>
      </c>
      <c r="BF1628" t="str">
        <f t="shared" si="828"/>
        <v>A</v>
      </c>
      <c r="BG1628" t="str">
        <f>""</f>
        <v/>
      </c>
      <c r="BH1628" t="str">
        <f>""</f>
        <v/>
      </c>
      <c r="BI1628" t="str">
        <f>"EVENTUAL"</f>
        <v>EVENTUAL</v>
      </c>
      <c r="BJ1628" t="str">
        <f t="shared" si="829"/>
        <v>1</v>
      </c>
      <c r="BK1628" t="str">
        <f t="shared" si="830"/>
        <v>Farmacia</v>
      </c>
      <c r="BL1628" t="str">
        <f>""</f>
        <v/>
      </c>
      <c r="BM1628" t="str">
        <f t="shared" ref="BM1628:BM1635" si="844">"NÃO É VARILUX ESPECIALISTA"</f>
        <v>NÃO É VARILUX ESPECIALISTA</v>
      </c>
      <c r="BN1628" t="str">
        <f>"NA"</f>
        <v>NA</v>
      </c>
      <c r="BO1628" t="str">
        <f>"OUTROS"</f>
        <v>OUTROS</v>
      </c>
      <c r="BP1628" t="str">
        <f>""</f>
        <v/>
      </c>
      <c r="BQ1628" t="str">
        <f>""</f>
        <v/>
      </c>
      <c r="BR1628" t="str">
        <f t="shared" ref="BR1628:BR1634" si="845">"01/07/2021"</f>
        <v>01/07/2021</v>
      </c>
      <c r="BS1628" t="str">
        <f>""</f>
        <v/>
      </c>
      <c r="BT1628" t="str">
        <f>""</f>
        <v/>
      </c>
      <c r="BU1628" t="str">
        <f>""</f>
        <v/>
      </c>
      <c r="BV1628" t="str">
        <f>""</f>
        <v/>
      </c>
      <c r="BW1628" t="str">
        <f>"220"</f>
        <v>220</v>
      </c>
    </row>
    <row r="1629" spans="1:75" x14ac:dyDescent="0.35">
      <c r="A1629">
        <v>137835</v>
      </c>
      <c r="B1629" t="str">
        <f t="shared" si="825"/>
        <v>A</v>
      </c>
      <c r="C1629" t="str">
        <f t="shared" si="826"/>
        <v>80</v>
      </c>
      <c r="D1629" t="str">
        <f t="shared" si="809"/>
        <v>11121004</v>
      </c>
      <c r="E1629" t="str">
        <f t="shared" si="810"/>
        <v>121004</v>
      </c>
      <c r="F1629" t="str">
        <f t="shared" si="811"/>
        <v>FABIANA GODOY</v>
      </c>
      <c r="G1629" t="str">
        <f>"12447762000110"</f>
        <v>12447762000110</v>
      </c>
      <c r="H1629" t="str">
        <f t="shared" si="839"/>
        <v>0</v>
      </c>
      <c r="I1629" t="str">
        <f t="shared" si="827"/>
        <v>CONTA OPTICA</v>
      </c>
      <c r="J1629" t="str">
        <f>"OTICAS TEIXEIRA LTDA ME"</f>
        <v>OTICAS TEIXEIRA LTDA ME</v>
      </c>
      <c r="K1629" t="str">
        <f>"OTICA RAUL (1784)"</f>
        <v>OTICA RAUL (1784)</v>
      </c>
      <c r="L1629" t="str">
        <f>""</f>
        <v/>
      </c>
      <c r="M1629" t="str">
        <f>""</f>
        <v/>
      </c>
      <c r="N1629" t="str">
        <f>"rosi@oticaraul.com.br"</f>
        <v>rosi@oticaraul.com.br</v>
      </c>
      <c r="O1629" t="str">
        <f>""</f>
        <v/>
      </c>
      <c r="P1629" t="str">
        <f>"RUA SETE DE SETEMBRO"</f>
        <v>RUA SETE DE SETEMBRO</v>
      </c>
      <c r="Q1629" t="str">
        <f>"981"</f>
        <v>981</v>
      </c>
      <c r="R1629" t="str">
        <f>""</f>
        <v/>
      </c>
      <c r="S1629" t="str">
        <f>"1271"</f>
        <v>1271</v>
      </c>
      <c r="T1629" t="str">
        <f>"89010201"</f>
        <v>89010201</v>
      </c>
      <c r="U1629" t="str">
        <f>"CENTRO"</f>
        <v>CENTRO</v>
      </c>
      <c r="V1629" t="str">
        <f>"BLUMENAU"</f>
        <v>BLUMENAU</v>
      </c>
      <c r="W1629" t="str">
        <f t="shared" si="807"/>
        <v>SC</v>
      </c>
      <c r="X1629" t="str">
        <f>"47"</f>
        <v>47</v>
      </c>
      <c r="Y1629" t="str">
        <f>"33260768"</f>
        <v>33260768</v>
      </c>
      <c r="Z1629" t="str">
        <f>""</f>
        <v/>
      </c>
      <c r="AA1629" t="str">
        <f>""</f>
        <v/>
      </c>
      <c r="AB1629" t="str">
        <f>""</f>
        <v/>
      </c>
      <c r="AC1629" t="str">
        <f>""</f>
        <v/>
      </c>
      <c r="AD1629" t="str">
        <f>""</f>
        <v/>
      </c>
      <c r="AE1629" t="str">
        <f>""</f>
        <v/>
      </c>
      <c r="AF1629" t="str">
        <f>""</f>
        <v/>
      </c>
      <c r="AG1629" t="str">
        <f>"S"</f>
        <v>S</v>
      </c>
      <c r="AH1629" t="str">
        <f>""</f>
        <v/>
      </c>
      <c r="AI1629" t="str">
        <f>""</f>
        <v/>
      </c>
      <c r="AJ1629" t="str">
        <f>""</f>
        <v/>
      </c>
      <c r="AK1629" t="str">
        <f>""</f>
        <v/>
      </c>
      <c r="AL1629" t="str">
        <f>""</f>
        <v/>
      </c>
      <c r="AM1629" t="str">
        <f>""</f>
        <v/>
      </c>
      <c r="AN1629" t="str">
        <f>""</f>
        <v/>
      </c>
      <c r="AO1629" t="str">
        <f>""</f>
        <v/>
      </c>
      <c r="AP1629" t="str">
        <f>""</f>
        <v/>
      </c>
      <c r="AQ1629" t="str">
        <f t="shared" ref="AQ1629:AU1630" si="846">"N"</f>
        <v>N</v>
      </c>
      <c r="AR1629" t="str">
        <f t="shared" si="846"/>
        <v>N</v>
      </c>
      <c r="AS1629" t="str">
        <f t="shared" si="846"/>
        <v>N</v>
      </c>
      <c r="AT1629" t="str">
        <f t="shared" si="846"/>
        <v>N</v>
      </c>
      <c r="AU1629" t="str">
        <f t="shared" si="846"/>
        <v>N</v>
      </c>
      <c r="AV1629" t="str">
        <f>""</f>
        <v/>
      </c>
      <c r="AW1629" t="str">
        <f>""</f>
        <v/>
      </c>
      <c r="AX1629" t="str">
        <f>""</f>
        <v/>
      </c>
      <c r="AY1629" t="str">
        <f>""</f>
        <v/>
      </c>
      <c r="AZ1629" t="str">
        <f>""</f>
        <v/>
      </c>
      <c r="BA1629" t="str">
        <f>""</f>
        <v/>
      </c>
      <c r="BB1629" t="str">
        <f t="shared" si="843"/>
        <v>01/07/2021 13:53:04</v>
      </c>
      <c r="BC1629" t="str">
        <f>"21/03/2022 12:27:46"</f>
        <v>21/03/2022 12:27:46</v>
      </c>
      <c r="BD1629" t="str">
        <f>""</f>
        <v/>
      </c>
      <c r="BE1629" t="str">
        <f>""</f>
        <v/>
      </c>
      <c r="BF1629" t="str">
        <f t="shared" si="828"/>
        <v>A</v>
      </c>
      <c r="BG1629" t="str">
        <f>""</f>
        <v/>
      </c>
      <c r="BH1629" t="str">
        <f>"0,00"</f>
        <v>0,00</v>
      </c>
      <c r="BI1629" t="str">
        <f>"EVENTUAL"</f>
        <v>EVENTUAL</v>
      </c>
      <c r="BJ1629" t="str">
        <f t="shared" si="829"/>
        <v>1</v>
      </c>
      <c r="BK1629" t="str">
        <f t="shared" si="830"/>
        <v>Farmacia</v>
      </c>
      <c r="BL1629" t="str">
        <f>""</f>
        <v/>
      </c>
      <c r="BM1629" t="str">
        <f t="shared" si="844"/>
        <v>NÃO É VARILUX ESPECIALISTA</v>
      </c>
      <c r="BN1629" t="str">
        <f>"NA"</f>
        <v>NA</v>
      </c>
      <c r="BO1629" t="str">
        <f>""</f>
        <v/>
      </c>
      <c r="BP1629" t="str">
        <f>""</f>
        <v/>
      </c>
      <c r="BQ1629" t="str">
        <f>""</f>
        <v/>
      </c>
      <c r="BR1629" t="str">
        <f t="shared" si="845"/>
        <v>01/07/2021</v>
      </c>
      <c r="BS1629" t="str">
        <f>"21/03/2022"</f>
        <v>21/03/2022</v>
      </c>
      <c r="BT1629" t="str">
        <f>""</f>
        <v/>
      </c>
      <c r="BU1629" t="str">
        <f>""</f>
        <v/>
      </c>
      <c r="BV1629" t="str">
        <f>""</f>
        <v/>
      </c>
      <c r="BW1629" t="str">
        <f>"11"</f>
        <v>11</v>
      </c>
    </row>
    <row r="1630" spans="1:75" x14ac:dyDescent="0.35">
      <c r="A1630">
        <v>137836</v>
      </c>
      <c r="B1630" t="str">
        <f t="shared" si="825"/>
        <v>A</v>
      </c>
      <c r="C1630" t="str">
        <f t="shared" si="826"/>
        <v>80</v>
      </c>
      <c r="D1630" t="str">
        <f t="shared" si="809"/>
        <v>11121004</v>
      </c>
      <c r="E1630" t="str">
        <f t="shared" si="810"/>
        <v>121004</v>
      </c>
      <c r="F1630" t="str">
        <f t="shared" si="811"/>
        <v>FABIANA GODOY</v>
      </c>
      <c r="G1630" t="str">
        <f>"12447762000462"</f>
        <v>12447762000462</v>
      </c>
      <c r="H1630" t="str">
        <f t="shared" si="839"/>
        <v>0</v>
      </c>
      <c r="I1630" t="str">
        <f t="shared" si="827"/>
        <v>CONTA OPTICA</v>
      </c>
      <c r="J1630" t="str">
        <f>"OTICAS TEIXEIRA LTDA ME"</f>
        <v>OTICAS TEIXEIRA LTDA ME</v>
      </c>
      <c r="K1630" t="str">
        <f>"OTICA RAUL (2242)"</f>
        <v>OTICA RAUL (2242)</v>
      </c>
      <c r="L1630" t="str">
        <f>""</f>
        <v/>
      </c>
      <c r="M1630" t="str">
        <f>""</f>
        <v/>
      </c>
      <c r="N1630" t="str">
        <f>"rosi@oticaraul.com.br"</f>
        <v>rosi@oticaraul.com.br</v>
      </c>
      <c r="O1630" t="str">
        <f>""</f>
        <v/>
      </c>
      <c r="P1630" t="str">
        <f>"RUA NEREU RAMOS"</f>
        <v>RUA NEREU RAMOS</v>
      </c>
      <c r="Q1630" t="str">
        <f>"1299"</f>
        <v>1299</v>
      </c>
      <c r="R1630" t="str">
        <f>"LOJA 01"</f>
        <v>LOJA 01</v>
      </c>
      <c r="S1630" t="str">
        <f>"1263"</f>
        <v>1263</v>
      </c>
      <c r="T1630" t="str">
        <f>"88385000"</f>
        <v>88385000</v>
      </c>
      <c r="U1630" t="str">
        <f>"CENTRO"</f>
        <v>CENTRO</v>
      </c>
      <c r="V1630" t="str">
        <f>"PENHA"</f>
        <v>PENHA</v>
      </c>
      <c r="W1630" t="str">
        <f t="shared" si="807"/>
        <v>SC</v>
      </c>
      <c r="X1630" t="str">
        <f>"47"</f>
        <v>47</v>
      </c>
      <c r="Y1630" t="str">
        <f>"33452102"</f>
        <v>33452102</v>
      </c>
      <c r="Z1630" t="str">
        <f>""</f>
        <v/>
      </c>
      <c r="AA1630" t="str">
        <f>""</f>
        <v/>
      </c>
      <c r="AB1630" t="str">
        <f>""</f>
        <v/>
      </c>
      <c r="AC1630" t="str">
        <f>""</f>
        <v/>
      </c>
      <c r="AD1630" t="str">
        <f>""</f>
        <v/>
      </c>
      <c r="AE1630" t="str">
        <f>""</f>
        <v/>
      </c>
      <c r="AF1630" t="str">
        <f>""</f>
        <v/>
      </c>
      <c r="AG1630" t="str">
        <f>"S"</f>
        <v>S</v>
      </c>
      <c r="AH1630" t="str">
        <f>""</f>
        <v/>
      </c>
      <c r="AI1630" t="str">
        <f>""</f>
        <v/>
      </c>
      <c r="AJ1630" t="str">
        <f>""</f>
        <v/>
      </c>
      <c r="AK1630" t="str">
        <f>""</f>
        <v/>
      </c>
      <c r="AL1630" t="str">
        <f>""</f>
        <v/>
      </c>
      <c r="AM1630" t="str">
        <f>""</f>
        <v/>
      </c>
      <c r="AN1630" t="str">
        <f>""</f>
        <v/>
      </c>
      <c r="AO1630" t="str">
        <f>""</f>
        <v/>
      </c>
      <c r="AP1630" t="str">
        <f>""</f>
        <v/>
      </c>
      <c r="AQ1630" t="str">
        <f t="shared" si="846"/>
        <v>N</v>
      </c>
      <c r="AR1630" t="str">
        <f t="shared" si="846"/>
        <v>N</v>
      </c>
      <c r="AS1630" t="str">
        <f t="shared" si="846"/>
        <v>N</v>
      </c>
      <c r="AT1630" t="str">
        <f t="shared" si="846"/>
        <v>N</v>
      </c>
      <c r="AU1630" t="str">
        <f t="shared" si="846"/>
        <v>N</v>
      </c>
      <c r="AV1630" t="str">
        <f>""</f>
        <v/>
      </c>
      <c r="AW1630" t="str">
        <f>""</f>
        <v/>
      </c>
      <c r="AX1630" t="str">
        <f>""</f>
        <v/>
      </c>
      <c r="AY1630" t="str">
        <f>""</f>
        <v/>
      </c>
      <c r="AZ1630" t="str">
        <f>""</f>
        <v/>
      </c>
      <c r="BA1630" t="str">
        <f>""</f>
        <v/>
      </c>
      <c r="BB1630" t="str">
        <f t="shared" si="843"/>
        <v>01/07/2021 13:53:04</v>
      </c>
      <c r="BC1630" t="str">
        <f>"24/10/2022 16:57:01"</f>
        <v>24/10/2022 16:57:01</v>
      </c>
      <c r="BD1630" t="str">
        <f>""</f>
        <v/>
      </c>
      <c r="BE1630" t="str">
        <f>""</f>
        <v/>
      </c>
      <c r="BF1630" t="str">
        <f t="shared" si="828"/>
        <v>A</v>
      </c>
      <c r="BG1630" t="str">
        <f>""</f>
        <v/>
      </c>
      <c r="BH1630" t="str">
        <f>"0,00"</f>
        <v>0,00</v>
      </c>
      <c r="BI1630" t="str">
        <f>"EVENTUAL"</f>
        <v>EVENTUAL</v>
      </c>
      <c r="BJ1630" t="str">
        <f t="shared" si="829"/>
        <v>1</v>
      </c>
      <c r="BK1630" t="str">
        <f t="shared" si="830"/>
        <v>Farmacia</v>
      </c>
      <c r="BL1630" t="str">
        <f>""</f>
        <v/>
      </c>
      <c r="BM1630" t="str">
        <f t="shared" si="844"/>
        <v>NÃO É VARILUX ESPECIALISTA</v>
      </c>
      <c r="BN1630" t="str">
        <f>"NA"</f>
        <v>NA</v>
      </c>
      <c r="BO1630" t="str">
        <f>"OUTROS"</f>
        <v>OUTROS</v>
      </c>
      <c r="BP1630" t="str">
        <f>""</f>
        <v/>
      </c>
      <c r="BQ1630" t="str">
        <f>""</f>
        <v/>
      </c>
      <c r="BR1630" t="str">
        <f t="shared" si="845"/>
        <v>01/07/2021</v>
      </c>
      <c r="BS1630" t="str">
        <f>"24/10/2022"</f>
        <v>24/10/2022</v>
      </c>
      <c r="BT1630" t="str">
        <f>""</f>
        <v/>
      </c>
      <c r="BU1630" t="str">
        <f>""</f>
        <v/>
      </c>
      <c r="BV1630" t="str">
        <f>""</f>
        <v/>
      </c>
      <c r="BW1630" t="str">
        <f>"144"</f>
        <v>144</v>
      </c>
    </row>
    <row r="1631" spans="1:75" x14ac:dyDescent="0.35">
      <c r="A1631">
        <v>137837</v>
      </c>
      <c r="B1631" t="str">
        <f t="shared" si="825"/>
        <v>A</v>
      </c>
      <c r="C1631" t="str">
        <f t="shared" si="826"/>
        <v>80</v>
      </c>
      <c r="D1631" t="str">
        <f t="shared" si="809"/>
        <v>11121004</v>
      </c>
      <c r="E1631" t="str">
        <f t="shared" si="810"/>
        <v>121004</v>
      </c>
      <c r="F1631" t="str">
        <f t="shared" si="811"/>
        <v>FABIANA GODOY</v>
      </c>
      <c r="G1631" t="str">
        <f>"28097672000186"</f>
        <v>28097672000186</v>
      </c>
      <c r="H1631" t="str">
        <f t="shared" si="839"/>
        <v>0</v>
      </c>
      <c r="I1631" t="str">
        <f t="shared" si="827"/>
        <v>CONTA OPTICA</v>
      </c>
      <c r="J1631" t="str">
        <f>"PATRICIA CARLA MINUZI"</f>
        <v>PATRICIA CARLA MINUZI</v>
      </c>
      <c r="K1631" t="str">
        <f>"MERCADAO DOS OCULOS (3939)"</f>
        <v>MERCADAO DOS OCULOS (3939)</v>
      </c>
      <c r="L1631" t="str">
        <f>""</f>
        <v/>
      </c>
      <c r="M1631" t="str">
        <f>""</f>
        <v/>
      </c>
      <c r="N1631" t="str">
        <f>"balneariocamboriu@mercadaodosoculos.com.br"</f>
        <v>balneariocamboriu@mercadaodosoculos.com.br</v>
      </c>
      <c r="O1631" t="str">
        <f>""</f>
        <v/>
      </c>
      <c r="P1631" t="str">
        <f>"RUA BRASIL"</f>
        <v>RUA BRASIL</v>
      </c>
      <c r="Q1631" t="str">
        <f>"1811"</f>
        <v>1811</v>
      </c>
      <c r="R1631" t="str">
        <f>"SALA 02"</f>
        <v>SALA 02</v>
      </c>
      <c r="S1631" t="str">
        <f>"1262"</f>
        <v>1262</v>
      </c>
      <c r="T1631" t="str">
        <f>"88330050"</f>
        <v>88330050</v>
      </c>
      <c r="U1631" t="str">
        <f>"CENTRO"</f>
        <v>CENTRO</v>
      </c>
      <c r="V1631" t="str">
        <f>"BALNEARIO CAMBORIU"</f>
        <v>BALNEARIO CAMBORIU</v>
      </c>
      <c r="W1631" t="str">
        <f t="shared" si="807"/>
        <v>SC</v>
      </c>
      <c r="X1631" t="str">
        <f>"46"</f>
        <v>46</v>
      </c>
      <c r="Y1631" t="str">
        <f>"991158784"</f>
        <v>991158784</v>
      </c>
      <c r="Z1631" t="str">
        <f>""</f>
        <v/>
      </c>
      <c r="AA1631" t="str">
        <f>""</f>
        <v/>
      </c>
      <c r="AB1631" t="str">
        <f>""</f>
        <v/>
      </c>
      <c r="AC1631" t="str">
        <f>""</f>
        <v/>
      </c>
      <c r="AD1631" t="str">
        <f>""</f>
        <v/>
      </c>
      <c r="AE1631" t="str">
        <f>""</f>
        <v/>
      </c>
      <c r="AF1631" t="str">
        <f>""</f>
        <v/>
      </c>
      <c r="AG1631" t="str">
        <f>""</f>
        <v/>
      </c>
      <c r="AH1631" t="str">
        <f>""</f>
        <v/>
      </c>
      <c r="AI1631" t="str">
        <f>""</f>
        <v/>
      </c>
      <c r="AJ1631" t="str">
        <f>""</f>
        <v/>
      </c>
      <c r="AK1631" t="str">
        <f>""</f>
        <v/>
      </c>
      <c r="AL1631" t="str">
        <f>""</f>
        <v/>
      </c>
      <c r="AM1631" t="str">
        <f>""</f>
        <v/>
      </c>
      <c r="AN1631" t="str">
        <f>""</f>
        <v/>
      </c>
      <c r="AO1631" t="str">
        <f>""</f>
        <v/>
      </c>
      <c r="AP1631" t="str">
        <f>""</f>
        <v/>
      </c>
      <c r="AQ1631" t="str">
        <f>""</f>
        <v/>
      </c>
      <c r="AR1631" t="str">
        <f>""</f>
        <v/>
      </c>
      <c r="AS1631" t="str">
        <f>""</f>
        <v/>
      </c>
      <c r="AT1631" t="str">
        <f>""</f>
        <v/>
      </c>
      <c r="AU1631" t="str">
        <f>""</f>
        <v/>
      </c>
      <c r="AV1631" t="str">
        <f>""</f>
        <v/>
      </c>
      <c r="AW1631" t="str">
        <f>""</f>
        <v/>
      </c>
      <c r="AX1631" t="str">
        <f>""</f>
        <v/>
      </c>
      <c r="AY1631" t="str">
        <f>""</f>
        <v/>
      </c>
      <c r="AZ1631" t="str">
        <f>""</f>
        <v/>
      </c>
      <c r="BA1631" t="str">
        <f>""</f>
        <v/>
      </c>
      <c r="BB1631" t="str">
        <f t="shared" si="843"/>
        <v>01/07/2021 13:53:04</v>
      </c>
      <c r="BC1631" t="str">
        <f>""</f>
        <v/>
      </c>
      <c r="BD1631" t="str">
        <f>""</f>
        <v/>
      </c>
      <c r="BE1631" t="str">
        <f>""</f>
        <v/>
      </c>
      <c r="BF1631" t="str">
        <f t="shared" si="828"/>
        <v>A</v>
      </c>
      <c r="BG1631" t="str">
        <f>""</f>
        <v/>
      </c>
      <c r="BH1631" t="str">
        <f>""</f>
        <v/>
      </c>
      <c r="BI1631" t="str">
        <f>"EVENTUAL"</f>
        <v>EVENTUAL</v>
      </c>
      <c r="BJ1631" t="str">
        <f t="shared" si="829"/>
        <v>1</v>
      </c>
      <c r="BK1631" t="str">
        <f t="shared" si="830"/>
        <v>Farmacia</v>
      </c>
      <c r="BL1631" t="str">
        <f>""</f>
        <v/>
      </c>
      <c r="BM1631" t="str">
        <f t="shared" si="844"/>
        <v>NÃO É VARILUX ESPECIALISTA</v>
      </c>
      <c r="BN1631" t="str">
        <f>"NA"</f>
        <v>NA</v>
      </c>
      <c r="BO1631" t="str">
        <f>"FOCO VARILUX DIGITAL"</f>
        <v>FOCO VARILUX DIGITAL</v>
      </c>
      <c r="BP1631" t="str">
        <f>""</f>
        <v/>
      </c>
      <c r="BQ1631" t="str">
        <f>""</f>
        <v/>
      </c>
      <c r="BR1631" t="str">
        <f t="shared" si="845"/>
        <v>01/07/2021</v>
      </c>
      <c r="BS1631" t="str">
        <f>""</f>
        <v/>
      </c>
      <c r="BT1631" t="str">
        <f>""</f>
        <v/>
      </c>
      <c r="BU1631" t="str">
        <f>""</f>
        <v/>
      </c>
      <c r="BV1631" t="str">
        <f>""</f>
        <v/>
      </c>
      <c r="BW1631" t="str">
        <f>"Não visitado"</f>
        <v>Não visitado</v>
      </c>
    </row>
    <row r="1632" spans="1:75" x14ac:dyDescent="0.35">
      <c r="A1632">
        <v>137838</v>
      </c>
      <c r="B1632" t="str">
        <f t="shared" si="825"/>
        <v>A</v>
      </c>
      <c r="C1632" t="str">
        <f t="shared" si="826"/>
        <v>80</v>
      </c>
      <c r="D1632" t="str">
        <f t="shared" si="809"/>
        <v>11121004</v>
      </c>
      <c r="E1632" t="str">
        <f t="shared" si="810"/>
        <v>121004</v>
      </c>
      <c r="F1632" t="str">
        <f t="shared" si="811"/>
        <v>FABIANA GODOY</v>
      </c>
      <c r="G1632" t="str">
        <f>"15638488000154"</f>
        <v>15638488000154</v>
      </c>
      <c r="H1632" t="str">
        <f t="shared" si="839"/>
        <v>0</v>
      </c>
      <c r="I1632" t="str">
        <f t="shared" si="827"/>
        <v>CONTA OPTICA</v>
      </c>
      <c r="J1632" t="str">
        <f>"PATRICIA DOS SANTOS ZAMPIERI ME"</f>
        <v>PATRICIA DOS SANTOS ZAMPIERI ME</v>
      </c>
      <c r="K1632" t="str">
        <f>"OTICA KI OLHAR (1903)"</f>
        <v>OTICA KI OLHAR (1903)</v>
      </c>
      <c r="L1632" t="str">
        <f>""</f>
        <v/>
      </c>
      <c r="M1632" t="str">
        <f>""</f>
        <v/>
      </c>
      <c r="N1632" t="str">
        <f>"oticakiolhar@hotmail.com"</f>
        <v>oticakiolhar@hotmail.com</v>
      </c>
      <c r="O1632" t="str">
        <f>""</f>
        <v/>
      </c>
      <c r="P1632" t="str">
        <f>"AVENIDA LISBOA"</f>
        <v>AVENIDA LISBOA</v>
      </c>
      <c r="Q1632" t="str">
        <f>"99"</f>
        <v>99</v>
      </c>
      <c r="R1632" t="str">
        <f>"SALA 05"</f>
        <v>SALA 05</v>
      </c>
      <c r="S1632" t="str">
        <f>"1273"</f>
        <v>1273</v>
      </c>
      <c r="T1632" t="str">
        <f>"89052600"</f>
        <v>89052600</v>
      </c>
      <c r="U1632" t="str">
        <f>"ITOUPAVA NORTE"</f>
        <v>ITOUPAVA NORTE</v>
      </c>
      <c r="V1632" t="str">
        <f>"BLUMENAU"</f>
        <v>BLUMENAU</v>
      </c>
      <c r="W1632" t="str">
        <f t="shared" si="807"/>
        <v>SC</v>
      </c>
      <c r="X1632" t="str">
        <f t="shared" ref="X1632:X1679" si="847">"47"</f>
        <v>47</v>
      </c>
      <c r="Y1632" t="str">
        <f>"30352025"</f>
        <v>30352025</v>
      </c>
      <c r="Z1632" t="str">
        <f>""</f>
        <v/>
      </c>
      <c r="AA1632" t="str">
        <f>""</f>
        <v/>
      </c>
      <c r="AB1632" t="str">
        <f>""</f>
        <v/>
      </c>
      <c r="AC1632" t="str">
        <f>""</f>
        <v/>
      </c>
      <c r="AD1632" t="str">
        <f>""</f>
        <v/>
      </c>
      <c r="AE1632" t="str">
        <f>""</f>
        <v/>
      </c>
      <c r="AF1632" t="str">
        <f>""</f>
        <v/>
      </c>
      <c r="AG1632" t="str">
        <f>"S"</f>
        <v>S</v>
      </c>
      <c r="AH1632" t="str">
        <f>""</f>
        <v/>
      </c>
      <c r="AI1632" t="str">
        <f>""</f>
        <v/>
      </c>
      <c r="AJ1632" t="str">
        <f>""</f>
        <v/>
      </c>
      <c r="AK1632" t="str">
        <f>""</f>
        <v/>
      </c>
      <c r="AL1632" t="str">
        <f>""</f>
        <v/>
      </c>
      <c r="AM1632" t="str">
        <f>""</f>
        <v/>
      </c>
      <c r="AN1632" t="str">
        <f>""</f>
        <v/>
      </c>
      <c r="AO1632" t="str">
        <f>""</f>
        <v/>
      </c>
      <c r="AP1632" t="str">
        <f>""</f>
        <v/>
      </c>
      <c r="AQ1632" t="str">
        <f>"N"</f>
        <v>N</v>
      </c>
      <c r="AR1632" t="str">
        <f>"N"</f>
        <v>N</v>
      </c>
      <c r="AS1632" t="str">
        <f>"N"</f>
        <v>N</v>
      </c>
      <c r="AT1632" t="str">
        <f>"N"</f>
        <v>N</v>
      </c>
      <c r="AU1632" t="str">
        <f>"N"</f>
        <v>N</v>
      </c>
      <c r="AV1632" t="str">
        <f>""</f>
        <v/>
      </c>
      <c r="AW1632" t="str">
        <f>""</f>
        <v/>
      </c>
      <c r="AX1632" t="str">
        <f>""</f>
        <v/>
      </c>
      <c r="AY1632" t="str">
        <f>""</f>
        <v/>
      </c>
      <c r="AZ1632" t="str">
        <f>""</f>
        <v/>
      </c>
      <c r="BA1632" t="str">
        <f>""</f>
        <v/>
      </c>
      <c r="BB1632" t="str">
        <f t="shared" si="843"/>
        <v>01/07/2021 13:53:04</v>
      </c>
      <c r="BC1632" t="str">
        <f>"19/07/2023 15:18:29"</f>
        <v>19/07/2023 15:18:29</v>
      </c>
      <c r="BD1632" t="str">
        <f>""</f>
        <v/>
      </c>
      <c r="BE1632" t="str">
        <f>""</f>
        <v/>
      </c>
      <c r="BF1632" t="str">
        <f t="shared" si="828"/>
        <v>A</v>
      </c>
      <c r="BG1632" t="str">
        <f>""</f>
        <v/>
      </c>
      <c r="BH1632" t="str">
        <f>"0,00"</f>
        <v>0,00</v>
      </c>
      <c r="BI1632" t="str">
        <f>"MENSAL"</f>
        <v>MENSAL</v>
      </c>
      <c r="BJ1632" t="str">
        <f t="shared" si="829"/>
        <v>1</v>
      </c>
      <c r="BK1632" t="str">
        <f t="shared" si="830"/>
        <v>Farmacia</v>
      </c>
      <c r="BL1632" t="str">
        <f>""</f>
        <v/>
      </c>
      <c r="BM1632" t="str">
        <f t="shared" si="844"/>
        <v>NÃO É VARILUX ESPECIALISTA</v>
      </c>
      <c r="BN1632" t="str">
        <f>"EL360"</f>
        <v>EL360</v>
      </c>
      <c r="BO1632" t="str">
        <f>""</f>
        <v/>
      </c>
      <c r="BP1632" t="str">
        <f>""</f>
        <v/>
      </c>
      <c r="BQ1632" t="str">
        <f>""</f>
        <v/>
      </c>
      <c r="BR1632" t="str">
        <f t="shared" si="845"/>
        <v>01/07/2021</v>
      </c>
      <c r="BS1632" t="str">
        <f>"19/07/2023"</f>
        <v>19/07/2023</v>
      </c>
      <c r="BT1632" t="str">
        <f>""</f>
        <v/>
      </c>
      <c r="BU1632" t="str">
        <f>""</f>
        <v/>
      </c>
      <c r="BV1632" t="str">
        <f>""</f>
        <v/>
      </c>
      <c r="BW1632" t="str">
        <f>"7"</f>
        <v>7</v>
      </c>
    </row>
    <row r="1633" spans="1:75" x14ac:dyDescent="0.35">
      <c r="A1633">
        <v>137840</v>
      </c>
      <c r="B1633" t="str">
        <f t="shared" si="825"/>
        <v>A</v>
      </c>
      <c r="C1633" t="str">
        <f t="shared" si="826"/>
        <v>80</v>
      </c>
      <c r="D1633" t="str">
        <f t="shared" si="809"/>
        <v>11121004</v>
      </c>
      <c r="E1633" t="str">
        <f t="shared" si="810"/>
        <v>121004</v>
      </c>
      <c r="F1633" t="str">
        <f t="shared" si="811"/>
        <v>FABIANA GODOY</v>
      </c>
      <c r="G1633" t="str">
        <f>"19963088000337"</f>
        <v>19963088000337</v>
      </c>
      <c r="H1633" t="str">
        <f t="shared" si="839"/>
        <v>0</v>
      </c>
      <c r="I1633" t="str">
        <f t="shared" si="827"/>
        <v>CONTA OPTICA</v>
      </c>
      <c r="J1633" t="str">
        <f>"PAULO LUIZ GERHARDT - ME"</f>
        <v>PAULO LUIZ GERHARDT - ME</v>
      </c>
      <c r="K1633" t="str">
        <f>"OTICAS CAROL (3333)"</f>
        <v>OTICAS CAROL (3333)</v>
      </c>
      <c r="L1633" t="str">
        <f>""</f>
        <v/>
      </c>
      <c r="M1633" t="str">
        <f>""</f>
        <v/>
      </c>
      <c r="N1633" t="str">
        <f>"paulolgerhardt@hotmail.com"</f>
        <v>paulolgerhardt@hotmail.com</v>
      </c>
      <c r="O1633" t="str">
        <f>""</f>
        <v/>
      </c>
      <c r="P1633" t="str">
        <f>"RUA BRASIL"</f>
        <v>RUA BRASIL</v>
      </c>
      <c r="Q1633" t="str">
        <f>"1640"</f>
        <v>1640</v>
      </c>
      <c r="R1633" t="str">
        <f>"SALA 01"</f>
        <v>SALA 01</v>
      </c>
      <c r="S1633" t="str">
        <f>"1262"</f>
        <v>1262</v>
      </c>
      <c r="T1633" t="str">
        <f>"88330050"</f>
        <v>88330050</v>
      </c>
      <c r="U1633" t="str">
        <f t="shared" ref="U1633:U1638" si="848">"CENTRO"</f>
        <v>CENTRO</v>
      </c>
      <c r="V1633" t="str">
        <f>"BALNEARIO CAMBORIU"</f>
        <v>BALNEARIO CAMBORIU</v>
      </c>
      <c r="W1633" t="str">
        <f t="shared" si="807"/>
        <v>SC</v>
      </c>
      <c r="X1633" t="str">
        <f t="shared" si="847"/>
        <v>47</v>
      </c>
      <c r="Y1633" t="str">
        <f>"33981459"</f>
        <v>33981459</v>
      </c>
      <c r="Z1633" t="str">
        <f>""</f>
        <v/>
      </c>
      <c r="AA1633" t="str">
        <f>""</f>
        <v/>
      </c>
      <c r="AB1633" t="str">
        <f>""</f>
        <v/>
      </c>
      <c r="AC1633" t="str">
        <f>""</f>
        <v/>
      </c>
      <c r="AD1633" t="str">
        <f>""</f>
        <v/>
      </c>
      <c r="AE1633" t="str">
        <f>""</f>
        <v/>
      </c>
      <c r="AF1633" t="str">
        <f>""</f>
        <v/>
      </c>
      <c r="AG1633" t="str">
        <f>""</f>
        <v/>
      </c>
      <c r="AH1633" t="str">
        <f>""</f>
        <v/>
      </c>
      <c r="AI1633" t="str">
        <f>""</f>
        <v/>
      </c>
      <c r="AJ1633" t="str">
        <f>""</f>
        <v/>
      </c>
      <c r="AK1633" t="str">
        <f>""</f>
        <v/>
      </c>
      <c r="AL1633" t="str">
        <f>""</f>
        <v/>
      </c>
      <c r="AM1633" t="str">
        <f>""</f>
        <v/>
      </c>
      <c r="AN1633" t="str">
        <f>""</f>
        <v/>
      </c>
      <c r="AO1633" t="str">
        <f>""</f>
        <v/>
      </c>
      <c r="AP1633" t="str">
        <f>""</f>
        <v/>
      </c>
      <c r="AQ1633" t="str">
        <f>""</f>
        <v/>
      </c>
      <c r="AR1633" t="str">
        <f>""</f>
        <v/>
      </c>
      <c r="AS1633" t="str">
        <f>""</f>
        <v/>
      </c>
      <c r="AT1633" t="str">
        <f>""</f>
        <v/>
      </c>
      <c r="AU1633" t="str">
        <f>""</f>
        <v/>
      </c>
      <c r="AV1633" t="str">
        <f>""</f>
        <v/>
      </c>
      <c r="AW1633" t="str">
        <f>""</f>
        <v/>
      </c>
      <c r="AX1633" t="str">
        <f>""</f>
        <v/>
      </c>
      <c r="AY1633" t="str">
        <f>""</f>
        <v/>
      </c>
      <c r="AZ1633" t="str">
        <f>""</f>
        <v/>
      </c>
      <c r="BA1633" t="str">
        <f>""</f>
        <v/>
      </c>
      <c r="BB1633" t="str">
        <f t="shared" si="843"/>
        <v>01/07/2021 13:53:04</v>
      </c>
      <c r="BC1633" t="str">
        <f>""</f>
        <v/>
      </c>
      <c r="BD1633" t="str">
        <f>""</f>
        <v/>
      </c>
      <c r="BE1633" t="str">
        <f>""</f>
        <v/>
      </c>
      <c r="BF1633" t="str">
        <f t="shared" si="828"/>
        <v>A</v>
      </c>
      <c r="BG1633" t="str">
        <f>""</f>
        <v/>
      </c>
      <c r="BH1633" t="str">
        <f>""</f>
        <v/>
      </c>
      <c r="BI1633" t="str">
        <f t="shared" ref="BI1633:BI1641" si="849">"EVENTUAL"</f>
        <v>EVENTUAL</v>
      </c>
      <c r="BJ1633" t="str">
        <f t="shared" si="829"/>
        <v>1</v>
      </c>
      <c r="BK1633" t="str">
        <f t="shared" si="830"/>
        <v>Farmacia</v>
      </c>
      <c r="BL1633" t="str">
        <f>""</f>
        <v/>
      </c>
      <c r="BM1633" t="str">
        <f t="shared" si="844"/>
        <v>NÃO É VARILUX ESPECIALISTA</v>
      </c>
      <c r="BN1633" t="str">
        <f>"NA"</f>
        <v>NA</v>
      </c>
      <c r="BO1633" t="str">
        <f>"FOCO VARILUX"</f>
        <v>FOCO VARILUX</v>
      </c>
      <c r="BP1633" t="str">
        <f>""</f>
        <v/>
      </c>
      <c r="BQ1633" t="str">
        <f>""</f>
        <v/>
      </c>
      <c r="BR1633" t="str">
        <f t="shared" si="845"/>
        <v>01/07/2021</v>
      </c>
      <c r="BS1633" t="str">
        <f>""</f>
        <v/>
      </c>
      <c r="BT1633" t="str">
        <f>""</f>
        <v/>
      </c>
      <c r="BU1633" t="str">
        <f>""</f>
        <v/>
      </c>
      <c r="BV1633" t="str">
        <f>""</f>
        <v/>
      </c>
      <c r="BW1633" t="str">
        <f>"Não visitado"</f>
        <v>Não visitado</v>
      </c>
    </row>
    <row r="1634" spans="1:75" x14ac:dyDescent="0.35">
      <c r="A1634">
        <v>137842</v>
      </c>
      <c r="B1634" t="str">
        <f t="shared" si="825"/>
        <v>A</v>
      </c>
      <c r="C1634" t="str">
        <f t="shared" si="826"/>
        <v>80</v>
      </c>
      <c r="D1634" t="str">
        <f t="shared" si="809"/>
        <v>11121004</v>
      </c>
      <c r="E1634" t="str">
        <f t="shared" si="810"/>
        <v>121004</v>
      </c>
      <c r="F1634" t="str">
        <f t="shared" si="811"/>
        <v>FABIANA GODOY</v>
      </c>
      <c r="G1634" t="str">
        <f>"19963088000175"</f>
        <v>19963088000175</v>
      </c>
      <c r="H1634" t="str">
        <f t="shared" si="839"/>
        <v>0</v>
      </c>
      <c r="I1634" t="str">
        <f t="shared" si="827"/>
        <v>CONTA OPTICA</v>
      </c>
      <c r="J1634" t="str">
        <f>"PAULO LUIZ GERHARDT ME"</f>
        <v>PAULO LUIZ GERHARDT ME</v>
      </c>
      <c r="K1634" t="str">
        <f>"OTICAS CAROL (2113)"</f>
        <v>OTICAS CAROL (2113)</v>
      </c>
      <c r="L1634" t="str">
        <f>""</f>
        <v/>
      </c>
      <c r="M1634" t="str">
        <f>""</f>
        <v/>
      </c>
      <c r="N1634" t="str">
        <f>"paulolgerhardt@hotmail.com"</f>
        <v>paulolgerhardt@hotmail.com</v>
      </c>
      <c r="O1634" t="str">
        <f>""</f>
        <v/>
      </c>
      <c r="P1634" t="str">
        <f>"RUA 1500"</f>
        <v>RUA 1500</v>
      </c>
      <c r="Q1634" t="str">
        <f>"900"</f>
        <v>900</v>
      </c>
      <c r="R1634" t="str">
        <f>"SALA 03"</f>
        <v>SALA 03</v>
      </c>
      <c r="S1634" t="str">
        <f>"1262"</f>
        <v>1262</v>
      </c>
      <c r="T1634" t="str">
        <f>"88330526"</f>
        <v>88330526</v>
      </c>
      <c r="U1634" t="str">
        <f t="shared" si="848"/>
        <v>CENTRO</v>
      </c>
      <c r="V1634" t="str">
        <f>"BALNEARIO CAMBORIU"</f>
        <v>BALNEARIO CAMBORIU</v>
      </c>
      <c r="W1634" t="str">
        <f t="shared" si="807"/>
        <v>SC</v>
      </c>
      <c r="X1634" t="str">
        <f t="shared" si="847"/>
        <v>47</v>
      </c>
      <c r="Y1634" t="str">
        <f>"33661705"</f>
        <v>33661705</v>
      </c>
      <c r="Z1634" t="str">
        <f>""</f>
        <v/>
      </c>
      <c r="AA1634" t="str">
        <f>""</f>
        <v/>
      </c>
      <c r="AB1634" t="str">
        <f>""</f>
        <v/>
      </c>
      <c r="AC1634" t="str">
        <f>""</f>
        <v/>
      </c>
      <c r="AD1634" t="str">
        <f>""</f>
        <v/>
      </c>
      <c r="AE1634" t="str">
        <f>""</f>
        <v/>
      </c>
      <c r="AF1634" t="str">
        <f>""</f>
        <v/>
      </c>
      <c r="AG1634" t="str">
        <f>""</f>
        <v/>
      </c>
      <c r="AH1634" t="str">
        <f>""</f>
        <v/>
      </c>
      <c r="AI1634" t="str">
        <f>""</f>
        <v/>
      </c>
      <c r="AJ1634" t="str">
        <f>""</f>
        <v/>
      </c>
      <c r="AK1634" t="str">
        <f>""</f>
        <v/>
      </c>
      <c r="AL1634" t="str">
        <f>""</f>
        <v/>
      </c>
      <c r="AM1634" t="str">
        <f>""</f>
        <v/>
      </c>
      <c r="AN1634" t="str">
        <f>""</f>
        <v/>
      </c>
      <c r="AO1634" t="str">
        <f>""</f>
        <v/>
      </c>
      <c r="AP1634" t="str">
        <f>""</f>
        <v/>
      </c>
      <c r="AQ1634" t="str">
        <f>""</f>
        <v/>
      </c>
      <c r="AR1634" t="str">
        <f>""</f>
        <v/>
      </c>
      <c r="AS1634" t="str">
        <f>""</f>
        <v/>
      </c>
      <c r="AT1634" t="str">
        <f>""</f>
        <v/>
      </c>
      <c r="AU1634" t="str">
        <f>""</f>
        <v/>
      </c>
      <c r="AV1634" t="str">
        <f>""</f>
        <v/>
      </c>
      <c r="AW1634" t="str">
        <f>""</f>
        <v/>
      </c>
      <c r="AX1634" t="str">
        <f>""</f>
        <v/>
      </c>
      <c r="AY1634" t="str">
        <f>""</f>
        <v/>
      </c>
      <c r="AZ1634" t="str">
        <f>""</f>
        <v/>
      </c>
      <c r="BA1634" t="str">
        <f>""</f>
        <v/>
      </c>
      <c r="BB1634" t="str">
        <f t="shared" si="843"/>
        <v>01/07/2021 13:53:04</v>
      </c>
      <c r="BC1634" t="str">
        <f>""</f>
        <v/>
      </c>
      <c r="BD1634" t="str">
        <f>""</f>
        <v/>
      </c>
      <c r="BE1634" t="str">
        <f>""</f>
        <v/>
      </c>
      <c r="BF1634" t="str">
        <f t="shared" si="828"/>
        <v>A</v>
      </c>
      <c r="BG1634" t="str">
        <f>""</f>
        <v/>
      </c>
      <c r="BH1634" t="str">
        <f>""</f>
        <v/>
      </c>
      <c r="BI1634" t="str">
        <f t="shared" si="849"/>
        <v>EVENTUAL</v>
      </c>
      <c r="BJ1634" t="str">
        <f t="shared" si="829"/>
        <v>1</v>
      </c>
      <c r="BK1634" t="str">
        <f t="shared" si="830"/>
        <v>Farmacia</v>
      </c>
      <c r="BL1634" t="str">
        <f>""</f>
        <v/>
      </c>
      <c r="BM1634" t="str">
        <f t="shared" si="844"/>
        <v>NÃO É VARILUX ESPECIALISTA</v>
      </c>
      <c r="BN1634" t="str">
        <f>"NA"</f>
        <v>NA</v>
      </c>
      <c r="BO1634" t="str">
        <f>"FOCO VARILUX"</f>
        <v>FOCO VARILUX</v>
      </c>
      <c r="BP1634" t="str">
        <f>""</f>
        <v/>
      </c>
      <c r="BQ1634" t="str">
        <f>""</f>
        <v/>
      </c>
      <c r="BR1634" t="str">
        <f t="shared" si="845"/>
        <v>01/07/2021</v>
      </c>
      <c r="BS1634" t="str">
        <f>""</f>
        <v/>
      </c>
      <c r="BT1634" t="str">
        <f>""</f>
        <v/>
      </c>
      <c r="BU1634" t="str">
        <f>""</f>
        <v/>
      </c>
      <c r="BV1634" t="str">
        <f>""</f>
        <v/>
      </c>
      <c r="BW1634" t="str">
        <f>"2"</f>
        <v>2</v>
      </c>
    </row>
    <row r="1635" spans="1:75" x14ac:dyDescent="0.35">
      <c r="A1635">
        <v>127574</v>
      </c>
      <c r="B1635" t="str">
        <f t="shared" si="825"/>
        <v>A</v>
      </c>
      <c r="C1635" t="str">
        <f t="shared" si="826"/>
        <v>80</v>
      </c>
      <c r="D1635" t="str">
        <f t="shared" si="809"/>
        <v>11121004</v>
      </c>
      <c r="E1635" t="str">
        <f t="shared" si="810"/>
        <v>121004</v>
      </c>
      <c r="F1635" t="str">
        <f t="shared" si="811"/>
        <v>FABIANA GODOY</v>
      </c>
      <c r="G1635" t="str">
        <f>"09161607000128"</f>
        <v>09161607000128</v>
      </c>
      <c r="H1635" t="str">
        <f t="shared" si="839"/>
        <v>0</v>
      </c>
      <c r="I1635" t="str">
        <f t="shared" si="827"/>
        <v>CONTA OPTICA</v>
      </c>
      <c r="J1635" t="str">
        <f>"PIRES GAUTO LTDA"</f>
        <v>PIRES GAUTO LTDA</v>
      </c>
      <c r="K1635" t="str">
        <f>"OTICA ITAPEMA (1366)"</f>
        <v>OTICA ITAPEMA (1366)</v>
      </c>
      <c r="L1635" t="str">
        <f>""</f>
        <v/>
      </c>
      <c r="M1635" t="str">
        <f>""</f>
        <v/>
      </c>
      <c r="N1635" t="str">
        <f>"piresgauto@hotmail.com"</f>
        <v>piresgauto@hotmail.com</v>
      </c>
      <c r="O1635" t="str">
        <f>""</f>
        <v/>
      </c>
      <c r="P1635" t="str">
        <f>"AVENIDA NEREU RAMOS"</f>
        <v>AVENIDA NEREU RAMOS</v>
      </c>
      <c r="Q1635" t="str">
        <f>"92"</f>
        <v>92</v>
      </c>
      <c r="R1635" t="str">
        <f>"SALA 02"</f>
        <v>SALA 02</v>
      </c>
      <c r="S1635" t="str">
        <f>"1260"</f>
        <v>1260</v>
      </c>
      <c r="T1635" t="str">
        <f>"88220000"</f>
        <v>88220000</v>
      </c>
      <c r="U1635" t="str">
        <f t="shared" si="848"/>
        <v>CENTRO</v>
      </c>
      <c r="V1635" t="str">
        <f>"ITAPEMA"</f>
        <v>ITAPEMA</v>
      </c>
      <c r="W1635" t="str">
        <f t="shared" si="807"/>
        <v>SC</v>
      </c>
      <c r="X1635" t="str">
        <f t="shared" si="847"/>
        <v>47</v>
      </c>
      <c r="Y1635" t="str">
        <f>"33681615"</f>
        <v>33681615</v>
      </c>
      <c r="Z1635" t="str">
        <f>""</f>
        <v/>
      </c>
      <c r="AA1635" t="str">
        <f>""</f>
        <v/>
      </c>
      <c r="AB1635" t="str">
        <f>""</f>
        <v/>
      </c>
      <c r="AC1635" t="str">
        <f>""</f>
        <v/>
      </c>
      <c r="AD1635" t="str">
        <f>""</f>
        <v/>
      </c>
      <c r="AE1635" t="str">
        <f>""</f>
        <v/>
      </c>
      <c r="AF1635" t="str">
        <f>""</f>
        <v/>
      </c>
      <c r="AG1635" t="str">
        <f>""</f>
        <v/>
      </c>
      <c r="AH1635" t="str">
        <f>""</f>
        <v/>
      </c>
      <c r="AI1635" t="str">
        <f>""</f>
        <v/>
      </c>
      <c r="AJ1635" t="str">
        <f>"0"</f>
        <v>0</v>
      </c>
      <c r="AK1635" t="str">
        <f>"0"</f>
        <v>0</v>
      </c>
      <c r="AL1635" t="str">
        <f>"0"</f>
        <v>0</v>
      </c>
      <c r="AM1635" t="str">
        <f>""</f>
        <v/>
      </c>
      <c r="AN1635" t="str">
        <f>""</f>
        <v/>
      </c>
      <c r="AO1635" t="str">
        <f>""</f>
        <v/>
      </c>
      <c r="AP1635" t="str">
        <f>""</f>
        <v/>
      </c>
      <c r="AQ1635" t="str">
        <f>""</f>
        <v/>
      </c>
      <c r="AR1635" t="str">
        <f>""</f>
        <v/>
      </c>
      <c r="AS1635" t="str">
        <f>""</f>
        <v/>
      </c>
      <c r="AT1635" t="str">
        <f>""</f>
        <v/>
      </c>
      <c r="AU1635" t="str">
        <f>""</f>
        <v/>
      </c>
      <c r="AV1635" t="str">
        <f>""</f>
        <v/>
      </c>
      <c r="AW1635" t="str">
        <f>""</f>
        <v/>
      </c>
      <c r="AX1635" t="str">
        <f>""</f>
        <v/>
      </c>
      <c r="AY1635" t="str">
        <f>""</f>
        <v/>
      </c>
      <c r="AZ1635" t="str">
        <f>""</f>
        <v/>
      </c>
      <c r="BA1635" t="str">
        <f>""</f>
        <v/>
      </c>
      <c r="BB1635" t="str">
        <f>"07/10/2020 09:08:38"</f>
        <v>07/10/2020 09:08:38</v>
      </c>
      <c r="BC1635" t="str">
        <f>""</f>
        <v/>
      </c>
      <c r="BD1635" t="str">
        <f>""</f>
        <v/>
      </c>
      <c r="BE1635" t="str">
        <f>""</f>
        <v/>
      </c>
      <c r="BF1635" t="str">
        <f t="shared" si="828"/>
        <v>A</v>
      </c>
      <c r="BG1635" t="str">
        <f>"0,00"</f>
        <v>0,00</v>
      </c>
      <c r="BH1635" t="str">
        <f>"0,00"</f>
        <v>0,00</v>
      </c>
      <c r="BI1635" t="str">
        <f t="shared" si="849"/>
        <v>EVENTUAL</v>
      </c>
      <c r="BJ1635" t="str">
        <f t="shared" si="829"/>
        <v>1</v>
      </c>
      <c r="BK1635" t="str">
        <f t="shared" si="830"/>
        <v>Farmacia</v>
      </c>
      <c r="BL1635" t="str">
        <f>""</f>
        <v/>
      </c>
      <c r="BM1635" t="str">
        <f t="shared" si="844"/>
        <v>NÃO É VARILUX ESPECIALISTA</v>
      </c>
      <c r="BN1635" t="str">
        <f>"NA"</f>
        <v>NA</v>
      </c>
      <c r="BO1635" t="str">
        <f>"FOCO VARILUX"</f>
        <v>FOCO VARILUX</v>
      </c>
      <c r="BP1635" t="str">
        <f>""</f>
        <v/>
      </c>
      <c r="BQ1635" t="str">
        <f>""</f>
        <v/>
      </c>
      <c r="BR1635" t="str">
        <f>"07/10/2020"</f>
        <v>07/10/2020</v>
      </c>
      <c r="BS1635" t="str">
        <f>""</f>
        <v/>
      </c>
      <c r="BT1635" t="str">
        <f>""</f>
        <v/>
      </c>
      <c r="BU1635" t="str">
        <f>""</f>
        <v/>
      </c>
      <c r="BV1635" t="str">
        <f>"7"</f>
        <v>7</v>
      </c>
      <c r="BW1635" t="str">
        <f>"37"</f>
        <v>37</v>
      </c>
    </row>
    <row r="1636" spans="1:75" x14ac:dyDescent="0.35">
      <c r="A1636">
        <v>157807</v>
      </c>
      <c r="B1636" t="str">
        <f t="shared" si="825"/>
        <v>A</v>
      </c>
      <c r="C1636" t="str">
        <f t="shared" si="826"/>
        <v>80</v>
      </c>
      <c r="D1636" t="str">
        <f t="shared" si="809"/>
        <v>11121004</v>
      </c>
      <c r="E1636" t="str">
        <f t="shared" si="810"/>
        <v>121004</v>
      </c>
      <c r="F1636" t="str">
        <f t="shared" si="811"/>
        <v>FABIANA GODOY</v>
      </c>
      <c r="G1636" t="str">
        <f>"00978829000163"</f>
        <v>00978829000163</v>
      </c>
      <c r="H1636" t="str">
        <f t="shared" si="839"/>
        <v>0</v>
      </c>
      <c r="I1636" t="str">
        <f t="shared" si="827"/>
        <v>CONTA OPTICA</v>
      </c>
      <c r="J1636" t="str">
        <f>"PLEPIS E PLEPIS LTDA ME"</f>
        <v>PLEPIS E PLEPIS LTDA ME</v>
      </c>
      <c r="K1636" t="str">
        <f>"OTICA CATARINENSE (832)"</f>
        <v>OTICA CATARINENSE (832)</v>
      </c>
      <c r="L1636" t="str">
        <f>""</f>
        <v/>
      </c>
      <c r="M1636" t="str">
        <f>""</f>
        <v/>
      </c>
      <c r="N1636" t="str">
        <f>"FISCAL2@CONTLUZ.COM.BR"</f>
        <v>FISCAL2@CONTLUZ.COM.BR</v>
      </c>
      <c r="O1636" t="str">
        <f>""</f>
        <v/>
      </c>
      <c r="P1636" t="str">
        <f>"4  AVENIDA"</f>
        <v>4  AVENIDA</v>
      </c>
      <c r="Q1636" t="str">
        <f>"580"</f>
        <v>580</v>
      </c>
      <c r="R1636" t="str">
        <f>"SALA 02"</f>
        <v>SALA 02</v>
      </c>
      <c r="S1636" t="str">
        <f>"1262"</f>
        <v>1262</v>
      </c>
      <c r="T1636" t="str">
        <f>"88330110"</f>
        <v>88330110</v>
      </c>
      <c r="U1636" t="str">
        <f t="shared" si="848"/>
        <v>CENTRO</v>
      </c>
      <c r="V1636" t="str">
        <f>"BALNEARIO CAMBORIU"</f>
        <v>BALNEARIO CAMBORIU</v>
      </c>
      <c r="W1636" t="str">
        <f t="shared" si="807"/>
        <v>SC</v>
      </c>
      <c r="X1636" t="str">
        <f t="shared" si="847"/>
        <v>47</v>
      </c>
      <c r="Y1636" t="str">
        <f>"33676130"</f>
        <v>33676130</v>
      </c>
      <c r="Z1636" t="str">
        <f>""</f>
        <v/>
      </c>
      <c r="AA1636" t="str">
        <f>""</f>
        <v/>
      </c>
      <c r="AB1636" t="str">
        <f>""</f>
        <v/>
      </c>
      <c r="AC1636" t="str">
        <f>""</f>
        <v/>
      </c>
      <c r="AD1636" t="str">
        <f>""</f>
        <v/>
      </c>
      <c r="AE1636" t="str">
        <f>""</f>
        <v/>
      </c>
      <c r="AF1636" t="str">
        <f>""</f>
        <v/>
      </c>
      <c r="AG1636" t="str">
        <f>""</f>
        <v/>
      </c>
      <c r="AH1636" t="str">
        <f>""</f>
        <v/>
      </c>
      <c r="AI1636" t="str">
        <f>""</f>
        <v/>
      </c>
      <c r="AJ1636" t="str">
        <f>""</f>
        <v/>
      </c>
      <c r="AK1636" t="str">
        <f>""</f>
        <v/>
      </c>
      <c r="AL1636" t="str">
        <f>""</f>
        <v/>
      </c>
      <c r="AM1636" t="str">
        <f>""</f>
        <v/>
      </c>
      <c r="AN1636" t="str">
        <f>""</f>
        <v/>
      </c>
      <c r="AO1636" t="str">
        <f>""</f>
        <v/>
      </c>
      <c r="AP1636" t="str">
        <f>""</f>
        <v/>
      </c>
      <c r="AQ1636" t="str">
        <f>""</f>
        <v/>
      </c>
      <c r="AR1636" t="str">
        <f>""</f>
        <v/>
      </c>
      <c r="AS1636" t="str">
        <f>""</f>
        <v/>
      </c>
      <c r="AT1636" t="str">
        <f>""</f>
        <v/>
      </c>
      <c r="AU1636" t="str">
        <f>""</f>
        <v/>
      </c>
      <c r="AV1636" t="str">
        <f>""</f>
        <v/>
      </c>
      <c r="AW1636" t="str">
        <f>""</f>
        <v/>
      </c>
      <c r="AX1636" t="str">
        <f>""</f>
        <v/>
      </c>
      <c r="AY1636" t="str">
        <f>""</f>
        <v/>
      </c>
      <c r="AZ1636" t="str">
        <f>""</f>
        <v/>
      </c>
      <c r="BA1636" t="str">
        <f>""</f>
        <v/>
      </c>
      <c r="BB1636" t="str">
        <f>"11/07/2023 02:26:32"</f>
        <v>11/07/2023 02:26:32</v>
      </c>
      <c r="BC1636" t="str">
        <f>""</f>
        <v/>
      </c>
      <c r="BD1636" t="str">
        <f>""</f>
        <v/>
      </c>
      <c r="BE1636" t="str">
        <f>""</f>
        <v/>
      </c>
      <c r="BF1636" t="str">
        <f t="shared" si="828"/>
        <v>A</v>
      </c>
      <c r="BG1636" t="str">
        <f>""</f>
        <v/>
      </c>
      <c r="BH1636" t="str">
        <f>""</f>
        <v/>
      </c>
      <c r="BI1636" t="str">
        <f t="shared" si="849"/>
        <v>EVENTUAL</v>
      </c>
      <c r="BJ1636" t="str">
        <f t="shared" si="829"/>
        <v>1</v>
      </c>
      <c r="BK1636" t="str">
        <f t="shared" si="830"/>
        <v>Farmacia</v>
      </c>
      <c r="BL1636" t="str">
        <f>""</f>
        <v/>
      </c>
      <c r="BM1636" t="str">
        <f>""</f>
        <v/>
      </c>
      <c r="BN1636" t="str">
        <f>""</f>
        <v/>
      </c>
      <c r="BO1636" t="str">
        <f>""</f>
        <v/>
      </c>
      <c r="BP1636" t="str">
        <f>""</f>
        <v/>
      </c>
      <c r="BQ1636" t="str">
        <f>""</f>
        <v/>
      </c>
      <c r="BR1636" t="str">
        <f>"11/07/2023"</f>
        <v>11/07/2023</v>
      </c>
      <c r="BS1636" t="str">
        <f>""</f>
        <v/>
      </c>
      <c r="BT1636" t="str">
        <f>""</f>
        <v/>
      </c>
      <c r="BU1636" t="str">
        <f>""</f>
        <v/>
      </c>
      <c r="BV1636" t="str">
        <f>""</f>
        <v/>
      </c>
      <c r="BW1636" t="str">
        <f>"Não visitado"</f>
        <v>Não visitado</v>
      </c>
    </row>
    <row r="1637" spans="1:75" x14ac:dyDescent="0.35">
      <c r="A1637">
        <v>157105</v>
      </c>
      <c r="B1637" t="str">
        <f t="shared" si="825"/>
        <v>A</v>
      </c>
      <c r="C1637" t="str">
        <f t="shared" si="826"/>
        <v>80</v>
      </c>
      <c r="D1637" t="str">
        <f t="shared" si="809"/>
        <v>11121004</v>
      </c>
      <c r="E1637" t="str">
        <f t="shared" si="810"/>
        <v>121004</v>
      </c>
      <c r="F1637" t="str">
        <f t="shared" si="811"/>
        <v>FABIANA GODOY</v>
      </c>
      <c r="G1637" t="str">
        <f>"38076245000256"</f>
        <v>38076245000256</v>
      </c>
      <c r="H1637" t="str">
        <f t="shared" si="839"/>
        <v>0</v>
      </c>
      <c r="I1637" t="str">
        <f t="shared" si="827"/>
        <v>CONTA OPTICA</v>
      </c>
      <c r="J1637" t="str">
        <f>"PRADO ARTIGOS DE OPTICA LTDA"</f>
        <v>PRADO ARTIGOS DE OPTICA LTDA</v>
      </c>
      <c r="K1637" t="str">
        <f>"OUTLET DOS ÓCULOS (4472)"</f>
        <v>OUTLET DOS ÓCULOS (4472)</v>
      </c>
      <c r="L1637" t="str">
        <f>""</f>
        <v/>
      </c>
      <c r="M1637" t="str">
        <f>""</f>
        <v/>
      </c>
      <c r="N1637" t="str">
        <f>"JUSSARARUSSI@GMAIL.COM"</f>
        <v>JUSSARARUSSI@GMAIL.COM</v>
      </c>
      <c r="O1637" t="str">
        <f>""</f>
        <v/>
      </c>
      <c r="P1637" t="str">
        <f>"RUA DOUTOR JOSE BONIFACIO MALBURG"</f>
        <v>RUA DOUTOR JOSE BONIFACIO MALBURG</v>
      </c>
      <c r="Q1637" t="str">
        <f>"540"</f>
        <v>540</v>
      </c>
      <c r="R1637" t="str">
        <f>"SALA 2"</f>
        <v>SALA 2</v>
      </c>
      <c r="S1637" t="str">
        <f>"1261"</f>
        <v>1261</v>
      </c>
      <c r="T1637" t="str">
        <f>"88301350"</f>
        <v>88301350</v>
      </c>
      <c r="U1637" t="str">
        <f t="shared" si="848"/>
        <v>CENTRO</v>
      </c>
      <c r="V1637" t="str">
        <f>"ITAJAI"</f>
        <v>ITAJAI</v>
      </c>
      <c r="W1637" t="str">
        <f t="shared" si="807"/>
        <v>SC</v>
      </c>
      <c r="X1637" t="str">
        <f t="shared" si="847"/>
        <v>47</v>
      </c>
      <c r="Y1637" t="str">
        <f>"21251283"</f>
        <v>21251283</v>
      </c>
      <c r="Z1637" t="str">
        <f>""</f>
        <v/>
      </c>
      <c r="AA1637" t="str">
        <f>""</f>
        <v/>
      </c>
      <c r="AB1637" t="str">
        <f>""</f>
        <v/>
      </c>
      <c r="AC1637" t="str">
        <f>""</f>
        <v/>
      </c>
      <c r="AD1637" t="str">
        <f>""</f>
        <v/>
      </c>
      <c r="AE1637" t="str">
        <f>""</f>
        <v/>
      </c>
      <c r="AF1637" t="str">
        <f>""</f>
        <v/>
      </c>
      <c r="AG1637" t="str">
        <f>""</f>
        <v/>
      </c>
      <c r="AH1637" t="str">
        <f>""</f>
        <v/>
      </c>
      <c r="AI1637" t="str">
        <f>""</f>
        <v/>
      </c>
      <c r="AJ1637" t="str">
        <f>""</f>
        <v/>
      </c>
      <c r="AK1637" t="str">
        <f>""</f>
        <v/>
      </c>
      <c r="AL1637" t="str">
        <f>""</f>
        <v/>
      </c>
      <c r="AM1637" t="str">
        <f>""</f>
        <v/>
      </c>
      <c r="AN1637" t="str">
        <f>""</f>
        <v/>
      </c>
      <c r="AO1637" t="str">
        <f>""</f>
        <v/>
      </c>
      <c r="AP1637" t="str">
        <f>""</f>
        <v/>
      </c>
      <c r="AQ1637" t="str">
        <f>""</f>
        <v/>
      </c>
      <c r="AR1637" t="str">
        <f>""</f>
        <v/>
      </c>
      <c r="AS1637" t="str">
        <f>""</f>
        <v/>
      </c>
      <c r="AT1637" t="str">
        <f>""</f>
        <v/>
      </c>
      <c r="AU1637" t="str">
        <f>""</f>
        <v/>
      </c>
      <c r="AV1637" t="str">
        <f>""</f>
        <v/>
      </c>
      <c r="AW1637" t="str">
        <f>""</f>
        <v/>
      </c>
      <c r="AX1637" t="str">
        <f>""</f>
        <v/>
      </c>
      <c r="AY1637" t="str">
        <f>""</f>
        <v/>
      </c>
      <c r="AZ1637" t="str">
        <f>""</f>
        <v/>
      </c>
      <c r="BA1637" t="str">
        <f>""</f>
        <v/>
      </c>
      <c r="BB1637" t="str">
        <f>"06/07/2023 12:07:48"</f>
        <v>06/07/2023 12:07:48</v>
      </c>
      <c r="BC1637" t="str">
        <f>""</f>
        <v/>
      </c>
      <c r="BD1637" t="str">
        <f>""</f>
        <v/>
      </c>
      <c r="BE1637" t="str">
        <f>""</f>
        <v/>
      </c>
      <c r="BF1637" t="str">
        <f t="shared" si="828"/>
        <v>A</v>
      </c>
      <c r="BG1637" t="str">
        <f>""</f>
        <v/>
      </c>
      <c r="BH1637" t="str">
        <f>""</f>
        <v/>
      </c>
      <c r="BI1637" t="str">
        <f t="shared" si="849"/>
        <v>EVENTUAL</v>
      </c>
      <c r="BJ1637" t="str">
        <f t="shared" si="829"/>
        <v>1</v>
      </c>
      <c r="BK1637" t="str">
        <f t="shared" si="830"/>
        <v>Farmacia</v>
      </c>
      <c r="BL1637" t="str">
        <f>""</f>
        <v/>
      </c>
      <c r="BM1637" t="str">
        <f>""</f>
        <v/>
      </c>
      <c r="BN1637" t="str">
        <f>""</f>
        <v/>
      </c>
      <c r="BO1637" t="str">
        <f>""</f>
        <v/>
      </c>
      <c r="BP1637" t="str">
        <f>""</f>
        <v/>
      </c>
      <c r="BQ1637" t="str">
        <f>""</f>
        <v/>
      </c>
      <c r="BR1637" t="str">
        <f>"06/07/2023"</f>
        <v>06/07/2023</v>
      </c>
      <c r="BS1637" t="str">
        <f>""</f>
        <v/>
      </c>
      <c r="BT1637" t="str">
        <f>""</f>
        <v/>
      </c>
      <c r="BU1637" t="str">
        <f>""</f>
        <v/>
      </c>
      <c r="BV1637" t="str">
        <f>""</f>
        <v/>
      </c>
      <c r="BW1637" t="str">
        <f>"Não visitado"</f>
        <v>Não visitado</v>
      </c>
    </row>
    <row r="1638" spans="1:75" x14ac:dyDescent="0.35">
      <c r="A1638">
        <v>137847</v>
      </c>
      <c r="B1638" t="str">
        <f t="shared" si="825"/>
        <v>A</v>
      </c>
      <c r="C1638" t="str">
        <f t="shared" si="826"/>
        <v>80</v>
      </c>
      <c r="D1638" t="str">
        <f t="shared" si="809"/>
        <v>11121004</v>
      </c>
      <c r="E1638" t="str">
        <f t="shared" si="810"/>
        <v>121004</v>
      </c>
      <c r="F1638" t="str">
        <f t="shared" si="811"/>
        <v>FABIANA GODOY</v>
      </c>
      <c r="G1638" t="str">
        <f>"20940308000124"</f>
        <v>20940308000124</v>
      </c>
      <c r="H1638" t="str">
        <f t="shared" si="839"/>
        <v>0</v>
      </c>
      <c r="I1638" t="str">
        <f t="shared" si="827"/>
        <v>CONTA OPTICA</v>
      </c>
      <c r="J1638" t="str">
        <f>"PRIME CORPORATION RELOJOARIA E OTICA EIRELI ME"</f>
        <v>PRIME CORPORATION RELOJOARIA E OTICA EIRELI ME</v>
      </c>
      <c r="K1638" t="str">
        <f>"OTICAS CAROL (2174)"</f>
        <v>OTICAS CAROL (2174)</v>
      </c>
      <c r="L1638" t="str">
        <f>""</f>
        <v/>
      </c>
      <c r="M1638" t="str">
        <f>""</f>
        <v/>
      </c>
      <c r="N1638" t="str">
        <f>"oticascarol940@gmail.com"</f>
        <v>oticascarol940@gmail.com</v>
      </c>
      <c r="O1638" t="str">
        <f>""</f>
        <v/>
      </c>
      <c r="P1638" t="str">
        <f>"RUA CORONEL MARCOS KONDER"</f>
        <v>RUA CORONEL MARCOS KONDER</v>
      </c>
      <c r="Q1638" t="str">
        <f>"1207"</f>
        <v>1207</v>
      </c>
      <c r="R1638" t="str">
        <f>"LOJA 7"</f>
        <v>LOJA 7</v>
      </c>
      <c r="S1638" t="str">
        <f>"1261"</f>
        <v>1261</v>
      </c>
      <c r="T1638" t="str">
        <f>"88301302"</f>
        <v>88301302</v>
      </c>
      <c r="U1638" t="str">
        <f t="shared" si="848"/>
        <v>CENTRO</v>
      </c>
      <c r="V1638" t="str">
        <f>"ITAJAÍ"</f>
        <v>ITAJAÍ</v>
      </c>
      <c r="W1638" t="str">
        <f t="shared" si="807"/>
        <v>SC</v>
      </c>
      <c r="X1638" t="str">
        <f t="shared" si="847"/>
        <v>47</v>
      </c>
      <c r="Y1638" t="str">
        <f>"33497663"</f>
        <v>33497663</v>
      </c>
      <c r="Z1638" t="str">
        <f>""</f>
        <v/>
      </c>
      <c r="AA1638" t="str">
        <f>""</f>
        <v/>
      </c>
      <c r="AB1638" t="str">
        <f>""</f>
        <v/>
      </c>
      <c r="AC1638" t="str">
        <f>""</f>
        <v/>
      </c>
      <c r="AD1638" t="str">
        <f>""</f>
        <v/>
      </c>
      <c r="AE1638" t="str">
        <f>""</f>
        <v/>
      </c>
      <c r="AF1638" t="str">
        <f>""</f>
        <v/>
      </c>
      <c r="AG1638" t="str">
        <f>"S"</f>
        <v>S</v>
      </c>
      <c r="AH1638" t="str">
        <f>""</f>
        <v/>
      </c>
      <c r="AI1638" t="str">
        <f>""</f>
        <v/>
      </c>
      <c r="AJ1638" t="str">
        <f>""</f>
        <v/>
      </c>
      <c r="AK1638" t="str">
        <f>""</f>
        <v/>
      </c>
      <c r="AL1638" t="str">
        <f>""</f>
        <v/>
      </c>
      <c r="AM1638" t="str">
        <f>""</f>
        <v/>
      </c>
      <c r="AN1638" t="str">
        <f>""</f>
        <v/>
      </c>
      <c r="AO1638" t="str">
        <f>""</f>
        <v/>
      </c>
      <c r="AP1638" t="str">
        <f>""</f>
        <v/>
      </c>
      <c r="AQ1638" t="str">
        <f>"N"</f>
        <v>N</v>
      </c>
      <c r="AR1638" t="str">
        <f>"N"</f>
        <v>N</v>
      </c>
      <c r="AS1638" t="str">
        <f>"N"</f>
        <v>N</v>
      </c>
      <c r="AT1638" t="str">
        <f>"N"</f>
        <v>N</v>
      </c>
      <c r="AU1638" t="str">
        <f>"N"</f>
        <v>N</v>
      </c>
      <c r="AV1638" t="str">
        <f>""</f>
        <v/>
      </c>
      <c r="AW1638" t="str">
        <f>""</f>
        <v/>
      </c>
      <c r="AX1638" t="str">
        <f>""</f>
        <v/>
      </c>
      <c r="AY1638" t="str">
        <f>""</f>
        <v/>
      </c>
      <c r="AZ1638" t="str">
        <f>""</f>
        <v/>
      </c>
      <c r="BA1638" t="str">
        <f>""</f>
        <v/>
      </c>
      <c r="BB1638" t="str">
        <f>"01/07/2021 13:53:04"</f>
        <v>01/07/2021 13:53:04</v>
      </c>
      <c r="BC1638" t="str">
        <f>"16/09/2022 17:49:12"</f>
        <v>16/09/2022 17:49:12</v>
      </c>
      <c r="BD1638" t="str">
        <f>""</f>
        <v/>
      </c>
      <c r="BE1638" t="str">
        <f>""</f>
        <v/>
      </c>
      <c r="BF1638" t="str">
        <f t="shared" si="828"/>
        <v>A</v>
      </c>
      <c r="BG1638" t="str">
        <f>""</f>
        <v/>
      </c>
      <c r="BH1638" t="str">
        <f>"0,00"</f>
        <v>0,00</v>
      </c>
      <c r="BI1638" t="str">
        <f t="shared" si="849"/>
        <v>EVENTUAL</v>
      </c>
      <c r="BJ1638" t="str">
        <f t="shared" si="829"/>
        <v>1</v>
      </c>
      <c r="BK1638" t="str">
        <f t="shared" si="830"/>
        <v>Farmacia</v>
      </c>
      <c r="BL1638" t="str">
        <f>""</f>
        <v/>
      </c>
      <c r="BM1638" t="str">
        <f>"VARILUX ESPECIALISTA SELECT"</f>
        <v>VARILUX ESPECIALISTA SELECT</v>
      </c>
      <c r="BN1638" t="str">
        <f>"NA"</f>
        <v>NA</v>
      </c>
      <c r="BO1638" t="str">
        <f>"FOCO VARILUX DIGITAL"</f>
        <v>FOCO VARILUX DIGITAL</v>
      </c>
      <c r="BP1638" t="str">
        <f>""</f>
        <v/>
      </c>
      <c r="BQ1638" t="str">
        <f>""</f>
        <v/>
      </c>
      <c r="BR1638" t="str">
        <f>"01/07/2021"</f>
        <v>01/07/2021</v>
      </c>
      <c r="BS1638" t="str">
        <f>"16/09/2022"</f>
        <v>16/09/2022</v>
      </c>
      <c r="BT1638" t="str">
        <f>""</f>
        <v/>
      </c>
      <c r="BU1638" t="str">
        <f>""</f>
        <v/>
      </c>
      <c r="BV1638" t="str">
        <f>""</f>
        <v/>
      </c>
      <c r="BW1638" t="str">
        <f>"282"</f>
        <v>282</v>
      </c>
    </row>
    <row r="1639" spans="1:75" x14ac:dyDescent="0.35">
      <c r="A1639">
        <v>137848</v>
      </c>
      <c r="B1639" t="str">
        <f t="shared" si="825"/>
        <v>A</v>
      </c>
      <c r="C1639" t="str">
        <f t="shared" si="826"/>
        <v>80</v>
      </c>
      <c r="D1639" t="str">
        <f t="shared" si="809"/>
        <v>11121004</v>
      </c>
      <c r="E1639" t="str">
        <f t="shared" si="810"/>
        <v>121004</v>
      </c>
      <c r="F1639" t="str">
        <f t="shared" si="811"/>
        <v>FABIANA GODOY</v>
      </c>
      <c r="G1639" t="str">
        <f>"30882232000181"</f>
        <v>30882232000181</v>
      </c>
      <c r="H1639" t="str">
        <f t="shared" si="839"/>
        <v>0</v>
      </c>
      <c r="I1639" t="str">
        <f t="shared" si="827"/>
        <v>CONTA OPTICA</v>
      </c>
      <c r="J1639" t="str">
        <f>"R E W COMERCIO OPTICA LTDA"</f>
        <v>R E W COMERCIO OPTICA LTDA</v>
      </c>
      <c r="K1639" t="str">
        <f>"OPTICA BELLA VISAO (3907)"</f>
        <v>OPTICA BELLA VISAO (3907)</v>
      </c>
      <c r="L1639" t="str">
        <f>""</f>
        <v/>
      </c>
      <c r="M1639" t="str">
        <f>""</f>
        <v/>
      </c>
      <c r="N1639" t="str">
        <f>"bellavisaooptica@gmail.com"</f>
        <v>bellavisaooptica@gmail.com</v>
      </c>
      <c r="O1639" t="str">
        <f>""</f>
        <v/>
      </c>
      <c r="P1639" t="str">
        <f>"AVENIDA MARIA SIMAO"</f>
        <v>AVENIDA MARIA SIMAO</v>
      </c>
      <c r="Q1639" t="str">
        <f>"715"</f>
        <v>715</v>
      </c>
      <c r="R1639" t="str">
        <f>"SL1"</f>
        <v>SL1</v>
      </c>
      <c r="S1639" t="str">
        <f>""</f>
        <v/>
      </c>
      <c r="T1639" t="str">
        <f>"89082115"</f>
        <v>89082115</v>
      </c>
      <c r="U1639" t="str">
        <f>"NACOES"</f>
        <v>NACOES</v>
      </c>
      <c r="V1639" t="str">
        <f>"INDAIAL"</f>
        <v>INDAIAL</v>
      </c>
      <c r="W1639" t="str">
        <f t="shared" si="807"/>
        <v>SC</v>
      </c>
      <c r="X1639" t="str">
        <f t="shared" si="847"/>
        <v>47</v>
      </c>
      <c r="Y1639" t="str">
        <f>"30192121"</f>
        <v>30192121</v>
      </c>
      <c r="Z1639" t="str">
        <f>""</f>
        <v/>
      </c>
      <c r="AA1639" t="str">
        <f>""</f>
        <v/>
      </c>
      <c r="AB1639" t="str">
        <f>""</f>
        <v/>
      </c>
      <c r="AC1639" t="str">
        <f>""</f>
        <v/>
      </c>
      <c r="AD1639" t="str">
        <f>""</f>
        <v/>
      </c>
      <c r="AE1639" t="str">
        <f>""</f>
        <v/>
      </c>
      <c r="AF1639" t="str">
        <f>""</f>
        <v/>
      </c>
      <c r="AG1639" t="str">
        <f>""</f>
        <v/>
      </c>
      <c r="AH1639" t="str">
        <f>""</f>
        <v/>
      </c>
      <c r="AI1639" t="str">
        <f>""</f>
        <v/>
      </c>
      <c r="AJ1639" t="str">
        <f>""</f>
        <v/>
      </c>
      <c r="AK1639" t="str">
        <f>""</f>
        <v/>
      </c>
      <c r="AL1639" t="str">
        <f>""</f>
        <v/>
      </c>
      <c r="AM1639" t="str">
        <f>""</f>
        <v/>
      </c>
      <c r="AN1639" t="str">
        <f>""</f>
        <v/>
      </c>
      <c r="AO1639" t="str">
        <f>""</f>
        <v/>
      </c>
      <c r="AP1639" t="str">
        <f>""</f>
        <v/>
      </c>
      <c r="AQ1639" t="str">
        <f>""</f>
        <v/>
      </c>
      <c r="AR1639" t="str">
        <f>""</f>
        <v/>
      </c>
      <c r="AS1639" t="str">
        <f>""</f>
        <v/>
      </c>
      <c r="AT1639" t="str">
        <f>""</f>
        <v/>
      </c>
      <c r="AU1639" t="str">
        <f>""</f>
        <v/>
      </c>
      <c r="AV1639" t="str">
        <f>""</f>
        <v/>
      </c>
      <c r="AW1639" t="str">
        <f>""</f>
        <v/>
      </c>
      <c r="AX1639" t="str">
        <f>""</f>
        <v/>
      </c>
      <c r="AY1639" t="str">
        <f>""</f>
        <v/>
      </c>
      <c r="AZ1639" t="str">
        <f>""</f>
        <v/>
      </c>
      <c r="BA1639" t="str">
        <f>""</f>
        <v/>
      </c>
      <c r="BB1639" t="str">
        <f>"01/07/2021 13:53:04"</f>
        <v>01/07/2021 13:53:04</v>
      </c>
      <c r="BC1639" t="str">
        <f>""</f>
        <v/>
      </c>
      <c r="BD1639" t="str">
        <f>""</f>
        <v/>
      </c>
      <c r="BE1639" t="str">
        <f>""</f>
        <v/>
      </c>
      <c r="BF1639" t="str">
        <f t="shared" si="828"/>
        <v>A</v>
      </c>
      <c r="BG1639" t="str">
        <f>""</f>
        <v/>
      </c>
      <c r="BH1639" t="str">
        <f>""</f>
        <v/>
      </c>
      <c r="BI1639" t="str">
        <f t="shared" si="849"/>
        <v>EVENTUAL</v>
      </c>
      <c r="BJ1639" t="str">
        <f t="shared" si="829"/>
        <v>1</v>
      </c>
      <c r="BK1639" t="str">
        <f t="shared" si="830"/>
        <v>Farmacia</v>
      </c>
      <c r="BL1639" t="str">
        <f>""</f>
        <v/>
      </c>
      <c r="BM1639" t="str">
        <f>"NÃO É VARILUX ESPECIALISTA"</f>
        <v>NÃO É VARILUX ESPECIALISTA</v>
      </c>
      <c r="BN1639" t="str">
        <f>"NA"</f>
        <v>NA</v>
      </c>
      <c r="BO1639" t="str">
        <f>"OUTROS"</f>
        <v>OUTROS</v>
      </c>
      <c r="BP1639" t="str">
        <f>""</f>
        <v/>
      </c>
      <c r="BQ1639" t="str">
        <f>""</f>
        <v/>
      </c>
      <c r="BR1639" t="str">
        <f>"01/07/2021"</f>
        <v>01/07/2021</v>
      </c>
      <c r="BS1639" t="str">
        <f>""</f>
        <v/>
      </c>
      <c r="BT1639" t="str">
        <f>""</f>
        <v/>
      </c>
      <c r="BU1639" t="str">
        <f>""</f>
        <v/>
      </c>
      <c r="BV1639" t="str">
        <f>""</f>
        <v/>
      </c>
      <c r="BW1639" t="str">
        <f>"Não visitado"</f>
        <v>Não visitado</v>
      </c>
    </row>
    <row r="1640" spans="1:75" x14ac:dyDescent="0.35">
      <c r="A1640">
        <v>137849</v>
      </c>
      <c r="B1640" t="str">
        <f t="shared" si="825"/>
        <v>A</v>
      </c>
      <c r="C1640" t="str">
        <f t="shared" si="826"/>
        <v>80</v>
      </c>
      <c r="D1640" t="str">
        <f t="shared" si="809"/>
        <v>11121004</v>
      </c>
      <c r="E1640" t="str">
        <f t="shared" si="810"/>
        <v>121004</v>
      </c>
      <c r="F1640" t="str">
        <f t="shared" si="811"/>
        <v>FABIANA GODOY</v>
      </c>
      <c r="G1640" t="str">
        <f>"30882232000262"</f>
        <v>30882232000262</v>
      </c>
      <c r="H1640" t="str">
        <f t="shared" si="839"/>
        <v>0</v>
      </c>
      <c r="I1640" t="str">
        <f t="shared" si="827"/>
        <v>CONTA OPTICA</v>
      </c>
      <c r="J1640" t="str">
        <f>"R E W COMERCIO OPTICA LTDA"</f>
        <v>R E W COMERCIO OPTICA LTDA</v>
      </c>
      <c r="K1640" t="str">
        <f>"OPTICA BELLA VISAO (4287)"</f>
        <v>OPTICA BELLA VISAO (4287)</v>
      </c>
      <c r="L1640" t="str">
        <f>""</f>
        <v/>
      </c>
      <c r="M1640" t="str">
        <f>""</f>
        <v/>
      </c>
      <c r="N1640" t="str">
        <f>"BELLAVISAODIAMOND@GMAIL.COM"</f>
        <v>BELLAVISAODIAMOND@GMAIL.COM</v>
      </c>
      <c r="O1640" t="str">
        <f>""</f>
        <v/>
      </c>
      <c r="P1640" t="str">
        <f>"RUA MAL FLORIANO PEIXOTO"</f>
        <v>RUA MAL FLORIANO PEIXOTO</v>
      </c>
      <c r="Q1640" t="str">
        <f>"323"</f>
        <v>323</v>
      </c>
      <c r="R1640" t="str">
        <f>"SALA 04"</f>
        <v>SALA 04</v>
      </c>
      <c r="S1640" t="str">
        <f>""</f>
        <v/>
      </c>
      <c r="T1640" t="str">
        <f>"89080063"</f>
        <v>89080063</v>
      </c>
      <c r="U1640" t="str">
        <f>"CENTRO"</f>
        <v>CENTRO</v>
      </c>
      <c r="V1640" t="str">
        <f>"INDAIAL"</f>
        <v>INDAIAL</v>
      </c>
      <c r="W1640" t="str">
        <f t="shared" si="807"/>
        <v>SC</v>
      </c>
      <c r="X1640" t="str">
        <f t="shared" si="847"/>
        <v>47</v>
      </c>
      <c r="Y1640" t="str">
        <f>"30193575"</f>
        <v>30193575</v>
      </c>
      <c r="Z1640" t="str">
        <f>""</f>
        <v/>
      </c>
      <c r="AA1640" t="str">
        <f>""</f>
        <v/>
      </c>
      <c r="AB1640" t="str">
        <f>""</f>
        <v/>
      </c>
      <c r="AC1640" t="str">
        <f>""</f>
        <v/>
      </c>
      <c r="AD1640" t="str">
        <f>""</f>
        <v/>
      </c>
      <c r="AE1640" t="str">
        <f>""</f>
        <v/>
      </c>
      <c r="AF1640" t="str">
        <f>""</f>
        <v/>
      </c>
      <c r="AG1640" t="str">
        <f>"S"</f>
        <v>S</v>
      </c>
      <c r="AH1640" t="str">
        <f>""</f>
        <v/>
      </c>
      <c r="AI1640" t="str">
        <f>""</f>
        <v/>
      </c>
      <c r="AJ1640" t="str">
        <f>""</f>
        <v/>
      </c>
      <c r="AK1640" t="str">
        <f>""</f>
        <v/>
      </c>
      <c r="AL1640" t="str">
        <f>""</f>
        <v/>
      </c>
      <c r="AM1640" t="str">
        <f>""</f>
        <v/>
      </c>
      <c r="AN1640" t="str">
        <f>""</f>
        <v/>
      </c>
      <c r="AO1640" t="str">
        <f>""</f>
        <v/>
      </c>
      <c r="AP1640" t="str">
        <f>""</f>
        <v/>
      </c>
      <c r="AQ1640" t="str">
        <f>"N"</f>
        <v>N</v>
      </c>
      <c r="AR1640" t="str">
        <f>"N"</f>
        <v>N</v>
      </c>
      <c r="AS1640" t="str">
        <f>"N"</f>
        <v>N</v>
      </c>
      <c r="AT1640" t="str">
        <f>"N"</f>
        <v>N</v>
      </c>
      <c r="AU1640" t="str">
        <f>"N"</f>
        <v>N</v>
      </c>
      <c r="AV1640" t="str">
        <f>""</f>
        <v/>
      </c>
      <c r="AW1640" t="str">
        <f>""</f>
        <v/>
      </c>
      <c r="AX1640" t="str">
        <f>""</f>
        <v/>
      </c>
      <c r="AY1640" t="str">
        <f>""</f>
        <v/>
      </c>
      <c r="AZ1640" t="str">
        <f>""</f>
        <v/>
      </c>
      <c r="BA1640" t="str">
        <f>""</f>
        <v/>
      </c>
      <c r="BB1640" t="str">
        <f>"01/07/2021 13:53:04"</f>
        <v>01/07/2021 13:53:04</v>
      </c>
      <c r="BC1640" t="str">
        <f>"08/11/2021 12:57:27"</f>
        <v>08/11/2021 12:57:27</v>
      </c>
      <c r="BD1640" t="str">
        <f>""</f>
        <v/>
      </c>
      <c r="BE1640" t="str">
        <f>""</f>
        <v/>
      </c>
      <c r="BF1640" t="str">
        <f t="shared" si="828"/>
        <v>A</v>
      </c>
      <c r="BG1640" t="str">
        <f>""</f>
        <v/>
      </c>
      <c r="BH1640" t="str">
        <f>"0,00"</f>
        <v>0,00</v>
      </c>
      <c r="BI1640" t="str">
        <f t="shared" si="849"/>
        <v>EVENTUAL</v>
      </c>
      <c r="BJ1640" t="str">
        <f t="shared" si="829"/>
        <v>1</v>
      </c>
      <c r="BK1640" t="str">
        <f t="shared" si="830"/>
        <v>Farmacia</v>
      </c>
      <c r="BL1640" t="str">
        <f>""</f>
        <v/>
      </c>
      <c r="BM1640" t="str">
        <f>"NÃO É VARILUX ESPECIALISTA"</f>
        <v>NÃO É VARILUX ESPECIALISTA</v>
      </c>
      <c r="BN1640" t="str">
        <f>"NA"</f>
        <v>NA</v>
      </c>
      <c r="BO1640" t="str">
        <f>""</f>
        <v/>
      </c>
      <c r="BP1640" t="str">
        <f>""</f>
        <v/>
      </c>
      <c r="BQ1640" t="str">
        <f>""</f>
        <v/>
      </c>
      <c r="BR1640" t="str">
        <f>"01/07/2021"</f>
        <v>01/07/2021</v>
      </c>
      <c r="BS1640" t="str">
        <f>"08/11/2021"</f>
        <v>08/11/2021</v>
      </c>
      <c r="BT1640" t="str">
        <f>""</f>
        <v/>
      </c>
      <c r="BU1640" t="str">
        <f>""</f>
        <v/>
      </c>
      <c r="BV1640" t="str">
        <f>""</f>
        <v/>
      </c>
      <c r="BW1640" t="str">
        <f>"70"</f>
        <v>70</v>
      </c>
    </row>
    <row r="1641" spans="1:75" x14ac:dyDescent="0.35">
      <c r="A1641">
        <v>157743</v>
      </c>
      <c r="B1641" t="str">
        <f t="shared" si="825"/>
        <v>A</v>
      </c>
      <c r="C1641" t="str">
        <f t="shared" si="826"/>
        <v>80</v>
      </c>
      <c r="D1641" t="str">
        <f t="shared" si="809"/>
        <v>11121004</v>
      </c>
      <c r="E1641" t="str">
        <f t="shared" si="810"/>
        <v>121004</v>
      </c>
      <c r="F1641" t="str">
        <f t="shared" si="811"/>
        <v>FABIANA GODOY</v>
      </c>
      <c r="G1641" t="str">
        <f>"09410776000154"</f>
        <v>09410776000154</v>
      </c>
      <c r="H1641" t="str">
        <f t="shared" si="839"/>
        <v>0</v>
      </c>
      <c r="I1641" t="str">
        <f t="shared" si="827"/>
        <v>CONTA OPTICA</v>
      </c>
      <c r="J1641" t="str">
        <f>"R.S.B OTICA LTDA"</f>
        <v>R.S.B OTICA LTDA</v>
      </c>
      <c r="K1641" t="str">
        <f>"OTICA BELLA VISORAMA  (1392)"</f>
        <v>OTICA BELLA VISORAMA  (1392)</v>
      </c>
      <c r="L1641" t="str">
        <f>""</f>
        <v/>
      </c>
      <c r="M1641" t="str">
        <f>""</f>
        <v/>
      </c>
      <c r="N1641" t="str">
        <f>"OTICABELLAVISORAMA@GMAIL.COM"</f>
        <v>OTICABELLAVISORAMA@GMAIL.COM</v>
      </c>
      <c r="O1641" t="str">
        <f>""</f>
        <v/>
      </c>
      <c r="P1641" t="str">
        <f>"RUA CURT HERING"</f>
        <v>RUA CURT HERING</v>
      </c>
      <c r="Q1641" t="str">
        <f>"489"</f>
        <v>489</v>
      </c>
      <c r="R1641" t="str">
        <f>"ED. IMPERADOR"</f>
        <v>ED. IMPERADOR</v>
      </c>
      <c r="S1641" t="str">
        <f>"1275"</f>
        <v>1275</v>
      </c>
      <c r="T1641" t="str">
        <f>"89150000"</f>
        <v>89150000</v>
      </c>
      <c r="U1641" t="str">
        <f>"CENTRO"</f>
        <v>CENTRO</v>
      </c>
      <c r="V1641" t="str">
        <f>"PRESIDENTE GETULIO"</f>
        <v>PRESIDENTE GETULIO</v>
      </c>
      <c r="W1641" t="str">
        <f t="shared" si="807"/>
        <v>SC</v>
      </c>
      <c r="X1641" t="str">
        <f t="shared" si="847"/>
        <v>47</v>
      </c>
      <c r="Y1641" t="str">
        <f>"33522114"</f>
        <v>33522114</v>
      </c>
      <c r="Z1641" t="str">
        <f>""</f>
        <v/>
      </c>
      <c r="AA1641" t="str">
        <f>""</f>
        <v/>
      </c>
      <c r="AB1641" t="str">
        <f>""</f>
        <v/>
      </c>
      <c r="AC1641" t="str">
        <f>""</f>
        <v/>
      </c>
      <c r="AD1641" t="str">
        <f>""</f>
        <v/>
      </c>
      <c r="AE1641" t="str">
        <f>""</f>
        <v/>
      </c>
      <c r="AF1641" t="str">
        <f>""</f>
        <v/>
      </c>
      <c r="AG1641" t="str">
        <f>""</f>
        <v/>
      </c>
      <c r="AH1641" t="str">
        <f>""</f>
        <v/>
      </c>
      <c r="AI1641" t="str">
        <f>""</f>
        <v/>
      </c>
      <c r="AJ1641" t="str">
        <f>""</f>
        <v/>
      </c>
      <c r="AK1641" t="str">
        <f>""</f>
        <v/>
      </c>
      <c r="AL1641" t="str">
        <f>""</f>
        <v/>
      </c>
      <c r="AM1641" t="str">
        <f>""</f>
        <v/>
      </c>
      <c r="AN1641" t="str">
        <f>""</f>
        <v/>
      </c>
      <c r="AO1641" t="str">
        <f>""</f>
        <v/>
      </c>
      <c r="AP1641" t="str">
        <f>""</f>
        <v/>
      </c>
      <c r="AQ1641" t="str">
        <f>""</f>
        <v/>
      </c>
      <c r="AR1641" t="str">
        <f>""</f>
        <v/>
      </c>
      <c r="AS1641" t="str">
        <f>""</f>
        <v/>
      </c>
      <c r="AT1641" t="str">
        <f>""</f>
        <v/>
      </c>
      <c r="AU1641" t="str">
        <f>""</f>
        <v/>
      </c>
      <c r="AV1641" t="str">
        <f>""</f>
        <v/>
      </c>
      <c r="AW1641" t="str">
        <f>""</f>
        <v/>
      </c>
      <c r="AX1641" t="str">
        <f>""</f>
        <v/>
      </c>
      <c r="AY1641" t="str">
        <f>""</f>
        <v/>
      </c>
      <c r="AZ1641" t="str">
        <f>""</f>
        <v/>
      </c>
      <c r="BA1641" t="str">
        <f>""</f>
        <v/>
      </c>
      <c r="BB1641" t="str">
        <f>"11/07/2023 02:26:32"</f>
        <v>11/07/2023 02:26:32</v>
      </c>
      <c r="BC1641" t="str">
        <f>""</f>
        <v/>
      </c>
      <c r="BD1641" t="str">
        <f>""</f>
        <v/>
      </c>
      <c r="BE1641" t="str">
        <f>""</f>
        <v/>
      </c>
      <c r="BF1641" t="str">
        <f t="shared" si="828"/>
        <v>A</v>
      </c>
      <c r="BG1641" t="str">
        <f>""</f>
        <v/>
      </c>
      <c r="BH1641" t="str">
        <f>""</f>
        <v/>
      </c>
      <c r="BI1641" t="str">
        <f t="shared" si="849"/>
        <v>EVENTUAL</v>
      </c>
      <c r="BJ1641" t="str">
        <f t="shared" si="829"/>
        <v>1</v>
      </c>
      <c r="BK1641" t="str">
        <f t="shared" si="830"/>
        <v>Farmacia</v>
      </c>
      <c r="BL1641" t="str">
        <f>""</f>
        <v/>
      </c>
      <c r="BM1641" t="str">
        <f>""</f>
        <v/>
      </c>
      <c r="BN1641" t="str">
        <f>""</f>
        <v/>
      </c>
      <c r="BO1641" t="str">
        <f>""</f>
        <v/>
      </c>
      <c r="BP1641" t="str">
        <f>""</f>
        <v/>
      </c>
      <c r="BQ1641" t="str">
        <f>""</f>
        <v/>
      </c>
      <c r="BR1641" t="str">
        <f>"11/07/2023"</f>
        <v>11/07/2023</v>
      </c>
      <c r="BS1641" t="str">
        <f>""</f>
        <v/>
      </c>
      <c r="BT1641" t="str">
        <f>""</f>
        <v/>
      </c>
      <c r="BU1641" t="str">
        <f>""</f>
        <v/>
      </c>
      <c r="BV1641" t="str">
        <f>""</f>
        <v/>
      </c>
      <c r="BW1641" t="str">
        <f>"Não visitado"</f>
        <v>Não visitado</v>
      </c>
    </row>
    <row r="1642" spans="1:75" x14ac:dyDescent="0.35">
      <c r="A1642">
        <v>1319</v>
      </c>
      <c r="B1642" t="str">
        <f t="shared" si="825"/>
        <v>A</v>
      </c>
      <c r="C1642" t="str">
        <f t="shared" si="826"/>
        <v>80</v>
      </c>
      <c r="D1642" t="str">
        <f t="shared" si="809"/>
        <v>11121004</v>
      </c>
      <c r="E1642" t="str">
        <f t="shared" si="810"/>
        <v>121004</v>
      </c>
      <c r="F1642" t="str">
        <f t="shared" si="811"/>
        <v>FABIANA GODOY</v>
      </c>
      <c r="G1642" t="str">
        <f>"08741325000137"</f>
        <v>08741325000137</v>
      </c>
      <c r="H1642" t="str">
        <f>""</f>
        <v/>
      </c>
      <c r="I1642" t="str">
        <f t="shared" si="827"/>
        <v>CONTA OPTICA</v>
      </c>
      <c r="J1642" t="str">
        <f>"RAFAEL OTICA E RELOJOARIA EIRELI EPP"</f>
        <v>RAFAEL OTICA E RELOJOARIA EIRELI EPP</v>
      </c>
      <c r="K1642" t="str">
        <f>"RAFAEL OTICA E RELOJOARIA LTDA ME (1285)"</f>
        <v>RAFAEL OTICA E RELOJOARIA LTDA ME (1285)</v>
      </c>
      <c r="L1642" t="str">
        <f>""</f>
        <v/>
      </c>
      <c r="M1642" t="str">
        <f>""</f>
        <v/>
      </c>
      <c r="N1642" t="str">
        <f>"rafaelcatafesta@gmail.com"</f>
        <v>rafaelcatafesta@gmail.com</v>
      </c>
      <c r="O1642" t="str">
        <f>""</f>
        <v/>
      </c>
      <c r="P1642" t="str">
        <f>"RUA PREFEITO FREDERICO HARDT"</f>
        <v>RUA PREFEITO FREDERICO HARDT</v>
      </c>
      <c r="Q1642" t="str">
        <f>"92"</f>
        <v>92</v>
      </c>
      <c r="R1642" t="str">
        <f>""</f>
        <v/>
      </c>
      <c r="S1642" t="str">
        <f>"1275"</f>
        <v>1275</v>
      </c>
      <c r="T1642" t="str">
        <f>"89130000"</f>
        <v>89130000</v>
      </c>
      <c r="U1642" t="str">
        <f>"CENTRO"</f>
        <v>CENTRO</v>
      </c>
      <c r="V1642" t="str">
        <f>"INDAIAL"</f>
        <v>INDAIAL</v>
      </c>
      <c r="W1642" t="str">
        <f t="shared" si="807"/>
        <v>SC</v>
      </c>
      <c r="X1642" t="str">
        <f t="shared" si="847"/>
        <v>47</v>
      </c>
      <c r="Y1642" t="str">
        <f>"33330195"</f>
        <v>33330195</v>
      </c>
      <c r="Z1642" t="str">
        <f>""</f>
        <v/>
      </c>
      <c r="AA1642" t="str">
        <f>""</f>
        <v/>
      </c>
      <c r="AB1642" t="str">
        <f>""</f>
        <v/>
      </c>
      <c r="AC1642" t="str">
        <f>""</f>
        <v/>
      </c>
      <c r="AD1642" t="str">
        <f>""</f>
        <v/>
      </c>
      <c r="AE1642" t="str">
        <f>""</f>
        <v/>
      </c>
      <c r="AF1642" t="str">
        <f>""</f>
        <v/>
      </c>
      <c r="AG1642" t="str">
        <f>"S"</f>
        <v>S</v>
      </c>
      <c r="AH1642" t="str">
        <f>""</f>
        <v/>
      </c>
      <c r="AI1642" t="str">
        <f>""</f>
        <v/>
      </c>
      <c r="AJ1642" t="str">
        <f t="shared" ref="AJ1642:AL1644" si="850">"0"</f>
        <v>0</v>
      </c>
      <c r="AK1642" t="str">
        <f t="shared" si="850"/>
        <v>0</v>
      </c>
      <c r="AL1642" t="str">
        <f t="shared" si="850"/>
        <v>0</v>
      </c>
      <c r="AM1642" t="str">
        <f>""</f>
        <v/>
      </c>
      <c r="AN1642" t="str">
        <f>""</f>
        <v/>
      </c>
      <c r="AO1642" t="str">
        <f>""</f>
        <v/>
      </c>
      <c r="AP1642" t="str">
        <f>""</f>
        <v/>
      </c>
      <c r="AQ1642" t="str">
        <f>"N"</f>
        <v>N</v>
      </c>
      <c r="AR1642" t="str">
        <f>"N"</f>
        <v>N</v>
      </c>
      <c r="AS1642" t="str">
        <f>"N"</f>
        <v>N</v>
      </c>
      <c r="AT1642" t="str">
        <f>"N"</f>
        <v>N</v>
      </c>
      <c r="AU1642" t="str">
        <f>"N"</f>
        <v>N</v>
      </c>
      <c r="AV1642" t="str">
        <f>""</f>
        <v/>
      </c>
      <c r="AW1642" t="str">
        <f>""</f>
        <v/>
      </c>
      <c r="AX1642" t="str">
        <f>""</f>
        <v/>
      </c>
      <c r="AY1642" t="str">
        <f>""</f>
        <v/>
      </c>
      <c r="AZ1642" t="str">
        <f>""</f>
        <v/>
      </c>
      <c r="BA1642" t="str">
        <f>""</f>
        <v/>
      </c>
      <c r="BB1642" t="str">
        <f>"27/07/2018 09:26:14"</f>
        <v>27/07/2018 09:26:14</v>
      </c>
      <c r="BC1642" t="str">
        <f>"25/07/2023 16:33:58"</f>
        <v>25/07/2023 16:33:58</v>
      </c>
      <c r="BD1642" t="str">
        <f>""</f>
        <v/>
      </c>
      <c r="BE1642" t="str">
        <f>"1319"</f>
        <v>1319</v>
      </c>
      <c r="BF1642" t="str">
        <f t="shared" si="828"/>
        <v>A</v>
      </c>
      <c r="BG1642" t="str">
        <f t="shared" ref="BG1642:BH1644" si="851">"0,00"</f>
        <v>0,00</v>
      </c>
      <c r="BH1642" t="str">
        <f t="shared" si="851"/>
        <v>0,00</v>
      </c>
      <c r="BI1642" t="str">
        <f>"MENSAL"</f>
        <v>MENSAL</v>
      </c>
      <c r="BJ1642" t="str">
        <f t="shared" si="829"/>
        <v>1</v>
      </c>
      <c r="BK1642" t="str">
        <f t="shared" si="830"/>
        <v>Farmacia</v>
      </c>
      <c r="BL1642" t="str">
        <f>""</f>
        <v/>
      </c>
      <c r="BM1642" t="str">
        <f>"NÃO É VARILUX ESPECIALISTA"</f>
        <v>NÃO É VARILUX ESPECIALISTA</v>
      </c>
      <c r="BN1642" t="str">
        <f>"NA"</f>
        <v>NA</v>
      </c>
      <c r="BO1642" t="str">
        <f>"FOCO KODAK 2"</f>
        <v>FOCO KODAK 2</v>
      </c>
      <c r="BP1642" t="str">
        <f>""</f>
        <v/>
      </c>
      <c r="BQ1642" t="str">
        <f>""</f>
        <v/>
      </c>
      <c r="BR1642" t="str">
        <f>"27/07/2018"</f>
        <v>27/07/2018</v>
      </c>
      <c r="BS1642" t="str">
        <f>"25/07/2023"</f>
        <v>25/07/2023</v>
      </c>
      <c r="BT1642" t="str">
        <f>""</f>
        <v/>
      </c>
      <c r="BU1642" t="str">
        <f>""</f>
        <v/>
      </c>
      <c r="BV1642" t="str">
        <f>"6"</f>
        <v>6</v>
      </c>
      <c r="BW1642" t="str">
        <f>"30"</f>
        <v>30</v>
      </c>
    </row>
    <row r="1643" spans="1:75" x14ac:dyDescent="0.35">
      <c r="A1643">
        <v>127627</v>
      </c>
      <c r="B1643" t="str">
        <f t="shared" si="825"/>
        <v>A</v>
      </c>
      <c r="C1643" t="str">
        <f t="shared" si="826"/>
        <v>80</v>
      </c>
      <c r="D1643" t="str">
        <f t="shared" si="809"/>
        <v>11121004</v>
      </c>
      <c r="E1643" t="str">
        <f t="shared" si="810"/>
        <v>121004</v>
      </c>
      <c r="F1643" t="str">
        <f t="shared" si="811"/>
        <v>FABIANA GODOY</v>
      </c>
      <c r="G1643" t="str">
        <f>"02329098000150"</f>
        <v>02329098000150</v>
      </c>
      <c r="H1643" t="str">
        <f t="shared" ref="H1643:H1658" si="852">"0"</f>
        <v>0</v>
      </c>
      <c r="I1643" t="str">
        <f t="shared" si="827"/>
        <v>CONTA OPTICA</v>
      </c>
      <c r="J1643" t="str">
        <f>"RAPHAEL FADEL DE SOUZA ME"</f>
        <v>RAPHAEL FADEL DE SOUZA ME</v>
      </c>
      <c r="K1643" t="str">
        <f>"ZO FADEL BIJUTERIAS (1795)"</f>
        <v>ZO FADEL BIJUTERIAS (1795)</v>
      </c>
      <c r="L1643" t="str">
        <f>""</f>
        <v/>
      </c>
      <c r="M1643" t="str">
        <f>""</f>
        <v/>
      </c>
      <c r="N1643" t="str">
        <f>"oticas_fadel@hotmail.com"</f>
        <v>oticas_fadel@hotmail.com</v>
      </c>
      <c r="O1643" t="str">
        <f>""</f>
        <v/>
      </c>
      <c r="P1643" t="str">
        <f>"RUA BRUSQUE"</f>
        <v>RUA BRUSQUE</v>
      </c>
      <c r="Q1643" t="str">
        <f>"404"</f>
        <v>404</v>
      </c>
      <c r="R1643" t="str">
        <f>""</f>
        <v/>
      </c>
      <c r="S1643" t="str">
        <f>"1263"</f>
        <v>1263</v>
      </c>
      <c r="T1643" t="str">
        <f>"88360000"</f>
        <v>88360000</v>
      </c>
      <c r="U1643" t="str">
        <f>"CENTRO"</f>
        <v>CENTRO</v>
      </c>
      <c r="V1643" t="str">
        <f>"GUABIRUBA"</f>
        <v>GUABIRUBA</v>
      </c>
      <c r="W1643" t="str">
        <f t="shared" si="807"/>
        <v>SC</v>
      </c>
      <c r="X1643" t="str">
        <f t="shared" si="847"/>
        <v>47</v>
      </c>
      <c r="Y1643" t="str">
        <f>"33542691"</f>
        <v>33542691</v>
      </c>
      <c r="Z1643" t="str">
        <f>""</f>
        <v/>
      </c>
      <c r="AA1643" t="str">
        <f>""</f>
        <v/>
      </c>
      <c r="AB1643" t="str">
        <f>""</f>
        <v/>
      </c>
      <c r="AC1643" t="str">
        <f>""</f>
        <v/>
      </c>
      <c r="AD1643" t="str">
        <f>""</f>
        <v/>
      </c>
      <c r="AE1643" t="str">
        <f>""</f>
        <v/>
      </c>
      <c r="AF1643" t="str">
        <f>""</f>
        <v/>
      </c>
      <c r="AG1643" t="str">
        <f>""</f>
        <v/>
      </c>
      <c r="AH1643" t="str">
        <f>""</f>
        <v/>
      </c>
      <c r="AI1643" t="str">
        <f>""</f>
        <v/>
      </c>
      <c r="AJ1643" t="str">
        <f t="shared" si="850"/>
        <v>0</v>
      </c>
      <c r="AK1643" t="str">
        <f t="shared" si="850"/>
        <v>0</v>
      </c>
      <c r="AL1643" t="str">
        <f t="shared" si="850"/>
        <v>0</v>
      </c>
      <c r="AM1643" t="str">
        <f>""</f>
        <v/>
      </c>
      <c r="AN1643" t="str">
        <f>""</f>
        <v/>
      </c>
      <c r="AO1643" t="str">
        <f>""</f>
        <v/>
      </c>
      <c r="AP1643" t="str">
        <f>""</f>
        <v/>
      </c>
      <c r="AQ1643" t="str">
        <f>""</f>
        <v/>
      </c>
      <c r="AR1643" t="str">
        <f>""</f>
        <v/>
      </c>
      <c r="AS1643" t="str">
        <f>""</f>
        <v/>
      </c>
      <c r="AT1643" t="str">
        <f>""</f>
        <v/>
      </c>
      <c r="AU1643" t="str">
        <f>""</f>
        <v/>
      </c>
      <c r="AV1643" t="str">
        <f>""</f>
        <v/>
      </c>
      <c r="AW1643" t="str">
        <f>""</f>
        <v/>
      </c>
      <c r="AX1643" t="str">
        <f>""</f>
        <v/>
      </c>
      <c r="AY1643" t="str">
        <f>""</f>
        <v/>
      </c>
      <c r="AZ1643" t="str">
        <f>""</f>
        <v/>
      </c>
      <c r="BA1643" t="str">
        <f>""</f>
        <v/>
      </c>
      <c r="BB1643" t="str">
        <f>"07/10/2020 09:08:38"</f>
        <v>07/10/2020 09:08:38</v>
      </c>
      <c r="BC1643" t="str">
        <f>""</f>
        <v/>
      </c>
      <c r="BD1643" t="str">
        <f>""</f>
        <v/>
      </c>
      <c r="BE1643" t="str">
        <f>""</f>
        <v/>
      </c>
      <c r="BF1643" t="str">
        <f t="shared" si="828"/>
        <v>A</v>
      </c>
      <c r="BG1643" t="str">
        <f t="shared" si="851"/>
        <v>0,00</v>
      </c>
      <c r="BH1643" t="str">
        <f t="shared" si="851"/>
        <v>0,00</v>
      </c>
      <c r="BI1643" t="str">
        <f>"EVENTUAL"</f>
        <v>EVENTUAL</v>
      </c>
      <c r="BJ1643" t="str">
        <f t="shared" si="829"/>
        <v>1</v>
      </c>
      <c r="BK1643" t="str">
        <f t="shared" si="830"/>
        <v>Farmacia</v>
      </c>
      <c r="BL1643" t="str">
        <f>""</f>
        <v/>
      </c>
      <c r="BM1643" t="str">
        <f>"NÃO É VARILUX ESPECIALISTA"</f>
        <v>NÃO É VARILUX ESPECIALISTA</v>
      </c>
      <c r="BN1643" t="str">
        <f>"NA"</f>
        <v>NA</v>
      </c>
      <c r="BO1643" t="str">
        <f>"OUTROS"</f>
        <v>OUTROS</v>
      </c>
      <c r="BP1643" t="str">
        <f>""</f>
        <v/>
      </c>
      <c r="BQ1643" t="str">
        <f>""</f>
        <v/>
      </c>
      <c r="BR1643" t="str">
        <f>"07/10/2020"</f>
        <v>07/10/2020</v>
      </c>
      <c r="BS1643" t="str">
        <f>""</f>
        <v/>
      </c>
      <c r="BT1643" t="str">
        <f>""</f>
        <v/>
      </c>
      <c r="BU1643" t="str">
        <f>""</f>
        <v/>
      </c>
      <c r="BV1643" t="str">
        <f>"9"</f>
        <v>9</v>
      </c>
      <c r="BW1643" t="str">
        <f>"Não visitado"</f>
        <v>Não visitado</v>
      </c>
    </row>
    <row r="1644" spans="1:75" x14ac:dyDescent="0.35">
      <c r="A1644">
        <v>127628</v>
      </c>
      <c r="B1644" t="str">
        <f t="shared" si="825"/>
        <v>A</v>
      </c>
      <c r="C1644" t="str">
        <f t="shared" si="826"/>
        <v>80</v>
      </c>
      <c r="D1644" t="str">
        <f t="shared" si="809"/>
        <v>11121004</v>
      </c>
      <c r="E1644" t="str">
        <f t="shared" si="810"/>
        <v>121004</v>
      </c>
      <c r="F1644" t="str">
        <f t="shared" si="811"/>
        <v>FABIANA GODOY</v>
      </c>
      <c r="G1644" t="str">
        <f>"02329098000231"</f>
        <v>02329098000231</v>
      </c>
      <c r="H1644" t="str">
        <f t="shared" si="852"/>
        <v>0</v>
      </c>
      <c r="I1644" t="str">
        <f t="shared" si="827"/>
        <v>CONTA OPTICA</v>
      </c>
      <c r="J1644" t="str">
        <f>"RAPHAEL FADEL DE SOUZA ME"</f>
        <v>RAPHAEL FADEL DE SOUZA ME</v>
      </c>
      <c r="K1644" t="str">
        <f>"OTICAS FADEL-BRUSQUE (1796)"</f>
        <v>OTICAS FADEL-BRUSQUE (1796)</v>
      </c>
      <c r="L1644" t="str">
        <f>""</f>
        <v/>
      </c>
      <c r="M1644" t="str">
        <f>""</f>
        <v/>
      </c>
      <c r="N1644" t="str">
        <f>"oticas_fadel@hotmail.com"</f>
        <v>oticas_fadel@hotmail.com</v>
      </c>
      <c r="O1644" t="str">
        <f>""</f>
        <v/>
      </c>
      <c r="P1644" t="str">
        <f>"RUA R. SETE DE SETEMBRO"</f>
        <v>RUA R. SETE DE SETEMBRO</v>
      </c>
      <c r="Q1644" t="str">
        <f>"473"</f>
        <v>473</v>
      </c>
      <c r="R1644" t="str">
        <f>"SALA 01"</f>
        <v>SALA 01</v>
      </c>
      <c r="S1644" t="str">
        <f>"1263"</f>
        <v>1263</v>
      </c>
      <c r="T1644" t="str">
        <f>"88352000"</f>
        <v>88352000</v>
      </c>
      <c r="U1644" t="str">
        <f>"SANTA RITA"</f>
        <v>SANTA RITA</v>
      </c>
      <c r="V1644" t="str">
        <f>"BRUSQUE"</f>
        <v>BRUSQUE</v>
      </c>
      <c r="W1644" t="str">
        <f t="shared" si="807"/>
        <v>SC</v>
      </c>
      <c r="X1644" t="str">
        <f t="shared" si="847"/>
        <v>47</v>
      </c>
      <c r="Y1644" t="str">
        <f>"33960797"</f>
        <v>33960797</v>
      </c>
      <c r="Z1644" t="str">
        <f>""</f>
        <v/>
      </c>
      <c r="AA1644" t="str">
        <f>""</f>
        <v/>
      </c>
      <c r="AB1644" t="str">
        <f>""</f>
        <v/>
      </c>
      <c r="AC1644" t="str">
        <f>""</f>
        <v/>
      </c>
      <c r="AD1644" t="str">
        <f>""</f>
        <v/>
      </c>
      <c r="AE1644" t="str">
        <f>""</f>
        <v/>
      </c>
      <c r="AF1644" t="str">
        <f>""</f>
        <v/>
      </c>
      <c r="AG1644" t="str">
        <f>""</f>
        <v/>
      </c>
      <c r="AH1644" t="str">
        <f>""</f>
        <v/>
      </c>
      <c r="AI1644" t="str">
        <f>""</f>
        <v/>
      </c>
      <c r="AJ1644" t="str">
        <f t="shared" si="850"/>
        <v>0</v>
      </c>
      <c r="AK1644" t="str">
        <f t="shared" si="850"/>
        <v>0</v>
      </c>
      <c r="AL1644" t="str">
        <f t="shared" si="850"/>
        <v>0</v>
      </c>
      <c r="AM1644" t="str">
        <f>""</f>
        <v/>
      </c>
      <c r="AN1644" t="str">
        <f>""</f>
        <v/>
      </c>
      <c r="AO1644" t="str">
        <f>""</f>
        <v/>
      </c>
      <c r="AP1644" t="str">
        <f>""</f>
        <v/>
      </c>
      <c r="AQ1644" t="str">
        <f>""</f>
        <v/>
      </c>
      <c r="AR1644" t="str">
        <f>""</f>
        <v/>
      </c>
      <c r="AS1644" t="str">
        <f>""</f>
        <v/>
      </c>
      <c r="AT1644" t="str">
        <f>""</f>
        <v/>
      </c>
      <c r="AU1644" t="str">
        <f>""</f>
        <v/>
      </c>
      <c r="AV1644" t="str">
        <f>""</f>
        <v/>
      </c>
      <c r="AW1644" t="str">
        <f>""</f>
        <v/>
      </c>
      <c r="AX1644" t="str">
        <f>""</f>
        <v/>
      </c>
      <c r="AY1644" t="str">
        <f>""</f>
        <v/>
      </c>
      <c r="AZ1644" t="str">
        <f>""</f>
        <v/>
      </c>
      <c r="BA1644" t="str">
        <f>""</f>
        <v/>
      </c>
      <c r="BB1644" t="str">
        <f>"07/10/2020 09:08:38"</f>
        <v>07/10/2020 09:08:38</v>
      </c>
      <c r="BC1644" t="str">
        <f>""</f>
        <v/>
      </c>
      <c r="BD1644" t="str">
        <f>""</f>
        <v/>
      </c>
      <c r="BE1644" t="str">
        <f>""</f>
        <v/>
      </c>
      <c r="BF1644" t="str">
        <f t="shared" si="828"/>
        <v>A</v>
      </c>
      <c r="BG1644" t="str">
        <f t="shared" si="851"/>
        <v>0,00</v>
      </c>
      <c r="BH1644" t="str">
        <f t="shared" si="851"/>
        <v>0,00</v>
      </c>
      <c r="BI1644" t="str">
        <f>"EVENTUAL"</f>
        <v>EVENTUAL</v>
      </c>
      <c r="BJ1644" t="str">
        <f t="shared" si="829"/>
        <v>1</v>
      </c>
      <c r="BK1644" t="str">
        <f t="shared" si="830"/>
        <v>Farmacia</v>
      </c>
      <c r="BL1644" t="str">
        <f>""</f>
        <v/>
      </c>
      <c r="BM1644" t="str">
        <f>"NÃO É VARILUX ESPECIALISTA"</f>
        <v>NÃO É VARILUX ESPECIALISTA</v>
      </c>
      <c r="BN1644" t="str">
        <f>"NA"</f>
        <v>NA</v>
      </c>
      <c r="BO1644" t="str">
        <f>"OUTROS"</f>
        <v>OUTROS</v>
      </c>
      <c r="BP1644" t="str">
        <f>""</f>
        <v/>
      </c>
      <c r="BQ1644" t="str">
        <f>""</f>
        <v/>
      </c>
      <c r="BR1644" t="str">
        <f>"07/10/2020"</f>
        <v>07/10/2020</v>
      </c>
      <c r="BS1644" t="str">
        <f>""</f>
        <v/>
      </c>
      <c r="BT1644" t="str">
        <f>""</f>
        <v/>
      </c>
      <c r="BU1644" t="str">
        <f>""</f>
        <v/>
      </c>
      <c r="BV1644" t="str">
        <f>"9"</f>
        <v>9</v>
      </c>
      <c r="BW1644" t="str">
        <f>"Não visitado"</f>
        <v>Não visitado</v>
      </c>
    </row>
    <row r="1645" spans="1:75" x14ac:dyDescent="0.35">
      <c r="A1645">
        <v>137854</v>
      </c>
      <c r="B1645" t="str">
        <f t="shared" si="825"/>
        <v>A</v>
      </c>
      <c r="C1645" t="str">
        <f t="shared" si="826"/>
        <v>80</v>
      </c>
      <c r="D1645" t="str">
        <f t="shared" si="809"/>
        <v>11121004</v>
      </c>
      <c r="E1645" t="str">
        <f t="shared" si="810"/>
        <v>121004</v>
      </c>
      <c r="F1645" t="str">
        <f t="shared" si="811"/>
        <v>FABIANA GODOY</v>
      </c>
      <c r="G1645" t="str">
        <f>"22970528000126"</f>
        <v>22970528000126</v>
      </c>
      <c r="H1645" t="str">
        <f t="shared" si="852"/>
        <v>0</v>
      </c>
      <c r="I1645" t="str">
        <f t="shared" si="827"/>
        <v>CONTA OPTICA</v>
      </c>
      <c r="J1645" t="str">
        <f>"RAQUEL ANSCHAU PEDROZO 01908848006"</f>
        <v>RAQUEL ANSCHAU PEDROZO 01908848006</v>
      </c>
      <c r="K1645" t="str">
        <f>"OTICA VIP (4345)"</f>
        <v>OTICA VIP (4345)</v>
      </c>
      <c r="L1645" t="str">
        <f>""</f>
        <v/>
      </c>
      <c r="M1645" t="str">
        <f>""</f>
        <v/>
      </c>
      <c r="N1645" t="str">
        <f>"OTICAVIP@OUTLOOK.COM"</f>
        <v>OTICAVIP@OUTLOOK.COM</v>
      </c>
      <c r="O1645" t="str">
        <f>""</f>
        <v/>
      </c>
      <c r="P1645" t="str">
        <f>"JOSE JUVENAL MAFRA"</f>
        <v>JOSE JUVENAL MAFRA</v>
      </c>
      <c r="Q1645" t="str">
        <f>"7176"</f>
        <v>7176</v>
      </c>
      <c r="R1645" t="str">
        <f>"SALA 01"</f>
        <v>SALA 01</v>
      </c>
      <c r="S1645" t="str">
        <f>""</f>
        <v/>
      </c>
      <c r="T1645" t="str">
        <f>"88372506"</f>
        <v>88372506</v>
      </c>
      <c r="U1645" t="str">
        <f>"GRAVATA"</f>
        <v>GRAVATA</v>
      </c>
      <c r="V1645" t="str">
        <f>"NAVEGANTES"</f>
        <v>NAVEGANTES</v>
      </c>
      <c r="W1645" t="str">
        <f t="shared" si="807"/>
        <v>SC</v>
      </c>
      <c r="X1645" t="str">
        <f t="shared" si="847"/>
        <v>47</v>
      </c>
      <c r="Y1645" t="str">
        <f>"999939100"</f>
        <v>999939100</v>
      </c>
      <c r="Z1645" t="str">
        <f>""</f>
        <v/>
      </c>
      <c r="AA1645" t="str">
        <f>""</f>
        <v/>
      </c>
      <c r="AB1645" t="str">
        <f>""</f>
        <v/>
      </c>
      <c r="AC1645" t="str">
        <f>""</f>
        <v/>
      </c>
      <c r="AD1645" t="str">
        <f>""</f>
        <v/>
      </c>
      <c r="AE1645" t="str">
        <f>""</f>
        <v/>
      </c>
      <c r="AF1645" t="str">
        <f>""</f>
        <v/>
      </c>
      <c r="AG1645" t="str">
        <f>"S"</f>
        <v>S</v>
      </c>
      <c r="AH1645" t="str">
        <f>""</f>
        <v/>
      </c>
      <c r="AI1645" t="str">
        <f>""</f>
        <v/>
      </c>
      <c r="AJ1645" t="str">
        <f>""</f>
        <v/>
      </c>
      <c r="AK1645" t="str">
        <f>""</f>
        <v/>
      </c>
      <c r="AL1645" t="str">
        <f>""</f>
        <v/>
      </c>
      <c r="AM1645" t="str">
        <f>""</f>
        <v/>
      </c>
      <c r="AN1645" t="str">
        <f>""</f>
        <v/>
      </c>
      <c r="AO1645" t="str">
        <f>""</f>
        <v/>
      </c>
      <c r="AP1645" t="str">
        <f>""</f>
        <v/>
      </c>
      <c r="AQ1645" t="str">
        <f t="shared" ref="AQ1645:AU1646" si="853">"N"</f>
        <v>N</v>
      </c>
      <c r="AR1645" t="str">
        <f t="shared" si="853"/>
        <v>N</v>
      </c>
      <c r="AS1645" t="str">
        <f t="shared" si="853"/>
        <v>N</v>
      </c>
      <c r="AT1645" t="str">
        <f t="shared" si="853"/>
        <v>N</v>
      </c>
      <c r="AU1645" t="str">
        <f t="shared" si="853"/>
        <v>N</v>
      </c>
      <c r="AV1645" t="str">
        <f>""</f>
        <v/>
      </c>
      <c r="AW1645" t="str">
        <f>""</f>
        <v/>
      </c>
      <c r="AX1645" t="str">
        <f>""</f>
        <v/>
      </c>
      <c r="AY1645" t="str">
        <f>""</f>
        <v/>
      </c>
      <c r="AZ1645" t="str">
        <f>""</f>
        <v/>
      </c>
      <c r="BA1645" t="str">
        <f>""</f>
        <v/>
      </c>
      <c r="BB1645" t="str">
        <f>"01/07/2021 13:53:04"</f>
        <v>01/07/2021 13:53:04</v>
      </c>
      <c r="BC1645" t="str">
        <f>"29/07/2022 16:58:31"</f>
        <v>29/07/2022 16:58:31</v>
      </c>
      <c r="BD1645" t="str">
        <f>""</f>
        <v/>
      </c>
      <c r="BE1645" t="str">
        <f>""</f>
        <v/>
      </c>
      <c r="BF1645" t="str">
        <f t="shared" si="828"/>
        <v>A</v>
      </c>
      <c r="BG1645" t="str">
        <f>""</f>
        <v/>
      </c>
      <c r="BH1645" t="str">
        <f>"0,00"</f>
        <v>0,00</v>
      </c>
      <c r="BI1645" t="str">
        <f>"EVENTUAL"</f>
        <v>EVENTUAL</v>
      </c>
      <c r="BJ1645" t="str">
        <f t="shared" si="829"/>
        <v>1</v>
      </c>
      <c r="BK1645" t="str">
        <f t="shared" si="830"/>
        <v>Farmacia</v>
      </c>
      <c r="BL1645" t="str">
        <f>""</f>
        <v/>
      </c>
      <c r="BM1645" t="str">
        <f>"NÃO É VARILUX ESPECIALISTA"</f>
        <v>NÃO É VARILUX ESPECIALISTA</v>
      </c>
      <c r="BN1645" t="str">
        <f>"NA"</f>
        <v>NA</v>
      </c>
      <c r="BO1645" t="str">
        <f>"FOCO KODAK 1"</f>
        <v>FOCO KODAK 1</v>
      </c>
      <c r="BP1645" t="str">
        <f>""</f>
        <v/>
      </c>
      <c r="BQ1645" t="str">
        <f>""</f>
        <v/>
      </c>
      <c r="BR1645" t="str">
        <f>"01/07/2021"</f>
        <v>01/07/2021</v>
      </c>
      <c r="BS1645" t="str">
        <f>"29/07/2022"</f>
        <v>29/07/2022</v>
      </c>
      <c r="BT1645" t="str">
        <f>""</f>
        <v/>
      </c>
      <c r="BU1645" t="str">
        <f>""</f>
        <v/>
      </c>
      <c r="BV1645" t="str">
        <f>""</f>
        <v/>
      </c>
      <c r="BW1645" t="str">
        <f>"11"</f>
        <v>11</v>
      </c>
    </row>
    <row r="1646" spans="1:75" x14ac:dyDescent="0.35">
      <c r="A1646">
        <v>127556</v>
      </c>
      <c r="B1646" t="str">
        <f t="shared" si="825"/>
        <v>A</v>
      </c>
      <c r="C1646" t="str">
        <f t="shared" si="826"/>
        <v>80</v>
      </c>
      <c r="D1646" t="str">
        <f t="shared" si="809"/>
        <v>11121004</v>
      </c>
      <c r="E1646" t="str">
        <f t="shared" si="810"/>
        <v>121004</v>
      </c>
      <c r="F1646" t="str">
        <f t="shared" si="811"/>
        <v>FABIANA GODOY</v>
      </c>
      <c r="G1646" t="str">
        <f>"04227703000108"</f>
        <v>04227703000108</v>
      </c>
      <c r="H1646" t="str">
        <f t="shared" si="852"/>
        <v>0</v>
      </c>
      <c r="I1646" t="str">
        <f t="shared" si="827"/>
        <v>CONTA OPTICA</v>
      </c>
      <c r="J1646" t="str">
        <f>"RAQUEL CRISTINA CARDOSO"</f>
        <v>RAQUEL CRISTINA CARDOSO</v>
      </c>
      <c r="K1646" t="str">
        <f>"OTICA STRAUSS (2245)"</f>
        <v>OTICA STRAUSS (2245)</v>
      </c>
      <c r="L1646" t="str">
        <f>""</f>
        <v/>
      </c>
      <c r="M1646" t="str">
        <f>""</f>
        <v/>
      </c>
      <c r="N1646" t="str">
        <f>"cioc_visao@hotmail.com"</f>
        <v>cioc_visao@hotmail.com</v>
      </c>
      <c r="O1646" t="str">
        <f>""</f>
        <v/>
      </c>
      <c r="P1646" t="str">
        <f>"RUA INDAIAL"</f>
        <v>RUA INDAIAL</v>
      </c>
      <c r="Q1646" t="str">
        <f>"120"</f>
        <v>120</v>
      </c>
      <c r="R1646" t="str">
        <f>"SALA 03"</f>
        <v>SALA 03</v>
      </c>
      <c r="S1646" t="str">
        <f>"1261"</f>
        <v>1261</v>
      </c>
      <c r="T1646" t="str">
        <f>"88303300"</f>
        <v>88303300</v>
      </c>
      <c r="U1646" t="str">
        <f>"DOM BOSCO"</f>
        <v>DOM BOSCO</v>
      </c>
      <c r="V1646" t="str">
        <f>"ITAJAÍ"</f>
        <v>ITAJAÍ</v>
      </c>
      <c r="W1646" t="str">
        <f t="shared" si="807"/>
        <v>SC</v>
      </c>
      <c r="X1646" t="str">
        <f t="shared" si="847"/>
        <v>47</v>
      </c>
      <c r="Y1646" t="str">
        <f>"30453630"</f>
        <v>30453630</v>
      </c>
      <c r="Z1646" t="str">
        <f>""</f>
        <v/>
      </c>
      <c r="AA1646" t="str">
        <f>""</f>
        <v/>
      </c>
      <c r="AB1646" t="str">
        <f>""</f>
        <v/>
      </c>
      <c r="AC1646" t="str">
        <f>""</f>
        <v/>
      </c>
      <c r="AD1646" t="str">
        <f>""</f>
        <v/>
      </c>
      <c r="AE1646" t="str">
        <f>""</f>
        <v/>
      </c>
      <c r="AF1646" t="str">
        <f>""</f>
        <v/>
      </c>
      <c r="AG1646" t="str">
        <f>"S"</f>
        <v>S</v>
      </c>
      <c r="AH1646" t="str">
        <f>""</f>
        <v/>
      </c>
      <c r="AI1646" t="str">
        <f>""</f>
        <v/>
      </c>
      <c r="AJ1646" t="str">
        <f>"0"</f>
        <v>0</v>
      </c>
      <c r="AK1646" t="str">
        <f>"0"</f>
        <v>0</v>
      </c>
      <c r="AL1646" t="str">
        <f>"0"</f>
        <v>0</v>
      </c>
      <c r="AM1646" t="str">
        <f>""</f>
        <v/>
      </c>
      <c r="AN1646" t="str">
        <f>""</f>
        <v/>
      </c>
      <c r="AO1646" t="str">
        <f>""</f>
        <v/>
      </c>
      <c r="AP1646" t="str">
        <f>""</f>
        <v/>
      </c>
      <c r="AQ1646" t="str">
        <f t="shared" si="853"/>
        <v>N</v>
      </c>
      <c r="AR1646" t="str">
        <f t="shared" si="853"/>
        <v>N</v>
      </c>
      <c r="AS1646" t="str">
        <f t="shared" si="853"/>
        <v>N</v>
      </c>
      <c r="AT1646" t="str">
        <f t="shared" si="853"/>
        <v>N</v>
      </c>
      <c r="AU1646" t="str">
        <f t="shared" si="853"/>
        <v>N</v>
      </c>
      <c r="AV1646" t="str">
        <f>""</f>
        <v/>
      </c>
      <c r="AW1646" t="str">
        <f>""</f>
        <v/>
      </c>
      <c r="AX1646" t="str">
        <f>""</f>
        <v/>
      </c>
      <c r="AY1646" t="str">
        <f>""</f>
        <v/>
      </c>
      <c r="AZ1646" t="str">
        <f>""</f>
        <v/>
      </c>
      <c r="BA1646" t="str">
        <f>""</f>
        <v/>
      </c>
      <c r="BB1646" t="str">
        <f>"07/10/2020 09:08:38"</f>
        <v>07/10/2020 09:08:38</v>
      </c>
      <c r="BC1646" t="str">
        <f>"20/07/2023 12:25:12"</f>
        <v>20/07/2023 12:25:12</v>
      </c>
      <c r="BD1646" t="str">
        <f>""</f>
        <v/>
      </c>
      <c r="BE1646" t="str">
        <f>""</f>
        <v/>
      </c>
      <c r="BF1646" t="str">
        <f t="shared" si="828"/>
        <v>A</v>
      </c>
      <c r="BG1646" t="str">
        <f>"0,00"</f>
        <v>0,00</v>
      </c>
      <c r="BH1646" t="str">
        <f>"0,00"</f>
        <v>0,00</v>
      </c>
      <c r="BI1646" t="str">
        <f>"MENSAL"</f>
        <v>MENSAL</v>
      </c>
      <c r="BJ1646" t="str">
        <f t="shared" si="829"/>
        <v>1</v>
      </c>
      <c r="BK1646" t="str">
        <f t="shared" si="830"/>
        <v>Farmacia</v>
      </c>
      <c r="BL1646" t="str">
        <f>""</f>
        <v/>
      </c>
      <c r="BM1646" t="str">
        <f>"NÃO É VARILUX ESPECIALISTA"</f>
        <v>NÃO É VARILUX ESPECIALISTA</v>
      </c>
      <c r="BN1646" t="str">
        <f>"NA"</f>
        <v>NA</v>
      </c>
      <c r="BO1646" t="str">
        <f>"OUTROS"</f>
        <v>OUTROS</v>
      </c>
      <c r="BP1646" t="str">
        <f>""</f>
        <v/>
      </c>
      <c r="BQ1646" t="str">
        <f>""</f>
        <v/>
      </c>
      <c r="BR1646" t="str">
        <f>"07/10/2020"</f>
        <v>07/10/2020</v>
      </c>
      <c r="BS1646" t="str">
        <f>"20/07/2023"</f>
        <v>20/07/2023</v>
      </c>
      <c r="BT1646" t="str">
        <f>""</f>
        <v/>
      </c>
      <c r="BU1646" t="str">
        <f>""</f>
        <v/>
      </c>
      <c r="BV1646" t="str">
        <f>"9"</f>
        <v>9</v>
      </c>
      <c r="BW1646" t="str">
        <f>"44"</f>
        <v>44</v>
      </c>
    </row>
    <row r="1647" spans="1:75" x14ac:dyDescent="0.35">
      <c r="A1647">
        <v>157769</v>
      </c>
      <c r="B1647" t="str">
        <f t="shared" si="825"/>
        <v>A</v>
      </c>
      <c r="C1647" t="str">
        <f t="shared" si="826"/>
        <v>80</v>
      </c>
      <c r="D1647" t="str">
        <f t="shared" si="809"/>
        <v>11121004</v>
      </c>
      <c r="E1647" t="str">
        <f t="shared" si="810"/>
        <v>121004</v>
      </c>
      <c r="F1647" t="str">
        <f t="shared" si="811"/>
        <v>FABIANA GODOY</v>
      </c>
      <c r="G1647" t="str">
        <f>"45637602000192"</f>
        <v>45637602000192</v>
      </c>
      <c r="H1647" t="str">
        <f t="shared" si="852"/>
        <v>0</v>
      </c>
      <c r="I1647" t="str">
        <f t="shared" si="827"/>
        <v>CONTA OPTICA</v>
      </c>
      <c r="J1647" t="str">
        <f>"RCM COMERCIO DE PRODUTOS OPTICOS E FOTOS LTDA"</f>
        <v>RCM COMERCIO DE PRODUTOS OPTICOS E FOTOS LTDA</v>
      </c>
      <c r="K1647" t="str">
        <f>"OTICAS NOVO OLHAR (4546)"</f>
        <v>OTICAS NOVO OLHAR (4546)</v>
      </c>
      <c r="L1647" t="str">
        <f>""</f>
        <v/>
      </c>
      <c r="M1647" t="str">
        <f>""</f>
        <v/>
      </c>
      <c r="N1647" t="str">
        <f>"OTICASNOVOOLHARSC1@GMAIL.COM"</f>
        <v>OTICASNOVOOLHARSC1@GMAIL.COM</v>
      </c>
      <c r="O1647" t="str">
        <f>""</f>
        <v/>
      </c>
      <c r="P1647" t="str">
        <f>"RUA 500"</f>
        <v>RUA 500</v>
      </c>
      <c r="Q1647" t="str">
        <f>"16"</f>
        <v>16</v>
      </c>
      <c r="R1647" t="str">
        <f>"SALA 11"</f>
        <v>SALA 11</v>
      </c>
      <c r="S1647" t="str">
        <f>""</f>
        <v/>
      </c>
      <c r="T1647" t="str">
        <f>"88330635"</f>
        <v>88330635</v>
      </c>
      <c r="U1647" t="str">
        <f>"CENTRO"</f>
        <v>CENTRO</v>
      </c>
      <c r="V1647" t="str">
        <f>"BALNEARIO CAMBORIU"</f>
        <v>BALNEARIO CAMBORIU</v>
      </c>
      <c r="W1647" t="str">
        <f t="shared" si="807"/>
        <v>SC</v>
      </c>
      <c r="X1647" t="str">
        <f t="shared" si="847"/>
        <v>47</v>
      </c>
      <c r="Y1647" t="str">
        <f>"988550392"</f>
        <v>988550392</v>
      </c>
      <c r="Z1647" t="str">
        <f>""</f>
        <v/>
      </c>
      <c r="AA1647" t="str">
        <f>""</f>
        <v/>
      </c>
      <c r="AB1647" t="str">
        <f>""</f>
        <v/>
      </c>
      <c r="AC1647" t="str">
        <f>""</f>
        <v/>
      </c>
      <c r="AD1647" t="str">
        <f>""</f>
        <v/>
      </c>
      <c r="AE1647" t="str">
        <f>""</f>
        <v/>
      </c>
      <c r="AF1647" t="str">
        <f>""</f>
        <v/>
      </c>
      <c r="AG1647" t="str">
        <f>""</f>
        <v/>
      </c>
      <c r="AH1647" t="str">
        <f>""</f>
        <v/>
      </c>
      <c r="AI1647" t="str">
        <f>""</f>
        <v/>
      </c>
      <c r="AJ1647" t="str">
        <f>""</f>
        <v/>
      </c>
      <c r="AK1647" t="str">
        <f>""</f>
        <v/>
      </c>
      <c r="AL1647" t="str">
        <f>""</f>
        <v/>
      </c>
      <c r="AM1647" t="str">
        <f>""</f>
        <v/>
      </c>
      <c r="AN1647" t="str">
        <f>""</f>
        <v/>
      </c>
      <c r="AO1647" t="str">
        <f>""</f>
        <v/>
      </c>
      <c r="AP1647" t="str">
        <f>""</f>
        <v/>
      </c>
      <c r="AQ1647" t="str">
        <f>""</f>
        <v/>
      </c>
      <c r="AR1647" t="str">
        <f>""</f>
        <v/>
      </c>
      <c r="AS1647" t="str">
        <f>""</f>
        <v/>
      </c>
      <c r="AT1647" t="str">
        <f>""</f>
        <v/>
      </c>
      <c r="AU1647" t="str">
        <f>""</f>
        <v/>
      </c>
      <c r="AV1647" t="str">
        <f>""</f>
        <v/>
      </c>
      <c r="AW1647" t="str">
        <f>""</f>
        <v/>
      </c>
      <c r="AX1647" t="str">
        <f>""</f>
        <v/>
      </c>
      <c r="AY1647" t="str">
        <f>""</f>
        <v/>
      </c>
      <c r="AZ1647" t="str">
        <f>""</f>
        <v/>
      </c>
      <c r="BA1647" t="str">
        <f>""</f>
        <v/>
      </c>
      <c r="BB1647" t="str">
        <f>"11/07/2023 02:26:32"</f>
        <v>11/07/2023 02:26:32</v>
      </c>
      <c r="BC1647" t="str">
        <f>""</f>
        <v/>
      </c>
      <c r="BD1647" t="str">
        <f>""</f>
        <v/>
      </c>
      <c r="BE1647" t="str">
        <f>""</f>
        <v/>
      </c>
      <c r="BF1647" t="str">
        <f t="shared" si="828"/>
        <v>A</v>
      </c>
      <c r="BG1647" t="str">
        <f>""</f>
        <v/>
      </c>
      <c r="BH1647" t="str">
        <f>""</f>
        <v/>
      </c>
      <c r="BI1647" t="str">
        <f t="shared" ref="BI1647:BI1653" si="854">"EVENTUAL"</f>
        <v>EVENTUAL</v>
      </c>
      <c r="BJ1647" t="str">
        <f t="shared" si="829"/>
        <v>1</v>
      </c>
      <c r="BK1647" t="str">
        <f t="shared" si="830"/>
        <v>Farmacia</v>
      </c>
      <c r="BL1647" t="str">
        <f>""</f>
        <v/>
      </c>
      <c r="BM1647" t="str">
        <f>""</f>
        <v/>
      </c>
      <c r="BN1647" t="str">
        <f>""</f>
        <v/>
      </c>
      <c r="BO1647" t="str">
        <f>""</f>
        <v/>
      </c>
      <c r="BP1647" t="str">
        <f>""</f>
        <v/>
      </c>
      <c r="BQ1647" t="str">
        <f>""</f>
        <v/>
      </c>
      <c r="BR1647" t="str">
        <f>"11/07/2023"</f>
        <v>11/07/2023</v>
      </c>
      <c r="BS1647" t="str">
        <f>""</f>
        <v/>
      </c>
      <c r="BT1647" t="str">
        <f>""</f>
        <v/>
      </c>
      <c r="BU1647" t="str">
        <f>""</f>
        <v/>
      </c>
      <c r="BV1647" t="str">
        <f>""</f>
        <v/>
      </c>
      <c r="BW1647" t="str">
        <f>"Não visitado"</f>
        <v>Não visitado</v>
      </c>
    </row>
    <row r="1648" spans="1:75" x14ac:dyDescent="0.35">
      <c r="A1648">
        <v>157067</v>
      </c>
      <c r="B1648" t="str">
        <f t="shared" si="825"/>
        <v>A</v>
      </c>
      <c r="C1648" t="str">
        <f t="shared" si="826"/>
        <v>80</v>
      </c>
      <c r="D1648" t="str">
        <f t="shared" si="809"/>
        <v>11121004</v>
      </c>
      <c r="E1648" t="str">
        <f t="shared" si="810"/>
        <v>121004</v>
      </c>
      <c r="F1648" t="str">
        <f t="shared" si="811"/>
        <v>FABIANA GODOY</v>
      </c>
      <c r="G1648" t="str">
        <f>"31294191000175"</f>
        <v>31294191000175</v>
      </c>
      <c r="H1648" t="str">
        <f t="shared" si="852"/>
        <v>0</v>
      </c>
      <c r="I1648" t="str">
        <f t="shared" si="827"/>
        <v>CONTA OPTICA</v>
      </c>
      <c r="J1648" t="str">
        <f>"RDR ÓPTICA LTDA"</f>
        <v>RDR ÓPTICA LTDA</v>
      </c>
      <c r="K1648" t="str">
        <f>"OPTICA GOLD (3942)"</f>
        <v>OPTICA GOLD (3942)</v>
      </c>
      <c r="L1648" t="str">
        <f>""</f>
        <v/>
      </c>
      <c r="M1648" t="str">
        <f>""</f>
        <v/>
      </c>
      <c r="N1648" t="str">
        <f>"OPTICAGOLD2018@GMAIL.COM"</f>
        <v>OPTICAGOLD2018@GMAIL.COM</v>
      </c>
      <c r="O1648" t="str">
        <f>""</f>
        <v/>
      </c>
      <c r="P1648" t="str">
        <f>"RUA RUA EMILIO ALTEMBERG"</f>
        <v>RUA RUA EMILIO ALTEMBERG</v>
      </c>
      <c r="Q1648" t="str">
        <f>"110"</f>
        <v>110</v>
      </c>
      <c r="R1648" t="str">
        <f>""</f>
        <v/>
      </c>
      <c r="S1648" t="str">
        <f>"1264"</f>
        <v>1264</v>
      </c>
      <c r="T1648" t="str">
        <f>"88400000"</f>
        <v>88400000</v>
      </c>
      <c r="U1648" t="str">
        <f>"CENTRO"</f>
        <v>CENTRO</v>
      </c>
      <c r="V1648" t="str">
        <f>"ITUPORANGA"</f>
        <v>ITUPORANGA</v>
      </c>
      <c r="W1648" t="str">
        <f t="shared" ref="W1648:W1711" si="855">"SC"</f>
        <v>SC</v>
      </c>
      <c r="X1648" t="str">
        <f t="shared" si="847"/>
        <v>47</v>
      </c>
      <c r="Y1648" t="str">
        <f>"35334666"</f>
        <v>35334666</v>
      </c>
      <c r="Z1648" t="str">
        <f>""</f>
        <v/>
      </c>
      <c r="AA1648" t="str">
        <f>""</f>
        <v/>
      </c>
      <c r="AB1648" t="str">
        <f>""</f>
        <v/>
      </c>
      <c r="AC1648" t="str">
        <f>""</f>
        <v/>
      </c>
      <c r="AD1648" t="str">
        <f>""</f>
        <v/>
      </c>
      <c r="AE1648" t="str">
        <f>""</f>
        <v/>
      </c>
      <c r="AF1648" t="str">
        <f>""</f>
        <v/>
      </c>
      <c r="AG1648" t="str">
        <f>""</f>
        <v/>
      </c>
      <c r="AH1648" t="str">
        <f>""</f>
        <v/>
      </c>
      <c r="AI1648" t="str">
        <f>""</f>
        <v/>
      </c>
      <c r="AJ1648" t="str">
        <f>""</f>
        <v/>
      </c>
      <c r="AK1648" t="str">
        <f>""</f>
        <v/>
      </c>
      <c r="AL1648" t="str">
        <f>""</f>
        <v/>
      </c>
      <c r="AM1648" t="str">
        <f>""</f>
        <v/>
      </c>
      <c r="AN1648" t="str">
        <f>""</f>
        <v/>
      </c>
      <c r="AO1648" t="str">
        <f>""</f>
        <v/>
      </c>
      <c r="AP1648" t="str">
        <f>""</f>
        <v/>
      </c>
      <c r="AQ1648" t="str">
        <f>""</f>
        <v/>
      </c>
      <c r="AR1648" t="str">
        <f>""</f>
        <v/>
      </c>
      <c r="AS1648" t="str">
        <f>""</f>
        <v/>
      </c>
      <c r="AT1648" t="str">
        <f>""</f>
        <v/>
      </c>
      <c r="AU1648" t="str">
        <f>""</f>
        <v/>
      </c>
      <c r="AV1648" t="str">
        <f>""</f>
        <v/>
      </c>
      <c r="AW1648" t="str">
        <f>""</f>
        <v/>
      </c>
      <c r="AX1648" t="str">
        <f>""</f>
        <v/>
      </c>
      <c r="AY1648" t="str">
        <f>""</f>
        <v/>
      </c>
      <c r="AZ1648" t="str">
        <f>""</f>
        <v/>
      </c>
      <c r="BA1648" t="str">
        <f>""</f>
        <v/>
      </c>
      <c r="BB1648" t="str">
        <f>"06/07/2023 12:07:48"</f>
        <v>06/07/2023 12:07:48</v>
      </c>
      <c r="BC1648" t="str">
        <f>""</f>
        <v/>
      </c>
      <c r="BD1648" t="str">
        <f>""</f>
        <v/>
      </c>
      <c r="BE1648" t="str">
        <f>""</f>
        <v/>
      </c>
      <c r="BF1648" t="str">
        <f t="shared" si="828"/>
        <v>A</v>
      </c>
      <c r="BG1648" t="str">
        <f>""</f>
        <v/>
      </c>
      <c r="BH1648" t="str">
        <f>""</f>
        <v/>
      </c>
      <c r="BI1648" t="str">
        <f t="shared" si="854"/>
        <v>EVENTUAL</v>
      </c>
      <c r="BJ1648" t="str">
        <f t="shared" si="829"/>
        <v>1</v>
      </c>
      <c r="BK1648" t="str">
        <f t="shared" si="830"/>
        <v>Farmacia</v>
      </c>
      <c r="BL1648" t="str">
        <f>""</f>
        <v/>
      </c>
      <c r="BM1648" t="str">
        <f>""</f>
        <v/>
      </c>
      <c r="BN1648" t="str">
        <f>""</f>
        <v/>
      </c>
      <c r="BO1648" t="str">
        <f>""</f>
        <v/>
      </c>
      <c r="BP1648" t="str">
        <f>""</f>
        <v/>
      </c>
      <c r="BQ1648" t="str">
        <f>""</f>
        <v/>
      </c>
      <c r="BR1648" t="str">
        <f>"06/07/2023"</f>
        <v>06/07/2023</v>
      </c>
      <c r="BS1648" t="str">
        <f>""</f>
        <v/>
      </c>
      <c r="BT1648" t="str">
        <f>""</f>
        <v/>
      </c>
      <c r="BU1648" t="str">
        <f>""</f>
        <v/>
      </c>
      <c r="BV1648" t="str">
        <f>""</f>
        <v/>
      </c>
      <c r="BW1648" t="str">
        <f>"7"</f>
        <v>7</v>
      </c>
    </row>
    <row r="1649" spans="1:75" x14ac:dyDescent="0.35">
      <c r="A1649">
        <v>127571</v>
      </c>
      <c r="B1649" t="str">
        <f t="shared" si="825"/>
        <v>A</v>
      </c>
      <c r="C1649" t="str">
        <f t="shared" si="826"/>
        <v>80</v>
      </c>
      <c r="D1649" t="str">
        <f t="shared" si="809"/>
        <v>11121004</v>
      </c>
      <c r="E1649" t="str">
        <f t="shared" si="810"/>
        <v>121004</v>
      </c>
      <c r="F1649" t="str">
        <f t="shared" si="811"/>
        <v>FABIANA GODOY</v>
      </c>
      <c r="G1649" t="str">
        <f>"08604566000134"</f>
        <v>08604566000134</v>
      </c>
      <c r="H1649" t="str">
        <f t="shared" si="852"/>
        <v>0</v>
      </c>
      <c r="I1649" t="str">
        <f t="shared" si="827"/>
        <v>CONTA OPTICA</v>
      </c>
      <c r="J1649" t="str">
        <f>"REGIMAURO SAMPAIO LOPES"</f>
        <v>REGIMAURO SAMPAIO LOPES</v>
      </c>
      <c r="K1649" t="str">
        <f>"OTICA SAO JOAO (1406)"</f>
        <v>OTICA SAO JOAO (1406)</v>
      </c>
      <c r="L1649" t="str">
        <f>""</f>
        <v/>
      </c>
      <c r="M1649" t="str">
        <f>""</f>
        <v/>
      </c>
      <c r="N1649" t="str">
        <f>"navegantes@oticasaojoao.com.br"</f>
        <v>navegantes@oticasaojoao.com.br</v>
      </c>
      <c r="O1649" t="str">
        <f>""</f>
        <v/>
      </c>
      <c r="P1649" t="str">
        <f>"RUA EMILIA DOS SANTOS"</f>
        <v>RUA EMILIA DOS SANTOS</v>
      </c>
      <c r="Q1649" t="str">
        <f>"14"</f>
        <v>14</v>
      </c>
      <c r="R1649" t="str">
        <f>""</f>
        <v/>
      </c>
      <c r="S1649" t="str">
        <f>""</f>
        <v/>
      </c>
      <c r="T1649" t="str">
        <f>"88304350"</f>
        <v>88304350</v>
      </c>
      <c r="U1649" t="str">
        <f>"SAO JOAO"</f>
        <v>SAO JOAO</v>
      </c>
      <c r="V1649" t="str">
        <f>"ITAJAI"</f>
        <v>ITAJAI</v>
      </c>
      <c r="W1649" t="str">
        <f t="shared" si="855"/>
        <v>SC</v>
      </c>
      <c r="X1649" t="str">
        <f t="shared" si="847"/>
        <v>47</v>
      </c>
      <c r="Y1649" t="str">
        <f>"33485290"</f>
        <v>33485290</v>
      </c>
      <c r="Z1649" t="str">
        <f>""</f>
        <v/>
      </c>
      <c r="AA1649" t="str">
        <f>""</f>
        <v/>
      </c>
      <c r="AB1649" t="str">
        <f>""</f>
        <v/>
      </c>
      <c r="AC1649" t="str">
        <f>""</f>
        <v/>
      </c>
      <c r="AD1649" t="str">
        <f>""</f>
        <v/>
      </c>
      <c r="AE1649" t="str">
        <f>""</f>
        <v/>
      </c>
      <c r="AF1649" t="str">
        <f>""</f>
        <v/>
      </c>
      <c r="AG1649" t="str">
        <f>""</f>
        <v/>
      </c>
      <c r="AH1649" t="str">
        <f>""</f>
        <v/>
      </c>
      <c r="AI1649" t="str">
        <f>""</f>
        <v/>
      </c>
      <c r="AJ1649" t="str">
        <f>""</f>
        <v/>
      </c>
      <c r="AK1649" t="str">
        <f>""</f>
        <v/>
      </c>
      <c r="AL1649" t="str">
        <f>""</f>
        <v/>
      </c>
      <c r="AM1649" t="str">
        <f>""</f>
        <v/>
      </c>
      <c r="AN1649" t="str">
        <f>""</f>
        <v/>
      </c>
      <c r="AO1649" t="str">
        <f>""</f>
        <v/>
      </c>
      <c r="AP1649" t="str">
        <f>""</f>
        <v/>
      </c>
      <c r="AQ1649" t="str">
        <f>""</f>
        <v/>
      </c>
      <c r="AR1649" t="str">
        <f>""</f>
        <v/>
      </c>
      <c r="AS1649" t="str">
        <f>""</f>
        <v/>
      </c>
      <c r="AT1649" t="str">
        <f>""</f>
        <v/>
      </c>
      <c r="AU1649" t="str">
        <f>""</f>
        <v/>
      </c>
      <c r="AV1649" t="str">
        <f>""</f>
        <v/>
      </c>
      <c r="AW1649" t="str">
        <f>""</f>
        <v/>
      </c>
      <c r="AX1649" t="str">
        <f>""</f>
        <v/>
      </c>
      <c r="AY1649" t="str">
        <f>""</f>
        <v/>
      </c>
      <c r="AZ1649" t="str">
        <f>""</f>
        <v/>
      </c>
      <c r="BA1649" t="str">
        <f>""</f>
        <v/>
      </c>
      <c r="BB1649" t="str">
        <f>"07/10/2020 09:08:38"</f>
        <v>07/10/2020 09:08:38</v>
      </c>
      <c r="BC1649" t="str">
        <f>""</f>
        <v/>
      </c>
      <c r="BD1649" t="str">
        <f>""</f>
        <v/>
      </c>
      <c r="BE1649" t="str">
        <f>""</f>
        <v/>
      </c>
      <c r="BF1649" t="str">
        <f t="shared" si="828"/>
        <v>A</v>
      </c>
      <c r="BG1649" t="str">
        <f>""</f>
        <v/>
      </c>
      <c r="BH1649" t="str">
        <f>""</f>
        <v/>
      </c>
      <c r="BI1649" t="str">
        <f t="shared" si="854"/>
        <v>EVENTUAL</v>
      </c>
      <c r="BJ1649" t="str">
        <f t="shared" si="829"/>
        <v>1</v>
      </c>
      <c r="BK1649" t="str">
        <f t="shared" si="830"/>
        <v>Farmacia</v>
      </c>
      <c r="BL1649" t="str">
        <f>""</f>
        <v/>
      </c>
      <c r="BM1649" t="str">
        <f>"NÃO É VARILUX ESPECIALISTA"</f>
        <v>NÃO É VARILUX ESPECIALISTA</v>
      </c>
      <c r="BN1649" t="str">
        <f>"NA"</f>
        <v>NA</v>
      </c>
      <c r="BO1649" t="str">
        <f>"OUTROS"</f>
        <v>OUTROS</v>
      </c>
      <c r="BP1649" t="str">
        <f>""</f>
        <v/>
      </c>
      <c r="BQ1649" t="str">
        <f>""</f>
        <v/>
      </c>
      <c r="BR1649" t="str">
        <f>"07/10/2020"</f>
        <v>07/10/2020</v>
      </c>
      <c r="BS1649" t="str">
        <f>""</f>
        <v/>
      </c>
      <c r="BT1649" t="str">
        <f>""</f>
        <v/>
      </c>
      <c r="BU1649" t="str">
        <f>""</f>
        <v/>
      </c>
      <c r="BV1649" t="str">
        <f>"9"</f>
        <v>9</v>
      </c>
      <c r="BW1649" t="str">
        <f>"24"</f>
        <v>24</v>
      </c>
    </row>
    <row r="1650" spans="1:75" x14ac:dyDescent="0.35">
      <c r="A1650">
        <v>127572</v>
      </c>
      <c r="B1650" t="str">
        <f t="shared" si="825"/>
        <v>A</v>
      </c>
      <c r="C1650" t="str">
        <f t="shared" si="826"/>
        <v>80</v>
      </c>
      <c r="D1650" t="str">
        <f t="shared" si="809"/>
        <v>11121004</v>
      </c>
      <c r="E1650" t="str">
        <f t="shared" si="810"/>
        <v>121004</v>
      </c>
      <c r="F1650" t="str">
        <f t="shared" si="811"/>
        <v>FABIANA GODOY</v>
      </c>
      <c r="G1650" t="str">
        <f>"08604566000215"</f>
        <v>08604566000215</v>
      </c>
      <c r="H1650" t="str">
        <f t="shared" si="852"/>
        <v>0</v>
      </c>
      <c r="I1650" t="str">
        <f t="shared" si="827"/>
        <v>CONTA OPTICA</v>
      </c>
      <c r="J1650" t="str">
        <f>"REGIMAURO SAMPAIO LOPES"</f>
        <v>REGIMAURO SAMPAIO LOPES</v>
      </c>
      <c r="K1650" t="str">
        <f>"REGIMAURO SAMPAIO LOPES (2290)"</f>
        <v>REGIMAURO SAMPAIO LOPES (2290)</v>
      </c>
      <c r="L1650" t="str">
        <f>""</f>
        <v/>
      </c>
      <c r="M1650" t="str">
        <f>""</f>
        <v/>
      </c>
      <c r="N1650" t="str">
        <f>"navegantes@oticasaojoao.com.br"</f>
        <v>navegantes@oticasaojoao.com.br</v>
      </c>
      <c r="O1650" t="str">
        <f>""</f>
        <v/>
      </c>
      <c r="P1650" t="str">
        <f>"RUA MANOEL FERNANDES"</f>
        <v>RUA MANOEL FERNANDES</v>
      </c>
      <c r="Q1650" t="str">
        <f>"66"</f>
        <v>66</v>
      </c>
      <c r="R1650" t="str">
        <f>"SALA 1"</f>
        <v>SALA 1</v>
      </c>
      <c r="S1650" t="str">
        <f>"1263"</f>
        <v>1263</v>
      </c>
      <c r="T1650" t="str">
        <f>"88370406"</f>
        <v>88370406</v>
      </c>
      <c r="U1650" t="str">
        <f>"CENTRO"</f>
        <v>CENTRO</v>
      </c>
      <c r="V1650" t="str">
        <f>"NAVEGANTES"</f>
        <v>NAVEGANTES</v>
      </c>
      <c r="W1650" t="str">
        <f t="shared" si="855"/>
        <v>SC</v>
      </c>
      <c r="X1650" t="str">
        <f t="shared" si="847"/>
        <v>47</v>
      </c>
      <c r="Y1650" t="str">
        <f>"30655093"</f>
        <v>30655093</v>
      </c>
      <c r="Z1650" t="str">
        <f>""</f>
        <v/>
      </c>
      <c r="AA1650" t="str">
        <f>""</f>
        <v/>
      </c>
      <c r="AB1650" t="str">
        <f>""</f>
        <v/>
      </c>
      <c r="AC1650" t="str">
        <f>""</f>
        <v/>
      </c>
      <c r="AD1650" t="str">
        <f>""</f>
        <v/>
      </c>
      <c r="AE1650" t="str">
        <f>""</f>
        <v/>
      </c>
      <c r="AF1650" t="str">
        <f>""</f>
        <v/>
      </c>
      <c r="AG1650" t="str">
        <f>""</f>
        <v/>
      </c>
      <c r="AH1650" t="str">
        <f>""</f>
        <v/>
      </c>
      <c r="AI1650" t="str">
        <f>""</f>
        <v/>
      </c>
      <c r="AJ1650" t="str">
        <f>""</f>
        <v/>
      </c>
      <c r="AK1650" t="str">
        <f>""</f>
        <v/>
      </c>
      <c r="AL1650" t="str">
        <f>""</f>
        <v/>
      </c>
      <c r="AM1650" t="str">
        <f>""</f>
        <v/>
      </c>
      <c r="AN1650" t="str">
        <f>""</f>
        <v/>
      </c>
      <c r="AO1650" t="str">
        <f>""</f>
        <v/>
      </c>
      <c r="AP1650" t="str">
        <f>""</f>
        <v/>
      </c>
      <c r="AQ1650" t="str">
        <f>""</f>
        <v/>
      </c>
      <c r="AR1650" t="str">
        <f>""</f>
        <v/>
      </c>
      <c r="AS1650" t="str">
        <f>""</f>
        <v/>
      </c>
      <c r="AT1650" t="str">
        <f>""</f>
        <v/>
      </c>
      <c r="AU1650" t="str">
        <f>""</f>
        <v/>
      </c>
      <c r="AV1650" t="str">
        <f>""</f>
        <v/>
      </c>
      <c r="AW1650" t="str">
        <f>""</f>
        <v/>
      </c>
      <c r="AX1650" t="str">
        <f>""</f>
        <v/>
      </c>
      <c r="AY1650" t="str">
        <f>""</f>
        <v/>
      </c>
      <c r="AZ1650" t="str">
        <f>""</f>
        <v/>
      </c>
      <c r="BA1650" t="str">
        <f>""</f>
        <v/>
      </c>
      <c r="BB1650" t="str">
        <f>"07/10/2020 09:08:38"</f>
        <v>07/10/2020 09:08:38</v>
      </c>
      <c r="BC1650" t="str">
        <f>""</f>
        <v/>
      </c>
      <c r="BD1650" t="str">
        <f>""</f>
        <v/>
      </c>
      <c r="BE1650" t="str">
        <f>""</f>
        <v/>
      </c>
      <c r="BF1650" t="str">
        <f t="shared" si="828"/>
        <v>A</v>
      </c>
      <c r="BG1650" t="str">
        <f>""</f>
        <v/>
      </c>
      <c r="BH1650" t="str">
        <f>""</f>
        <v/>
      </c>
      <c r="BI1650" t="str">
        <f t="shared" si="854"/>
        <v>EVENTUAL</v>
      </c>
      <c r="BJ1650" t="str">
        <f t="shared" si="829"/>
        <v>1</v>
      </c>
      <c r="BK1650" t="str">
        <f t="shared" si="830"/>
        <v>Farmacia</v>
      </c>
      <c r="BL1650" t="str">
        <f>""</f>
        <v/>
      </c>
      <c r="BM1650" t="str">
        <f>"NÃO É VARILUX ESPECIALISTA"</f>
        <v>NÃO É VARILUX ESPECIALISTA</v>
      </c>
      <c r="BN1650" t="str">
        <f>"NA"</f>
        <v>NA</v>
      </c>
      <c r="BO1650" t="str">
        <f>"OUTROS"</f>
        <v>OUTROS</v>
      </c>
      <c r="BP1650" t="str">
        <f>""</f>
        <v/>
      </c>
      <c r="BQ1650" t="str">
        <f>""</f>
        <v/>
      </c>
      <c r="BR1650" t="str">
        <f>"07/10/2020"</f>
        <v>07/10/2020</v>
      </c>
      <c r="BS1650" t="str">
        <f>""</f>
        <v/>
      </c>
      <c r="BT1650" t="str">
        <f>""</f>
        <v/>
      </c>
      <c r="BU1650" t="str">
        <f>""</f>
        <v/>
      </c>
      <c r="BV1650" t="str">
        <f>"9"</f>
        <v>9</v>
      </c>
      <c r="BW1650" t="str">
        <f>"Não visitado"</f>
        <v>Não visitado</v>
      </c>
    </row>
    <row r="1651" spans="1:75" x14ac:dyDescent="0.35">
      <c r="A1651">
        <v>137859</v>
      </c>
      <c r="B1651" t="str">
        <f t="shared" si="825"/>
        <v>A</v>
      </c>
      <c r="C1651" t="str">
        <f t="shared" si="826"/>
        <v>80</v>
      </c>
      <c r="D1651" t="str">
        <f t="shared" ref="D1651:D1714" si="856">"11121004"</f>
        <v>11121004</v>
      </c>
      <c r="E1651" t="str">
        <f t="shared" ref="E1651:E1714" si="857">"121004"</f>
        <v>121004</v>
      </c>
      <c r="F1651" t="str">
        <f t="shared" ref="F1651:F1714" si="858">"FABIANA GODOY"</f>
        <v>FABIANA GODOY</v>
      </c>
      <c r="G1651" t="str">
        <f>"41661104000124"</f>
        <v>41661104000124</v>
      </c>
      <c r="H1651" t="str">
        <f t="shared" si="852"/>
        <v>0</v>
      </c>
      <c r="I1651" t="str">
        <f t="shared" si="827"/>
        <v>CONTA OPTICA</v>
      </c>
      <c r="J1651" t="str">
        <f>"REGIMAURO SAMPAIO LOPES OPTICA LTDA"</f>
        <v>REGIMAURO SAMPAIO LOPES OPTICA LTDA</v>
      </c>
      <c r="K1651" t="str">
        <f>"OTICAS SAO JOAO DE BALNEARIO CAMBORIU (4328)"</f>
        <v>OTICAS SAO JOAO DE BALNEARIO CAMBORIU (4328)</v>
      </c>
      <c r="L1651" t="str">
        <f>""</f>
        <v/>
      </c>
      <c r="M1651" t="str">
        <f>""</f>
        <v/>
      </c>
      <c r="N1651" t="str">
        <f>"BALNEARIOCAMBORIU@OTICASAOJOAO.COM.BR"</f>
        <v>BALNEARIOCAMBORIU@OTICASAOJOAO.COM.BR</v>
      </c>
      <c r="O1651" t="str">
        <f>""</f>
        <v/>
      </c>
      <c r="P1651" t="str">
        <f>"RUA 1528"</f>
        <v>RUA 1528</v>
      </c>
      <c r="Q1651" t="str">
        <f>"91"</f>
        <v>91</v>
      </c>
      <c r="R1651" t="str">
        <f>"SALA 02"</f>
        <v>SALA 02</v>
      </c>
      <c r="S1651" t="str">
        <f>""</f>
        <v/>
      </c>
      <c r="T1651" t="str">
        <f>"88330540"</f>
        <v>88330540</v>
      </c>
      <c r="U1651" t="str">
        <f>"CENTRO"</f>
        <v>CENTRO</v>
      </c>
      <c r="V1651" t="str">
        <f>"BALNEÁRIO CAMBORIÚ"</f>
        <v>BALNEÁRIO CAMBORIÚ</v>
      </c>
      <c r="W1651" t="str">
        <f t="shared" si="855"/>
        <v>SC</v>
      </c>
      <c r="X1651" t="str">
        <f t="shared" si="847"/>
        <v>47</v>
      </c>
      <c r="Y1651" t="str">
        <f>"35146976"</f>
        <v>35146976</v>
      </c>
      <c r="Z1651" t="str">
        <f>""</f>
        <v/>
      </c>
      <c r="AA1651" t="str">
        <f>""</f>
        <v/>
      </c>
      <c r="AB1651" t="str">
        <f>""</f>
        <v/>
      </c>
      <c r="AC1651" t="str">
        <f>""</f>
        <v/>
      </c>
      <c r="AD1651" t="str">
        <f>""</f>
        <v/>
      </c>
      <c r="AE1651" t="str">
        <f>""</f>
        <v/>
      </c>
      <c r="AF1651" t="str">
        <f>""</f>
        <v/>
      </c>
      <c r="AG1651" t="str">
        <f>"S"</f>
        <v>S</v>
      </c>
      <c r="AH1651" t="str">
        <f>""</f>
        <v/>
      </c>
      <c r="AI1651" t="str">
        <f>""</f>
        <v/>
      </c>
      <c r="AJ1651" t="str">
        <f>""</f>
        <v/>
      </c>
      <c r="AK1651" t="str">
        <f>""</f>
        <v/>
      </c>
      <c r="AL1651" t="str">
        <f>""</f>
        <v/>
      </c>
      <c r="AM1651" t="str">
        <f>""</f>
        <v/>
      </c>
      <c r="AN1651" t="str">
        <f>""</f>
        <v/>
      </c>
      <c r="AO1651" t="str">
        <f>""</f>
        <v/>
      </c>
      <c r="AP1651" t="str">
        <f>""</f>
        <v/>
      </c>
      <c r="AQ1651" t="str">
        <f>"N"</f>
        <v>N</v>
      </c>
      <c r="AR1651" t="str">
        <f>"N"</f>
        <v>N</v>
      </c>
      <c r="AS1651" t="str">
        <f>"N"</f>
        <v>N</v>
      </c>
      <c r="AT1651" t="str">
        <f>"N"</f>
        <v>N</v>
      </c>
      <c r="AU1651" t="str">
        <f>"N"</f>
        <v>N</v>
      </c>
      <c r="AV1651" t="str">
        <f>""</f>
        <v/>
      </c>
      <c r="AW1651" t="str">
        <f>""</f>
        <v/>
      </c>
      <c r="AX1651" t="str">
        <f>""</f>
        <v/>
      </c>
      <c r="AY1651" t="str">
        <f>""</f>
        <v/>
      </c>
      <c r="AZ1651" t="str">
        <f>""</f>
        <v/>
      </c>
      <c r="BA1651" t="str">
        <f>""</f>
        <v/>
      </c>
      <c r="BB1651" t="str">
        <f>"01/07/2021 13:53:04"</f>
        <v>01/07/2021 13:53:04</v>
      </c>
      <c r="BC1651" t="str">
        <f>"19/04/2022 17:53:13"</f>
        <v>19/04/2022 17:53:13</v>
      </c>
      <c r="BD1651" t="str">
        <f>""</f>
        <v/>
      </c>
      <c r="BE1651" t="str">
        <f>""</f>
        <v/>
      </c>
      <c r="BF1651" t="str">
        <f t="shared" si="828"/>
        <v>A</v>
      </c>
      <c r="BG1651" t="str">
        <f>""</f>
        <v/>
      </c>
      <c r="BH1651" t="str">
        <f>"0,00"</f>
        <v>0,00</v>
      </c>
      <c r="BI1651" t="str">
        <f t="shared" si="854"/>
        <v>EVENTUAL</v>
      </c>
      <c r="BJ1651" t="str">
        <f t="shared" si="829"/>
        <v>1</v>
      </c>
      <c r="BK1651" t="str">
        <f t="shared" si="830"/>
        <v>Farmacia</v>
      </c>
      <c r="BL1651" t="str">
        <f>""</f>
        <v/>
      </c>
      <c r="BM1651" t="str">
        <f>"NÃO É VARILUX ESPECIALISTA"</f>
        <v>NÃO É VARILUX ESPECIALISTA</v>
      </c>
      <c r="BN1651" t="str">
        <f>"NA"</f>
        <v>NA</v>
      </c>
      <c r="BO1651" t="str">
        <f>"OUTROS"</f>
        <v>OUTROS</v>
      </c>
      <c r="BP1651" t="str">
        <f>""</f>
        <v/>
      </c>
      <c r="BQ1651" t="str">
        <f>""</f>
        <v/>
      </c>
      <c r="BR1651" t="str">
        <f>"01/07/2021"</f>
        <v>01/07/2021</v>
      </c>
      <c r="BS1651" t="str">
        <f>"19/04/2022"</f>
        <v>19/04/2022</v>
      </c>
      <c r="BT1651" t="str">
        <f>""</f>
        <v/>
      </c>
      <c r="BU1651" t="str">
        <f>""</f>
        <v/>
      </c>
      <c r="BV1651" t="str">
        <f>""</f>
        <v/>
      </c>
      <c r="BW1651" t="str">
        <f>"114"</f>
        <v>114</v>
      </c>
    </row>
    <row r="1652" spans="1:75" x14ac:dyDescent="0.35">
      <c r="A1652">
        <v>157767</v>
      </c>
      <c r="B1652" t="str">
        <f t="shared" si="825"/>
        <v>A</v>
      </c>
      <c r="C1652" t="str">
        <f t="shared" si="826"/>
        <v>80</v>
      </c>
      <c r="D1652" t="str">
        <f t="shared" si="856"/>
        <v>11121004</v>
      </c>
      <c r="E1652" t="str">
        <f t="shared" si="857"/>
        <v>121004</v>
      </c>
      <c r="F1652" t="str">
        <f t="shared" si="858"/>
        <v>FABIANA GODOY</v>
      </c>
      <c r="G1652" t="str">
        <f>"47220912000132"</f>
        <v>47220912000132</v>
      </c>
      <c r="H1652" t="str">
        <f t="shared" si="852"/>
        <v>0</v>
      </c>
      <c r="I1652" t="str">
        <f t="shared" si="827"/>
        <v>CONTA OPTICA</v>
      </c>
      <c r="J1652" t="str">
        <f>"REGIMAURO SAMPAIO LOPES OPTICA NAVEGANTES LTDA"</f>
        <v>REGIMAURO SAMPAIO LOPES OPTICA NAVEGANTES LTDA</v>
      </c>
      <c r="K1652" t="str">
        <f>"OTICA SAO JOAO DE NAVEGANTES (4668)"</f>
        <v>OTICA SAO JOAO DE NAVEGANTES (4668)</v>
      </c>
      <c r="L1652" t="str">
        <f>""</f>
        <v/>
      </c>
      <c r="M1652" t="str">
        <f>""</f>
        <v/>
      </c>
      <c r="N1652" t="str">
        <f>"NAVEGANTES@OTICASAOJOAO.COM.BR"</f>
        <v>NAVEGANTES@OTICASAOJOAO.COM.BR</v>
      </c>
      <c r="O1652" t="str">
        <f>""</f>
        <v/>
      </c>
      <c r="P1652" t="str">
        <f>"RUA MANOEL FERNANDES"</f>
        <v>RUA MANOEL FERNANDES</v>
      </c>
      <c r="Q1652" t="str">
        <f>"66"</f>
        <v>66</v>
      </c>
      <c r="R1652" t="str">
        <f>"SALA 01"</f>
        <v>SALA 01</v>
      </c>
      <c r="S1652" t="str">
        <f>"1263"</f>
        <v>1263</v>
      </c>
      <c r="T1652" t="str">
        <f>"88370406"</f>
        <v>88370406</v>
      </c>
      <c r="U1652" t="str">
        <f>"CENTRO"</f>
        <v>CENTRO</v>
      </c>
      <c r="V1652" t="str">
        <f>"NAVEGANTES"</f>
        <v>NAVEGANTES</v>
      </c>
      <c r="W1652" t="str">
        <f t="shared" si="855"/>
        <v>SC</v>
      </c>
      <c r="X1652" t="str">
        <f t="shared" si="847"/>
        <v>47</v>
      </c>
      <c r="Y1652" t="str">
        <f>"30655093"</f>
        <v>30655093</v>
      </c>
      <c r="Z1652" t="str">
        <f>""</f>
        <v/>
      </c>
      <c r="AA1652" t="str">
        <f>""</f>
        <v/>
      </c>
      <c r="AB1652" t="str">
        <f>""</f>
        <v/>
      </c>
      <c r="AC1652" t="str">
        <f>""</f>
        <v/>
      </c>
      <c r="AD1652" t="str">
        <f>""</f>
        <v/>
      </c>
      <c r="AE1652" t="str">
        <f>""</f>
        <v/>
      </c>
      <c r="AF1652" t="str">
        <f>""</f>
        <v/>
      </c>
      <c r="AG1652" t="str">
        <f>""</f>
        <v/>
      </c>
      <c r="AH1652" t="str">
        <f>""</f>
        <v/>
      </c>
      <c r="AI1652" t="str">
        <f>""</f>
        <v/>
      </c>
      <c r="AJ1652" t="str">
        <f>""</f>
        <v/>
      </c>
      <c r="AK1652" t="str">
        <f>""</f>
        <v/>
      </c>
      <c r="AL1652" t="str">
        <f>""</f>
        <v/>
      </c>
      <c r="AM1652" t="str">
        <f>""</f>
        <v/>
      </c>
      <c r="AN1652" t="str">
        <f>""</f>
        <v/>
      </c>
      <c r="AO1652" t="str">
        <f>""</f>
        <v/>
      </c>
      <c r="AP1652" t="str">
        <f>""</f>
        <v/>
      </c>
      <c r="AQ1652" t="str">
        <f>""</f>
        <v/>
      </c>
      <c r="AR1652" t="str">
        <f>""</f>
        <v/>
      </c>
      <c r="AS1652" t="str">
        <f>""</f>
        <v/>
      </c>
      <c r="AT1652" t="str">
        <f>""</f>
        <v/>
      </c>
      <c r="AU1652" t="str">
        <f>""</f>
        <v/>
      </c>
      <c r="AV1652" t="str">
        <f>""</f>
        <v/>
      </c>
      <c r="AW1652" t="str">
        <f>""</f>
        <v/>
      </c>
      <c r="AX1652" t="str">
        <f>""</f>
        <v/>
      </c>
      <c r="AY1652" t="str">
        <f>""</f>
        <v/>
      </c>
      <c r="AZ1652" t="str">
        <f>""</f>
        <v/>
      </c>
      <c r="BA1652" t="str">
        <f>""</f>
        <v/>
      </c>
      <c r="BB1652" t="str">
        <f>"11/07/2023 02:26:32"</f>
        <v>11/07/2023 02:26:32</v>
      </c>
      <c r="BC1652" t="str">
        <f>""</f>
        <v/>
      </c>
      <c r="BD1652" t="str">
        <f>""</f>
        <v/>
      </c>
      <c r="BE1652" t="str">
        <f>""</f>
        <v/>
      </c>
      <c r="BF1652" t="str">
        <f t="shared" si="828"/>
        <v>A</v>
      </c>
      <c r="BG1652" t="str">
        <f>""</f>
        <v/>
      </c>
      <c r="BH1652" t="str">
        <f>""</f>
        <v/>
      </c>
      <c r="BI1652" t="str">
        <f t="shared" si="854"/>
        <v>EVENTUAL</v>
      </c>
      <c r="BJ1652" t="str">
        <f t="shared" si="829"/>
        <v>1</v>
      </c>
      <c r="BK1652" t="str">
        <f t="shared" si="830"/>
        <v>Farmacia</v>
      </c>
      <c r="BL1652" t="str">
        <f>""</f>
        <v/>
      </c>
      <c r="BM1652" t="str">
        <f>""</f>
        <v/>
      </c>
      <c r="BN1652" t="str">
        <f>""</f>
        <v/>
      </c>
      <c r="BO1652" t="str">
        <f>""</f>
        <v/>
      </c>
      <c r="BP1652" t="str">
        <f>""</f>
        <v/>
      </c>
      <c r="BQ1652" t="str">
        <f>""</f>
        <v/>
      </c>
      <c r="BR1652" t="str">
        <f>"11/07/2023"</f>
        <v>11/07/2023</v>
      </c>
      <c r="BS1652" t="str">
        <f>""</f>
        <v/>
      </c>
      <c r="BT1652" t="str">
        <f>""</f>
        <v/>
      </c>
      <c r="BU1652" t="str">
        <f>""</f>
        <v/>
      </c>
      <c r="BV1652" t="str">
        <f>""</f>
        <v/>
      </c>
      <c r="BW1652" t="str">
        <f>"Não visitado"</f>
        <v>Não visitado</v>
      </c>
    </row>
    <row r="1653" spans="1:75" x14ac:dyDescent="0.35">
      <c r="A1653">
        <v>137860</v>
      </c>
      <c r="B1653" t="str">
        <f t="shared" si="825"/>
        <v>A</v>
      </c>
      <c r="C1653" t="str">
        <f t="shared" si="826"/>
        <v>80</v>
      </c>
      <c r="D1653" t="str">
        <f t="shared" si="856"/>
        <v>11121004</v>
      </c>
      <c r="E1653" t="str">
        <f t="shared" si="857"/>
        <v>121004</v>
      </c>
      <c r="F1653" t="str">
        <f t="shared" si="858"/>
        <v>FABIANA GODOY</v>
      </c>
      <c r="G1653" t="str">
        <f>"10643143000175"</f>
        <v>10643143000175</v>
      </c>
      <c r="H1653" t="str">
        <f t="shared" si="852"/>
        <v>0</v>
      </c>
      <c r="I1653" t="str">
        <f t="shared" si="827"/>
        <v>CONTA OPTICA</v>
      </c>
      <c r="J1653" t="str">
        <f>"RELOJOARIA  E OTICA ORBEN LTDA ME"</f>
        <v>RELOJOARIA  E OTICA ORBEN LTDA ME</v>
      </c>
      <c r="K1653" t="str">
        <f>"RELOJOARIA  E OTICA ORBEN LTDA ME (1676)"</f>
        <v>RELOJOARIA  E OTICA ORBEN LTDA ME (1676)</v>
      </c>
      <c r="L1653" t="str">
        <f>""</f>
        <v/>
      </c>
      <c r="M1653" t="str">
        <f>""</f>
        <v/>
      </c>
      <c r="N1653" t="str">
        <f>"otica_orben@hotmail.com"</f>
        <v>otica_orben@hotmail.com</v>
      </c>
      <c r="O1653" t="str">
        <f>""</f>
        <v/>
      </c>
      <c r="P1653" t="str">
        <f>"AVENIDA NEREU RAMOS"</f>
        <v>AVENIDA NEREU RAMOS</v>
      </c>
      <c r="Q1653" t="str">
        <f>"4938"</f>
        <v>4938</v>
      </c>
      <c r="R1653" t="str">
        <f>"SALA 03"</f>
        <v>SALA 03</v>
      </c>
      <c r="S1653" t="str">
        <f>"1260"</f>
        <v>1260</v>
      </c>
      <c r="T1653" t="str">
        <f>"88220000"</f>
        <v>88220000</v>
      </c>
      <c r="U1653" t="str">
        <f>"CENTRO"</f>
        <v>CENTRO</v>
      </c>
      <c r="V1653" t="str">
        <f>"ITAPEMA"</f>
        <v>ITAPEMA</v>
      </c>
      <c r="W1653" t="str">
        <f t="shared" si="855"/>
        <v>SC</v>
      </c>
      <c r="X1653" t="str">
        <f t="shared" si="847"/>
        <v>47</v>
      </c>
      <c r="Y1653" t="str">
        <f>"32686592"</f>
        <v>32686592</v>
      </c>
      <c r="Z1653" t="str">
        <f>""</f>
        <v/>
      </c>
      <c r="AA1653" t="str">
        <f>""</f>
        <v/>
      </c>
      <c r="AB1653" t="str">
        <f>""</f>
        <v/>
      </c>
      <c r="AC1653" t="str">
        <f>""</f>
        <v/>
      </c>
      <c r="AD1653" t="str">
        <f>""</f>
        <v/>
      </c>
      <c r="AE1653" t="str">
        <f>""</f>
        <v/>
      </c>
      <c r="AF1653" t="str">
        <f>""</f>
        <v/>
      </c>
      <c r="AG1653" t="str">
        <f>"S"</f>
        <v>S</v>
      </c>
      <c r="AH1653" t="str">
        <f>""</f>
        <v/>
      </c>
      <c r="AI1653" t="str">
        <f>""</f>
        <v/>
      </c>
      <c r="AJ1653" t="str">
        <f>""</f>
        <v/>
      </c>
      <c r="AK1653" t="str">
        <f>""</f>
        <v/>
      </c>
      <c r="AL1653" t="str">
        <f>""</f>
        <v/>
      </c>
      <c r="AM1653" t="str">
        <f>""</f>
        <v/>
      </c>
      <c r="AN1653" t="str">
        <f>""</f>
        <v/>
      </c>
      <c r="AO1653" t="str">
        <f>""</f>
        <v/>
      </c>
      <c r="AP1653" t="str">
        <f>""</f>
        <v/>
      </c>
      <c r="AQ1653" t="str">
        <f t="shared" ref="AQ1653:AU1656" si="859">"N"</f>
        <v>N</v>
      </c>
      <c r="AR1653" t="str">
        <f t="shared" si="859"/>
        <v>N</v>
      </c>
      <c r="AS1653" t="str">
        <f t="shared" si="859"/>
        <v>N</v>
      </c>
      <c r="AT1653" t="str">
        <f t="shared" si="859"/>
        <v>N</v>
      </c>
      <c r="AU1653" t="str">
        <f t="shared" si="859"/>
        <v>N</v>
      </c>
      <c r="AV1653" t="str">
        <f>""</f>
        <v/>
      </c>
      <c r="AW1653" t="str">
        <f>""</f>
        <v/>
      </c>
      <c r="AX1653" t="str">
        <f>""</f>
        <v/>
      </c>
      <c r="AY1653" t="str">
        <f>""</f>
        <v/>
      </c>
      <c r="AZ1653" t="str">
        <f>""</f>
        <v/>
      </c>
      <c r="BA1653" t="str">
        <f>""</f>
        <v/>
      </c>
      <c r="BB1653" t="str">
        <f>"01/07/2021 13:53:04"</f>
        <v>01/07/2021 13:53:04</v>
      </c>
      <c r="BC1653" t="str">
        <f>"10/07/2023 10:09:46"</f>
        <v>10/07/2023 10:09:46</v>
      </c>
      <c r="BD1653" t="str">
        <f>""</f>
        <v/>
      </c>
      <c r="BE1653" t="str">
        <f>""</f>
        <v/>
      </c>
      <c r="BF1653" t="str">
        <f t="shared" si="828"/>
        <v>A</v>
      </c>
      <c r="BG1653" t="str">
        <f>""</f>
        <v/>
      </c>
      <c r="BH1653" t="str">
        <f>"0,00"</f>
        <v>0,00</v>
      </c>
      <c r="BI1653" t="str">
        <f t="shared" si="854"/>
        <v>EVENTUAL</v>
      </c>
      <c r="BJ1653" t="str">
        <f t="shared" si="829"/>
        <v>1</v>
      </c>
      <c r="BK1653" t="str">
        <f t="shared" si="830"/>
        <v>Farmacia</v>
      </c>
      <c r="BL1653" t="str">
        <f>""</f>
        <v/>
      </c>
      <c r="BM1653" t="str">
        <f>"NÃO É VARILUX ESPECIALISTA"</f>
        <v>NÃO É VARILUX ESPECIALISTA</v>
      </c>
      <c r="BN1653" t="str">
        <f>"EL360"</f>
        <v>EL360</v>
      </c>
      <c r="BO1653" t="str">
        <f>"FOCO VARILUX DIGITAL"</f>
        <v>FOCO VARILUX DIGITAL</v>
      </c>
      <c r="BP1653" t="str">
        <f>""</f>
        <v/>
      </c>
      <c r="BQ1653" t="str">
        <f>""</f>
        <v/>
      </c>
      <c r="BR1653" t="str">
        <f>"01/07/2021"</f>
        <v>01/07/2021</v>
      </c>
      <c r="BS1653" t="str">
        <f>"10/07/2023"</f>
        <v>10/07/2023</v>
      </c>
      <c r="BT1653" t="str">
        <f>""</f>
        <v/>
      </c>
      <c r="BU1653" t="str">
        <f>""</f>
        <v/>
      </c>
      <c r="BV1653" t="str">
        <f>""</f>
        <v/>
      </c>
      <c r="BW1653" t="str">
        <f>"18"</f>
        <v>18</v>
      </c>
    </row>
    <row r="1654" spans="1:75" x14ac:dyDescent="0.35">
      <c r="A1654">
        <v>137862</v>
      </c>
      <c r="B1654" t="str">
        <f t="shared" si="825"/>
        <v>A</v>
      </c>
      <c r="C1654" t="str">
        <f t="shared" si="826"/>
        <v>80</v>
      </c>
      <c r="D1654" t="str">
        <f t="shared" si="856"/>
        <v>11121004</v>
      </c>
      <c r="E1654" t="str">
        <f t="shared" si="857"/>
        <v>121004</v>
      </c>
      <c r="F1654" t="str">
        <f t="shared" si="858"/>
        <v>FABIANA GODOY</v>
      </c>
      <c r="G1654" t="str">
        <f>"85139988000127"</f>
        <v>85139988000127</v>
      </c>
      <c r="H1654" t="str">
        <f t="shared" si="852"/>
        <v>0</v>
      </c>
      <c r="I1654" t="str">
        <f t="shared" si="827"/>
        <v>CONTA OPTICA</v>
      </c>
      <c r="J1654" t="str">
        <f>"RELOJOARIA ART JOIAS LTDA ME"</f>
        <v>RELOJOARIA ART JOIAS LTDA ME</v>
      </c>
      <c r="K1654" t="str">
        <f>"RELOJOARIA ART JOIAS LTDA ME (1923)"</f>
        <v>RELOJOARIA ART JOIAS LTDA ME (1923)</v>
      </c>
      <c r="L1654" t="str">
        <f>""</f>
        <v/>
      </c>
      <c r="M1654" t="str">
        <f>""</f>
        <v/>
      </c>
      <c r="N1654" t="str">
        <f>"silviaddduarte@hotmail.com"</f>
        <v>silviaddduarte@hotmail.com</v>
      </c>
      <c r="O1654" t="str">
        <f>""</f>
        <v/>
      </c>
      <c r="P1654" t="str">
        <f>"RUA CARLOS GOMES"</f>
        <v>RUA CARLOS GOMES</v>
      </c>
      <c r="Q1654" t="str">
        <f>"211"</f>
        <v>211</v>
      </c>
      <c r="R1654" t="str">
        <f>"SALA 14 E 15"</f>
        <v>SALA 14 E 15</v>
      </c>
      <c r="S1654" t="str">
        <f>"1276"</f>
        <v>1276</v>
      </c>
      <c r="T1654" t="str">
        <f>"89160051"</f>
        <v>89160051</v>
      </c>
      <c r="U1654" t="str">
        <f>"CENTRO"</f>
        <v>CENTRO</v>
      </c>
      <c r="V1654" t="str">
        <f>"RIO DO SUL"</f>
        <v>RIO DO SUL</v>
      </c>
      <c r="W1654" t="str">
        <f t="shared" si="855"/>
        <v>SC</v>
      </c>
      <c r="X1654" t="str">
        <f t="shared" si="847"/>
        <v>47</v>
      </c>
      <c r="Y1654" t="str">
        <f>"35211761"</f>
        <v>35211761</v>
      </c>
      <c r="Z1654" t="str">
        <f>""</f>
        <v/>
      </c>
      <c r="AA1654" t="str">
        <f>""</f>
        <v/>
      </c>
      <c r="AB1654" t="str">
        <f>""</f>
        <v/>
      </c>
      <c r="AC1654" t="str">
        <f>""</f>
        <v/>
      </c>
      <c r="AD1654" t="str">
        <f>""</f>
        <v/>
      </c>
      <c r="AE1654" t="str">
        <f>""</f>
        <v/>
      </c>
      <c r="AF1654" t="str">
        <f>""</f>
        <v/>
      </c>
      <c r="AG1654" t="str">
        <f>"S"</f>
        <v>S</v>
      </c>
      <c r="AH1654" t="str">
        <f>""</f>
        <v/>
      </c>
      <c r="AI1654" t="str">
        <f>""</f>
        <v/>
      </c>
      <c r="AJ1654" t="str">
        <f>""</f>
        <v/>
      </c>
      <c r="AK1654" t="str">
        <f>""</f>
        <v/>
      </c>
      <c r="AL1654" t="str">
        <f>""</f>
        <v/>
      </c>
      <c r="AM1654" t="str">
        <f>""</f>
        <v/>
      </c>
      <c r="AN1654" t="str">
        <f>""</f>
        <v/>
      </c>
      <c r="AO1654" t="str">
        <f>""</f>
        <v/>
      </c>
      <c r="AP1654" t="str">
        <f>""</f>
        <v/>
      </c>
      <c r="AQ1654" t="str">
        <f t="shared" si="859"/>
        <v>N</v>
      </c>
      <c r="AR1654" t="str">
        <f t="shared" si="859"/>
        <v>N</v>
      </c>
      <c r="AS1654" t="str">
        <f t="shared" si="859"/>
        <v>N</v>
      </c>
      <c r="AT1654" t="str">
        <f t="shared" si="859"/>
        <v>N</v>
      </c>
      <c r="AU1654" t="str">
        <f t="shared" si="859"/>
        <v>N</v>
      </c>
      <c r="AV1654" t="str">
        <f>""</f>
        <v/>
      </c>
      <c r="AW1654" t="str">
        <f>""</f>
        <v/>
      </c>
      <c r="AX1654" t="str">
        <f>""</f>
        <v/>
      </c>
      <c r="AY1654" t="str">
        <f>""</f>
        <v/>
      </c>
      <c r="AZ1654" t="str">
        <f>""</f>
        <v/>
      </c>
      <c r="BA1654" t="str">
        <f>""</f>
        <v/>
      </c>
      <c r="BB1654" t="str">
        <f>"01/07/2021 13:53:04"</f>
        <v>01/07/2021 13:53:04</v>
      </c>
      <c r="BC1654" t="str">
        <f>"21/07/2023 17:14:32"</f>
        <v>21/07/2023 17:14:32</v>
      </c>
      <c r="BD1654" t="str">
        <f>""</f>
        <v/>
      </c>
      <c r="BE1654" t="str">
        <f>""</f>
        <v/>
      </c>
      <c r="BF1654" t="str">
        <f t="shared" si="828"/>
        <v>A</v>
      </c>
      <c r="BG1654" t="str">
        <f>""</f>
        <v/>
      </c>
      <c r="BH1654" t="str">
        <f>"0,00"</f>
        <v>0,00</v>
      </c>
      <c r="BI1654" t="str">
        <f>"MENSAL"</f>
        <v>MENSAL</v>
      </c>
      <c r="BJ1654" t="str">
        <f t="shared" si="829"/>
        <v>1</v>
      </c>
      <c r="BK1654" t="str">
        <f t="shared" si="830"/>
        <v>Farmacia</v>
      </c>
      <c r="BL1654" t="str">
        <f>""</f>
        <v/>
      </c>
      <c r="BM1654" t="str">
        <f>"VARILUX ESPECIALISTA PLATINE"</f>
        <v>VARILUX ESPECIALISTA PLATINE</v>
      </c>
      <c r="BN1654" t="str">
        <f>"NA"</f>
        <v>NA</v>
      </c>
      <c r="BO1654" t="str">
        <f>"FOCO VARILUX DIGITAL"</f>
        <v>FOCO VARILUX DIGITAL</v>
      </c>
      <c r="BP1654" t="str">
        <f>""</f>
        <v/>
      </c>
      <c r="BQ1654" t="str">
        <f>""</f>
        <v/>
      </c>
      <c r="BR1654" t="str">
        <f>"01/07/2021"</f>
        <v>01/07/2021</v>
      </c>
      <c r="BS1654" t="str">
        <f>"21/07/2023"</f>
        <v>21/07/2023</v>
      </c>
      <c r="BT1654" t="str">
        <f>""</f>
        <v/>
      </c>
      <c r="BU1654" t="str">
        <f>""</f>
        <v/>
      </c>
      <c r="BV1654" t="str">
        <f>""</f>
        <v/>
      </c>
      <c r="BW1654" t="str">
        <f>"3"</f>
        <v>3</v>
      </c>
    </row>
    <row r="1655" spans="1:75" x14ac:dyDescent="0.35">
      <c r="A1655">
        <v>137863</v>
      </c>
      <c r="B1655" t="str">
        <f t="shared" si="825"/>
        <v>A</v>
      </c>
      <c r="C1655" t="str">
        <f t="shared" si="826"/>
        <v>80</v>
      </c>
      <c r="D1655" t="str">
        <f t="shared" si="856"/>
        <v>11121004</v>
      </c>
      <c r="E1655" t="str">
        <f t="shared" si="857"/>
        <v>121004</v>
      </c>
      <c r="F1655" t="str">
        <f t="shared" si="858"/>
        <v>FABIANA GODOY</v>
      </c>
      <c r="G1655" t="str">
        <f>"29161624000172"</f>
        <v>29161624000172</v>
      </c>
      <c r="H1655" t="str">
        <f t="shared" si="852"/>
        <v>0</v>
      </c>
      <c r="I1655" t="str">
        <f t="shared" si="827"/>
        <v>CONTA OPTICA</v>
      </c>
      <c r="J1655" t="str">
        <f>"RELOJOARIA ARTISAN EIRELI"</f>
        <v>RELOJOARIA ARTISAN EIRELI</v>
      </c>
      <c r="K1655" t="str">
        <f>"RELOJOARIA ARTISAN (3910)"</f>
        <v>RELOJOARIA ARTISAN (3910)</v>
      </c>
      <c r="L1655" t="str">
        <f>""</f>
        <v/>
      </c>
      <c r="M1655" t="str">
        <f>""</f>
        <v/>
      </c>
      <c r="N1655" t="str">
        <f>"contato@opticaartisan.com.br"</f>
        <v>contato@opticaartisan.com.br</v>
      </c>
      <c r="O1655" t="str">
        <f>""</f>
        <v/>
      </c>
      <c r="P1655" t="str">
        <f>"RUA DOS CACADORES"</f>
        <v>RUA DOS CACADORES</v>
      </c>
      <c r="Q1655" t="str">
        <f>"2432"</f>
        <v>2432</v>
      </c>
      <c r="R1655" t="str">
        <f>"LOJA 3"</f>
        <v>LOJA 3</v>
      </c>
      <c r="S1655" t="str">
        <f>"1273"</f>
        <v>1273</v>
      </c>
      <c r="T1655" t="str">
        <f>"89040003"</f>
        <v>89040003</v>
      </c>
      <c r="U1655" t="str">
        <f>"VELHA CENTRAL"</f>
        <v>VELHA CENTRAL</v>
      </c>
      <c r="V1655" t="str">
        <f>"BLUMENAU"</f>
        <v>BLUMENAU</v>
      </c>
      <c r="W1655" t="str">
        <f t="shared" si="855"/>
        <v>SC</v>
      </c>
      <c r="X1655" t="str">
        <f t="shared" si="847"/>
        <v>47</v>
      </c>
      <c r="Y1655" t="str">
        <f>"33280192"</f>
        <v>33280192</v>
      </c>
      <c r="Z1655" t="str">
        <f>""</f>
        <v/>
      </c>
      <c r="AA1655" t="str">
        <f>""</f>
        <v/>
      </c>
      <c r="AB1655" t="str">
        <f>""</f>
        <v/>
      </c>
      <c r="AC1655" t="str">
        <f>""</f>
        <v/>
      </c>
      <c r="AD1655" t="str">
        <f>""</f>
        <v/>
      </c>
      <c r="AE1655" t="str">
        <f>""</f>
        <v/>
      </c>
      <c r="AF1655" t="str">
        <f>""</f>
        <v/>
      </c>
      <c r="AG1655" t="str">
        <f>"S"</f>
        <v>S</v>
      </c>
      <c r="AH1655" t="str">
        <f>""</f>
        <v/>
      </c>
      <c r="AI1655" t="str">
        <f>""</f>
        <v/>
      </c>
      <c r="AJ1655" t="str">
        <f>""</f>
        <v/>
      </c>
      <c r="AK1655" t="str">
        <f>""</f>
        <v/>
      </c>
      <c r="AL1655" t="str">
        <f>""</f>
        <v/>
      </c>
      <c r="AM1655" t="str">
        <f>""</f>
        <v/>
      </c>
      <c r="AN1655" t="str">
        <f>""</f>
        <v/>
      </c>
      <c r="AO1655" t="str">
        <f>""</f>
        <v/>
      </c>
      <c r="AP1655" t="str">
        <f>""</f>
        <v/>
      </c>
      <c r="AQ1655" t="str">
        <f t="shared" si="859"/>
        <v>N</v>
      </c>
      <c r="AR1655" t="str">
        <f t="shared" si="859"/>
        <v>N</v>
      </c>
      <c r="AS1655" t="str">
        <f t="shared" si="859"/>
        <v>N</v>
      </c>
      <c r="AT1655" t="str">
        <f t="shared" si="859"/>
        <v>N</v>
      </c>
      <c r="AU1655" t="str">
        <f t="shared" si="859"/>
        <v>N</v>
      </c>
      <c r="AV1655" t="str">
        <f>""</f>
        <v/>
      </c>
      <c r="AW1655" t="str">
        <f>""</f>
        <v/>
      </c>
      <c r="AX1655" t="str">
        <f>""</f>
        <v/>
      </c>
      <c r="AY1655" t="str">
        <f>""</f>
        <v/>
      </c>
      <c r="AZ1655" t="str">
        <f>""</f>
        <v/>
      </c>
      <c r="BA1655" t="str">
        <f>""</f>
        <v/>
      </c>
      <c r="BB1655" t="str">
        <f>"01/07/2021 13:53:04"</f>
        <v>01/07/2021 13:53:04</v>
      </c>
      <c r="BC1655" t="str">
        <f>"24/10/2022 17:05:05"</f>
        <v>24/10/2022 17:05:05</v>
      </c>
      <c r="BD1655" t="str">
        <f>""</f>
        <v/>
      </c>
      <c r="BE1655" t="str">
        <f>""</f>
        <v/>
      </c>
      <c r="BF1655" t="str">
        <f t="shared" si="828"/>
        <v>A</v>
      </c>
      <c r="BG1655" t="str">
        <f>""</f>
        <v/>
      </c>
      <c r="BH1655" t="str">
        <f>"0,00"</f>
        <v>0,00</v>
      </c>
      <c r="BI1655" t="str">
        <f t="shared" ref="BI1655:BI1661" si="860">"EVENTUAL"</f>
        <v>EVENTUAL</v>
      </c>
      <c r="BJ1655" t="str">
        <f t="shared" si="829"/>
        <v>1</v>
      </c>
      <c r="BK1655" t="str">
        <f t="shared" si="830"/>
        <v>Farmacia</v>
      </c>
      <c r="BL1655" t="str">
        <f>""</f>
        <v/>
      </c>
      <c r="BM1655" t="str">
        <f>"NÃO É VARILUX ESPECIALISTA"</f>
        <v>NÃO É VARILUX ESPECIALISTA</v>
      </c>
      <c r="BN1655" t="str">
        <f>"NA"</f>
        <v>NA</v>
      </c>
      <c r="BO1655" t="str">
        <f>"OUTROS"</f>
        <v>OUTROS</v>
      </c>
      <c r="BP1655" t="str">
        <f>""</f>
        <v/>
      </c>
      <c r="BQ1655" t="str">
        <f>""</f>
        <v/>
      </c>
      <c r="BR1655" t="str">
        <f>"01/07/2021"</f>
        <v>01/07/2021</v>
      </c>
      <c r="BS1655" t="str">
        <f>"24/10/2022"</f>
        <v>24/10/2022</v>
      </c>
      <c r="BT1655" t="str">
        <f>""</f>
        <v/>
      </c>
      <c r="BU1655" t="str">
        <f>""</f>
        <v/>
      </c>
      <c r="BV1655" t="str">
        <f>""</f>
        <v/>
      </c>
      <c r="BW1655" t="str">
        <f>"73"</f>
        <v>73</v>
      </c>
    </row>
    <row r="1656" spans="1:75" x14ac:dyDescent="0.35">
      <c r="A1656">
        <v>137864</v>
      </c>
      <c r="B1656" t="str">
        <f t="shared" si="825"/>
        <v>A</v>
      </c>
      <c r="C1656" t="str">
        <f t="shared" si="826"/>
        <v>80</v>
      </c>
      <c r="D1656" t="str">
        <f t="shared" si="856"/>
        <v>11121004</v>
      </c>
      <c r="E1656" t="str">
        <f t="shared" si="857"/>
        <v>121004</v>
      </c>
      <c r="F1656" t="str">
        <f t="shared" si="858"/>
        <v>FABIANA GODOY</v>
      </c>
      <c r="G1656" t="str">
        <f>"95779120000145"</f>
        <v>95779120000145</v>
      </c>
      <c r="H1656" t="str">
        <f t="shared" si="852"/>
        <v>0</v>
      </c>
      <c r="I1656" t="str">
        <f t="shared" si="827"/>
        <v>CONTA OPTICA</v>
      </c>
      <c r="J1656" t="str">
        <f>"RELOJOARIA ASTRO LTDA ME"</f>
        <v>RELOJOARIA ASTRO LTDA ME</v>
      </c>
      <c r="K1656" t="str">
        <f>"RELOJOARIA ASTRO LTDA ME (788)"</f>
        <v>RELOJOARIA ASTRO LTDA ME (788)</v>
      </c>
      <c r="L1656" t="str">
        <f>""</f>
        <v/>
      </c>
      <c r="M1656" t="str">
        <f>""</f>
        <v/>
      </c>
      <c r="N1656" t="str">
        <f>"astroltda@bol.com.br"</f>
        <v>astroltda@bol.com.br</v>
      </c>
      <c r="O1656" t="str">
        <f>""</f>
        <v/>
      </c>
      <c r="P1656" t="str">
        <f>"RUA 251"</f>
        <v>RUA 251</v>
      </c>
      <c r="Q1656" t="str">
        <f>"100"</f>
        <v>100</v>
      </c>
      <c r="R1656" t="str">
        <f>"SALA 01"</f>
        <v>SALA 01</v>
      </c>
      <c r="S1656" t="str">
        <f>"1260"</f>
        <v>1260</v>
      </c>
      <c r="T1656" t="str">
        <f>"88220000"</f>
        <v>88220000</v>
      </c>
      <c r="U1656" t="str">
        <f>"MEIA PRAIA"</f>
        <v>MEIA PRAIA</v>
      </c>
      <c r="V1656" t="str">
        <f>"ITAPEMA"</f>
        <v>ITAPEMA</v>
      </c>
      <c r="W1656" t="str">
        <f t="shared" si="855"/>
        <v>SC</v>
      </c>
      <c r="X1656" t="str">
        <f t="shared" si="847"/>
        <v>47</v>
      </c>
      <c r="Y1656" t="str">
        <f>"33685963"</f>
        <v>33685963</v>
      </c>
      <c r="Z1656" t="str">
        <f>""</f>
        <v/>
      </c>
      <c r="AA1656" t="str">
        <f>""</f>
        <v/>
      </c>
      <c r="AB1656" t="str">
        <f>""</f>
        <v/>
      </c>
      <c r="AC1656" t="str">
        <f>""</f>
        <v/>
      </c>
      <c r="AD1656" t="str">
        <f>""</f>
        <v/>
      </c>
      <c r="AE1656" t="str">
        <f>""</f>
        <v/>
      </c>
      <c r="AF1656" t="str">
        <f>""</f>
        <v/>
      </c>
      <c r="AG1656" t="str">
        <f>"S"</f>
        <v>S</v>
      </c>
      <c r="AH1656" t="str">
        <f>""</f>
        <v/>
      </c>
      <c r="AI1656" t="str">
        <f>""</f>
        <v/>
      </c>
      <c r="AJ1656" t="str">
        <f>""</f>
        <v/>
      </c>
      <c r="AK1656" t="str">
        <f>""</f>
        <v/>
      </c>
      <c r="AL1656" t="str">
        <f>""</f>
        <v/>
      </c>
      <c r="AM1656" t="str">
        <f>""</f>
        <v/>
      </c>
      <c r="AN1656" t="str">
        <f>""</f>
        <v/>
      </c>
      <c r="AO1656" t="str">
        <f>""</f>
        <v/>
      </c>
      <c r="AP1656" t="str">
        <f>""</f>
        <v/>
      </c>
      <c r="AQ1656" t="str">
        <f t="shared" si="859"/>
        <v>N</v>
      </c>
      <c r="AR1656" t="str">
        <f t="shared" si="859"/>
        <v>N</v>
      </c>
      <c r="AS1656" t="str">
        <f t="shared" si="859"/>
        <v>N</v>
      </c>
      <c r="AT1656" t="str">
        <f t="shared" si="859"/>
        <v>N</v>
      </c>
      <c r="AU1656" t="str">
        <f t="shared" si="859"/>
        <v>N</v>
      </c>
      <c r="AV1656" t="str">
        <f>""</f>
        <v/>
      </c>
      <c r="AW1656" t="str">
        <f>""</f>
        <v/>
      </c>
      <c r="AX1656" t="str">
        <f>""</f>
        <v/>
      </c>
      <c r="AY1656" t="str">
        <f>""</f>
        <v/>
      </c>
      <c r="AZ1656" t="str">
        <f>""</f>
        <v/>
      </c>
      <c r="BA1656" t="str">
        <f>""</f>
        <v/>
      </c>
      <c r="BB1656" t="str">
        <f>"01/07/2021 13:53:04"</f>
        <v>01/07/2021 13:53:04</v>
      </c>
      <c r="BC1656" t="str">
        <f>"07/12/2021 14:54:49"</f>
        <v>07/12/2021 14:54:49</v>
      </c>
      <c r="BD1656" t="str">
        <f>""</f>
        <v/>
      </c>
      <c r="BE1656" t="str">
        <f>""</f>
        <v/>
      </c>
      <c r="BF1656" t="str">
        <f t="shared" si="828"/>
        <v>A</v>
      </c>
      <c r="BG1656" t="str">
        <f>""</f>
        <v/>
      </c>
      <c r="BH1656" t="str">
        <f>"0,00"</f>
        <v>0,00</v>
      </c>
      <c r="BI1656" t="str">
        <f t="shared" si="860"/>
        <v>EVENTUAL</v>
      </c>
      <c r="BJ1656" t="str">
        <f t="shared" si="829"/>
        <v>1</v>
      </c>
      <c r="BK1656" t="str">
        <f t="shared" si="830"/>
        <v>Farmacia</v>
      </c>
      <c r="BL1656" t="str">
        <f>""</f>
        <v/>
      </c>
      <c r="BM1656" t="str">
        <f>"VARILUX ESPECIALISTA SELECT"</f>
        <v>VARILUX ESPECIALISTA SELECT</v>
      </c>
      <c r="BN1656" t="str">
        <f>"NA"</f>
        <v>NA</v>
      </c>
      <c r="BO1656" t="str">
        <f>"FOCO VARILUX DIGITAL"</f>
        <v>FOCO VARILUX DIGITAL</v>
      </c>
      <c r="BP1656" t="str">
        <f>""</f>
        <v/>
      </c>
      <c r="BQ1656" t="str">
        <f>""</f>
        <v/>
      </c>
      <c r="BR1656" t="str">
        <f>"01/07/2021"</f>
        <v>01/07/2021</v>
      </c>
      <c r="BS1656" t="str">
        <f>"07/12/2021"</f>
        <v>07/12/2021</v>
      </c>
      <c r="BT1656" t="str">
        <f>""</f>
        <v/>
      </c>
      <c r="BU1656" t="str">
        <f>""</f>
        <v/>
      </c>
      <c r="BV1656" t="str">
        <f>""</f>
        <v/>
      </c>
      <c r="BW1656" t="str">
        <f>"67"</f>
        <v>67</v>
      </c>
    </row>
    <row r="1657" spans="1:75" x14ac:dyDescent="0.35">
      <c r="A1657">
        <v>157808</v>
      </c>
      <c r="B1657" t="str">
        <f t="shared" si="825"/>
        <v>A</v>
      </c>
      <c r="C1657" t="str">
        <f t="shared" si="826"/>
        <v>80</v>
      </c>
      <c r="D1657" t="str">
        <f t="shared" si="856"/>
        <v>11121004</v>
      </c>
      <c r="E1657" t="str">
        <f t="shared" si="857"/>
        <v>121004</v>
      </c>
      <c r="F1657" t="str">
        <f t="shared" si="858"/>
        <v>FABIANA GODOY</v>
      </c>
      <c r="G1657" t="str">
        <f>"83540773000198"</f>
        <v>83540773000198</v>
      </c>
      <c r="H1657" t="str">
        <f t="shared" si="852"/>
        <v>0</v>
      </c>
      <c r="I1657" t="str">
        <f t="shared" si="827"/>
        <v>CONTA OPTICA</v>
      </c>
      <c r="J1657" t="str">
        <f>"RELOJOARIA BOLINHA LTDA"</f>
        <v>RELOJOARIA BOLINHA LTDA</v>
      </c>
      <c r="K1657" t="str">
        <f>"RELOJOARIA BOLINHA LTDA (430)"</f>
        <v>RELOJOARIA BOLINHA LTDA (430)</v>
      </c>
      <c r="L1657" t="str">
        <f>""</f>
        <v/>
      </c>
      <c r="M1657" t="str">
        <f>""</f>
        <v/>
      </c>
      <c r="N1657" t="str">
        <f>"adriana@apto.com.br"</f>
        <v>adriana@apto.com.br</v>
      </c>
      <c r="O1657" t="str">
        <f>""</f>
        <v/>
      </c>
      <c r="P1657" t="str">
        <f>"RUA MANOEL VIEIRA GARCAO"</f>
        <v>RUA MANOEL VIEIRA GARCAO</v>
      </c>
      <c r="Q1657" t="str">
        <f>"133"</f>
        <v>133</v>
      </c>
      <c r="R1657" t="str">
        <f>"SALA 04"</f>
        <v>SALA 04</v>
      </c>
      <c r="S1657" t="str">
        <f>"1261"</f>
        <v>1261</v>
      </c>
      <c r="T1657" t="str">
        <f>"88301425"</f>
        <v>88301425</v>
      </c>
      <c r="U1657" t="str">
        <f>"CENTRO"</f>
        <v>CENTRO</v>
      </c>
      <c r="V1657" t="str">
        <f>"ITAJAI"</f>
        <v>ITAJAI</v>
      </c>
      <c r="W1657" t="str">
        <f t="shared" si="855"/>
        <v>SC</v>
      </c>
      <c r="X1657" t="str">
        <f t="shared" si="847"/>
        <v>47</v>
      </c>
      <c r="Y1657" t="str">
        <f>"33481974"</f>
        <v>33481974</v>
      </c>
      <c r="Z1657" t="str">
        <f>""</f>
        <v/>
      </c>
      <c r="AA1657" t="str">
        <f>""</f>
        <v/>
      </c>
      <c r="AB1657" t="str">
        <f>""</f>
        <v/>
      </c>
      <c r="AC1657" t="str">
        <f>""</f>
        <v/>
      </c>
      <c r="AD1657" t="str">
        <f>""</f>
        <v/>
      </c>
      <c r="AE1657" t="str">
        <f>""</f>
        <v/>
      </c>
      <c r="AF1657" t="str">
        <f>""</f>
        <v/>
      </c>
      <c r="AG1657" t="str">
        <f>""</f>
        <v/>
      </c>
      <c r="AH1657" t="str">
        <f>""</f>
        <v/>
      </c>
      <c r="AI1657" t="str">
        <f>""</f>
        <v/>
      </c>
      <c r="AJ1657" t="str">
        <f>""</f>
        <v/>
      </c>
      <c r="AK1657" t="str">
        <f>""</f>
        <v/>
      </c>
      <c r="AL1657" t="str">
        <f>""</f>
        <v/>
      </c>
      <c r="AM1657" t="str">
        <f>""</f>
        <v/>
      </c>
      <c r="AN1657" t="str">
        <f>""</f>
        <v/>
      </c>
      <c r="AO1657" t="str">
        <f>""</f>
        <v/>
      </c>
      <c r="AP1657" t="str">
        <f>""</f>
        <v/>
      </c>
      <c r="AQ1657" t="str">
        <f>""</f>
        <v/>
      </c>
      <c r="AR1657" t="str">
        <f>""</f>
        <v/>
      </c>
      <c r="AS1657" t="str">
        <f>""</f>
        <v/>
      </c>
      <c r="AT1657" t="str">
        <f>""</f>
        <v/>
      </c>
      <c r="AU1657" t="str">
        <f>""</f>
        <v/>
      </c>
      <c r="AV1657" t="str">
        <f>""</f>
        <v/>
      </c>
      <c r="AW1657" t="str">
        <f>""</f>
        <v/>
      </c>
      <c r="AX1657" t="str">
        <f>""</f>
        <v/>
      </c>
      <c r="AY1657" t="str">
        <f>""</f>
        <v/>
      </c>
      <c r="AZ1657" t="str">
        <f>""</f>
        <v/>
      </c>
      <c r="BA1657" t="str">
        <f>""</f>
        <v/>
      </c>
      <c r="BB1657" t="str">
        <f>"11/07/2023 02:26:32"</f>
        <v>11/07/2023 02:26:32</v>
      </c>
      <c r="BC1657" t="str">
        <f>""</f>
        <v/>
      </c>
      <c r="BD1657" t="str">
        <f>""</f>
        <v/>
      </c>
      <c r="BE1657" t="str">
        <f>""</f>
        <v/>
      </c>
      <c r="BF1657" t="str">
        <f t="shared" si="828"/>
        <v>A</v>
      </c>
      <c r="BG1657" t="str">
        <f>""</f>
        <v/>
      </c>
      <c r="BH1657" t="str">
        <f>""</f>
        <v/>
      </c>
      <c r="BI1657" t="str">
        <f t="shared" si="860"/>
        <v>EVENTUAL</v>
      </c>
      <c r="BJ1657" t="str">
        <f t="shared" si="829"/>
        <v>1</v>
      </c>
      <c r="BK1657" t="str">
        <f t="shared" si="830"/>
        <v>Farmacia</v>
      </c>
      <c r="BL1657" t="str">
        <f>""</f>
        <v/>
      </c>
      <c r="BM1657" t="str">
        <f>""</f>
        <v/>
      </c>
      <c r="BN1657" t="str">
        <f>""</f>
        <v/>
      </c>
      <c r="BO1657" t="str">
        <f>""</f>
        <v/>
      </c>
      <c r="BP1657" t="str">
        <f>""</f>
        <v/>
      </c>
      <c r="BQ1657" t="str">
        <f>""</f>
        <v/>
      </c>
      <c r="BR1657" t="str">
        <f>"11/07/2023"</f>
        <v>11/07/2023</v>
      </c>
      <c r="BS1657" t="str">
        <f>""</f>
        <v/>
      </c>
      <c r="BT1657" t="str">
        <f>""</f>
        <v/>
      </c>
      <c r="BU1657" t="str">
        <f>""</f>
        <v/>
      </c>
      <c r="BV1657" t="str">
        <f>""</f>
        <v/>
      </c>
      <c r="BW1657" t="str">
        <f>"Não visitado"</f>
        <v>Não visitado</v>
      </c>
    </row>
    <row r="1658" spans="1:75" x14ac:dyDescent="0.35">
      <c r="A1658">
        <v>138847</v>
      </c>
      <c r="B1658" t="str">
        <f t="shared" si="825"/>
        <v>A</v>
      </c>
      <c r="C1658" t="str">
        <f t="shared" si="826"/>
        <v>80</v>
      </c>
      <c r="D1658" t="str">
        <f t="shared" si="856"/>
        <v>11121004</v>
      </c>
      <c r="E1658" t="str">
        <f t="shared" si="857"/>
        <v>121004</v>
      </c>
      <c r="F1658" t="str">
        <f t="shared" si="858"/>
        <v>FABIANA GODOY</v>
      </c>
      <c r="G1658" t="str">
        <f>"02854908000350"</f>
        <v>02854908000350</v>
      </c>
      <c r="H1658" t="str">
        <f t="shared" si="852"/>
        <v>0</v>
      </c>
      <c r="I1658" t="str">
        <f t="shared" si="827"/>
        <v>CONTA OPTICA</v>
      </c>
      <c r="J1658" t="str">
        <f>"RELOJOARIA BONIN LTDA"</f>
        <v>RELOJOARIA BONIN LTDA</v>
      </c>
      <c r="K1658" t="str">
        <f>"RELOJOARIA BONIN (4357)"</f>
        <v>RELOJOARIA BONIN (4357)</v>
      </c>
      <c r="L1658" t="str">
        <f>""</f>
        <v/>
      </c>
      <c r="M1658" t="str">
        <f>""</f>
        <v/>
      </c>
      <c r="N1658" t="str">
        <f>"relojoaria.bonin@gmail.com"</f>
        <v>relojoaria.bonin@gmail.com</v>
      </c>
      <c r="O1658" t="str">
        <f>""</f>
        <v/>
      </c>
      <c r="P1658" t="str">
        <f>"RUA CURT HERING"</f>
        <v>RUA CURT HERING</v>
      </c>
      <c r="Q1658" t="str">
        <f>"508"</f>
        <v>508</v>
      </c>
      <c r="R1658" t="str">
        <f>""</f>
        <v/>
      </c>
      <c r="S1658" t="str">
        <f>"1275"</f>
        <v>1275</v>
      </c>
      <c r="T1658" t="str">
        <f>"89150000"</f>
        <v>89150000</v>
      </c>
      <c r="U1658" t="str">
        <f>"CENTRO"</f>
        <v>CENTRO</v>
      </c>
      <c r="V1658" t="str">
        <f>"PRESIDENTE GETÚLIO"</f>
        <v>PRESIDENTE GETÚLIO</v>
      </c>
      <c r="W1658" t="str">
        <f t="shared" si="855"/>
        <v>SC</v>
      </c>
      <c r="X1658" t="str">
        <f t="shared" si="847"/>
        <v>47</v>
      </c>
      <c r="Y1658" t="str">
        <f>"984361122"</f>
        <v>984361122</v>
      </c>
      <c r="Z1658" t="str">
        <f>""</f>
        <v/>
      </c>
      <c r="AA1658" t="str">
        <f>""</f>
        <v/>
      </c>
      <c r="AB1658" t="str">
        <f>""</f>
        <v/>
      </c>
      <c r="AC1658" t="str">
        <f>""</f>
        <v/>
      </c>
      <c r="AD1658" t="str">
        <f>""</f>
        <v/>
      </c>
      <c r="AE1658" t="str">
        <f>""</f>
        <v/>
      </c>
      <c r="AF1658" t="str">
        <f>""</f>
        <v/>
      </c>
      <c r="AG1658" t="str">
        <f>""</f>
        <v/>
      </c>
      <c r="AH1658" t="str">
        <f>""</f>
        <v/>
      </c>
      <c r="AI1658" t="str">
        <f>""</f>
        <v/>
      </c>
      <c r="AJ1658" t="str">
        <f t="shared" ref="AJ1658:AL1661" si="861">"0"</f>
        <v>0</v>
      </c>
      <c r="AK1658" t="str">
        <f t="shared" si="861"/>
        <v>0</v>
      </c>
      <c r="AL1658" t="str">
        <f t="shared" si="861"/>
        <v>0</v>
      </c>
      <c r="AM1658" t="str">
        <f>""</f>
        <v/>
      </c>
      <c r="AN1658" t="str">
        <f>""</f>
        <v/>
      </c>
      <c r="AO1658" t="str">
        <f>""</f>
        <v/>
      </c>
      <c r="AP1658" t="str">
        <f>""</f>
        <v/>
      </c>
      <c r="AQ1658" t="str">
        <f>""</f>
        <v/>
      </c>
      <c r="AR1658" t="str">
        <f>""</f>
        <v/>
      </c>
      <c r="AS1658" t="str">
        <f>""</f>
        <v/>
      </c>
      <c r="AT1658" t="str">
        <f>""</f>
        <v/>
      </c>
      <c r="AU1658" t="str">
        <f>""</f>
        <v/>
      </c>
      <c r="AV1658" t="str">
        <f>""</f>
        <v/>
      </c>
      <c r="AW1658" t="str">
        <f>""</f>
        <v/>
      </c>
      <c r="AX1658" t="str">
        <f>""</f>
        <v/>
      </c>
      <c r="AY1658" t="str">
        <f>""</f>
        <v/>
      </c>
      <c r="AZ1658" t="str">
        <f>""</f>
        <v/>
      </c>
      <c r="BA1658" t="str">
        <f>""</f>
        <v/>
      </c>
      <c r="BB1658" t="str">
        <f>"15/07/2021 10:57:44"</f>
        <v>15/07/2021 10:57:44</v>
      </c>
      <c r="BC1658" t="str">
        <f>""</f>
        <v/>
      </c>
      <c r="BD1658" t="str">
        <f>""</f>
        <v/>
      </c>
      <c r="BE1658" t="str">
        <f>""</f>
        <v/>
      </c>
      <c r="BF1658" t="str">
        <f t="shared" si="828"/>
        <v>A</v>
      </c>
      <c r="BG1658" t="str">
        <f t="shared" ref="BG1658:BH1661" si="862">"0,00"</f>
        <v>0,00</v>
      </c>
      <c r="BH1658" t="str">
        <f t="shared" si="862"/>
        <v>0,00</v>
      </c>
      <c r="BI1658" t="str">
        <f t="shared" si="860"/>
        <v>EVENTUAL</v>
      </c>
      <c r="BJ1658" t="str">
        <f t="shared" si="829"/>
        <v>1</v>
      </c>
      <c r="BK1658" t="str">
        <f t="shared" si="830"/>
        <v>Farmacia</v>
      </c>
      <c r="BL1658" t="str">
        <f>""</f>
        <v/>
      </c>
      <c r="BM1658" t="str">
        <f>"NÃO É VARILUX ESPECIALISTA"</f>
        <v>NÃO É VARILUX ESPECIALISTA</v>
      </c>
      <c r="BN1658" t="str">
        <f>"NA"</f>
        <v>NA</v>
      </c>
      <c r="BO1658" t="str">
        <f>"OUTROS"</f>
        <v>OUTROS</v>
      </c>
      <c r="BP1658" t="str">
        <f>""</f>
        <v/>
      </c>
      <c r="BQ1658" t="str">
        <f>""</f>
        <v/>
      </c>
      <c r="BR1658" t="str">
        <f>"15/07/2021"</f>
        <v>15/07/2021</v>
      </c>
      <c r="BS1658" t="str">
        <f>""</f>
        <v/>
      </c>
      <c r="BT1658" t="str">
        <f>""</f>
        <v/>
      </c>
      <c r="BU1658" t="str">
        <f>""</f>
        <v/>
      </c>
      <c r="BV1658" t="str">
        <f>""</f>
        <v/>
      </c>
      <c r="BW1658" t="str">
        <f>"Não visitado"</f>
        <v>Não visitado</v>
      </c>
    </row>
    <row r="1659" spans="1:75" x14ac:dyDescent="0.35">
      <c r="A1659">
        <v>1250</v>
      </c>
      <c r="B1659" t="str">
        <f t="shared" si="825"/>
        <v>A</v>
      </c>
      <c r="C1659" t="str">
        <f t="shared" si="826"/>
        <v>80</v>
      </c>
      <c r="D1659" t="str">
        <f t="shared" si="856"/>
        <v>11121004</v>
      </c>
      <c r="E1659" t="str">
        <f t="shared" si="857"/>
        <v>121004</v>
      </c>
      <c r="F1659" t="str">
        <f t="shared" si="858"/>
        <v>FABIANA GODOY</v>
      </c>
      <c r="G1659" t="str">
        <f>"02854908000198"</f>
        <v>02854908000198</v>
      </c>
      <c r="H1659" t="str">
        <f>""</f>
        <v/>
      </c>
      <c r="I1659" t="str">
        <f t="shared" si="827"/>
        <v>CONTA OPTICA</v>
      </c>
      <c r="J1659" t="str">
        <f>"RELOJOARIA BONIN LTDA ME"</f>
        <v>RELOJOARIA BONIN LTDA ME</v>
      </c>
      <c r="K1659" t="str">
        <f>"RELOJOARIA BONIN LTDA ME (806)"</f>
        <v>RELOJOARIA BONIN LTDA ME (806)</v>
      </c>
      <c r="L1659" t="str">
        <f>""</f>
        <v/>
      </c>
      <c r="M1659" t="str">
        <f>""</f>
        <v/>
      </c>
      <c r="N1659" t="str">
        <f>"relojoaria.bonin@gmail.com"</f>
        <v>relojoaria.bonin@gmail.com</v>
      </c>
      <c r="O1659" t="str">
        <f>""</f>
        <v/>
      </c>
      <c r="P1659" t="str">
        <f>"RUA TIRADENTES"</f>
        <v>RUA TIRADENTES</v>
      </c>
      <c r="Q1659" t="str">
        <f>"324"</f>
        <v>324</v>
      </c>
      <c r="R1659" t="str">
        <f>"LOJA 08"</f>
        <v>LOJA 08</v>
      </c>
      <c r="S1659" t="str">
        <f>"1275"</f>
        <v>1275</v>
      </c>
      <c r="T1659" t="str">
        <f>"89140000"</f>
        <v>89140000</v>
      </c>
      <c r="U1659" t="str">
        <f>"CENTRO"</f>
        <v>CENTRO</v>
      </c>
      <c r="V1659" t="str">
        <f>"IBIRAMA"</f>
        <v>IBIRAMA</v>
      </c>
      <c r="W1659" t="str">
        <f t="shared" si="855"/>
        <v>SC</v>
      </c>
      <c r="X1659" t="str">
        <f t="shared" si="847"/>
        <v>47</v>
      </c>
      <c r="Y1659" t="str">
        <f>"33575333"</f>
        <v>33575333</v>
      </c>
      <c r="Z1659" t="str">
        <f>""</f>
        <v/>
      </c>
      <c r="AA1659" t="str">
        <f>""</f>
        <v/>
      </c>
      <c r="AB1659" t="str">
        <f>""</f>
        <v/>
      </c>
      <c r="AC1659" t="str">
        <f>""</f>
        <v/>
      </c>
      <c r="AD1659" t="str">
        <f>""</f>
        <v/>
      </c>
      <c r="AE1659" t="str">
        <f>""</f>
        <v/>
      </c>
      <c r="AF1659" t="str">
        <f>""</f>
        <v/>
      </c>
      <c r="AG1659" t="str">
        <f>""</f>
        <v/>
      </c>
      <c r="AH1659" t="str">
        <f>""</f>
        <v/>
      </c>
      <c r="AI1659" t="str">
        <f>""</f>
        <v/>
      </c>
      <c r="AJ1659" t="str">
        <f t="shared" si="861"/>
        <v>0</v>
      </c>
      <c r="AK1659" t="str">
        <f t="shared" si="861"/>
        <v>0</v>
      </c>
      <c r="AL1659" t="str">
        <f t="shared" si="861"/>
        <v>0</v>
      </c>
      <c r="AM1659" t="str">
        <f>""</f>
        <v/>
      </c>
      <c r="AN1659" t="str">
        <f>""</f>
        <v/>
      </c>
      <c r="AO1659" t="str">
        <f>""</f>
        <v/>
      </c>
      <c r="AP1659" t="str">
        <f>""</f>
        <v/>
      </c>
      <c r="AQ1659" t="str">
        <f>""</f>
        <v/>
      </c>
      <c r="AR1659" t="str">
        <f>""</f>
        <v/>
      </c>
      <c r="AS1659" t="str">
        <f>""</f>
        <v/>
      </c>
      <c r="AT1659" t="str">
        <f>""</f>
        <v/>
      </c>
      <c r="AU1659" t="str">
        <f>""</f>
        <v/>
      </c>
      <c r="AV1659" t="str">
        <f>""</f>
        <v/>
      </c>
      <c r="AW1659" t="str">
        <f>""</f>
        <v/>
      </c>
      <c r="AX1659" t="str">
        <f>""</f>
        <v/>
      </c>
      <c r="AY1659" t="str">
        <f>""</f>
        <v/>
      </c>
      <c r="AZ1659" t="str">
        <f>""</f>
        <v/>
      </c>
      <c r="BA1659" t="str">
        <f>""</f>
        <v/>
      </c>
      <c r="BB1659" t="str">
        <f>"27/07/2018 09:26:11"</f>
        <v>27/07/2018 09:26:11</v>
      </c>
      <c r="BC1659" t="str">
        <f>""</f>
        <v/>
      </c>
      <c r="BD1659" t="str">
        <f>""</f>
        <v/>
      </c>
      <c r="BE1659" t="str">
        <f>"1250"</f>
        <v>1250</v>
      </c>
      <c r="BF1659" t="str">
        <f t="shared" si="828"/>
        <v>A</v>
      </c>
      <c r="BG1659" t="str">
        <f t="shared" si="862"/>
        <v>0,00</v>
      </c>
      <c r="BH1659" t="str">
        <f t="shared" si="862"/>
        <v>0,00</v>
      </c>
      <c r="BI1659" t="str">
        <f t="shared" si="860"/>
        <v>EVENTUAL</v>
      </c>
      <c r="BJ1659" t="str">
        <f t="shared" si="829"/>
        <v>1</v>
      </c>
      <c r="BK1659" t="str">
        <f t="shared" si="830"/>
        <v>Farmacia</v>
      </c>
      <c r="BL1659" t="str">
        <f>""</f>
        <v/>
      </c>
      <c r="BM1659" t="str">
        <f>"NÃO É VARILUX ESPECIALISTA"</f>
        <v>NÃO É VARILUX ESPECIALISTA</v>
      </c>
      <c r="BN1659" t="str">
        <f>"NA"</f>
        <v>NA</v>
      </c>
      <c r="BO1659" t="str">
        <f>"FOCO VARILUX DIGITAL"</f>
        <v>FOCO VARILUX DIGITAL</v>
      </c>
      <c r="BP1659" t="str">
        <f>""</f>
        <v/>
      </c>
      <c r="BQ1659" t="str">
        <f>""</f>
        <v/>
      </c>
      <c r="BR1659" t="str">
        <f>"27/07/2018"</f>
        <v>27/07/2018</v>
      </c>
      <c r="BS1659" t="str">
        <f>""</f>
        <v/>
      </c>
      <c r="BT1659" t="str">
        <f>""</f>
        <v/>
      </c>
      <c r="BU1659" t="str">
        <f>""</f>
        <v/>
      </c>
      <c r="BV1659" t="str">
        <f>"5"</f>
        <v>5</v>
      </c>
      <c r="BW1659" t="str">
        <f>"29"</f>
        <v>29</v>
      </c>
    </row>
    <row r="1660" spans="1:75" x14ac:dyDescent="0.35">
      <c r="A1660">
        <v>1259</v>
      </c>
      <c r="B1660" t="str">
        <f t="shared" si="825"/>
        <v>A</v>
      </c>
      <c r="C1660" t="str">
        <f t="shared" si="826"/>
        <v>80</v>
      </c>
      <c r="D1660" t="str">
        <f t="shared" si="856"/>
        <v>11121004</v>
      </c>
      <c r="E1660" t="str">
        <f t="shared" si="857"/>
        <v>121004</v>
      </c>
      <c r="F1660" t="str">
        <f t="shared" si="858"/>
        <v>FABIANA GODOY</v>
      </c>
      <c r="G1660" t="str">
        <f>"03669425000186"</f>
        <v>03669425000186</v>
      </c>
      <c r="H1660" t="str">
        <f>""</f>
        <v/>
      </c>
      <c r="I1660" t="str">
        <f t="shared" si="827"/>
        <v>CONTA OPTICA</v>
      </c>
      <c r="J1660" t="str">
        <f>"RELOJOARIA E OPTICA ALPHAVILLE LTDA EPP"</f>
        <v>RELOJOARIA E OPTICA ALPHAVILLE LTDA EPP</v>
      </c>
      <c r="K1660" t="str">
        <f>"JOALHERIA E OPTICA ALPHAVILLE LTDA ME (209)"</f>
        <v>JOALHERIA E OPTICA ALPHAVILLE LTDA ME (209)</v>
      </c>
      <c r="L1660" t="str">
        <f>""</f>
        <v/>
      </c>
      <c r="M1660" t="str">
        <f>""</f>
        <v/>
      </c>
      <c r="N1660" t="str">
        <f>"opticaalphaville@gmail.com"</f>
        <v>opticaalphaville@gmail.com</v>
      </c>
      <c r="O1660" t="str">
        <f>""</f>
        <v/>
      </c>
      <c r="P1660" t="str">
        <f>"RUA AMAZONAS"</f>
        <v>RUA AMAZONAS</v>
      </c>
      <c r="Q1660" t="str">
        <f>"3060"</f>
        <v>3060</v>
      </c>
      <c r="R1660" t="str">
        <f>"SL 02"</f>
        <v>SL 02</v>
      </c>
      <c r="S1660" t="str">
        <f>"1273"</f>
        <v>1273</v>
      </c>
      <c r="T1660" t="str">
        <f>"89022002"</f>
        <v>89022002</v>
      </c>
      <c r="U1660" t="str">
        <f>"GARCIA"</f>
        <v>GARCIA</v>
      </c>
      <c r="V1660" t="str">
        <f>"BLUMENAU"</f>
        <v>BLUMENAU</v>
      </c>
      <c r="W1660" t="str">
        <f t="shared" si="855"/>
        <v>SC</v>
      </c>
      <c r="X1660" t="str">
        <f t="shared" si="847"/>
        <v>47</v>
      </c>
      <c r="Y1660" t="str">
        <f>"33242667"</f>
        <v>33242667</v>
      </c>
      <c r="Z1660" t="str">
        <f>""</f>
        <v/>
      </c>
      <c r="AA1660" t="str">
        <f>""</f>
        <v/>
      </c>
      <c r="AB1660" t="str">
        <f>""</f>
        <v/>
      </c>
      <c r="AC1660" t="str">
        <f>""</f>
        <v/>
      </c>
      <c r="AD1660" t="str">
        <f>""</f>
        <v/>
      </c>
      <c r="AE1660" t="str">
        <f>""</f>
        <v/>
      </c>
      <c r="AF1660" t="str">
        <f>""</f>
        <v/>
      </c>
      <c r="AG1660" t="str">
        <f>""</f>
        <v/>
      </c>
      <c r="AH1660" t="str">
        <f>""</f>
        <v/>
      </c>
      <c r="AI1660" t="str">
        <f>""</f>
        <v/>
      </c>
      <c r="AJ1660" t="str">
        <f t="shared" si="861"/>
        <v>0</v>
      </c>
      <c r="AK1660" t="str">
        <f t="shared" si="861"/>
        <v>0</v>
      </c>
      <c r="AL1660" t="str">
        <f t="shared" si="861"/>
        <v>0</v>
      </c>
      <c r="AM1660" t="str">
        <f>""</f>
        <v/>
      </c>
      <c r="AN1660" t="str">
        <f>""</f>
        <v/>
      </c>
      <c r="AO1660" t="str">
        <f>""</f>
        <v/>
      </c>
      <c r="AP1660" t="str">
        <f>""</f>
        <v/>
      </c>
      <c r="AQ1660" t="str">
        <f>""</f>
        <v/>
      </c>
      <c r="AR1660" t="str">
        <f>""</f>
        <v/>
      </c>
      <c r="AS1660" t="str">
        <f>""</f>
        <v/>
      </c>
      <c r="AT1660" t="str">
        <f>""</f>
        <v/>
      </c>
      <c r="AU1660" t="str">
        <f>""</f>
        <v/>
      </c>
      <c r="AV1660" t="str">
        <f>""</f>
        <v/>
      </c>
      <c r="AW1660" t="str">
        <f>""</f>
        <v/>
      </c>
      <c r="AX1660" t="str">
        <f>""</f>
        <v/>
      </c>
      <c r="AY1660" t="str">
        <f>""</f>
        <v/>
      </c>
      <c r="AZ1660" t="str">
        <f>""</f>
        <v/>
      </c>
      <c r="BA1660" t="str">
        <f>""</f>
        <v/>
      </c>
      <c r="BB1660" t="str">
        <f>"27/07/2018 09:26:12"</f>
        <v>27/07/2018 09:26:12</v>
      </c>
      <c r="BC1660" t="str">
        <f>""</f>
        <v/>
      </c>
      <c r="BD1660" t="str">
        <f>""</f>
        <v/>
      </c>
      <c r="BE1660" t="str">
        <f>"1259"</f>
        <v>1259</v>
      </c>
      <c r="BF1660" t="str">
        <f t="shared" si="828"/>
        <v>A</v>
      </c>
      <c r="BG1660" t="str">
        <f t="shared" si="862"/>
        <v>0,00</v>
      </c>
      <c r="BH1660" t="str">
        <f t="shared" si="862"/>
        <v>0,00</v>
      </c>
      <c r="BI1660" t="str">
        <f t="shared" si="860"/>
        <v>EVENTUAL</v>
      </c>
      <c r="BJ1660" t="str">
        <f t="shared" si="829"/>
        <v>1</v>
      </c>
      <c r="BK1660" t="str">
        <f t="shared" si="830"/>
        <v>Farmacia</v>
      </c>
      <c r="BL1660" t="str">
        <f>""</f>
        <v/>
      </c>
      <c r="BM1660" t="str">
        <f>"VARILUX ESPECIALISTA PLATINE"</f>
        <v>VARILUX ESPECIALISTA PLATINE</v>
      </c>
      <c r="BN1660" t="str">
        <f>"NA"</f>
        <v>NA</v>
      </c>
      <c r="BO1660" t="str">
        <f>"FOCO VARILUX DIGITAL"</f>
        <v>FOCO VARILUX DIGITAL</v>
      </c>
      <c r="BP1660" t="str">
        <f>""</f>
        <v/>
      </c>
      <c r="BQ1660" t="str">
        <f>""</f>
        <v/>
      </c>
      <c r="BR1660" t="str">
        <f>"27/07/2018"</f>
        <v>27/07/2018</v>
      </c>
      <c r="BS1660" t="str">
        <f>""</f>
        <v/>
      </c>
      <c r="BT1660" t="str">
        <f>""</f>
        <v/>
      </c>
      <c r="BU1660" t="str">
        <f>""</f>
        <v/>
      </c>
      <c r="BV1660" t="str">
        <f>"5"</f>
        <v>5</v>
      </c>
      <c r="BW1660" t="str">
        <f>"120"</f>
        <v>120</v>
      </c>
    </row>
    <row r="1661" spans="1:75" x14ac:dyDescent="0.35">
      <c r="A1661">
        <v>127546</v>
      </c>
      <c r="B1661" t="str">
        <f t="shared" si="825"/>
        <v>A</v>
      </c>
      <c r="C1661" t="str">
        <f t="shared" si="826"/>
        <v>80</v>
      </c>
      <c r="D1661" t="str">
        <f t="shared" si="856"/>
        <v>11121004</v>
      </c>
      <c r="E1661" t="str">
        <f t="shared" si="857"/>
        <v>121004</v>
      </c>
      <c r="F1661" t="str">
        <f t="shared" si="858"/>
        <v>FABIANA GODOY</v>
      </c>
      <c r="G1661" t="str">
        <f>"00777985000166"</f>
        <v>00777985000166</v>
      </c>
      <c r="H1661" t="str">
        <f t="shared" ref="H1661:H1666" si="863">"0"</f>
        <v>0</v>
      </c>
      <c r="I1661" t="str">
        <f t="shared" si="827"/>
        <v>CONTA OPTICA</v>
      </c>
      <c r="J1661" t="str">
        <f>"RELOJOARIA E OPTICA BUSS LTDA"</f>
        <v>RELOJOARIA E OPTICA BUSS LTDA</v>
      </c>
      <c r="K1661" t="str">
        <f>"RELOJOARIA E OPTICA BUSS (876)"</f>
        <v>RELOJOARIA E OPTICA BUSS (876)</v>
      </c>
      <c r="L1661" t="str">
        <f>""</f>
        <v/>
      </c>
      <c r="M1661" t="str">
        <f>""</f>
        <v/>
      </c>
      <c r="N1661" t="str">
        <f>"buss@opticabuss.com.br"</f>
        <v>buss@opticabuss.com.br</v>
      </c>
      <c r="O1661" t="str">
        <f>""</f>
        <v/>
      </c>
      <c r="P1661" t="str">
        <f>"AVENIDA NEREU RAMOS"</f>
        <v>AVENIDA NEREU RAMOS</v>
      </c>
      <c r="Q1661" t="str">
        <f>"436"</f>
        <v>436</v>
      </c>
      <c r="R1661" t="str">
        <f>"SALA 01"</f>
        <v>SALA 01</v>
      </c>
      <c r="S1661" t="str">
        <f>"1263"</f>
        <v>1263</v>
      </c>
      <c r="T1661" t="str">
        <f>"88380000"</f>
        <v>88380000</v>
      </c>
      <c r="U1661" t="str">
        <f>"NAO INFORMADO"</f>
        <v>NAO INFORMADO</v>
      </c>
      <c r="V1661" t="str">
        <f>"BALNEÁRIO PIÇARRAS"</f>
        <v>BALNEÁRIO PIÇARRAS</v>
      </c>
      <c r="W1661" t="str">
        <f t="shared" si="855"/>
        <v>SC</v>
      </c>
      <c r="X1661" t="str">
        <f t="shared" si="847"/>
        <v>47</v>
      </c>
      <c r="Y1661" t="str">
        <f>"33452768"</f>
        <v>33452768</v>
      </c>
      <c r="Z1661" t="str">
        <f>""</f>
        <v/>
      </c>
      <c r="AA1661" t="str">
        <f>""</f>
        <v/>
      </c>
      <c r="AB1661" t="str">
        <f>""</f>
        <v/>
      </c>
      <c r="AC1661" t="str">
        <f>""</f>
        <v/>
      </c>
      <c r="AD1661" t="str">
        <f>""</f>
        <v/>
      </c>
      <c r="AE1661" t="str">
        <f>""</f>
        <v/>
      </c>
      <c r="AF1661" t="str">
        <f>""</f>
        <v/>
      </c>
      <c r="AG1661" t="str">
        <f>""</f>
        <v/>
      </c>
      <c r="AH1661" t="str">
        <f>""</f>
        <v/>
      </c>
      <c r="AI1661" t="str">
        <f>""</f>
        <v/>
      </c>
      <c r="AJ1661" t="str">
        <f t="shared" si="861"/>
        <v>0</v>
      </c>
      <c r="AK1661" t="str">
        <f t="shared" si="861"/>
        <v>0</v>
      </c>
      <c r="AL1661" t="str">
        <f t="shared" si="861"/>
        <v>0</v>
      </c>
      <c r="AM1661" t="str">
        <f>""</f>
        <v/>
      </c>
      <c r="AN1661" t="str">
        <f>""</f>
        <v/>
      </c>
      <c r="AO1661" t="str">
        <f>""</f>
        <v/>
      </c>
      <c r="AP1661" t="str">
        <f>""</f>
        <v/>
      </c>
      <c r="AQ1661" t="str">
        <f>""</f>
        <v/>
      </c>
      <c r="AR1661" t="str">
        <f>""</f>
        <v/>
      </c>
      <c r="AS1661" t="str">
        <f>""</f>
        <v/>
      </c>
      <c r="AT1661" t="str">
        <f>""</f>
        <v/>
      </c>
      <c r="AU1661" t="str">
        <f>""</f>
        <v/>
      </c>
      <c r="AV1661" t="str">
        <f>""</f>
        <v/>
      </c>
      <c r="AW1661" t="str">
        <f>""</f>
        <v/>
      </c>
      <c r="AX1661" t="str">
        <f>""</f>
        <v/>
      </c>
      <c r="AY1661" t="str">
        <f>""</f>
        <v/>
      </c>
      <c r="AZ1661" t="str">
        <f>""</f>
        <v/>
      </c>
      <c r="BA1661" t="str">
        <f>""</f>
        <v/>
      </c>
      <c r="BB1661" t="str">
        <f>"07/10/2020 09:08:38"</f>
        <v>07/10/2020 09:08:38</v>
      </c>
      <c r="BC1661" t="str">
        <f>""</f>
        <v/>
      </c>
      <c r="BD1661" t="str">
        <f>""</f>
        <v/>
      </c>
      <c r="BE1661" t="str">
        <f>""</f>
        <v/>
      </c>
      <c r="BF1661" t="str">
        <f t="shared" si="828"/>
        <v>A</v>
      </c>
      <c r="BG1661" t="str">
        <f t="shared" si="862"/>
        <v>0,00</v>
      </c>
      <c r="BH1661" t="str">
        <f t="shared" si="862"/>
        <v>0,00</v>
      </c>
      <c r="BI1661" t="str">
        <f t="shared" si="860"/>
        <v>EVENTUAL</v>
      </c>
      <c r="BJ1661" t="str">
        <f t="shared" si="829"/>
        <v>1</v>
      </c>
      <c r="BK1661" t="str">
        <f t="shared" si="830"/>
        <v>Farmacia</v>
      </c>
      <c r="BL1661" t="str">
        <f>""</f>
        <v/>
      </c>
      <c r="BM1661" t="str">
        <f>"NÃO É VARILUX ESPECIALISTA"</f>
        <v>NÃO É VARILUX ESPECIALISTA</v>
      </c>
      <c r="BN1661" t="str">
        <f>"NA"</f>
        <v>NA</v>
      </c>
      <c r="BO1661" t="str">
        <f>"FOCO VARILUX"</f>
        <v>FOCO VARILUX</v>
      </c>
      <c r="BP1661" t="str">
        <f>""</f>
        <v/>
      </c>
      <c r="BQ1661" t="str">
        <f>""</f>
        <v/>
      </c>
      <c r="BR1661" t="str">
        <f>"07/10/2020"</f>
        <v>07/10/2020</v>
      </c>
      <c r="BS1661" t="str">
        <f>""</f>
        <v/>
      </c>
      <c r="BT1661" t="str">
        <f>""</f>
        <v/>
      </c>
      <c r="BU1661" t="str">
        <f>""</f>
        <v/>
      </c>
      <c r="BV1661" t="str">
        <f>"7"</f>
        <v>7</v>
      </c>
      <c r="BW1661" t="str">
        <f>"Não visitado"</f>
        <v>Não visitado</v>
      </c>
    </row>
    <row r="1662" spans="1:75" x14ac:dyDescent="0.35">
      <c r="A1662">
        <v>137870</v>
      </c>
      <c r="B1662" t="str">
        <f t="shared" si="825"/>
        <v>A</v>
      </c>
      <c r="C1662" t="str">
        <f t="shared" si="826"/>
        <v>80</v>
      </c>
      <c r="D1662" t="str">
        <f t="shared" si="856"/>
        <v>11121004</v>
      </c>
      <c r="E1662" t="str">
        <f t="shared" si="857"/>
        <v>121004</v>
      </c>
      <c r="F1662" t="str">
        <f t="shared" si="858"/>
        <v>FABIANA GODOY</v>
      </c>
      <c r="G1662" t="str">
        <f>"85260180000101"</f>
        <v>85260180000101</v>
      </c>
      <c r="H1662" t="str">
        <f t="shared" si="863"/>
        <v>0</v>
      </c>
      <c r="I1662" t="str">
        <f t="shared" si="827"/>
        <v>CONTA OPTICA</v>
      </c>
      <c r="J1662" t="str">
        <f>"RELOJOARIA E OPTICA DIAMANTE AZUL LTDA ME"</f>
        <v>RELOJOARIA E OPTICA DIAMANTE AZUL LTDA ME</v>
      </c>
      <c r="K1662" t="str">
        <f>"RELOJOARIA E OPTICA DIAMANTE AZUL LTDA ME (598)"</f>
        <v>RELOJOARIA E OPTICA DIAMANTE AZUL LTDA ME (598)</v>
      </c>
      <c r="L1662" t="str">
        <f>""</f>
        <v/>
      </c>
      <c r="M1662" t="str">
        <f>""</f>
        <v/>
      </c>
      <c r="N1662" t="str">
        <f>"opticadiamanteazul@gmail.com"</f>
        <v>opticadiamanteazul@gmail.com</v>
      </c>
      <c r="O1662" t="str">
        <f>""</f>
        <v/>
      </c>
      <c r="P1662" t="str">
        <f>"RUA CORONEL FEDDERSEN"</f>
        <v>RUA CORONEL FEDDERSEN</v>
      </c>
      <c r="Q1662" t="str">
        <f>"1880"</f>
        <v>1880</v>
      </c>
      <c r="R1662" t="str">
        <f>""</f>
        <v/>
      </c>
      <c r="S1662" t="str">
        <f>"1276"</f>
        <v>1276</v>
      </c>
      <c r="T1662" t="str">
        <f>"89190000"</f>
        <v>89190000</v>
      </c>
      <c r="U1662" t="str">
        <f>"CENTRO"</f>
        <v>CENTRO</v>
      </c>
      <c r="V1662" t="str">
        <f>"TAIÓ"</f>
        <v>TAIÓ</v>
      </c>
      <c r="W1662" t="str">
        <f t="shared" si="855"/>
        <v>SC</v>
      </c>
      <c r="X1662" t="str">
        <f t="shared" si="847"/>
        <v>47</v>
      </c>
      <c r="Y1662" t="str">
        <f>"35620489"</f>
        <v>35620489</v>
      </c>
      <c r="Z1662" t="str">
        <f>""</f>
        <v/>
      </c>
      <c r="AA1662" t="str">
        <f>""</f>
        <v/>
      </c>
      <c r="AB1662" t="str">
        <f>""</f>
        <v/>
      </c>
      <c r="AC1662" t="str">
        <f>""</f>
        <v/>
      </c>
      <c r="AD1662" t="str">
        <f>""</f>
        <v/>
      </c>
      <c r="AE1662" t="str">
        <f>""</f>
        <v/>
      </c>
      <c r="AF1662" t="str">
        <f>""</f>
        <v/>
      </c>
      <c r="AG1662" t="str">
        <f>"S"</f>
        <v>S</v>
      </c>
      <c r="AH1662" t="str">
        <f>""</f>
        <v/>
      </c>
      <c r="AI1662" t="str">
        <f>""</f>
        <v/>
      </c>
      <c r="AJ1662" t="str">
        <f>""</f>
        <v/>
      </c>
      <c r="AK1662" t="str">
        <f>""</f>
        <v/>
      </c>
      <c r="AL1662" t="str">
        <f>""</f>
        <v/>
      </c>
      <c r="AM1662" t="str">
        <f>""</f>
        <v/>
      </c>
      <c r="AN1662" t="str">
        <f>""</f>
        <v/>
      </c>
      <c r="AO1662" t="str">
        <f>""</f>
        <v/>
      </c>
      <c r="AP1662" t="str">
        <f>""</f>
        <v/>
      </c>
      <c r="AQ1662" t="str">
        <f t="shared" ref="AQ1662:AU1663" si="864">"N"</f>
        <v>N</v>
      </c>
      <c r="AR1662" t="str">
        <f t="shared" si="864"/>
        <v>N</v>
      </c>
      <c r="AS1662" t="str">
        <f t="shared" si="864"/>
        <v>N</v>
      </c>
      <c r="AT1662" t="str">
        <f t="shared" si="864"/>
        <v>N</v>
      </c>
      <c r="AU1662" t="str">
        <f t="shared" si="864"/>
        <v>N</v>
      </c>
      <c r="AV1662" t="str">
        <f>""</f>
        <v/>
      </c>
      <c r="AW1662" t="str">
        <f>""</f>
        <v/>
      </c>
      <c r="AX1662" t="str">
        <f>""</f>
        <v/>
      </c>
      <c r="AY1662" t="str">
        <f>""</f>
        <v/>
      </c>
      <c r="AZ1662" t="str">
        <f>""</f>
        <v/>
      </c>
      <c r="BA1662" t="str">
        <f>""</f>
        <v/>
      </c>
      <c r="BB1662" t="str">
        <f>"01/07/2021 13:53:04"</f>
        <v>01/07/2021 13:53:04</v>
      </c>
      <c r="BC1662" t="str">
        <f>"11/07/2023 16:27:16"</f>
        <v>11/07/2023 16:27:16</v>
      </c>
      <c r="BD1662" t="str">
        <f>""</f>
        <v/>
      </c>
      <c r="BE1662" t="str">
        <f>""</f>
        <v/>
      </c>
      <c r="BF1662" t="str">
        <f t="shared" si="828"/>
        <v>A</v>
      </c>
      <c r="BG1662" t="str">
        <f>""</f>
        <v/>
      </c>
      <c r="BH1662" t="str">
        <f>"0,00"</f>
        <v>0,00</v>
      </c>
      <c r="BI1662" t="str">
        <f>"MENSAL"</f>
        <v>MENSAL</v>
      </c>
      <c r="BJ1662" t="str">
        <f t="shared" si="829"/>
        <v>1</v>
      </c>
      <c r="BK1662" t="str">
        <f t="shared" si="830"/>
        <v>Farmacia</v>
      </c>
      <c r="BL1662" t="str">
        <f>""</f>
        <v/>
      </c>
      <c r="BM1662" t="str">
        <f>"CREDENCIADO VARILUX"</f>
        <v>CREDENCIADO VARILUX</v>
      </c>
      <c r="BN1662" t="str">
        <f>"EL360"</f>
        <v>EL360</v>
      </c>
      <c r="BO1662" t="str">
        <f>"FOCO VARILUX DIGITAL"</f>
        <v>FOCO VARILUX DIGITAL</v>
      </c>
      <c r="BP1662" t="str">
        <f>""</f>
        <v/>
      </c>
      <c r="BQ1662" t="str">
        <f>""</f>
        <v/>
      </c>
      <c r="BR1662" t="str">
        <f>"01/07/2021"</f>
        <v>01/07/2021</v>
      </c>
      <c r="BS1662" t="str">
        <f>"11/07/2023"</f>
        <v>11/07/2023</v>
      </c>
      <c r="BT1662" t="str">
        <f>""</f>
        <v/>
      </c>
      <c r="BU1662" t="str">
        <f>""</f>
        <v/>
      </c>
      <c r="BV1662" t="str">
        <f>""</f>
        <v/>
      </c>
      <c r="BW1662" t="str">
        <f>"18"</f>
        <v>18</v>
      </c>
    </row>
    <row r="1663" spans="1:75" x14ac:dyDescent="0.35">
      <c r="A1663">
        <v>137871</v>
      </c>
      <c r="B1663" t="str">
        <f t="shared" si="825"/>
        <v>A</v>
      </c>
      <c r="C1663" t="str">
        <f t="shared" si="826"/>
        <v>80</v>
      </c>
      <c r="D1663" t="str">
        <f t="shared" si="856"/>
        <v>11121004</v>
      </c>
      <c r="E1663" t="str">
        <f t="shared" si="857"/>
        <v>121004</v>
      </c>
      <c r="F1663" t="str">
        <f t="shared" si="858"/>
        <v>FABIANA GODOY</v>
      </c>
      <c r="G1663" t="str">
        <f>"80072176000198"</f>
        <v>80072176000198</v>
      </c>
      <c r="H1663" t="str">
        <f t="shared" si="863"/>
        <v>0</v>
      </c>
      <c r="I1663" t="str">
        <f t="shared" si="827"/>
        <v>CONTA OPTICA</v>
      </c>
      <c r="J1663" t="str">
        <f>"RELOJOARIA E OPTICA ONIX LTDA EPP"</f>
        <v>RELOJOARIA E OPTICA ONIX LTDA EPP</v>
      </c>
      <c r="K1663" t="str">
        <f>"RELOJOARIA E OPTICA ONIX (395)"</f>
        <v>RELOJOARIA E OPTICA ONIX (395)</v>
      </c>
      <c r="L1663" t="str">
        <f>""</f>
        <v/>
      </c>
      <c r="M1663" t="str">
        <f>""</f>
        <v/>
      </c>
      <c r="N1663" t="str">
        <f>"mara@onixbr.com.br"</f>
        <v>mara@onixbr.com.br</v>
      </c>
      <c r="O1663" t="str">
        <f>""</f>
        <v/>
      </c>
      <c r="P1663" t="str">
        <f>"RUA CORONEL ARISTILIANO RAMOS"</f>
        <v>RUA CORONEL ARISTILIANO RAMOS</v>
      </c>
      <c r="Q1663" t="str">
        <f>"282"</f>
        <v>282</v>
      </c>
      <c r="R1663" t="str">
        <f>""</f>
        <v/>
      </c>
      <c r="S1663" t="str">
        <f>"1274"</f>
        <v>1274</v>
      </c>
      <c r="T1663" t="str">
        <f>"89114442"</f>
        <v>89114442</v>
      </c>
      <c r="U1663" t="str">
        <f>"CENTRO"</f>
        <v>CENTRO</v>
      </c>
      <c r="V1663" t="str">
        <f>"GASPAR"</f>
        <v>GASPAR</v>
      </c>
      <c r="W1663" t="str">
        <f t="shared" si="855"/>
        <v>SC</v>
      </c>
      <c r="X1663" t="str">
        <f t="shared" si="847"/>
        <v>47</v>
      </c>
      <c r="Y1663" t="str">
        <f>"33322192"</f>
        <v>33322192</v>
      </c>
      <c r="Z1663" t="str">
        <f>""</f>
        <v/>
      </c>
      <c r="AA1663" t="str">
        <f>""</f>
        <v/>
      </c>
      <c r="AB1663" t="str">
        <f>""</f>
        <v/>
      </c>
      <c r="AC1663" t="str">
        <f>""</f>
        <v/>
      </c>
      <c r="AD1663" t="str">
        <f>""</f>
        <v/>
      </c>
      <c r="AE1663" t="str">
        <f>""</f>
        <v/>
      </c>
      <c r="AF1663" t="str">
        <f>""</f>
        <v/>
      </c>
      <c r="AG1663" t="str">
        <f>"S"</f>
        <v>S</v>
      </c>
      <c r="AH1663" t="str">
        <f>""</f>
        <v/>
      </c>
      <c r="AI1663" t="str">
        <f>""</f>
        <v/>
      </c>
      <c r="AJ1663" t="str">
        <f>""</f>
        <v/>
      </c>
      <c r="AK1663" t="str">
        <f>""</f>
        <v/>
      </c>
      <c r="AL1663" t="str">
        <f>""</f>
        <v/>
      </c>
      <c r="AM1663" t="str">
        <f>""</f>
        <v/>
      </c>
      <c r="AN1663" t="str">
        <f>""</f>
        <v/>
      </c>
      <c r="AO1663" t="str">
        <f>""</f>
        <v/>
      </c>
      <c r="AP1663" t="str">
        <f>""</f>
        <v/>
      </c>
      <c r="AQ1663" t="str">
        <f t="shared" si="864"/>
        <v>N</v>
      </c>
      <c r="AR1663" t="str">
        <f t="shared" si="864"/>
        <v>N</v>
      </c>
      <c r="AS1663" t="str">
        <f t="shared" si="864"/>
        <v>N</v>
      </c>
      <c r="AT1663" t="str">
        <f t="shared" si="864"/>
        <v>N</v>
      </c>
      <c r="AU1663" t="str">
        <f t="shared" si="864"/>
        <v>N</v>
      </c>
      <c r="AV1663" t="str">
        <f>""</f>
        <v/>
      </c>
      <c r="AW1663" t="str">
        <f>""</f>
        <v/>
      </c>
      <c r="AX1663" t="str">
        <f>""</f>
        <v/>
      </c>
      <c r="AY1663" t="str">
        <f>""</f>
        <v/>
      </c>
      <c r="AZ1663" t="str">
        <f>""</f>
        <v/>
      </c>
      <c r="BA1663" t="str">
        <f>""</f>
        <v/>
      </c>
      <c r="BB1663" t="str">
        <f>"01/07/2021 13:53:04"</f>
        <v>01/07/2021 13:53:04</v>
      </c>
      <c r="BC1663" t="str">
        <f>"18/04/2022 16:54:31"</f>
        <v>18/04/2022 16:54:31</v>
      </c>
      <c r="BD1663" t="str">
        <f>""</f>
        <v/>
      </c>
      <c r="BE1663" t="str">
        <f>""</f>
        <v/>
      </c>
      <c r="BF1663" t="str">
        <f t="shared" si="828"/>
        <v>A</v>
      </c>
      <c r="BG1663" t="str">
        <f>""</f>
        <v/>
      </c>
      <c r="BH1663" t="str">
        <f>"0,00"</f>
        <v>0,00</v>
      </c>
      <c r="BI1663" t="str">
        <f>"EVENTUAL"</f>
        <v>EVENTUAL</v>
      </c>
      <c r="BJ1663" t="str">
        <f t="shared" si="829"/>
        <v>1</v>
      </c>
      <c r="BK1663" t="str">
        <f t="shared" si="830"/>
        <v>Farmacia</v>
      </c>
      <c r="BL1663" t="str">
        <f>""</f>
        <v/>
      </c>
      <c r="BM1663" t="str">
        <f>"CREDENCIADO VARILUX"</f>
        <v>CREDENCIADO VARILUX</v>
      </c>
      <c r="BN1663" t="str">
        <f>"EL360"</f>
        <v>EL360</v>
      </c>
      <c r="BO1663" t="str">
        <f>"FOCO VARILUX DIGITAL"</f>
        <v>FOCO VARILUX DIGITAL</v>
      </c>
      <c r="BP1663" t="str">
        <f>""</f>
        <v/>
      </c>
      <c r="BQ1663" t="str">
        <f>""</f>
        <v/>
      </c>
      <c r="BR1663" t="str">
        <f>"01/07/2021"</f>
        <v>01/07/2021</v>
      </c>
      <c r="BS1663" t="str">
        <f>"18/04/2022"</f>
        <v>18/04/2022</v>
      </c>
      <c r="BT1663" t="str">
        <f>""</f>
        <v/>
      </c>
      <c r="BU1663" t="str">
        <f>""</f>
        <v/>
      </c>
      <c r="BV1663" t="str">
        <f>""</f>
        <v/>
      </c>
      <c r="BW1663" t="str">
        <f>"282"</f>
        <v>282</v>
      </c>
    </row>
    <row r="1664" spans="1:75" x14ac:dyDescent="0.35">
      <c r="A1664">
        <v>157080</v>
      </c>
      <c r="B1664" t="str">
        <f t="shared" si="825"/>
        <v>A</v>
      </c>
      <c r="C1664" t="str">
        <f t="shared" si="826"/>
        <v>80</v>
      </c>
      <c r="D1664" t="str">
        <f t="shared" si="856"/>
        <v>11121004</v>
      </c>
      <c r="E1664" t="str">
        <f t="shared" si="857"/>
        <v>121004</v>
      </c>
      <c r="F1664" t="str">
        <f t="shared" si="858"/>
        <v>FABIANA GODOY</v>
      </c>
      <c r="G1664" t="str">
        <f>"81302150000151"</f>
        <v>81302150000151</v>
      </c>
      <c r="H1664" t="str">
        <f t="shared" si="863"/>
        <v>0</v>
      </c>
      <c r="I1664" t="str">
        <f t="shared" si="827"/>
        <v>CONTA OPTICA</v>
      </c>
      <c r="J1664" t="str">
        <f>"RELOJOARIA E OPTICA PRISMA JOIAS LTDA - EPP"</f>
        <v>RELOJOARIA E OPTICA PRISMA JOIAS LTDA - EPP</v>
      </c>
      <c r="K1664" t="str">
        <f>"PRISMA JOIAS LTDA (1059)"</f>
        <v>PRISMA JOIAS LTDA (1059)</v>
      </c>
      <c r="L1664" t="str">
        <f>""</f>
        <v/>
      </c>
      <c r="M1664" t="str">
        <f>""</f>
        <v/>
      </c>
      <c r="N1664" t="str">
        <f>"contato@prismajoias.com.br"</f>
        <v>contato@prismajoias.com.br</v>
      </c>
      <c r="O1664" t="str">
        <f>""</f>
        <v/>
      </c>
      <c r="P1664" t="str">
        <f>"RUA CELSO RAMOS"</f>
        <v>RUA CELSO RAMOS</v>
      </c>
      <c r="Q1664" t="str">
        <f>"4450"</f>
        <v>4450</v>
      </c>
      <c r="R1664" t="str">
        <f>"SALA1"</f>
        <v>SALA1</v>
      </c>
      <c r="S1664" t="str">
        <f>"1275"</f>
        <v>1275</v>
      </c>
      <c r="T1664" t="str">
        <f>"89124000"</f>
        <v>89124000</v>
      </c>
      <c r="U1664" t="str">
        <f>"NAO INFORMADO"</f>
        <v>NAO INFORMADO</v>
      </c>
      <c r="V1664" t="str">
        <f>"BENEDITO NOVO"</f>
        <v>BENEDITO NOVO</v>
      </c>
      <c r="W1664" t="str">
        <f t="shared" si="855"/>
        <v>SC</v>
      </c>
      <c r="X1664" t="str">
        <f t="shared" si="847"/>
        <v>47</v>
      </c>
      <c r="Y1664" t="str">
        <f>"33850373"</f>
        <v>33850373</v>
      </c>
      <c r="Z1664" t="str">
        <f>""</f>
        <v/>
      </c>
      <c r="AA1664" t="str">
        <f>""</f>
        <v/>
      </c>
      <c r="AB1664" t="str">
        <f>""</f>
        <v/>
      </c>
      <c r="AC1664" t="str">
        <f>""</f>
        <v/>
      </c>
      <c r="AD1664" t="str">
        <f>""</f>
        <v/>
      </c>
      <c r="AE1664" t="str">
        <f>""</f>
        <v/>
      </c>
      <c r="AF1664" t="str">
        <f>""</f>
        <v/>
      </c>
      <c r="AG1664" t="str">
        <f>""</f>
        <v/>
      </c>
      <c r="AH1664" t="str">
        <f>""</f>
        <v/>
      </c>
      <c r="AI1664" t="str">
        <f>""</f>
        <v/>
      </c>
      <c r="AJ1664" t="str">
        <f>""</f>
        <v/>
      </c>
      <c r="AK1664" t="str">
        <f>""</f>
        <v/>
      </c>
      <c r="AL1664" t="str">
        <f>""</f>
        <v/>
      </c>
      <c r="AM1664" t="str">
        <f>""</f>
        <v/>
      </c>
      <c r="AN1664" t="str">
        <f>""</f>
        <v/>
      </c>
      <c r="AO1664" t="str">
        <f>""</f>
        <v/>
      </c>
      <c r="AP1664" t="str">
        <f>""</f>
        <v/>
      </c>
      <c r="AQ1664" t="str">
        <f>""</f>
        <v/>
      </c>
      <c r="AR1664" t="str">
        <f>""</f>
        <v/>
      </c>
      <c r="AS1664" t="str">
        <f>""</f>
        <v/>
      </c>
      <c r="AT1664" t="str">
        <f>""</f>
        <v/>
      </c>
      <c r="AU1664" t="str">
        <f>""</f>
        <v/>
      </c>
      <c r="AV1664" t="str">
        <f>""</f>
        <v/>
      </c>
      <c r="AW1664" t="str">
        <f>""</f>
        <v/>
      </c>
      <c r="AX1664" t="str">
        <f>""</f>
        <v/>
      </c>
      <c r="AY1664" t="str">
        <f>""</f>
        <v/>
      </c>
      <c r="AZ1664" t="str">
        <f>""</f>
        <v/>
      </c>
      <c r="BA1664" t="str">
        <f>""</f>
        <v/>
      </c>
      <c r="BB1664" t="str">
        <f>"06/07/2023 12:07:48"</f>
        <v>06/07/2023 12:07:48</v>
      </c>
      <c r="BC1664" t="str">
        <f>""</f>
        <v/>
      </c>
      <c r="BD1664" t="str">
        <f>""</f>
        <v/>
      </c>
      <c r="BE1664" t="str">
        <f>""</f>
        <v/>
      </c>
      <c r="BF1664" t="str">
        <f t="shared" si="828"/>
        <v>A</v>
      </c>
      <c r="BG1664" t="str">
        <f>""</f>
        <v/>
      </c>
      <c r="BH1664" t="str">
        <f>""</f>
        <v/>
      </c>
      <c r="BI1664" t="str">
        <f>"EVENTUAL"</f>
        <v>EVENTUAL</v>
      </c>
      <c r="BJ1664" t="str">
        <f t="shared" si="829"/>
        <v>1</v>
      </c>
      <c r="BK1664" t="str">
        <f t="shared" si="830"/>
        <v>Farmacia</v>
      </c>
      <c r="BL1664" t="str">
        <f>""</f>
        <v/>
      </c>
      <c r="BM1664" t="str">
        <f>""</f>
        <v/>
      </c>
      <c r="BN1664" t="str">
        <f>""</f>
        <v/>
      </c>
      <c r="BO1664" t="str">
        <f>""</f>
        <v/>
      </c>
      <c r="BP1664" t="str">
        <f>""</f>
        <v/>
      </c>
      <c r="BQ1664" t="str">
        <f>""</f>
        <v/>
      </c>
      <c r="BR1664" t="str">
        <f>"06/07/2023"</f>
        <v>06/07/2023</v>
      </c>
      <c r="BS1664" t="str">
        <f>""</f>
        <v/>
      </c>
      <c r="BT1664" t="str">
        <f>""</f>
        <v/>
      </c>
      <c r="BU1664" t="str">
        <f>""</f>
        <v/>
      </c>
      <c r="BV1664" t="str">
        <f>""</f>
        <v/>
      </c>
      <c r="BW1664" t="str">
        <f>"Não visitado"</f>
        <v>Não visitado</v>
      </c>
    </row>
    <row r="1665" spans="1:75" x14ac:dyDescent="0.35">
      <c r="A1665">
        <v>137873</v>
      </c>
      <c r="B1665" t="str">
        <f t="shared" si="825"/>
        <v>A</v>
      </c>
      <c r="C1665" t="str">
        <f t="shared" si="826"/>
        <v>80</v>
      </c>
      <c r="D1665" t="str">
        <f t="shared" si="856"/>
        <v>11121004</v>
      </c>
      <c r="E1665" t="str">
        <f t="shared" si="857"/>
        <v>121004</v>
      </c>
      <c r="F1665" t="str">
        <f t="shared" si="858"/>
        <v>FABIANA GODOY</v>
      </c>
      <c r="G1665" t="str">
        <f>"12081325000125"</f>
        <v>12081325000125</v>
      </c>
      <c r="H1665" t="str">
        <f t="shared" si="863"/>
        <v>0</v>
      </c>
      <c r="I1665" t="str">
        <f t="shared" si="827"/>
        <v>CONTA OPTICA</v>
      </c>
      <c r="J1665" t="str">
        <f>"RELOJOARIA E OPTICA SANTOS XAVIER LTDA ME"</f>
        <v>RELOJOARIA E OPTICA SANTOS XAVIER LTDA ME</v>
      </c>
      <c r="K1665" t="str">
        <f>"OPTICA ALINE (1748)"</f>
        <v>OPTICA ALINE (1748)</v>
      </c>
      <c r="L1665" t="str">
        <f>""</f>
        <v/>
      </c>
      <c r="M1665" t="str">
        <f>""</f>
        <v/>
      </c>
      <c r="N1665" t="str">
        <f>"oticaaline@hotmail.com"</f>
        <v>oticaaline@hotmail.com</v>
      </c>
      <c r="O1665" t="str">
        <f>""</f>
        <v/>
      </c>
      <c r="P1665" t="str">
        <f>"AVENIDA GOVERNADOR CELSO RAMOS"</f>
        <v>AVENIDA GOVERNADOR CELSO RAMOS</v>
      </c>
      <c r="Q1665" t="str">
        <f>"2639"</f>
        <v>2639</v>
      </c>
      <c r="R1665" t="str">
        <f>"SL 01"</f>
        <v>SL 01</v>
      </c>
      <c r="S1665" t="str">
        <f>"1260"</f>
        <v>1260</v>
      </c>
      <c r="T1665" t="str">
        <f>"88210000"</f>
        <v>88210000</v>
      </c>
      <c r="U1665" t="str">
        <f>"CENTRO"</f>
        <v>CENTRO</v>
      </c>
      <c r="V1665" t="str">
        <f>"PORTO BELO"</f>
        <v>PORTO BELO</v>
      </c>
      <c r="W1665" t="str">
        <f t="shared" si="855"/>
        <v>SC</v>
      </c>
      <c r="X1665" t="str">
        <f t="shared" si="847"/>
        <v>47</v>
      </c>
      <c r="Y1665" t="str">
        <f>"33694206"</f>
        <v>33694206</v>
      </c>
      <c r="Z1665" t="str">
        <f>""</f>
        <v/>
      </c>
      <c r="AA1665" t="str">
        <f>""</f>
        <v/>
      </c>
      <c r="AB1665" t="str">
        <f>""</f>
        <v/>
      </c>
      <c r="AC1665" t="str">
        <f>""</f>
        <v/>
      </c>
      <c r="AD1665" t="str">
        <f>""</f>
        <v/>
      </c>
      <c r="AE1665" t="str">
        <f>""</f>
        <v/>
      </c>
      <c r="AF1665" t="str">
        <f>""</f>
        <v/>
      </c>
      <c r="AG1665" t="str">
        <f>"S"</f>
        <v>S</v>
      </c>
      <c r="AH1665" t="str">
        <f>""</f>
        <v/>
      </c>
      <c r="AI1665" t="str">
        <f>""</f>
        <v/>
      </c>
      <c r="AJ1665" t="str">
        <f>""</f>
        <v/>
      </c>
      <c r="AK1665" t="str">
        <f>""</f>
        <v/>
      </c>
      <c r="AL1665" t="str">
        <f>""</f>
        <v/>
      </c>
      <c r="AM1665" t="str">
        <f>""</f>
        <v/>
      </c>
      <c r="AN1665" t="str">
        <f>""</f>
        <v/>
      </c>
      <c r="AO1665" t="str">
        <f>""</f>
        <v/>
      </c>
      <c r="AP1665" t="str">
        <f>""</f>
        <v/>
      </c>
      <c r="AQ1665" t="str">
        <f>"N"</f>
        <v>N</v>
      </c>
      <c r="AR1665" t="str">
        <f>"N"</f>
        <v>N</v>
      </c>
      <c r="AS1665" t="str">
        <f>"N"</f>
        <v>N</v>
      </c>
      <c r="AT1665" t="str">
        <f>"N"</f>
        <v>N</v>
      </c>
      <c r="AU1665" t="str">
        <f>"N"</f>
        <v>N</v>
      </c>
      <c r="AV1665" t="str">
        <f>""</f>
        <v/>
      </c>
      <c r="AW1665" t="str">
        <f>""</f>
        <v/>
      </c>
      <c r="AX1665" t="str">
        <f>""</f>
        <v/>
      </c>
      <c r="AY1665" t="str">
        <f>""</f>
        <v/>
      </c>
      <c r="AZ1665" t="str">
        <f>""</f>
        <v/>
      </c>
      <c r="BA1665" t="str">
        <f>""</f>
        <v/>
      </c>
      <c r="BB1665" t="str">
        <f>"01/07/2021 13:53:04"</f>
        <v>01/07/2021 13:53:04</v>
      </c>
      <c r="BC1665" t="str">
        <f>"05/04/2022 15:43:39"</f>
        <v>05/04/2022 15:43:39</v>
      </c>
      <c r="BD1665" t="str">
        <f>""</f>
        <v/>
      </c>
      <c r="BE1665" t="str">
        <f>""</f>
        <v/>
      </c>
      <c r="BF1665" t="str">
        <f t="shared" si="828"/>
        <v>A</v>
      </c>
      <c r="BG1665" t="str">
        <f>""</f>
        <v/>
      </c>
      <c r="BH1665" t="str">
        <f t="shared" ref="BH1665:BH1674" si="865">"0,00"</f>
        <v>0,00</v>
      </c>
      <c r="BI1665" t="str">
        <f>"EVENTUAL"</f>
        <v>EVENTUAL</v>
      </c>
      <c r="BJ1665" t="str">
        <f t="shared" si="829"/>
        <v>1</v>
      </c>
      <c r="BK1665" t="str">
        <f t="shared" si="830"/>
        <v>Farmacia</v>
      </c>
      <c r="BL1665" t="str">
        <f>""</f>
        <v/>
      </c>
      <c r="BM1665" t="str">
        <f>"NÃO É VARILUX ESPECIALISTA"</f>
        <v>NÃO É VARILUX ESPECIALISTA</v>
      </c>
      <c r="BN1665" t="str">
        <f t="shared" ref="BN1665:BN1674" si="866">"NA"</f>
        <v>NA</v>
      </c>
      <c r="BO1665" t="str">
        <f>"FOCO VARILUX"</f>
        <v>FOCO VARILUX</v>
      </c>
      <c r="BP1665" t="str">
        <f>""</f>
        <v/>
      </c>
      <c r="BQ1665" t="str">
        <f>""</f>
        <v/>
      </c>
      <c r="BR1665" t="str">
        <f>"01/07/2021"</f>
        <v>01/07/2021</v>
      </c>
      <c r="BS1665" t="str">
        <f>"05/04/2022"</f>
        <v>05/04/2022</v>
      </c>
      <c r="BT1665" t="str">
        <f>""</f>
        <v/>
      </c>
      <c r="BU1665" t="str">
        <f>""</f>
        <v/>
      </c>
      <c r="BV1665" t="str">
        <f>""</f>
        <v/>
      </c>
      <c r="BW1665" t="str">
        <f>"184"</f>
        <v>184</v>
      </c>
    </row>
    <row r="1666" spans="1:75" x14ac:dyDescent="0.35">
      <c r="A1666">
        <v>132272</v>
      </c>
      <c r="B1666" t="str">
        <f t="shared" ref="B1666:B1729" si="867">"A"</f>
        <v>A</v>
      </c>
      <c r="C1666" t="str">
        <f t="shared" ref="C1666:C1729" si="868">"80"</f>
        <v>80</v>
      </c>
      <c r="D1666" t="str">
        <f t="shared" si="856"/>
        <v>11121004</v>
      </c>
      <c r="E1666" t="str">
        <f t="shared" si="857"/>
        <v>121004</v>
      </c>
      <c r="F1666" t="str">
        <f t="shared" si="858"/>
        <v>FABIANA GODOY</v>
      </c>
      <c r="G1666" t="str">
        <f>"08360899000246"</f>
        <v>08360899000246</v>
      </c>
      <c r="H1666" t="str">
        <f t="shared" si="863"/>
        <v>0</v>
      </c>
      <c r="I1666" t="str">
        <f t="shared" ref="I1666:I1729" si="869">"CONTA OPTICA"</f>
        <v>CONTA OPTICA</v>
      </c>
      <c r="J1666" t="str">
        <f>"RELOJOARIA E OPTICA VITRINE LTDA"</f>
        <v>RELOJOARIA E OPTICA VITRINE LTDA</v>
      </c>
      <c r="K1666" t="str">
        <f>"OTICA VITRINE (4209)"</f>
        <v>OTICA VITRINE (4209)</v>
      </c>
      <c r="L1666" t="str">
        <f>""</f>
        <v/>
      </c>
      <c r="M1666" t="str">
        <f>""</f>
        <v/>
      </c>
      <c r="N1666" t="str">
        <f>"opticavitrine@gmail.com"</f>
        <v>opticavitrine@gmail.com</v>
      </c>
      <c r="O1666" t="str">
        <f>""</f>
        <v/>
      </c>
      <c r="P1666" t="str">
        <f>"RUA BENJAMIN CONSTANT"</f>
        <v>RUA BENJAMIN CONSTANT</v>
      </c>
      <c r="Q1666" t="str">
        <f>"2670"</f>
        <v>2670</v>
      </c>
      <c r="R1666" t="str">
        <f>"SALA 03"</f>
        <v>SALA 03</v>
      </c>
      <c r="S1666" t="str">
        <f>""</f>
        <v/>
      </c>
      <c r="T1666" t="str">
        <f>"89035100"</f>
        <v>89035100</v>
      </c>
      <c r="U1666" t="str">
        <f>"VILA NOVA"</f>
        <v>VILA NOVA</v>
      </c>
      <c r="V1666" t="str">
        <f>"BLUMENAU"</f>
        <v>BLUMENAU</v>
      </c>
      <c r="W1666" t="str">
        <f t="shared" si="855"/>
        <v>SC</v>
      </c>
      <c r="X1666" t="str">
        <f t="shared" si="847"/>
        <v>47</v>
      </c>
      <c r="Y1666" t="str">
        <f>"33277166"</f>
        <v>33277166</v>
      </c>
      <c r="Z1666" t="str">
        <f>""</f>
        <v/>
      </c>
      <c r="AA1666" t="str">
        <f>""</f>
        <v/>
      </c>
      <c r="AB1666" t="str">
        <f>""</f>
        <v/>
      </c>
      <c r="AC1666" t="str">
        <f>""</f>
        <v/>
      </c>
      <c r="AD1666" t="str">
        <f>""</f>
        <v/>
      </c>
      <c r="AE1666" t="str">
        <f>""</f>
        <v/>
      </c>
      <c r="AF1666" t="str">
        <f>""</f>
        <v/>
      </c>
      <c r="AG1666" t="str">
        <f>""</f>
        <v/>
      </c>
      <c r="AH1666" t="str">
        <f>""</f>
        <v/>
      </c>
      <c r="AI1666" t="str">
        <f>""</f>
        <v/>
      </c>
      <c r="AJ1666" t="str">
        <f t="shared" ref="AJ1666:AL1668" si="870">"0"</f>
        <v>0</v>
      </c>
      <c r="AK1666" t="str">
        <f t="shared" si="870"/>
        <v>0</v>
      </c>
      <c r="AL1666" t="str">
        <f t="shared" si="870"/>
        <v>0</v>
      </c>
      <c r="AM1666" t="str">
        <f>""</f>
        <v/>
      </c>
      <c r="AN1666" t="str">
        <f>""</f>
        <v/>
      </c>
      <c r="AO1666" t="str">
        <f>""</f>
        <v/>
      </c>
      <c r="AP1666" t="str">
        <f>""</f>
        <v/>
      </c>
      <c r="AQ1666" t="str">
        <f>""</f>
        <v/>
      </c>
      <c r="AR1666" t="str">
        <f>""</f>
        <v/>
      </c>
      <c r="AS1666" t="str">
        <f>""</f>
        <v/>
      </c>
      <c r="AT1666" t="str">
        <f>""</f>
        <v/>
      </c>
      <c r="AU1666" t="str">
        <f>""</f>
        <v/>
      </c>
      <c r="AV1666" t="str">
        <f>""</f>
        <v/>
      </c>
      <c r="AW1666" t="str">
        <f>""</f>
        <v/>
      </c>
      <c r="AX1666" t="str">
        <f>""</f>
        <v/>
      </c>
      <c r="AY1666" t="str">
        <f>""</f>
        <v/>
      </c>
      <c r="AZ1666" t="str">
        <f>""</f>
        <v/>
      </c>
      <c r="BA1666" t="str">
        <f>""</f>
        <v/>
      </c>
      <c r="BB1666" t="str">
        <f>"03/11/2020 19:36:10"</f>
        <v>03/11/2020 19:36:10</v>
      </c>
      <c r="BC1666" t="str">
        <f>""</f>
        <v/>
      </c>
      <c r="BD1666" t="str">
        <f>""</f>
        <v/>
      </c>
      <c r="BE1666" t="str">
        <f>""</f>
        <v/>
      </c>
      <c r="BF1666" t="str">
        <f t="shared" ref="BF1666:BF1729" si="871">"A"</f>
        <v>A</v>
      </c>
      <c r="BG1666" t="str">
        <f>"0,00"</f>
        <v>0,00</v>
      </c>
      <c r="BH1666" t="str">
        <f t="shared" si="865"/>
        <v>0,00</v>
      </c>
      <c r="BI1666" t="str">
        <f>"EVENTUAL"</f>
        <v>EVENTUAL</v>
      </c>
      <c r="BJ1666" t="str">
        <f t="shared" ref="BJ1666:BJ1729" si="872">"1"</f>
        <v>1</v>
      </c>
      <c r="BK1666" t="str">
        <f t="shared" ref="BK1666:BK1729" si="873">"Farmacia"</f>
        <v>Farmacia</v>
      </c>
      <c r="BL1666" t="str">
        <f>""</f>
        <v/>
      </c>
      <c r="BM1666" t="str">
        <f>"NÃO É VARILUX ESPECIALISTA"</f>
        <v>NÃO É VARILUX ESPECIALISTA</v>
      </c>
      <c r="BN1666" t="str">
        <f t="shared" si="866"/>
        <v>NA</v>
      </c>
      <c r="BO1666" t="str">
        <f>"FOCO VARILUX"</f>
        <v>FOCO VARILUX</v>
      </c>
      <c r="BP1666" t="str">
        <f>""</f>
        <v/>
      </c>
      <c r="BQ1666" t="str">
        <f>""</f>
        <v/>
      </c>
      <c r="BR1666" t="str">
        <f>"03/11/2020"</f>
        <v>03/11/2020</v>
      </c>
      <c r="BS1666" t="str">
        <f>""</f>
        <v/>
      </c>
      <c r="BT1666" t="str">
        <f>""</f>
        <v/>
      </c>
      <c r="BU1666" t="str">
        <f>""</f>
        <v/>
      </c>
      <c r="BV1666" t="str">
        <f>"9"</f>
        <v>9</v>
      </c>
      <c r="BW1666" t="str">
        <f>"Não visitado"</f>
        <v>Não visitado</v>
      </c>
    </row>
    <row r="1667" spans="1:75" x14ac:dyDescent="0.35">
      <c r="A1667">
        <v>1313</v>
      </c>
      <c r="B1667" t="str">
        <f t="shared" si="867"/>
        <v>A</v>
      </c>
      <c r="C1667" t="str">
        <f t="shared" si="868"/>
        <v>80</v>
      </c>
      <c r="D1667" t="str">
        <f t="shared" si="856"/>
        <v>11121004</v>
      </c>
      <c r="E1667" t="str">
        <f t="shared" si="857"/>
        <v>121004</v>
      </c>
      <c r="F1667" t="str">
        <f t="shared" si="858"/>
        <v>FABIANA GODOY</v>
      </c>
      <c r="G1667" t="str">
        <f>"08360899000165"</f>
        <v>08360899000165</v>
      </c>
      <c r="H1667" t="str">
        <f>""</f>
        <v/>
      </c>
      <c r="I1667" t="str">
        <f t="shared" si="869"/>
        <v>CONTA OPTICA</v>
      </c>
      <c r="J1667" t="str">
        <f>"RELOJOARIA E OPTICA VITRINE LTDA ME"</f>
        <v>RELOJOARIA E OPTICA VITRINE LTDA ME</v>
      </c>
      <c r="K1667" t="str">
        <f>"OTICA VITRINE (951)"</f>
        <v>OTICA VITRINE (951)</v>
      </c>
      <c r="L1667" t="str">
        <f>""</f>
        <v/>
      </c>
      <c r="M1667" t="str">
        <f>""</f>
        <v/>
      </c>
      <c r="N1667" t="str">
        <f>"joalheriavitrine@brturbo.com.br"</f>
        <v>joalheriavitrine@brturbo.com.br</v>
      </c>
      <c r="O1667" t="str">
        <f>""</f>
        <v/>
      </c>
      <c r="P1667" t="str">
        <f>"RUA BENJAMIN CONSTANT"</f>
        <v>RUA BENJAMIN CONSTANT</v>
      </c>
      <c r="Q1667" t="str">
        <f>"484"</f>
        <v>484</v>
      </c>
      <c r="R1667" t="str">
        <f>""</f>
        <v/>
      </c>
      <c r="S1667" t="str">
        <f>"1273"</f>
        <v>1273</v>
      </c>
      <c r="T1667" t="str">
        <f>"89031200"</f>
        <v>89031200</v>
      </c>
      <c r="U1667" t="str">
        <f>"ASILO"</f>
        <v>ASILO</v>
      </c>
      <c r="V1667" t="str">
        <f>"BLUMENAU"</f>
        <v>BLUMENAU</v>
      </c>
      <c r="W1667" t="str">
        <f t="shared" si="855"/>
        <v>SC</v>
      </c>
      <c r="X1667" t="str">
        <f t="shared" si="847"/>
        <v>47</v>
      </c>
      <c r="Y1667" t="str">
        <f>"33270398"</f>
        <v>33270398</v>
      </c>
      <c r="Z1667" t="str">
        <f>""</f>
        <v/>
      </c>
      <c r="AA1667" t="str">
        <f>""</f>
        <v/>
      </c>
      <c r="AB1667" t="str">
        <f>""</f>
        <v/>
      </c>
      <c r="AC1667" t="str">
        <f>""</f>
        <v/>
      </c>
      <c r="AD1667" t="str">
        <f>""</f>
        <v/>
      </c>
      <c r="AE1667" t="str">
        <f>""</f>
        <v/>
      </c>
      <c r="AF1667" t="str">
        <f>""</f>
        <v/>
      </c>
      <c r="AG1667" t="str">
        <f>""</f>
        <v/>
      </c>
      <c r="AH1667" t="str">
        <f>""</f>
        <v/>
      </c>
      <c r="AI1667" t="str">
        <f>""</f>
        <v/>
      </c>
      <c r="AJ1667" t="str">
        <f t="shared" si="870"/>
        <v>0</v>
      </c>
      <c r="AK1667" t="str">
        <f t="shared" si="870"/>
        <v>0</v>
      </c>
      <c r="AL1667" t="str">
        <f t="shared" si="870"/>
        <v>0</v>
      </c>
      <c r="AM1667" t="str">
        <f>""</f>
        <v/>
      </c>
      <c r="AN1667" t="str">
        <f>""</f>
        <v/>
      </c>
      <c r="AO1667" t="str">
        <f>""</f>
        <v/>
      </c>
      <c r="AP1667" t="str">
        <f>""</f>
        <v/>
      </c>
      <c r="AQ1667" t="str">
        <f>""</f>
        <v/>
      </c>
      <c r="AR1667" t="str">
        <f>""</f>
        <v/>
      </c>
      <c r="AS1667" t="str">
        <f>""</f>
        <v/>
      </c>
      <c r="AT1667" t="str">
        <f>""</f>
        <v/>
      </c>
      <c r="AU1667" t="str">
        <f>""</f>
        <v/>
      </c>
      <c r="AV1667" t="str">
        <f>""</f>
        <v/>
      </c>
      <c r="AW1667" t="str">
        <f>""</f>
        <v/>
      </c>
      <c r="AX1667" t="str">
        <f>""</f>
        <v/>
      </c>
      <c r="AY1667" t="str">
        <f>""</f>
        <v/>
      </c>
      <c r="AZ1667" t="str">
        <f>""</f>
        <v/>
      </c>
      <c r="BA1667" t="str">
        <f>""</f>
        <v/>
      </c>
      <c r="BB1667" t="str">
        <f>"27/07/2018 09:26:14"</f>
        <v>27/07/2018 09:26:14</v>
      </c>
      <c r="BC1667" t="str">
        <f>""</f>
        <v/>
      </c>
      <c r="BD1667" t="str">
        <f>""</f>
        <v/>
      </c>
      <c r="BE1667" t="str">
        <f>"1313"</f>
        <v>1313</v>
      </c>
      <c r="BF1667" t="str">
        <f t="shared" si="871"/>
        <v>A</v>
      </c>
      <c r="BG1667" t="str">
        <f>"0,00"</f>
        <v>0,00</v>
      </c>
      <c r="BH1667" t="str">
        <f t="shared" si="865"/>
        <v>0,00</v>
      </c>
      <c r="BI1667" t="str">
        <f>"EVENTUAL"</f>
        <v>EVENTUAL</v>
      </c>
      <c r="BJ1667" t="str">
        <f t="shared" si="872"/>
        <v>1</v>
      </c>
      <c r="BK1667" t="str">
        <f t="shared" si="873"/>
        <v>Farmacia</v>
      </c>
      <c r="BL1667" t="str">
        <f>""</f>
        <v/>
      </c>
      <c r="BM1667" t="str">
        <f>"VARILUX ESPECIALISTA SELECT"</f>
        <v>VARILUX ESPECIALISTA SELECT</v>
      </c>
      <c r="BN1667" t="str">
        <f t="shared" si="866"/>
        <v>NA</v>
      </c>
      <c r="BO1667" t="str">
        <f>"FOCO VARILUX"</f>
        <v>FOCO VARILUX</v>
      </c>
      <c r="BP1667" t="str">
        <f>""</f>
        <v/>
      </c>
      <c r="BQ1667" t="str">
        <f>""</f>
        <v/>
      </c>
      <c r="BR1667" t="str">
        <f>"27/07/2018"</f>
        <v>27/07/2018</v>
      </c>
      <c r="BS1667" t="str">
        <f>""</f>
        <v/>
      </c>
      <c r="BT1667" t="str">
        <f>""</f>
        <v/>
      </c>
      <c r="BU1667" t="str">
        <f>""</f>
        <v/>
      </c>
      <c r="BV1667" t="str">
        <f>"5"</f>
        <v>5</v>
      </c>
      <c r="BW1667" t="str">
        <f>"2"</f>
        <v>2</v>
      </c>
    </row>
    <row r="1668" spans="1:75" x14ac:dyDescent="0.35">
      <c r="A1668">
        <v>1247</v>
      </c>
      <c r="B1668" t="str">
        <f t="shared" si="867"/>
        <v>A</v>
      </c>
      <c r="C1668" t="str">
        <f t="shared" si="868"/>
        <v>80</v>
      </c>
      <c r="D1668" t="str">
        <f t="shared" si="856"/>
        <v>11121004</v>
      </c>
      <c r="E1668" t="str">
        <f t="shared" si="857"/>
        <v>121004</v>
      </c>
      <c r="F1668" t="str">
        <f t="shared" si="858"/>
        <v>FABIANA GODOY</v>
      </c>
      <c r="G1668" t="str">
        <f>"02430887000183"</f>
        <v>02430887000183</v>
      </c>
      <c r="H1668" t="str">
        <f>""</f>
        <v/>
      </c>
      <c r="I1668" t="str">
        <f t="shared" si="869"/>
        <v>CONTA OPTICA</v>
      </c>
      <c r="J1668" t="str">
        <f>"RELOJOARIA E OPTICA VOIGTLAENDER LTDA - ME"</f>
        <v>RELOJOARIA E OPTICA VOIGTLAENDER LTDA - ME</v>
      </c>
      <c r="K1668" t="str">
        <f>"OPTICA RELOJOIAS (1456)"</f>
        <v>OPTICA RELOJOIAS (1456)</v>
      </c>
      <c r="L1668" t="str">
        <f>""</f>
        <v/>
      </c>
      <c r="M1668" t="str">
        <f>""</f>
        <v/>
      </c>
      <c r="N1668" t="str">
        <f>"oticarelojoias@yahoo.com.br"</f>
        <v>oticarelojoias@yahoo.com.br</v>
      </c>
      <c r="O1668" t="str">
        <f>""</f>
        <v/>
      </c>
      <c r="P1668" t="str">
        <f>"RUA LUIZ ABRY"</f>
        <v>RUA LUIZ ABRY</v>
      </c>
      <c r="Q1668" t="str">
        <f>"383"</f>
        <v>383</v>
      </c>
      <c r="R1668" t="str">
        <f>""</f>
        <v/>
      </c>
      <c r="S1668" t="str">
        <f>"1273"</f>
        <v>1273</v>
      </c>
      <c r="T1668" t="str">
        <f>"89107000"</f>
        <v>89107000</v>
      </c>
      <c r="U1668" t="str">
        <f>"CENTRO"</f>
        <v>CENTRO</v>
      </c>
      <c r="V1668" t="str">
        <f>"POMERODE"</f>
        <v>POMERODE</v>
      </c>
      <c r="W1668" t="str">
        <f t="shared" si="855"/>
        <v>SC</v>
      </c>
      <c r="X1668" t="str">
        <f t="shared" si="847"/>
        <v>47</v>
      </c>
      <c r="Y1668" t="str">
        <f>"33870902"</f>
        <v>33870902</v>
      </c>
      <c r="Z1668" t="str">
        <f>""</f>
        <v/>
      </c>
      <c r="AA1668" t="str">
        <f>""</f>
        <v/>
      </c>
      <c r="AB1668" t="str">
        <f>""</f>
        <v/>
      </c>
      <c r="AC1668" t="str">
        <f>""</f>
        <v/>
      </c>
      <c r="AD1668" t="str">
        <f>""</f>
        <v/>
      </c>
      <c r="AE1668" t="str">
        <f>""</f>
        <v/>
      </c>
      <c r="AF1668" t="str">
        <f>""</f>
        <v/>
      </c>
      <c r="AG1668" t="str">
        <f t="shared" ref="AG1668:AG1673" si="874">"S"</f>
        <v>S</v>
      </c>
      <c r="AH1668" t="str">
        <f>""</f>
        <v/>
      </c>
      <c r="AI1668" t="str">
        <f>""</f>
        <v/>
      </c>
      <c r="AJ1668" t="str">
        <f t="shared" si="870"/>
        <v>0</v>
      </c>
      <c r="AK1668" t="str">
        <f t="shared" si="870"/>
        <v>0</v>
      </c>
      <c r="AL1668" t="str">
        <f t="shared" si="870"/>
        <v>0</v>
      </c>
      <c r="AM1668" t="str">
        <f>""</f>
        <v/>
      </c>
      <c r="AN1668" t="str">
        <f>""</f>
        <v/>
      </c>
      <c r="AO1668" t="str">
        <f>""</f>
        <v/>
      </c>
      <c r="AP1668" t="str">
        <f>""</f>
        <v/>
      </c>
      <c r="AQ1668" t="str">
        <f t="shared" ref="AQ1668:AU1673" si="875">"N"</f>
        <v>N</v>
      </c>
      <c r="AR1668" t="str">
        <f t="shared" si="875"/>
        <v>N</v>
      </c>
      <c r="AS1668" t="str">
        <f t="shared" si="875"/>
        <v>N</v>
      </c>
      <c r="AT1668" t="str">
        <f t="shared" si="875"/>
        <v>N</v>
      </c>
      <c r="AU1668" t="str">
        <f t="shared" si="875"/>
        <v>N</v>
      </c>
      <c r="AV1668" t="str">
        <f>""</f>
        <v/>
      </c>
      <c r="AW1668" t="str">
        <f>""</f>
        <v/>
      </c>
      <c r="AX1668" t="str">
        <f>""</f>
        <v/>
      </c>
      <c r="AY1668" t="str">
        <f>""</f>
        <v/>
      </c>
      <c r="AZ1668" t="str">
        <f>""</f>
        <v/>
      </c>
      <c r="BA1668" t="str">
        <f>""</f>
        <v/>
      </c>
      <c r="BB1668" t="str">
        <f>"27/07/2018 09:26:11"</f>
        <v>27/07/2018 09:26:11</v>
      </c>
      <c r="BC1668" t="str">
        <f>"21/07/2023 10:17:22"</f>
        <v>21/07/2023 10:17:22</v>
      </c>
      <c r="BD1668" t="str">
        <f>""</f>
        <v/>
      </c>
      <c r="BE1668" t="str">
        <f>"1247"</f>
        <v>1247</v>
      </c>
      <c r="BF1668" t="str">
        <f t="shared" si="871"/>
        <v>A</v>
      </c>
      <c r="BG1668" t="str">
        <f>"0,00"</f>
        <v>0,00</v>
      </c>
      <c r="BH1668" t="str">
        <f t="shared" si="865"/>
        <v>0,00</v>
      </c>
      <c r="BI1668" t="str">
        <f>"MENSAL"</f>
        <v>MENSAL</v>
      </c>
      <c r="BJ1668" t="str">
        <f t="shared" si="872"/>
        <v>1</v>
      </c>
      <c r="BK1668" t="str">
        <f t="shared" si="873"/>
        <v>Farmacia</v>
      </c>
      <c r="BL1668" t="str">
        <f>""</f>
        <v/>
      </c>
      <c r="BM1668" t="str">
        <f>"NÃO É VARILUX ESPECIALISTA"</f>
        <v>NÃO É VARILUX ESPECIALISTA</v>
      </c>
      <c r="BN1668" t="str">
        <f t="shared" si="866"/>
        <v>NA</v>
      </c>
      <c r="BO1668" t="str">
        <f>"FOCO VARILUX DIGITAL"</f>
        <v>FOCO VARILUX DIGITAL</v>
      </c>
      <c r="BP1668" t="str">
        <f>""</f>
        <v/>
      </c>
      <c r="BQ1668" t="str">
        <f>""</f>
        <v/>
      </c>
      <c r="BR1668" t="str">
        <f>"27/07/2018"</f>
        <v>27/07/2018</v>
      </c>
      <c r="BS1668" t="str">
        <f>"21/07/2023"</f>
        <v>21/07/2023</v>
      </c>
      <c r="BT1668" t="str">
        <f>""</f>
        <v/>
      </c>
      <c r="BU1668" t="str">
        <f>""</f>
        <v/>
      </c>
      <c r="BV1668" t="str">
        <f>"5"</f>
        <v>5</v>
      </c>
      <c r="BW1668" t="str">
        <f>"16"</f>
        <v>16</v>
      </c>
    </row>
    <row r="1669" spans="1:75" x14ac:dyDescent="0.35">
      <c r="A1669">
        <v>137877</v>
      </c>
      <c r="B1669" t="str">
        <f t="shared" si="867"/>
        <v>A</v>
      </c>
      <c r="C1669" t="str">
        <f t="shared" si="868"/>
        <v>80</v>
      </c>
      <c r="D1669" t="str">
        <f t="shared" si="856"/>
        <v>11121004</v>
      </c>
      <c r="E1669" t="str">
        <f t="shared" si="857"/>
        <v>121004</v>
      </c>
      <c r="F1669" t="str">
        <f t="shared" si="858"/>
        <v>FABIANA GODOY</v>
      </c>
      <c r="G1669" t="str">
        <f>"78668316000143"</f>
        <v>78668316000143</v>
      </c>
      <c r="H1669" t="str">
        <f>"0"</f>
        <v>0</v>
      </c>
      <c r="I1669" t="str">
        <f t="shared" si="869"/>
        <v>CONTA OPTICA</v>
      </c>
      <c r="J1669" t="str">
        <f>"RELOJOARIA E OTICA CAMBORIU LTDA  ME"</f>
        <v>RELOJOARIA E OTICA CAMBORIU LTDA  ME</v>
      </c>
      <c r="K1669" t="str">
        <f>"RELOJOARIA E OTICA CAMBORIU LTDA ME (94)"</f>
        <v>RELOJOARIA E OTICA CAMBORIU LTDA ME (94)</v>
      </c>
      <c r="L1669" t="str">
        <f>""</f>
        <v/>
      </c>
      <c r="M1669" t="str">
        <f>""</f>
        <v/>
      </c>
      <c r="N1669" t="str">
        <f>""</f>
        <v/>
      </c>
      <c r="O1669" t="str">
        <f>""</f>
        <v/>
      </c>
      <c r="P1669" t="str">
        <f>"RUA GUSTAVO RICHARD"</f>
        <v>RUA GUSTAVO RICHARD</v>
      </c>
      <c r="Q1669" t="str">
        <f>"17"</f>
        <v>17</v>
      </c>
      <c r="R1669" t="str">
        <f>"SALA 01"</f>
        <v>SALA 01</v>
      </c>
      <c r="S1669" t="str">
        <f>"1262"</f>
        <v>1262</v>
      </c>
      <c r="T1669" t="str">
        <f>"88340281"</f>
        <v>88340281</v>
      </c>
      <c r="U1669" t="str">
        <f>"CENTRO"</f>
        <v>CENTRO</v>
      </c>
      <c r="V1669" t="str">
        <f>"CAMBORIÚ"</f>
        <v>CAMBORIÚ</v>
      </c>
      <c r="W1669" t="str">
        <f t="shared" si="855"/>
        <v>SC</v>
      </c>
      <c r="X1669" t="str">
        <f t="shared" si="847"/>
        <v>47</v>
      </c>
      <c r="Y1669" t="str">
        <f>"33652996"</f>
        <v>33652996</v>
      </c>
      <c r="Z1669" t="str">
        <f>""</f>
        <v/>
      </c>
      <c r="AA1669" t="str">
        <f>""</f>
        <v/>
      </c>
      <c r="AB1669" t="str">
        <f>""</f>
        <v/>
      </c>
      <c r="AC1669" t="str">
        <f>""</f>
        <v/>
      </c>
      <c r="AD1669" t="str">
        <f>""</f>
        <v/>
      </c>
      <c r="AE1669" t="str">
        <f>""</f>
        <v/>
      </c>
      <c r="AF1669" t="str">
        <f>""</f>
        <v/>
      </c>
      <c r="AG1669" t="str">
        <f t="shared" si="874"/>
        <v>S</v>
      </c>
      <c r="AH1669" t="str">
        <f>""</f>
        <v/>
      </c>
      <c r="AI1669" t="str">
        <f>""</f>
        <v/>
      </c>
      <c r="AJ1669" t="str">
        <f>""</f>
        <v/>
      </c>
      <c r="AK1669" t="str">
        <f>""</f>
        <v/>
      </c>
      <c r="AL1669" t="str">
        <f>""</f>
        <v/>
      </c>
      <c r="AM1669" t="str">
        <f>""</f>
        <v/>
      </c>
      <c r="AN1669" t="str">
        <f>""</f>
        <v/>
      </c>
      <c r="AO1669" t="str">
        <f>""</f>
        <v/>
      </c>
      <c r="AP1669" t="str">
        <f>""</f>
        <v/>
      </c>
      <c r="AQ1669" t="str">
        <f t="shared" si="875"/>
        <v>N</v>
      </c>
      <c r="AR1669" t="str">
        <f t="shared" si="875"/>
        <v>N</v>
      </c>
      <c r="AS1669" t="str">
        <f t="shared" si="875"/>
        <v>N</v>
      </c>
      <c r="AT1669" t="str">
        <f t="shared" si="875"/>
        <v>N</v>
      </c>
      <c r="AU1669" t="str">
        <f t="shared" si="875"/>
        <v>N</v>
      </c>
      <c r="AV1669" t="str">
        <f>""</f>
        <v/>
      </c>
      <c r="AW1669" t="str">
        <f>""</f>
        <v/>
      </c>
      <c r="AX1669" t="str">
        <f>""</f>
        <v/>
      </c>
      <c r="AY1669" t="str">
        <f>""</f>
        <v/>
      </c>
      <c r="AZ1669" t="str">
        <f>""</f>
        <v/>
      </c>
      <c r="BA1669" t="str">
        <f>""</f>
        <v/>
      </c>
      <c r="BB1669" t="str">
        <f>"01/07/2021 13:53:04"</f>
        <v>01/07/2021 13:53:04</v>
      </c>
      <c r="BC1669" t="str">
        <f>"04/03/2022 16:35:27"</f>
        <v>04/03/2022 16:35:27</v>
      </c>
      <c r="BD1669" t="str">
        <f>""</f>
        <v/>
      </c>
      <c r="BE1669" t="str">
        <f>""</f>
        <v/>
      </c>
      <c r="BF1669" t="str">
        <f t="shared" si="871"/>
        <v>A</v>
      </c>
      <c r="BG1669" t="str">
        <f>""</f>
        <v/>
      </c>
      <c r="BH1669" t="str">
        <f t="shared" si="865"/>
        <v>0,00</v>
      </c>
      <c r="BI1669" t="str">
        <f>"EVENTUAL"</f>
        <v>EVENTUAL</v>
      </c>
      <c r="BJ1669" t="str">
        <f t="shared" si="872"/>
        <v>1</v>
      </c>
      <c r="BK1669" t="str">
        <f t="shared" si="873"/>
        <v>Farmacia</v>
      </c>
      <c r="BL1669" t="str">
        <f>""</f>
        <v/>
      </c>
      <c r="BM1669" t="str">
        <f>"NÃO É VARILUX ESPECIALISTA"</f>
        <v>NÃO É VARILUX ESPECIALISTA</v>
      </c>
      <c r="BN1669" t="str">
        <f t="shared" si="866"/>
        <v>NA</v>
      </c>
      <c r="BO1669" t="str">
        <f>"FOCO KODAK 2"</f>
        <v>FOCO KODAK 2</v>
      </c>
      <c r="BP1669" t="str">
        <f>""</f>
        <v/>
      </c>
      <c r="BQ1669" t="str">
        <f>""</f>
        <v/>
      </c>
      <c r="BR1669" t="str">
        <f>"01/07/2021"</f>
        <v>01/07/2021</v>
      </c>
      <c r="BS1669" t="str">
        <f>"04/03/2022"</f>
        <v>04/03/2022</v>
      </c>
      <c r="BT1669" t="str">
        <f>""</f>
        <v/>
      </c>
      <c r="BU1669" t="str">
        <f>""</f>
        <v/>
      </c>
      <c r="BV1669" t="str">
        <f>""</f>
        <v/>
      </c>
      <c r="BW1669" t="str">
        <f>"134"</f>
        <v>134</v>
      </c>
    </row>
    <row r="1670" spans="1:75" x14ac:dyDescent="0.35">
      <c r="A1670">
        <v>1265</v>
      </c>
      <c r="B1670" t="str">
        <f t="shared" si="867"/>
        <v>A</v>
      </c>
      <c r="C1670" t="str">
        <f t="shared" si="868"/>
        <v>80</v>
      </c>
      <c r="D1670" t="str">
        <f t="shared" si="856"/>
        <v>11121004</v>
      </c>
      <c r="E1670" t="str">
        <f t="shared" si="857"/>
        <v>121004</v>
      </c>
      <c r="F1670" t="str">
        <f t="shared" si="858"/>
        <v>FABIANA GODOY</v>
      </c>
      <c r="G1670" t="str">
        <f>"04155276000108"</f>
        <v>04155276000108</v>
      </c>
      <c r="H1670" t="str">
        <f>""</f>
        <v/>
      </c>
      <c r="I1670" t="str">
        <f t="shared" si="869"/>
        <v>CONTA OPTICA</v>
      </c>
      <c r="J1670" t="str">
        <f>"RELOJOARIA E OTICA CARLOS LTDA"</f>
        <v>RELOJOARIA E OTICA CARLOS LTDA</v>
      </c>
      <c r="K1670" t="str">
        <f>"RELOJOARIA E OTICA CARLOS LTDA (1238)"</f>
        <v>RELOJOARIA E OTICA CARLOS LTDA (1238)</v>
      </c>
      <c r="L1670" t="str">
        <f>""</f>
        <v/>
      </c>
      <c r="M1670" t="str">
        <f>""</f>
        <v/>
      </c>
      <c r="N1670" t="str">
        <f>"otica.carlos@hotmail.com"</f>
        <v>otica.carlos@hotmail.com</v>
      </c>
      <c r="O1670" t="str">
        <f>""</f>
        <v/>
      </c>
      <c r="P1670" t="str">
        <f>"RUA ALMIRANTE BARROSO"</f>
        <v>RUA ALMIRANTE BARROSO</v>
      </c>
      <c r="Q1670" t="str">
        <f>"1503"</f>
        <v>1503</v>
      </c>
      <c r="R1670" t="str">
        <f>""</f>
        <v/>
      </c>
      <c r="S1670" t="str">
        <f>"1273"</f>
        <v>1273</v>
      </c>
      <c r="T1670" t="str">
        <f>"89035402"</f>
        <v>89035402</v>
      </c>
      <c r="U1670" t="str">
        <f>"VILA NOVA"</f>
        <v>VILA NOVA</v>
      </c>
      <c r="V1670" t="str">
        <f>"BLUMENAU"</f>
        <v>BLUMENAU</v>
      </c>
      <c r="W1670" t="str">
        <f t="shared" si="855"/>
        <v>SC</v>
      </c>
      <c r="X1670" t="str">
        <f t="shared" si="847"/>
        <v>47</v>
      </c>
      <c r="Y1670" t="str">
        <f>"33270526"</f>
        <v>33270526</v>
      </c>
      <c r="Z1670" t="str">
        <f>""</f>
        <v/>
      </c>
      <c r="AA1670" t="str">
        <f>""</f>
        <v/>
      </c>
      <c r="AB1670" t="str">
        <f>""</f>
        <v/>
      </c>
      <c r="AC1670" t="str">
        <f>""</f>
        <v/>
      </c>
      <c r="AD1670" t="str">
        <f>""</f>
        <v/>
      </c>
      <c r="AE1670" t="str">
        <f>""</f>
        <v/>
      </c>
      <c r="AF1670" t="str">
        <f>""</f>
        <v/>
      </c>
      <c r="AG1670" t="str">
        <f t="shared" si="874"/>
        <v>S</v>
      </c>
      <c r="AH1670" t="str">
        <f>""</f>
        <v/>
      </c>
      <c r="AI1670" t="str">
        <f>""</f>
        <v/>
      </c>
      <c r="AJ1670" t="str">
        <f>"0"</f>
        <v>0</v>
      </c>
      <c r="AK1670" t="str">
        <f>"0"</f>
        <v>0</v>
      </c>
      <c r="AL1670" t="str">
        <f>"0"</f>
        <v>0</v>
      </c>
      <c r="AM1670" t="str">
        <f>""</f>
        <v/>
      </c>
      <c r="AN1670" t="str">
        <f>""</f>
        <v/>
      </c>
      <c r="AO1670" t="str">
        <f>""</f>
        <v/>
      </c>
      <c r="AP1670" t="str">
        <f>""</f>
        <v/>
      </c>
      <c r="AQ1670" t="str">
        <f t="shared" si="875"/>
        <v>N</v>
      </c>
      <c r="AR1670" t="str">
        <f t="shared" si="875"/>
        <v>N</v>
      </c>
      <c r="AS1670" t="str">
        <f t="shared" si="875"/>
        <v>N</v>
      </c>
      <c r="AT1670" t="str">
        <f t="shared" si="875"/>
        <v>N</v>
      </c>
      <c r="AU1670" t="str">
        <f t="shared" si="875"/>
        <v>N</v>
      </c>
      <c r="AV1670" t="str">
        <f>""</f>
        <v/>
      </c>
      <c r="AW1670" t="str">
        <f>""</f>
        <v/>
      </c>
      <c r="AX1670" t="str">
        <f>""</f>
        <v/>
      </c>
      <c r="AY1670" t="str">
        <f>""</f>
        <v/>
      </c>
      <c r="AZ1670" t="str">
        <f>""</f>
        <v/>
      </c>
      <c r="BA1670" t="str">
        <f>""</f>
        <v/>
      </c>
      <c r="BB1670" t="str">
        <f>"27/07/2018 09:26:12"</f>
        <v>27/07/2018 09:26:12</v>
      </c>
      <c r="BC1670" t="str">
        <f>"25/07/2023 12:29:53"</f>
        <v>25/07/2023 12:29:53</v>
      </c>
      <c r="BD1670" t="str">
        <f>""</f>
        <v/>
      </c>
      <c r="BE1670" t="str">
        <f>"1265"</f>
        <v>1265</v>
      </c>
      <c r="BF1670" t="str">
        <f t="shared" si="871"/>
        <v>A</v>
      </c>
      <c r="BG1670" t="str">
        <f>"0,00"</f>
        <v>0,00</v>
      </c>
      <c r="BH1670" t="str">
        <f t="shared" si="865"/>
        <v>0,00</v>
      </c>
      <c r="BI1670" t="str">
        <f>"MENSAL"</f>
        <v>MENSAL</v>
      </c>
      <c r="BJ1670" t="str">
        <f t="shared" si="872"/>
        <v>1</v>
      </c>
      <c r="BK1670" t="str">
        <f t="shared" si="873"/>
        <v>Farmacia</v>
      </c>
      <c r="BL1670" t="str">
        <f>""</f>
        <v/>
      </c>
      <c r="BM1670" t="str">
        <f>"NÃO É VARILUX ESPECIALISTA"</f>
        <v>NÃO É VARILUX ESPECIALISTA</v>
      </c>
      <c r="BN1670" t="str">
        <f t="shared" si="866"/>
        <v>NA</v>
      </c>
      <c r="BO1670" t="str">
        <f>"FOCO KODAK 1"</f>
        <v>FOCO KODAK 1</v>
      </c>
      <c r="BP1670" t="str">
        <f>""</f>
        <v/>
      </c>
      <c r="BQ1670" t="str">
        <f>""</f>
        <v/>
      </c>
      <c r="BR1670" t="str">
        <f>"27/07/2018"</f>
        <v>27/07/2018</v>
      </c>
      <c r="BS1670" t="str">
        <f>"25/07/2023"</f>
        <v>25/07/2023</v>
      </c>
      <c r="BT1670" t="str">
        <f>""</f>
        <v/>
      </c>
      <c r="BU1670" t="str">
        <f>""</f>
        <v/>
      </c>
      <c r="BV1670" t="str">
        <f>"6"</f>
        <v>6</v>
      </c>
      <c r="BW1670" t="str">
        <f>"8"</f>
        <v>8</v>
      </c>
    </row>
    <row r="1671" spans="1:75" x14ac:dyDescent="0.35">
      <c r="A1671">
        <v>137879</v>
      </c>
      <c r="B1671" t="str">
        <f t="shared" si="867"/>
        <v>A</v>
      </c>
      <c r="C1671" t="str">
        <f t="shared" si="868"/>
        <v>80</v>
      </c>
      <c r="D1671" t="str">
        <f t="shared" si="856"/>
        <v>11121004</v>
      </c>
      <c r="E1671" t="str">
        <f t="shared" si="857"/>
        <v>121004</v>
      </c>
      <c r="F1671" t="str">
        <f t="shared" si="858"/>
        <v>FABIANA GODOY</v>
      </c>
      <c r="G1671" t="str">
        <f>"82628645000138"</f>
        <v>82628645000138</v>
      </c>
      <c r="H1671" t="str">
        <f t="shared" ref="H1671:H1678" si="876">"0"</f>
        <v>0</v>
      </c>
      <c r="I1671" t="str">
        <f t="shared" si="869"/>
        <v>CONTA OPTICA</v>
      </c>
      <c r="J1671" t="str">
        <f>"RELOJOARIA E OTICA GALZ LTDA"</f>
        <v>RELOJOARIA E OTICA GALZ LTDA</v>
      </c>
      <c r="K1671" t="str">
        <f>"RELOJOARIA E OTICA GALZ LTDA (390)"</f>
        <v>RELOJOARIA E OTICA GALZ LTDA (390)</v>
      </c>
      <c r="L1671" t="str">
        <f>""</f>
        <v/>
      </c>
      <c r="M1671" t="str">
        <f>""</f>
        <v/>
      </c>
      <c r="N1671" t="str">
        <f>"galzc@terra.com.br"</f>
        <v>galzc@terra.com.br</v>
      </c>
      <c r="O1671" t="str">
        <f>""</f>
        <v/>
      </c>
      <c r="P1671" t="str">
        <f>"RUA JOAO PESSOA"</f>
        <v>RUA JOAO PESSOA</v>
      </c>
      <c r="Q1671" t="str">
        <f>"1591"</f>
        <v>1591</v>
      </c>
      <c r="R1671" t="str">
        <f>""</f>
        <v/>
      </c>
      <c r="S1671" t="str">
        <f>"1273"</f>
        <v>1273</v>
      </c>
      <c r="T1671" t="str">
        <f>"89036001"</f>
        <v>89036001</v>
      </c>
      <c r="U1671" t="str">
        <f>"VELHA"</f>
        <v>VELHA</v>
      </c>
      <c r="V1671" t="str">
        <f>"BLUMENAU"</f>
        <v>BLUMENAU</v>
      </c>
      <c r="W1671" t="str">
        <f t="shared" si="855"/>
        <v>SC</v>
      </c>
      <c r="X1671" t="str">
        <f t="shared" si="847"/>
        <v>47</v>
      </c>
      <c r="Y1671" t="str">
        <f>"33290674"</f>
        <v>33290674</v>
      </c>
      <c r="Z1671" t="str">
        <f>""</f>
        <v/>
      </c>
      <c r="AA1671" t="str">
        <f>""</f>
        <v/>
      </c>
      <c r="AB1671" t="str">
        <f>""</f>
        <v/>
      </c>
      <c r="AC1671" t="str">
        <f>""</f>
        <v/>
      </c>
      <c r="AD1671" t="str">
        <f>""</f>
        <v/>
      </c>
      <c r="AE1671" t="str">
        <f>""</f>
        <v/>
      </c>
      <c r="AF1671" t="str">
        <f>""</f>
        <v/>
      </c>
      <c r="AG1671" t="str">
        <f t="shared" si="874"/>
        <v>S</v>
      </c>
      <c r="AH1671" t="str">
        <f>""</f>
        <v/>
      </c>
      <c r="AI1671" t="str">
        <f>""</f>
        <v/>
      </c>
      <c r="AJ1671" t="str">
        <f>""</f>
        <v/>
      </c>
      <c r="AK1671" t="str">
        <f>""</f>
        <v/>
      </c>
      <c r="AL1671" t="str">
        <f>""</f>
        <v/>
      </c>
      <c r="AM1671" t="str">
        <f>""</f>
        <v/>
      </c>
      <c r="AN1671" t="str">
        <f>""</f>
        <v/>
      </c>
      <c r="AO1671" t="str">
        <f>""</f>
        <v/>
      </c>
      <c r="AP1671" t="str">
        <f>""</f>
        <v/>
      </c>
      <c r="AQ1671" t="str">
        <f t="shared" si="875"/>
        <v>N</v>
      </c>
      <c r="AR1671" t="str">
        <f t="shared" si="875"/>
        <v>N</v>
      </c>
      <c r="AS1671" t="str">
        <f t="shared" si="875"/>
        <v>N</v>
      </c>
      <c r="AT1671" t="str">
        <f t="shared" si="875"/>
        <v>N</v>
      </c>
      <c r="AU1671" t="str">
        <f t="shared" si="875"/>
        <v>N</v>
      </c>
      <c r="AV1671" t="str">
        <f>""</f>
        <v/>
      </c>
      <c r="AW1671" t="str">
        <f>""</f>
        <v/>
      </c>
      <c r="AX1671" t="str">
        <f>""</f>
        <v/>
      </c>
      <c r="AY1671" t="str">
        <f>""</f>
        <v/>
      </c>
      <c r="AZ1671" t="str">
        <f>""</f>
        <v/>
      </c>
      <c r="BA1671" t="str">
        <f>""</f>
        <v/>
      </c>
      <c r="BB1671" t="str">
        <f>"01/07/2021 13:53:04"</f>
        <v>01/07/2021 13:53:04</v>
      </c>
      <c r="BC1671" t="str">
        <f>"28/01/2022 11:46:00"</f>
        <v>28/01/2022 11:46:00</v>
      </c>
      <c r="BD1671" t="str">
        <f>""</f>
        <v/>
      </c>
      <c r="BE1671" t="str">
        <f>""</f>
        <v/>
      </c>
      <c r="BF1671" t="str">
        <f t="shared" si="871"/>
        <v>A</v>
      </c>
      <c r="BG1671" t="str">
        <f>""</f>
        <v/>
      </c>
      <c r="BH1671" t="str">
        <f t="shared" si="865"/>
        <v>0,00</v>
      </c>
      <c r="BI1671" t="str">
        <f t="shared" ref="BI1671:BI1683" si="877">"EVENTUAL"</f>
        <v>EVENTUAL</v>
      </c>
      <c r="BJ1671" t="str">
        <f t="shared" si="872"/>
        <v>1</v>
      </c>
      <c r="BK1671" t="str">
        <f t="shared" si="873"/>
        <v>Farmacia</v>
      </c>
      <c r="BL1671" t="str">
        <f>""</f>
        <v/>
      </c>
      <c r="BM1671" t="str">
        <f>"NÃO É VARILUX ESPECIALISTA"</f>
        <v>NÃO É VARILUX ESPECIALISTA</v>
      </c>
      <c r="BN1671" t="str">
        <f t="shared" si="866"/>
        <v>NA</v>
      </c>
      <c r="BO1671" t="str">
        <f>"FOCO VARILUX DIGITAL"</f>
        <v>FOCO VARILUX DIGITAL</v>
      </c>
      <c r="BP1671" t="str">
        <f>""</f>
        <v/>
      </c>
      <c r="BQ1671" t="str">
        <f>""</f>
        <v/>
      </c>
      <c r="BR1671" t="str">
        <f>"01/07/2021"</f>
        <v>01/07/2021</v>
      </c>
      <c r="BS1671" t="str">
        <f>"28/01/2022"</f>
        <v>28/01/2022</v>
      </c>
      <c r="BT1671" t="str">
        <f>""</f>
        <v/>
      </c>
      <c r="BU1671" t="str">
        <f>""</f>
        <v/>
      </c>
      <c r="BV1671" t="str">
        <f>""</f>
        <v/>
      </c>
      <c r="BW1671" t="str">
        <f>"24"</f>
        <v>24</v>
      </c>
    </row>
    <row r="1672" spans="1:75" x14ac:dyDescent="0.35">
      <c r="A1672">
        <v>137880</v>
      </c>
      <c r="B1672" t="str">
        <f t="shared" si="867"/>
        <v>A</v>
      </c>
      <c r="C1672" t="str">
        <f t="shared" si="868"/>
        <v>80</v>
      </c>
      <c r="D1672" t="str">
        <f t="shared" si="856"/>
        <v>11121004</v>
      </c>
      <c r="E1672" t="str">
        <f t="shared" si="857"/>
        <v>121004</v>
      </c>
      <c r="F1672" t="str">
        <f t="shared" si="858"/>
        <v>FABIANA GODOY</v>
      </c>
      <c r="G1672" t="str">
        <f>"80681364000113"</f>
        <v>80681364000113</v>
      </c>
      <c r="H1672" t="str">
        <f t="shared" si="876"/>
        <v>0</v>
      </c>
      <c r="I1672" t="str">
        <f t="shared" si="869"/>
        <v>CONTA OPTICA</v>
      </c>
      <c r="J1672" t="str">
        <f>"RELOJOARIA E OTICA OLDONI LTDA"</f>
        <v>RELOJOARIA E OTICA OLDONI LTDA</v>
      </c>
      <c r="K1672" t="str">
        <f>"RELOJOARIA E OTICA OLDONI LTDA (35)"</f>
        <v>RELOJOARIA E OTICA OLDONI LTDA (35)</v>
      </c>
      <c r="L1672" t="str">
        <f>""</f>
        <v/>
      </c>
      <c r="M1672" t="str">
        <f>""</f>
        <v/>
      </c>
      <c r="N1672" t="str">
        <f>"oldonionix@gmail.com"</f>
        <v>oldonionix@gmail.com</v>
      </c>
      <c r="O1672" t="str">
        <f>""</f>
        <v/>
      </c>
      <c r="P1672" t="str">
        <f>"RUA ESTEFANO JOSE VANOLLI"</f>
        <v>RUA ESTEFANO JOSE VANOLLI</v>
      </c>
      <c r="Q1672" t="str">
        <f>"1588"</f>
        <v>1588</v>
      </c>
      <c r="R1672" t="str">
        <f>""</f>
        <v/>
      </c>
      <c r="S1672" t="str">
        <f>"1261"</f>
        <v>1261</v>
      </c>
      <c r="T1672" t="str">
        <f>"88309101"</f>
        <v>88309101</v>
      </c>
      <c r="U1672" t="str">
        <f>"SAO VICENTE"</f>
        <v>SAO VICENTE</v>
      </c>
      <c r="V1672" t="str">
        <f>"ITAJAÍ"</f>
        <v>ITAJAÍ</v>
      </c>
      <c r="W1672" t="str">
        <f t="shared" si="855"/>
        <v>SC</v>
      </c>
      <c r="X1672" t="str">
        <f t="shared" si="847"/>
        <v>47</v>
      </c>
      <c r="Y1672" t="str">
        <f>"32480138"</f>
        <v>32480138</v>
      </c>
      <c r="Z1672" t="str">
        <f>""</f>
        <v/>
      </c>
      <c r="AA1672" t="str">
        <f>""</f>
        <v/>
      </c>
      <c r="AB1672" t="str">
        <f>""</f>
        <v/>
      </c>
      <c r="AC1672" t="str">
        <f>""</f>
        <v/>
      </c>
      <c r="AD1672" t="str">
        <f>""</f>
        <v/>
      </c>
      <c r="AE1672" t="str">
        <f>""</f>
        <v/>
      </c>
      <c r="AF1672" t="str">
        <f>""</f>
        <v/>
      </c>
      <c r="AG1672" t="str">
        <f t="shared" si="874"/>
        <v>S</v>
      </c>
      <c r="AH1672" t="str">
        <f>""</f>
        <v/>
      </c>
      <c r="AI1672" t="str">
        <f>""</f>
        <v/>
      </c>
      <c r="AJ1672" t="str">
        <f>""</f>
        <v/>
      </c>
      <c r="AK1672" t="str">
        <f>""</f>
        <v/>
      </c>
      <c r="AL1672" t="str">
        <f>""</f>
        <v/>
      </c>
      <c r="AM1672" t="str">
        <f>""</f>
        <v/>
      </c>
      <c r="AN1672" t="str">
        <f>""</f>
        <v/>
      </c>
      <c r="AO1672" t="str">
        <f>""</f>
        <v/>
      </c>
      <c r="AP1672" t="str">
        <f>""</f>
        <v/>
      </c>
      <c r="AQ1672" t="str">
        <f t="shared" si="875"/>
        <v>N</v>
      </c>
      <c r="AR1672" t="str">
        <f t="shared" si="875"/>
        <v>N</v>
      </c>
      <c r="AS1672" t="str">
        <f t="shared" si="875"/>
        <v>N</v>
      </c>
      <c r="AT1672" t="str">
        <f t="shared" si="875"/>
        <v>N</v>
      </c>
      <c r="AU1672" t="str">
        <f t="shared" si="875"/>
        <v>N</v>
      </c>
      <c r="AV1672" t="str">
        <f>""</f>
        <v/>
      </c>
      <c r="AW1672" t="str">
        <f>""</f>
        <v/>
      </c>
      <c r="AX1672" t="str">
        <f>""</f>
        <v/>
      </c>
      <c r="AY1672" t="str">
        <f>""</f>
        <v/>
      </c>
      <c r="AZ1672" t="str">
        <f>""</f>
        <v/>
      </c>
      <c r="BA1672" t="str">
        <f>""</f>
        <v/>
      </c>
      <c r="BB1672" t="str">
        <f>"01/07/2021 13:53:04"</f>
        <v>01/07/2021 13:53:04</v>
      </c>
      <c r="BC1672" t="str">
        <f>"04/03/2022 17:17:50"</f>
        <v>04/03/2022 17:17:50</v>
      </c>
      <c r="BD1672" t="str">
        <f>""</f>
        <v/>
      </c>
      <c r="BE1672" t="str">
        <f>""</f>
        <v/>
      </c>
      <c r="BF1672" t="str">
        <f t="shared" si="871"/>
        <v>A</v>
      </c>
      <c r="BG1672" t="str">
        <f>""</f>
        <v/>
      </c>
      <c r="BH1672" t="str">
        <f t="shared" si="865"/>
        <v>0,00</v>
      </c>
      <c r="BI1672" t="str">
        <f t="shared" si="877"/>
        <v>EVENTUAL</v>
      </c>
      <c r="BJ1672" t="str">
        <f t="shared" si="872"/>
        <v>1</v>
      </c>
      <c r="BK1672" t="str">
        <f t="shared" si="873"/>
        <v>Farmacia</v>
      </c>
      <c r="BL1672" t="str">
        <f>""</f>
        <v/>
      </c>
      <c r="BM1672" t="str">
        <f>"VARILUX ESPECIALISTA SELECT"</f>
        <v>VARILUX ESPECIALISTA SELECT</v>
      </c>
      <c r="BN1672" t="str">
        <f t="shared" si="866"/>
        <v>NA</v>
      </c>
      <c r="BO1672" t="str">
        <f>"FOCO VARILUX DIGITAL"</f>
        <v>FOCO VARILUX DIGITAL</v>
      </c>
      <c r="BP1672" t="str">
        <f>""</f>
        <v/>
      </c>
      <c r="BQ1672" t="str">
        <f>""</f>
        <v/>
      </c>
      <c r="BR1672" t="str">
        <f>"01/07/2021"</f>
        <v>01/07/2021</v>
      </c>
      <c r="BS1672" t="str">
        <f>"04/03/2022"</f>
        <v>04/03/2022</v>
      </c>
      <c r="BT1672" t="str">
        <f>""</f>
        <v/>
      </c>
      <c r="BU1672" t="str">
        <f>""</f>
        <v/>
      </c>
      <c r="BV1672" t="str">
        <f>""</f>
        <v/>
      </c>
      <c r="BW1672" t="str">
        <f>"14"</f>
        <v>14</v>
      </c>
    </row>
    <row r="1673" spans="1:75" x14ac:dyDescent="0.35">
      <c r="A1673">
        <v>137881</v>
      </c>
      <c r="B1673" t="str">
        <f t="shared" si="867"/>
        <v>A</v>
      </c>
      <c r="C1673" t="str">
        <f t="shared" si="868"/>
        <v>80</v>
      </c>
      <c r="D1673" t="str">
        <f t="shared" si="856"/>
        <v>11121004</v>
      </c>
      <c r="E1673" t="str">
        <f t="shared" si="857"/>
        <v>121004</v>
      </c>
      <c r="F1673" t="str">
        <f t="shared" si="858"/>
        <v>FABIANA GODOY</v>
      </c>
      <c r="G1673" t="str">
        <f>"28249657000106"</f>
        <v>28249657000106</v>
      </c>
      <c r="H1673" t="str">
        <f t="shared" si="876"/>
        <v>0</v>
      </c>
      <c r="I1673" t="str">
        <f t="shared" si="869"/>
        <v>CONTA OPTICA</v>
      </c>
      <c r="J1673" t="str">
        <f>"RELOJOARIA E OTICA POINT EIRELI - ME"</f>
        <v>RELOJOARIA E OTICA POINT EIRELI - ME</v>
      </c>
      <c r="K1673" t="str">
        <f>"POINT RELOJOARIA E OTICA (3810)"</f>
        <v>POINT RELOJOARIA E OTICA (3810)</v>
      </c>
      <c r="L1673" t="str">
        <f>""</f>
        <v/>
      </c>
      <c r="M1673" t="str">
        <f>""</f>
        <v/>
      </c>
      <c r="N1673" t="str">
        <f>"pointrelojoaria@terra.com.br"</f>
        <v>pointrelojoaria@terra.com.br</v>
      </c>
      <c r="O1673" t="str">
        <f>""</f>
        <v/>
      </c>
      <c r="P1673" t="str">
        <f>"RUA NEREU RAMOS"</f>
        <v>RUA NEREU RAMOS</v>
      </c>
      <c r="Q1673" t="str">
        <f>"230"</f>
        <v>230</v>
      </c>
      <c r="R1673" t="str">
        <f>"SALA 1B"</f>
        <v>SALA 1B</v>
      </c>
      <c r="S1673" t="str">
        <f>"1263"</f>
        <v>1263</v>
      </c>
      <c r="T1673" t="str">
        <f>"88380000"</f>
        <v>88380000</v>
      </c>
      <c r="U1673" t="str">
        <f>"CENTRO"</f>
        <v>CENTRO</v>
      </c>
      <c r="V1673" t="str">
        <f>"BALNEÁRIO PIÇARRAS"</f>
        <v>BALNEÁRIO PIÇARRAS</v>
      </c>
      <c r="W1673" t="str">
        <f t="shared" si="855"/>
        <v>SC</v>
      </c>
      <c r="X1673" t="str">
        <f t="shared" si="847"/>
        <v>47</v>
      </c>
      <c r="Y1673" t="str">
        <f>"33470982"</f>
        <v>33470982</v>
      </c>
      <c r="Z1673" t="str">
        <f>""</f>
        <v/>
      </c>
      <c r="AA1673" t="str">
        <f>""</f>
        <v/>
      </c>
      <c r="AB1673" t="str">
        <f>""</f>
        <v/>
      </c>
      <c r="AC1673" t="str">
        <f>""</f>
        <v/>
      </c>
      <c r="AD1673" t="str">
        <f>""</f>
        <v/>
      </c>
      <c r="AE1673" t="str">
        <f>""</f>
        <v/>
      </c>
      <c r="AF1673" t="str">
        <f>""</f>
        <v/>
      </c>
      <c r="AG1673" t="str">
        <f t="shared" si="874"/>
        <v>S</v>
      </c>
      <c r="AH1673" t="str">
        <f>""</f>
        <v/>
      </c>
      <c r="AI1673" t="str">
        <f>""</f>
        <v/>
      </c>
      <c r="AJ1673" t="str">
        <f>""</f>
        <v/>
      </c>
      <c r="AK1673" t="str">
        <f>""</f>
        <v/>
      </c>
      <c r="AL1673" t="str">
        <f>""</f>
        <v/>
      </c>
      <c r="AM1673" t="str">
        <f>""</f>
        <v/>
      </c>
      <c r="AN1673" t="str">
        <f>""</f>
        <v/>
      </c>
      <c r="AO1673" t="str">
        <f>""</f>
        <v/>
      </c>
      <c r="AP1673" t="str">
        <f>""</f>
        <v/>
      </c>
      <c r="AQ1673" t="str">
        <f t="shared" si="875"/>
        <v>N</v>
      </c>
      <c r="AR1673" t="str">
        <f t="shared" si="875"/>
        <v>N</v>
      </c>
      <c r="AS1673" t="str">
        <f t="shared" si="875"/>
        <v>N</v>
      </c>
      <c r="AT1673" t="str">
        <f t="shared" si="875"/>
        <v>N</v>
      </c>
      <c r="AU1673" t="str">
        <f t="shared" si="875"/>
        <v>N</v>
      </c>
      <c r="AV1673" t="str">
        <f>""</f>
        <v/>
      </c>
      <c r="AW1673" t="str">
        <f>""</f>
        <v/>
      </c>
      <c r="AX1673" t="str">
        <f>""</f>
        <v/>
      </c>
      <c r="AY1673" t="str">
        <f>""</f>
        <v/>
      </c>
      <c r="AZ1673" t="str">
        <f>""</f>
        <v/>
      </c>
      <c r="BA1673" t="str">
        <f>""</f>
        <v/>
      </c>
      <c r="BB1673" t="str">
        <f>"01/07/2021 13:53:04"</f>
        <v>01/07/2021 13:53:04</v>
      </c>
      <c r="BC1673" t="str">
        <f>"28/10/2021 17:24:35"</f>
        <v>28/10/2021 17:24:35</v>
      </c>
      <c r="BD1673" t="str">
        <f>""</f>
        <v/>
      </c>
      <c r="BE1673" t="str">
        <f>""</f>
        <v/>
      </c>
      <c r="BF1673" t="str">
        <f t="shared" si="871"/>
        <v>A</v>
      </c>
      <c r="BG1673" t="str">
        <f>""</f>
        <v/>
      </c>
      <c r="BH1673" t="str">
        <f t="shared" si="865"/>
        <v>0,00</v>
      </c>
      <c r="BI1673" t="str">
        <f t="shared" si="877"/>
        <v>EVENTUAL</v>
      </c>
      <c r="BJ1673" t="str">
        <f t="shared" si="872"/>
        <v>1</v>
      </c>
      <c r="BK1673" t="str">
        <f t="shared" si="873"/>
        <v>Farmacia</v>
      </c>
      <c r="BL1673" t="str">
        <f>""</f>
        <v/>
      </c>
      <c r="BM1673" t="str">
        <f>"NÃO É VARILUX ESPECIALISTA"</f>
        <v>NÃO É VARILUX ESPECIALISTA</v>
      </c>
      <c r="BN1673" t="str">
        <f t="shared" si="866"/>
        <v>NA</v>
      </c>
      <c r="BO1673" t="str">
        <f>"FOCO VARILUX DIGITAL"</f>
        <v>FOCO VARILUX DIGITAL</v>
      </c>
      <c r="BP1673" t="str">
        <f>""</f>
        <v/>
      </c>
      <c r="BQ1673" t="str">
        <f>""</f>
        <v/>
      </c>
      <c r="BR1673" t="str">
        <f>"01/07/2021"</f>
        <v>01/07/2021</v>
      </c>
      <c r="BS1673" t="str">
        <f>"28/10/2021"</f>
        <v>28/10/2021</v>
      </c>
      <c r="BT1673" t="str">
        <f>""</f>
        <v/>
      </c>
      <c r="BU1673" t="str">
        <f>""</f>
        <v/>
      </c>
      <c r="BV1673" t="str">
        <f>""</f>
        <v/>
      </c>
      <c r="BW1673" t="str">
        <f>"2"</f>
        <v>2</v>
      </c>
    </row>
    <row r="1674" spans="1:75" x14ac:dyDescent="0.35">
      <c r="A1674">
        <v>117524</v>
      </c>
      <c r="B1674" t="str">
        <f t="shared" si="867"/>
        <v>A</v>
      </c>
      <c r="C1674" t="str">
        <f t="shared" si="868"/>
        <v>80</v>
      </c>
      <c r="D1674" t="str">
        <f t="shared" si="856"/>
        <v>11121004</v>
      </c>
      <c r="E1674" t="str">
        <f t="shared" si="857"/>
        <v>121004</v>
      </c>
      <c r="F1674" t="str">
        <f t="shared" si="858"/>
        <v>FABIANA GODOY</v>
      </c>
      <c r="G1674" t="str">
        <f>"08933094000163"</f>
        <v>08933094000163</v>
      </c>
      <c r="H1674" t="str">
        <f t="shared" si="876"/>
        <v>0</v>
      </c>
      <c r="I1674" t="str">
        <f t="shared" si="869"/>
        <v>CONTA OPTICA</v>
      </c>
      <c r="J1674" t="str">
        <f>"RELOJOARIA E OTICA STYLLO LTDA ME"</f>
        <v>RELOJOARIA E OTICA STYLLO LTDA ME</v>
      </c>
      <c r="K1674" t="str">
        <f>"RELOJOARIA E OTICA STYLLO (1336)"</f>
        <v>RELOJOARIA E OTICA STYLLO (1336)</v>
      </c>
      <c r="L1674" t="str">
        <f>""</f>
        <v/>
      </c>
      <c r="M1674" t="str">
        <f>""</f>
        <v/>
      </c>
      <c r="N1674" t="str">
        <f>"otica_styllo@hotmail.com"</f>
        <v>otica_styllo@hotmail.com</v>
      </c>
      <c r="O1674" t="str">
        <f>""</f>
        <v/>
      </c>
      <c r="P1674" t="str">
        <f>"AVENIDA LEOPOLDO ZARLING"</f>
        <v>AVENIDA LEOPOLDO ZARLING</v>
      </c>
      <c r="Q1674" t="str">
        <f>"1220"</f>
        <v>1220</v>
      </c>
      <c r="R1674" t="str">
        <f>"SALA 04"</f>
        <v>SALA 04</v>
      </c>
      <c r="S1674" t="str">
        <f>"1260"</f>
        <v>1260</v>
      </c>
      <c r="T1674" t="str">
        <f>"88215000"</f>
        <v>88215000</v>
      </c>
      <c r="U1674" t="str">
        <f>"BOMBAS"</f>
        <v>BOMBAS</v>
      </c>
      <c r="V1674" t="str">
        <f>"BOMBINHAS"</f>
        <v>BOMBINHAS</v>
      </c>
      <c r="W1674" t="str">
        <f t="shared" si="855"/>
        <v>SC</v>
      </c>
      <c r="X1674" t="str">
        <f t="shared" si="847"/>
        <v>47</v>
      </c>
      <c r="Y1674" t="str">
        <f>"33936930"</f>
        <v>33936930</v>
      </c>
      <c r="Z1674" t="str">
        <f>""</f>
        <v/>
      </c>
      <c r="AA1674" t="str">
        <f>""</f>
        <v/>
      </c>
      <c r="AB1674" t="str">
        <f>""</f>
        <v/>
      </c>
      <c r="AC1674" t="str">
        <f>""</f>
        <v/>
      </c>
      <c r="AD1674" t="str">
        <f>""</f>
        <v/>
      </c>
      <c r="AE1674" t="str">
        <f>""</f>
        <v/>
      </c>
      <c r="AF1674" t="str">
        <f>""</f>
        <v/>
      </c>
      <c r="AG1674" t="str">
        <f>""</f>
        <v/>
      </c>
      <c r="AH1674" t="str">
        <f>""</f>
        <v/>
      </c>
      <c r="AI1674" t="str">
        <f>""</f>
        <v/>
      </c>
      <c r="AJ1674" t="str">
        <f>"0"</f>
        <v>0</v>
      </c>
      <c r="AK1674" t="str">
        <f>"0"</f>
        <v>0</v>
      </c>
      <c r="AL1674" t="str">
        <f>"0"</f>
        <v>0</v>
      </c>
      <c r="AM1674" t="str">
        <f>""</f>
        <v/>
      </c>
      <c r="AN1674" t="str">
        <f>""</f>
        <v/>
      </c>
      <c r="AO1674" t="str">
        <f>""</f>
        <v/>
      </c>
      <c r="AP1674" t="str">
        <f>""</f>
        <v/>
      </c>
      <c r="AQ1674" t="str">
        <f>""</f>
        <v/>
      </c>
      <c r="AR1674" t="str">
        <f>""</f>
        <v/>
      </c>
      <c r="AS1674" t="str">
        <f>""</f>
        <v/>
      </c>
      <c r="AT1674" t="str">
        <f>""</f>
        <v/>
      </c>
      <c r="AU1674" t="str">
        <f>""</f>
        <v/>
      </c>
      <c r="AV1674" t="str">
        <f>""</f>
        <v/>
      </c>
      <c r="AW1674" t="str">
        <f>""</f>
        <v/>
      </c>
      <c r="AX1674" t="str">
        <f>""</f>
        <v/>
      </c>
      <c r="AY1674" t="str">
        <f>""</f>
        <v/>
      </c>
      <c r="AZ1674" t="str">
        <f>""</f>
        <v/>
      </c>
      <c r="BA1674" t="str">
        <f>""</f>
        <v/>
      </c>
      <c r="BB1674" t="str">
        <f>"22/07/2020 08:24:23"</f>
        <v>22/07/2020 08:24:23</v>
      </c>
      <c r="BC1674" t="str">
        <f>""</f>
        <v/>
      </c>
      <c r="BD1674" t="str">
        <f>""</f>
        <v/>
      </c>
      <c r="BE1674" t="str">
        <f>""</f>
        <v/>
      </c>
      <c r="BF1674" t="str">
        <f t="shared" si="871"/>
        <v>A</v>
      </c>
      <c r="BG1674" t="str">
        <f>"0,00"</f>
        <v>0,00</v>
      </c>
      <c r="BH1674" t="str">
        <f t="shared" si="865"/>
        <v>0,00</v>
      </c>
      <c r="BI1674" t="str">
        <f t="shared" si="877"/>
        <v>EVENTUAL</v>
      </c>
      <c r="BJ1674" t="str">
        <f t="shared" si="872"/>
        <v>1</v>
      </c>
      <c r="BK1674" t="str">
        <f t="shared" si="873"/>
        <v>Farmacia</v>
      </c>
      <c r="BL1674" t="str">
        <f>""</f>
        <v/>
      </c>
      <c r="BM1674" t="str">
        <f>"NÃO É VARILUX ESPECIALISTA"</f>
        <v>NÃO É VARILUX ESPECIALISTA</v>
      </c>
      <c r="BN1674" t="str">
        <f t="shared" si="866"/>
        <v>NA</v>
      </c>
      <c r="BO1674" t="str">
        <f>"FOCO KODAK 1"</f>
        <v>FOCO KODAK 1</v>
      </c>
      <c r="BP1674" t="str">
        <f>""</f>
        <v/>
      </c>
      <c r="BQ1674" t="str">
        <f>""</f>
        <v/>
      </c>
      <c r="BR1674" t="str">
        <f>"22/07/2020"</f>
        <v>22/07/2020</v>
      </c>
      <c r="BS1674" t="str">
        <f>""</f>
        <v/>
      </c>
      <c r="BT1674" t="str">
        <f>""</f>
        <v/>
      </c>
      <c r="BU1674" t="str">
        <f>""</f>
        <v/>
      </c>
      <c r="BV1674" t="str">
        <f>"6"</f>
        <v>6</v>
      </c>
      <c r="BW1674" t="str">
        <f>"Não visitado"</f>
        <v>Não visitado</v>
      </c>
    </row>
    <row r="1675" spans="1:75" x14ac:dyDescent="0.35">
      <c r="A1675">
        <v>157762</v>
      </c>
      <c r="B1675" t="str">
        <f t="shared" si="867"/>
        <v>A</v>
      </c>
      <c r="C1675" t="str">
        <f t="shared" si="868"/>
        <v>80</v>
      </c>
      <c r="D1675" t="str">
        <f t="shared" si="856"/>
        <v>11121004</v>
      </c>
      <c r="E1675" t="str">
        <f t="shared" si="857"/>
        <v>121004</v>
      </c>
      <c r="F1675" t="str">
        <f t="shared" si="858"/>
        <v>FABIANA GODOY</v>
      </c>
      <c r="G1675" t="str">
        <f>"82638172000230"</f>
        <v>82638172000230</v>
      </c>
      <c r="H1675" t="str">
        <f t="shared" si="876"/>
        <v>0</v>
      </c>
      <c r="I1675" t="str">
        <f t="shared" si="869"/>
        <v>CONTA OPTICA</v>
      </c>
      <c r="J1675" t="str">
        <f>"RELOJOARIA E OTICA TOMIO LTDA"</f>
        <v>RELOJOARIA E OTICA TOMIO LTDA</v>
      </c>
      <c r="K1675" t="str">
        <f>"RELOJOARIA E OTICA TOMIO LOJA 03 (1076)"</f>
        <v>RELOJOARIA E OTICA TOMIO LOJA 03 (1076)</v>
      </c>
      <c r="L1675" t="str">
        <f>""</f>
        <v/>
      </c>
      <c r="M1675" t="str">
        <f>""</f>
        <v/>
      </c>
      <c r="N1675" t="str">
        <f>""</f>
        <v/>
      </c>
      <c r="O1675" t="str">
        <f>""</f>
        <v/>
      </c>
      <c r="P1675" t="str">
        <f>"RUA QUINZE DE NOVEMBRO"</f>
        <v>RUA QUINZE DE NOVEMBRO</v>
      </c>
      <c r="Q1675" t="str">
        <f>"519"</f>
        <v>519</v>
      </c>
      <c r="R1675" t="str">
        <f>""</f>
        <v/>
      </c>
      <c r="S1675" t="str">
        <f>"1271"</f>
        <v>1271</v>
      </c>
      <c r="T1675" t="str">
        <f>"89010003"</f>
        <v>89010003</v>
      </c>
      <c r="U1675" t="str">
        <f>"CENTRO"</f>
        <v>CENTRO</v>
      </c>
      <c r="V1675" t="str">
        <f>"BLUMENAU"</f>
        <v>BLUMENAU</v>
      </c>
      <c r="W1675" t="str">
        <f t="shared" si="855"/>
        <v>SC</v>
      </c>
      <c r="X1675" t="str">
        <f t="shared" si="847"/>
        <v>47</v>
      </c>
      <c r="Y1675" t="str">
        <f>"33228989"</f>
        <v>33228989</v>
      </c>
      <c r="Z1675" t="str">
        <f>""</f>
        <v/>
      </c>
      <c r="AA1675" t="str">
        <f>""</f>
        <v/>
      </c>
      <c r="AB1675" t="str">
        <f>""</f>
        <v/>
      </c>
      <c r="AC1675" t="str">
        <f>""</f>
        <v/>
      </c>
      <c r="AD1675" t="str">
        <f>""</f>
        <v/>
      </c>
      <c r="AE1675" t="str">
        <f>""</f>
        <v/>
      </c>
      <c r="AF1675" t="str">
        <f>""</f>
        <v/>
      </c>
      <c r="AG1675" t="str">
        <f>""</f>
        <v/>
      </c>
      <c r="AH1675" t="str">
        <f>""</f>
        <v/>
      </c>
      <c r="AI1675" t="str">
        <f>""</f>
        <v/>
      </c>
      <c r="AJ1675" t="str">
        <f>""</f>
        <v/>
      </c>
      <c r="AK1675" t="str">
        <f>""</f>
        <v/>
      </c>
      <c r="AL1675" t="str">
        <f>""</f>
        <v/>
      </c>
      <c r="AM1675" t="str">
        <f>""</f>
        <v/>
      </c>
      <c r="AN1675" t="str">
        <f>""</f>
        <v/>
      </c>
      <c r="AO1675" t="str">
        <f>""</f>
        <v/>
      </c>
      <c r="AP1675" t="str">
        <f>""</f>
        <v/>
      </c>
      <c r="AQ1675" t="str">
        <f>""</f>
        <v/>
      </c>
      <c r="AR1675" t="str">
        <f>""</f>
        <v/>
      </c>
      <c r="AS1675" t="str">
        <f>""</f>
        <v/>
      </c>
      <c r="AT1675" t="str">
        <f>""</f>
        <v/>
      </c>
      <c r="AU1675" t="str">
        <f>""</f>
        <v/>
      </c>
      <c r="AV1675" t="str">
        <f>""</f>
        <v/>
      </c>
      <c r="AW1675" t="str">
        <f>""</f>
        <v/>
      </c>
      <c r="AX1675" t="str">
        <f>""</f>
        <v/>
      </c>
      <c r="AY1675" t="str">
        <f>""</f>
        <v/>
      </c>
      <c r="AZ1675" t="str">
        <f>""</f>
        <v/>
      </c>
      <c r="BA1675" t="str">
        <f>""</f>
        <v/>
      </c>
      <c r="BB1675" t="str">
        <f>"11/07/2023 02:26:32"</f>
        <v>11/07/2023 02:26:32</v>
      </c>
      <c r="BC1675" t="str">
        <f>""</f>
        <v/>
      </c>
      <c r="BD1675" t="str">
        <f>""</f>
        <v/>
      </c>
      <c r="BE1675" t="str">
        <f>""</f>
        <v/>
      </c>
      <c r="BF1675" t="str">
        <f t="shared" si="871"/>
        <v>A</v>
      </c>
      <c r="BG1675" t="str">
        <f>""</f>
        <v/>
      </c>
      <c r="BH1675" t="str">
        <f>""</f>
        <v/>
      </c>
      <c r="BI1675" t="str">
        <f t="shared" si="877"/>
        <v>EVENTUAL</v>
      </c>
      <c r="BJ1675" t="str">
        <f t="shared" si="872"/>
        <v>1</v>
      </c>
      <c r="BK1675" t="str">
        <f t="shared" si="873"/>
        <v>Farmacia</v>
      </c>
      <c r="BL1675" t="str">
        <f>""</f>
        <v/>
      </c>
      <c r="BM1675" t="str">
        <f>""</f>
        <v/>
      </c>
      <c r="BN1675" t="str">
        <f>""</f>
        <v/>
      </c>
      <c r="BO1675" t="str">
        <f>""</f>
        <v/>
      </c>
      <c r="BP1675" t="str">
        <f>""</f>
        <v/>
      </c>
      <c r="BQ1675" t="str">
        <f>""</f>
        <v/>
      </c>
      <c r="BR1675" t="str">
        <f>"11/07/2023"</f>
        <v>11/07/2023</v>
      </c>
      <c r="BS1675" t="str">
        <f>""</f>
        <v/>
      </c>
      <c r="BT1675" t="str">
        <f>""</f>
        <v/>
      </c>
      <c r="BU1675" t="str">
        <f>""</f>
        <v/>
      </c>
      <c r="BV1675" t="str">
        <f>""</f>
        <v/>
      </c>
      <c r="BW1675" t="str">
        <f>"Não visitado"</f>
        <v>Não visitado</v>
      </c>
    </row>
    <row r="1676" spans="1:75" x14ac:dyDescent="0.35">
      <c r="A1676">
        <v>137884</v>
      </c>
      <c r="B1676" t="str">
        <f t="shared" si="867"/>
        <v>A</v>
      </c>
      <c r="C1676" t="str">
        <f t="shared" si="868"/>
        <v>80</v>
      </c>
      <c r="D1676" t="str">
        <f t="shared" si="856"/>
        <v>11121004</v>
      </c>
      <c r="E1676" t="str">
        <f t="shared" si="857"/>
        <v>121004</v>
      </c>
      <c r="F1676" t="str">
        <f t="shared" si="858"/>
        <v>FABIANA GODOY</v>
      </c>
      <c r="G1676" t="str">
        <f>"82638172000150"</f>
        <v>82638172000150</v>
      </c>
      <c r="H1676" t="str">
        <f t="shared" si="876"/>
        <v>0</v>
      </c>
      <c r="I1676" t="str">
        <f t="shared" si="869"/>
        <v>CONTA OPTICA</v>
      </c>
      <c r="J1676" t="str">
        <f>"RELOJOARIA E OTICA TOMIO LTDA ME"</f>
        <v>RELOJOARIA E OTICA TOMIO LTDA ME</v>
      </c>
      <c r="K1676" t="str">
        <f>"RELOJOARIA E OTICA TOMIO LOJA 01 (399)"</f>
        <v>RELOJOARIA E OTICA TOMIO LOJA 01 (399)</v>
      </c>
      <c r="L1676" t="str">
        <f>""</f>
        <v/>
      </c>
      <c r="M1676" t="str">
        <f>""</f>
        <v/>
      </c>
      <c r="N1676" t="str">
        <f>"relojoariaeopticatomio@gmail.com"</f>
        <v>relojoariaeopticatomio@gmail.com</v>
      </c>
      <c r="O1676" t="str">
        <f>""</f>
        <v/>
      </c>
      <c r="P1676" t="str">
        <f>"RUA AMAZONAS"</f>
        <v>RUA AMAZONAS</v>
      </c>
      <c r="Q1676" t="str">
        <f>"3860"</f>
        <v>3860</v>
      </c>
      <c r="R1676" t="str">
        <f>""</f>
        <v/>
      </c>
      <c r="S1676" t="str">
        <f>"1273"</f>
        <v>1273</v>
      </c>
      <c r="T1676" t="str">
        <f>"89022000"</f>
        <v>89022000</v>
      </c>
      <c r="U1676" t="str">
        <f>"GARCIA"</f>
        <v>GARCIA</v>
      </c>
      <c r="V1676" t="str">
        <f>"BLUMENAU"</f>
        <v>BLUMENAU</v>
      </c>
      <c r="W1676" t="str">
        <f t="shared" si="855"/>
        <v>SC</v>
      </c>
      <c r="X1676" t="str">
        <f t="shared" si="847"/>
        <v>47</v>
      </c>
      <c r="Y1676" t="str">
        <f>"33240166"</f>
        <v>33240166</v>
      </c>
      <c r="Z1676" t="str">
        <f>""</f>
        <v/>
      </c>
      <c r="AA1676" t="str">
        <f>""</f>
        <v/>
      </c>
      <c r="AB1676" t="str">
        <f>""</f>
        <v/>
      </c>
      <c r="AC1676" t="str">
        <f>""</f>
        <v/>
      </c>
      <c r="AD1676" t="str">
        <f>""</f>
        <v/>
      </c>
      <c r="AE1676" t="str">
        <f>""</f>
        <v/>
      </c>
      <c r="AF1676" t="str">
        <f>""</f>
        <v/>
      </c>
      <c r="AG1676" t="str">
        <f>"S"</f>
        <v>S</v>
      </c>
      <c r="AH1676" t="str">
        <f>""</f>
        <v/>
      </c>
      <c r="AI1676" t="str">
        <f>""</f>
        <v/>
      </c>
      <c r="AJ1676" t="str">
        <f>""</f>
        <v/>
      </c>
      <c r="AK1676" t="str">
        <f>""</f>
        <v/>
      </c>
      <c r="AL1676" t="str">
        <f>""</f>
        <v/>
      </c>
      <c r="AM1676" t="str">
        <f>""</f>
        <v/>
      </c>
      <c r="AN1676" t="str">
        <f>""</f>
        <v/>
      </c>
      <c r="AO1676" t="str">
        <f>""</f>
        <v/>
      </c>
      <c r="AP1676" t="str">
        <f>""</f>
        <v/>
      </c>
      <c r="AQ1676" t="str">
        <f>"N"</f>
        <v>N</v>
      </c>
      <c r="AR1676" t="str">
        <f>"N"</f>
        <v>N</v>
      </c>
      <c r="AS1676" t="str">
        <f>"N"</f>
        <v>N</v>
      </c>
      <c r="AT1676" t="str">
        <f>"N"</f>
        <v>N</v>
      </c>
      <c r="AU1676" t="str">
        <f>"N"</f>
        <v>N</v>
      </c>
      <c r="AV1676" t="str">
        <f>""</f>
        <v/>
      </c>
      <c r="AW1676" t="str">
        <f>""</f>
        <v/>
      </c>
      <c r="AX1676" t="str">
        <f>""</f>
        <v/>
      </c>
      <c r="AY1676" t="str">
        <f>""</f>
        <v/>
      </c>
      <c r="AZ1676" t="str">
        <f>""</f>
        <v/>
      </c>
      <c r="BA1676" t="str">
        <f>""</f>
        <v/>
      </c>
      <c r="BB1676" t="str">
        <f>"01/07/2021 13:53:04"</f>
        <v>01/07/2021 13:53:04</v>
      </c>
      <c r="BC1676" t="str">
        <f>"07/02/2022 17:24:15"</f>
        <v>07/02/2022 17:24:15</v>
      </c>
      <c r="BD1676" t="str">
        <f>""</f>
        <v/>
      </c>
      <c r="BE1676" t="str">
        <f>""</f>
        <v/>
      </c>
      <c r="BF1676" t="str">
        <f t="shared" si="871"/>
        <v>A</v>
      </c>
      <c r="BG1676" t="str">
        <f>""</f>
        <v/>
      </c>
      <c r="BH1676" t="str">
        <f>"0,00"</f>
        <v>0,00</v>
      </c>
      <c r="BI1676" t="str">
        <f t="shared" si="877"/>
        <v>EVENTUAL</v>
      </c>
      <c r="BJ1676" t="str">
        <f t="shared" si="872"/>
        <v>1</v>
      </c>
      <c r="BK1676" t="str">
        <f t="shared" si="873"/>
        <v>Farmacia</v>
      </c>
      <c r="BL1676" t="str">
        <f>""</f>
        <v/>
      </c>
      <c r="BM1676" t="str">
        <f>"NÃO É VARILUX ESPECIALISTA"</f>
        <v>NÃO É VARILUX ESPECIALISTA</v>
      </c>
      <c r="BN1676" t="str">
        <f>"NA"</f>
        <v>NA</v>
      </c>
      <c r="BO1676" t="str">
        <f>"FOCO VARILUX"</f>
        <v>FOCO VARILUX</v>
      </c>
      <c r="BP1676" t="str">
        <f>""</f>
        <v/>
      </c>
      <c r="BQ1676" t="str">
        <f>""</f>
        <v/>
      </c>
      <c r="BR1676" t="str">
        <f>"01/07/2021"</f>
        <v>01/07/2021</v>
      </c>
      <c r="BS1676" t="str">
        <f>"07/02/2022"</f>
        <v>07/02/2022</v>
      </c>
      <c r="BT1676" t="str">
        <f>""</f>
        <v/>
      </c>
      <c r="BU1676" t="str">
        <f>""</f>
        <v/>
      </c>
      <c r="BV1676" t="str">
        <f>""</f>
        <v/>
      </c>
      <c r="BW1676" t="str">
        <f>"42"</f>
        <v>42</v>
      </c>
    </row>
    <row r="1677" spans="1:75" x14ac:dyDescent="0.35">
      <c r="A1677">
        <v>157747</v>
      </c>
      <c r="B1677" t="str">
        <f t="shared" si="867"/>
        <v>A</v>
      </c>
      <c r="C1677" t="str">
        <f t="shared" si="868"/>
        <v>80</v>
      </c>
      <c r="D1677" t="str">
        <f t="shared" si="856"/>
        <v>11121004</v>
      </c>
      <c r="E1677" t="str">
        <f t="shared" si="857"/>
        <v>121004</v>
      </c>
      <c r="F1677" t="str">
        <f t="shared" si="858"/>
        <v>FABIANA GODOY</v>
      </c>
      <c r="G1677" t="str">
        <f>"06083001000123"</f>
        <v>06083001000123</v>
      </c>
      <c r="H1677" t="str">
        <f t="shared" si="876"/>
        <v>0</v>
      </c>
      <c r="I1677" t="str">
        <f t="shared" si="869"/>
        <v>CONTA OPTICA</v>
      </c>
      <c r="J1677" t="str">
        <f>"RELOJOARIA E OTICA TRIERVEILER LTDA ME"</f>
        <v>RELOJOARIA E OTICA TRIERVEILER LTDA ME</v>
      </c>
      <c r="K1677" t="str">
        <f>"RELOJOARIA E OTICA TRIERVEILER LTDA ME (523)"</f>
        <v>RELOJOARIA E OTICA TRIERVEILER LTDA ME (523)</v>
      </c>
      <c r="L1677" t="str">
        <f>""</f>
        <v/>
      </c>
      <c r="M1677" t="str">
        <f>""</f>
        <v/>
      </c>
      <c r="N1677" t="str">
        <f>"trierveiler@hotmail.com"</f>
        <v>trierveiler@hotmail.com</v>
      </c>
      <c r="O1677" t="str">
        <f>""</f>
        <v/>
      </c>
      <c r="P1677" t="str">
        <f>"RUA DA GLORIA"</f>
        <v>RUA DA GLORIA</v>
      </c>
      <c r="Q1677" t="str">
        <f>"394"</f>
        <v>394</v>
      </c>
      <c r="R1677" t="str">
        <f>"SALA 04"</f>
        <v>SALA 04</v>
      </c>
      <c r="S1677" t="str">
        <f>"1273"</f>
        <v>1273</v>
      </c>
      <c r="T1677" t="str">
        <f>"89025300"</f>
        <v>89025300</v>
      </c>
      <c r="U1677" t="str">
        <f>"GLORIA"</f>
        <v>GLORIA</v>
      </c>
      <c r="V1677" t="str">
        <f>"BLUMENAU"</f>
        <v>BLUMENAU</v>
      </c>
      <c r="W1677" t="str">
        <f t="shared" si="855"/>
        <v>SC</v>
      </c>
      <c r="X1677" t="str">
        <f t="shared" si="847"/>
        <v>47</v>
      </c>
      <c r="Y1677" t="str">
        <f>"33360024"</f>
        <v>33360024</v>
      </c>
      <c r="Z1677" t="str">
        <f>""</f>
        <v/>
      </c>
      <c r="AA1677" t="str">
        <f>""</f>
        <v/>
      </c>
      <c r="AB1677" t="str">
        <f>""</f>
        <v/>
      </c>
      <c r="AC1677" t="str">
        <f>""</f>
        <v/>
      </c>
      <c r="AD1677" t="str">
        <f>""</f>
        <v/>
      </c>
      <c r="AE1677" t="str">
        <f>""</f>
        <v/>
      </c>
      <c r="AF1677" t="str">
        <f>""</f>
        <v/>
      </c>
      <c r="AG1677" t="str">
        <f>""</f>
        <v/>
      </c>
      <c r="AH1677" t="str">
        <f>""</f>
        <v/>
      </c>
      <c r="AI1677" t="str">
        <f>""</f>
        <v/>
      </c>
      <c r="AJ1677" t="str">
        <f>""</f>
        <v/>
      </c>
      <c r="AK1677" t="str">
        <f>""</f>
        <v/>
      </c>
      <c r="AL1677" t="str">
        <f>""</f>
        <v/>
      </c>
      <c r="AM1677" t="str">
        <f>""</f>
        <v/>
      </c>
      <c r="AN1677" t="str">
        <f>""</f>
        <v/>
      </c>
      <c r="AO1677" t="str">
        <f>""</f>
        <v/>
      </c>
      <c r="AP1677" t="str">
        <f>""</f>
        <v/>
      </c>
      <c r="AQ1677" t="str">
        <f>""</f>
        <v/>
      </c>
      <c r="AR1677" t="str">
        <f>""</f>
        <v/>
      </c>
      <c r="AS1677" t="str">
        <f>""</f>
        <v/>
      </c>
      <c r="AT1677" t="str">
        <f>""</f>
        <v/>
      </c>
      <c r="AU1677" t="str">
        <f>""</f>
        <v/>
      </c>
      <c r="AV1677" t="str">
        <f>""</f>
        <v/>
      </c>
      <c r="AW1677" t="str">
        <f>""</f>
        <v/>
      </c>
      <c r="AX1677" t="str">
        <f>""</f>
        <v/>
      </c>
      <c r="AY1677" t="str">
        <f>""</f>
        <v/>
      </c>
      <c r="AZ1677" t="str">
        <f>""</f>
        <v/>
      </c>
      <c r="BA1677" t="str">
        <f>""</f>
        <v/>
      </c>
      <c r="BB1677" t="str">
        <f>"11/07/2023 02:26:32"</f>
        <v>11/07/2023 02:26:32</v>
      </c>
      <c r="BC1677" t="str">
        <f>""</f>
        <v/>
      </c>
      <c r="BD1677" t="str">
        <f>""</f>
        <v/>
      </c>
      <c r="BE1677" t="str">
        <f>""</f>
        <v/>
      </c>
      <c r="BF1677" t="str">
        <f t="shared" si="871"/>
        <v>A</v>
      </c>
      <c r="BG1677" t="str">
        <f>""</f>
        <v/>
      </c>
      <c r="BH1677" t="str">
        <f>""</f>
        <v/>
      </c>
      <c r="BI1677" t="str">
        <f t="shared" si="877"/>
        <v>EVENTUAL</v>
      </c>
      <c r="BJ1677" t="str">
        <f t="shared" si="872"/>
        <v>1</v>
      </c>
      <c r="BK1677" t="str">
        <f t="shared" si="873"/>
        <v>Farmacia</v>
      </c>
      <c r="BL1677" t="str">
        <f>""</f>
        <v/>
      </c>
      <c r="BM1677" t="str">
        <f>""</f>
        <v/>
      </c>
      <c r="BN1677" t="str">
        <f>""</f>
        <v/>
      </c>
      <c r="BO1677" t="str">
        <f>""</f>
        <v/>
      </c>
      <c r="BP1677" t="str">
        <f>""</f>
        <v/>
      </c>
      <c r="BQ1677" t="str">
        <f>""</f>
        <v/>
      </c>
      <c r="BR1677" t="str">
        <f>"11/07/2023"</f>
        <v>11/07/2023</v>
      </c>
      <c r="BS1677" t="str">
        <f>""</f>
        <v/>
      </c>
      <c r="BT1677" t="str">
        <f>""</f>
        <v/>
      </c>
      <c r="BU1677" t="str">
        <f>""</f>
        <v/>
      </c>
      <c r="BV1677" t="str">
        <f>""</f>
        <v/>
      </c>
      <c r="BW1677" t="str">
        <f>"Não visitado"</f>
        <v>Não visitado</v>
      </c>
    </row>
    <row r="1678" spans="1:75" x14ac:dyDescent="0.35">
      <c r="A1678">
        <v>137886</v>
      </c>
      <c r="B1678" t="str">
        <f t="shared" si="867"/>
        <v>A</v>
      </c>
      <c r="C1678" t="str">
        <f t="shared" si="868"/>
        <v>80</v>
      </c>
      <c r="D1678" t="str">
        <f t="shared" si="856"/>
        <v>11121004</v>
      </c>
      <c r="E1678" t="str">
        <f t="shared" si="857"/>
        <v>121004</v>
      </c>
      <c r="F1678" t="str">
        <f t="shared" si="858"/>
        <v>FABIANA GODOY</v>
      </c>
      <c r="G1678" t="str">
        <f>"82667429000100"</f>
        <v>82667429000100</v>
      </c>
      <c r="H1678" t="str">
        <f t="shared" si="876"/>
        <v>0</v>
      </c>
      <c r="I1678" t="str">
        <f t="shared" si="869"/>
        <v>CONTA OPTICA</v>
      </c>
      <c r="J1678" t="str">
        <f>"RELOJOARIA E OTICA UNIVERSAL LTDA"</f>
        <v>RELOJOARIA E OTICA UNIVERSAL LTDA</v>
      </c>
      <c r="K1678" t="str">
        <f>"RELOJOARIA E OTICA UNIVERSAL LTDA (400)"</f>
        <v>RELOJOARIA E OTICA UNIVERSAL LTDA (400)</v>
      </c>
      <c r="L1678" t="str">
        <f>""</f>
        <v/>
      </c>
      <c r="M1678" t="str">
        <f>""</f>
        <v/>
      </c>
      <c r="N1678" t="str">
        <f>"nfe@relojoariauniversal.com.br"</f>
        <v>nfe@relojoariauniversal.com.br</v>
      </c>
      <c r="O1678" t="str">
        <f>""</f>
        <v/>
      </c>
      <c r="P1678" t="str">
        <f>"RUA QUINZE DE NOVEMBRO"</f>
        <v>RUA QUINZE DE NOVEMBRO</v>
      </c>
      <c r="Q1678" t="str">
        <f>"1513"</f>
        <v>1513</v>
      </c>
      <c r="R1678" t="str">
        <f>""</f>
        <v/>
      </c>
      <c r="S1678" t="str">
        <f>"1271"</f>
        <v>1271</v>
      </c>
      <c r="T1678" t="str">
        <f>"89010003"</f>
        <v>89010003</v>
      </c>
      <c r="U1678" t="str">
        <f>"CENTRO"</f>
        <v>CENTRO</v>
      </c>
      <c r="V1678" t="str">
        <f>"BLUMENAU"</f>
        <v>BLUMENAU</v>
      </c>
      <c r="W1678" t="str">
        <f t="shared" si="855"/>
        <v>SC</v>
      </c>
      <c r="X1678" t="str">
        <f t="shared" si="847"/>
        <v>47</v>
      </c>
      <c r="Y1678" t="str">
        <f>"31443577"</f>
        <v>31443577</v>
      </c>
      <c r="Z1678" t="str">
        <f>""</f>
        <v/>
      </c>
      <c r="AA1678" t="str">
        <f>""</f>
        <v/>
      </c>
      <c r="AB1678" t="str">
        <f>""</f>
        <v/>
      </c>
      <c r="AC1678" t="str">
        <f>""</f>
        <v/>
      </c>
      <c r="AD1678" t="str">
        <f>""</f>
        <v/>
      </c>
      <c r="AE1678" t="str">
        <f>""</f>
        <v/>
      </c>
      <c r="AF1678" t="str">
        <f>""</f>
        <v/>
      </c>
      <c r="AG1678" t="str">
        <f>"S"</f>
        <v>S</v>
      </c>
      <c r="AH1678" t="str">
        <f>""</f>
        <v/>
      </c>
      <c r="AI1678" t="str">
        <f>""</f>
        <v/>
      </c>
      <c r="AJ1678" t="str">
        <f>""</f>
        <v/>
      </c>
      <c r="AK1678" t="str">
        <f>""</f>
        <v/>
      </c>
      <c r="AL1678" t="str">
        <f>""</f>
        <v/>
      </c>
      <c r="AM1678" t="str">
        <f>""</f>
        <v/>
      </c>
      <c r="AN1678" t="str">
        <f>""</f>
        <v/>
      </c>
      <c r="AO1678" t="str">
        <f>""</f>
        <v/>
      </c>
      <c r="AP1678" t="str">
        <f>""</f>
        <v/>
      </c>
      <c r="AQ1678" t="str">
        <f>"N"</f>
        <v>N</v>
      </c>
      <c r="AR1678" t="str">
        <f>"N"</f>
        <v>N</v>
      </c>
      <c r="AS1678" t="str">
        <f>"N"</f>
        <v>N</v>
      </c>
      <c r="AT1678" t="str">
        <f>"N"</f>
        <v>N</v>
      </c>
      <c r="AU1678" t="str">
        <f>"N"</f>
        <v>N</v>
      </c>
      <c r="AV1678" t="str">
        <f>""</f>
        <v/>
      </c>
      <c r="AW1678" t="str">
        <f>""</f>
        <v/>
      </c>
      <c r="AX1678" t="str">
        <f>""</f>
        <v/>
      </c>
      <c r="AY1678" t="str">
        <f>""</f>
        <v/>
      </c>
      <c r="AZ1678" t="str">
        <f>""</f>
        <v/>
      </c>
      <c r="BA1678" t="str">
        <f>""</f>
        <v/>
      </c>
      <c r="BB1678" t="str">
        <f>"01/07/2021 13:53:04"</f>
        <v>01/07/2021 13:53:04</v>
      </c>
      <c r="BC1678" t="str">
        <f>"22/09/2021 17:27:17"</f>
        <v>22/09/2021 17:27:17</v>
      </c>
      <c r="BD1678" t="str">
        <f>""</f>
        <v/>
      </c>
      <c r="BE1678" t="str">
        <f>""</f>
        <v/>
      </c>
      <c r="BF1678" t="str">
        <f t="shared" si="871"/>
        <v>A</v>
      </c>
      <c r="BG1678" t="str">
        <f>""</f>
        <v/>
      </c>
      <c r="BH1678" t="str">
        <f>"0,00"</f>
        <v>0,00</v>
      </c>
      <c r="BI1678" t="str">
        <f t="shared" si="877"/>
        <v>EVENTUAL</v>
      </c>
      <c r="BJ1678" t="str">
        <f t="shared" si="872"/>
        <v>1</v>
      </c>
      <c r="BK1678" t="str">
        <f t="shared" si="873"/>
        <v>Farmacia</v>
      </c>
      <c r="BL1678" t="str">
        <f>""</f>
        <v/>
      </c>
      <c r="BM1678" t="str">
        <f>"VARILUX ESPECIALISTA PREMIER"</f>
        <v>VARILUX ESPECIALISTA PREMIER</v>
      </c>
      <c r="BN1678" t="str">
        <f>"NA"</f>
        <v>NA</v>
      </c>
      <c r="BO1678" t="str">
        <f>"FOCO VARILUX DIGITAL"</f>
        <v>FOCO VARILUX DIGITAL</v>
      </c>
      <c r="BP1678" t="str">
        <f>""</f>
        <v/>
      </c>
      <c r="BQ1678" t="str">
        <f>""</f>
        <v/>
      </c>
      <c r="BR1678" t="str">
        <f>"01/07/2021"</f>
        <v>01/07/2021</v>
      </c>
      <c r="BS1678" t="str">
        <f>"22/09/2021"</f>
        <v>22/09/2021</v>
      </c>
      <c r="BT1678" t="str">
        <f>""</f>
        <v/>
      </c>
      <c r="BU1678" t="str">
        <f>""</f>
        <v/>
      </c>
      <c r="BV1678" t="str">
        <f>""</f>
        <v/>
      </c>
      <c r="BW1678" t="str">
        <f>"11"</f>
        <v>11</v>
      </c>
    </row>
    <row r="1679" spans="1:75" x14ac:dyDescent="0.35">
      <c r="A1679">
        <v>1263</v>
      </c>
      <c r="B1679" t="str">
        <f t="shared" si="867"/>
        <v>A</v>
      </c>
      <c r="C1679" t="str">
        <f t="shared" si="868"/>
        <v>80</v>
      </c>
      <c r="D1679" t="str">
        <f t="shared" si="856"/>
        <v>11121004</v>
      </c>
      <c r="E1679" t="str">
        <f t="shared" si="857"/>
        <v>121004</v>
      </c>
      <c r="F1679" t="str">
        <f t="shared" si="858"/>
        <v>FABIANA GODOY</v>
      </c>
      <c r="G1679" t="str">
        <f>"04080808000187"</f>
        <v>04080808000187</v>
      </c>
      <c r="H1679" t="str">
        <f>""</f>
        <v/>
      </c>
      <c r="I1679" t="str">
        <f t="shared" si="869"/>
        <v>CONTA OPTICA</v>
      </c>
      <c r="J1679" t="str">
        <f>"RELOJOARIA E OTICA VINI LTDA ME"</f>
        <v>RELOJOARIA E OTICA VINI LTDA ME</v>
      </c>
      <c r="K1679" t="str">
        <f>"RELOJOARIA VINI (1225)"</f>
        <v>RELOJOARIA VINI (1225)</v>
      </c>
      <c r="L1679" t="str">
        <f>""</f>
        <v/>
      </c>
      <c r="M1679" t="str">
        <f>""</f>
        <v/>
      </c>
      <c r="N1679" t="str">
        <f>"oticavini@hotmail.com"</f>
        <v>oticavini@hotmail.com</v>
      </c>
      <c r="O1679" t="str">
        <f>""</f>
        <v/>
      </c>
      <c r="P1679" t="str">
        <f>"AVENIDA PRESIDENTE NEREU"</f>
        <v>AVENIDA PRESIDENTE NEREU</v>
      </c>
      <c r="Q1679" t="str">
        <f>"171"</f>
        <v>171</v>
      </c>
      <c r="R1679" t="str">
        <f>"SALA 02"</f>
        <v>SALA 02</v>
      </c>
      <c r="S1679" t="str">
        <f>"1264"</f>
        <v>1264</v>
      </c>
      <c r="T1679" t="str">
        <f>"88400000"</f>
        <v>88400000</v>
      </c>
      <c r="U1679" t="str">
        <f>"CENTRO"</f>
        <v>CENTRO</v>
      </c>
      <c r="V1679" t="str">
        <f>"ITUPORANGA"</f>
        <v>ITUPORANGA</v>
      </c>
      <c r="W1679" t="str">
        <f t="shared" si="855"/>
        <v>SC</v>
      </c>
      <c r="X1679" t="str">
        <f t="shared" si="847"/>
        <v>47</v>
      </c>
      <c r="Y1679" t="str">
        <f>"35333232"</f>
        <v>35333232</v>
      </c>
      <c r="Z1679" t="str">
        <f>""</f>
        <v/>
      </c>
      <c r="AA1679" t="str">
        <f>""</f>
        <v/>
      </c>
      <c r="AB1679" t="str">
        <f>""</f>
        <v/>
      </c>
      <c r="AC1679" t="str">
        <f>""</f>
        <v/>
      </c>
      <c r="AD1679" t="str">
        <f>""</f>
        <v/>
      </c>
      <c r="AE1679" t="str">
        <f>""</f>
        <v/>
      </c>
      <c r="AF1679" t="str">
        <f>""</f>
        <v/>
      </c>
      <c r="AG1679" t="str">
        <f>""</f>
        <v/>
      </c>
      <c r="AH1679" t="str">
        <f>""</f>
        <v/>
      </c>
      <c r="AI1679" t="str">
        <f>""</f>
        <v/>
      </c>
      <c r="AJ1679" t="str">
        <f>"0"</f>
        <v>0</v>
      </c>
      <c r="AK1679" t="str">
        <f>"0"</f>
        <v>0</v>
      </c>
      <c r="AL1679" t="str">
        <f>"0"</f>
        <v>0</v>
      </c>
      <c r="AM1679" t="str">
        <f>""</f>
        <v/>
      </c>
      <c r="AN1679" t="str">
        <f>""</f>
        <v/>
      </c>
      <c r="AO1679" t="str">
        <f>""</f>
        <v/>
      </c>
      <c r="AP1679" t="str">
        <f>""</f>
        <v/>
      </c>
      <c r="AQ1679" t="str">
        <f>""</f>
        <v/>
      </c>
      <c r="AR1679" t="str">
        <f>""</f>
        <v/>
      </c>
      <c r="AS1679" t="str">
        <f>""</f>
        <v/>
      </c>
      <c r="AT1679" t="str">
        <f>""</f>
        <v/>
      </c>
      <c r="AU1679" t="str">
        <f>""</f>
        <v/>
      </c>
      <c r="AV1679" t="str">
        <f>""</f>
        <v/>
      </c>
      <c r="AW1679" t="str">
        <f>""</f>
        <v/>
      </c>
      <c r="AX1679" t="str">
        <f>""</f>
        <v/>
      </c>
      <c r="AY1679" t="str">
        <f>""</f>
        <v/>
      </c>
      <c r="AZ1679" t="str">
        <f>""</f>
        <v/>
      </c>
      <c r="BA1679" t="str">
        <f>""</f>
        <v/>
      </c>
      <c r="BB1679" t="str">
        <f>"27/07/2018 09:26:12"</f>
        <v>27/07/2018 09:26:12</v>
      </c>
      <c r="BC1679" t="str">
        <f>""</f>
        <v/>
      </c>
      <c r="BD1679" t="str">
        <f>""</f>
        <v/>
      </c>
      <c r="BE1679" t="str">
        <f>"1263"</f>
        <v>1263</v>
      </c>
      <c r="BF1679" t="str">
        <f t="shared" si="871"/>
        <v>A</v>
      </c>
      <c r="BG1679" t="str">
        <f>"0,00"</f>
        <v>0,00</v>
      </c>
      <c r="BH1679" t="str">
        <f>"0,00"</f>
        <v>0,00</v>
      </c>
      <c r="BI1679" t="str">
        <f t="shared" si="877"/>
        <v>EVENTUAL</v>
      </c>
      <c r="BJ1679" t="str">
        <f t="shared" si="872"/>
        <v>1</v>
      </c>
      <c r="BK1679" t="str">
        <f t="shared" si="873"/>
        <v>Farmacia</v>
      </c>
      <c r="BL1679" t="str">
        <f>""</f>
        <v/>
      </c>
      <c r="BM1679" t="str">
        <f>"VARILUX ESPECIALISTA SELECT"</f>
        <v>VARILUX ESPECIALISTA SELECT</v>
      </c>
      <c r="BN1679" t="str">
        <f>"NA"</f>
        <v>NA</v>
      </c>
      <c r="BO1679" t="str">
        <f>"FOCO VARILUX DIGITAL"</f>
        <v>FOCO VARILUX DIGITAL</v>
      </c>
      <c r="BP1679" t="str">
        <f>""</f>
        <v/>
      </c>
      <c r="BQ1679" t="str">
        <f>""</f>
        <v/>
      </c>
      <c r="BR1679" t="str">
        <f>"27/07/2018"</f>
        <v>27/07/2018</v>
      </c>
      <c r="BS1679" t="str">
        <f>""</f>
        <v/>
      </c>
      <c r="BT1679" t="str">
        <f>""</f>
        <v/>
      </c>
      <c r="BU1679" t="str">
        <f>""</f>
        <v/>
      </c>
      <c r="BV1679" t="str">
        <f>"5"</f>
        <v>5</v>
      </c>
      <c r="BW1679" t="str">
        <f>"15"</f>
        <v>15</v>
      </c>
    </row>
    <row r="1680" spans="1:75" x14ac:dyDescent="0.35">
      <c r="A1680">
        <v>137888</v>
      </c>
      <c r="B1680" t="str">
        <f t="shared" si="867"/>
        <v>A</v>
      </c>
      <c r="C1680" t="str">
        <f t="shared" si="868"/>
        <v>80</v>
      </c>
      <c r="D1680" t="str">
        <f t="shared" si="856"/>
        <v>11121004</v>
      </c>
      <c r="E1680" t="str">
        <f t="shared" si="857"/>
        <v>121004</v>
      </c>
      <c r="F1680" t="str">
        <f t="shared" si="858"/>
        <v>FABIANA GODOY</v>
      </c>
      <c r="G1680" t="str">
        <f>"81524936000113"</f>
        <v>81524936000113</v>
      </c>
      <c r="H1680" t="str">
        <f t="shared" ref="H1680:H1686" si="878">"0"</f>
        <v>0</v>
      </c>
      <c r="I1680" t="str">
        <f t="shared" si="869"/>
        <v>CONTA OPTICA</v>
      </c>
      <c r="J1680" t="str">
        <f>"RELOJOARIA JJB LTDA ME"</f>
        <v>RELOJOARIA JJB LTDA ME</v>
      </c>
      <c r="K1680" t="str">
        <f>"RELOJOARIA E OTICA JJB (2289)"</f>
        <v>RELOJOARIA E OTICA JJB (2289)</v>
      </c>
      <c r="L1680" t="str">
        <f>""</f>
        <v/>
      </c>
      <c r="M1680" t="str">
        <f>""</f>
        <v/>
      </c>
      <c r="N1680" t="str">
        <f>"relojoariaeoticajjb@gmail.com"</f>
        <v>relojoariaeoticajjb@gmail.com</v>
      </c>
      <c r="O1680" t="str">
        <f>""</f>
        <v/>
      </c>
      <c r="P1680" t="str">
        <f>"RUA SANTO INACIO"</f>
        <v>RUA SANTO INACIO</v>
      </c>
      <c r="Q1680" t="str">
        <f>"245"</f>
        <v>245</v>
      </c>
      <c r="R1680" t="str">
        <f>""</f>
        <v/>
      </c>
      <c r="S1680" t="str">
        <f>"1260"</f>
        <v>1260</v>
      </c>
      <c r="T1680" t="str">
        <f>"88270000"</f>
        <v>88270000</v>
      </c>
      <c r="U1680" t="str">
        <f>"CENTRO"</f>
        <v>CENTRO</v>
      </c>
      <c r="V1680" t="str">
        <f>"NOVA TRENTO"</f>
        <v>NOVA TRENTO</v>
      </c>
      <c r="W1680" t="str">
        <f t="shared" si="855"/>
        <v>SC</v>
      </c>
      <c r="X1680" t="str">
        <f>"48"</f>
        <v>48</v>
      </c>
      <c r="Y1680" t="str">
        <f>"32670205"</f>
        <v>32670205</v>
      </c>
      <c r="Z1680" t="str">
        <f>""</f>
        <v/>
      </c>
      <c r="AA1680" t="str">
        <f>""</f>
        <v/>
      </c>
      <c r="AB1680" t="str">
        <f>""</f>
        <v/>
      </c>
      <c r="AC1680" t="str">
        <f>""</f>
        <v/>
      </c>
      <c r="AD1680" t="str">
        <f>""</f>
        <v/>
      </c>
      <c r="AE1680" t="str">
        <f>""</f>
        <v/>
      </c>
      <c r="AF1680" t="str">
        <f>""</f>
        <v/>
      </c>
      <c r="AG1680" t="str">
        <f>"S"</f>
        <v>S</v>
      </c>
      <c r="AH1680" t="str">
        <f>""</f>
        <v/>
      </c>
      <c r="AI1680" t="str">
        <f>""</f>
        <v/>
      </c>
      <c r="AJ1680" t="str">
        <f>""</f>
        <v/>
      </c>
      <c r="AK1680" t="str">
        <f>""</f>
        <v/>
      </c>
      <c r="AL1680" t="str">
        <f>""</f>
        <v/>
      </c>
      <c r="AM1680" t="str">
        <f>""</f>
        <v/>
      </c>
      <c r="AN1680" t="str">
        <f>""</f>
        <v/>
      </c>
      <c r="AO1680" t="str">
        <f>""</f>
        <v/>
      </c>
      <c r="AP1680" t="str">
        <f>""</f>
        <v/>
      </c>
      <c r="AQ1680" t="str">
        <f>"N"</f>
        <v>N</v>
      </c>
      <c r="AR1680" t="str">
        <f>"N"</f>
        <v>N</v>
      </c>
      <c r="AS1680" t="str">
        <f>"N"</f>
        <v>N</v>
      </c>
      <c r="AT1680" t="str">
        <f>"N"</f>
        <v>N</v>
      </c>
      <c r="AU1680" t="str">
        <f>"N"</f>
        <v>N</v>
      </c>
      <c r="AV1680" t="str">
        <f>""</f>
        <v/>
      </c>
      <c r="AW1680" t="str">
        <f>""</f>
        <v/>
      </c>
      <c r="AX1680" t="str">
        <f>""</f>
        <v/>
      </c>
      <c r="AY1680" t="str">
        <f>""</f>
        <v/>
      </c>
      <c r="AZ1680" t="str">
        <f>""</f>
        <v/>
      </c>
      <c r="BA1680" t="str">
        <f>""</f>
        <v/>
      </c>
      <c r="BB1680" t="str">
        <f>"01/07/2021 13:53:04"</f>
        <v>01/07/2021 13:53:04</v>
      </c>
      <c r="BC1680" t="str">
        <f>"05/04/2022 16:10:29"</f>
        <v>05/04/2022 16:10:29</v>
      </c>
      <c r="BD1680" t="str">
        <f>""</f>
        <v/>
      </c>
      <c r="BE1680" t="str">
        <f>""</f>
        <v/>
      </c>
      <c r="BF1680" t="str">
        <f t="shared" si="871"/>
        <v>A</v>
      </c>
      <c r="BG1680" t="str">
        <f>""</f>
        <v/>
      </c>
      <c r="BH1680" t="str">
        <f>"0,00"</f>
        <v>0,00</v>
      </c>
      <c r="BI1680" t="str">
        <f t="shared" si="877"/>
        <v>EVENTUAL</v>
      </c>
      <c r="BJ1680" t="str">
        <f t="shared" si="872"/>
        <v>1</v>
      </c>
      <c r="BK1680" t="str">
        <f t="shared" si="873"/>
        <v>Farmacia</v>
      </c>
      <c r="BL1680" t="str">
        <f>""</f>
        <v/>
      </c>
      <c r="BM1680" t="str">
        <f>"NÃO É VARILUX ESPECIALISTA"</f>
        <v>NÃO É VARILUX ESPECIALISTA</v>
      </c>
      <c r="BN1680" t="str">
        <f>"NA"</f>
        <v>NA</v>
      </c>
      <c r="BO1680" t="str">
        <f>"FOCO KODAK 2"</f>
        <v>FOCO KODAK 2</v>
      </c>
      <c r="BP1680" t="str">
        <f>""</f>
        <v/>
      </c>
      <c r="BQ1680" t="str">
        <f>""</f>
        <v/>
      </c>
      <c r="BR1680" t="str">
        <f>"01/07/2021"</f>
        <v>01/07/2021</v>
      </c>
      <c r="BS1680" t="str">
        <f>"05/04/2022"</f>
        <v>05/04/2022</v>
      </c>
      <c r="BT1680" t="str">
        <f>""</f>
        <v/>
      </c>
      <c r="BU1680" t="str">
        <f>""</f>
        <v/>
      </c>
      <c r="BV1680" t="str">
        <f>""</f>
        <v/>
      </c>
      <c r="BW1680" t="str">
        <f>"21"</f>
        <v>21</v>
      </c>
    </row>
    <row r="1681" spans="1:75" x14ac:dyDescent="0.35">
      <c r="A1681">
        <v>137889</v>
      </c>
      <c r="B1681" t="str">
        <f t="shared" si="867"/>
        <v>A</v>
      </c>
      <c r="C1681" t="str">
        <f t="shared" si="868"/>
        <v>80</v>
      </c>
      <c r="D1681" t="str">
        <f t="shared" si="856"/>
        <v>11121004</v>
      </c>
      <c r="E1681" t="str">
        <f t="shared" si="857"/>
        <v>121004</v>
      </c>
      <c r="F1681" t="str">
        <f t="shared" si="858"/>
        <v>FABIANA GODOY</v>
      </c>
      <c r="G1681" t="str">
        <f>"84294073000123"</f>
        <v>84294073000123</v>
      </c>
      <c r="H1681" t="str">
        <f t="shared" si="878"/>
        <v>0</v>
      </c>
      <c r="I1681" t="str">
        <f t="shared" si="869"/>
        <v>CONTA OPTICA</v>
      </c>
      <c r="J1681" t="str">
        <f>"RELOJOARIA LABES LTDA"</f>
        <v>RELOJOARIA LABES LTDA</v>
      </c>
      <c r="K1681" t="str">
        <f>"OTICA LABES (3817)"</f>
        <v>OTICA LABES (3817)</v>
      </c>
      <c r="L1681" t="str">
        <f>""</f>
        <v/>
      </c>
      <c r="M1681" t="str">
        <f>""</f>
        <v/>
      </c>
      <c r="N1681" t="str">
        <f>"nfeletronica@labesnet.com.br"</f>
        <v>nfeletronica@labesnet.com.br</v>
      </c>
      <c r="O1681" t="str">
        <f>""</f>
        <v/>
      </c>
      <c r="P1681" t="str">
        <f>"RUA HERCILIO LUZ"</f>
        <v>RUA HERCILIO LUZ</v>
      </c>
      <c r="Q1681" t="str">
        <f>"412"</f>
        <v>412</v>
      </c>
      <c r="R1681" t="str">
        <f>""</f>
        <v/>
      </c>
      <c r="S1681" t="str">
        <f>"1261"</f>
        <v>1261</v>
      </c>
      <c r="T1681" t="str">
        <f>"88301001"</f>
        <v>88301001</v>
      </c>
      <c r="U1681" t="str">
        <f>"CENTRO"</f>
        <v>CENTRO</v>
      </c>
      <c r="V1681" t="str">
        <f>"ITAJAI"</f>
        <v>ITAJAI</v>
      </c>
      <c r="W1681" t="str">
        <f t="shared" si="855"/>
        <v>SC</v>
      </c>
      <c r="X1681" t="str">
        <f>"47"</f>
        <v>47</v>
      </c>
      <c r="Y1681" t="str">
        <f>"33443327"</f>
        <v>33443327</v>
      </c>
      <c r="Z1681" t="str">
        <f>""</f>
        <v/>
      </c>
      <c r="AA1681" t="str">
        <f>""</f>
        <v/>
      </c>
      <c r="AB1681" t="str">
        <f>""</f>
        <v/>
      </c>
      <c r="AC1681" t="str">
        <f>""</f>
        <v/>
      </c>
      <c r="AD1681" t="str">
        <f>""</f>
        <v/>
      </c>
      <c r="AE1681" t="str">
        <f>""</f>
        <v/>
      </c>
      <c r="AF1681" t="str">
        <f>""</f>
        <v/>
      </c>
      <c r="AG1681" t="str">
        <f>""</f>
        <v/>
      </c>
      <c r="AH1681" t="str">
        <f>""</f>
        <v/>
      </c>
      <c r="AI1681" t="str">
        <f>""</f>
        <v/>
      </c>
      <c r="AJ1681" t="str">
        <f>""</f>
        <v/>
      </c>
      <c r="AK1681" t="str">
        <f>""</f>
        <v/>
      </c>
      <c r="AL1681" t="str">
        <f>""</f>
        <v/>
      </c>
      <c r="AM1681" t="str">
        <f>""</f>
        <v/>
      </c>
      <c r="AN1681" t="str">
        <f>""</f>
        <v/>
      </c>
      <c r="AO1681" t="str">
        <f>""</f>
        <v/>
      </c>
      <c r="AP1681" t="str">
        <f>""</f>
        <v/>
      </c>
      <c r="AQ1681" t="str">
        <f>""</f>
        <v/>
      </c>
      <c r="AR1681" t="str">
        <f>""</f>
        <v/>
      </c>
      <c r="AS1681" t="str">
        <f>""</f>
        <v/>
      </c>
      <c r="AT1681" t="str">
        <f>""</f>
        <v/>
      </c>
      <c r="AU1681" t="str">
        <f>""</f>
        <v/>
      </c>
      <c r="AV1681" t="str">
        <f>""</f>
        <v/>
      </c>
      <c r="AW1681" t="str">
        <f>""</f>
        <v/>
      </c>
      <c r="AX1681" t="str">
        <f>""</f>
        <v/>
      </c>
      <c r="AY1681" t="str">
        <f>""</f>
        <v/>
      </c>
      <c r="AZ1681" t="str">
        <f>""</f>
        <v/>
      </c>
      <c r="BA1681" t="str">
        <f>""</f>
        <v/>
      </c>
      <c r="BB1681" t="str">
        <f>"01/07/2021 13:53:04"</f>
        <v>01/07/2021 13:53:04</v>
      </c>
      <c r="BC1681" t="str">
        <f>""</f>
        <v/>
      </c>
      <c r="BD1681" t="str">
        <f>""</f>
        <v/>
      </c>
      <c r="BE1681" t="str">
        <f>""</f>
        <v/>
      </c>
      <c r="BF1681" t="str">
        <f t="shared" si="871"/>
        <v>A</v>
      </c>
      <c r="BG1681" t="str">
        <f>""</f>
        <v/>
      </c>
      <c r="BH1681" t="str">
        <f>""</f>
        <v/>
      </c>
      <c r="BI1681" t="str">
        <f t="shared" si="877"/>
        <v>EVENTUAL</v>
      </c>
      <c r="BJ1681" t="str">
        <f t="shared" si="872"/>
        <v>1</v>
      </c>
      <c r="BK1681" t="str">
        <f t="shared" si="873"/>
        <v>Farmacia</v>
      </c>
      <c r="BL1681" t="str">
        <f>""</f>
        <v/>
      </c>
      <c r="BM1681" t="str">
        <f>"NÃO É VARILUX ESPECIALISTA"</f>
        <v>NÃO É VARILUX ESPECIALISTA</v>
      </c>
      <c r="BN1681" t="str">
        <f>"EL360"</f>
        <v>EL360</v>
      </c>
      <c r="BO1681" t="str">
        <f>"OUTROS"</f>
        <v>OUTROS</v>
      </c>
      <c r="BP1681" t="str">
        <f>""</f>
        <v/>
      </c>
      <c r="BQ1681" t="str">
        <f>""</f>
        <v/>
      </c>
      <c r="BR1681" t="str">
        <f>"01/07/2021"</f>
        <v>01/07/2021</v>
      </c>
      <c r="BS1681" t="str">
        <f>""</f>
        <v/>
      </c>
      <c r="BT1681" t="str">
        <f>""</f>
        <v/>
      </c>
      <c r="BU1681" t="str">
        <f>""</f>
        <v/>
      </c>
      <c r="BV1681" t="str">
        <f>""</f>
        <v/>
      </c>
      <c r="BW1681" t="str">
        <f>"Não visitado"</f>
        <v>Não visitado</v>
      </c>
    </row>
    <row r="1682" spans="1:75" x14ac:dyDescent="0.35">
      <c r="A1682">
        <v>157793</v>
      </c>
      <c r="B1682" t="str">
        <f t="shared" si="867"/>
        <v>A</v>
      </c>
      <c r="C1682" t="str">
        <f t="shared" si="868"/>
        <v>80</v>
      </c>
      <c r="D1682" t="str">
        <f t="shared" si="856"/>
        <v>11121004</v>
      </c>
      <c r="E1682" t="str">
        <f t="shared" si="857"/>
        <v>121004</v>
      </c>
      <c r="F1682" t="str">
        <f t="shared" si="858"/>
        <v>FABIANA GODOY</v>
      </c>
      <c r="G1682" t="str">
        <f>"11041802000166"</f>
        <v>11041802000166</v>
      </c>
      <c r="H1682" t="str">
        <f t="shared" si="878"/>
        <v>0</v>
      </c>
      <c r="I1682" t="str">
        <f t="shared" si="869"/>
        <v>CONTA OPTICA</v>
      </c>
      <c r="J1682" t="str">
        <f>"RELOJOARIA REGIS OLIVEIRA LTDA ME"</f>
        <v>RELOJOARIA REGIS OLIVEIRA LTDA ME</v>
      </c>
      <c r="K1682" t="str">
        <f>"RELOJOARIA E OTICA SAO JOAO (2175)"</f>
        <v>RELOJOARIA E OTICA SAO JOAO (2175)</v>
      </c>
      <c r="L1682" t="str">
        <f>""</f>
        <v/>
      </c>
      <c r="M1682" t="str">
        <f>""</f>
        <v/>
      </c>
      <c r="N1682" t="str">
        <f>"ALINE_MILINE@HOTMAIL.COM"</f>
        <v>ALINE_MILINE@HOTMAIL.COM</v>
      </c>
      <c r="O1682" t="str">
        <f>""</f>
        <v/>
      </c>
      <c r="P1682" t="str">
        <f>"RUA NEREU RAMOS"</f>
        <v>RUA NEREU RAMOS</v>
      </c>
      <c r="Q1682" t="str">
        <f>"201"</f>
        <v>201</v>
      </c>
      <c r="R1682" t="str">
        <f>"SALA B"</f>
        <v>SALA B</v>
      </c>
      <c r="S1682" t="str">
        <f>"1260"</f>
        <v>1260</v>
      </c>
      <c r="T1682" t="str">
        <f>"88240000"</f>
        <v>88240000</v>
      </c>
      <c r="U1682" t="str">
        <f>"CENTRO"</f>
        <v>CENTRO</v>
      </c>
      <c r="V1682" t="str">
        <f>"SAO JOAO BATISTA"</f>
        <v>SAO JOAO BATISTA</v>
      </c>
      <c r="W1682" t="str">
        <f t="shared" si="855"/>
        <v>SC</v>
      </c>
      <c r="X1682" t="str">
        <f>"48"</f>
        <v>48</v>
      </c>
      <c r="Y1682" t="str">
        <f>"32652525"</f>
        <v>32652525</v>
      </c>
      <c r="Z1682" t="str">
        <f>""</f>
        <v/>
      </c>
      <c r="AA1682" t="str">
        <f>""</f>
        <v/>
      </c>
      <c r="AB1682" t="str">
        <f>""</f>
        <v/>
      </c>
      <c r="AC1682" t="str">
        <f>""</f>
        <v/>
      </c>
      <c r="AD1682" t="str">
        <f>""</f>
        <v/>
      </c>
      <c r="AE1682" t="str">
        <f>""</f>
        <v/>
      </c>
      <c r="AF1682" t="str">
        <f>""</f>
        <v/>
      </c>
      <c r="AG1682" t="str">
        <f>""</f>
        <v/>
      </c>
      <c r="AH1682" t="str">
        <f>""</f>
        <v/>
      </c>
      <c r="AI1682" t="str">
        <f>""</f>
        <v/>
      </c>
      <c r="AJ1682" t="str">
        <f>""</f>
        <v/>
      </c>
      <c r="AK1682" t="str">
        <f>""</f>
        <v/>
      </c>
      <c r="AL1682" t="str">
        <f>""</f>
        <v/>
      </c>
      <c r="AM1682" t="str">
        <f>""</f>
        <v/>
      </c>
      <c r="AN1682" t="str">
        <f>""</f>
        <v/>
      </c>
      <c r="AO1682" t="str">
        <f>""</f>
        <v/>
      </c>
      <c r="AP1682" t="str">
        <f>""</f>
        <v/>
      </c>
      <c r="AQ1682" t="str">
        <f>""</f>
        <v/>
      </c>
      <c r="AR1682" t="str">
        <f>""</f>
        <v/>
      </c>
      <c r="AS1682" t="str">
        <f>""</f>
        <v/>
      </c>
      <c r="AT1682" t="str">
        <f>""</f>
        <v/>
      </c>
      <c r="AU1682" t="str">
        <f>""</f>
        <v/>
      </c>
      <c r="AV1682" t="str">
        <f>""</f>
        <v/>
      </c>
      <c r="AW1682" t="str">
        <f>""</f>
        <v/>
      </c>
      <c r="AX1682" t="str">
        <f>""</f>
        <v/>
      </c>
      <c r="AY1682" t="str">
        <f>""</f>
        <v/>
      </c>
      <c r="AZ1682" t="str">
        <f>""</f>
        <v/>
      </c>
      <c r="BA1682" t="str">
        <f>""</f>
        <v/>
      </c>
      <c r="BB1682" t="str">
        <f>"11/07/2023 02:26:32"</f>
        <v>11/07/2023 02:26:32</v>
      </c>
      <c r="BC1682" t="str">
        <f>""</f>
        <v/>
      </c>
      <c r="BD1682" t="str">
        <f>""</f>
        <v/>
      </c>
      <c r="BE1682" t="str">
        <f>""</f>
        <v/>
      </c>
      <c r="BF1682" t="str">
        <f t="shared" si="871"/>
        <v>A</v>
      </c>
      <c r="BG1682" t="str">
        <f>""</f>
        <v/>
      </c>
      <c r="BH1682" t="str">
        <f>""</f>
        <v/>
      </c>
      <c r="BI1682" t="str">
        <f t="shared" si="877"/>
        <v>EVENTUAL</v>
      </c>
      <c r="BJ1682" t="str">
        <f t="shared" si="872"/>
        <v>1</v>
      </c>
      <c r="BK1682" t="str">
        <f t="shared" si="873"/>
        <v>Farmacia</v>
      </c>
      <c r="BL1682" t="str">
        <f>""</f>
        <v/>
      </c>
      <c r="BM1682" t="str">
        <f>""</f>
        <v/>
      </c>
      <c r="BN1682" t="str">
        <f>""</f>
        <v/>
      </c>
      <c r="BO1682" t="str">
        <f>""</f>
        <v/>
      </c>
      <c r="BP1682" t="str">
        <f>""</f>
        <v/>
      </c>
      <c r="BQ1682" t="str">
        <f>""</f>
        <v/>
      </c>
      <c r="BR1682" t="str">
        <f>"11/07/2023"</f>
        <v>11/07/2023</v>
      </c>
      <c r="BS1682" t="str">
        <f>""</f>
        <v/>
      </c>
      <c r="BT1682" t="str">
        <f>""</f>
        <v/>
      </c>
      <c r="BU1682" t="str">
        <f>""</f>
        <v/>
      </c>
      <c r="BV1682" t="str">
        <f>""</f>
        <v/>
      </c>
      <c r="BW1682" t="str">
        <f>"Não visitado"</f>
        <v>Não visitado</v>
      </c>
    </row>
    <row r="1683" spans="1:75" x14ac:dyDescent="0.35">
      <c r="A1683">
        <v>117448</v>
      </c>
      <c r="B1683" t="str">
        <f t="shared" si="867"/>
        <v>A</v>
      </c>
      <c r="C1683" t="str">
        <f t="shared" si="868"/>
        <v>80</v>
      </c>
      <c r="D1683" t="str">
        <f t="shared" si="856"/>
        <v>11121004</v>
      </c>
      <c r="E1683" t="str">
        <f t="shared" si="857"/>
        <v>121004</v>
      </c>
      <c r="F1683" t="str">
        <f t="shared" si="858"/>
        <v>FABIANA GODOY</v>
      </c>
      <c r="G1683" t="str">
        <f>"00328091000199"</f>
        <v>00328091000199</v>
      </c>
      <c r="H1683" t="str">
        <f t="shared" si="878"/>
        <v>0</v>
      </c>
      <c r="I1683" t="str">
        <f t="shared" si="869"/>
        <v>CONTA OPTICA</v>
      </c>
      <c r="J1683" t="str">
        <f>"RELOJOARIA STONFER LTDA"</f>
        <v>RELOJOARIA STONFER LTDA</v>
      </c>
      <c r="K1683" t="str">
        <f>"RELOJOARIA STONFER LTDA (915)"</f>
        <v>RELOJOARIA STONFER LTDA (915)</v>
      </c>
      <c r="L1683" t="str">
        <f>""</f>
        <v/>
      </c>
      <c r="M1683" t="str">
        <f>""</f>
        <v/>
      </c>
      <c r="N1683" t="str">
        <f>"stonfer@stonfer.com.br"</f>
        <v>stonfer@stonfer.com.br</v>
      </c>
      <c r="O1683" t="str">
        <f>""</f>
        <v/>
      </c>
      <c r="P1683" t="str">
        <f>"RUA ADRIANO SCHEFFER"</f>
        <v>RUA ADRIANO SCHEFFER</v>
      </c>
      <c r="Q1683" t="str">
        <f>"13"</f>
        <v>13</v>
      </c>
      <c r="R1683" t="str">
        <f>""</f>
        <v/>
      </c>
      <c r="S1683" t="str">
        <f>"1263"</f>
        <v>1263</v>
      </c>
      <c r="T1683" t="str">
        <f>"88359321"</f>
        <v>88359321</v>
      </c>
      <c r="U1683" t="str">
        <f>"DOM JOAQUIM"</f>
        <v>DOM JOAQUIM</v>
      </c>
      <c r="V1683" t="str">
        <f>"BRUSQUE"</f>
        <v>BRUSQUE</v>
      </c>
      <c r="W1683" t="str">
        <f t="shared" si="855"/>
        <v>SC</v>
      </c>
      <c r="X1683" t="str">
        <f t="shared" ref="X1683:X1695" si="879">"47"</f>
        <v>47</v>
      </c>
      <c r="Y1683" t="str">
        <f>"30194947"</f>
        <v>30194947</v>
      </c>
      <c r="Z1683" t="str">
        <f>""</f>
        <v/>
      </c>
      <c r="AA1683" t="str">
        <f>""</f>
        <v/>
      </c>
      <c r="AB1683" t="str">
        <f>""</f>
        <v/>
      </c>
      <c r="AC1683" t="str">
        <f>""</f>
        <v/>
      </c>
      <c r="AD1683" t="str">
        <f>""</f>
        <v/>
      </c>
      <c r="AE1683" t="str">
        <f>""</f>
        <v/>
      </c>
      <c r="AF1683" t="str">
        <f>""</f>
        <v/>
      </c>
      <c r="AG1683" t="str">
        <f>""</f>
        <v/>
      </c>
      <c r="AH1683" t="str">
        <f>""</f>
        <v/>
      </c>
      <c r="AI1683" t="str">
        <f>""</f>
        <v/>
      </c>
      <c r="AJ1683" t="str">
        <f>"0"</f>
        <v>0</v>
      </c>
      <c r="AK1683" t="str">
        <f>"0"</f>
        <v>0</v>
      </c>
      <c r="AL1683" t="str">
        <f>"0"</f>
        <v>0</v>
      </c>
      <c r="AM1683" t="str">
        <f>""</f>
        <v/>
      </c>
      <c r="AN1683" t="str">
        <f>""</f>
        <v/>
      </c>
      <c r="AO1683" t="str">
        <f>""</f>
        <v/>
      </c>
      <c r="AP1683" t="str">
        <f>""</f>
        <v/>
      </c>
      <c r="AQ1683" t="str">
        <f>""</f>
        <v/>
      </c>
      <c r="AR1683" t="str">
        <f>""</f>
        <v/>
      </c>
      <c r="AS1683" t="str">
        <f>""</f>
        <v/>
      </c>
      <c r="AT1683" t="str">
        <f>""</f>
        <v/>
      </c>
      <c r="AU1683" t="str">
        <f>""</f>
        <v/>
      </c>
      <c r="AV1683" t="str">
        <f>""</f>
        <v/>
      </c>
      <c r="AW1683" t="str">
        <f>""</f>
        <v/>
      </c>
      <c r="AX1683" t="str">
        <f>""</f>
        <v/>
      </c>
      <c r="AY1683" t="str">
        <f>""</f>
        <v/>
      </c>
      <c r="AZ1683" t="str">
        <f>""</f>
        <v/>
      </c>
      <c r="BA1683" t="str">
        <f>""</f>
        <v/>
      </c>
      <c r="BB1683" t="str">
        <f>"22/07/2020 08:24:23"</f>
        <v>22/07/2020 08:24:23</v>
      </c>
      <c r="BC1683" t="str">
        <f>""</f>
        <v/>
      </c>
      <c r="BD1683" t="str">
        <f>""</f>
        <v/>
      </c>
      <c r="BE1683" t="str">
        <f>""</f>
        <v/>
      </c>
      <c r="BF1683" t="str">
        <f t="shared" si="871"/>
        <v>A</v>
      </c>
      <c r="BG1683" t="str">
        <f>"0,00"</f>
        <v>0,00</v>
      </c>
      <c r="BH1683" t="str">
        <f>"0,00"</f>
        <v>0,00</v>
      </c>
      <c r="BI1683" t="str">
        <f t="shared" si="877"/>
        <v>EVENTUAL</v>
      </c>
      <c r="BJ1683" t="str">
        <f t="shared" si="872"/>
        <v>1</v>
      </c>
      <c r="BK1683" t="str">
        <f t="shared" si="873"/>
        <v>Farmacia</v>
      </c>
      <c r="BL1683" t="str">
        <f>""</f>
        <v/>
      </c>
      <c r="BM1683" t="str">
        <f>"NÃO É VARILUX ESPECIALISTA"</f>
        <v>NÃO É VARILUX ESPECIALISTA</v>
      </c>
      <c r="BN1683" t="str">
        <f>"NA"</f>
        <v>NA</v>
      </c>
      <c r="BO1683" t="str">
        <f>"FOCO VARILUX"</f>
        <v>FOCO VARILUX</v>
      </c>
      <c r="BP1683" t="str">
        <f>""</f>
        <v/>
      </c>
      <c r="BQ1683" t="str">
        <f>""</f>
        <v/>
      </c>
      <c r="BR1683" t="str">
        <f>"22/07/2020"</f>
        <v>22/07/2020</v>
      </c>
      <c r="BS1683" t="str">
        <f>""</f>
        <v/>
      </c>
      <c r="BT1683" t="str">
        <f>""</f>
        <v/>
      </c>
      <c r="BU1683" t="str">
        <f>""</f>
        <v/>
      </c>
      <c r="BV1683" t="str">
        <f>"5"</f>
        <v>5</v>
      </c>
      <c r="BW1683" t="str">
        <f>"42"</f>
        <v>42</v>
      </c>
    </row>
    <row r="1684" spans="1:75" x14ac:dyDescent="0.35">
      <c r="A1684">
        <v>137892</v>
      </c>
      <c r="B1684" t="str">
        <f t="shared" si="867"/>
        <v>A</v>
      </c>
      <c r="C1684" t="str">
        <f t="shared" si="868"/>
        <v>80</v>
      </c>
      <c r="D1684" t="str">
        <f t="shared" si="856"/>
        <v>11121004</v>
      </c>
      <c r="E1684" t="str">
        <f t="shared" si="857"/>
        <v>121004</v>
      </c>
      <c r="F1684" t="str">
        <f t="shared" si="858"/>
        <v>FABIANA GODOY</v>
      </c>
      <c r="G1684" t="str">
        <f>"81788986000108"</f>
        <v>81788986000108</v>
      </c>
      <c r="H1684" t="str">
        <f t="shared" si="878"/>
        <v>0</v>
      </c>
      <c r="I1684" t="str">
        <f t="shared" si="869"/>
        <v>CONTA OPTICA</v>
      </c>
      <c r="J1684" t="str">
        <f>"RELOJOARIA TRIBESS LTDA"</f>
        <v>RELOJOARIA TRIBESS LTDA</v>
      </c>
      <c r="K1684" t="str">
        <f>"RELOJOARIA TRIBESS LTDA (1043)"</f>
        <v>RELOJOARIA TRIBESS LTDA (1043)</v>
      </c>
      <c r="L1684" t="str">
        <f>""</f>
        <v/>
      </c>
      <c r="M1684" t="str">
        <f>""</f>
        <v/>
      </c>
      <c r="N1684" t="str">
        <f>"relojoariatribess@brturbo.com.br"</f>
        <v>relojoariatribess@brturbo.com.br</v>
      </c>
      <c r="O1684" t="str">
        <f>""</f>
        <v/>
      </c>
      <c r="P1684" t="str">
        <f>"RUA DOUTOR PEDRO ZIMMERMANN"</f>
        <v>RUA DOUTOR PEDRO ZIMMERMANN</v>
      </c>
      <c r="Q1684" t="str">
        <f>"7288"</f>
        <v>7288</v>
      </c>
      <c r="R1684" t="str">
        <f>""</f>
        <v/>
      </c>
      <c r="S1684" t="str">
        <f>"1273"</f>
        <v>1273</v>
      </c>
      <c r="T1684" t="str">
        <f>"89068001"</f>
        <v>89068001</v>
      </c>
      <c r="U1684" t="str">
        <f>"ITOUPAVA CENTRAL"</f>
        <v>ITOUPAVA CENTRAL</v>
      </c>
      <c r="V1684" t="str">
        <f>"BLUMENAU"</f>
        <v>BLUMENAU</v>
      </c>
      <c r="W1684" t="str">
        <f t="shared" si="855"/>
        <v>SC</v>
      </c>
      <c r="X1684" t="str">
        <f t="shared" si="879"/>
        <v>47</v>
      </c>
      <c r="Y1684" t="str">
        <f>"33371607"</f>
        <v>33371607</v>
      </c>
      <c r="Z1684" t="str">
        <f>""</f>
        <v/>
      </c>
      <c r="AA1684" t="str">
        <f>""</f>
        <v/>
      </c>
      <c r="AB1684" t="str">
        <f>""</f>
        <v/>
      </c>
      <c r="AC1684" t="str">
        <f>""</f>
        <v/>
      </c>
      <c r="AD1684" t="str">
        <f>""</f>
        <v/>
      </c>
      <c r="AE1684" t="str">
        <f>""</f>
        <v/>
      </c>
      <c r="AF1684" t="str">
        <f>""</f>
        <v/>
      </c>
      <c r="AG1684" t="str">
        <f>"S"</f>
        <v>S</v>
      </c>
      <c r="AH1684" t="str">
        <f>""</f>
        <v/>
      </c>
      <c r="AI1684" t="str">
        <f>""</f>
        <v/>
      </c>
      <c r="AJ1684" t="str">
        <f>""</f>
        <v/>
      </c>
      <c r="AK1684" t="str">
        <f>""</f>
        <v/>
      </c>
      <c r="AL1684" t="str">
        <f>""</f>
        <v/>
      </c>
      <c r="AM1684" t="str">
        <f>""</f>
        <v/>
      </c>
      <c r="AN1684" t="str">
        <f>""</f>
        <v/>
      </c>
      <c r="AO1684" t="str">
        <f>""</f>
        <v/>
      </c>
      <c r="AP1684" t="str">
        <f>""</f>
        <v/>
      </c>
      <c r="AQ1684" t="str">
        <f t="shared" ref="AQ1684:AU1685" si="880">"N"</f>
        <v>N</v>
      </c>
      <c r="AR1684" t="str">
        <f t="shared" si="880"/>
        <v>N</v>
      </c>
      <c r="AS1684" t="str">
        <f t="shared" si="880"/>
        <v>N</v>
      </c>
      <c r="AT1684" t="str">
        <f t="shared" si="880"/>
        <v>N</v>
      </c>
      <c r="AU1684" t="str">
        <f t="shared" si="880"/>
        <v>N</v>
      </c>
      <c r="AV1684" t="str">
        <f>""</f>
        <v/>
      </c>
      <c r="AW1684" t="str">
        <f>""</f>
        <v/>
      </c>
      <c r="AX1684" t="str">
        <f>""</f>
        <v/>
      </c>
      <c r="AY1684" t="str">
        <f>""</f>
        <v/>
      </c>
      <c r="AZ1684" t="str">
        <f>""</f>
        <v/>
      </c>
      <c r="BA1684" t="str">
        <f>""</f>
        <v/>
      </c>
      <c r="BB1684" t="str">
        <f>"01/07/2021 13:53:04"</f>
        <v>01/07/2021 13:53:04</v>
      </c>
      <c r="BC1684" t="str">
        <f>"25/07/2023 15:46:32"</f>
        <v>25/07/2023 15:46:32</v>
      </c>
      <c r="BD1684" t="str">
        <f>""</f>
        <v/>
      </c>
      <c r="BE1684" t="str">
        <f>""</f>
        <v/>
      </c>
      <c r="BF1684" t="str">
        <f t="shared" si="871"/>
        <v>A</v>
      </c>
      <c r="BG1684" t="str">
        <f>""</f>
        <v/>
      </c>
      <c r="BH1684" t="str">
        <f>"0,00"</f>
        <v>0,00</v>
      </c>
      <c r="BI1684" t="str">
        <f>"MENSAL"</f>
        <v>MENSAL</v>
      </c>
      <c r="BJ1684" t="str">
        <f t="shared" si="872"/>
        <v>1</v>
      </c>
      <c r="BK1684" t="str">
        <f t="shared" si="873"/>
        <v>Farmacia</v>
      </c>
      <c r="BL1684" t="str">
        <f>""</f>
        <v/>
      </c>
      <c r="BM1684" t="str">
        <f>"VARILUX ESPECIALISTA SELECT"</f>
        <v>VARILUX ESPECIALISTA SELECT</v>
      </c>
      <c r="BN1684" t="str">
        <f>"NA"</f>
        <v>NA</v>
      </c>
      <c r="BO1684" t="str">
        <f>"FOCO VARILUX DIGITAL"</f>
        <v>FOCO VARILUX DIGITAL</v>
      </c>
      <c r="BP1684" t="str">
        <f>""</f>
        <v/>
      </c>
      <c r="BQ1684" t="str">
        <f>""</f>
        <v/>
      </c>
      <c r="BR1684" t="str">
        <f>"01/07/2021"</f>
        <v>01/07/2021</v>
      </c>
      <c r="BS1684" t="str">
        <f>"25/07/2023"</f>
        <v>25/07/2023</v>
      </c>
      <c r="BT1684" t="str">
        <f>""</f>
        <v/>
      </c>
      <c r="BU1684" t="str">
        <f>""</f>
        <v/>
      </c>
      <c r="BV1684" t="str">
        <f>""</f>
        <v/>
      </c>
      <c r="BW1684" t="str">
        <f>"11"</f>
        <v>11</v>
      </c>
    </row>
    <row r="1685" spans="1:75" x14ac:dyDescent="0.35">
      <c r="A1685">
        <v>137893</v>
      </c>
      <c r="B1685" t="str">
        <f t="shared" si="867"/>
        <v>A</v>
      </c>
      <c r="C1685" t="str">
        <f t="shared" si="868"/>
        <v>80</v>
      </c>
      <c r="D1685" t="str">
        <f t="shared" si="856"/>
        <v>11121004</v>
      </c>
      <c r="E1685" t="str">
        <f t="shared" si="857"/>
        <v>121004</v>
      </c>
      <c r="F1685" t="str">
        <f t="shared" si="858"/>
        <v>FABIANA GODOY</v>
      </c>
      <c r="G1685" t="str">
        <f>"34675032000109"</f>
        <v>34675032000109</v>
      </c>
      <c r="H1685" t="str">
        <f t="shared" si="878"/>
        <v>0</v>
      </c>
      <c r="I1685" t="str">
        <f t="shared" si="869"/>
        <v>CONTA OPTICA</v>
      </c>
      <c r="J1685" t="str">
        <f>"RENAN ALEX BORG"</f>
        <v>RENAN ALEX BORG</v>
      </c>
      <c r="K1685" t="str">
        <f>"PILGRIM ESPECIALISTA EM OCULOS (4054)"</f>
        <v>PILGRIM ESPECIALISTA EM OCULOS (4054)</v>
      </c>
      <c r="L1685" t="str">
        <f>""</f>
        <v/>
      </c>
      <c r="M1685" t="str">
        <f>""</f>
        <v/>
      </c>
      <c r="N1685" t="str">
        <f>""</f>
        <v/>
      </c>
      <c r="O1685" t="str">
        <f>""</f>
        <v/>
      </c>
      <c r="P1685" t="str">
        <f>"AVENIDA ITAJUBA"</f>
        <v>AVENIDA ITAJUBA</v>
      </c>
      <c r="Q1685" t="str">
        <f>"3906"</f>
        <v>3906</v>
      </c>
      <c r="R1685" t="str">
        <f>"SL 02"</f>
        <v>SL 02</v>
      </c>
      <c r="S1685" t="str">
        <f>"1263"</f>
        <v>1263</v>
      </c>
      <c r="T1685" t="str">
        <f>"88390000"</f>
        <v>88390000</v>
      </c>
      <c r="U1685" t="str">
        <f>"ITAJUBA"</f>
        <v>ITAJUBA</v>
      </c>
      <c r="V1685" t="str">
        <f>"BARRA VELHA"</f>
        <v>BARRA VELHA</v>
      </c>
      <c r="W1685" t="str">
        <f t="shared" si="855"/>
        <v>SC</v>
      </c>
      <c r="X1685" t="str">
        <f t="shared" si="879"/>
        <v>47</v>
      </c>
      <c r="Y1685" t="str">
        <f>"992166026"</f>
        <v>992166026</v>
      </c>
      <c r="Z1685" t="str">
        <f>""</f>
        <v/>
      </c>
      <c r="AA1685" t="str">
        <f>""</f>
        <v/>
      </c>
      <c r="AB1685" t="str">
        <f>""</f>
        <v/>
      </c>
      <c r="AC1685" t="str">
        <f>""</f>
        <v/>
      </c>
      <c r="AD1685" t="str">
        <f>""</f>
        <v/>
      </c>
      <c r="AE1685" t="str">
        <f>""</f>
        <v/>
      </c>
      <c r="AF1685" t="str">
        <f>""</f>
        <v/>
      </c>
      <c r="AG1685" t="str">
        <f>"S"</f>
        <v>S</v>
      </c>
      <c r="AH1685" t="str">
        <f>""</f>
        <v/>
      </c>
      <c r="AI1685" t="str">
        <f>""</f>
        <v/>
      </c>
      <c r="AJ1685" t="str">
        <f>""</f>
        <v/>
      </c>
      <c r="AK1685" t="str">
        <f>""</f>
        <v/>
      </c>
      <c r="AL1685" t="str">
        <f>""</f>
        <v/>
      </c>
      <c r="AM1685" t="str">
        <f>""</f>
        <v/>
      </c>
      <c r="AN1685" t="str">
        <f>""</f>
        <v/>
      </c>
      <c r="AO1685" t="str">
        <f>""</f>
        <v/>
      </c>
      <c r="AP1685" t="str">
        <f>""</f>
        <v/>
      </c>
      <c r="AQ1685" t="str">
        <f t="shared" si="880"/>
        <v>N</v>
      </c>
      <c r="AR1685" t="str">
        <f t="shared" si="880"/>
        <v>N</v>
      </c>
      <c r="AS1685" t="str">
        <f t="shared" si="880"/>
        <v>N</v>
      </c>
      <c r="AT1685" t="str">
        <f t="shared" si="880"/>
        <v>N</v>
      </c>
      <c r="AU1685" t="str">
        <f t="shared" si="880"/>
        <v>N</v>
      </c>
      <c r="AV1685" t="str">
        <f>""</f>
        <v/>
      </c>
      <c r="AW1685" t="str">
        <f>""</f>
        <v/>
      </c>
      <c r="AX1685" t="str">
        <f>""</f>
        <v/>
      </c>
      <c r="AY1685" t="str">
        <f>""</f>
        <v/>
      </c>
      <c r="AZ1685" t="str">
        <f>""</f>
        <v/>
      </c>
      <c r="BA1685" t="str">
        <f>""</f>
        <v/>
      </c>
      <c r="BB1685" t="str">
        <f>"01/07/2021 13:53:04"</f>
        <v>01/07/2021 13:53:04</v>
      </c>
      <c r="BC1685" t="str">
        <f>"08/03/2022 08:52:25"</f>
        <v>08/03/2022 08:52:25</v>
      </c>
      <c r="BD1685" t="str">
        <f>""</f>
        <v/>
      </c>
      <c r="BE1685" t="str">
        <f>""</f>
        <v/>
      </c>
      <c r="BF1685" t="str">
        <f t="shared" si="871"/>
        <v>A</v>
      </c>
      <c r="BG1685" t="str">
        <f>""</f>
        <v/>
      </c>
      <c r="BH1685" t="str">
        <f>"0,00"</f>
        <v>0,00</v>
      </c>
      <c r="BI1685" t="str">
        <f t="shared" ref="BI1685:BI1691" si="881">"EVENTUAL"</f>
        <v>EVENTUAL</v>
      </c>
      <c r="BJ1685" t="str">
        <f t="shared" si="872"/>
        <v>1</v>
      </c>
      <c r="BK1685" t="str">
        <f t="shared" si="873"/>
        <v>Farmacia</v>
      </c>
      <c r="BL1685" t="str">
        <f>""</f>
        <v/>
      </c>
      <c r="BM1685" t="str">
        <f>"NÃO É VARILUX ESPECIALISTA"</f>
        <v>NÃO É VARILUX ESPECIALISTA</v>
      </c>
      <c r="BN1685" t="str">
        <f>"NA"</f>
        <v>NA</v>
      </c>
      <c r="BO1685" t="str">
        <f>"FOCO VARILUX DIGITAL"</f>
        <v>FOCO VARILUX DIGITAL</v>
      </c>
      <c r="BP1685" t="str">
        <f>""</f>
        <v/>
      </c>
      <c r="BQ1685" t="str">
        <f>""</f>
        <v/>
      </c>
      <c r="BR1685" t="str">
        <f>"01/07/2021"</f>
        <v>01/07/2021</v>
      </c>
      <c r="BS1685" t="str">
        <f>"08/03/2022"</f>
        <v>08/03/2022</v>
      </c>
      <c r="BT1685" t="str">
        <f>""</f>
        <v/>
      </c>
      <c r="BU1685" t="str">
        <f>""</f>
        <v/>
      </c>
      <c r="BV1685" t="str">
        <f>""</f>
        <v/>
      </c>
      <c r="BW1685" t="str">
        <f>"44"</f>
        <v>44</v>
      </c>
    </row>
    <row r="1686" spans="1:75" x14ac:dyDescent="0.35">
      <c r="A1686">
        <v>157761</v>
      </c>
      <c r="B1686" t="str">
        <f t="shared" si="867"/>
        <v>A</v>
      </c>
      <c r="C1686" t="str">
        <f t="shared" si="868"/>
        <v>80</v>
      </c>
      <c r="D1686" t="str">
        <f t="shared" si="856"/>
        <v>11121004</v>
      </c>
      <c r="E1686" t="str">
        <f t="shared" si="857"/>
        <v>121004</v>
      </c>
      <c r="F1686" t="str">
        <f t="shared" si="858"/>
        <v>FABIANA GODOY</v>
      </c>
      <c r="G1686" t="str">
        <f>"08809977000166"</f>
        <v>08809977000166</v>
      </c>
      <c r="H1686" t="str">
        <f t="shared" si="878"/>
        <v>0</v>
      </c>
      <c r="I1686" t="str">
        <f t="shared" si="869"/>
        <v>CONTA OPTICA</v>
      </c>
      <c r="J1686" t="str">
        <f>"RICARDO FELIPE ME"</f>
        <v>RICARDO FELIPE ME</v>
      </c>
      <c r="K1686" t="str">
        <f>"OPTICA SAFIRA (1306)"</f>
        <v>OPTICA SAFIRA (1306)</v>
      </c>
      <c r="L1686" t="str">
        <f>""</f>
        <v/>
      </c>
      <c r="M1686" t="str">
        <f>""</f>
        <v/>
      </c>
      <c r="N1686" t="str">
        <f>"opticasafira@brturbo.com.br"</f>
        <v>opticasafira@brturbo.com.br</v>
      </c>
      <c r="O1686" t="str">
        <f>""</f>
        <v/>
      </c>
      <c r="P1686" t="str">
        <f>"RUA GENERAL OSORIO"</f>
        <v>RUA GENERAL OSORIO</v>
      </c>
      <c r="Q1686" t="str">
        <f>"25"</f>
        <v>25</v>
      </c>
      <c r="R1686" t="str">
        <f>"SALA 02"</f>
        <v>SALA 02</v>
      </c>
      <c r="S1686" t="str">
        <f>"1275"</f>
        <v>1275</v>
      </c>
      <c r="T1686" t="str">
        <f>"89120000"</f>
        <v>89120000</v>
      </c>
      <c r="U1686" t="str">
        <f>"CENTRO"</f>
        <v>CENTRO</v>
      </c>
      <c r="V1686" t="str">
        <f>"TIMBO"</f>
        <v>TIMBO</v>
      </c>
      <c r="W1686" t="str">
        <f t="shared" si="855"/>
        <v>SC</v>
      </c>
      <c r="X1686" t="str">
        <f t="shared" si="879"/>
        <v>47</v>
      </c>
      <c r="Y1686" t="str">
        <f>"33820880"</f>
        <v>33820880</v>
      </c>
      <c r="Z1686" t="str">
        <f>""</f>
        <v/>
      </c>
      <c r="AA1686" t="str">
        <f>""</f>
        <v/>
      </c>
      <c r="AB1686" t="str">
        <f>""</f>
        <v/>
      </c>
      <c r="AC1686" t="str">
        <f>""</f>
        <v/>
      </c>
      <c r="AD1686" t="str">
        <f>""</f>
        <v/>
      </c>
      <c r="AE1686" t="str">
        <f>""</f>
        <v/>
      </c>
      <c r="AF1686" t="str">
        <f>""</f>
        <v/>
      </c>
      <c r="AG1686" t="str">
        <f>""</f>
        <v/>
      </c>
      <c r="AH1686" t="str">
        <f>""</f>
        <v/>
      </c>
      <c r="AI1686" t="str">
        <f>""</f>
        <v/>
      </c>
      <c r="AJ1686" t="str">
        <f>""</f>
        <v/>
      </c>
      <c r="AK1686" t="str">
        <f>""</f>
        <v/>
      </c>
      <c r="AL1686" t="str">
        <f>""</f>
        <v/>
      </c>
      <c r="AM1686" t="str">
        <f>""</f>
        <v/>
      </c>
      <c r="AN1686" t="str">
        <f>""</f>
        <v/>
      </c>
      <c r="AO1686" t="str">
        <f>""</f>
        <v/>
      </c>
      <c r="AP1686" t="str">
        <f>""</f>
        <v/>
      </c>
      <c r="AQ1686" t="str">
        <f>""</f>
        <v/>
      </c>
      <c r="AR1686" t="str">
        <f>""</f>
        <v/>
      </c>
      <c r="AS1686" t="str">
        <f>""</f>
        <v/>
      </c>
      <c r="AT1686" t="str">
        <f>""</f>
        <v/>
      </c>
      <c r="AU1686" t="str">
        <f>""</f>
        <v/>
      </c>
      <c r="AV1686" t="str">
        <f>""</f>
        <v/>
      </c>
      <c r="AW1686" t="str">
        <f>""</f>
        <v/>
      </c>
      <c r="AX1686" t="str">
        <f>""</f>
        <v/>
      </c>
      <c r="AY1686" t="str">
        <f>""</f>
        <v/>
      </c>
      <c r="AZ1686" t="str">
        <f>""</f>
        <v/>
      </c>
      <c r="BA1686" t="str">
        <f>""</f>
        <v/>
      </c>
      <c r="BB1686" t="str">
        <f>"11/07/2023 02:26:32"</f>
        <v>11/07/2023 02:26:32</v>
      </c>
      <c r="BC1686" t="str">
        <f>""</f>
        <v/>
      </c>
      <c r="BD1686" t="str">
        <f>""</f>
        <v/>
      </c>
      <c r="BE1686" t="str">
        <f>""</f>
        <v/>
      </c>
      <c r="BF1686" t="str">
        <f t="shared" si="871"/>
        <v>A</v>
      </c>
      <c r="BG1686" t="str">
        <f>""</f>
        <v/>
      </c>
      <c r="BH1686" t="str">
        <f>""</f>
        <v/>
      </c>
      <c r="BI1686" t="str">
        <f t="shared" si="881"/>
        <v>EVENTUAL</v>
      </c>
      <c r="BJ1686" t="str">
        <f t="shared" si="872"/>
        <v>1</v>
      </c>
      <c r="BK1686" t="str">
        <f t="shared" si="873"/>
        <v>Farmacia</v>
      </c>
      <c r="BL1686" t="str">
        <f>""</f>
        <v/>
      </c>
      <c r="BM1686" t="str">
        <f>""</f>
        <v/>
      </c>
      <c r="BN1686" t="str">
        <f>""</f>
        <v/>
      </c>
      <c r="BO1686" t="str">
        <f>""</f>
        <v/>
      </c>
      <c r="BP1686" t="str">
        <f>""</f>
        <v/>
      </c>
      <c r="BQ1686" t="str">
        <f>""</f>
        <v/>
      </c>
      <c r="BR1686" t="str">
        <f>"11/07/2023"</f>
        <v>11/07/2023</v>
      </c>
      <c r="BS1686" t="str">
        <f>""</f>
        <v/>
      </c>
      <c r="BT1686" t="str">
        <f>""</f>
        <v/>
      </c>
      <c r="BU1686" t="str">
        <f>""</f>
        <v/>
      </c>
      <c r="BV1686" t="str">
        <f>""</f>
        <v/>
      </c>
      <c r="BW1686" t="str">
        <f>"Não visitado"</f>
        <v>Não visitado</v>
      </c>
    </row>
    <row r="1687" spans="1:75" x14ac:dyDescent="0.35">
      <c r="A1687">
        <v>158716</v>
      </c>
      <c r="B1687" t="str">
        <f t="shared" si="867"/>
        <v>A</v>
      </c>
      <c r="C1687" t="str">
        <f t="shared" si="868"/>
        <v>80</v>
      </c>
      <c r="D1687" t="str">
        <f t="shared" si="856"/>
        <v>11121004</v>
      </c>
      <c r="E1687" t="str">
        <f t="shared" si="857"/>
        <v>121004</v>
      </c>
      <c r="F1687" t="str">
        <f t="shared" si="858"/>
        <v>FABIANA GODOY</v>
      </c>
      <c r="G1687" t="str">
        <f>"78264736000164"</f>
        <v>78264736000164</v>
      </c>
      <c r="H1687" t="str">
        <f>""</f>
        <v/>
      </c>
      <c r="I1687" t="str">
        <f t="shared" si="869"/>
        <v>CONTA OPTICA</v>
      </c>
      <c r="J1687" t="str">
        <f>"RIOVALE COMERCIO DE MATERIAL OTICO LTDA"</f>
        <v>RIOVALE COMERCIO DE MATERIAL OTICO LTDA</v>
      </c>
      <c r="K1687" t="str">
        <f>"OTICA VISAO (4735)"</f>
        <v>OTICA VISAO (4735)</v>
      </c>
      <c r="L1687" t="str">
        <f>""</f>
        <v/>
      </c>
      <c r="M1687" t="str">
        <f>""</f>
        <v/>
      </c>
      <c r="N1687" t="str">
        <f>"LULAMFERRO@GMAIL.COM"</f>
        <v>LULAMFERRO@GMAIL.COM</v>
      </c>
      <c r="O1687" t="str">
        <f>""</f>
        <v/>
      </c>
      <c r="P1687" t="str">
        <f>"ARISTILIANO RAMOS"</f>
        <v>ARISTILIANO RAMOS</v>
      </c>
      <c r="Q1687" t="str">
        <f>"2"</f>
        <v>2</v>
      </c>
      <c r="R1687" t="str">
        <f>""</f>
        <v/>
      </c>
      <c r="S1687" t="str">
        <f>""</f>
        <v/>
      </c>
      <c r="T1687" t="str">
        <f>"89160149"</f>
        <v>89160149</v>
      </c>
      <c r="U1687" t="str">
        <f>"CENTRO"</f>
        <v>CENTRO</v>
      </c>
      <c r="V1687" t="str">
        <f>"RIO DO SUL"</f>
        <v>RIO DO SUL</v>
      </c>
      <c r="W1687" t="str">
        <f t="shared" si="855"/>
        <v>SC</v>
      </c>
      <c r="X1687" t="str">
        <f t="shared" si="879"/>
        <v>47</v>
      </c>
      <c r="Y1687" t="str">
        <f>"35213311"</f>
        <v>35213311</v>
      </c>
      <c r="Z1687" t="str">
        <f>""</f>
        <v/>
      </c>
      <c r="AA1687" t="str">
        <f>""</f>
        <v/>
      </c>
      <c r="AB1687" t="str">
        <f>""</f>
        <v/>
      </c>
      <c r="AC1687" t="str">
        <f>""</f>
        <v/>
      </c>
      <c r="AD1687" t="str">
        <f>""</f>
        <v/>
      </c>
      <c r="AE1687" t="str">
        <f>""</f>
        <v/>
      </c>
      <c r="AF1687" t="str">
        <f>""</f>
        <v/>
      </c>
      <c r="AG1687" t="str">
        <f>""</f>
        <v/>
      </c>
      <c r="AH1687" t="str">
        <f>""</f>
        <v/>
      </c>
      <c r="AI1687" t="str">
        <f>""</f>
        <v/>
      </c>
      <c r="AJ1687" t="str">
        <f>""</f>
        <v/>
      </c>
      <c r="AK1687" t="str">
        <f>""</f>
        <v/>
      </c>
      <c r="AL1687" t="str">
        <f>""</f>
        <v/>
      </c>
      <c r="AM1687" t="str">
        <f>""</f>
        <v/>
      </c>
      <c r="AN1687" t="str">
        <f>""</f>
        <v/>
      </c>
      <c r="AO1687" t="str">
        <f>""</f>
        <v/>
      </c>
      <c r="AP1687" t="str">
        <f>""</f>
        <v/>
      </c>
      <c r="AQ1687" t="str">
        <f>""</f>
        <v/>
      </c>
      <c r="AR1687" t="str">
        <f>""</f>
        <v/>
      </c>
      <c r="AS1687" t="str">
        <f>""</f>
        <v/>
      </c>
      <c r="AT1687" t="str">
        <f>""</f>
        <v/>
      </c>
      <c r="AU1687" t="str">
        <f>""</f>
        <v/>
      </c>
      <c r="AV1687" t="str">
        <f>""</f>
        <v/>
      </c>
      <c r="AW1687" t="str">
        <f>""</f>
        <v/>
      </c>
      <c r="AX1687" t="str">
        <f>""</f>
        <v/>
      </c>
      <c r="AY1687" t="str">
        <f>""</f>
        <v/>
      </c>
      <c r="AZ1687" t="str">
        <f>""</f>
        <v/>
      </c>
      <c r="BA1687" t="str">
        <f>""</f>
        <v/>
      </c>
      <c r="BB1687" t="str">
        <f>"17/08/2023 16:48:06"</f>
        <v>17/08/2023 16:48:06</v>
      </c>
      <c r="BC1687" t="str">
        <f>""</f>
        <v/>
      </c>
      <c r="BD1687" t="str">
        <f>""</f>
        <v/>
      </c>
      <c r="BE1687" t="str">
        <f>""</f>
        <v/>
      </c>
      <c r="BF1687" t="str">
        <f t="shared" si="871"/>
        <v>A</v>
      </c>
      <c r="BG1687" t="str">
        <f>""</f>
        <v/>
      </c>
      <c r="BH1687" t="str">
        <f>""</f>
        <v/>
      </c>
      <c r="BI1687" t="str">
        <f t="shared" si="881"/>
        <v>EVENTUAL</v>
      </c>
      <c r="BJ1687" t="str">
        <f t="shared" si="872"/>
        <v>1</v>
      </c>
      <c r="BK1687" t="str">
        <f t="shared" si="873"/>
        <v>Farmacia</v>
      </c>
      <c r="BL1687" t="str">
        <f>""</f>
        <v/>
      </c>
      <c r="BM1687" t="str">
        <f>""</f>
        <v/>
      </c>
      <c r="BN1687" t="str">
        <f>""</f>
        <v/>
      </c>
      <c r="BO1687" t="str">
        <f>""</f>
        <v/>
      </c>
      <c r="BP1687" t="str">
        <f>""</f>
        <v/>
      </c>
      <c r="BQ1687" t="str">
        <f>""</f>
        <v/>
      </c>
      <c r="BR1687" t="str">
        <f>"17/08/2023"</f>
        <v>17/08/2023</v>
      </c>
      <c r="BS1687" t="str">
        <f>""</f>
        <v/>
      </c>
      <c r="BT1687" t="str">
        <f>""</f>
        <v/>
      </c>
      <c r="BU1687" t="str">
        <f>""</f>
        <v/>
      </c>
      <c r="BV1687" t="str">
        <f>""</f>
        <v/>
      </c>
      <c r="BW1687" t="str">
        <f>"Não visitado"</f>
        <v>Não visitado</v>
      </c>
    </row>
    <row r="1688" spans="1:75" x14ac:dyDescent="0.35">
      <c r="A1688">
        <v>157752</v>
      </c>
      <c r="B1688" t="str">
        <f t="shared" si="867"/>
        <v>A</v>
      </c>
      <c r="C1688" t="str">
        <f t="shared" si="868"/>
        <v>80</v>
      </c>
      <c r="D1688" t="str">
        <f t="shared" si="856"/>
        <v>11121004</v>
      </c>
      <c r="E1688" t="str">
        <f t="shared" si="857"/>
        <v>121004</v>
      </c>
      <c r="F1688" t="str">
        <f t="shared" si="858"/>
        <v>FABIANA GODOY</v>
      </c>
      <c r="G1688" t="str">
        <f>"06231487000604"</f>
        <v>06231487000604</v>
      </c>
      <c r="H1688" t="str">
        <f>"0"</f>
        <v>0</v>
      </c>
      <c r="I1688" t="str">
        <f t="shared" si="869"/>
        <v>CONTA OPTICA</v>
      </c>
      <c r="J1688" t="str">
        <f>"RM &amp; V COMERCIO IMPORTACAO E EXPORTACAO DE PRODUTOS OPTICOS"</f>
        <v>RM &amp; V COMERCIO IMPORTACAO E EXPORTACAO DE PRODUTOS OPTICOS</v>
      </c>
      <c r="K1688" t="str">
        <f>"CHROMA OTICA (4107)"</f>
        <v>CHROMA OTICA (4107)</v>
      </c>
      <c r="L1688" t="str">
        <f>""</f>
        <v/>
      </c>
      <c r="M1688" t="str">
        <f>""</f>
        <v/>
      </c>
      <c r="N1688" t="str">
        <f>"VILANOVA@CHROMAOTICA.COM.BR"</f>
        <v>VILANOVA@CHROMAOTICA.COM.BR</v>
      </c>
      <c r="O1688" t="str">
        <f>""</f>
        <v/>
      </c>
      <c r="P1688" t="str">
        <f>"RUA RUA ALMIRANTE BARROSO"</f>
        <v>RUA RUA ALMIRANTE BARROSO</v>
      </c>
      <c r="Q1688" t="str">
        <f>"1399"</f>
        <v>1399</v>
      </c>
      <c r="R1688" t="str">
        <f>"SALA 04"</f>
        <v>SALA 04</v>
      </c>
      <c r="S1688" t="str">
        <f>"1273"</f>
        <v>1273</v>
      </c>
      <c r="T1688" t="str">
        <f>"89035402"</f>
        <v>89035402</v>
      </c>
      <c r="U1688" t="str">
        <f>"VILA NOVA"</f>
        <v>VILA NOVA</v>
      </c>
      <c r="V1688" t="str">
        <f>"BLUMENAU"</f>
        <v>BLUMENAU</v>
      </c>
      <c r="W1688" t="str">
        <f t="shared" si="855"/>
        <v>SC</v>
      </c>
      <c r="X1688" t="str">
        <f t="shared" si="879"/>
        <v>47</v>
      </c>
      <c r="Y1688" t="str">
        <f>"30376232"</f>
        <v>30376232</v>
      </c>
      <c r="Z1688" t="str">
        <f>""</f>
        <v/>
      </c>
      <c r="AA1688" t="str">
        <f>""</f>
        <v/>
      </c>
      <c r="AB1688" t="str">
        <f>""</f>
        <v/>
      </c>
      <c r="AC1688" t="str">
        <f>""</f>
        <v/>
      </c>
      <c r="AD1688" t="str">
        <f>""</f>
        <v/>
      </c>
      <c r="AE1688" t="str">
        <f>""</f>
        <v/>
      </c>
      <c r="AF1688" t="str">
        <f>""</f>
        <v/>
      </c>
      <c r="AG1688" t="str">
        <f>""</f>
        <v/>
      </c>
      <c r="AH1688" t="str">
        <f>""</f>
        <v/>
      </c>
      <c r="AI1688" t="str">
        <f>""</f>
        <v/>
      </c>
      <c r="AJ1688" t="str">
        <f>""</f>
        <v/>
      </c>
      <c r="AK1688" t="str">
        <f>""</f>
        <v/>
      </c>
      <c r="AL1688" t="str">
        <f>""</f>
        <v/>
      </c>
      <c r="AM1688" t="str">
        <f>""</f>
        <v/>
      </c>
      <c r="AN1688" t="str">
        <f>""</f>
        <v/>
      </c>
      <c r="AO1688" t="str">
        <f>""</f>
        <v/>
      </c>
      <c r="AP1688" t="str">
        <f>""</f>
        <v/>
      </c>
      <c r="AQ1688" t="str">
        <f>""</f>
        <v/>
      </c>
      <c r="AR1688" t="str">
        <f>""</f>
        <v/>
      </c>
      <c r="AS1688" t="str">
        <f>""</f>
        <v/>
      </c>
      <c r="AT1688" t="str">
        <f>""</f>
        <v/>
      </c>
      <c r="AU1688" t="str">
        <f>""</f>
        <v/>
      </c>
      <c r="AV1688" t="str">
        <f>""</f>
        <v/>
      </c>
      <c r="AW1688" t="str">
        <f>""</f>
        <v/>
      </c>
      <c r="AX1688" t="str">
        <f>""</f>
        <v/>
      </c>
      <c r="AY1688" t="str">
        <f>""</f>
        <v/>
      </c>
      <c r="AZ1688" t="str">
        <f>""</f>
        <v/>
      </c>
      <c r="BA1688" t="str">
        <f>""</f>
        <v/>
      </c>
      <c r="BB1688" t="str">
        <f>"11/07/2023 02:26:32"</f>
        <v>11/07/2023 02:26:32</v>
      </c>
      <c r="BC1688" t="str">
        <f>""</f>
        <v/>
      </c>
      <c r="BD1688" t="str">
        <f>""</f>
        <v/>
      </c>
      <c r="BE1688" t="str">
        <f>""</f>
        <v/>
      </c>
      <c r="BF1688" t="str">
        <f t="shared" si="871"/>
        <v>A</v>
      </c>
      <c r="BG1688" t="str">
        <f>""</f>
        <v/>
      </c>
      <c r="BH1688" t="str">
        <f>""</f>
        <v/>
      </c>
      <c r="BI1688" t="str">
        <f t="shared" si="881"/>
        <v>EVENTUAL</v>
      </c>
      <c r="BJ1688" t="str">
        <f t="shared" si="872"/>
        <v>1</v>
      </c>
      <c r="BK1688" t="str">
        <f t="shared" si="873"/>
        <v>Farmacia</v>
      </c>
      <c r="BL1688" t="str">
        <f>""</f>
        <v/>
      </c>
      <c r="BM1688" t="str">
        <f>""</f>
        <v/>
      </c>
      <c r="BN1688" t="str">
        <f>""</f>
        <v/>
      </c>
      <c r="BO1688" t="str">
        <f>""</f>
        <v/>
      </c>
      <c r="BP1688" t="str">
        <f>""</f>
        <v/>
      </c>
      <c r="BQ1688" t="str">
        <f>""</f>
        <v/>
      </c>
      <c r="BR1688" t="str">
        <f>"11/07/2023"</f>
        <v>11/07/2023</v>
      </c>
      <c r="BS1688" t="str">
        <f>""</f>
        <v/>
      </c>
      <c r="BT1688" t="str">
        <f>""</f>
        <v/>
      </c>
      <c r="BU1688" t="str">
        <f>""</f>
        <v/>
      </c>
      <c r="BV1688" t="str">
        <f>""</f>
        <v/>
      </c>
      <c r="BW1688" t="str">
        <f>"Não visitado"</f>
        <v>Não visitado</v>
      </c>
    </row>
    <row r="1689" spans="1:75" x14ac:dyDescent="0.35">
      <c r="A1689">
        <v>157739</v>
      </c>
      <c r="B1689" t="str">
        <f t="shared" si="867"/>
        <v>A</v>
      </c>
      <c r="C1689" t="str">
        <f t="shared" si="868"/>
        <v>80</v>
      </c>
      <c r="D1689" t="str">
        <f t="shared" si="856"/>
        <v>11121004</v>
      </c>
      <c r="E1689" t="str">
        <f t="shared" si="857"/>
        <v>121004</v>
      </c>
      <c r="F1689" t="str">
        <f t="shared" si="858"/>
        <v>FABIANA GODOY</v>
      </c>
      <c r="G1689" t="str">
        <f>"06231487000523"</f>
        <v>06231487000523</v>
      </c>
      <c r="H1689" t="str">
        <f>"0"</f>
        <v>0</v>
      </c>
      <c r="I1689" t="str">
        <f t="shared" si="869"/>
        <v>CONTA OPTICA</v>
      </c>
      <c r="J1689" t="str">
        <f>"RM E V COMERCIO IMPORTACAO E EXPORTACAO DE PRODUTOS OPTICOS"</f>
        <v>RM E V COMERCIO IMPORTACAO E EXPORTACAO DE PRODUTOS OPTICOS</v>
      </c>
      <c r="K1689" t="str">
        <f>"OTICA WINNIKES (3871)"</f>
        <v>OTICA WINNIKES (3871)</v>
      </c>
      <c r="L1689" t="str">
        <f>""</f>
        <v/>
      </c>
      <c r="M1689" t="str">
        <f>""</f>
        <v/>
      </c>
      <c r="N1689" t="str">
        <f>""</f>
        <v/>
      </c>
      <c r="O1689" t="str">
        <f>""</f>
        <v/>
      </c>
      <c r="P1689" t="str">
        <f>"RUA BR-470"</f>
        <v>RUA BR-470</v>
      </c>
      <c r="Q1689" t="str">
        <f>"3000"</f>
        <v>3000</v>
      </c>
      <c r="R1689" t="str">
        <f>"SL 187"</f>
        <v>SL 187</v>
      </c>
      <c r="S1689" t="str">
        <f>"1273"</f>
        <v>1273</v>
      </c>
      <c r="T1689" t="str">
        <f>"89065800"</f>
        <v>89065800</v>
      </c>
      <c r="U1689" t="str">
        <f>"SALTO DO NORTE"</f>
        <v>SALTO DO NORTE</v>
      </c>
      <c r="V1689" t="str">
        <f>"BLUMENAU"</f>
        <v>BLUMENAU</v>
      </c>
      <c r="W1689" t="str">
        <f t="shared" si="855"/>
        <v>SC</v>
      </c>
      <c r="X1689" t="str">
        <f t="shared" si="879"/>
        <v>47</v>
      </c>
      <c r="Y1689" t="str">
        <f>"30572282"</f>
        <v>30572282</v>
      </c>
      <c r="Z1689" t="str">
        <f>""</f>
        <v/>
      </c>
      <c r="AA1689" t="str">
        <f>""</f>
        <v/>
      </c>
      <c r="AB1689" t="str">
        <f>""</f>
        <v/>
      </c>
      <c r="AC1689" t="str">
        <f>""</f>
        <v/>
      </c>
      <c r="AD1689" t="str">
        <f>""</f>
        <v/>
      </c>
      <c r="AE1689" t="str">
        <f>""</f>
        <v/>
      </c>
      <c r="AF1689" t="str">
        <f>""</f>
        <v/>
      </c>
      <c r="AG1689" t="str">
        <f>""</f>
        <v/>
      </c>
      <c r="AH1689" t="str">
        <f>""</f>
        <v/>
      </c>
      <c r="AI1689" t="str">
        <f>""</f>
        <v/>
      </c>
      <c r="AJ1689" t="str">
        <f>""</f>
        <v/>
      </c>
      <c r="AK1689" t="str">
        <f>""</f>
        <v/>
      </c>
      <c r="AL1689" t="str">
        <f>""</f>
        <v/>
      </c>
      <c r="AM1689" t="str">
        <f>""</f>
        <v/>
      </c>
      <c r="AN1689" t="str">
        <f>""</f>
        <v/>
      </c>
      <c r="AO1689" t="str">
        <f>""</f>
        <v/>
      </c>
      <c r="AP1689" t="str">
        <f>""</f>
        <v/>
      </c>
      <c r="AQ1689" t="str">
        <f>""</f>
        <v/>
      </c>
      <c r="AR1689" t="str">
        <f>""</f>
        <v/>
      </c>
      <c r="AS1689" t="str">
        <f>""</f>
        <v/>
      </c>
      <c r="AT1689" t="str">
        <f>""</f>
        <v/>
      </c>
      <c r="AU1689" t="str">
        <f>""</f>
        <v/>
      </c>
      <c r="AV1689" t="str">
        <f>""</f>
        <v/>
      </c>
      <c r="AW1689" t="str">
        <f>""</f>
        <v/>
      </c>
      <c r="AX1689" t="str">
        <f>""</f>
        <v/>
      </c>
      <c r="AY1689" t="str">
        <f>""</f>
        <v/>
      </c>
      <c r="AZ1689" t="str">
        <f>""</f>
        <v/>
      </c>
      <c r="BA1689" t="str">
        <f>""</f>
        <v/>
      </c>
      <c r="BB1689" t="str">
        <f>"11/07/2023 02:26:32"</f>
        <v>11/07/2023 02:26:32</v>
      </c>
      <c r="BC1689" t="str">
        <f>""</f>
        <v/>
      </c>
      <c r="BD1689" t="str">
        <f>""</f>
        <v/>
      </c>
      <c r="BE1689" t="str">
        <f>""</f>
        <v/>
      </c>
      <c r="BF1689" t="str">
        <f t="shared" si="871"/>
        <v>A</v>
      </c>
      <c r="BG1689" t="str">
        <f>""</f>
        <v/>
      </c>
      <c r="BH1689" t="str">
        <f>""</f>
        <v/>
      </c>
      <c r="BI1689" t="str">
        <f t="shared" si="881"/>
        <v>EVENTUAL</v>
      </c>
      <c r="BJ1689" t="str">
        <f t="shared" si="872"/>
        <v>1</v>
      </c>
      <c r="BK1689" t="str">
        <f t="shared" si="873"/>
        <v>Farmacia</v>
      </c>
      <c r="BL1689" t="str">
        <f>""</f>
        <v/>
      </c>
      <c r="BM1689" t="str">
        <f>""</f>
        <v/>
      </c>
      <c r="BN1689" t="str">
        <f>""</f>
        <v/>
      </c>
      <c r="BO1689" t="str">
        <f>""</f>
        <v/>
      </c>
      <c r="BP1689" t="str">
        <f>""</f>
        <v/>
      </c>
      <c r="BQ1689" t="str">
        <f>""</f>
        <v/>
      </c>
      <c r="BR1689" t="str">
        <f>"11/07/2023"</f>
        <v>11/07/2023</v>
      </c>
      <c r="BS1689" t="str">
        <f>""</f>
        <v/>
      </c>
      <c r="BT1689" t="str">
        <f>""</f>
        <v/>
      </c>
      <c r="BU1689" t="str">
        <f>""</f>
        <v/>
      </c>
      <c r="BV1689" t="str">
        <f>""</f>
        <v/>
      </c>
      <c r="BW1689" t="str">
        <f>"Não visitado"</f>
        <v>Não visitado</v>
      </c>
    </row>
    <row r="1690" spans="1:75" x14ac:dyDescent="0.35">
      <c r="A1690">
        <v>1289</v>
      </c>
      <c r="B1690" t="str">
        <f t="shared" si="867"/>
        <v>A</v>
      </c>
      <c r="C1690" t="str">
        <f t="shared" si="868"/>
        <v>80</v>
      </c>
      <c r="D1690" t="str">
        <f t="shared" si="856"/>
        <v>11121004</v>
      </c>
      <c r="E1690" t="str">
        <f t="shared" si="857"/>
        <v>121004</v>
      </c>
      <c r="F1690" t="str">
        <f t="shared" si="858"/>
        <v>FABIANA GODOY</v>
      </c>
      <c r="G1690" t="str">
        <f>"06231487000108"</f>
        <v>06231487000108</v>
      </c>
      <c r="H1690" t="str">
        <f>""</f>
        <v/>
      </c>
      <c r="I1690" t="str">
        <f t="shared" si="869"/>
        <v>CONTA OPTICA</v>
      </c>
      <c r="J1690" t="str">
        <f>"RM E V COMERCIO IMPORTACAO E EXPORTACAO DE PRODUTOS OPTICOS"</f>
        <v>RM E V COMERCIO IMPORTACAO E EXPORTACAO DE PRODUTOS OPTICOS</v>
      </c>
      <c r="K1690" t="str">
        <f>"CHROMA OTICA NEUMARKT (581)"</f>
        <v>CHROMA OTICA NEUMARKT (581)</v>
      </c>
      <c r="L1690" t="str">
        <f>""</f>
        <v/>
      </c>
      <c r="M1690" t="str">
        <f>""</f>
        <v/>
      </c>
      <c r="N1690" t="str">
        <f>"rmevloja2@hotmail.com"</f>
        <v>rmevloja2@hotmail.com</v>
      </c>
      <c r="O1690" t="str">
        <f>""</f>
        <v/>
      </c>
      <c r="P1690" t="str">
        <f>"AVENIDA SETE DE SETEMBRO"</f>
        <v>AVENIDA SETE DE SETEMBRO</v>
      </c>
      <c r="Q1690" t="str">
        <f>"1213"</f>
        <v>1213</v>
      </c>
      <c r="R1690" t="str">
        <f>"LJ 075"</f>
        <v>LJ 075</v>
      </c>
      <c r="S1690" t="str">
        <f>"1271"</f>
        <v>1271</v>
      </c>
      <c r="T1690" t="str">
        <f>"89010203"</f>
        <v>89010203</v>
      </c>
      <c r="U1690" t="str">
        <f>"CENTRO"</f>
        <v>CENTRO</v>
      </c>
      <c r="V1690" t="str">
        <f>"BLUMENAU"</f>
        <v>BLUMENAU</v>
      </c>
      <c r="W1690" t="str">
        <f t="shared" si="855"/>
        <v>SC</v>
      </c>
      <c r="X1690" t="str">
        <f t="shared" si="879"/>
        <v>47</v>
      </c>
      <c r="Y1690" t="str">
        <f>"30411415"</f>
        <v>30411415</v>
      </c>
      <c r="Z1690" t="str">
        <f>""</f>
        <v/>
      </c>
      <c r="AA1690" t="str">
        <f>""</f>
        <v/>
      </c>
      <c r="AB1690" t="str">
        <f>""</f>
        <v/>
      </c>
      <c r="AC1690" t="str">
        <f>""</f>
        <v/>
      </c>
      <c r="AD1690" t="str">
        <f>""</f>
        <v/>
      </c>
      <c r="AE1690" t="str">
        <f>""</f>
        <v/>
      </c>
      <c r="AF1690" t="str">
        <f>""</f>
        <v/>
      </c>
      <c r="AG1690" t="str">
        <f>""</f>
        <v/>
      </c>
      <c r="AH1690" t="str">
        <f>""</f>
        <v/>
      </c>
      <c r="AI1690" t="str">
        <f>""</f>
        <v/>
      </c>
      <c r="AJ1690" t="str">
        <f>"0"</f>
        <v>0</v>
      </c>
      <c r="AK1690" t="str">
        <f>"0"</f>
        <v>0</v>
      </c>
      <c r="AL1690" t="str">
        <f>"0"</f>
        <v>0</v>
      </c>
      <c r="AM1690" t="str">
        <f>""</f>
        <v/>
      </c>
      <c r="AN1690" t="str">
        <f>""</f>
        <v/>
      </c>
      <c r="AO1690" t="str">
        <f>""</f>
        <v/>
      </c>
      <c r="AP1690" t="str">
        <f>""</f>
        <v/>
      </c>
      <c r="AQ1690" t="str">
        <f>""</f>
        <v/>
      </c>
      <c r="AR1690" t="str">
        <f>""</f>
        <v/>
      </c>
      <c r="AS1690" t="str">
        <f>""</f>
        <v/>
      </c>
      <c r="AT1690" t="str">
        <f>""</f>
        <v/>
      </c>
      <c r="AU1690" t="str">
        <f>""</f>
        <v/>
      </c>
      <c r="AV1690" t="str">
        <f>""</f>
        <v/>
      </c>
      <c r="AW1690" t="str">
        <f>""</f>
        <v/>
      </c>
      <c r="AX1690" t="str">
        <f>""</f>
        <v/>
      </c>
      <c r="AY1690" t="str">
        <f>""</f>
        <v/>
      </c>
      <c r="AZ1690" t="str">
        <f>""</f>
        <v/>
      </c>
      <c r="BA1690" t="str">
        <f>""</f>
        <v/>
      </c>
      <c r="BB1690" t="str">
        <f>"27/07/2018 09:26:13"</f>
        <v>27/07/2018 09:26:13</v>
      </c>
      <c r="BC1690" t="str">
        <f>""</f>
        <v/>
      </c>
      <c r="BD1690" t="str">
        <f>""</f>
        <v/>
      </c>
      <c r="BE1690" t="str">
        <f>"1289"</f>
        <v>1289</v>
      </c>
      <c r="BF1690" t="str">
        <f t="shared" si="871"/>
        <v>A</v>
      </c>
      <c r="BG1690" t="str">
        <f>"0,00"</f>
        <v>0,00</v>
      </c>
      <c r="BH1690" t="str">
        <f>"0,00"</f>
        <v>0,00</v>
      </c>
      <c r="BI1690" t="str">
        <f t="shared" si="881"/>
        <v>EVENTUAL</v>
      </c>
      <c r="BJ1690" t="str">
        <f t="shared" si="872"/>
        <v>1</v>
      </c>
      <c r="BK1690" t="str">
        <f t="shared" si="873"/>
        <v>Farmacia</v>
      </c>
      <c r="BL1690" t="str">
        <f>""</f>
        <v/>
      </c>
      <c r="BM1690" t="str">
        <f>"NÃO É VARILUX ESPECIALISTA"</f>
        <v>NÃO É VARILUX ESPECIALISTA</v>
      </c>
      <c r="BN1690" t="str">
        <f>"EL360"</f>
        <v>EL360</v>
      </c>
      <c r="BO1690" t="str">
        <f>"FOCO VARILUX DIGITAL"</f>
        <v>FOCO VARILUX DIGITAL</v>
      </c>
      <c r="BP1690" t="str">
        <f>""</f>
        <v/>
      </c>
      <c r="BQ1690" t="str">
        <f>""</f>
        <v/>
      </c>
      <c r="BR1690" t="str">
        <f>"27/07/2018"</f>
        <v>27/07/2018</v>
      </c>
      <c r="BS1690" t="str">
        <f>""</f>
        <v/>
      </c>
      <c r="BT1690" t="str">
        <f>""</f>
        <v/>
      </c>
      <c r="BU1690" t="str">
        <f>""</f>
        <v/>
      </c>
      <c r="BV1690" t="str">
        <f>"1"</f>
        <v>1</v>
      </c>
      <c r="BW1690" t="str">
        <f>"70"</f>
        <v>70</v>
      </c>
    </row>
    <row r="1691" spans="1:75" x14ac:dyDescent="0.35">
      <c r="A1691">
        <v>157800</v>
      </c>
      <c r="B1691" t="str">
        <f t="shared" si="867"/>
        <v>A</v>
      </c>
      <c r="C1691" t="str">
        <f t="shared" si="868"/>
        <v>80</v>
      </c>
      <c r="D1691" t="str">
        <f t="shared" si="856"/>
        <v>11121004</v>
      </c>
      <c r="E1691" t="str">
        <f t="shared" si="857"/>
        <v>121004</v>
      </c>
      <c r="F1691" t="str">
        <f t="shared" si="858"/>
        <v>FABIANA GODOY</v>
      </c>
      <c r="G1691" t="str">
        <f>"83952010000154"</f>
        <v>83952010000154</v>
      </c>
      <c r="H1691" t="str">
        <f t="shared" ref="H1691:H1698" si="882">"0"</f>
        <v>0</v>
      </c>
      <c r="I1691" t="str">
        <f t="shared" si="869"/>
        <v>CONTA OPTICA</v>
      </c>
      <c r="J1691" t="str">
        <f>"ROBERTO DANKER"</f>
        <v>ROBERTO DANKER</v>
      </c>
      <c r="K1691" t="str">
        <f>"RELOJOARIA SUICA (1874)"</f>
        <v>RELOJOARIA SUICA (1874)</v>
      </c>
      <c r="L1691" t="str">
        <f>""</f>
        <v/>
      </c>
      <c r="M1691" t="str">
        <f>""</f>
        <v/>
      </c>
      <c r="N1691" t="str">
        <f>"RELOJOARIASUICASC@GMAIL.COM"</f>
        <v>RELOJOARIASUICASC@GMAIL.COM</v>
      </c>
      <c r="O1691" t="str">
        <f>""</f>
        <v/>
      </c>
      <c r="P1691" t="str">
        <f>"NEREU RAMOS"</f>
        <v>NEREU RAMOS</v>
      </c>
      <c r="Q1691" t="str">
        <f>"408"</f>
        <v>408</v>
      </c>
      <c r="R1691" t="str">
        <f>""</f>
        <v/>
      </c>
      <c r="S1691" t="str">
        <f>"1263"</f>
        <v>1263</v>
      </c>
      <c r="T1691" t="str">
        <f>"88380000"</f>
        <v>88380000</v>
      </c>
      <c r="U1691" t="str">
        <f>"CENTRO"</f>
        <v>CENTRO</v>
      </c>
      <c r="V1691" t="str">
        <f>"BALNEARIO PICARRAS"</f>
        <v>BALNEARIO PICARRAS</v>
      </c>
      <c r="W1691" t="str">
        <f t="shared" si="855"/>
        <v>SC</v>
      </c>
      <c r="X1691" t="str">
        <f t="shared" si="879"/>
        <v>47</v>
      </c>
      <c r="Y1691" t="str">
        <f>"33451018"</f>
        <v>33451018</v>
      </c>
      <c r="Z1691" t="str">
        <f>""</f>
        <v/>
      </c>
      <c r="AA1691" t="str">
        <f>""</f>
        <v/>
      </c>
      <c r="AB1691" t="str">
        <f>""</f>
        <v/>
      </c>
      <c r="AC1691" t="str">
        <f>""</f>
        <v/>
      </c>
      <c r="AD1691" t="str">
        <f>""</f>
        <v/>
      </c>
      <c r="AE1691" t="str">
        <f>""</f>
        <v/>
      </c>
      <c r="AF1691" t="str">
        <f>""</f>
        <v/>
      </c>
      <c r="AG1691" t="str">
        <f>""</f>
        <v/>
      </c>
      <c r="AH1691" t="str">
        <f>""</f>
        <v/>
      </c>
      <c r="AI1691" t="str">
        <f>""</f>
        <v/>
      </c>
      <c r="AJ1691" t="str">
        <f>""</f>
        <v/>
      </c>
      <c r="AK1691" t="str">
        <f>""</f>
        <v/>
      </c>
      <c r="AL1691" t="str">
        <f>""</f>
        <v/>
      </c>
      <c r="AM1691" t="str">
        <f>""</f>
        <v/>
      </c>
      <c r="AN1691" t="str">
        <f>""</f>
        <v/>
      </c>
      <c r="AO1691" t="str">
        <f>""</f>
        <v/>
      </c>
      <c r="AP1691" t="str">
        <f>""</f>
        <v/>
      </c>
      <c r="AQ1691" t="str">
        <f>""</f>
        <v/>
      </c>
      <c r="AR1691" t="str">
        <f>""</f>
        <v/>
      </c>
      <c r="AS1691" t="str">
        <f>""</f>
        <v/>
      </c>
      <c r="AT1691" t="str">
        <f>""</f>
        <v/>
      </c>
      <c r="AU1691" t="str">
        <f>""</f>
        <v/>
      </c>
      <c r="AV1691" t="str">
        <f>""</f>
        <v/>
      </c>
      <c r="AW1691" t="str">
        <f>""</f>
        <v/>
      </c>
      <c r="AX1691" t="str">
        <f>""</f>
        <v/>
      </c>
      <c r="AY1691" t="str">
        <f>""</f>
        <v/>
      </c>
      <c r="AZ1691" t="str">
        <f>""</f>
        <v/>
      </c>
      <c r="BA1691" t="str">
        <f>""</f>
        <v/>
      </c>
      <c r="BB1691" t="str">
        <f>"11/07/2023 02:26:32"</f>
        <v>11/07/2023 02:26:32</v>
      </c>
      <c r="BC1691" t="str">
        <f>""</f>
        <v/>
      </c>
      <c r="BD1691" t="str">
        <f>""</f>
        <v/>
      </c>
      <c r="BE1691" t="str">
        <f>""</f>
        <v/>
      </c>
      <c r="BF1691" t="str">
        <f t="shared" si="871"/>
        <v>A</v>
      </c>
      <c r="BG1691" t="str">
        <f>""</f>
        <v/>
      </c>
      <c r="BH1691" t="str">
        <f>""</f>
        <v/>
      </c>
      <c r="BI1691" t="str">
        <f t="shared" si="881"/>
        <v>EVENTUAL</v>
      </c>
      <c r="BJ1691" t="str">
        <f t="shared" si="872"/>
        <v>1</v>
      </c>
      <c r="BK1691" t="str">
        <f t="shared" si="873"/>
        <v>Farmacia</v>
      </c>
      <c r="BL1691" t="str">
        <f>""</f>
        <v/>
      </c>
      <c r="BM1691" t="str">
        <f>""</f>
        <v/>
      </c>
      <c r="BN1691" t="str">
        <f>""</f>
        <v/>
      </c>
      <c r="BO1691" t="str">
        <f>""</f>
        <v/>
      </c>
      <c r="BP1691" t="str">
        <f>""</f>
        <v/>
      </c>
      <c r="BQ1691" t="str">
        <f>""</f>
        <v/>
      </c>
      <c r="BR1691" t="str">
        <f>"11/07/2023"</f>
        <v>11/07/2023</v>
      </c>
      <c r="BS1691" t="str">
        <f>""</f>
        <v/>
      </c>
      <c r="BT1691" t="str">
        <f>""</f>
        <v/>
      </c>
      <c r="BU1691" t="str">
        <f>""</f>
        <v/>
      </c>
      <c r="BV1691" t="str">
        <f>""</f>
        <v/>
      </c>
      <c r="BW1691" t="str">
        <f>"Não visitado"</f>
        <v>Não visitado</v>
      </c>
    </row>
    <row r="1692" spans="1:75" x14ac:dyDescent="0.35">
      <c r="A1692">
        <v>137901</v>
      </c>
      <c r="B1692" t="str">
        <f t="shared" si="867"/>
        <v>A</v>
      </c>
      <c r="C1692" t="str">
        <f t="shared" si="868"/>
        <v>80</v>
      </c>
      <c r="D1692" t="str">
        <f t="shared" si="856"/>
        <v>11121004</v>
      </c>
      <c r="E1692" t="str">
        <f t="shared" si="857"/>
        <v>121004</v>
      </c>
      <c r="F1692" t="str">
        <f t="shared" si="858"/>
        <v>FABIANA GODOY</v>
      </c>
      <c r="G1692" t="str">
        <f>"30688995000196"</f>
        <v>30688995000196</v>
      </c>
      <c r="H1692" t="str">
        <f t="shared" si="882"/>
        <v>0</v>
      </c>
      <c r="I1692" t="str">
        <f t="shared" si="869"/>
        <v>CONTA OPTICA</v>
      </c>
      <c r="J1692" t="str">
        <f>"ROCHA E MENGARDA LTDA"</f>
        <v>ROCHA E MENGARDA LTDA</v>
      </c>
      <c r="K1692" t="str">
        <f>"OTICA POPULAR BLUMENAU (3957)"</f>
        <v>OTICA POPULAR BLUMENAU (3957)</v>
      </c>
      <c r="L1692" t="str">
        <f>""</f>
        <v/>
      </c>
      <c r="M1692" t="str">
        <f>""</f>
        <v/>
      </c>
      <c r="N1692" t="str">
        <f>"oticapopularblumenau@outlook.com"</f>
        <v>oticapopularblumenau@outlook.com</v>
      </c>
      <c r="O1692" t="str">
        <f>""</f>
        <v/>
      </c>
      <c r="P1692" t="str">
        <f>"RUA CURT HERING"</f>
        <v>RUA CURT HERING</v>
      </c>
      <c r="Q1692" t="str">
        <f>"75"</f>
        <v>75</v>
      </c>
      <c r="R1692" t="str">
        <f>"SALA 101"</f>
        <v>SALA 101</v>
      </c>
      <c r="S1692" t="str">
        <f>""</f>
        <v/>
      </c>
      <c r="T1692" t="str">
        <f>"89010030"</f>
        <v>89010030</v>
      </c>
      <c r="U1692" t="str">
        <f>"CENTRO"</f>
        <v>CENTRO</v>
      </c>
      <c r="V1692" t="str">
        <f>"BLUMENAU"</f>
        <v>BLUMENAU</v>
      </c>
      <c r="W1692" t="str">
        <f t="shared" si="855"/>
        <v>SC</v>
      </c>
      <c r="X1692" t="str">
        <f t="shared" si="879"/>
        <v>47</v>
      </c>
      <c r="Y1692" t="str">
        <f>"32853010"</f>
        <v>32853010</v>
      </c>
      <c r="Z1692" t="str">
        <f>""</f>
        <v/>
      </c>
      <c r="AA1692" t="str">
        <f>""</f>
        <v/>
      </c>
      <c r="AB1692" t="str">
        <f>""</f>
        <v/>
      </c>
      <c r="AC1692" t="str">
        <f>""</f>
        <v/>
      </c>
      <c r="AD1692" t="str">
        <f>""</f>
        <v/>
      </c>
      <c r="AE1692" t="str">
        <f>""</f>
        <v/>
      </c>
      <c r="AF1692" t="str">
        <f>""</f>
        <v/>
      </c>
      <c r="AG1692" t="str">
        <f>"S"</f>
        <v>S</v>
      </c>
      <c r="AH1692" t="str">
        <f>""</f>
        <v/>
      </c>
      <c r="AI1692" t="str">
        <f>""</f>
        <v/>
      </c>
      <c r="AJ1692" t="str">
        <f>""</f>
        <v/>
      </c>
      <c r="AK1692" t="str">
        <f>""</f>
        <v/>
      </c>
      <c r="AL1692" t="str">
        <f>""</f>
        <v/>
      </c>
      <c r="AM1692" t="str">
        <f>""</f>
        <v/>
      </c>
      <c r="AN1692" t="str">
        <f>""</f>
        <v/>
      </c>
      <c r="AO1692" t="str">
        <f>""</f>
        <v/>
      </c>
      <c r="AP1692" t="str">
        <f>""</f>
        <v/>
      </c>
      <c r="AQ1692" t="str">
        <f t="shared" ref="AQ1692:AU1694" si="883">"N"</f>
        <v>N</v>
      </c>
      <c r="AR1692" t="str">
        <f t="shared" si="883"/>
        <v>N</v>
      </c>
      <c r="AS1692" t="str">
        <f t="shared" si="883"/>
        <v>N</v>
      </c>
      <c r="AT1692" t="str">
        <f t="shared" si="883"/>
        <v>N</v>
      </c>
      <c r="AU1692" t="str">
        <f t="shared" si="883"/>
        <v>N</v>
      </c>
      <c r="AV1692" t="str">
        <f>""</f>
        <v/>
      </c>
      <c r="AW1692" t="str">
        <f>""</f>
        <v/>
      </c>
      <c r="AX1692" t="str">
        <f>""</f>
        <v/>
      </c>
      <c r="AY1692" t="str">
        <f>""</f>
        <v/>
      </c>
      <c r="AZ1692" t="str">
        <f>""</f>
        <v/>
      </c>
      <c r="BA1692" t="str">
        <f>""</f>
        <v/>
      </c>
      <c r="BB1692" t="str">
        <f>"01/07/2021 13:53:04"</f>
        <v>01/07/2021 13:53:04</v>
      </c>
      <c r="BC1692" t="str">
        <f>"21/07/2023 17:07:34"</f>
        <v>21/07/2023 17:07:34</v>
      </c>
      <c r="BD1692" t="str">
        <f>""</f>
        <v/>
      </c>
      <c r="BE1692" t="str">
        <f>""</f>
        <v/>
      </c>
      <c r="BF1692" t="str">
        <f t="shared" si="871"/>
        <v>A</v>
      </c>
      <c r="BG1692" t="str">
        <f>""</f>
        <v/>
      </c>
      <c r="BH1692" t="str">
        <f>"0,00"</f>
        <v>0,00</v>
      </c>
      <c r="BI1692" t="str">
        <f>"MENSAL"</f>
        <v>MENSAL</v>
      </c>
      <c r="BJ1692" t="str">
        <f t="shared" si="872"/>
        <v>1</v>
      </c>
      <c r="BK1692" t="str">
        <f t="shared" si="873"/>
        <v>Farmacia</v>
      </c>
      <c r="BL1692" t="str">
        <f>""</f>
        <v/>
      </c>
      <c r="BM1692" t="str">
        <f>"NÃO É VARILUX ESPECIALISTA"</f>
        <v>NÃO É VARILUX ESPECIALISTA</v>
      </c>
      <c r="BN1692" t="str">
        <f>"EL360"</f>
        <v>EL360</v>
      </c>
      <c r="BO1692" t="str">
        <f>"FOCO KODAK 2"</f>
        <v>FOCO KODAK 2</v>
      </c>
      <c r="BP1692" t="str">
        <f>""</f>
        <v/>
      </c>
      <c r="BQ1692" t="str">
        <f>""</f>
        <v/>
      </c>
      <c r="BR1692" t="str">
        <f>"01/07/2021"</f>
        <v>01/07/2021</v>
      </c>
      <c r="BS1692" t="str">
        <f>"21/07/2023"</f>
        <v>21/07/2023</v>
      </c>
      <c r="BT1692" t="str">
        <f>""</f>
        <v/>
      </c>
      <c r="BU1692" t="str">
        <f>""</f>
        <v/>
      </c>
      <c r="BV1692" t="str">
        <f>""</f>
        <v/>
      </c>
      <c r="BW1692" t="str">
        <f>"3"</f>
        <v>3</v>
      </c>
    </row>
    <row r="1693" spans="1:75" x14ac:dyDescent="0.35">
      <c r="A1693">
        <v>137902</v>
      </c>
      <c r="B1693" t="str">
        <f t="shared" si="867"/>
        <v>A</v>
      </c>
      <c r="C1693" t="str">
        <f t="shared" si="868"/>
        <v>80</v>
      </c>
      <c r="D1693" t="str">
        <f t="shared" si="856"/>
        <v>11121004</v>
      </c>
      <c r="E1693" t="str">
        <f t="shared" si="857"/>
        <v>121004</v>
      </c>
      <c r="F1693" t="str">
        <f t="shared" si="858"/>
        <v>FABIANA GODOY</v>
      </c>
      <c r="G1693" t="str">
        <f>"16626002000120"</f>
        <v>16626002000120</v>
      </c>
      <c r="H1693" t="str">
        <f t="shared" si="882"/>
        <v>0</v>
      </c>
      <c r="I1693" t="str">
        <f t="shared" si="869"/>
        <v>CONTA OPTICA</v>
      </c>
      <c r="J1693" t="str">
        <f>"RODRIGO TREDER ME"</f>
        <v>RODRIGO TREDER ME</v>
      </c>
      <c r="K1693" t="str">
        <f>"OTICA DO ALEMAO (4161)"</f>
        <v>OTICA DO ALEMAO (4161)</v>
      </c>
      <c r="L1693" t="str">
        <f>""</f>
        <v/>
      </c>
      <c r="M1693" t="str">
        <f>""</f>
        <v/>
      </c>
      <c r="N1693" t="str">
        <f>"oticadoalemao@hotmail.com"</f>
        <v>oticadoalemao@hotmail.com</v>
      </c>
      <c r="O1693" t="str">
        <f>""</f>
        <v/>
      </c>
      <c r="P1693" t="str">
        <f>"RUA ESTEFANO JOSE VANOLLI"</f>
        <v>RUA ESTEFANO JOSE VANOLLI</v>
      </c>
      <c r="Q1693" t="str">
        <f>"865"</f>
        <v>865</v>
      </c>
      <c r="R1693" t="str">
        <f>""</f>
        <v/>
      </c>
      <c r="S1693" t="str">
        <f>""</f>
        <v/>
      </c>
      <c r="T1693" t="str">
        <f>"88309200"</f>
        <v>88309200</v>
      </c>
      <c r="U1693" t="str">
        <f>"SAO VICENTE"</f>
        <v>SAO VICENTE</v>
      </c>
      <c r="V1693" t="str">
        <f>"ITAJAÍ"</f>
        <v>ITAJAÍ</v>
      </c>
      <c r="W1693" t="str">
        <f t="shared" si="855"/>
        <v>SC</v>
      </c>
      <c r="X1693" t="str">
        <f t="shared" si="879"/>
        <v>47</v>
      </c>
      <c r="Y1693" t="str">
        <f>"92223800"</f>
        <v>92223800</v>
      </c>
      <c r="Z1693" t="str">
        <f>""</f>
        <v/>
      </c>
      <c r="AA1693" t="str">
        <f>""</f>
        <v/>
      </c>
      <c r="AB1693" t="str">
        <f>""</f>
        <v/>
      </c>
      <c r="AC1693" t="str">
        <f>""</f>
        <v/>
      </c>
      <c r="AD1693" t="str">
        <f>""</f>
        <v/>
      </c>
      <c r="AE1693" t="str">
        <f>""</f>
        <v/>
      </c>
      <c r="AF1693" t="str">
        <f>""</f>
        <v/>
      </c>
      <c r="AG1693" t="str">
        <f>"S"</f>
        <v>S</v>
      </c>
      <c r="AH1693" t="str">
        <f>""</f>
        <v/>
      </c>
      <c r="AI1693" t="str">
        <f>""</f>
        <v/>
      </c>
      <c r="AJ1693" t="str">
        <f>""</f>
        <v/>
      </c>
      <c r="AK1693" t="str">
        <f>""</f>
        <v/>
      </c>
      <c r="AL1693" t="str">
        <f>""</f>
        <v/>
      </c>
      <c r="AM1693" t="str">
        <f>""</f>
        <v/>
      </c>
      <c r="AN1693" t="str">
        <f>""</f>
        <v/>
      </c>
      <c r="AO1693" t="str">
        <f>""</f>
        <v/>
      </c>
      <c r="AP1693" t="str">
        <f>""</f>
        <v/>
      </c>
      <c r="AQ1693" t="str">
        <f t="shared" si="883"/>
        <v>N</v>
      </c>
      <c r="AR1693" t="str">
        <f t="shared" si="883"/>
        <v>N</v>
      </c>
      <c r="AS1693" t="str">
        <f t="shared" si="883"/>
        <v>N</v>
      </c>
      <c r="AT1693" t="str">
        <f t="shared" si="883"/>
        <v>N</v>
      </c>
      <c r="AU1693" t="str">
        <f t="shared" si="883"/>
        <v>N</v>
      </c>
      <c r="AV1693" t="str">
        <f>""</f>
        <v/>
      </c>
      <c r="AW1693" t="str">
        <f>""</f>
        <v/>
      </c>
      <c r="AX1693" t="str">
        <f>""</f>
        <v/>
      </c>
      <c r="AY1693" t="str">
        <f>""</f>
        <v/>
      </c>
      <c r="AZ1693" t="str">
        <f>""</f>
        <v/>
      </c>
      <c r="BA1693" t="str">
        <f>""</f>
        <v/>
      </c>
      <c r="BB1693" t="str">
        <f>"01/07/2021 13:53:04"</f>
        <v>01/07/2021 13:53:04</v>
      </c>
      <c r="BC1693" t="str">
        <f>"20/04/2022 17:20:11"</f>
        <v>20/04/2022 17:20:11</v>
      </c>
      <c r="BD1693" t="str">
        <f>""</f>
        <v/>
      </c>
      <c r="BE1693" t="str">
        <f>""</f>
        <v/>
      </c>
      <c r="BF1693" t="str">
        <f t="shared" si="871"/>
        <v>A</v>
      </c>
      <c r="BG1693" t="str">
        <f>""</f>
        <v/>
      </c>
      <c r="BH1693" t="str">
        <f>"0,00"</f>
        <v>0,00</v>
      </c>
      <c r="BI1693" t="str">
        <f t="shared" ref="BI1693:BI1712" si="884">"EVENTUAL"</f>
        <v>EVENTUAL</v>
      </c>
      <c r="BJ1693" t="str">
        <f t="shared" si="872"/>
        <v>1</v>
      </c>
      <c r="BK1693" t="str">
        <f t="shared" si="873"/>
        <v>Farmacia</v>
      </c>
      <c r="BL1693" t="str">
        <f>""</f>
        <v/>
      </c>
      <c r="BM1693" t="str">
        <f>"NÃO É VARILUX ESPECIALISTA"</f>
        <v>NÃO É VARILUX ESPECIALISTA</v>
      </c>
      <c r="BN1693" t="str">
        <f>"NA"</f>
        <v>NA</v>
      </c>
      <c r="BO1693" t="str">
        <f>"FOCO VARILUX"</f>
        <v>FOCO VARILUX</v>
      </c>
      <c r="BP1693" t="str">
        <f>""</f>
        <v/>
      </c>
      <c r="BQ1693" t="str">
        <f>""</f>
        <v/>
      </c>
      <c r="BR1693" t="str">
        <f>"01/07/2021"</f>
        <v>01/07/2021</v>
      </c>
      <c r="BS1693" t="str">
        <f>"20/04/2022"</f>
        <v>20/04/2022</v>
      </c>
      <c r="BT1693" t="str">
        <f>""</f>
        <v/>
      </c>
      <c r="BU1693" t="str">
        <f>""</f>
        <v/>
      </c>
      <c r="BV1693" t="str">
        <f>""</f>
        <v/>
      </c>
      <c r="BW1693" t="str">
        <f>"2"</f>
        <v>2</v>
      </c>
    </row>
    <row r="1694" spans="1:75" x14ac:dyDescent="0.35">
      <c r="A1694">
        <v>137903</v>
      </c>
      <c r="B1694" t="str">
        <f t="shared" si="867"/>
        <v>A</v>
      </c>
      <c r="C1694" t="str">
        <f t="shared" si="868"/>
        <v>80</v>
      </c>
      <c r="D1694" t="str">
        <f t="shared" si="856"/>
        <v>11121004</v>
      </c>
      <c r="E1694" t="str">
        <f t="shared" si="857"/>
        <v>121004</v>
      </c>
      <c r="F1694" t="str">
        <f t="shared" si="858"/>
        <v>FABIANA GODOY</v>
      </c>
      <c r="G1694" t="str">
        <f>"14374918000105"</f>
        <v>14374918000105</v>
      </c>
      <c r="H1694" t="str">
        <f t="shared" si="882"/>
        <v>0</v>
      </c>
      <c r="I1694" t="str">
        <f t="shared" si="869"/>
        <v>CONTA OPTICA</v>
      </c>
      <c r="J1694" t="str">
        <f>"ROSENEI OLIVEIRA DOS SANTOS OTICA ME"</f>
        <v>ROSENEI OLIVEIRA DOS SANTOS OTICA ME</v>
      </c>
      <c r="K1694" t="str">
        <f>"OTICA LIROS (1914)"</f>
        <v>OTICA LIROS (1914)</v>
      </c>
      <c r="L1694" t="str">
        <f>""</f>
        <v/>
      </c>
      <c r="M1694" t="str">
        <f>""</f>
        <v/>
      </c>
      <c r="N1694" t="str">
        <f>"oticaliros@hotmail.com"</f>
        <v>oticaliros@hotmail.com</v>
      </c>
      <c r="O1694" t="str">
        <f>""</f>
        <v/>
      </c>
      <c r="P1694" t="str">
        <f>"RUA HERCILIO LUZ"</f>
        <v>RUA HERCILIO LUZ</v>
      </c>
      <c r="Q1694" t="str">
        <f>"293"</f>
        <v>293</v>
      </c>
      <c r="R1694" t="str">
        <f>"SALA 10"</f>
        <v>SALA 10</v>
      </c>
      <c r="S1694" t="str">
        <f>"1261"</f>
        <v>1261</v>
      </c>
      <c r="T1694" t="str">
        <f>"88301001"</f>
        <v>88301001</v>
      </c>
      <c r="U1694" t="str">
        <f>"CENTRO"</f>
        <v>CENTRO</v>
      </c>
      <c r="V1694" t="str">
        <f>"ITAJAÍ"</f>
        <v>ITAJAÍ</v>
      </c>
      <c r="W1694" t="str">
        <f t="shared" si="855"/>
        <v>SC</v>
      </c>
      <c r="X1694" t="str">
        <f t="shared" si="879"/>
        <v>47</v>
      </c>
      <c r="Y1694" t="str">
        <f>"30460574"</f>
        <v>30460574</v>
      </c>
      <c r="Z1694" t="str">
        <f>""</f>
        <v/>
      </c>
      <c r="AA1694" t="str">
        <f>""</f>
        <v/>
      </c>
      <c r="AB1694" t="str">
        <f>""</f>
        <v/>
      </c>
      <c r="AC1694" t="str">
        <f>""</f>
        <v/>
      </c>
      <c r="AD1694" t="str">
        <f>""</f>
        <v/>
      </c>
      <c r="AE1694" t="str">
        <f>""</f>
        <v/>
      </c>
      <c r="AF1694" t="str">
        <f>""</f>
        <v/>
      </c>
      <c r="AG1694" t="str">
        <f>"S"</f>
        <v>S</v>
      </c>
      <c r="AH1694" t="str">
        <f>""</f>
        <v/>
      </c>
      <c r="AI1694" t="str">
        <f>""</f>
        <v/>
      </c>
      <c r="AJ1694" t="str">
        <f>""</f>
        <v/>
      </c>
      <c r="AK1694" t="str">
        <f>""</f>
        <v/>
      </c>
      <c r="AL1694" t="str">
        <f>""</f>
        <v/>
      </c>
      <c r="AM1694" t="str">
        <f>""</f>
        <v/>
      </c>
      <c r="AN1694" t="str">
        <f>""</f>
        <v/>
      </c>
      <c r="AO1694" t="str">
        <f>""</f>
        <v/>
      </c>
      <c r="AP1694" t="str">
        <f>""</f>
        <v/>
      </c>
      <c r="AQ1694" t="str">
        <f t="shared" si="883"/>
        <v>N</v>
      </c>
      <c r="AR1694" t="str">
        <f t="shared" si="883"/>
        <v>N</v>
      </c>
      <c r="AS1694" t="str">
        <f t="shared" si="883"/>
        <v>N</v>
      </c>
      <c r="AT1694" t="str">
        <f t="shared" si="883"/>
        <v>N</v>
      </c>
      <c r="AU1694" t="str">
        <f t="shared" si="883"/>
        <v>N</v>
      </c>
      <c r="AV1694" t="str">
        <f>""</f>
        <v/>
      </c>
      <c r="AW1694" t="str">
        <f>""</f>
        <v/>
      </c>
      <c r="AX1694" t="str">
        <f>""</f>
        <v/>
      </c>
      <c r="AY1694" t="str">
        <f>""</f>
        <v/>
      </c>
      <c r="AZ1694" t="str">
        <f>""</f>
        <v/>
      </c>
      <c r="BA1694" t="str">
        <f>""</f>
        <v/>
      </c>
      <c r="BB1694" t="str">
        <f>"01/07/2021 13:53:04"</f>
        <v>01/07/2021 13:53:04</v>
      </c>
      <c r="BC1694" t="str">
        <f>"12/07/2022 16:12:02"</f>
        <v>12/07/2022 16:12:02</v>
      </c>
      <c r="BD1694" t="str">
        <f>""</f>
        <v/>
      </c>
      <c r="BE1694" t="str">
        <f>""</f>
        <v/>
      </c>
      <c r="BF1694" t="str">
        <f t="shared" si="871"/>
        <v>A</v>
      </c>
      <c r="BG1694" t="str">
        <f>""</f>
        <v/>
      </c>
      <c r="BH1694" t="str">
        <f>"0,00"</f>
        <v>0,00</v>
      </c>
      <c r="BI1694" t="str">
        <f t="shared" si="884"/>
        <v>EVENTUAL</v>
      </c>
      <c r="BJ1694" t="str">
        <f t="shared" si="872"/>
        <v>1</v>
      </c>
      <c r="BK1694" t="str">
        <f t="shared" si="873"/>
        <v>Farmacia</v>
      </c>
      <c r="BL1694" t="str">
        <f>""</f>
        <v/>
      </c>
      <c r="BM1694" t="str">
        <f>"NÃO É VARILUX ESPECIALISTA"</f>
        <v>NÃO É VARILUX ESPECIALISTA</v>
      </c>
      <c r="BN1694" t="str">
        <f>"NA"</f>
        <v>NA</v>
      </c>
      <c r="BO1694" t="str">
        <f>"FOCO VARILUX DIGITAL"</f>
        <v>FOCO VARILUX DIGITAL</v>
      </c>
      <c r="BP1694" t="str">
        <f>""</f>
        <v/>
      </c>
      <c r="BQ1694" t="str">
        <f>""</f>
        <v/>
      </c>
      <c r="BR1694" t="str">
        <f>"01/07/2021"</f>
        <v>01/07/2021</v>
      </c>
      <c r="BS1694" t="str">
        <f>"12/07/2022"</f>
        <v>12/07/2022</v>
      </c>
      <c r="BT1694" t="str">
        <f>""</f>
        <v/>
      </c>
      <c r="BU1694" t="str">
        <f>""</f>
        <v/>
      </c>
      <c r="BV1694" t="str">
        <f>""</f>
        <v/>
      </c>
      <c r="BW1694" t="str">
        <f>"10"</f>
        <v>10</v>
      </c>
    </row>
    <row r="1695" spans="1:75" x14ac:dyDescent="0.35">
      <c r="A1695">
        <v>157755</v>
      </c>
      <c r="B1695" t="str">
        <f t="shared" si="867"/>
        <v>A</v>
      </c>
      <c r="C1695" t="str">
        <f t="shared" si="868"/>
        <v>80</v>
      </c>
      <c r="D1695" t="str">
        <f t="shared" si="856"/>
        <v>11121004</v>
      </c>
      <c r="E1695" t="str">
        <f t="shared" si="857"/>
        <v>121004</v>
      </c>
      <c r="F1695" t="str">
        <f t="shared" si="858"/>
        <v>FABIANA GODOY</v>
      </c>
      <c r="G1695" t="str">
        <f>"15466871000172"</f>
        <v>15466871000172</v>
      </c>
      <c r="H1695" t="str">
        <f t="shared" si="882"/>
        <v>0</v>
      </c>
      <c r="I1695" t="str">
        <f t="shared" si="869"/>
        <v>CONTA OPTICA</v>
      </c>
      <c r="J1695" t="str">
        <f>"ROSIANE ANTUNES CIDRAL OTICA E JOALHERIA EIRELI ME"</f>
        <v>ROSIANE ANTUNES CIDRAL OTICA E JOALHERIA EIRELI ME</v>
      </c>
      <c r="K1695" t="str">
        <f>"SUPER OTICA SAO JOSE (3328)"</f>
        <v>SUPER OTICA SAO JOSE (3328)</v>
      </c>
      <c r="L1695" t="str">
        <f>""</f>
        <v/>
      </c>
      <c r="M1695" t="str">
        <f>""</f>
        <v/>
      </c>
      <c r="N1695" t="str">
        <f>""</f>
        <v/>
      </c>
      <c r="O1695" t="str">
        <f>""</f>
        <v/>
      </c>
      <c r="P1695" t="str">
        <f>"RUA PAUL FRITZ KUEHNRICH"</f>
        <v>RUA PAUL FRITZ KUEHNRICH</v>
      </c>
      <c r="Q1695" t="str">
        <f>"1600"</f>
        <v>1600</v>
      </c>
      <c r="R1695" t="str">
        <f>"SALA 1078"</f>
        <v>SALA 1078</v>
      </c>
      <c r="S1695" t="str">
        <f>"1273"</f>
        <v>1273</v>
      </c>
      <c r="T1695" t="str">
        <f>"89052381"</f>
        <v>89052381</v>
      </c>
      <c r="U1695" t="str">
        <f>"ITOUPAVA NORTE"</f>
        <v>ITOUPAVA NORTE</v>
      </c>
      <c r="V1695" t="str">
        <f>"BLUMENAU"</f>
        <v>BLUMENAU</v>
      </c>
      <c r="W1695" t="str">
        <f t="shared" si="855"/>
        <v>SC</v>
      </c>
      <c r="X1695" t="str">
        <f t="shared" si="879"/>
        <v>47</v>
      </c>
      <c r="Y1695" t="str">
        <f>"32376495"</f>
        <v>32376495</v>
      </c>
      <c r="Z1695" t="str">
        <f>""</f>
        <v/>
      </c>
      <c r="AA1695" t="str">
        <f>""</f>
        <v/>
      </c>
      <c r="AB1695" t="str">
        <f>""</f>
        <v/>
      </c>
      <c r="AC1695" t="str">
        <f>""</f>
        <v/>
      </c>
      <c r="AD1695" t="str">
        <f>""</f>
        <v/>
      </c>
      <c r="AE1695" t="str">
        <f>""</f>
        <v/>
      </c>
      <c r="AF1695" t="str">
        <f>""</f>
        <v/>
      </c>
      <c r="AG1695" t="str">
        <f>""</f>
        <v/>
      </c>
      <c r="AH1695" t="str">
        <f>""</f>
        <v/>
      </c>
      <c r="AI1695" t="str">
        <f>""</f>
        <v/>
      </c>
      <c r="AJ1695" t="str">
        <f>""</f>
        <v/>
      </c>
      <c r="AK1695" t="str">
        <f>""</f>
        <v/>
      </c>
      <c r="AL1695" t="str">
        <f>""</f>
        <v/>
      </c>
      <c r="AM1695" t="str">
        <f>""</f>
        <v/>
      </c>
      <c r="AN1695" t="str">
        <f>""</f>
        <v/>
      </c>
      <c r="AO1695" t="str">
        <f>""</f>
        <v/>
      </c>
      <c r="AP1695" t="str">
        <f>""</f>
        <v/>
      </c>
      <c r="AQ1695" t="str">
        <f>""</f>
        <v/>
      </c>
      <c r="AR1695" t="str">
        <f>""</f>
        <v/>
      </c>
      <c r="AS1695" t="str">
        <f>""</f>
        <v/>
      </c>
      <c r="AT1695" t="str">
        <f>""</f>
        <v/>
      </c>
      <c r="AU1695" t="str">
        <f>""</f>
        <v/>
      </c>
      <c r="AV1695" t="str">
        <f>""</f>
        <v/>
      </c>
      <c r="AW1695" t="str">
        <f>""</f>
        <v/>
      </c>
      <c r="AX1695" t="str">
        <f>""</f>
        <v/>
      </c>
      <c r="AY1695" t="str">
        <f>""</f>
        <v/>
      </c>
      <c r="AZ1695" t="str">
        <f>""</f>
        <v/>
      </c>
      <c r="BA1695" t="str">
        <f>""</f>
        <v/>
      </c>
      <c r="BB1695" t="str">
        <f>"11/07/2023 02:26:32"</f>
        <v>11/07/2023 02:26:32</v>
      </c>
      <c r="BC1695" t="str">
        <f>""</f>
        <v/>
      </c>
      <c r="BD1695" t="str">
        <f>""</f>
        <v/>
      </c>
      <c r="BE1695" t="str">
        <f>""</f>
        <v/>
      </c>
      <c r="BF1695" t="str">
        <f t="shared" si="871"/>
        <v>A</v>
      </c>
      <c r="BG1695" t="str">
        <f>""</f>
        <v/>
      </c>
      <c r="BH1695" t="str">
        <f>""</f>
        <v/>
      </c>
      <c r="BI1695" t="str">
        <f t="shared" si="884"/>
        <v>EVENTUAL</v>
      </c>
      <c r="BJ1695" t="str">
        <f t="shared" si="872"/>
        <v>1</v>
      </c>
      <c r="BK1695" t="str">
        <f t="shared" si="873"/>
        <v>Farmacia</v>
      </c>
      <c r="BL1695" t="str">
        <f>""</f>
        <v/>
      </c>
      <c r="BM1695" t="str">
        <f>""</f>
        <v/>
      </c>
      <c r="BN1695" t="str">
        <f>""</f>
        <v/>
      </c>
      <c r="BO1695" t="str">
        <f>""</f>
        <v/>
      </c>
      <c r="BP1695" t="str">
        <f>""</f>
        <v/>
      </c>
      <c r="BQ1695" t="str">
        <f>""</f>
        <v/>
      </c>
      <c r="BR1695" t="str">
        <f>"11/07/2023"</f>
        <v>11/07/2023</v>
      </c>
      <c r="BS1695" t="str">
        <f>""</f>
        <v/>
      </c>
      <c r="BT1695" t="str">
        <f>""</f>
        <v/>
      </c>
      <c r="BU1695" t="str">
        <f>""</f>
        <v/>
      </c>
      <c r="BV1695" t="str">
        <f>""</f>
        <v/>
      </c>
      <c r="BW1695" t="str">
        <f t="shared" ref="BW1695:BW1700" si="885">"Não visitado"</f>
        <v>Não visitado</v>
      </c>
    </row>
    <row r="1696" spans="1:75" x14ac:dyDescent="0.35">
      <c r="A1696">
        <v>117515</v>
      </c>
      <c r="B1696" t="str">
        <f t="shared" si="867"/>
        <v>A</v>
      </c>
      <c r="C1696" t="str">
        <f t="shared" si="868"/>
        <v>80</v>
      </c>
      <c r="D1696" t="str">
        <f t="shared" si="856"/>
        <v>11121004</v>
      </c>
      <c r="E1696" t="str">
        <f t="shared" si="857"/>
        <v>121004</v>
      </c>
      <c r="F1696" t="str">
        <f t="shared" si="858"/>
        <v>FABIANA GODOY</v>
      </c>
      <c r="G1696" t="str">
        <f>"02614753000112"</f>
        <v>02614753000112</v>
      </c>
      <c r="H1696" t="str">
        <f t="shared" si="882"/>
        <v>0</v>
      </c>
      <c r="I1696" t="str">
        <f t="shared" si="869"/>
        <v>CONTA OPTICA</v>
      </c>
      <c r="J1696" t="str">
        <f>"ROSILANI ORBEN SOUZA ME (336)"</f>
        <v>ROSILANI ORBEN SOUZA ME (336)</v>
      </c>
      <c r="K1696" t="str">
        <f>"ROSILANI ORBEN SOUZA ME (336)"</f>
        <v>ROSILANI ORBEN SOUZA ME (336)</v>
      </c>
      <c r="L1696" t="str">
        <f>""</f>
        <v/>
      </c>
      <c r="M1696" t="str">
        <f>""</f>
        <v/>
      </c>
      <c r="N1696" t="str">
        <f>""</f>
        <v/>
      </c>
      <c r="O1696" t="str">
        <f>""</f>
        <v/>
      </c>
      <c r="P1696" t="str">
        <f>"AVENIDA GOVERNADOR CELSO RAMOS"</f>
        <v>AVENIDA GOVERNADOR CELSO RAMOS</v>
      </c>
      <c r="Q1696" t="str">
        <f>"3027"</f>
        <v>3027</v>
      </c>
      <c r="R1696" t="str">
        <f>""</f>
        <v/>
      </c>
      <c r="S1696" t="str">
        <f>"1260"</f>
        <v>1260</v>
      </c>
      <c r="T1696" t="str">
        <f>"88210000"</f>
        <v>88210000</v>
      </c>
      <c r="U1696" t="str">
        <f>"CENTRO"</f>
        <v>CENTRO</v>
      </c>
      <c r="V1696" t="str">
        <f>"PORTO BELO"</f>
        <v>PORTO BELO</v>
      </c>
      <c r="W1696" t="str">
        <f t="shared" si="855"/>
        <v>SC</v>
      </c>
      <c r="X1696" t="str">
        <f>""</f>
        <v/>
      </c>
      <c r="Y1696" t="str">
        <f>""</f>
        <v/>
      </c>
      <c r="Z1696" t="str">
        <f>""</f>
        <v/>
      </c>
      <c r="AA1696" t="str">
        <f>""</f>
        <v/>
      </c>
      <c r="AB1696" t="str">
        <f>""</f>
        <v/>
      </c>
      <c r="AC1696" t="str">
        <f>""</f>
        <v/>
      </c>
      <c r="AD1696" t="str">
        <f>""</f>
        <v/>
      </c>
      <c r="AE1696" t="str">
        <f>""</f>
        <v/>
      </c>
      <c r="AF1696" t="str">
        <f>""</f>
        <v/>
      </c>
      <c r="AG1696" t="str">
        <f>""</f>
        <v/>
      </c>
      <c r="AH1696" t="str">
        <f>""</f>
        <v/>
      </c>
      <c r="AI1696" t="str">
        <f>""</f>
        <v/>
      </c>
      <c r="AJ1696" t="str">
        <f>"0"</f>
        <v>0</v>
      </c>
      <c r="AK1696" t="str">
        <f>"0"</f>
        <v>0</v>
      </c>
      <c r="AL1696" t="str">
        <f>"0"</f>
        <v>0</v>
      </c>
      <c r="AM1696" t="str">
        <f>""</f>
        <v/>
      </c>
      <c r="AN1696" t="str">
        <f>""</f>
        <v/>
      </c>
      <c r="AO1696" t="str">
        <f>""</f>
        <v/>
      </c>
      <c r="AP1696" t="str">
        <f>""</f>
        <v/>
      </c>
      <c r="AQ1696" t="str">
        <f>""</f>
        <v/>
      </c>
      <c r="AR1696" t="str">
        <f>""</f>
        <v/>
      </c>
      <c r="AS1696" t="str">
        <f>""</f>
        <v/>
      </c>
      <c r="AT1696" t="str">
        <f>""</f>
        <v/>
      </c>
      <c r="AU1696" t="str">
        <f>""</f>
        <v/>
      </c>
      <c r="AV1696" t="str">
        <f>""</f>
        <v/>
      </c>
      <c r="AW1696" t="str">
        <f>""</f>
        <v/>
      </c>
      <c r="AX1696" t="str">
        <f>""</f>
        <v/>
      </c>
      <c r="AY1696" t="str">
        <f>""</f>
        <v/>
      </c>
      <c r="AZ1696" t="str">
        <f>""</f>
        <v/>
      </c>
      <c r="BA1696" t="str">
        <f>""</f>
        <v/>
      </c>
      <c r="BB1696" t="str">
        <f>"22/07/2020 08:24:23"</f>
        <v>22/07/2020 08:24:23</v>
      </c>
      <c r="BC1696" t="str">
        <f>""</f>
        <v/>
      </c>
      <c r="BD1696" t="str">
        <f>""</f>
        <v/>
      </c>
      <c r="BE1696" t="str">
        <f>""</f>
        <v/>
      </c>
      <c r="BF1696" t="str">
        <f t="shared" si="871"/>
        <v>A</v>
      </c>
      <c r="BG1696" t="str">
        <f>"0,00"</f>
        <v>0,00</v>
      </c>
      <c r="BH1696" t="str">
        <f>"0,00"</f>
        <v>0,00</v>
      </c>
      <c r="BI1696" t="str">
        <f t="shared" si="884"/>
        <v>EVENTUAL</v>
      </c>
      <c r="BJ1696" t="str">
        <f t="shared" si="872"/>
        <v>1</v>
      </c>
      <c r="BK1696" t="str">
        <f t="shared" si="873"/>
        <v>Farmacia</v>
      </c>
      <c r="BL1696" t="str">
        <f>""</f>
        <v/>
      </c>
      <c r="BM1696" t="str">
        <f>"NÃO É VARILUX ESPECIALISTA"</f>
        <v>NÃO É VARILUX ESPECIALISTA</v>
      </c>
      <c r="BN1696" t="str">
        <f>"NA"</f>
        <v>NA</v>
      </c>
      <c r="BO1696" t="str">
        <f>"FOCO VARILUX DIGITAL"</f>
        <v>FOCO VARILUX DIGITAL</v>
      </c>
      <c r="BP1696" t="str">
        <f>""</f>
        <v/>
      </c>
      <c r="BQ1696" t="str">
        <f>""</f>
        <v/>
      </c>
      <c r="BR1696" t="str">
        <f>"22/07/2020"</f>
        <v>22/07/2020</v>
      </c>
      <c r="BS1696" t="str">
        <f>""</f>
        <v/>
      </c>
      <c r="BT1696" t="str">
        <f>""</f>
        <v/>
      </c>
      <c r="BU1696" t="str">
        <f>""</f>
        <v/>
      </c>
      <c r="BV1696" t="str">
        <f>"9"</f>
        <v>9</v>
      </c>
      <c r="BW1696" t="str">
        <f t="shared" si="885"/>
        <v>Não visitado</v>
      </c>
    </row>
    <row r="1697" spans="1:75" x14ac:dyDescent="0.35">
      <c r="A1697">
        <v>157104</v>
      </c>
      <c r="B1697" t="str">
        <f t="shared" si="867"/>
        <v>A</v>
      </c>
      <c r="C1697" t="str">
        <f t="shared" si="868"/>
        <v>80</v>
      </c>
      <c r="D1697" t="str">
        <f t="shared" si="856"/>
        <v>11121004</v>
      </c>
      <c r="E1697" t="str">
        <f t="shared" si="857"/>
        <v>121004</v>
      </c>
      <c r="F1697" t="str">
        <f t="shared" si="858"/>
        <v>FABIANA GODOY</v>
      </c>
      <c r="G1697" t="str">
        <f>"45432233000100"</f>
        <v>45432233000100</v>
      </c>
      <c r="H1697" t="str">
        <f t="shared" si="882"/>
        <v>0</v>
      </c>
      <c r="I1697" t="str">
        <f t="shared" si="869"/>
        <v>CONTA OPTICA</v>
      </c>
      <c r="J1697" t="str">
        <f>"ROYALE ACESSORIOS DE MODA LTDA"</f>
        <v>ROYALE ACESSORIOS DE MODA LTDA</v>
      </c>
      <c r="K1697" t="str">
        <f>"CHILLI BEANS (4481)"</f>
        <v>CHILLI BEANS (4481)</v>
      </c>
      <c r="L1697" t="str">
        <f>""</f>
        <v/>
      </c>
      <c r="M1697" t="str">
        <f>""</f>
        <v/>
      </c>
      <c r="N1697" t="str">
        <f>"MARIANE.MOSENA@CHILLISC.COM.BR"</f>
        <v>MARIANE.MOSENA@CHILLISC.COM.BR</v>
      </c>
      <c r="O1697" t="str">
        <f>""</f>
        <v/>
      </c>
      <c r="P1697" t="str">
        <f>"RUA SAMUEL HEUSI"</f>
        <v>RUA SAMUEL HEUSI</v>
      </c>
      <c r="Q1697" t="str">
        <f>"234"</f>
        <v>234</v>
      </c>
      <c r="R1697" t="str">
        <f>"LS 12/12A SHOPP"</f>
        <v>LS 12/12A SHOPP</v>
      </c>
      <c r="S1697" t="str">
        <f>"1261"</f>
        <v>1261</v>
      </c>
      <c r="T1697" t="str">
        <f>"88301320"</f>
        <v>88301320</v>
      </c>
      <c r="U1697" t="str">
        <f>"CENTRO"</f>
        <v>CENTRO</v>
      </c>
      <c r="V1697" t="str">
        <f>"ITAJAI"</f>
        <v>ITAJAI</v>
      </c>
      <c r="W1697" t="str">
        <f t="shared" si="855"/>
        <v>SC</v>
      </c>
      <c r="X1697" t="str">
        <f>"48"</f>
        <v>48</v>
      </c>
      <c r="Y1697" t="str">
        <f>"991012525"</f>
        <v>991012525</v>
      </c>
      <c r="Z1697" t="str">
        <f>""</f>
        <v/>
      </c>
      <c r="AA1697" t="str">
        <f>""</f>
        <v/>
      </c>
      <c r="AB1697" t="str">
        <f>""</f>
        <v/>
      </c>
      <c r="AC1697" t="str">
        <f>""</f>
        <v/>
      </c>
      <c r="AD1697" t="str">
        <f>""</f>
        <v/>
      </c>
      <c r="AE1697" t="str">
        <f>""</f>
        <v/>
      </c>
      <c r="AF1697" t="str">
        <f>""</f>
        <v/>
      </c>
      <c r="AG1697" t="str">
        <f>""</f>
        <v/>
      </c>
      <c r="AH1697" t="str">
        <f>""</f>
        <v/>
      </c>
      <c r="AI1697" t="str">
        <f>""</f>
        <v/>
      </c>
      <c r="AJ1697" t="str">
        <f>""</f>
        <v/>
      </c>
      <c r="AK1697" t="str">
        <f>""</f>
        <v/>
      </c>
      <c r="AL1697" t="str">
        <f>""</f>
        <v/>
      </c>
      <c r="AM1697" t="str">
        <f>""</f>
        <v/>
      </c>
      <c r="AN1697" t="str">
        <f>""</f>
        <v/>
      </c>
      <c r="AO1697" t="str">
        <f>""</f>
        <v/>
      </c>
      <c r="AP1697" t="str">
        <f>""</f>
        <v/>
      </c>
      <c r="AQ1697" t="str">
        <f>""</f>
        <v/>
      </c>
      <c r="AR1697" t="str">
        <f>""</f>
        <v/>
      </c>
      <c r="AS1697" t="str">
        <f>""</f>
        <v/>
      </c>
      <c r="AT1697" t="str">
        <f>""</f>
        <v/>
      </c>
      <c r="AU1697" t="str">
        <f>""</f>
        <v/>
      </c>
      <c r="AV1697" t="str">
        <f>""</f>
        <v/>
      </c>
      <c r="AW1697" t="str">
        <f>""</f>
        <v/>
      </c>
      <c r="AX1697" t="str">
        <f>""</f>
        <v/>
      </c>
      <c r="AY1697" t="str">
        <f>""</f>
        <v/>
      </c>
      <c r="AZ1697" t="str">
        <f>""</f>
        <v/>
      </c>
      <c r="BA1697" t="str">
        <f>""</f>
        <v/>
      </c>
      <c r="BB1697" t="str">
        <f>"06/07/2023 12:07:48"</f>
        <v>06/07/2023 12:07:48</v>
      </c>
      <c r="BC1697" t="str">
        <f>""</f>
        <v/>
      </c>
      <c r="BD1697" t="str">
        <f>""</f>
        <v/>
      </c>
      <c r="BE1697" t="str">
        <f>""</f>
        <v/>
      </c>
      <c r="BF1697" t="str">
        <f t="shared" si="871"/>
        <v>A</v>
      </c>
      <c r="BG1697" t="str">
        <f>""</f>
        <v/>
      </c>
      <c r="BH1697" t="str">
        <f>""</f>
        <v/>
      </c>
      <c r="BI1697" t="str">
        <f t="shared" si="884"/>
        <v>EVENTUAL</v>
      </c>
      <c r="BJ1697" t="str">
        <f t="shared" si="872"/>
        <v>1</v>
      </c>
      <c r="BK1697" t="str">
        <f t="shared" si="873"/>
        <v>Farmacia</v>
      </c>
      <c r="BL1697" t="str">
        <f>""</f>
        <v/>
      </c>
      <c r="BM1697" t="str">
        <f>""</f>
        <v/>
      </c>
      <c r="BN1697" t="str">
        <f>""</f>
        <v/>
      </c>
      <c r="BO1697" t="str">
        <f>""</f>
        <v/>
      </c>
      <c r="BP1697" t="str">
        <f>""</f>
        <v/>
      </c>
      <c r="BQ1697" t="str">
        <f>""</f>
        <v/>
      </c>
      <c r="BR1697" t="str">
        <f>"06/07/2023"</f>
        <v>06/07/2023</v>
      </c>
      <c r="BS1697" t="str">
        <f>""</f>
        <v/>
      </c>
      <c r="BT1697" t="str">
        <f>""</f>
        <v/>
      </c>
      <c r="BU1697" t="str">
        <f>""</f>
        <v/>
      </c>
      <c r="BV1697" t="str">
        <f>""</f>
        <v/>
      </c>
      <c r="BW1697" t="str">
        <f t="shared" si="885"/>
        <v>Não visitado</v>
      </c>
    </row>
    <row r="1698" spans="1:75" x14ac:dyDescent="0.35">
      <c r="A1698">
        <v>157758</v>
      </c>
      <c r="B1698" t="str">
        <f t="shared" si="867"/>
        <v>A</v>
      </c>
      <c r="C1698" t="str">
        <f t="shared" si="868"/>
        <v>80</v>
      </c>
      <c r="D1698" t="str">
        <f t="shared" si="856"/>
        <v>11121004</v>
      </c>
      <c r="E1698" t="str">
        <f t="shared" si="857"/>
        <v>121004</v>
      </c>
      <c r="F1698" t="str">
        <f t="shared" si="858"/>
        <v>FABIANA GODOY</v>
      </c>
      <c r="G1698" t="str">
        <f>"14481982000195"</f>
        <v>14481982000195</v>
      </c>
      <c r="H1698" t="str">
        <f t="shared" si="882"/>
        <v>0</v>
      </c>
      <c r="I1698" t="str">
        <f t="shared" si="869"/>
        <v>CONTA OPTICA</v>
      </c>
      <c r="J1698" t="str">
        <f>"RUTI ROSI LINHARES"</f>
        <v>RUTI ROSI LINHARES</v>
      </c>
      <c r="K1698" t="str">
        <f>"ÓTICA DU &amp; EDU (1865)"</f>
        <v>ÓTICA DU &amp; EDU (1865)</v>
      </c>
      <c r="L1698" t="str">
        <f>""</f>
        <v/>
      </c>
      <c r="M1698" t="str">
        <f>""</f>
        <v/>
      </c>
      <c r="N1698" t="str">
        <f>""</f>
        <v/>
      </c>
      <c r="O1698" t="str">
        <f>""</f>
        <v/>
      </c>
      <c r="P1698" t="str">
        <f>"RUA QUINZE DE NOVEMBRO"</f>
        <v>RUA QUINZE DE NOVEMBRO</v>
      </c>
      <c r="Q1698" t="str">
        <f>"759"</f>
        <v>759</v>
      </c>
      <c r="R1698" t="str">
        <f>"LOJA 04"</f>
        <v>LOJA 04</v>
      </c>
      <c r="S1698" t="str">
        <f>"1271"</f>
        <v>1271</v>
      </c>
      <c r="T1698" t="str">
        <f>"89010000"</f>
        <v>89010000</v>
      </c>
      <c r="U1698" t="str">
        <f>"CENTRO"</f>
        <v>CENTRO</v>
      </c>
      <c r="V1698" t="str">
        <f>"BLUMENAU"</f>
        <v>BLUMENAU</v>
      </c>
      <c r="W1698" t="str">
        <f t="shared" si="855"/>
        <v>SC</v>
      </c>
      <c r="X1698" t="str">
        <f t="shared" ref="X1698:X1713" si="886">"47"</f>
        <v>47</v>
      </c>
      <c r="Y1698" t="str">
        <f>"30414337"</f>
        <v>30414337</v>
      </c>
      <c r="Z1698" t="str">
        <f>""</f>
        <v/>
      </c>
      <c r="AA1698" t="str">
        <f>""</f>
        <v/>
      </c>
      <c r="AB1698" t="str">
        <f>""</f>
        <v/>
      </c>
      <c r="AC1698" t="str">
        <f>""</f>
        <v/>
      </c>
      <c r="AD1698" t="str">
        <f>""</f>
        <v/>
      </c>
      <c r="AE1698" t="str">
        <f>""</f>
        <v/>
      </c>
      <c r="AF1698" t="str">
        <f>""</f>
        <v/>
      </c>
      <c r="AG1698" t="str">
        <f>""</f>
        <v/>
      </c>
      <c r="AH1698" t="str">
        <f>""</f>
        <v/>
      </c>
      <c r="AI1698" t="str">
        <f>""</f>
        <v/>
      </c>
      <c r="AJ1698" t="str">
        <f>""</f>
        <v/>
      </c>
      <c r="AK1698" t="str">
        <f>""</f>
        <v/>
      </c>
      <c r="AL1698" t="str">
        <f>""</f>
        <v/>
      </c>
      <c r="AM1698" t="str">
        <f>""</f>
        <v/>
      </c>
      <c r="AN1698" t="str">
        <f>""</f>
        <v/>
      </c>
      <c r="AO1698" t="str">
        <f>""</f>
        <v/>
      </c>
      <c r="AP1698" t="str">
        <f>""</f>
        <v/>
      </c>
      <c r="AQ1698" t="str">
        <f>""</f>
        <v/>
      </c>
      <c r="AR1698" t="str">
        <f>""</f>
        <v/>
      </c>
      <c r="AS1698" t="str">
        <f>""</f>
        <v/>
      </c>
      <c r="AT1698" t="str">
        <f>""</f>
        <v/>
      </c>
      <c r="AU1698" t="str">
        <f>""</f>
        <v/>
      </c>
      <c r="AV1698" t="str">
        <f>""</f>
        <v/>
      </c>
      <c r="AW1698" t="str">
        <f>""</f>
        <v/>
      </c>
      <c r="AX1698" t="str">
        <f>""</f>
        <v/>
      </c>
      <c r="AY1698" t="str">
        <f>""</f>
        <v/>
      </c>
      <c r="AZ1698" t="str">
        <f>""</f>
        <v/>
      </c>
      <c r="BA1698" t="str">
        <f>""</f>
        <v/>
      </c>
      <c r="BB1698" t="str">
        <f>"11/07/2023 02:26:32"</f>
        <v>11/07/2023 02:26:32</v>
      </c>
      <c r="BC1698" t="str">
        <f>""</f>
        <v/>
      </c>
      <c r="BD1698" t="str">
        <f>""</f>
        <v/>
      </c>
      <c r="BE1698" t="str">
        <f>""</f>
        <v/>
      </c>
      <c r="BF1698" t="str">
        <f t="shared" si="871"/>
        <v>A</v>
      </c>
      <c r="BG1698" t="str">
        <f>""</f>
        <v/>
      </c>
      <c r="BH1698" t="str">
        <f>""</f>
        <v/>
      </c>
      <c r="BI1698" t="str">
        <f t="shared" si="884"/>
        <v>EVENTUAL</v>
      </c>
      <c r="BJ1698" t="str">
        <f t="shared" si="872"/>
        <v>1</v>
      </c>
      <c r="BK1698" t="str">
        <f t="shared" si="873"/>
        <v>Farmacia</v>
      </c>
      <c r="BL1698" t="str">
        <f>""</f>
        <v/>
      </c>
      <c r="BM1698" t="str">
        <f>""</f>
        <v/>
      </c>
      <c r="BN1698" t="str">
        <f>""</f>
        <v/>
      </c>
      <c r="BO1698" t="str">
        <f>""</f>
        <v/>
      </c>
      <c r="BP1698" t="str">
        <f>""</f>
        <v/>
      </c>
      <c r="BQ1698" t="str">
        <f>""</f>
        <v/>
      </c>
      <c r="BR1698" t="str">
        <f>"11/07/2023"</f>
        <v>11/07/2023</v>
      </c>
      <c r="BS1698" t="str">
        <f>""</f>
        <v/>
      </c>
      <c r="BT1698" t="str">
        <f>""</f>
        <v/>
      </c>
      <c r="BU1698" t="str">
        <f>""</f>
        <v/>
      </c>
      <c r="BV1698" t="str">
        <f>""</f>
        <v/>
      </c>
      <c r="BW1698" t="str">
        <f t="shared" si="885"/>
        <v>Não visitado</v>
      </c>
    </row>
    <row r="1699" spans="1:75" x14ac:dyDescent="0.35">
      <c r="A1699">
        <v>118738</v>
      </c>
      <c r="B1699" t="str">
        <f t="shared" si="867"/>
        <v>A</v>
      </c>
      <c r="C1699" t="str">
        <f t="shared" si="868"/>
        <v>80</v>
      </c>
      <c r="D1699" t="str">
        <f t="shared" si="856"/>
        <v>11121004</v>
      </c>
      <c r="E1699" t="str">
        <f t="shared" si="857"/>
        <v>121004</v>
      </c>
      <c r="F1699" t="str">
        <f t="shared" si="858"/>
        <v>FABIANA GODOY</v>
      </c>
      <c r="G1699" t="str">
        <f>"03562903000154"</f>
        <v>03562903000154</v>
      </c>
      <c r="H1699" t="str">
        <f>""</f>
        <v/>
      </c>
      <c r="I1699" t="str">
        <f t="shared" si="869"/>
        <v>CONTA OPTICA</v>
      </c>
      <c r="J1699" t="str">
        <f>"SAFIRA BLUMENAU RELOJOARIA E OTICA LTDA ME"</f>
        <v>SAFIRA BLUMENAU RELOJOARIA E OTICA LTDA ME</v>
      </c>
      <c r="K1699" t="str">
        <f>"JOALHERIA SAFIRA (627)"</f>
        <v>JOALHERIA SAFIRA (627)</v>
      </c>
      <c r="L1699" t="str">
        <f>""</f>
        <v/>
      </c>
      <c r="M1699" t="str">
        <f>""</f>
        <v/>
      </c>
      <c r="N1699" t="str">
        <f>"safirablumenau@gmail.com"</f>
        <v>safirablumenau@gmail.com</v>
      </c>
      <c r="O1699" t="str">
        <f>""</f>
        <v/>
      </c>
      <c r="P1699" t="str">
        <f>"RUA FRANCISCO CORREA"</f>
        <v>RUA FRANCISCO CORREA</v>
      </c>
      <c r="Q1699" t="str">
        <f>"304"</f>
        <v>304</v>
      </c>
      <c r="R1699" t="str">
        <f>"SALA 01"</f>
        <v>SALA 01</v>
      </c>
      <c r="S1699" t="str">
        <f>"1273"</f>
        <v>1273</v>
      </c>
      <c r="T1699" t="str">
        <f>"89074160"</f>
        <v>89074160</v>
      </c>
      <c r="U1699" t="str">
        <f>"TESTO SALTO"</f>
        <v>TESTO SALTO</v>
      </c>
      <c r="V1699" t="str">
        <f>"BLUMENAU"</f>
        <v>BLUMENAU</v>
      </c>
      <c r="W1699" t="str">
        <f t="shared" si="855"/>
        <v>SC</v>
      </c>
      <c r="X1699" t="str">
        <f t="shared" si="886"/>
        <v>47</v>
      </c>
      <c r="Y1699" t="str">
        <f>"33346226"</f>
        <v>33346226</v>
      </c>
      <c r="Z1699" t="str">
        <f>""</f>
        <v/>
      </c>
      <c r="AA1699" t="str">
        <f>""</f>
        <v/>
      </c>
      <c r="AB1699" t="str">
        <f>""</f>
        <v/>
      </c>
      <c r="AC1699" t="str">
        <f>""</f>
        <v/>
      </c>
      <c r="AD1699" t="str">
        <f>""</f>
        <v/>
      </c>
      <c r="AE1699" t="str">
        <f>""</f>
        <v/>
      </c>
      <c r="AF1699" t="str">
        <f>""</f>
        <v/>
      </c>
      <c r="AG1699" t="str">
        <f>""</f>
        <v/>
      </c>
      <c r="AH1699" t="str">
        <f>""</f>
        <v/>
      </c>
      <c r="AI1699" t="str">
        <f>""</f>
        <v/>
      </c>
      <c r="AJ1699" t="str">
        <f>"0"</f>
        <v>0</v>
      </c>
      <c r="AK1699" t="str">
        <f>"0"</f>
        <v>0</v>
      </c>
      <c r="AL1699" t="str">
        <f>"0"</f>
        <v>0</v>
      </c>
      <c r="AM1699" t="str">
        <f>""</f>
        <v/>
      </c>
      <c r="AN1699" t="str">
        <f>""</f>
        <v/>
      </c>
      <c r="AO1699" t="str">
        <f>""</f>
        <v/>
      </c>
      <c r="AP1699" t="str">
        <f>""</f>
        <v/>
      </c>
      <c r="AQ1699" t="str">
        <f>""</f>
        <v/>
      </c>
      <c r="AR1699" t="str">
        <f>""</f>
        <v/>
      </c>
      <c r="AS1699" t="str">
        <f>""</f>
        <v/>
      </c>
      <c r="AT1699" t="str">
        <f>""</f>
        <v/>
      </c>
      <c r="AU1699" t="str">
        <f>""</f>
        <v/>
      </c>
      <c r="AV1699" t="str">
        <f>""</f>
        <v/>
      </c>
      <c r="AW1699" t="str">
        <f>""</f>
        <v/>
      </c>
      <c r="AX1699" t="str">
        <f>""</f>
        <v/>
      </c>
      <c r="AY1699" t="str">
        <f>""</f>
        <v/>
      </c>
      <c r="AZ1699" t="str">
        <f>""</f>
        <v/>
      </c>
      <c r="BA1699" t="str">
        <f>""</f>
        <v/>
      </c>
      <c r="BB1699" t="str">
        <f>""</f>
        <v/>
      </c>
      <c r="BC1699" t="str">
        <f>""</f>
        <v/>
      </c>
      <c r="BD1699" t="str">
        <f>""</f>
        <v/>
      </c>
      <c r="BE1699" t="str">
        <f>""</f>
        <v/>
      </c>
      <c r="BF1699" t="str">
        <f t="shared" si="871"/>
        <v>A</v>
      </c>
      <c r="BG1699" t="str">
        <f>"0,00"</f>
        <v>0,00</v>
      </c>
      <c r="BH1699" t="str">
        <f>"0,00"</f>
        <v>0,00</v>
      </c>
      <c r="BI1699" t="str">
        <f t="shared" si="884"/>
        <v>EVENTUAL</v>
      </c>
      <c r="BJ1699" t="str">
        <f t="shared" si="872"/>
        <v>1</v>
      </c>
      <c r="BK1699" t="str">
        <f t="shared" si="873"/>
        <v>Farmacia</v>
      </c>
      <c r="BL1699" t="str">
        <f>""</f>
        <v/>
      </c>
      <c r="BM1699" t="str">
        <f>"NÃO É VARILUX ESPECIALISTA"</f>
        <v>NÃO É VARILUX ESPECIALISTA</v>
      </c>
      <c r="BN1699" t="str">
        <f>"NA"</f>
        <v>NA</v>
      </c>
      <c r="BO1699" t="str">
        <f>"FOCO VARILUX"</f>
        <v>FOCO VARILUX</v>
      </c>
      <c r="BP1699" t="str">
        <f>""</f>
        <v/>
      </c>
      <c r="BQ1699" t="str">
        <f>""</f>
        <v/>
      </c>
      <c r="BR1699" t="str">
        <f>""</f>
        <v/>
      </c>
      <c r="BS1699" t="str">
        <f>""</f>
        <v/>
      </c>
      <c r="BT1699" t="str">
        <f>""</f>
        <v/>
      </c>
      <c r="BU1699" t="str">
        <f>""</f>
        <v/>
      </c>
      <c r="BV1699" t="str">
        <f>"9"</f>
        <v>9</v>
      </c>
      <c r="BW1699" t="str">
        <f t="shared" si="885"/>
        <v>Não visitado</v>
      </c>
    </row>
    <row r="1700" spans="1:75" x14ac:dyDescent="0.35">
      <c r="A1700">
        <v>157072</v>
      </c>
      <c r="B1700" t="str">
        <f t="shared" si="867"/>
        <v>A</v>
      </c>
      <c r="C1700" t="str">
        <f t="shared" si="868"/>
        <v>80</v>
      </c>
      <c r="D1700" t="str">
        <f t="shared" si="856"/>
        <v>11121004</v>
      </c>
      <c r="E1700" t="str">
        <f t="shared" si="857"/>
        <v>121004</v>
      </c>
      <c r="F1700" t="str">
        <f t="shared" si="858"/>
        <v>FABIANA GODOY</v>
      </c>
      <c r="G1700" t="str">
        <f>"10876904000139"</f>
        <v>10876904000139</v>
      </c>
      <c r="H1700" t="str">
        <f>"0"</f>
        <v>0</v>
      </c>
      <c r="I1700" t="str">
        <f t="shared" si="869"/>
        <v>CONTA OPTICA</v>
      </c>
      <c r="J1700" t="str">
        <f>"SAMARA CRISTINE LAMIM ZANIS"</f>
        <v>SAMARA CRISTINE LAMIM ZANIS</v>
      </c>
      <c r="K1700" t="str">
        <f>"ZANIS JOIAS E OPTICA (1959)"</f>
        <v>ZANIS JOIAS E OPTICA (1959)</v>
      </c>
      <c r="L1700" t="str">
        <f>""</f>
        <v/>
      </c>
      <c r="M1700" t="str">
        <f>""</f>
        <v/>
      </c>
      <c r="N1700" t="str">
        <f>"JAIRORZANIS@HOTMAIL.COM"</f>
        <v>JAIRORZANIS@HOTMAIL.COM</v>
      </c>
      <c r="O1700" t="str">
        <f>""</f>
        <v/>
      </c>
      <c r="P1700" t="str">
        <f>"RUA QUINZE DE NOVEMBRO"</f>
        <v>RUA QUINZE DE NOVEMBRO</v>
      </c>
      <c r="Q1700" t="str">
        <f>"59"</f>
        <v>59</v>
      </c>
      <c r="R1700" t="str">
        <f>"SALA 08"</f>
        <v>SALA 08</v>
      </c>
      <c r="S1700" t="str">
        <f>"1276"</f>
        <v>1276</v>
      </c>
      <c r="T1700" t="str">
        <f>"89170000"</f>
        <v>89170000</v>
      </c>
      <c r="U1700" t="str">
        <f>"CENTRO"</f>
        <v>CENTRO</v>
      </c>
      <c r="V1700" t="str">
        <f>"LAURENTINO"</f>
        <v>LAURENTINO</v>
      </c>
      <c r="W1700" t="str">
        <f t="shared" si="855"/>
        <v>SC</v>
      </c>
      <c r="X1700" t="str">
        <f t="shared" si="886"/>
        <v>47</v>
      </c>
      <c r="Y1700" t="str">
        <f>"35461368"</f>
        <v>35461368</v>
      </c>
      <c r="Z1700" t="str">
        <f>""</f>
        <v/>
      </c>
      <c r="AA1700" t="str">
        <f>""</f>
        <v/>
      </c>
      <c r="AB1700" t="str">
        <f>""</f>
        <v/>
      </c>
      <c r="AC1700" t="str">
        <f>""</f>
        <v/>
      </c>
      <c r="AD1700" t="str">
        <f>""</f>
        <v/>
      </c>
      <c r="AE1700" t="str">
        <f>""</f>
        <v/>
      </c>
      <c r="AF1700" t="str">
        <f>""</f>
        <v/>
      </c>
      <c r="AG1700" t="str">
        <f>""</f>
        <v/>
      </c>
      <c r="AH1700" t="str">
        <f>""</f>
        <v/>
      </c>
      <c r="AI1700" t="str">
        <f>""</f>
        <v/>
      </c>
      <c r="AJ1700" t="str">
        <f>""</f>
        <v/>
      </c>
      <c r="AK1700" t="str">
        <f>""</f>
        <v/>
      </c>
      <c r="AL1700" t="str">
        <f>""</f>
        <v/>
      </c>
      <c r="AM1700" t="str">
        <f>""</f>
        <v/>
      </c>
      <c r="AN1700" t="str">
        <f>""</f>
        <v/>
      </c>
      <c r="AO1700" t="str">
        <f>""</f>
        <v/>
      </c>
      <c r="AP1700" t="str">
        <f>""</f>
        <v/>
      </c>
      <c r="AQ1700" t="str">
        <f>""</f>
        <v/>
      </c>
      <c r="AR1700" t="str">
        <f>""</f>
        <v/>
      </c>
      <c r="AS1700" t="str">
        <f>""</f>
        <v/>
      </c>
      <c r="AT1700" t="str">
        <f>""</f>
        <v/>
      </c>
      <c r="AU1700" t="str">
        <f>""</f>
        <v/>
      </c>
      <c r="AV1700" t="str">
        <f>""</f>
        <v/>
      </c>
      <c r="AW1700" t="str">
        <f>""</f>
        <v/>
      </c>
      <c r="AX1700" t="str">
        <f>""</f>
        <v/>
      </c>
      <c r="AY1700" t="str">
        <f>""</f>
        <v/>
      </c>
      <c r="AZ1700" t="str">
        <f>""</f>
        <v/>
      </c>
      <c r="BA1700" t="str">
        <f>""</f>
        <v/>
      </c>
      <c r="BB1700" t="str">
        <f>"06/07/2023 12:07:48"</f>
        <v>06/07/2023 12:07:48</v>
      </c>
      <c r="BC1700" t="str">
        <f>""</f>
        <v/>
      </c>
      <c r="BD1700" t="str">
        <f>""</f>
        <v/>
      </c>
      <c r="BE1700" t="str">
        <f>""</f>
        <v/>
      </c>
      <c r="BF1700" t="str">
        <f t="shared" si="871"/>
        <v>A</v>
      </c>
      <c r="BG1700" t="str">
        <f>""</f>
        <v/>
      </c>
      <c r="BH1700" t="str">
        <f>""</f>
        <v/>
      </c>
      <c r="BI1700" t="str">
        <f t="shared" si="884"/>
        <v>EVENTUAL</v>
      </c>
      <c r="BJ1700" t="str">
        <f t="shared" si="872"/>
        <v>1</v>
      </c>
      <c r="BK1700" t="str">
        <f t="shared" si="873"/>
        <v>Farmacia</v>
      </c>
      <c r="BL1700" t="str">
        <f>""</f>
        <v/>
      </c>
      <c r="BM1700" t="str">
        <f>""</f>
        <v/>
      </c>
      <c r="BN1700" t="str">
        <f>""</f>
        <v/>
      </c>
      <c r="BO1700" t="str">
        <f>""</f>
        <v/>
      </c>
      <c r="BP1700" t="str">
        <f>""</f>
        <v/>
      </c>
      <c r="BQ1700" t="str">
        <f>""</f>
        <v/>
      </c>
      <c r="BR1700" t="str">
        <f>"06/07/2023"</f>
        <v>06/07/2023</v>
      </c>
      <c r="BS1700" t="str">
        <f>""</f>
        <v/>
      </c>
      <c r="BT1700" t="str">
        <f>""</f>
        <v/>
      </c>
      <c r="BU1700" t="str">
        <f>""</f>
        <v/>
      </c>
      <c r="BV1700" t="str">
        <f>""</f>
        <v/>
      </c>
      <c r="BW1700" t="str">
        <f t="shared" si="885"/>
        <v>Não visitado</v>
      </c>
    </row>
    <row r="1701" spans="1:75" x14ac:dyDescent="0.35">
      <c r="A1701">
        <v>1277</v>
      </c>
      <c r="B1701" t="str">
        <f t="shared" si="867"/>
        <v>A</v>
      </c>
      <c r="C1701" t="str">
        <f t="shared" si="868"/>
        <v>80</v>
      </c>
      <c r="D1701" t="str">
        <f t="shared" si="856"/>
        <v>11121004</v>
      </c>
      <c r="E1701" t="str">
        <f t="shared" si="857"/>
        <v>121004</v>
      </c>
      <c r="F1701" t="str">
        <f t="shared" si="858"/>
        <v>FABIANA GODOY</v>
      </c>
      <c r="G1701" t="str">
        <f>"05569332000105"</f>
        <v>05569332000105</v>
      </c>
      <c r="H1701" t="str">
        <f>""</f>
        <v/>
      </c>
      <c r="I1701" t="str">
        <f t="shared" si="869"/>
        <v>CONTA OPTICA</v>
      </c>
      <c r="J1701" t="str">
        <f>"SANDRA DUWE JOIAS E DESIGN"</f>
        <v>SANDRA DUWE JOIAS E DESIGN</v>
      </c>
      <c r="K1701" t="str">
        <f>"SANDRA DUWE JOIAS E DESIGN (1917)"</f>
        <v>SANDRA DUWE JOIAS E DESIGN (1917)</v>
      </c>
      <c r="L1701" t="str">
        <f>""</f>
        <v/>
      </c>
      <c r="M1701" t="str">
        <f>""</f>
        <v/>
      </c>
      <c r="N1701" t="str">
        <f>"sandraduwebnu@hotmail.com"</f>
        <v>sandraduwebnu@hotmail.com</v>
      </c>
      <c r="O1701" t="str">
        <f>""</f>
        <v/>
      </c>
      <c r="P1701" t="str">
        <f>"RUA SETE DE SETEMBRO"</f>
        <v>RUA SETE DE SETEMBRO</v>
      </c>
      <c r="Q1701" t="str">
        <f>"1213"</f>
        <v>1213</v>
      </c>
      <c r="R1701" t="str">
        <f>"SALA 120"</f>
        <v>SALA 120</v>
      </c>
      <c r="S1701" t="str">
        <f>"1273"</f>
        <v>1273</v>
      </c>
      <c r="T1701" t="str">
        <f>"89010911"</f>
        <v>89010911</v>
      </c>
      <c r="U1701" t="str">
        <f>"CENTRO"</f>
        <v>CENTRO</v>
      </c>
      <c r="V1701" t="str">
        <f>"BLUMENAU"</f>
        <v>BLUMENAU</v>
      </c>
      <c r="W1701" t="str">
        <f t="shared" si="855"/>
        <v>SC</v>
      </c>
      <c r="X1701" t="str">
        <f t="shared" si="886"/>
        <v>47</v>
      </c>
      <c r="Y1701" t="str">
        <f>"33265051"</f>
        <v>33265051</v>
      </c>
      <c r="Z1701" t="str">
        <f>""</f>
        <v/>
      </c>
      <c r="AA1701" t="str">
        <f>""</f>
        <v/>
      </c>
      <c r="AB1701" t="str">
        <f>""</f>
        <v/>
      </c>
      <c r="AC1701" t="str">
        <f>""</f>
        <v/>
      </c>
      <c r="AD1701" t="str">
        <f>""</f>
        <v/>
      </c>
      <c r="AE1701" t="str">
        <f>""</f>
        <v/>
      </c>
      <c r="AF1701" t="str">
        <f>""</f>
        <v/>
      </c>
      <c r="AG1701" t="str">
        <f>""</f>
        <v/>
      </c>
      <c r="AH1701" t="str">
        <f>""</f>
        <v/>
      </c>
      <c r="AI1701" t="str">
        <f>""</f>
        <v/>
      </c>
      <c r="AJ1701" t="str">
        <f>"0"</f>
        <v>0</v>
      </c>
      <c r="AK1701" t="str">
        <f>"0"</f>
        <v>0</v>
      </c>
      <c r="AL1701" t="str">
        <f>"0"</f>
        <v>0</v>
      </c>
      <c r="AM1701" t="str">
        <f>""</f>
        <v/>
      </c>
      <c r="AN1701" t="str">
        <f>""</f>
        <v/>
      </c>
      <c r="AO1701" t="str">
        <f>""</f>
        <v/>
      </c>
      <c r="AP1701" t="str">
        <f>""</f>
        <v/>
      </c>
      <c r="AQ1701" t="str">
        <f>""</f>
        <v/>
      </c>
      <c r="AR1701" t="str">
        <f>""</f>
        <v/>
      </c>
      <c r="AS1701" t="str">
        <f>""</f>
        <v/>
      </c>
      <c r="AT1701" t="str">
        <f>""</f>
        <v/>
      </c>
      <c r="AU1701" t="str">
        <f>""</f>
        <v/>
      </c>
      <c r="AV1701" t="str">
        <f>""</f>
        <v/>
      </c>
      <c r="AW1701" t="str">
        <f>""</f>
        <v/>
      </c>
      <c r="AX1701" t="str">
        <f>""</f>
        <v/>
      </c>
      <c r="AY1701" t="str">
        <f>""</f>
        <v/>
      </c>
      <c r="AZ1701" t="str">
        <f>""</f>
        <v/>
      </c>
      <c r="BA1701" t="str">
        <f>""</f>
        <v/>
      </c>
      <c r="BB1701" t="str">
        <f>"27/07/2018 09:26:12"</f>
        <v>27/07/2018 09:26:12</v>
      </c>
      <c r="BC1701" t="str">
        <f>""</f>
        <v/>
      </c>
      <c r="BD1701" t="str">
        <f>""</f>
        <v/>
      </c>
      <c r="BE1701" t="str">
        <f>"1277"</f>
        <v>1277</v>
      </c>
      <c r="BF1701" t="str">
        <f t="shared" si="871"/>
        <v>A</v>
      </c>
      <c r="BG1701" t="str">
        <f>"0,00"</f>
        <v>0,00</v>
      </c>
      <c r="BH1701" t="str">
        <f>"0,00"</f>
        <v>0,00</v>
      </c>
      <c r="BI1701" t="str">
        <f t="shared" si="884"/>
        <v>EVENTUAL</v>
      </c>
      <c r="BJ1701" t="str">
        <f t="shared" si="872"/>
        <v>1</v>
      </c>
      <c r="BK1701" t="str">
        <f t="shared" si="873"/>
        <v>Farmacia</v>
      </c>
      <c r="BL1701" t="str">
        <f>""</f>
        <v/>
      </c>
      <c r="BM1701" t="str">
        <f>"NÃO É VARILUX ESPECIALISTA"</f>
        <v>NÃO É VARILUX ESPECIALISTA</v>
      </c>
      <c r="BN1701" t="str">
        <f>"NA"</f>
        <v>NA</v>
      </c>
      <c r="BO1701" t="str">
        <f>"FOCO VARILUX DIGITAL"</f>
        <v>FOCO VARILUX DIGITAL</v>
      </c>
      <c r="BP1701" t="str">
        <f>""</f>
        <v/>
      </c>
      <c r="BQ1701" t="str">
        <f>""</f>
        <v/>
      </c>
      <c r="BR1701" t="str">
        <f>"27/07/2018"</f>
        <v>27/07/2018</v>
      </c>
      <c r="BS1701" t="str">
        <f>""</f>
        <v/>
      </c>
      <c r="BT1701" t="str">
        <f>""</f>
        <v/>
      </c>
      <c r="BU1701" t="str">
        <f>""</f>
        <v/>
      </c>
      <c r="BV1701" t="str">
        <f>"1"</f>
        <v>1</v>
      </c>
      <c r="BW1701" t="str">
        <f>"29"</f>
        <v>29</v>
      </c>
    </row>
    <row r="1702" spans="1:75" x14ac:dyDescent="0.35">
      <c r="A1702">
        <v>137911</v>
      </c>
      <c r="B1702" t="str">
        <f t="shared" si="867"/>
        <v>A</v>
      </c>
      <c r="C1702" t="str">
        <f t="shared" si="868"/>
        <v>80</v>
      </c>
      <c r="D1702" t="str">
        <f t="shared" si="856"/>
        <v>11121004</v>
      </c>
      <c r="E1702" t="str">
        <f t="shared" si="857"/>
        <v>121004</v>
      </c>
      <c r="F1702" t="str">
        <f t="shared" si="858"/>
        <v>FABIANA GODOY</v>
      </c>
      <c r="G1702" t="str">
        <f>"21021859000157"</f>
        <v>21021859000157</v>
      </c>
      <c r="H1702" t="str">
        <f t="shared" ref="H1702:H1709" si="887">"0"</f>
        <v>0</v>
      </c>
      <c r="I1702" t="str">
        <f t="shared" si="869"/>
        <v>CONTA OPTICA</v>
      </c>
      <c r="J1702" t="str">
        <f>"SANTA OPTICA LTDA ME"</f>
        <v>SANTA OPTICA LTDA ME</v>
      </c>
      <c r="K1702" t="str">
        <f>"SANTA OPTICA LTDA ME (2193)"</f>
        <v>SANTA OPTICA LTDA ME (2193)</v>
      </c>
      <c r="L1702" t="str">
        <f>""</f>
        <v/>
      </c>
      <c r="M1702" t="str">
        <f>""</f>
        <v/>
      </c>
      <c r="N1702" t="str">
        <f>"contato@santaoptica.com.br"</f>
        <v>contato@santaoptica.com.br</v>
      </c>
      <c r="O1702" t="str">
        <f>""</f>
        <v/>
      </c>
      <c r="P1702" t="str">
        <f>"RUA SETE DE SETEMBRO"</f>
        <v>RUA SETE DE SETEMBRO</v>
      </c>
      <c r="Q1702" t="str">
        <f>"235"</f>
        <v>235</v>
      </c>
      <c r="R1702" t="str">
        <f>"SALA 1 ANDAR"</f>
        <v>SALA 1 ANDAR</v>
      </c>
      <c r="S1702" t="str">
        <f>"1261"</f>
        <v>1261</v>
      </c>
      <c r="T1702" t="str">
        <f>"88301205"</f>
        <v>88301205</v>
      </c>
      <c r="U1702" t="str">
        <f>"FAZENDA"</f>
        <v>FAZENDA</v>
      </c>
      <c r="V1702" t="str">
        <f>"ITAJAÍ"</f>
        <v>ITAJAÍ</v>
      </c>
      <c r="W1702" t="str">
        <f t="shared" si="855"/>
        <v>SC</v>
      </c>
      <c r="X1702" t="str">
        <f t="shared" si="886"/>
        <v>47</v>
      </c>
      <c r="Y1702" t="str">
        <f>"30451137"</f>
        <v>30451137</v>
      </c>
      <c r="Z1702" t="str">
        <f>""</f>
        <v/>
      </c>
      <c r="AA1702" t="str">
        <f>""</f>
        <v/>
      </c>
      <c r="AB1702" t="str">
        <f>""</f>
        <v/>
      </c>
      <c r="AC1702" t="str">
        <f>""</f>
        <v/>
      </c>
      <c r="AD1702" t="str">
        <f>""</f>
        <v/>
      </c>
      <c r="AE1702" t="str">
        <f>""</f>
        <v/>
      </c>
      <c r="AF1702" t="str">
        <f>""</f>
        <v/>
      </c>
      <c r="AG1702" t="str">
        <f>"S"</f>
        <v>S</v>
      </c>
      <c r="AH1702" t="str">
        <f>""</f>
        <v/>
      </c>
      <c r="AI1702" t="str">
        <f>""</f>
        <v/>
      </c>
      <c r="AJ1702" t="str">
        <f>""</f>
        <v/>
      </c>
      <c r="AK1702" t="str">
        <f>""</f>
        <v/>
      </c>
      <c r="AL1702" t="str">
        <f>""</f>
        <v/>
      </c>
      <c r="AM1702" t="str">
        <f>""</f>
        <v/>
      </c>
      <c r="AN1702" t="str">
        <f>""</f>
        <v/>
      </c>
      <c r="AO1702" t="str">
        <f>""</f>
        <v/>
      </c>
      <c r="AP1702" t="str">
        <f>""</f>
        <v/>
      </c>
      <c r="AQ1702" t="str">
        <f>"N"</f>
        <v>N</v>
      </c>
      <c r="AR1702" t="str">
        <f>"N"</f>
        <v>N</v>
      </c>
      <c r="AS1702" t="str">
        <f>"N"</f>
        <v>N</v>
      </c>
      <c r="AT1702" t="str">
        <f>"N"</f>
        <v>N</v>
      </c>
      <c r="AU1702" t="str">
        <f>"N"</f>
        <v>N</v>
      </c>
      <c r="AV1702" t="str">
        <f>""</f>
        <v/>
      </c>
      <c r="AW1702" t="str">
        <f>""</f>
        <v/>
      </c>
      <c r="AX1702" t="str">
        <f>""</f>
        <v/>
      </c>
      <c r="AY1702" t="str">
        <f>""</f>
        <v/>
      </c>
      <c r="AZ1702" t="str">
        <f>""</f>
        <v/>
      </c>
      <c r="BA1702" t="str">
        <f>""</f>
        <v/>
      </c>
      <c r="BB1702" t="str">
        <f>"01/07/2021 13:53:04"</f>
        <v>01/07/2021 13:53:04</v>
      </c>
      <c r="BC1702" t="str">
        <f>"29/04/2022 16:20:31"</f>
        <v>29/04/2022 16:20:31</v>
      </c>
      <c r="BD1702" t="str">
        <f>""</f>
        <v/>
      </c>
      <c r="BE1702" t="str">
        <f>""</f>
        <v/>
      </c>
      <c r="BF1702" t="str">
        <f t="shared" si="871"/>
        <v>A</v>
      </c>
      <c r="BG1702" t="str">
        <f>""</f>
        <v/>
      </c>
      <c r="BH1702" t="str">
        <f>"0,00"</f>
        <v>0,00</v>
      </c>
      <c r="BI1702" t="str">
        <f t="shared" si="884"/>
        <v>EVENTUAL</v>
      </c>
      <c r="BJ1702" t="str">
        <f t="shared" si="872"/>
        <v>1</v>
      </c>
      <c r="BK1702" t="str">
        <f t="shared" si="873"/>
        <v>Farmacia</v>
      </c>
      <c r="BL1702" t="str">
        <f>""</f>
        <v/>
      </c>
      <c r="BM1702" t="str">
        <f>"NÃO É VARILUX ESPECIALISTA"</f>
        <v>NÃO É VARILUX ESPECIALISTA</v>
      </c>
      <c r="BN1702" t="str">
        <f>"NA"</f>
        <v>NA</v>
      </c>
      <c r="BO1702" t="str">
        <f>"OUTROS"</f>
        <v>OUTROS</v>
      </c>
      <c r="BP1702" t="str">
        <f>""</f>
        <v/>
      </c>
      <c r="BQ1702" t="str">
        <f>""</f>
        <v/>
      </c>
      <c r="BR1702" t="str">
        <f>"01/07/2021"</f>
        <v>01/07/2021</v>
      </c>
      <c r="BS1702" t="str">
        <f>"29/04/2022"</f>
        <v>29/04/2022</v>
      </c>
      <c r="BT1702" t="str">
        <f>""</f>
        <v/>
      </c>
      <c r="BU1702" t="str">
        <f>""</f>
        <v/>
      </c>
      <c r="BV1702" t="str">
        <f>""</f>
        <v/>
      </c>
      <c r="BW1702" t="str">
        <f>"37"</f>
        <v>37</v>
      </c>
    </row>
    <row r="1703" spans="1:75" x14ac:dyDescent="0.35">
      <c r="A1703">
        <v>157779</v>
      </c>
      <c r="B1703" t="str">
        <f t="shared" si="867"/>
        <v>A</v>
      </c>
      <c r="C1703" t="str">
        <f t="shared" si="868"/>
        <v>80</v>
      </c>
      <c r="D1703" t="str">
        <f t="shared" si="856"/>
        <v>11121004</v>
      </c>
      <c r="E1703" t="str">
        <f t="shared" si="857"/>
        <v>121004</v>
      </c>
      <c r="F1703" t="str">
        <f t="shared" si="858"/>
        <v>FABIANA GODOY</v>
      </c>
      <c r="G1703" t="str">
        <f>"35911061000195"</f>
        <v>35911061000195</v>
      </c>
      <c r="H1703" t="str">
        <f t="shared" si="887"/>
        <v>0</v>
      </c>
      <c r="I1703" t="str">
        <f t="shared" si="869"/>
        <v>CONTA OPTICA</v>
      </c>
      <c r="J1703" t="str">
        <f>"SANTOS &amp; SANTOS COMERCIO DE OCULOS LTDA"</f>
        <v>SANTOS &amp; SANTOS COMERCIO DE OCULOS LTDA</v>
      </c>
      <c r="K1703" t="str">
        <f>"VISAO OTICA (4096)"</f>
        <v>VISAO OTICA (4096)</v>
      </c>
      <c r="L1703" t="str">
        <f>""</f>
        <v/>
      </c>
      <c r="M1703" t="str">
        <f>""</f>
        <v/>
      </c>
      <c r="N1703" t="str">
        <f>"VISAOOTICAEDUARDO@GMAIL.COM"</f>
        <v>VISAOOTICAEDUARDO@GMAIL.COM</v>
      </c>
      <c r="O1703" t="str">
        <f>""</f>
        <v/>
      </c>
      <c r="P1703" t="str">
        <f>"RUA FREDERICO AUGUSTO LUIZ THIEME"</f>
        <v>RUA FREDERICO AUGUSTO LUIZ THIEME</v>
      </c>
      <c r="Q1703" t="str">
        <f>"36"</f>
        <v>36</v>
      </c>
      <c r="R1703" t="str">
        <f>"SALA 08"</f>
        <v>SALA 08</v>
      </c>
      <c r="S1703" t="str">
        <f>"1261"</f>
        <v>1261</v>
      </c>
      <c r="T1703" t="str">
        <f>"88303024"</f>
        <v>88303024</v>
      </c>
      <c r="U1703" t="str">
        <f t="shared" ref="U1703:U1709" si="888">"CENTRO"</f>
        <v>CENTRO</v>
      </c>
      <c r="V1703" t="str">
        <f>"ITAJAI"</f>
        <v>ITAJAI</v>
      </c>
      <c r="W1703" t="str">
        <f t="shared" si="855"/>
        <v>SC</v>
      </c>
      <c r="X1703" t="str">
        <f t="shared" si="886"/>
        <v>47</v>
      </c>
      <c r="Y1703" t="str">
        <f>"33481260"</f>
        <v>33481260</v>
      </c>
      <c r="Z1703" t="str">
        <f>""</f>
        <v/>
      </c>
      <c r="AA1703" t="str">
        <f>""</f>
        <v/>
      </c>
      <c r="AB1703" t="str">
        <f>""</f>
        <v/>
      </c>
      <c r="AC1703" t="str">
        <f>""</f>
        <v/>
      </c>
      <c r="AD1703" t="str">
        <f>""</f>
        <v/>
      </c>
      <c r="AE1703" t="str">
        <f>""</f>
        <v/>
      </c>
      <c r="AF1703" t="str">
        <f>""</f>
        <v/>
      </c>
      <c r="AG1703" t="str">
        <f>""</f>
        <v/>
      </c>
      <c r="AH1703" t="str">
        <f>""</f>
        <v/>
      </c>
      <c r="AI1703" t="str">
        <f>""</f>
        <v/>
      </c>
      <c r="AJ1703" t="str">
        <f>""</f>
        <v/>
      </c>
      <c r="AK1703" t="str">
        <f>""</f>
        <v/>
      </c>
      <c r="AL1703" t="str">
        <f>""</f>
        <v/>
      </c>
      <c r="AM1703" t="str">
        <f>""</f>
        <v/>
      </c>
      <c r="AN1703" t="str">
        <f>""</f>
        <v/>
      </c>
      <c r="AO1703" t="str">
        <f>""</f>
        <v/>
      </c>
      <c r="AP1703" t="str">
        <f>""</f>
        <v/>
      </c>
      <c r="AQ1703" t="str">
        <f>""</f>
        <v/>
      </c>
      <c r="AR1703" t="str">
        <f>""</f>
        <v/>
      </c>
      <c r="AS1703" t="str">
        <f>""</f>
        <v/>
      </c>
      <c r="AT1703" t="str">
        <f>""</f>
        <v/>
      </c>
      <c r="AU1703" t="str">
        <f>""</f>
        <v/>
      </c>
      <c r="AV1703" t="str">
        <f>""</f>
        <v/>
      </c>
      <c r="AW1703" t="str">
        <f>""</f>
        <v/>
      </c>
      <c r="AX1703" t="str">
        <f>""</f>
        <v/>
      </c>
      <c r="AY1703" t="str">
        <f>""</f>
        <v/>
      </c>
      <c r="AZ1703" t="str">
        <f>""</f>
        <v/>
      </c>
      <c r="BA1703" t="str">
        <f>""</f>
        <v/>
      </c>
      <c r="BB1703" t="str">
        <f>"11/07/2023 02:26:32"</f>
        <v>11/07/2023 02:26:32</v>
      </c>
      <c r="BC1703" t="str">
        <f>""</f>
        <v/>
      </c>
      <c r="BD1703" t="str">
        <f>""</f>
        <v/>
      </c>
      <c r="BE1703" t="str">
        <f>""</f>
        <v/>
      </c>
      <c r="BF1703" t="str">
        <f t="shared" si="871"/>
        <v>A</v>
      </c>
      <c r="BG1703" t="str">
        <f>""</f>
        <v/>
      </c>
      <c r="BH1703" t="str">
        <f>""</f>
        <v/>
      </c>
      <c r="BI1703" t="str">
        <f t="shared" si="884"/>
        <v>EVENTUAL</v>
      </c>
      <c r="BJ1703" t="str">
        <f t="shared" si="872"/>
        <v>1</v>
      </c>
      <c r="BK1703" t="str">
        <f t="shared" si="873"/>
        <v>Farmacia</v>
      </c>
      <c r="BL1703" t="str">
        <f>""</f>
        <v/>
      </c>
      <c r="BM1703" t="str">
        <f>""</f>
        <v/>
      </c>
      <c r="BN1703" t="str">
        <f>""</f>
        <v/>
      </c>
      <c r="BO1703" t="str">
        <f>""</f>
        <v/>
      </c>
      <c r="BP1703" t="str">
        <f>""</f>
        <v/>
      </c>
      <c r="BQ1703" t="str">
        <f>""</f>
        <v/>
      </c>
      <c r="BR1703" t="str">
        <f>"11/07/2023"</f>
        <v>11/07/2023</v>
      </c>
      <c r="BS1703" t="str">
        <f>""</f>
        <v/>
      </c>
      <c r="BT1703" t="str">
        <f>""</f>
        <v/>
      </c>
      <c r="BU1703" t="str">
        <f>""</f>
        <v/>
      </c>
      <c r="BV1703" t="str">
        <f>""</f>
        <v/>
      </c>
      <c r="BW1703" t="str">
        <f>"108"</f>
        <v>108</v>
      </c>
    </row>
    <row r="1704" spans="1:75" x14ac:dyDescent="0.35">
      <c r="A1704">
        <v>127801</v>
      </c>
      <c r="B1704" t="str">
        <f t="shared" si="867"/>
        <v>A</v>
      </c>
      <c r="C1704" t="str">
        <f t="shared" si="868"/>
        <v>80</v>
      </c>
      <c r="D1704" t="str">
        <f t="shared" si="856"/>
        <v>11121004</v>
      </c>
      <c r="E1704" t="str">
        <f t="shared" si="857"/>
        <v>121004</v>
      </c>
      <c r="F1704" t="str">
        <f t="shared" si="858"/>
        <v>FABIANA GODOY</v>
      </c>
      <c r="G1704" t="str">
        <f>"08917699000160"</f>
        <v>08917699000160</v>
      </c>
      <c r="H1704" t="str">
        <f t="shared" si="887"/>
        <v>0</v>
      </c>
      <c r="I1704" t="str">
        <f t="shared" si="869"/>
        <v>CONTA OPTICA</v>
      </c>
      <c r="J1704" t="str">
        <f>"SARITA SALETE MENEGHELLI POFFO ME"</f>
        <v>SARITA SALETE MENEGHELLI POFFO ME</v>
      </c>
      <c r="K1704" t="str">
        <f>"SARITA SALETE MENEGHELLI POFFO - ME (1986)"</f>
        <v>SARITA SALETE MENEGHELLI POFFO - ME (1986)</v>
      </c>
      <c r="L1704" t="str">
        <f>""</f>
        <v/>
      </c>
      <c r="M1704" t="str">
        <f>""</f>
        <v/>
      </c>
      <c r="N1704" t="str">
        <f>"titajoias@yahoo.com.br"</f>
        <v>titajoias@yahoo.com.br</v>
      </c>
      <c r="O1704" t="str">
        <f>""</f>
        <v/>
      </c>
      <c r="P1704" t="str">
        <f>"RUA QUINTINO BOCAIUVA"</f>
        <v>RUA QUINTINO BOCAIUVA</v>
      </c>
      <c r="Q1704" t="str">
        <f>"160"</f>
        <v>160</v>
      </c>
      <c r="R1704" t="str">
        <f>"SALA 02"</f>
        <v>SALA 02</v>
      </c>
      <c r="S1704" t="str">
        <f>"1275"</f>
        <v>1275</v>
      </c>
      <c r="T1704" t="str">
        <f>"89135000"</f>
        <v>89135000</v>
      </c>
      <c r="U1704" t="str">
        <f t="shared" si="888"/>
        <v>CENTRO</v>
      </c>
      <c r="V1704" t="str">
        <f>"APIUNA"</f>
        <v>APIUNA</v>
      </c>
      <c r="W1704" t="str">
        <f t="shared" si="855"/>
        <v>SC</v>
      </c>
      <c r="X1704" t="str">
        <f t="shared" si="886"/>
        <v>47</v>
      </c>
      <c r="Y1704" t="str">
        <f>"33530003"</f>
        <v>33530003</v>
      </c>
      <c r="Z1704" t="str">
        <f>""</f>
        <v/>
      </c>
      <c r="AA1704" t="str">
        <f>""</f>
        <v/>
      </c>
      <c r="AB1704" t="str">
        <f>""</f>
        <v/>
      </c>
      <c r="AC1704" t="str">
        <f>""</f>
        <v/>
      </c>
      <c r="AD1704" t="str">
        <f>""</f>
        <v/>
      </c>
      <c r="AE1704" t="str">
        <f>""</f>
        <v/>
      </c>
      <c r="AF1704" t="str">
        <f>""</f>
        <v/>
      </c>
      <c r="AG1704" t="str">
        <f>""</f>
        <v/>
      </c>
      <c r="AH1704" t="str">
        <f>""</f>
        <v/>
      </c>
      <c r="AI1704" t="str">
        <f>""</f>
        <v/>
      </c>
      <c r="AJ1704" t="str">
        <f>""</f>
        <v/>
      </c>
      <c r="AK1704" t="str">
        <f>""</f>
        <v/>
      </c>
      <c r="AL1704" t="str">
        <f>""</f>
        <v/>
      </c>
      <c r="AM1704" t="str">
        <f>""</f>
        <v/>
      </c>
      <c r="AN1704" t="str">
        <f>""</f>
        <v/>
      </c>
      <c r="AO1704" t="str">
        <f>""</f>
        <v/>
      </c>
      <c r="AP1704" t="str">
        <f>""</f>
        <v/>
      </c>
      <c r="AQ1704" t="str">
        <f>""</f>
        <v/>
      </c>
      <c r="AR1704" t="str">
        <f>""</f>
        <v/>
      </c>
      <c r="AS1704" t="str">
        <f>""</f>
        <v/>
      </c>
      <c r="AT1704" t="str">
        <f>""</f>
        <v/>
      </c>
      <c r="AU1704" t="str">
        <f>""</f>
        <v/>
      </c>
      <c r="AV1704" t="str">
        <f>""</f>
        <v/>
      </c>
      <c r="AW1704" t="str">
        <f>""</f>
        <v/>
      </c>
      <c r="AX1704" t="str">
        <f>""</f>
        <v/>
      </c>
      <c r="AY1704" t="str">
        <f>""</f>
        <v/>
      </c>
      <c r="AZ1704" t="str">
        <f>""</f>
        <v/>
      </c>
      <c r="BA1704" t="str">
        <f>""</f>
        <v/>
      </c>
      <c r="BB1704" t="str">
        <f>"07/10/2020 09:08:38"</f>
        <v>07/10/2020 09:08:38</v>
      </c>
      <c r="BC1704" t="str">
        <f>""</f>
        <v/>
      </c>
      <c r="BD1704" t="str">
        <f>""</f>
        <v/>
      </c>
      <c r="BE1704" t="str">
        <f>""</f>
        <v/>
      </c>
      <c r="BF1704" t="str">
        <f t="shared" si="871"/>
        <v>A</v>
      </c>
      <c r="BG1704" t="str">
        <f>""</f>
        <v/>
      </c>
      <c r="BH1704" t="str">
        <f>""</f>
        <v/>
      </c>
      <c r="BI1704" t="str">
        <f t="shared" si="884"/>
        <v>EVENTUAL</v>
      </c>
      <c r="BJ1704" t="str">
        <f t="shared" si="872"/>
        <v>1</v>
      </c>
      <c r="BK1704" t="str">
        <f t="shared" si="873"/>
        <v>Farmacia</v>
      </c>
      <c r="BL1704" t="str">
        <f>""</f>
        <v/>
      </c>
      <c r="BM1704" t="str">
        <f>"NÃO É VARILUX ESPECIALISTA"</f>
        <v>NÃO É VARILUX ESPECIALISTA</v>
      </c>
      <c r="BN1704" t="str">
        <f>"NA"</f>
        <v>NA</v>
      </c>
      <c r="BO1704" t="str">
        <f>"OUTROS"</f>
        <v>OUTROS</v>
      </c>
      <c r="BP1704" t="str">
        <f>""</f>
        <v/>
      </c>
      <c r="BQ1704" t="str">
        <f>""</f>
        <v/>
      </c>
      <c r="BR1704" t="str">
        <f>"07/10/2020"</f>
        <v>07/10/2020</v>
      </c>
      <c r="BS1704" t="str">
        <f>""</f>
        <v/>
      </c>
      <c r="BT1704" t="str">
        <f>""</f>
        <v/>
      </c>
      <c r="BU1704" t="str">
        <f>""</f>
        <v/>
      </c>
      <c r="BV1704" t="str">
        <f>"9"</f>
        <v>9</v>
      </c>
      <c r="BW1704" t="str">
        <f>"Não visitado"</f>
        <v>Não visitado</v>
      </c>
    </row>
    <row r="1705" spans="1:75" x14ac:dyDescent="0.35">
      <c r="A1705">
        <v>137914</v>
      </c>
      <c r="B1705" t="str">
        <f t="shared" si="867"/>
        <v>A</v>
      </c>
      <c r="C1705" t="str">
        <f t="shared" si="868"/>
        <v>80</v>
      </c>
      <c r="D1705" t="str">
        <f t="shared" si="856"/>
        <v>11121004</v>
      </c>
      <c r="E1705" t="str">
        <f t="shared" si="857"/>
        <v>121004</v>
      </c>
      <c r="F1705" t="str">
        <f t="shared" si="858"/>
        <v>FABIANA GODOY</v>
      </c>
      <c r="G1705" t="str">
        <f>"75847020000100"</f>
        <v>75847020000100</v>
      </c>
      <c r="H1705" t="str">
        <f t="shared" si="887"/>
        <v>0</v>
      </c>
      <c r="I1705" t="str">
        <f t="shared" si="869"/>
        <v>CONTA OPTICA</v>
      </c>
      <c r="J1705" t="str">
        <f>"SATTY RELOJOARIA E JOALHERIA LTDA - EPP"</f>
        <v>SATTY RELOJOARIA E JOALHERIA LTDA - EPP</v>
      </c>
      <c r="K1705" t="str">
        <f>"SATTY RELOJOARIA (3791)"</f>
        <v>SATTY RELOJOARIA (3791)</v>
      </c>
      <c r="L1705" t="str">
        <f>""</f>
        <v/>
      </c>
      <c r="M1705" t="str">
        <f>""</f>
        <v/>
      </c>
      <c r="N1705" t="str">
        <f>"sattyj@ig.com.br"</f>
        <v>sattyj@ig.com.br</v>
      </c>
      <c r="O1705" t="str">
        <f>""</f>
        <v/>
      </c>
      <c r="P1705" t="str">
        <f>"RUA CARLOS GOMES"</f>
        <v>RUA CARLOS GOMES</v>
      </c>
      <c r="Q1705" t="str">
        <f>"211"</f>
        <v>211</v>
      </c>
      <c r="R1705" t="str">
        <f>"LOJA 03"</f>
        <v>LOJA 03</v>
      </c>
      <c r="S1705" t="str">
        <f>"1276"</f>
        <v>1276</v>
      </c>
      <c r="T1705" t="str">
        <f>"89160051"</f>
        <v>89160051</v>
      </c>
      <c r="U1705" t="str">
        <f t="shared" si="888"/>
        <v>CENTRO</v>
      </c>
      <c r="V1705" t="str">
        <f>"RIO DO SUL"</f>
        <v>RIO DO SUL</v>
      </c>
      <c r="W1705" t="str">
        <f t="shared" si="855"/>
        <v>SC</v>
      </c>
      <c r="X1705" t="str">
        <f t="shared" si="886"/>
        <v>47</v>
      </c>
      <c r="Y1705" t="str">
        <f>"35212403"</f>
        <v>35212403</v>
      </c>
      <c r="Z1705" t="str">
        <f>""</f>
        <v/>
      </c>
      <c r="AA1705" t="str">
        <f>""</f>
        <v/>
      </c>
      <c r="AB1705" t="str">
        <f>""</f>
        <v/>
      </c>
      <c r="AC1705" t="str">
        <f>""</f>
        <v/>
      </c>
      <c r="AD1705" t="str">
        <f>""</f>
        <v/>
      </c>
      <c r="AE1705" t="str">
        <f>""</f>
        <v/>
      </c>
      <c r="AF1705" t="str">
        <f>""</f>
        <v/>
      </c>
      <c r="AG1705" t="str">
        <f>"S"</f>
        <v>S</v>
      </c>
      <c r="AH1705" t="str">
        <f>""</f>
        <v/>
      </c>
      <c r="AI1705" t="str">
        <f>""</f>
        <v/>
      </c>
      <c r="AJ1705" t="str">
        <f>""</f>
        <v/>
      </c>
      <c r="AK1705" t="str">
        <f>""</f>
        <v/>
      </c>
      <c r="AL1705" t="str">
        <f>""</f>
        <v/>
      </c>
      <c r="AM1705" t="str">
        <f>""</f>
        <v/>
      </c>
      <c r="AN1705" t="str">
        <f>""</f>
        <v/>
      </c>
      <c r="AO1705" t="str">
        <f>""</f>
        <v/>
      </c>
      <c r="AP1705" t="str">
        <f>""</f>
        <v/>
      </c>
      <c r="AQ1705" t="str">
        <f>"N"</f>
        <v>N</v>
      </c>
      <c r="AR1705" t="str">
        <f>"N"</f>
        <v>N</v>
      </c>
      <c r="AS1705" t="str">
        <f>"N"</f>
        <v>N</v>
      </c>
      <c r="AT1705" t="str">
        <f>"N"</f>
        <v>N</v>
      </c>
      <c r="AU1705" t="str">
        <f>"N"</f>
        <v>N</v>
      </c>
      <c r="AV1705" t="str">
        <f>""</f>
        <v/>
      </c>
      <c r="AW1705" t="str">
        <f>""</f>
        <v/>
      </c>
      <c r="AX1705" t="str">
        <f>""</f>
        <v/>
      </c>
      <c r="AY1705" t="str">
        <f>""</f>
        <v/>
      </c>
      <c r="AZ1705" t="str">
        <f>""</f>
        <v/>
      </c>
      <c r="BA1705" t="str">
        <f>""</f>
        <v/>
      </c>
      <c r="BB1705" t="str">
        <f>"01/07/2021 13:53:04"</f>
        <v>01/07/2021 13:53:04</v>
      </c>
      <c r="BC1705" t="str">
        <f>"29/04/2022 16:29:12"</f>
        <v>29/04/2022 16:29:12</v>
      </c>
      <c r="BD1705" t="str">
        <f>""</f>
        <v/>
      </c>
      <c r="BE1705" t="str">
        <f>""</f>
        <v/>
      </c>
      <c r="BF1705" t="str">
        <f t="shared" si="871"/>
        <v>A</v>
      </c>
      <c r="BG1705" t="str">
        <f>""</f>
        <v/>
      </c>
      <c r="BH1705" t="str">
        <f>"0,00"</f>
        <v>0,00</v>
      </c>
      <c r="BI1705" t="str">
        <f t="shared" si="884"/>
        <v>EVENTUAL</v>
      </c>
      <c r="BJ1705" t="str">
        <f t="shared" si="872"/>
        <v>1</v>
      </c>
      <c r="BK1705" t="str">
        <f t="shared" si="873"/>
        <v>Farmacia</v>
      </c>
      <c r="BL1705" t="str">
        <f>""</f>
        <v/>
      </c>
      <c r="BM1705" t="str">
        <f>"VARILUX ESPECIALISTA SELECT"</f>
        <v>VARILUX ESPECIALISTA SELECT</v>
      </c>
      <c r="BN1705" t="str">
        <f>"NA"</f>
        <v>NA</v>
      </c>
      <c r="BO1705" t="str">
        <f>"FOCO VARILUX DIGITAL"</f>
        <v>FOCO VARILUX DIGITAL</v>
      </c>
      <c r="BP1705" t="str">
        <f>""</f>
        <v/>
      </c>
      <c r="BQ1705" t="str">
        <f>""</f>
        <v/>
      </c>
      <c r="BR1705" t="str">
        <f>"01/07/2021"</f>
        <v>01/07/2021</v>
      </c>
      <c r="BS1705" t="str">
        <f>"29/04/2022"</f>
        <v>29/04/2022</v>
      </c>
      <c r="BT1705" t="str">
        <f>""</f>
        <v/>
      </c>
      <c r="BU1705" t="str">
        <f>""</f>
        <v/>
      </c>
      <c r="BV1705" t="str">
        <f>""</f>
        <v/>
      </c>
      <c r="BW1705" t="str">
        <f>"29"</f>
        <v>29</v>
      </c>
    </row>
    <row r="1706" spans="1:75" x14ac:dyDescent="0.35">
      <c r="A1706">
        <v>117451</v>
      </c>
      <c r="B1706" t="str">
        <f t="shared" si="867"/>
        <v>A</v>
      </c>
      <c r="C1706" t="str">
        <f t="shared" si="868"/>
        <v>80</v>
      </c>
      <c r="D1706" t="str">
        <f t="shared" si="856"/>
        <v>11121004</v>
      </c>
      <c r="E1706" t="str">
        <f t="shared" si="857"/>
        <v>121004</v>
      </c>
      <c r="F1706" t="str">
        <f t="shared" si="858"/>
        <v>FABIANA GODOY</v>
      </c>
      <c r="G1706" t="str">
        <f>"02993903000227"</f>
        <v>02993903000227</v>
      </c>
      <c r="H1706" t="str">
        <f t="shared" si="887"/>
        <v>0</v>
      </c>
      <c r="I1706" t="str">
        <f t="shared" si="869"/>
        <v>CONTA OPTICA</v>
      </c>
      <c r="J1706" t="str">
        <f>"SCHARF COMERCIO DE ARTIGOS DE OTICA EIRELI"</f>
        <v>SCHARF COMERCIO DE ARTIGOS DE OTICA EIRELI</v>
      </c>
      <c r="K1706" t="str">
        <f>"OTICA MODERNA (4058)"</f>
        <v>OTICA MODERNA (4058)</v>
      </c>
      <c r="L1706" t="str">
        <f>""</f>
        <v/>
      </c>
      <c r="M1706" t="str">
        <f>""</f>
        <v/>
      </c>
      <c r="N1706" t="str">
        <f>""</f>
        <v/>
      </c>
      <c r="O1706" t="str">
        <f>""</f>
        <v/>
      </c>
      <c r="P1706" t="str">
        <f>"RUA BRUSQUE"</f>
        <v>RUA BRUSQUE</v>
      </c>
      <c r="Q1706" t="str">
        <f>"100"</f>
        <v>100</v>
      </c>
      <c r="R1706" t="str">
        <f>"SALA 02 E 03"</f>
        <v>SALA 02 E 03</v>
      </c>
      <c r="S1706" t="str">
        <f>""</f>
        <v/>
      </c>
      <c r="T1706" t="str">
        <f>"88360970"</f>
        <v>88360970</v>
      </c>
      <c r="U1706" t="str">
        <f t="shared" si="888"/>
        <v>CENTRO</v>
      </c>
      <c r="V1706" t="str">
        <f>"GUABIRUBA"</f>
        <v>GUABIRUBA</v>
      </c>
      <c r="W1706" t="str">
        <f t="shared" si="855"/>
        <v>SC</v>
      </c>
      <c r="X1706" t="str">
        <f t="shared" si="886"/>
        <v>47</v>
      </c>
      <c r="Y1706" t="str">
        <f>"32510780"</f>
        <v>32510780</v>
      </c>
      <c r="Z1706" t="str">
        <f>""</f>
        <v/>
      </c>
      <c r="AA1706" t="str">
        <f>""</f>
        <v/>
      </c>
      <c r="AB1706" t="str">
        <f>""</f>
        <v/>
      </c>
      <c r="AC1706" t="str">
        <f>""</f>
        <v/>
      </c>
      <c r="AD1706" t="str">
        <f>""</f>
        <v/>
      </c>
      <c r="AE1706" t="str">
        <f>""</f>
        <v/>
      </c>
      <c r="AF1706" t="str">
        <f>""</f>
        <v/>
      </c>
      <c r="AG1706" t="str">
        <f>""</f>
        <v/>
      </c>
      <c r="AH1706" t="str">
        <f>""</f>
        <v/>
      </c>
      <c r="AI1706" t="str">
        <f>""</f>
        <v/>
      </c>
      <c r="AJ1706" t="str">
        <f>"0"</f>
        <v>0</v>
      </c>
      <c r="AK1706" t="str">
        <f>"0"</f>
        <v>0</v>
      </c>
      <c r="AL1706" t="str">
        <f>"0"</f>
        <v>0</v>
      </c>
      <c r="AM1706" t="str">
        <f>""</f>
        <v/>
      </c>
      <c r="AN1706" t="str">
        <f>""</f>
        <v/>
      </c>
      <c r="AO1706" t="str">
        <f>""</f>
        <v/>
      </c>
      <c r="AP1706" t="str">
        <f>""</f>
        <v/>
      </c>
      <c r="AQ1706" t="str">
        <f>""</f>
        <v/>
      </c>
      <c r="AR1706" t="str">
        <f>""</f>
        <v/>
      </c>
      <c r="AS1706" t="str">
        <f>""</f>
        <v/>
      </c>
      <c r="AT1706" t="str">
        <f>""</f>
        <v/>
      </c>
      <c r="AU1706" t="str">
        <f>""</f>
        <v/>
      </c>
      <c r="AV1706" t="str">
        <f>""</f>
        <v/>
      </c>
      <c r="AW1706" t="str">
        <f>""</f>
        <v/>
      </c>
      <c r="AX1706" t="str">
        <f>""</f>
        <v/>
      </c>
      <c r="AY1706" t="str">
        <f>""</f>
        <v/>
      </c>
      <c r="AZ1706" t="str">
        <f>""</f>
        <v/>
      </c>
      <c r="BA1706" t="str">
        <f>""</f>
        <v/>
      </c>
      <c r="BB1706" t="str">
        <f>"22/07/2020 08:24:23"</f>
        <v>22/07/2020 08:24:23</v>
      </c>
      <c r="BC1706" t="str">
        <f>""</f>
        <v/>
      </c>
      <c r="BD1706" t="str">
        <f>""</f>
        <v/>
      </c>
      <c r="BE1706" t="str">
        <f>""</f>
        <v/>
      </c>
      <c r="BF1706" t="str">
        <f t="shared" si="871"/>
        <v>A</v>
      </c>
      <c r="BG1706" t="str">
        <f>"0,00"</f>
        <v>0,00</v>
      </c>
      <c r="BH1706" t="str">
        <f>"0,00"</f>
        <v>0,00</v>
      </c>
      <c r="BI1706" t="str">
        <f t="shared" si="884"/>
        <v>EVENTUAL</v>
      </c>
      <c r="BJ1706" t="str">
        <f t="shared" si="872"/>
        <v>1</v>
      </c>
      <c r="BK1706" t="str">
        <f t="shared" si="873"/>
        <v>Farmacia</v>
      </c>
      <c r="BL1706" t="str">
        <f>""</f>
        <v/>
      </c>
      <c r="BM1706" t="str">
        <f>"NÃO É VARILUX ESPECIALISTA"</f>
        <v>NÃO É VARILUX ESPECIALISTA</v>
      </c>
      <c r="BN1706" t="str">
        <f>"EL360"</f>
        <v>EL360</v>
      </c>
      <c r="BO1706" t="str">
        <f>"FOCO VARILUX DIGITAL"</f>
        <v>FOCO VARILUX DIGITAL</v>
      </c>
      <c r="BP1706" t="str">
        <f>""</f>
        <v/>
      </c>
      <c r="BQ1706" t="str">
        <f>""</f>
        <v/>
      </c>
      <c r="BR1706" t="str">
        <f>"22/07/2020"</f>
        <v>22/07/2020</v>
      </c>
      <c r="BS1706" t="str">
        <f>""</f>
        <v/>
      </c>
      <c r="BT1706" t="str">
        <f>""</f>
        <v/>
      </c>
      <c r="BU1706" t="str">
        <f>""</f>
        <v/>
      </c>
      <c r="BV1706" t="str">
        <f>"9"</f>
        <v>9</v>
      </c>
      <c r="BW1706" t="str">
        <f>"127"</f>
        <v>127</v>
      </c>
    </row>
    <row r="1707" spans="1:75" x14ac:dyDescent="0.35">
      <c r="A1707">
        <v>117450</v>
      </c>
      <c r="B1707" t="str">
        <f t="shared" si="867"/>
        <v>A</v>
      </c>
      <c r="C1707" t="str">
        <f t="shared" si="868"/>
        <v>80</v>
      </c>
      <c r="D1707" t="str">
        <f t="shared" si="856"/>
        <v>11121004</v>
      </c>
      <c r="E1707" t="str">
        <f t="shared" si="857"/>
        <v>121004</v>
      </c>
      <c r="F1707" t="str">
        <f t="shared" si="858"/>
        <v>FABIANA GODOY</v>
      </c>
      <c r="G1707" t="str">
        <f>"02993903000146"</f>
        <v>02993903000146</v>
      </c>
      <c r="H1707" t="str">
        <f t="shared" si="887"/>
        <v>0</v>
      </c>
      <c r="I1707" t="str">
        <f t="shared" si="869"/>
        <v>CONTA OPTICA</v>
      </c>
      <c r="J1707" t="str">
        <f>"SCHARF E CIA LTDA"</f>
        <v>SCHARF E CIA LTDA</v>
      </c>
      <c r="K1707" t="str">
        <f>"OTICA MODERNA (1434)"</f>
        <v>OTICA MODERNA (1434)</v>
      </c>
      <c r="L1707" t="str">
        <f>""</f>
        <v/>
      </c>
      <c r="M1707" t="str">
        <f>""</f>
        <v/>
      </c>
      <c r="N1707" t="str">
        <f>"laboratorio01@oticamoderna.com"</f>
        <v>laboratorio01@oticamoderna.com</v>
      </c>
      <c r="O1707" t="str">
        <f>""</f>
        <v/>
      </c>
      <c r="P1707" t="str">
        <f>"AVENIDA CONSUL CARLOS RENAUX"</f>
        <v>AVENIDA CONSUL CARLOS RENAUX</v>
      </c>
      <c r="Q1707" t="str">
        <f>"56"</f>
        <v>56</v>
      </c>
      <c r="R1707" t="str">
        <f>"SCH GRACH LS 10"</f>
        <v>SCH GRACH LS 10</v>
      </c>
      <c r="S1707" t="str">
        <f>"1263"</f>
        <v>1263</v>
      </c>
      <c r="T1707" t="str">
        <f>"88350002"</f>
        <v>88350002</v>
      </c>
      <c r="U1707" t="str">
        <f t="shared" si="888"/>
        <v>CENTRO</v>
      </c>
      <c r="V1707" t="str">
        <f>"BRUSQUE"</f>
        <v>BRUSQUE</v>
      </c>
      <c r="W1707" t="str">
        <f t="shared" si="855"/>
        <v>SC</v>
      </c>
      <c r="X1707" t="str">
        <f t="shared" si="886"/>
        <v>47</v>
      </c>
      <c r="Y1707" t="str">
        <f>"32510790"</f>
        <v>32510790</v>
      </c>
      <c r="Z1707" t="str">
        <f>""</f>
        <v/>
      </c>
      <c r="AA1707" t="str">
        <f>""</f>
        <v/>
      </c>
      <c r="AB1707" t="str">
        <f>""</f>
        <v/>
      </c>
      <c r="AC1707" t="str">
        <f>""</f>
        <v/>
      </c>
      <c r="AD1707" t="str">
        <f>""</f>
        <v/>
      </c>
      <c r="AE1707" t="str">
        <f>""</f>
        <v/>
      </c>
      <c r="AF1707" t="str">
        <f>""</f>
        <v/>
      </c>
      <c r="AG1707" t="str">
        <f>""</f>
        <v/>
      </c>
      <c r="AH1707" t="str">
        <f>""</f>
        <v/>
      </c>
      <c r="AI1707" t="str">
        <f>""</f>
        <v/>
      </c>
      <c r="AJ1707" t="str">
        <f>""</f>
        <v/>
      </c>
      <c r="AK1707" t="str">
        <f>""</f>
        <v/>
      </c>
      <c r="AL1707" t="str">
        <f>""</f>
        <v/>
      </c>
      <c r="AM1707" t="str">
        <f>""</f>
        <v/>
      </c>
      <c r="AN1707" t="str">
        <f>""</f>
        <v/>
      </c>
      <c r="AO1707" t="str">
        <f>""</f>
        <v/>
      </c>
      <c r="AP1707" t="str">
        <f>""</f>
        <v/>
      </c>
      <c r="AQ1707" t="str">
        <f>""</f>
        <v/>
      </c>
      <c r="AR1707" t="str">
        <f>""</f>
        <v/>
      </c>
      <c r="AS1707" t="str">
        <f>""</f>
        <v/>
      </c>
      <c r="AT1707" t="str">
        <f>""</f>
        <v/>
      </c>
      <c r="AU1707" t="str">
        <f>""</f>
        <v/>
      </c>
      <c r="AV1707" t="str">
        <f>""</f>
        <v/>
      </c>
      <c r="AW1707" t="str">
        <f>""</f>
        <v/>
      </c>
      <c r="AX1707" t="str">
        <f>""</f>
        <v/>
      </c>
      <c r="AY1707" t="str">
        <f>""</f>
        <v/>
      </c>
      <c r="AZ1707" t="str">
        <f>""</f>
        <v/>
      </c>
      <c r="BA1707" t="str">
        <f>""</f>
        <v/>
      </c>
      <c r="BB1707" t="str">
        <f>"22/07/2020 08:24:23"</f>
        <v>22/07/2020 08:24:23</v>
      </c>
      <c r="BC1707" t="str">
        <f>""</f>
        <v/>
      </c>
      <c r="BD1707" t="str">
        <f>""</f>
        <v/>
      </c>
      <c r="BE1707" t="str">
        <f>""</f>
        <v/>
      </c>
      <c r="BF1707" t="str">
        <f t="shared" si="871"/>
        <v>A</v>
      </c>
      <c r="BG1707" t="str">
        <f>""</f>
        <v/>
      </c>
      <c r="BH1707" t="str">
        <f>""</f>
        <v/>
      </c>
      <c r="BI1707" t="str">
        <f t="shared" si="884"/>
        <v>EVENTUAL</v>
      </c>
      <c r="BJ1707" t="str">
        <f t="shared" si="872"/>
        <v>1</v>
      </c>
      <c r="BK1707" t="str">
        <f t="shared" si="873"/>
        <v>Farmacia</v>
      </c>
      <c r="BL1707" t="str">
        <f>""</f>
        <v/>
      </c>
      <c r="BM1707" t="str">
        <f>"NÃO É VARILUX ESPECIALISTA"</f>
        <v>NÃO É VARILUX ESPECIALISTA</v>
      </c>
      <c r="BN1707" t="str">
        <f>"EL360"</f>
        <v>EL360</v>
      </c>
      <c r="BO1707" t="str">
        <f>"FOCO VARILUX DIGITAL"</f>
        <v>FOCO VARILUX DIGITAL</v>
      </c>
      <c r="BP1707" t="str">
        <f>""</f>
        <v/>
      </c>
      <c r="BQ1707" t="str">
        <f>""</f>
        <v/>
      </c>
      <c r="BR1707" t="str">
        <f>"22/07/2020"</f>
        <v>22/07/2020</v>
      </c>
      <c r="BS1707" t="str">
        <f>""</f>
        <v/>
      </c>
      <c r="BT1707" t="str">
        <f>""</f>
        <v/>
      </c>
      <c r="BU1707" t="str">
        <f>""</f>
        <v/>
      </c>
      <c r="BV1707" t="str">
        <f>"1"</f>
        <v>1</v>
      </c>
      <c r="BW1707" t="str">
        <f>"28"</f>
        <v>28</v>
      </c>
    </row>
    <row r="1708" spans="1:75" x14ac:dyDescent="0.35">
      <c r="A1708">
        <v>137917</v>
      </c>
      <c r="B1708" t="str">
        <f t="shared" si="867"/>
        <v>A</v>
      </c>
      <c r="C1708" t="str">
        <f t="shared" si="868"/>
        <v>80</v>
      </c>
      <c r="D1708" t="str">
        <f t="shared" si="856"/>
        <v>11121004</v>
      </c>
      <c r="E1708" t="str">
        <f t="shared" si="857"/>
        <v>121004</v>
      </c>
      <c r="F1708" t="str">
        <f t="shared" si="858"/>
        <v>FABIANA GODOY</v>
      </c>
      <c r="G1708" t="str">
        <f>"79830261000199"</f>
        <v>79830261000199</v>
      </c>
      <c r="H1708" t="str">
        <f t="shared" si="887"/>
        <v>0</v>
      </c>
      <c r="I1708" t="str">
        <f t="shared" si="869"/>
        <v>CONTA OPTICA</v>
      </c>
      <c r="J1708" t="str">
        <f>"SCHMIDT JOALHERIA E OTICA LTDA  ME"</f>
        <v>SCHMIDT JOALHERIA E OTICA LTDA  ME</v>
      </c>
      <c r="K1708" t="str">
        <f>"SCHMIDT JOALHEIROS LTDA (1267)"</f>
        <v>SCHMIDT JOALHEIROS LTDA (1267)</v>
      </c>
      <c r="L1708" t="str">
        <f>""</f>
        <v/>
      </c>
      <c r="M1708" t="str">
        <f>""</f>
        <v/>
      </c>
      <c r="N1708" t="str">
        <f>"schmidtjoalheiros@gmail.com"</f>
        <v>schmidtjoalheiros@gmail.com</v>
      </c>
      <c r="O1708" t="str">
        <f>""</f>
        <v/>
      </c>
      <c r="P1708" t="str">
        <f>"AVENIDA CONSUL CARLOS RENAUX"</f>
        <v>AVENIDA CONSUL CARLOS RENAUX</v>
      </c>
      <c r="Q1708" t="str">
        <f>"169"</f>
        <v>169</v>
      </c>
      <c r="R1708" t="str">
        <f>"SALA 107"</f>
        <v>SALA 107</v>
      </c>
      <c r="S1708" t="str">
        <f>"1263"</f>
        <v>1263</v>
      </c>
      <c r="T1708" t="str">
        <f>"88350001"</f>
        <v>88350001</v>
      </c>
      <c r="U1708" t="str">
        <f t="shared" si="888"/>
        <v>CENTRO</v>
      </c>
      <c r="V1708" t="str">
        <f>"BRUSQUE"</f>
        <v>BRUSQUE</v>
      </c>
      <c r="W1708" t="str">
        <f t="shared" si="855"/>
        <v>SC</v>
      </c>
      <c r="X1708" t="str">
        <f t="shared" si="886"/>
        <v>47</v>
      </c>
      <c r="Y1708" t="str">
        <f>"33512669"</f>
        <v>33512669</v>
      </c>
      <c r="Z1708" t="str">
        <f>""</f>
        <v/>
      </c>
      <c r="AA1708" t="str">
        <f>""</f>
        <v/>
      </c>
      <c r="AB1708" t="str">
        <f>""</f>
        <v/>
      </c>
      <c r="AC1708" t="str">
        <f>""</f>
        <v/>
      </c>
      <c r="AD1708" t="str">
        <f>""</f>
        <v/>
      </c>
      <c r="AE1708" t="str">
        <f>""</f>
        <v/>
      </c>
      <c r="AF1708" t="str">
        <f>""</f>
        <v/>
      </c>
      <c r="AG1708" t="str">
        <f>"S"</f>
        <v>S</v>
      </c>
      <c r="AH1708" t="str">
        <f>""</f>
        <v/>
      </c>
      <c r="AI1708" t="str">
        <f>""</f>
        <v/>
      </c>
      <c r="AJ1708" t="str">
        <f>""</f>
        <v/>
      </c>
      <c r="AK1708" t="str">
        <f>""</f>
        <v/>
      </c>
      <c r="AL1708" t="str">
        <f>""</f>
        <v/>
      </c>
      <c r="AM1708" t="str">
        <f>""</f>
        <v/>
      </c>
      <c r="AN1708" t="str">
        <f>""</f>
        <v/>
      </c>
      <c r="AO1708" t="str">
        <f>""</f>
        <v/>
      </c>
      <c r="AP1708" t="str">
        <f>""</f>
        <v/>
      </c>
      <c r="AQ1708" t="str">
        <f t="shared" ref="AQ1708:AU1709" si="889">"N"</f>
        <v>N</v>
      </c>
      <c r="AR1708" t="str">
        <f t="shared" si="889"/>
        <v>N</v>
      </c>
      <c r="AS1708" t="str">
        <f t="shared" si="889"/>
        <v>N</v>
      </c>
      <c r="AT1708" t="str">
        <f t="shared" si="889"/>
        <v>N</v>
      </c>
      <c r="AU1708" t="str">
        <f t="shared" si="889"/>
        <v>N</v>
      </c>
      <c r="AV1708" t="str">
        <f>""</f>
        <v/>
      </c>
      <c r="AW1708" t="str">
        <f>""</f>
        <v/>
      </c>
      <c r="AX1708" t="str">
        <f>""</f>
        <v/>
      </c>
      <c r="AY1708" t="str">
        <f>""</f>
        <v/>
      </c>
      <c r="AZ1708" t="str">
        <f>""</f>
        <v/>
      </c>
      <c r="BA1708" t="str">
        <f>""</f>
        <v/>
      </c>
      <c r="BB1708" t="str">
        <f>"01/07/2021 13:53:04"</f>
        <v>01/07/2021 13:53:04</v>
      </c>
      <c r="BC1708" t="str">
        <f>"08/11/2021 11:05:00"</f>
        <v>08/11/2021 11:05:00</v>
      </c>
      <c r="BD1708" t="str">
        <f>""</f>
        <v/>
      </c>
      <c r="BE1708" t="str">
        <f>""</f>
        <v/>
      </c>
      <c r="BF1708" t="str">
        <f t="shared" si="871"/>
        <v>A</v>
      </c>
      <c r="BG1708" t="str">
        <f>""</f>
        <v/>
      </c>
      <c r="BH1708" t="str">
        <f>"0,00"</f>
        <v>0,00</v>
      </c>
      <c r="BI1708" t="str">
        <f t="shared" si="884"/>
        <v>EVENTUAL</v>
      </c>
      <c r="BJ1708" t="str">
        <f t="shared" si="872"/>
        <v>1</v>
      </c>
      <c r="BK1708" t="str">
        <f t="shared" si="873"/>
        <v>Farmacia</v>
      </c>
      <c r="BL1708" t="str">
        <f>""</f>
        <v/>
      </c>
      <c r="BM1708" t="str">
        <f>"NÃO É VARILUX ESPECIALISTA"</f>
        <v>NÃO É VARILUX ESPECIALISTA</v>
      </c>
      <c r="BN1708" t="str">
        <f>"EL360"</f>
        <v>EL360</v>
      </c>
      <c r="BO1708" t="str">
        <f>"FOCO VARILUX DIGITAL"</f>
        <v>FOCO VARILUX DIGITAL</v>
      </c>
      <c r="BP1708" t="str">
        <f>""</f>
        <v/>
      </c>
      <c r="BQ1708" t="str">
        <f>""</f>
        <v/>
      </c>
      <c r="BR1708" t="str">
        <f>"01/07/2021"</f>
        <v>01/07/2021</v>
      </c>
      <c r="BS1708" t="str">
        <f>"08/11/2021"</f>
        <v>08/11/2021</v>
      </c>
      <c r="BT1708" t="str">
        <f>""</f>
        <v/>
      </c>
      <c r="BU1708" t="str">
        <f>""</f>
        <v/>
      </c>
      <c r="BV1708" t="str">
        <f>""</f>
        <v/>
      </c>
      <c r="BW1708" t="str">
        <f>"18"</f>
        <v>18</v>
      </c>
    </row>
    <row r="1709" spans="1:75" x14ac:dyDescent="0.35">
      <c r="A1709">
        <v>137918</v>
      </c>
      <c r="B1709" t="str">
        <f t="shared" si="867"/>
        <v>A</v>
      </c>
      <c r="C1709" t="str">
        <f t="shared" si="868"/>
        <v>80</v>
      </c>
      <c r="D1709" t="str">
        <f t="shared" si="856"/>
        <v>11121004</v>
      </c>
      <c r="E1709" t="str">
        <f t="shared" si="857"/>
        <v>121004</v>
      </c>
      <c r="F1709" t="str">
        <f t="shared" si="858"/>
        <v>FABIANA GODOY</v>
      </c>
      <c r="G1709" t="str">
        <f>"83197731000104"</f>
        <v>83197731000104</v>
      </c>
      <c r="H1709" t="str">
        <f t="shared" si="887"/>
        <v>0</v>
      </c>
      <c r="I1709" t="str">
        <f t="shared" si="869"/>
        <v>CONTA OPTICA</v>
      </c>
      <c r="J1709" t="str">
        <f>"SCUSSEL E SCUSSEL LTDA"</f>
        <v>SCUSSEL E SCUSSEL LTDA</v>
      </c>
      <c r="K1709" t="str">
        <f>"SCUSSEL OCULOS (431)"</f>
        <v>SCUSSEL OCULOS (431)</v>
      </c>
      <c r="L1709" t="str">
        <f>""</f>
        <v/>
      </c>
      <c r="M1709" t="str">
        <f>""</f>
        <v/>
      </c>
      <c r="N1709" t="str">
        <f>"scussel.adm@terra.com.br"</f>
        <v>scussel.adm@terra.com.br</v>
      </c>
      <c r="O1709" t="str">
        <f>""</f>
        <v/>
      </c>
      <c r="P1709" t="str">
        <f>"RUA MARECHAL FLORIANO PEIXOTO"</f>
        <v>RUA MARECHAL FLORIANO PEIXOTO</v>
      </c>
      <c r="Q1709" t="str">
        <f>"56"</f>
        <v>56</v>
      </c>
      <c r="R1709" t="str">
        <f>""</f>
        <v/>
      </c>
      <c r="S1709" t="str">
        <f>"1272"</f>
        <v>1272</v>
      </c>
      <c r="T1709" t="str">
        <f>"89010500"</f>
        <v>89010500</v>
      </c>
      <c r="U1709" t="str">
        <f t="shared" si="888"/>
        <v>CENTRO</v>
      </c>
      <c r="V1709" t="str">
        <f>"BLUMENAU"</f>
        <v>BLUMENAU</v>
      </c>
      <c r="W1709" t="str">
        <f t="shared" si="855"/>
        <v>SC</v>
      </c>
      <c r="X1709" t="str">
        <f t="shared" si="886"/>
        <v>47</v>
      </c>
      <c r="Y1709" t="str">
        <f>"33262533"</f>
        <v>33262533</v>
      </c>
      <c r="Z1709" t="str">
        <f>""</f>
        <v/>
      </c>
      <c r="AA1709" t="str">
        <f>""</f>
        <v/>
      </c>
      <c r="AB1709" t="str">
        <f>""</f>
        <v/>
      </c>
      <c r="AC1709" t="str">
        <f>""</f>
        <v/>
      </c>
      <c r="AD1709" t="str">
        <f>""</f>
        <v/>
      </c>
      <c r="AE1709" t="str">
        <f>""</f>
        <v/>
      </c>
      <c r="AF1709" t="str">
        <f>""</f>
        <v/>
      </c>
      <c r="AG1709" t="str">
        <f>"S"</f>
        <v>S</v>
      </c>
      <c r="AH1709" t="str">
        <f>""</f>
        <v/>
      </c>
      <c r="AI1709" t="str">
        <f>""</f>
        <v/>
      </c>
      <c r="AJ1709" t="str">
        <f>""</f>
        <v/>
      </c>
      <c r="AK1709" t="str">
        <f>""</f>
        <v/>
      </c>
      <c r="AL1709" t="str">
        <f>""</f>
        <v/>
      </c>
      <c r="AM1709" t="str">
        <f>""</f>
        <v/>
      </c>
      <c r="AN1709" t="str">
        <f>""</f>
        <v/>
      </c>
      <c r="AO1709" t="str">
        <f>""</f>
        <v/>
      </c>
      <c r="AP1709" t="str">
        <f>""</f>
        <v/>
      </c>
      <c r="AQ1709" t="str">
        <f t="shared" si="889"/>
        <v>N</v>
      </c>
      <c r="AR1709" t="str">
        <f t="shared" si="889"/>
        <v>N</v>
      </c>
      <c r="AS1709" t="str">
        <f t="shared" si="889"/>
        <v>N</v>
      </c>
      <c r="AT1709" t="str">
        <f t="shared" si="889"/>
        <v>N</v>
      </c>
      <c r="AU1709" t="str">
        <f t="shared" si="889"/>
        <v>N</v>
      </c>
      <c r="AV1709" t="str">
        <f>""</f>
        <v/>
      </c>
      <c r="AW1709" t="str">
        <f>""</f>
        <v/>
      </c>
      <c r="AX1709" t="str">
        <f>""</f>
        <v/>
      </c>
      <c r="AY1709" t="str">
        <f>""</f>
        <v/>
      </c>
      <c r="AZ1709" t="str">
        <f>""</f>
        <v/>
      </c>
      <c r="BA1709" t="str">
        <f>""</f>
        <v/>
      </c>
      <c r="BB1709" t="str">
        <f>"01/07/2021 13:53:04"</f>
        <v>01/07/2021 13:53:04</v>
      </c>
      <c r="BC1709" t="str">
        <f>"07/02/2022 08:51:40"</f>
        <v>07/02/2022 08:51:40</v>
      </c>
      <c r="BD1709" t="str">
        <f>""</f>
        <v/>
      </c>
      <c r="BE1709" t="str">
        <f>""</f>
        <v/>
      </c>
      <c r="BF1709" t="str">
        <f t="shared" si="871"/>
        <v>A</v>
      </c>
      <c r="BG1709" t="str">
        <f>""</f>
        <v/>
      </c>
      <c r="BH1709" t="str">
        <f>"0,00"</f>
        <v>0,00</v>
      </c>
      <c r="BI1709" t="str">
        <f t="shared" si="884"/>
        <v>EVENTUAL</v>
      </c>
      <c r="BJ1709" t="str">
        <f t="shared" si="872"/>
        <v>1</v>
      </c>
      <c r="BK1709" t="str">
        <f t="shared" si="873"/>
        <v>Farmacia</v>
      </c>
      <c r="BL1709" t="str">
        <f>""</f>
        <v/>
      </c>
      <c r="BM1709" t="str">
        <f>"VARILUX ESPECIALISTA SELECT"</f>
        <v>VARILUX ESPECIALISTA SELECT</v>
      </c>
      <c r="BN1709" t="str">
        <f>"NA"</f>
        <v>NA</v>
      </c>
      <c r="BO1709" t="str">
        <f>"FOCO VARILUX DIGITAL"</f>
        <v>FOCO VARILUX DIGITAL</v>
      </c>
      <c r="BP1709" t="str">
        <f>""</f>
        <v/>
      </c>
      <c r="BQ1709" t="str">
        <f>""</f>
        <v/>
      </c>
      <c r="BR1709" t="str">
        <f>"01/07/2021"</f>
        <v>01/07/2021</v>
      </c>
      <c r="BS1709" t="str">
        <f>"07/02/2022"</f>
        <v>07/02/2022</v>
      </c>
      <c r="BT1709" t="str">
        <f>""</f>
        <v/>
      </c>
      <c r="BU1709" t="str">
        <f>""</f>
        <v/>
      </c>
      <c r="BV1709" t="str">
        <f>""</f>
        <v/>
      </c>
      <c r="BW1709" t="str">
        <f>"72"</f>
        <v>72</v>
      </c>
    </row>
    <row r="1710" spans="1:75" x14ac:dyDescent="0.35">
      <c r="A1710">
        <v>158718</v>
      </c>
      <c r="B1710" t="str">
        <f t="shared" si="867"/>
        <v>A</v>
      </c>
      <c r="C1710" t="str">
        <f t="shared" si="868"/>
        <v>80</v>
      </c>
      <c r="D1710" t="str">
        <f t="shared" si="856"/>
        <v>11121004</v>
      </c>
      <c r="E1710" t="str">
        <f t="shared" si="857"/>
        <v>121004</v>
      </c>
      <c r="F1710" t="str">
        <f t="shared" si="858"/>
        <v>FABIANA GODOY</v>
      </c>
      <c r="G1710" t="str">
        <f>"50946325000130"</f>
        <v>50946325000130</v>
      </c>
      <c r="H1710" t="str">
        <f>""</f>
        <v/>
      </c>
      <c r="I1710" t="str">
        <f t="shared" si="869"/>
        <v>CONTA OPTICA</v>
      </c>
      <c r="J1710" t="str">
        <f>"SEE COMERCIO DE OCULOS LTDA"</f>
        <v>SEE COMERCIO DE OCULOS LTDA</v>
      </c>
      <c r="K1710" t="str">
        <f>"OTICAS SEE (4731)"</f>
        <v>OTICAS SEE (4731)</v>
      </c>
      <c r="L1710" t="str">
        <f>""</f>
        <v/>
      </c>
      <c r="M1710" t="str">
        <f>""</f>
        <v/>
      </c>
      <c r="N1710" t="str">
        <f>"SEEOTICAS@GMAIL.COM"</f>
        <v>SEEOTICAS@GMAIL.COM</v>
      </c>
      <c r="O1710" t="str">
        <f>""</f>
        <v/>
      </c>
      <c r="P1710" t="str">
        <f>"RUA PAULO KRAISCH"</f>
        <v>RUA PAULO KRAISCH</v>
      </c>
      <c r="Q1710" t="str">
        <f>"44"</f>
        <v>44</v>
      </c>
      <c r="R1710" t="str">
        <f>"SALA 01"</f>
        <v>SALA 01</v>
      </c>
      <c r="S1710" t="str">
        <f>""</f>
        <v/>
      </c>
      <c r="T1710" t="str">
        <f>"89128000"</f>
        <v>89128000</v>
      </c>
      <c r="U1710" t="str">
        <f>"VILA DO SALTO"</f>
        <v>VILA DO SALTO</v>
      </c>
      <c r="V1710" t="str">
        <f>"LUIZ ALVES"</f>
        <v>LUIZ ALVES</v>
      </c>
      <c r="W1710" t="str">
        <f t="shared" si="855"/>
        <v>SC</v>
      </c>
      <c r="X1710" t="str">
        <f t="shared" si="886"/>
        <v>47</v>
      </c>
      <c r="Y1710" t="str">
        <f>"30911080"</f>
        <v>30911080</v>
      </c>
      <c r="Z1710" t="str">
        <f>""</f>
        <v/>
      </c>
      <c r="AA1710" t="str">
        <f>""</f>
        <v/>
      </c>
      <c r="AB1710" t="str">
        <f>""</f>
        <v/>
      </c>
      <c r="AC1710" t="str">
        <f>""</f>
        <v/>
      </c>
      <c r="AD1710" t="str">
        <f>""</f>
        <v/>
      </c>
      <c r="AE1710" t="str">
        <f>""</f>
        <v/>
      </c>
      <c r="AF1710" t="str">
        <f>""</f>
        <v/>
      </c>
      <c r="AG1710" t="str">
        <f>""</f>
        <v/>
      </c>
      <c r="AH1710" t="str">
        <f>""</f>
        <v/>
      </c>
      <c r="AI1710" t="str">
        <f>""</f>
        <v/>
      </c>
      <c r="AJ1710" t="str">
        <f>""</f>
        <v/>
      </c>
      <c r="AK1710" t="str">
        <f>""</f>
        <v/>
      </c>
      <c r="AL1710" t="str">
        <f>""</f>
        <v/>
      </c>
      <c r="AM1710" t="str">
        <f>""</f>
        <v/>
      </c>
      <c r="AN1710" t="str">
        <f>""</f>
        <v/>
      </c>
      <c r="AO1710" t="str">
        <f>""</f>
        <v/>
      </c>
      <c r="AP1710" t="str">
        <f>""</f>
        <v/>
      </c>
      <c r="AQ1710" t="str">
        <f>""</f>
        <v/>
      </c>
      <c r="AR1710" t="str">
        <f>""</f>
        <v/>
      </c>
      <c r="AS1710" t="str">
        <f>""</f>
        <v/>
      </c>
      <c r="AT1710" t="str">
        <f>""</f>
        <v/>
      </c>
      <c r="AU1710" t="str">
        <f>""</f>
        <v/>
      </c>
      <c r="AV1710" t="str">
        <f>""</f>
        <v/>
      </c>
      <c r="AW1710" t="str">
        <f>""</f>
        <v/>
      </c>
      <c r="AX1710" t="str">
        <f>""</f>
        <v/>
      </c>
      <c r="AY1710" t="str">
        <f>""</f>
        <v/>
      </c>
      <c r="AZ1710" t="str">
        <f>""</f>
        <v/>
      </c>
      <c r="BA1710" t="str">
        <f>""</f>
        <v/>
      </c>
      <c r="BB1710" t="str">
        <f>"17/08/2023 16:48:06"</f>
        <v>17/08/2023 16:48:06</v>
      </c>
      <c r="BC1710" t="str">
        <f>""</f>
        <v/>
      </c>
      <c r="BD1710" t="str">
        <f>""</f>
        <v/>
      </c>
      <c r="BE1710" t="str">
        <f>""</f>
        <v/>
      </c>
      <c r="BF1710" t="str">
        <f t="shared" si="871"/>
        <v>A</v>
      </c>
      <c r="BG1710" t="str">
        <f>""</f>
        <v/>
      </c>
      <c r="BH1710" t="str">
        <f>""</f>
        <v/>
      </c>
      <c r="BI1710" t="str">
        <f t="shared" si="884"/>
        <v>EVENTUAL</v>
      </c>
      <c r="BJ1710" t="str">
        <f t="shared" si="872"/>
        <v>1</v>
      </c>
      <c r="BK1710" t="str">
        <f t="shared" si="873"/>
        <v>Farmacia</v>
      </c>
      <c r="BL1710" t="str">
        <f>""</f>
        <v/>
      </c>
      <c r="BM1710" t="str">
        <f>""</f>
        <v/>
      </c>
      <c r="BN1710" t="str">
        <f>""</f>
        <v/>
      </c>
      <c r="BO1710" t="str">
        <f>""</f>
        <v/>
      </c>
      <c r="BP1710" t="str">
        <f>""</f>
        <v/>
      </c>
      <c r="BQ1710" t="str">
        <f>""</f>
        <v/>
      </c>
      <c r="BR1710" t="str">
        <f>"17/08/2023"</f>
        <v>17/08/2023</v>
      </c>
      <c r="BS1710" t="str">
        <f>""</f>
        <v/>
      </c>
      <c r="BT1710" t="str">
        <f>""</f>
        <v/>
      </c>
      <c r="BU1710" t="str">
        <f>""</f>
        <v/>
      </c>
      <c r="BV1710" t="str">
        <f>""</f>
        <v/>
      </c>
      <c r="BW1710" t="str">
        <f>"Não visitado"</f>
        <v>Não visitado</v>
      </c>
    </row>
    <row r="1711" spans="1:75" x14ac:dyDescent="0.35">
      <c r="A1711">
        <v>137919</v>
      </c>
      <c r="B1711" t="str">
        <f t="shared" si="867"/>
        <v>A</v>
      </c>
      <c r="C1711" t="str">
        <f t="shared" si="868"/>
        <v>80</v>
      </c>
      <c r="D1711" t="str">
        <f t="shared" si="856"/>
        <v>11121004</v>
      </c>
      <c r="E1711" t="str">
        <f t="shared" si="857"/>
        <v>121004</v>
      </c>
      <c r="F1711" t="str">
        <f t="shared" si="858"/>
        <v>FABIANA GODOY</v>
      </c>
      <c r="G1711" t="str">
        <f>"34732774000129"</f>
        <v>34732774000129</v>
      </c>
      <c r="H1711" t="str">
        <f t="shared" ref="H1711:H1721" si="890">"0"</f>
        <v>0</v>
      </c>
      <c r="I1711" t="str">
        <f t="shared" si="869"/>
        <v>CONTA OPTICA</v>
      </c>
      <c r="J1711" t="str">
        <f>"SEG PRODUTOS OPTICOS LTDA"</f>
        <v>SEG PRODUTOS OPTICOS LTDA</v>
      </c>
      <c r="K1711" t="str">
        <f>"OTICA ITACU PRIME (4078)"</f>
        <v>OTICA ITACU PRIME (4078)</v>
      </c>
      <c r="L1711" t="str">
        <f>""</f>
        <v/>
      </c>
      <c r="M1711" t="str">
        <f>""</f>
        <v/>
      </c>
      <c r="N1711" t="str">
        <f>""</f>
        <v/>
      </c>
      <c r="O1711" t="str">
        <f>""</f>
        <v/>
      </c>
      <c r="P1711" t="str">
        <f>"RUA ISIDORO CAETANO"</f>
        <v>RUA ISIDORO CAETANO</v>
      </c>
      <c r="Q1711" t="str">
        <f>"214"</f>
        <v>214</v>
      </c>
      <c r="R1711" t="str">
        <f>"SALA:01"</f>
        <v>SALA:01</v>
      </c>
      <c r="S1711" t="str">
        <f>""</f>
        <v/>
      </c>
      <c r="T1711" t="str">
        <f>"88331005"</f>
        <v>88331005</v>
      </c>
      <c r="U1711" t="str">
        <f>"PIONEIROS"</f>
        <v>PIONEIROS</v>
      </c>
      <c r="V1711" t="str">
        <f>"BALNEARIO CAMBORIU"</f>
        <v>BALNEARIO CAMBORIU</v>
      </c>
      <c r="W1711" t="str">
        <f t="shared" si="855"/>
        <v>SC</v>
      </c>
      <c r="X1711" t="str">
        <f t="shared" si="886"/>
        <v>47</v>
      </c>
      <c r="Y1711" t="str">
        <f>"33632369"</f>
        <v>33632369</v>
      </c>
      <c r="Z1711" t="str">
        <f>""</f>
        <v/>
      </c>
      <c r="AA1711" t="str">
        <f>""</f>
        <v/>
      </c>
      <c r="AB1711" t="str">
        <f>""</f>
        <v/>
      </c>
      <c r="AC1711" t="str">
        <f>""</f>
        <v/>
      </c>
      <c r="AD1711" t="str">
        <f>""</f>
        <v/>
      </c>
      <c r="AE1711" t="str">
        <f>""</f>
        <v/>
      </c>
      <c r="AF1711" t="str">
        <f>""</f>
        <v/>
      </c>
      <c r="AG1711" t="str">
        <f>""</f>
        <v/>
      </c>
      <c r="AH1711" t="str">
        <f>""</f>
        <v/>
      </c>
      <c r="AI1711" t="str">
        <f>""</f>
        <v/>
      </c>
      <c r="AJ1711" t="str">
        <f>""</f>
        <v/>
      </c>
      <c r="AK1711" t="str">
        <f>""</f>
        <v/>
      </c>
      <c r="AL1711" t="str">
        <f>""</f>
        <v/>
      </c>
      <c r="AM1711" t="str">
        <f>""</f>
        <v/>
      </c>
      <c r="AN1711" t="str">
        <f>""</f>
        <v/>
      </c>
      <c r="AO1711" t="str">
        <f>""</f>
        <v/>
      </c>
      <c r="AP1711" t="str">
        <f>""</f>
        <v/>
      </c>
      <c r="AQ1711" t="str">
        <f>""</f>
        <v/>
      </c>
      <c r="AR1711" t="str">
        <f>""</f>
        <v/>
      </c>
      <c r="AS1711" t="str">
        <f>""</f>
        <v/>
      </c>
      <c r="AT1711" t="str">
        <f>""</f>
        <v/>
      </c>
      <c r="AU1711" t="str">
        <f>""</f>
        <v/>
      </c>
      <c r="AV1711" t="str">
        <f>""</f>
        <v/>
      </c>
      <c r="AW1711" t="str">
        <f>""</f>
        <v/>
      </c>
      <c r="AX1711" t="str">
        <f>""</f>
        <v/>
      </c>
      <c r="AY1711" t="str">
        <f>""</f>
        <v/>
      </c>
      <c r="AZ1711" t="str">
        <f>""</f>
        <v/>
      </c>
      <c r="BA1711" t="str">
        <f>""</f>
        <v/>
      </c>
      <c r="BB1711" t="str">
        <f>"01/07/2021 13:53:04"</f>
        <v>01/07/2021 13:53:04</v>
      </c>
      <c r="BC1711" t="str">
        <f>""</f>
        <v/>
      </c>
      <c r="BD1711" t="str">
        <f>""</f>
        <v/>
      </c>
      <c r="BE1711" t="str">
        <f>""</f>
        <v/>
      </c>
      <c r="BF1711" t="str">
        <f t="shared" si="871"/>
        <v>A</v>
      </c>
      <c r="BG1711" t="str">
        <f>""</f>
        <v/>
      </c>
      <c r="BH1711" t="str">
        <f>""</f>
        <v/>
      </c>
      <c r="BI1711" t="str">
        <f t="shared" si="884"/>
        <v>EVENTUAL</v>
      </c>
      <c r="BJ1711" t="str">
        <f t="shared" si="872"/>
        <v>1</v>
      </c>
      <c r="BK1711" t="str">
        <f t="shared" si="873"/>
        <v>Farmacia</v>
      </c>
      <c r="BL1711" t="str">
        <f>""</f>
        <v/>
      </c>
      <c r="BM1711" t="str">
        <f>"NÃO É VARILUX ESPECIALISTA"</f>
        <v>NÃO É VARILUX ESPECIALISTA</v>
      </c>
      <c r="BN1711" t="str">
        <f>"EL360"</f>
        <v>EL360</v>
      </c>
      <c r="BO1711" t="str">
        <f>"FOCO VARILUX DIGITAL"</f>
        <v>FOCO VARILUX DIGITAL</v>
      </c>
      <c r="BP1711" t="str">
        <f>""</f>
        <v/>
      </c>
      <c r="BQ1711" t="str">
        <f>""</f>
        <v/>
      </c>
      <c r="BR1711" t="str">
        <f>"01/07/2021"</f>
        <v>01/07/2021</v>
      </c>
      <c r="BS1711" t="str">
        <f>""</f>
        <v/>
      </c>
      <c r="BT1711" t="str">
        <f>""</f>
        <v/>
      </c>
      <c r="BU1711" t="str">
        <f>""</f>
        <v/>
      </c>
      <c r="BV1711" t="str">
        <f>""</f>
        <v/>
      </c>
      <c r="BW1711" t="str">
        <f>"150"</f>
        <v>150</v>
      </c>
    </row>
    <row r="1712" spans="1:75" x14ac:dyDescent="0.35">
      <c r="A1712">
        <v>137920</v>
      </c>
      <c r="B1712" t="str">
        <f t="shared" si="867"/>
        <v>A</v>
      </c>
      <c r="C1712" t="str">
        <f t="shared" si="868"/>
        <v>80</v>
      </c>
      <c r="D1712" t="str">
        <f t="shared" si="856"/>
        <v>11121004</v>
      </c>
      <c r="E1712" t="str">
        <f t="shared" si="857"/>
        <v>121004</v>
      </c>
      <c r="F1712" t="str">
        <f t="shared" si="858"/>
        <v>FABIANA GODOY</v>
      </c>
      <c r="G1712" t="str">
        <f>"29202217000166"</f>
        <v>29202217000166</v>
      </c>
      <c r="H1712" t="str">
        <f t="shared" si="890"/>
        <v>0</v>
      </c>
      <c r="I1712" t="str">
        <f t="shared" si="869"/>
        <v>CONTA OPTICA</v>
      </c>
      <c r="J1712" t="str">
        <f>"SEVEN PRODUTOS OPTICOS LTDA"</f>
        <v>SEVEN PRODUTOS OPTICOS LTDA</v>
      </c>
      <c r="K1712" t="str">
        <f>"SEVEN PRODUTOS OPTICOS LTDA (4117)"</f>
        <v>SEVEN PRODUTOS OPTICOS LTDA (4117)</v>
      </c>
      <c r="L1712" t="str">
        <f>""</f>
        <v/>
      </c>
      <c r="M1712" t="str">
        <f>""</f>
        <v/>
      </c>
      <c r="N1712" t="str">
        <f>"oticavicenzo@gmail.com"</f>
        <v>oticavicenzo@gmail.com</v>
      </c>
      <c r="O1712" t="str">
        <f>""</f>
        <v/>
      </c>
      <c r="P1712" t="str">
        <f>"RUA AVENIDA BRASIL"</f>
        <v>RUA AVENIDA BRASIL</v>
      </c>
      <c r="Q1712" t="str">
        <f>"1811"</f>
        <v>1811</v>
      </c>
      <c r="R1712" t="str">
        <f>"SALA 1"</f>
        <v>SALA 1</v>
      </c>
      <c r="S1712" t="str">
        <f>"1262"</f>
        <v>1262</v>
      </c>
      <c r="T1712" t="str">
        <f>"88330050"</f>
        <v>88330050</v>
      </c>
      <c r="U1712" t="str">
        <f>"CENTRO"</f>
        <v>CENTRO</v>
      </c>
      <c r="V1712" t="str">
        <f>"BALNEÁRIO CAMBORIÚ"</f>
        <v>BALNEÁRIO CAMBORIÚ</v>
      </c>
      <c r="W1712" t="str">
        <f t="shared" ref="W1712:W1744" si="891">"SC"</f>
        <v>SC</v>
      </c>
      <c r="X1712" t="str">
        <f t="shared" si="886"/>
        <v>47</v>
      </c>
      <c r="Y1712" t="str">
        <f>"30560776"</f>
        <v>30560776</v>
      </c>
      <c r="Z1712" t="str">
        <f>""</f>
        <v/>
      </c>
      <c r="AA1712" t="str">
        <f>""</f>
        <v/>
      </c>
      <c r="AB1712" t="str">
        <f>""</f>
        <v/>
      </c>
      <c r="AC1712" t="str">
        <f>""</f>
        <v/>
      </c>
      <c r="AD1712" t="str">
        <f>""</f>
        <v/>
      </c>
      <c r="AE1712" t="str">
        <f>""</f>
        <v/>
      </c>
      <c r="AF1712" t="str">
        <f>""</f>
        <v/>
      </c>
      <c r="AG1712" t="str">
        <f>"S"</f>
        <v>S</v>
      </c>
      <c r="AH1712" t="str">
        <f>""</f>
        <v/>
      </c>
      <c r="AI1712" t="str">
        <f>""</f>
        <v/>
      </c>
      <c r="AJ1712" t="str">
        <f>""</f>
        <v/>
      </c>
      <c r="AK1712" t="str">
        <f>""</f>
        <v/>
      </c>
      <c r="AL1712" t="str">
        <f>""</f>
        <v/>
      </c>
      <c r="AM1712" t="str">
        <f>""</f>
        <v/>
      </c>
      <c r="AN1712" t="str">
        <f>""</f>
        <v/>
      </c>
      <c r="AO1712" t="str">
        <f>""</f>
        <v/>
      </c>
      <c r="AP1712" t="str">
        <f>""</f>
        <v/>
      </c>
      <c r="AQ1712" t="str">
        <f t="shared" ref="AQ1712:AU1714" si="892">"N"</f>
        <v>N</v>
      </c>
      <c r="AR1712" t="str">
        <f t="shared" si="892"/>
        <v>N</v>
      </c>
      <c r="AS1712" t="str">
        <f t="shared" si="892"/>
        <v>N</v>
      </c>
      <c r="AT1712" t="str">
        <f t="shared" si="892"/>
        <v>N</v>
      </c>
      <c r="AU1712" t="str">
        <f t="shared" si="892"/>
        <v>N</v>
      </c>
      <c r="AV1712" t="str">
        <f>""</f>
        <v/>
      </c>
      <c r="AW1712" t="str">
        <f>""</f>
        <v/>
      </c>
      <c r="AX1712" t="str">
        <f>""</f>
        <v/>
      </c>
      <c r="AY1712" t="str">
        <f>""</f>
        <v/>
      </c>
      <c r="AZ1712" t="str">
        <f>""</f>
        <v/>
      </c>
      <c r="BA1712" t="str">
        <f>""</f>
        <v/>
      </c>
      <c r="BB1712" t="str">
        <f>"01/07/2021 13:53:04"</f>
        <v>01/07/2021 13:53:04</v>
      </c>
      <c r="BC1712" t="str">
        <f>"07/07/2023 17:53:00"</f>
        <v>07/07/2023 17:53:00</v>
      </c>
      <c r="BD1712" t="str">
        <f>""</f>
        <v/>
      </c>
      <c r="BE1712" t="str">
        <f>""</f>
        <v/>
      </c>
      <c r="BF1712" t="str">
        <f t="shared" si="871"/>
        <v>A</v>
      </c>
      <c r="BG1712" t="str">
        <f>""</f>
        <v/>
      </c>
      <c r="BH1712" t="str">
        <f>"0,00"</f>
        <v>0,00</v>
      </c>
      <c r="BI1712" t="str">
        <f t="shared" si="884"/>
        <v>EVENTUAL</v>
      </c>
      <c r="BJ1712" t="str">
        <f t="shared" si="872"/>
        <v>1</v>
      </c>
      <c r="BK1712" t="str">
        <f t="shared" si="873"/>
        <v>Farmacia</v>
      </c>
      <c r="BL1712" t="str">
        <f>""</f>
        <v/>
      </c>
      <c r="BM1712" t="str">
        <f>"VARILUX ESPECIALISTA PLATINE"</f>
        <v>VARILUX ESPECIALISTA PLATINE</v>
      </c>
      <c r="BN1712" t="str">
        <f>"NA"</f>
        <v>NA</v>
      </c>
      <c r="BO1712" t="str">
        <f>"FOCO VARILUX DIGITAL"</f>
        <v>FOCO VARILUX DIGITAL</v>
      </c>
      <c r="BP1712" t="str">
        <f>""</f>
        <v/>
      </c>
      <c r="BQ1712" t="str">
        <f>""</f>
        <v/>
      </c>
      <c r="BR1712" t="str">
        <f>"01/07/2021"</f>
        <v>01/07/2021</v>
      </c>
      <c r="BS1712" t="str">
        <f>"07/07/2023"</f>
        <v>07/07/2023</v>
      </c>
      <c r="BT1712" t="str">
        <f>""</f>
        <v/>
      </c>
      <c r="BU1712" t="str">
        <f>""</f>
        <v/>
      </c>
      <c r="BV1712" t="str">
        <f>""</f>
        <v/>
      </c>
      <c r="BW1712" t="str">
        <f>"108"</f>
        <v>108</v>
      </c>
    </row>
    <row r="1713" spans="1:75" x14ac:dyDescent="0.35">
      <c r="A1713">
        <v>137921</v>
      </c>
      <c r="B1713" t="str">
        <f t="shared" si="867"/>
        <v>A</v>
      </c>
      <c r="C1713" t="str">
        <f t="shared" si="868"/>
        <v>80</v>
      </c>
      <c r="D1713" t="str">
        <f t="shared" si="856"/>
        <v>11121004</v>
      </c>
      <c r="E1713" t="str">
        <f t="shared" si="857"/>
        <v>121004</v>
      </c>
      <c r="F1713" t="str">
        <f t="shared" si="858"/>
        <v>FABIANA GODOY</v>
      </c>
      <c r="G1713" t="str">
        <f>"37660159000142"</f>
        <v>37660159000142</v>
      </c>
      <c r="H1713" t="str">
        <f t="shared" si="890"/>
        <v>0</v>
      </c>
      <c r="I1713" t="str">
        <f t="shared" si="869"/>
        <v>CONTA OPTICA</v>
      </c>
      <c r="J1713" t="str">
        <f>"SIDNEI LANZNASTER LTDA"</f>
        <v>SIDNEI LANZNASTER LTDA</v>
      </c>
      <c r="K1713" t="str">
        <f>"OPTICA IARA (4317)"</f>
        <v>OPTICA IARA (4317)</v>
      </c>
      <c r="L1713" t="str">
        <f>""</f>
        <v/>
      </c>
      <c r="M1713" t="str">
        <f>""</f>
        <v/>
      </c>
      <c r="N1713" t="str">
        <f>"SIDNEILANZNASTER@HOTMAIL.COM"</f>
        <v>SIDNEILANZNASTER@HOTMAIL.COM</v>
      </c>
      <c r="O1713" t="str">
        <f>""</f>
        <v/>
      </c>
      <c r="P1713" t="str">
        <f>"RUA DA GLORIA"</f>
        <v>RUA DA GLORIA</v>
      </c>
      <c r="Q1713" t="str">
        <f>"130"</f>
        <v>130</v>
      </c>
      <c r="R1713" t="str">
        <f>"SALA 02"</f>
        <v>SALA 02</v>
      </c>
      <c r="S1713" t="str">
        <f>""</f>
        <v/>
      </c>
      <c r="T1713" t="str">
        <f>"89025303"</f>
        <v>89025303</v>
      </c>
      <c r="U1713" t="str">
        <f>"GLORIA"</f>
        <v>GLORIA</v>
      </c>
      <c r="V1713" t="str">
        <f>"BLUMENAU"</f>
        <v>BLUMENAU</v>
      </c>
      <c r="W1713" t="str">
        <f t="shared" si="891"/>
        <v>SC</v>
      </c>
      <c r="X1713" t="str">
        <f t="shared" si="886"/>
        <v>47</v>
      </c>
      <c r="Y1713" t="str">
        <f>"32099542"</f>
        <v>32099542</v>
      </c>
      <c r="Z1713" t="str">
        <f>""</f>
        <v/>
      </c>
      <c r="AA1713" t="str">
        <f>""</f>
        <v/>
      </c>
      <c r="AB1713" t="str">
        <f>""</f>
        <v/>
      </c>
      <c r="AC1713" t="str">
        <f>""</f>
        <v/>
      </c>
      <c r="AD1713" t="str">
        <f>""</f>
        <v/>
      </c>
      <c r="AE1713" t="str">
        <f>""</f>
        <v/>
      </c>
      <c r="AF1713" t="str">
        <f>""</f>
        <v/>
      </c>
      <c r="AG1713" t="str">
        <f>"S"</f>
        <v>S</v>
      </c>
      <c r="AH1713" t="str">
        <f>""</f>
        <v/>
      </c>
      <c r="AI1713" t="str">
        <f>""</f>
        <v/>
      </c>
      <c r="AJ1713" t="str">
        <f>""</f>
        <v/>
      </c>
      <c r="AK1713" t="str">
        <f>""</f>
        <v/>
      </c>
      <c r="AL1713" t="str">
        <f>""</f>
        <v/>
      </c>
      <c r="AM1713" t="str">
        <f>""</f>
        <v/>
      </c>
      <c r="AN1713" t="str">
        <f>""</f>
        <v/>
      </c>
      <c r="AO1713" t="str">
        <f>""</f>
        <v/>
      </c>
      <c r="AP1713" t="str">
        <f>""</f>
        <v/>
      </c>
      <c r="AQ1713" t="str">
        <f t="shared" si="892"/>
        <v>N</v>
      </c>
      <c r="AR1713" t="str">
        <f t="shared" si="892"/>
        <v>N</v>
      </c>
      <c r="AS1713" t="str">
        <f t="shared" si="892"/>
        <v>N</v>
      </c>
      <c r="AT1713" t="str">
        <f t="shared" si="892"/>
        <v>N</v>
      </c>
      <c r="AU1713" t="str">
        <f t="shared" si="892"/>
        <v>N</v>
      </c>
      <c r="AV1713" t="str">
        <f>""</f>
        <v/>
      </c>
      <c r="AW1713" t="str">
        <f>""</f>
        <v/>
      </c>
      <c r="AX1713" t="str">
        <f>""</f>
        <v/>
      </c>
      <c r="AY1713" t="str">
        <f>""</f>
        <v/>
      </c>
      <c r="AZ1713" t="str">
        <f>""</f>
        <v/>
      </c>
      <c r="BA1713" t="str">
        <f>""</f>
        <v/>
      </c>
      <c r="BB1713" t="str">
        <f>"01/07/2021 13:53:04"</f>
        <v>01/07/2021 13:53:04</v>
      </c>
      <c r="BC1713" t="str">
        <f>"14/07/2023 15:25:11"</f>
        <v>14/07/2023 15:25:11</v>
      </c>
      <c r="BD1713" t="str">
        <f>""</f>
        <v/>
      </c>
      <c r="BE1713" t="str">
        <f>""</f>
        <v/>
      </c>
      <c r="BF1713" t="str">
        <f t="shared" si="871"/>
        <v>A</v>
      </c>
      <c r="BG1713" t="str">
        <f>""</f>
        <v/>
      </c>
      <c r="BH1713" t="str">
        <f>"0,00"</f>
        <v>0,00</v>
      </c>
      <c r="BI1713" t="str">
        <f>"MENSAL"</f>
        <v>MENSAL</v>
      </c>
      <c r="BJ1713" t="str">
        <f t="shared" si="872"/>
        <v>1</v>
      </c>
      <c r="BK1713" t="str">
        <f t="shared" si="873"/>
        <v>Farmacia</v>
      </c>
      <c r="BL1713" t="str">
        <f>""</f>
        <v/>
      </c>
      <c r="BM1713" t="str">
        <f>"NÃO É VARILUX ESPECIALISTA"</f>
        <v>NÃO É VARILUX ESPECIALISTA</v>
      </c>
      <c r="BN1713" t="str">
        <f>"NA"</f>
        <v>NA</v>
      </c>
      <c r="BO1713" t="str">
        <f>"FOCO VARILUX"</f>
        <v>FOCO VARILUX</v>
      </c>
      <c r="BP1713" t="str">
        <f>""</f>
        <v/>
      </c>
      <c r="BQ1713" t="str">
        <f>""</f>
        <v/>
      </c>
      <c r="BR1713" t="str">
        <f>"01/07/2021"</f>
        <v>01/07/2021</v>
      </c>
      <c r="BS1713" t="str">
        <f>"14/07/2023"</f>
        <v>14/07/2023</v>
      </c>
      <c r="BT1713" t="str">
        <f>""</f>
        <v/>
      </c>
      <c r="BU1713" t="str">
        <f>""</f>
        <v/>
      </c>
      <c r="BV1713" t="str">
        <f>""</f>
        <v/>
      </c>
      <c r="BW1713" t="str">
        <f>"3"</f>
        <v>3</v>
      </c>
    </row>
    <row r="1714" spans="1:75" x14ac:dyDescent="0.35">
      <c r="A1714">
        <v>137922</v>
      </c>
      <c r="B1714" t="str">
        <f t="shared" si="867"/>
        <v>A</v>
      </c>
      <c r="C1714" t="str">
        <f t="shared" si="868"/>
        <v>80</v>
      </c>
      <c r="D1714" t="str">
        <f t="shared" si="856"/>
        <v>11121004</v>
      </c>
      <c r="E1714" t="str">
        <f t="shared" si="857"/>
        <v>121004</v>
      </c>
      <c r="F1714" t="str">
        <f t="shared" si="858"/>
        <v>FABIANA GODOY</v>
      </c>
      <c r="G1714" t="str">
        <f>"30766493000136"</f>
        <v>30766493000136</v>
      </c>
      <c r="H1714" t="str">
        <f t="shared" si="890"/>
        <v>0</v>
      </c>
      <c r="I1714" t="str">
        <f t="shared" si="869"/>
        <v>CONTA OPTICA</v>
      </c>
      <c r="J1714" t="str">
        <f>"SOUL OCULOS E ACESSORIOS EIRELI"</f>
        <v>SOUL OCULOS E ACESSORIOS EIRELI</v>
      </c>
      <c r="K1714" t="str">
        <f>"CHILLI BEANS ITAPEMA (4125)"</f>
        <v>CHILLI BEANS ITAPEMA (4125)</v>
      </c>
      <c r="L1714" t="str">
        <f>""</f>
        <v/>
      </c>
      <c r="M1714" t="str">
        <f>""</f>
        <v/>
      </c>
      <c r="N1714" t="str">
        <f>"karenvenzon@gmail.com"</f>
        <v>karenvenzon@gmail.com</v>
      </c>
      <c r="O1714" t="str">
        <f>""</f>
        <v/>
      </c>
      <c r="P1714" t="str">
        <f>"RUA NEREU RAMOS"</f>
        <v>RUA NEREU RAMOS</v>
      </c>
      <c r="Q1714" t="str">
        <f>"3400"</f>
        <v>3400</v>
      </c>
      <c r="R1714" t="str">
        <f>""</f>
        <v/>
      </c>
      <c r="S1714" t="str">
        <f>"1260"</f>
        <v>1260</v>
      </c>
      <c r="T1714" t="str">
        <f>"88220000"</f>
        <v>88220000</v>
      </c>
      <c r="U1714" t="str">
        <f>"MEIA PRAIA"</f>
        <v>MEIA PRAIA</v>
      </c>
      <c r="V1714" t="str">
        <f>"ITAPEMA"</f>
        <v>ITAPEMA</v>
      </c>
      <c r="W1714" t="str">
        <f t="shared" si="891"/>
        <v>SC</v>
      </c>
      <c r="X1714" t="str">
        <f>"48"</f>
        <v>48</v>
      </c>
      <c r="Y1714" t="str">
        <f>"988211202"</f>
        <v>988211202</v>
      </c>
      <c r="Z1714" t="str">
        <f>""</f>
        <v/>
      </c>
      <c r="AA1714" t="str">
        <f>""</f>
        <v/>
      </c>
      <c r="AB1714" t="str">
        <f>""</f>
        <v/>
      </c>
      <c r="AC1714" t="str">
        <f>""</f>
        <v/>
      </c>
      <c r="AD1714" t="str">
        <f>""</f>
        <v/>
      </c>
      <c r="AE1714" t="str">
        <f>""</f>
        <v/>
      </c>
      <c r="AF1714" t="str">
        <f>""</f>
        <v/>
      </c>
      <c r="AG1714" t="str">
        <f>"S"</f>
        <v>S</v>
      </c>
      <c r="AH1714" t="str">
        <f>""</f>
        <v/>
      </c>
      <c r="AI1714" t="str">
        <f>""</f>
        <v/>
      </c>
      <c r="AJ1714" t="str">
        <f>""</f>
        <v/>
      </c>
      <c r="AK1714" t="str">
        <f>""</f>
        <v/>
      </c>
      <c r="AL1714" t="str">
        <f>""</f>
        <v/>
      </c>
      <c r="AM1714" t="str">
        <f>""</f>
        <v/>
      </c>
      <c r="AN1714" t="str">
        <f>""</f>
        <v/>
      </c>
      <c r="AO1714" t="str">
        <f>""</f>
        <v/>
      </c>
      <c r="AP1714" t="str">
        <f>""</f>
        <v/>
      </c>
      <c r="AQ1714" t="str">
        <f t="shared" si="892"/>
        <v>N</v>
      </c>
      <c r="AR1714" t="str">
        <f t="shared" si="892"/>
        <v>N</v>
      </c>
      <c r="AS1714" t="str">
        <f t="shared" si="892"/>
        <v>N</v>
      </c>
      <c r="AT1714" t="str">
        <f t="shared" si="892"/>
        <v>N</v>
      </c>
      <c r="AU1714" t="str">
        <f t="shared" si="892"/>
        <v>N</v>
      </c>
      <c r="AV1714" t="str">
        <f>""</f>
        <v/>
      </c>
      <c r="AW1714" t="str">
        <f>""</f>
        <v/>
      </c>
      <c r="AX1714" t="str">
        <f>""</f>
        <v/>
      </c>
      <c r="AY1714" t="str">
        <f>""</f>
        <v/>
      </c>
      <c r="AZ1714" t="str">
        <f>""</f>
        <v/>
      </c>
      <c r="BA1714" t="str">
        <f>""</f>
        <v/>
      </c>
      <c r="BB1714" t="str">
        <f>"01/07/2021 13:53:04"</f>
        <v>01/07/2021 13:53:04</v>
      </c>
      <c r="BC1714" t="str">
        <f>"03/03/2022 15:04:14"</f>
        <v>03/03/2022 15:04:14</v>
      </c>
      <c r="BD1714" t="str">
        <f>""</f>
        <v/>
      </c>
      <c r="BE1714" t="str">
        <f>""</f>
        <v/>
      </c>
      <c r="BF1714" t="str">
        <f t="shared" si="871"/>
        <v>A</v>
      </c>
      <c r="BG1714" t="str">
        <f>""</f>
        <v/>
      </c>
      <c r="BH1714" t="str">
        <f>"0,00"</f>
        <v>0,00</v>
      </c>
      <c r="BI1714" t="str">
        <f t="shared" ref="BI1714:BI1735" si="893">"EVENTUAL"</f>
        <v>EVENTUAL</v>
      </c>
      <c r="BJ1714" t="str">
        <f t="shared" si="872"/>
        <v>1</v>
      </c>
      <c r="BK1714" t="str">
        <f t="shared" si="873"/>
        <v>Farmacia</v>
      </c>
      <c r="BL1714" t="str">
        <f>""</f>
        <v/>
      </c>
      <c r="BM1714" t="str">
        <f>"NÃO É VARILUX ESPECIALISTA"</f>
        <v>NÃO É VARILUX ESPECIALISTA</v>
      </c>
      <c r="BN1714" t="str">
        <f>"NA"</f>
        <v>NA</v>
      </c>
      <c r="BO1714" t="str">
        <f>"FOCO VARILUX DIGITAL"</f>
        <v>FOCO VARILUX DIGITAL</v>
      </c>
      <c r="BP1714" t="str">
        <f>""</f>
        <v/>
      </c>
      <c r="BQ1714" t="str">
        <f>""</f>
        <v/>
      </c>
      <c r="BR1714" t="str">
        <f>"01/07/2021"</f>
        <v>01/07/2021</v>
      </c>
      <c r="BS1714" t="str">
        <f>"03/03/2022"</f>
        <v>03/03/2022</v>
      </c>
      <c r="BT1714" t="str">
        <f>""</f>
        <v/>
      </c>
      <c r="BU1714" t="str">
        <f>""</f>
        <v/>
      </c>
      <c r="BV1714" t="str">
        <f>""</f>
        <v/>
      </c>
      <c r="BW1714" t="str">
        <f>"141"</f>
        <v>141</v>
      </c>
    </row>
    <row r="1715" spans="1:75" x14ac:dyDescent="0.35">
      <c r="A1715">
        <v>157803</v>
      </c>
      <c r="B1715" t="str">
        <f t="shared" si="867"/>
        <v>A</v>
      </c>
      <c r="C1715" t="str">
        <f t="shared" si="868"/>
        <v>80</v>
      </c>
      <c r="D1715" t="str">
        <f t="shared" ref="D1715:D1744" si="894">"11121004"</f>
        <v>11121004</v>
      </c>
      <c r="E1715" t="str">
        <f t="shared" ref="E1715:E1744" si="895">"121004"</f>
        <v>121004</v>
      </c>
      <c r="F1715" t="str">
        <f t="shared" ref="F1715:F1744" si="896">"FABIANA GODOY"</f>
        <v>FABIANA GODOY</v>
      </c>
      <c r="G1715" t="str">
        <f>"13006015000109"</f>
        <v>13006015000109</v>
      </c>
      <c r="H1715" t="str">
        <f t="shared" si="890"/>
        <v>0</v>
      </c>
      <c r="I1715" t="str">
        <f t="shared" si="869"/>
        <v>CONTA OPTICA</v>
      </c>
      <c r="J1715" t="str">
        <f>"STEFANES COMERCIO DE PRODUTOS OPTICOS LTDA ME"</f>
        <v>STEFANES COMERCIO DE PRODUTOS OPTICOS LTDA ME</v>
      </c>
      <c r="K1715" t="str">
        <f>"OTICA JANNE (1811)"</f>
        <v>OTICA JANNE (1811)</v>
      </c>
      <c r="L1715" t="str">
        <f>""</f>
        <v/>
      </c>
      <c r="M1715" t="str">
        <f>""</f>
        <v/>
      </c>
      <c r="N1715" t="str">
        <f>""</f>
        <v/>
      </c>
      <c r="O1715" t="str">
        <f>""</f>
        <v/>
      </c>
      <c r="P1715" t="str">
        <f>"RUA HERCILIO LUZ"</f>
        <v>RUA HERCILIO LUZ</v>
      </c>
      <c r="Q1715" t="str">
        <f>"490"</f>
        <v>490</v>
      </c>
      <c r="R1715" t="str">
        <f>""</f>
        <v/>
      </c>
      <c r="S1715" t="str">
        <f>"1261"</f>
        <v>1261</v>
      </c>
      <c r="T1715" t="str">
        <f>"88301001"</f>
        <v>88301001</v>
      </c>
      <c r="U1715" t="str">
        <f>"CENTRO"</f>
        <v>CENTRO</v>
      </c>
      <c r="V1715" t="str">
        <f>"ITAJAI"</f>
        <v>ITAJAI</v>
      </c>
      <c r="W1715" t="str">
        <f t="shared" si="891"/>
        <v>SC</v>
      </c>
      <c r="X1715" t="str">
        <f t="shared" ref="X1715:X1721" si="897">"47"</f>
        <v>47</v>
      </c>
      <c r="Y1715" t="str">
        <f>"30456839"</f>
        <v>30456839</v>
      </c>
      <c r="Z1715" t="str">
        <f>""</f>
        <v/>
      </c>
      <c r="AA1715" t="str">
        <f>""</f>
        <v/>
      </c>
      <c r="AB1715" t="str">
        <f>""</f>
        <v/>
      </c>
      <c r="AC1715" t="str">
        <f>""</f>
        <v/>
      </c>
      <c r="AD1715" t="str">
        <f>""</f>
        <v/>
      </c>
      <c r="AE1715" t="str">
        <f>""</f>
        <v/>
      </c>
      <c r="AF1715" t="str">
        <f>""</f>
        <v/>
      </c>
      <c r="AG1715" t="str">
        <f>""</f>
        <v/>
      </c>
      <c r="AH1715" t="str">
        <f>""</f>
        <v/>
      </c>
      <c r="AI1715" t="str">
        <f>""</f>
        <v/>
      </c>
      <c r="AJ1715" t="str">
        <f>""</f>
        <v/>
      </c>
      <c r="AK1715" t="str">
        <f>""</f>
        <v/>
      </c>
      <c r="AL1715" t="str">
        <f>""</f>
        <v/>
      </c>
      <c r="AM1715" t="str">
        <f>""</f>
        <v/>
      </c>
      <c r="AN1715" t="str">
        <f>""</f>
        <v/>
      </c>
      <c r="AO1715" t="str">
        <f>""</f>
        <v/>
      </c>
      <c r="AP1715" t="str">
        <f>""</f>
        <v/>
      </c>
      <c r="AQ1715" t="str">
        <f>""</f>
        <v/>
      </c>
      <c r="AR1715" t="str">
        <f>""</f>
        <v/>
      </c>
      <c r="AS1715" t="str">
        <f>""</f>
        <v/>
      </c>
      <c r="AT1715" t="str">
        <f>""</f>
        <v/>
      </c>
      <c r="AU1715" t="str">
        <f>""</f>
        <v/>
      </c>
      <c r="AV1715" t="str">
        <f>""</f>
        <v/>
      </c>
      <c r="AW1715" t="str">
        <f>""</f>
        <v/>
      </c>
      <c r="AX1715" t="str">
        <f>""</f>
        <v/>
      </c>
      <c r="AY1715" t="str">
        <f>""</f>
        <v/>
      </c>
      <c r="AZ1715" t="str">
        <f>""</f>
        <v/>
      </c>
      <c r="BA1715" t="str">
        <f>""</f>
        <v/>
      </c>
      <c r="BB1715" t="str">
        <f>"11/07/2023 02:26:32"</f>
        <v>11/07/2023 02:26:32</v>
      </c>
      <c r="BC1715" t="str">
        <f>""</f>
        <v/>
      </c>
      <c r="BD1715" t="str">
        <f>""</f>
        <v/>
      </c>
      <c r="BE1715" t="str">
        <f>""</f>
        <v/>
      </c>
      <c r="BF1715" t="str">
        <f t="shared" si="871"/>
        <v>A</v>
      </c>
      <c r="BG1715" t="str">
        <f>""</f>
        <v/>
      </c>
      <c r="BH1715" t="str">
        <f>""</f>
        <v/>
      </c>
      <c r="BI1715" t="str">
        <f t="shared" si="893"/>
        <v>EVENTUAL</v>
      </c>
      <c r="BJ1715" t="str">
        <f t="shared" si="872"/>
        <v>1</v>
      </c>
      <c r="BK1715" t="str">
        <f t="shared" si="873"/>
        <v>Farmacia</v>
      </c>
      <c r="BL1715" t="str">
        <f>""</f>
        <v/>
      </c>
      <c r="BM1715" t="str">
        <f>""</f>
        <v/>
      </c>
      <c r="BN1715" t="str">
        <f>""</f>
        <v/>
      </c>
      <c r="BO1715" t="str">
        <f>""</f>
        <v/>
      </c>
      <c r="BP1715" t="str">
        <f>""</f>
        <v/>
      </c>
      <c r="BQ1715" t="str">
        <f>""</f>
        <v/>
      </c>
      <c r="BR1715" t="str">
        <f>"11/07/2023"</f>
        <v>11/07/2023</v>
      </c>
      <c r="BS1715" t="str">
        <f>""</f>
        <v/>
      </c>
      <c r="BT1715" t="str">
        <f>""</f>
        <v/>
      </c>
      <c r="BU1715" t="str">
        <f>""</f>
        <v/>
      </c>
      <c r="BV1715" t="str">
        <f>""</f>
        <v/>
      </c>
      <c r="BW1715" t="str">
        <f>"Não visitado"</f>
        <v>Não visitado</v>
      </c>
    </row>
    <row r="1716" spans="1:75" x14ac:dyDescent="0.35">
      <c r="A1716">
        <v>157092</v>
      </c>
      <c r="B1716" t="str">
        <f t="shared" si="867"/>
        <v>A</v>
      </c>
      <c r="C1716" t="str">
        <f t="shared" si="868"/>
        <v>80</v>
      </c>
      <c r="D1716" t="str">
        <f t="shared" si="894"/>
        <v>11121004</v>
      </c>
      <c r="E1716" t="str">
        <f t="shared" si="895"/>
        <v>121004</v>
      </c>
      <c r="F1716" t="str">
        <f t="shared" si="896"/>
        <v>FABIANA GODOY</v>
      </c>
      <c r="G1716" t="str">
        <f>"46413131000100"</f>
        <v>46413131000100</v>
      </c>
      <c r="H1716" t="str">
        <f t="shared" si="890"/>
        <v>0</v>
      </c>
      <c r="I1716" t="str">
        <f t="shared" si="869"/>
        <v>CONTA OPTICA</v>
      </c>
      <c r="J1716" t="str">
        <f>"SUK DISTRIBUIDORA E CONSTRUTORA LTDA"</f>
        <v>SUK DISTRIBUIDORA E CONSTRUTORA LTDA</v>
      </c>
      <c r="K1716" t="str">
        <f>"OTICA CARIOQUICE ITAJAI (4649)"</f>
        <v>OTICA CARIOQUICE ITAJAI (4649)</v>
      </c>
      <c r="L1716" t="str">
        <f>""</f>
        <v/>
      </c>
      <c r="M1716" t="str">
        <f>""</f>
        <v/>
      </c>
      <c r="N1716" t="str">
        <f>"SUKCONSTRUTORA@GMAIL.COM"</f>
        <v>SUKCONSTRUTORA@GMAIL.COM</v>
      </c>
      <c r="O1716" t="str">
        <f>""</f>
        <v/>
      </c>
      <c r="P1716" t="str">
        <f>"RUA INDAIAL ATE 582 LADO PAR"</f>
        <v>RUA INDAIAL ATE 582 LADO PAR</v>
      </c>
      <c r="Q1716" t="str">
        <f>"238"</f>
        <v>238</v>
      </c>
      <c r="R1716" t="str">
        <f>"SALA 02"</f>
        <v>SALA 02</v>
      </c>
      <c r="S1716" t="str">
        <f>"1261"</f>
        <v>1261</v>
      </c>
      <c r="T1716" t="str">
        <f>"88303300"</f>
        <v>88303300</v>
      </c>
      <c r="U1716" t="str">
        <f>"DOM BOSCO"</f>
        <v>DOM BOSCO</v>
      </c>
      <c r="V1716" t="str">
        <f>"ITAJAI"</f>
        <v>ITAJAI</v>
      </c>
      <c r="W1716" t="str">
        <f t="shared" si="891"/>
        <v>SC</v>
      </c>
      <c r="X1716" t="str">
        <f t="shared" si="897"/>
        <v>47</v>
      </c>
      <c r="Y1716" t="str">
        <f>"999423156"</f>
        <v>999423156</v>
      </c>
      <c r="Z1716" t="str">
        <f>""</f>
        <v/>
      </c>
      <c r="AA1716" t="str">
        <f>""</f>
        <v/>
      </c>
      <c r="AB1716" t="str">
        <f>""</f>
        <v/>
      </c>
      <c r="AC1716" t="str">
        <f>""</f>
        <v/>
      </c>
      <c r="AD1716" t="str">
        <f>""</f>
        <v/>
      </c>
      <c r="AE1716" t="str">
        <f>""</f>
        <v/>
      </c>
      <c r="AF1716" t="str">
        <f>""</f>
        <v/>
      </c>
      <c r="AG1716" t="str">
        <f>""</f>
        <v/>
      </c>
      <c r="AH1716" t="str">
        <f>""</f>
        <v/>
      </c>
      <c r="AI1716" t="str">
        <f>""</f>
        <v/>
      </c>
      <c r="AJ1716" t="str">
        <f>""</f>
        <v/>
      </c>
      <c r="AK1716" t="str">
        <f>""</f>
        <v/>
      </c>
      <c r="AL1716" t="str">
        <f>""</f>
        <v/>
      </c>
      <c r="AM1716" t="str">
        <f>""</f>
        <v/>
      </c>
      <c r="AN1716" t="str">
        <f>""</f>
        <v/>
      </c>
      <c r="AO1716" t="str">
        <f>""</f>
        <v/>
      </c>
      <c r="AP1716" t="str">
        <f>""</f>
        <v/>
      </c>
      <c r="AQ1716" t="str">
        <f>""</f>
        <v/>
      </c>
      <c r="AR1716" t="str">
        <f>""</f>
        <v/>
      </c>
      <c r="AS1716" t="str">
        <f>""</f>
        <v/>
      </c>
      <c r="AT1716" t="str">
        <f>""</f>
        <v/>
      </c>
      <c r="AU1716" t="str">
        <f>""</f>
        <v/>
      </c>
      <c r="AV1716" t="str">
        <f>""</f>
        <v/>
      </c>
      <c r="AW1716" t="str">
        <f>""</f>
        <v/>
      </c>
      <c r="AX1716" t="str">
        <f>""</f>
        <v/>
      </c>
      <c r="AY1716" t="str">
        <f>""</f>
        <v/>
      </c>
      <c r="AZ1716" t="str">
        <f>""</f>
        <v/>
      </c>
      <c r="BA1716" t="str">
        <f>""</f>
        <v/>
      </c>
      <c r="BB1716" t="str">
        <f>"06/07/2023 12:07:48"</f>
        <v>06/07/2023 12:07:48</v>
      </c>
      <c r="BC1716" t="str">
        <f>""</f>
        <v/>
      </c>
      <c r="BD1716" t="str">
        <f>""</f>
        <v/>
      </c>
      <c r="BE1716" t="str">
        <f>""</f>
        <v/>
      </c>
      <c r="BF1716" t="str">
        <f t="shared" si="871"/>
        <v>A</v>
      </c>
      <c r="BG1716" t="str">
        <f>""</f>
        <v/>
      </c>
      <c r="BH1716" t="str">
        <f>""</f>
        <v/>
      </c>
      <c r="BI1716" t="str">
        <f t="shared" si="893"/>
        <v>EVENTUAL</v>
      </c>
      <c r="BJ1716" t="str">
        <f t="shared" si="872"/>
        <v>1</v>
      </c>
      <c r="BK1716" t="str">
        <f t="shared" si="873"/>
        <v>Farmacia</v>
      </c>
      <c r="BL1716" t="str">
        <f>""</f>
        <v/>
      </c>
      <c r="BM1716" t="str">
        <f>""</f>
        <v/>
      </c>
      <c r="BN1716" t="str">
        <f>""</f>
        <v/>
      </c>
      <c r="BO1716" t="str">
        <f>""</f>
        <v/>
      </c>
      <c r="BP1716" t="str">
        <f>""</f>
        <v/>
      </c>
      <c r="BQ1716" t="str">
        <f>""</f>
        <v/>
      </c>
      <c r="BR1716" t="str">
        <f>"06/07/2023"</f>
        <v>06/07/2023</v>
      </c>
      <c r="BS1716" t="str">
        <f>""</f>
        <v/>
      </c>
      <c r="BT1716" t="str">
        <f>""</f>
        <v/>
      </c>
      <c r="BU1716" t="str">
        <f>""</f>
        <v/>
      </c>
      <c r="BV1716" t="str">
        <f>""</f>
        <v/>
      </c>
      <c r="BW1716" t="str">
        <f>"113"</f>
        <v>113</v>
      </c>
    </row>
    <row r="1717" spans="1:75" x14ac:dyDescent="0.35">
      <c r="A1717">
        <v>157780</v>
      </c>
      <c r="B1717" t="str">
        <f t="shared" si="867"/>
        <v>A</v>
      </c>
      <c r="C1717" t="str">
        <f t="shared" si="868"/>
        <v>80</v>
      </c>
      <c r="D1717" t="str">
        <f t="shared" si="894"/>
        <v>11121004</v>
      </c>
      <c r="E1717" t="str">
        <f t="shared" si="895"/>
        <v>121004</v>
      </c>
      <c r="F1717" t="str">
        <f t="shared" si="896"/>
        <v>FABIANA GODOY</v>
      </c>
      <c r="G1717" t="str">
        <f>"35258818000193"</f>
        <v>35258818000193</v>
      </c>
      <c r="H1717" t="str">
        <f t="shared" si="890"/>
        <v>0</v>
      </c>
      <c r="I1717" t="str">
        <f t="shared" si="869"/>
        <v>CONTA OPTICA</v>
      </c>
      <c r="J1717" t="str">
        <f>"TACIA ROGERIA SOUZA DO NASCIMENTO ZANCA 84159472249"</f>
        <v>TACIA ROGERIA SOUZA DO NASCIMENTO ZANCA 84159472249</v>
      </c>
      <c r="K1717" t="str">
        <f>"FASHION GLASSES (4085)"</f>
        <v>FASHION GLASSES (4085)</v>
      </c>
      <c r="L1717" t="str">
        <f>""</f>
        <v/>
      </c>
      <c r="M1717" t="str">
        <f>""</f>
        <v/>
      </c>
      <c r="N1717" t="str">
        <f>"BIOLOGATACIA@HOTMAIL.COM"</f>
        <v>BIOLOGATACIA@HOTMAIL.COM</v>
      </c>
      <c r="O1717" t="str">
        <f>""</f>
        <v/>
      </c>
      <c r="P1717" t="str">
        <f>"RUA 1500"</f>
        <v>RUA 1500</v>
      </c>
      <c r="Q1717" t="str">
        <f>"263"</f>
        <v>263</v>
      </c>
      <c r="R1717" t="str">
        <f>""</f>
        <v/>
      </c>
      <c r="S1717" t="str">
        <f>"1262"</f>
        <v>1262</v>
      </c>
      <c r="T1717" t="str">
        <f>"88330524"</f>
        <v>88330524</v>
      </c>
      <c r="U1717" t="str">
        <f>"CENTRO"</f>
        <v>CENTRO</v>
      </c>
      <c r="V1717" t="str">
        <f>"BALNEARIO CAMBORIU"</f>
        <v>BALNEARIO CAMBORIU</v>
      </c>
      <c r="W1717" t="str">
        <f t="shared" si="891"/>
        <v>SC</v>
      </c>
      <c r="X1717" t="str">
        <f t="shared" si="897"/>
        <v>47</v>
      </c>
      <c r="Y1717" t="str">
        <f>"33110084"</f>
        <v>33110084</v>
      </c>
      <c r="Z1717" t="str">
        <f>""</f>
        <v/>
      </c>
      <c r="AA1717" t="str">
        <f>""</f>
        <v/>
      </c>
      <c r="AB1717" t="str">
        <f>""</f>
        <v/>
      </c>
      <c r="AC1717" t="str">
        <f>""</f>
        <v/>
      </c>
      <c r="AD1717" t="str">
        <f>""</f>
        <v/>
      </c>
      <c r="AE1717" t="str">
        <f>""</f>
        <v/>
      </c>
      <c r="AF1717" t="str">
        <f>""</f>
        <v/>
      </c>
      <c r="AG1717" t="str">
        <f>""</f>
        <v/>
      </c>
      <c r="AH1717" t="str">
        <f>""</f>
        <v/>
      </c>
      <c r="AI1717" t="str">
        <f>""</f>
        <v/>
      </c>
      <c r="AJ1717" t="str">
        <f>""</f>
        <v/>
      </c>
      <c r="AK1717" t="str">
        <f>""</f>
        <v/>
      </c>
      <c r="AL1717" t="str">
        <f>""</f>
        <v/>
      </c>
      <c r="AM1717" t="str">
        <f>""</f>
        <v/>
      </c>
      <c r="AN1717" t="str">
        <f>""</f>
        <v/>
      </c>
      <c r="AO1717" t="str">
        <f>""</f>
        <v/>
      </c>
      <c r="AP1717" t="str">
        <f>""</f>
        <v/>
      </c>
      <c r="AQ1717" t="str">
        <f>""</f>
        <v/>
      </c>
      <c r="AR1717" t="str">
        <f>""</f>
        <v/>
      </c>
      <c r="AS1717" t="str">
        <f>""</f>
        <v/>
      </c>
      <c r="AT1717" t="str">
        <f>""</f>
        <v/>
      </c>
      <c r="AU1717" t="str">
        <f>""</f>
        <v/>
      </c>
      <c r="AV1717" t="str">
        <f>""</f>
        <v/>
      </c>
      <c r="AW1717" t="str">
        <f>""</f>
        <v/>
      </c>
      <c r="AX1717" t="str">
        <f>""</f>
        <v/>
      </c>
      <c r="AY1717" t="str">
        <f>""</f>
        <v/>
      </c>
      <c r="AZ1717" t="str">
        <f>""</f>
        <v/>
      </c>
      <c r="BA1717" t="str">
        <f>""</f>
        <v/>
      </c>
      <c r="BB1717" t="str">
        <f>"11/07/2023 02:26:32"</f>
        <v>11/07/2023 02:26:32</v>
      </c>
      <c r="BC1717" t="str">
        <f>""</f>
        <v/>
      </c>
      <c r="BD1717" t="str">
        <f>""</f>
        <v/>
      </c>
      <c r="BE1717" t="str">
        <f>""</f>
        <v/>
      </c>
      <c r="BF1717" t="str">
        <f t="shared" si="871"/>
        <v>A</v>
      </c>
      <c r="BG1717" t="str">
        <f>""</f>
        <v/>
      </c>
      <c r="BH1717" t="str">
        <f>""</f>
        <v/>
      </c>
      <c r="BI1717" t="str">
        <f t="shared" si="893"/>
        <v>EVENTUAL</v>
      </c>
      <c r="BJ1717" t="str">
        <f t="shared" si="872"/>
        <v>1</v>
      </c>
      <c r="BK1717" t="str">
        <f t="shared" si="873"/>
        <v>Farmacia</v>
      </c>
      <c r="BL1717" t="str">
        <f>""</f>
        <v/>
      </c>
      <c r="BM1717" t="str">
        <f>""</f>
        <v/>
      </c>
      <c r="BN1717" t="str">
        <f>""</f>
        <v/>
      </c>
      <c r="BO1717" t="str">
        <f>""</f>
        <v/>
      </c>
      <c r="BP1717" t="str">
        <f>""</f>
        <v/>
      </c>
      <c r="BQ1717" t="str">
        <f>""</f>
        <v/>
      </c>
      <c r="BR1717" t="str">
        <f>"11/07/2023"</f>
        <v>11/07/2023</v>
      </c>
      <c r="BS1717" t="str">
        <f>""</f>
        <v/>
      </c>
      <c r="BT1717" t="str">
        <f>""</f>
        <v/>
      </c>
      <c r="BU1717" t="str">
        <f>""</f>
        <v/>
      </c>
      <c r="BV1717" t="str">
        <f>""</f>
        <v/>
      </c>
      <c r="BW1717" t="str">
        <f>"Não visitado"</f>
        <v>Não visitado</v>
      </c>
    </row>
    <row r="1718" spans="1:75" x14ac:dyDescent="0.35">
      <c r="A1718">
        <v>137928</v>
      </c>
      <c r="B1718" t="str">
        <f t="shared" si="867"/>
        <v>A</v>
      </c>
      <c r="C1718" t="str">
        <f t="shared" si="868"/>
        <v>80</v>
      </c>
      <c r="D1718" t="str">
        <f t="shared" si="894"/>
        <v>11121004</v>
      </c>
      <c r="E1718" t="str">
        <f t="shared" si="895"/>
        <v>121004</v>
      </c>
      <c r="F1718" t="str">
        <f t="shared" si="896"/>
        <v>FABIANA GODOY</v>
      </c>
      <c r="G1718" t="str">
        <f>"36721994000182"</f>
        <v>36721994000182</v>
      </c>
      <c r="H1718" t="str">
        <f t="shared" si="890"/>
        <v>0</v>
      </c>
      <c r="I1718" t="str">
        <f t="shared" si="869"/>
        <v>CONTA OPTICA</v>
      </c>
      <c r="J1718" t="str">
        <f>"TALITA DE AZEVEDO OLIVEIRA 01872675107"</f>
        <v>TALITA DE AZEVEDO OLIVEIRA 01872675107</v>
      </c>
      <c r="K1718" t="str">
        <f>"OTICAS SOLUTION (4124)"</f>
        <v>OTICAS SOLUTION (4124)</v>
      </c>
      <c r="L1718" t="str">
        <f>""</f>
        <v/>
      </c>
      <c r="M1718" t="str">
        <f>""</f>
        <v/>
      </c>
      <c r="N1718" t="str">
        <f>"oticassolution@gmail.com"</f>
        <v>oticassolution@gmail.com</v>
      </c>
      <c r="O1718" t="str">
        <f>""</f>
        <v/>
      </c>
      <c r="P1718" t="str">
        <f>"RUA GUSTAVO RICHARD"</f>
        <v>RUA GUSTAVO RICHARD</v>
      </c>
      <c r="Q1718" t="str">
        <f>"133"</f>
        <v>133</v>
      </c>
      <c r="R1718" t="str">
        <f>""</f>
        <v/>
      </c>
      <c r="S1718" t="str">
        <f>"1262"</f>
        <v>1262</v>
      </c>
      <c r="T1718" t="str">
        <f>"88340281"</f>
        <v>88340281</v>
      </c>
      <c r="U1718" t="str">
        <f>"CENTRO"</f>
        <v>CENTRO</v>
      </c>
      <c r="V1718" t="str">
        <f>"CAMBORIÚ"</f>
        <v>CAMBORIÚ</v>
      </c>
      <c r="W1718" t="str">
        <f t="shared" si="891"/>
        <v>SC</v>
      </c>
      <c r="X1718" t="str">
        <f t="shared" si="897"/>
        <v>47</v>
      </c>
      <c r="Y1718" t="str">
        <f>"988294509"</f>
        <v>988294509</v>
      </c>
      <c r="Z1718" t="str">
        <f>""</f>
        <v/>
      </c>
      <c r="AA1718" t="str">
        <f>""</f>
        <v/>
      </c>
      <c r="AB1718" t="str">
        <f>""</f>
        <v/>
      </c>
      <c r="AC1718" t="str">
        <f>""</f>
        <v/>
      </c>
      <c r="AD1718" t="str">
        <f>""</f>
        <v/>
      </c>
      <c r="AE1718" t="str">
        <f>""</f>
        <v/>
      </c>
      <c r="AF1718" t="str">
        <f>""</f>
        <v/>
      </c>
      <c r="AG1718" t="str">
        <f>"S"</f>
        <v>S</v>
      </c>
      <c r="AH1718" t="str">
        <f>""</f>
        <v/>
      </c>
      <c r="AI1718" t="str">
        <f>""</f>
        <v/>
      </c>
      <c r="AJ1718" t="str">
        <f>""</f>
        <v/>
      </c>
      <c r="AK1718" t="str">
        <f>""</f>
        <v/>
      </c>
      <c r="AL1718" t="str">
        <f>""</f>
        <v/>
      </c>
      <c r="AM1718" t="str">
        <f>""</f>
        <v/>
      </c>
      <c r="AN1718" t="str">
        <f>""</f>
        <v/>
      </c>
      <c r="AO1718" t="str">
        <f>""</f>
        <v/>
      </c>
      <c r="AP1718" t="str">
        <f>""</f>
        <v/>
      </c>
      <c r="AQ1718" t="str">
        <f>"N"</f>
        <v>N</v>
      </c>
      <c r="AR1718" t="str">
        <f>"N"</f>
        <v>N</v>
      </c>
      <c r="AS1718" t="str">
        <f>"N"</f>
        <v>N</v>
      </c>
      <c r="AT1718" t="str">
        <f>"N"</f>
        <v>N</v>
      </c>
      <c r="AU1718" t="str">
        <f>"N"</f>
        <v>N</v>
      </c>
      <c r="AV1718" t="str">
        <f>""</f>
        <v/>
      </c>
      <c r="AW1718" t="str">
        <f>""</f>
        <v/>
      </c>
      <c r="AX1718" t="str">
        <f>""</f>
        <v/>
      </c>
      <c r="AY1718" t="str">
        <f>""</f>
        <v/>
      </c>
      <c r="AZ1718" t="str">
        <f>""</f>
        <v/>
      </c>
      <c r="BA1718" t="str">
        <f>""</f>
        <v/>
      </c>
      <c r="BB1718" t="str">
        <f>"01/07/2021 13:53:04"</f>
        <v>01/07/2021 13:53:04</v>
      </c>
      <c r="BC1718" t="str">
        <f>"01/11/2022 08:42:19"</f>
        <v>01/11/2022 08:42:19</v>
      </c>
      <c r="BD1718" t="str">
        <f>""</f>
        <v/>
      </c>
      <c r="BE1718" t="str">
        <f>""</f>
        <v/>
      </c>
      <c r="BF1718" t="str">
        <f t="shared" si="871"/>
        <v>A</v>
      </c>
      <c r="BG1718" t="str">
        <f>""</f>
        <v/>
      </c>
      <c r="BH1718" t="str">
        <f>"0,00"</f>
        <v>0,00</v>
      </c>
      <c r="BI1718" t="str">
        <f t="shared" si="893"/>
        <v>EVENTUAL</v>
      </c>
      <c r="BJ1718" t="str">
        <f t="shared" si="872"/>
        <v>1</v>
      </c>
      <c r="BK1718" t="str">
        <f t="shared" si="873"/>
        <v>Farmacia</v>
      </c>
      <c r="BL1718" t="str">
        <f>""</f>
        <v/>
      </c>
      <c r="BM1718" t="str">
        <f>"NÃO É VARILUX ESPECIALISTA"</f>
        <v>NÃO É VARILUX ESPECIALISTA</v>
      </c>
      <c r="BN1718" t="str">
        <f>"NA"</f>
        <v>NA</v>
      </c>
      <c r="BO1718" t="str">
        <f>"FOCO VARILUX"</f>
        <v>FOCO VARILUX</v>
      </c>
      <c r="BP1718" t="str">
        <f>""</f>
        <v/>
      </c>
      <c r="BQ1718" t="str">
        <f>""</f>
        <v/>
      </c>
      <c r="BR1718" t="str">
        <f>"01/07/2021"</f>
        <v>01/07/2021</v>
      </c>
      <c r="BS1718" t="str">
        <f>"01/11/2022"</f>
        <v>01/11/2022</v>
      </c>
      <c r="BT1718" t="str">
        <f>""</f>
        <v/>
      </c>
      <c r="BU1718" t="str">
        <f>""</f>
        <v/>
      </c>
      <c r="BV1718" t="str">
        <f>""</f>
        <v/>
      </c>
      <c r="BW1718" t="str">
        <f>"666"</f>
        <v>666</v>
      </c>
    </row>
    <row r="1719" spans="1:75" x14ac:dyDescent="0.35">
      <c r="A1719">
        <v>137929</v>
      </c>
      <c r="B1719" t="str">
        <f t="shared" si="867"/>
        <v>A</v>
      </c>
      <c r="C1719" t="str">
        <f t="shared" si="868"/>
        <v>80</v>
      </c>
      <c r="D1719" t="str">
        <f t="shared" si="894"/>
        <v>11121004</v>
      </c>
      <c r="E1719" t="str">
        <f t="shared" si="895"/>
        <v>121004</v>
      </c>
      <c r="F1719" t="str">
        <f t="shared" si="896"/>
        <v>FABIANA GODOY</v>
      </c>
      <c r="G1719" t="str">
        <f>"33587880000101"</f>
        <v>33587880000101</v>
      </c>
      <c r="H1719" t="str">
        <f t="shared" si="890"/>
        <v>0</v>
      </c>
      <c r="I1719" t="str">
        <f t="shared" si="869"/>
        <v>CONTA OPTICA</v>
      </c>
      <c r="J1719" t="str">
        <f>"TARCILA DA SILVA GOMES"</f>
        <v>TARCILA DA SILVA GOMES</v>
      </c>
      <c r="K1719" t="str">
        <f>"OTICA E RELOJOARIA AMETISTA (4011)"</f>
        <v>OTICA E RELOJOARIA AMETISTA (4011)</v>
      </c>
      <c r="L1719" t="str">
        <f>""</f>
        <v/>
      </c>
      <c r="M1719" t="str">
        <f>""</f>
        <v/>
      </c>
      <c r="N1719" t="str">
        <f>"ametistaotica@gmail.com"</f>
        <v>ametistaotica@gmail.com</v>
      </c>
      <c r="O1719" t="str">
        <f>""</f>
        <v/>
      </c>
      <c r="P1719" t="str">
        <f>"RUA DOIS DE SETEMBRO"</f>
        <v>RUA DOIS DE SETEMBRO</v>
      </c>
      <c r="Q1719" t="str">
        <f>"1365"</f>
        <v>1365</v>
      </c>
      <c r="R1719" t="str">
        <f>"SALA 139"</f>
        <v>SALA 139</v>
      </c>
      <c r="S1719" t="str">
        <f>""</f>
        <v/>
      </c>
      <c r="T1719" t="str">
        <f>"89052003"</f>
        <v>89052003</v>
      </c>
      <c r="U1719" t="str">
        <f>"ITOUPAVA NORTE"</f>
        <v>ITOUPAVA NORTE</v>
      </c>
      <c r="V1719" t="str">
        <f>"BLUMENAU"</f>
        <v>BLUMENAU</v>
      </c>
      <c r="W1719" t="str">
        <f t="shared" si="891"/>
        <v>SC</v>
      </c>
      <c r="X1719" t="str">
        <f t="shared" si="897"/>
        <v>47</v>
      </c>
      <c r="Y1719" t="str">
        <f>"33214606"</f>
        <v>33214606</v>
      </c>
      <c r="Z1719" t="str">
        <f>""</f>
        <v/>
      </c>
      <c r="AA1719" t="str">
        <f>""</f>
        <v/>
      </c>
      <c r="AB1719" t="str">
        <f>""</f>
        <v/>
      </c>
      <c r="AC1719" t="str">
        <f>""</f>
        <v/>
      </c>
      <c r="AD1719" t="str">
        <f>""</f>
        <v/>
      </c>
      <c r="AE1719" t="str">
        <f>""</f>
        <v/>
      </c>
      <c r="AF1719" t="str">
        <f>""</f>
        <v/>
      </c>
      <c r="AG1719" t="str">
        <f>""</f>
        <v/>
      </c>
      <c r="AH1719" t="str">
        <f>""</f>
        <v/>
      </c>
      <c r="AI1719" t="str">
        <f>""</f>
        <v/>
      </c>
      <c r="AJ1719" t="str">
        <f>""</f>
        <v/>
      </c>
      <c r="AK1719" t="str">
        <f>""</f>
        <v/>
      </c>
      <c r="AL1719" t="str">
        <f>""</f>
        <v/>
      </c>
      <c r="AM1719" t="str">
        <f>""</f>
        <v/>
      </c>
      <c r="AN1719" t="str">
        <f>""</f>
        <v/>
      </c>
      <c r="AO1719" t="str">
        <f>""</f>
        <v/>
      </c>
      <c r="AP1719" t="str">
        <f>""</f>
        <v/>
      </c>
      <c r="AQ1719" t="str">
        <f>""</f>
        <v/>
      </c>
      <c r="AR1719" t="str">
        <f>""</f>
        <v/>
      </c>
      <c r="AS1719" t="str">
        <f>""</f>
        <v/>
      </c>
      <c r="AT1719" t="str">
        <f>""</f>
        <v/>
      </c>
      <c r="AU1719" t="str">
        <f>""</f>
        <v/>
      </c>
      <c r="AV1719" t="str">
        <f>""</f>
        <v/>
      </c>
      <c r="AW1719" t="str">
        <f>""</f>
        <v/>
      </c>
      <c r="AX1719" t="str">
        <f>""</f>
        <v/>
      </c>
      <c r="AY1719" t="str">
        <f>""</f>
        <v/>
      </c>
      <c r="AZ1719" t="str">
        <f>""</f>
        <v/>
      </c>
      <c r="BA1719" t="str">
        <f>""</f>
        <v/>
      </c>
      <c r="BB1719" t="str">
        <f>"01/07/2021 13:53:04"</f>
        <v>01/07/2021 13:53:04</v>
      </c>
      <c r="BC1719" t="str">
        <f>""</f>
        <v/>
      </c>
      <c r="BD1719" t="str">
        <f>""</f>
        <v/>
      </c>
      <c r="BE1719" t="str">
        <f>""</f>
        <v/>
      </c>
      <c r="BF1719" t="str">
        <f t="shared" si="871"/>
        <v>A</v>
      </c>
      <c r="BG1719" t="str">
        <f>""</f>
        <v/>
      </c>
      <c r="BH1719" t="str">
        <f>""</f>
        <v/>
      </c>
      <c r="BI1719" t="str">
        <f t="shared" si="893"/>
        <v>EVENTUAL</v>
      </c>
      <c r="BJ1719" t="str">
        <f t="shared" si="872"/>
        <v>1</v>
      </c>
      <c r="BK1719" t="str">
        <f t="shared" si="873"/>
        <v>Farmacia</v>
      </c>
      <c r="BL1719" t="str">
        <f>""</f>
        <v/>
      </c>
      <c r="BM1719" t="str">
        <f>"NÃO É VARILUX ESPECIALISTA"</f>
        <v>NÃO É VARILUX ESPECIALISTA</v>
      </c>
      <c r="BN1719" t="str">
        <f>"NA"</f>
        <v>NA</v>
      </c>
      <c r="BO1719" t="str">
        <f>""</f>
        <v/>
      </c>
      <c r="BP1719" t="str">
        <f>""</f>
        <v/>
      </c>
      <c r="BQ1719" t="str">
        <f>""</f>
        <v/>
      </c>
      <c r="BR1719" t="str">
        <f>"01/07/2021"</f>
        <v>01/07/2021</v>
      </c>
      <c r="BS1719" t="str">
        <f>""</f>
        <v/>
      </c>
      <c r="BT1719" t="str">
        <f>""</f>
        <v/>
      </c>
      <c r="BU1719" t="str">
        <f>""</f>
        <v/>
      </c>
      <c r="BV1719" t="str">
        <f>""</f>
        <v/>
      </c>
      <c r="BW1719" t="str">
        <f>"Não visitado"</f>
        <v>Não visitado</v>
      </c>
    </row>
    <row r="1720" spans="1:75" x14ac:dyDescent="0.35">
      <c r="A1720">
        <v>137930</v>
      </c>
      <c r="B1720" t="str">
        <f t="shared" si="867"/>
        <v>A</v>
      </c>
      <c r="C1720" t="str">
        <f t="shared" si="868"/>
        <v>80</v>
      </c>
      <c r="D1720" t="str">
        <f t="shared" si="894"/>
        <v>11121004</v>
      </c>
      <c r="E1720" t="str">
        <f t="shared" si="895"/>
        <v>121004</v>
      </c>
      <c r="F1720" t="str">
        <f t="shared" si="896"/>
        <v>FABIANA GODOY</v>
      </c>
      <c r="G1720" t="str">
        <f>"33587880000284"</f>
        <v>33587880000284</v>
      </c>
      <c r="H1720" t="str">
        <f t="shared" si="890"/>
        <v>0</v>
      </c>
      <c r="I1720" t="str">
        <f t="shared" si="869"/>
        <v>CONTA OPTICA</v>
      </c>
      <c r="J1720" t="str">
        <f>"TARSILA DA SILVA GOMES"</f>
        <v>TARSILA DA SILVA GOMES</v>
      </c>
      <c r="K1720" t="str">
        <f>"OTICA E RELOJOARIA AMETISTA (4174)"</f>
        <v>OTICA E RELOJOARIA AMETISTA (4174)</v>
      </c>
      <c r="L1720" t="str">
        <f>""</f>
        <v/>
      </c>
      <c r="M1720" t="str">
        <f>""</f>
        <v/>
      </c>
      <c r="N1720" t="str">
        <f>"ametistaotica@gmail.com"</f>
        <v>ametistaotica@gmail.com</v>
      </c>
      <c r="O1720" t="str">
        <f>""</f>
        <v/>
      </c>
      <c r="P1720" t="str">
        <f>"RUA QUINZE DE NOVEMBRO"</f>
        <v>RUA QUINZE DE NOVEMBRO</v>
      </c>
      <c r="Q1720" t="str">
        <f>"1316"</f>
        <v>1316</v>
      </c>
      <c r="R1720" t="str">
        <f>""</f>
        <v/>
      </c>
      <c r="S1720" t="str">
        <f>"1271"</f>
        <v>1271</v>
      </c>
      <c r="T1720" t="str">
        <f>"89010002"</f>
        <v>89010002</v>
      </c>
      <c r="U1720" t="str">
        <f>"CENTRO"</f>
        <v>CENTRO</v>
      </c>
      <c r="V1720" t="str">
        <f>"BLUMENAU"</f>
        <v>BLUMENAU</v>
      </c>
      <c r="W1720" t="str">
        <f t="shared" si="891"/>
        <v>SC</v>
      </c>
      <c r="X1720" t="str">
        <f t="shared" si="897"/>
        <v>47</v>
      </c>
      <c r="Y1720" t="str">
        <f>"996953710"</f>
        <v>996953710</v>
      </c>
      <c r="Z1720" t="str">
        <f>""</f>
        <v/>
      </c>
      <c r="AA1720" t="str">
        <f>""</f>
        <v/>
      </c>
      <c r="AB1720" t="str">
        <f>""</f>
        <v/>
      </c>
      <c r="AC1720" t="str">
        <f>""</f>
        <v/>
      </c>
      <c r="AD1720" t="str">
        <f>""</f>
        <v/>
      </c>
      <c r="AE1720" t="str">
        <f>""</f>
        <v/>
      </c>
      <c r="AF1720" t="str">
        <f>""</f>
        <v/>
      </c>
      <c r="AG1720" t="str">
        <f>"S"</f>
        <v>S</v>
      </c>
      <c r="AH1720" t="str">
        <f>""</f>
        <v/>
      </c>
      <c r="AI1720" t="str">
        <f>""</f>
        <v/>
      </c>
      <c r="AJ1720" t="str">
        <f>""</f>
        <v/>
      </c>
      <c r="AK1720" t="str">
        <f>""</f>
        <v/>
      </c>
      <c r="AL1720" t="str">
        <f>""</f>
        <v/>
      </c>
      <c r="AM1720" t="str">
        <f>""</f>
        <v/>
      </c>
      <c r="AN1720" t="str">
        <f>""</f>
        <v/>
      </c>
      <c r="AO1720" t="str">
        <f>""</f>
        <v/>
      </c>
      <c r="AP1720" t="str">
        <f>""</f>
        <v/>
      </c>
      <c r="AQ1720" t="str">
        <f t="shared" ref="AQ1720:AU1721" si="898">"N"</f>
        <v>N</v>
      </c>
      <c r="AR1720" t="str">
        <f t="shared" si="898"/>
        <v>N</v>
      </c>
      <c r="AS1720" t="str">
        <f t="shared" si="898"/>
        <v>N</v>
      </c>
      <c r="AT1720" t="str">
        <f t="shared" si="898"/>
        <v>N</v>
      </c>
      <c r="AU1720" t="str">
        <f t="shared" si="898"/>
        <v>N</v>
      </c>
      <c r="AV1720" t="str">
        <f>""</f>
        <v/>
      </c>
      <c r="AW1720" t="str">
        <f>""</f>
        <v/>
      </c>
      <c r="AX1720" t="str">
        <f>""</f>
        <v/>
      </c>
      <c r="AY1720" t="str">
        <f>""</f>
        <v/>
      </c>
      <c r="AZ1720" t="str">
        <f>""</f>
        <v/>
      </c>
      <c r="BA1720" t="str">
        <f>""</f>
        <v/>
      </c>
      <c r="BB1720" t="str">
        <f>"01/07/2021 13:53:04"</f>
        <v>01/07/2021 13:53:04</v>
      </c>
      <c r="BC1720" t="str">
        <f>"15/09/2021 14:43:53"</f>
        <v>15/09/2021 14:43:53</v>
      </c>
      <c r="BD1720" t="str">
        <f>""</f>
        <v/>
      </c>
      <c r="BE1720" t="str">
        <f>""</f>
        <v/>
      </c>
      <c r="BF1720" t="str">
        <f t="shared" si="871"/>
        <v>A</v>
      </c>
      <c r="BG1720" t="str">
        <f>""</f>
        <v/>
      </c>
      <c r="BH1720" t="str">
        <f>"0,00"</f>
        <v>0,00</v>
      </c>
      <c r="BI1720" t="str">
        <f t="shared" si="893"/>
        <v>EVENTUAL</v>
      </c>
      <c r="BJ1720" t="str">
        <f t="shared" si="872"/>
        <v>1</v>
      </c>
      <c r="BK1720" t="str">
        <f t="shared" si="873"/>
        <v>Farmacia</v>
      </c>
      <c r="BL1720" t="str">
        <f>""</f>
        <v/>
      </c>
      <c r="BM1720" t="str">
        <f>"NÃO É VARILUX ESPECIALISTA"</f>
        <v>NÃO É VARILUX ESPECIALISTA</v>
      </c>
      <c r="BN1720" t="str">
        <f>"NA"</f>
        <v>NA</v>
      </c>
      <c r="BO1720" t="str">
        <f>"FOCO VARILUX DIGITAL"</f>
        <v>FOCO VARILUX DIGITAL</v>
      </c>
      <c r="BP1720" t="str">
        <f>""</f>
        <v/>
      </c>
      <c r="BQ1720" t="str">
        <f>""</f>
        <v/>
      </c>
      <c r="BR1720" t="str">
        <f>"01/07/2021"</f>
        <v>01/07/2021</v>
      </c>
      <c r="BS1720" t="str">
        <f>"15/09/2021"</f>
        <v>15/09/2021</v>
      </c>
      <c r="BT1720" t="str">
        <f>""</f>
        <v/>
      </c>
      <c r="BU1720" t="str">
        <f>""</f>
        <v/>
      </c>
      <c r="BV1720" t="str">
        <f>""</f>
        <v/>
      </c>
      <c r="BW1720" t="str">
        <f>"800"</f>
        <v>800</v>
      </c>
    </row>
    <row r="1721" spans="1:75" x14ac:dyDescent="0.35">
      <c r="A1721">
        <v>137931</v>
      </c>
      <c r="B1721" t="str">
        <f t="shared" si="867"/>
        <v>A</v>
      </c>
      <c r="C1721" t="str">
        <f t="shared" si="868"/>
        <v>80</v>
      </c>
      <c r="D1721" t="str">
        <f t="shared" si="894"/>
        <v>11121004</v>
      </c>
      <c r="E1721" t="str">
        <f t="shared" si="895"/>
        <v>121004</v>
      </c>
      <c r="F1721" t="str">
        <f t="shared" si="896"/>
        <v>FABIANA GODOY</v>
      </c>
      <c r="G1721" t="str">
        <f>"36275166000168"</f>
        <v>36275166000168</v>
      </c>
      <c r="H1721" t="str">
        <f t="shared" si="890"/>
        <v>0</v>
      </c>
      <c r="I1721" t="str">
        <f t="shared" si="869"/>
        <v>CONTA OPTICA</v>
      </c>
      <c r="J1721" t="str">
        <f>"TAYLA OPTICA E RELOJOARIA LTDA"</f>
        <v>TAYLA OPTICA E RELOJOARIA LTDA</v>
      </c>
      <c r="K1721" t="str">
        <f>"OTICA ESSENZIALE (4118)"</f>
        <v>OTICA ESSENZIALE (4118)</v>
      </c>
      <c r="L1721" t="str">
        <f>""</f>
        <v/>
      </c>
      <c r="M1721" t="str">
        <f>""</f>
        <v/>
      </c>
      <c r="N1721" t="str">
        <f>"oticaessenziale@gmail.com"</f>
        <v>oticaessenziale@gmail.com</v>
      </c>
      <c r="O1721" t="str">
        <f>""</f>
        <v/>
      </c>
      <c r="P1721" t="str">
        <f>"RUA WILLY SCHROEDER"</f>
        <v>RUA WILLY SCHROEDER</v>
      </c>
      <c r="Q1721" t="str">
        <f>"135"</f>
        <v>135</v>
      </c>
      <c r="R1721" t="str">
        <f>""</f>
        <v/>
      </c>
      <c r="S1721" t="str">
        <f>"1276"</f>
        <v>1276</v>
      </c>
      <c r="T1721" t="str">
        <f>"89182000"</f>
        <v>89182000</v>
      </c>
      <c r="U1721" t="str">
        <f>"CENTRO"</f>
        <v>CENTRO</v>
      </c>
      <c r="V1721" t="str">
        <f>"LONTRAS"</f>
        <v>LONTRAS</v>
      </c>
      <c r="W1721" t="str">
        <f t="shared" si="891"/>
        <v>SC</v>
      </c>
      <c r="X1721" t="str">
        <f t="shared" si="897"/>
        <v>47</v>
      </c>
      <c r="Y1721" t="str">
        <f>"33003099"</f>
        <v>33003099</v>
      </c>
      <c r="Z1721" t="str">
        <f>""</f>
        <v/>
      </c>
      <c r="AA1721" t="str">
        <f>""</f>
        <v/>
      </c>
      <c r="AB1721" t="str">
        <f>""</f>
        <v/>
      </c>
      <c r="AC1721" t="str">
        <f>""</f>
        <v/>
      </c>
      <c r="AD1721" t="str">
        <f>""</f>
        <v/>
      </c>
      <c r="AE1721" t="str">
        <f>""</f>
        <v/>
      </c>
      <c r="AF1721" t="str">
        <f>""</f>
        <v/>
      </c>
      <c r="AG1721" t="str">
        <f>"S"</f>
        <v>S</v>
      </c>
      <c r="AH1721" t="str">
        <f>""</f>
        <v/>
      </c>
      <c r="AI1721" t="str">
        <f>""</f>
        <v/>
      </c>
      <c r="AJ1721" t="str">
        <f>""</f>
        <v/>
      </c>
      <c r="AK1721" t="str">
        <f>""</f>
        <v/>
      </c>
      <c r="AL1721" t="str">
        <f>""</f>
        <v/>
      </c>
      <c r="AM1721" t="str">
        <f>""</f>
        <v/>
      </c>
      <c r="AN1721" t="str">
        <f>""</f>
        <v/>
      </c>
      <c r="AO1721" t="str">
        <f>""</f>
        <v/>
      </c>
      <c r="AP1721" t="str">
        <f>""</f>
        <v/>
      </c>
      <c r="AQ1721" t="str">
        <f t="shared" si="898"/>
        <v>N</v>
      </c>
      <c r="AR1721" t="str">
        <f t="shared" si="898"/>
        <v>N</v>
      </c>
      <c r="AS1721" t="str">
        <f t="shared" si="898"/>
        <v>N</v>
      </c>
      <c r="AT1721" t="str">
        <f t="shared" si="898"/>
        <v>N</v>
      </c>
      <c r="AU1721" t="str">
        <f t="shared" si="898"/>
        <v>N</v>
      </c>
      <c r="AV1721" t="str">
        <f>""</f>
        <v/>
      </c>
      <c r="AW1721" t="str">
        <f>""</f>
        <v/>
      </c>
      <c r="AX1721" t="str">
        <f>""</f>
        <v/>
      </c>
      <c r="AY1721" t="str">
        <f>""</f>
        <v/>
      </c>
      <c r="AZ1721" t="str">
        <f>""</f>
        <v/>
      </c>
      <c r="BA1721" t="str">
        <f>""</f>
        <v/>
      </c>
      <c r="BB1721" t="str">
        <f>"01/07/2021 13:53:04"</f>
        <v>01/07/2021 13:53:04</v>
      </c>
      <c r="BC1721" t="str">
        <f>"19/07/2022 17:19:18"</f>
        <v>19/07/2022 17:19:18</v>
      </c>
      <c r="BD1721" t="str">
        <f>""</f>
        <v/>
      </c>
      <c r="BE1721" t="str">
        <f>""</f>
        <v/>
      </c>
      <c r="BF1721" t="str">
        <f t="shared" si="871"/>
        <v>A</v>
      </c>
      <c r="BG1721" t="str">
        <f>""</f>
        <v/>
      </c>
      <c r="BH1721" t="str">
        <f>"0,00"</f>
        <v>0,00</v>
      </c>
      <c r="BI1721" t="str">
        <f t="shared" si="893"/>
        <v>EVENTUAL</v>
      </c>
      <c r="BJ1721" t="str">
        <f t="shared" si="872"/>
        <v>1</v>
      </c>
      <c r="BK1721" t="str">
        <f t="shared" si="873"/>
        <v>Farmacia</v>
      </c>
      <c r="BL1721" t="str">
        <f>""</f>
        <v/>
      </c>
      <c r="BM1721" t="str">
        <f>"NÃO É VARILUX ESPECIALISTA"</f>
        <v>NÃO É VARILUX ESPECIALISTA</v>
      </c>
      <c r="BN1721" t="str">
        <f>"NA"</f>
        <v>NA</v>
      </c>
      <c r="BO1721" t="str">
        <f>"OUTROS"</f>
        <v>OUTROS</v>
      </c>
      <c r="BP1721" t="str">
        <f>""</f>
        <v/>
      </c>
      <c r="BQ1721" t="str">
        <f>""</f>
        <v/>
      </c>
      <c r="BR1721" t="str">
        <f>"01/07/2021"</f>
        <v>01/07/2021</v>
      </c>
      <c r="BS1721" t="str">
        <f>"19/07/2022"</f>
        <v>19/07/2022</v>
      </c>
      <c r="BT1721" t="str">
        <f>""</f>
        <v/>
      </c>
      <c r="BU1721" t="str">
        <f>""</f>
        <v/>
      </c>
      <c r="BV1721" t="str">
        <f>""</f>
        <v/>
      </c>
      <c r="BW1721" t="str">
        <f>"665"</f>
        <v>665</v>
      </c>
    </row>
    <row r="1722" spans="1:75" x14ac:dyDescent="0.35">
      <c r="A1722">
        <v>159591</v>
      </c>
      <c r="B1722" t="str">
        <f t="shared" si="867"/>
        <v>A</v>
      </c>
      <c r="C1722" t="str">
        <f t="shared" si="868"/>
        <v>80</v>
      </c>
      <c r="D1722" t="str">
        <f t="shared" si="894"/>
        <v>11121004</v>
      </c>
      <c r="E1722" t="str">
        <f t="shared" si="895"/>
        <v>121004</v>
      </c>
      <c r="F1722" t="str">
        <f t="shared" si="896"/>
        <v>FABIANA GODOY</v>
      </c>
      <c r="G1722" t="str">
        <f>"46626631000111"</f>
        <v>46626631000111</v>
      </c>
      <c r="H1722" t="str">
        <f>""</f>
        <v/>
      </c>
      <c r="I1722" t="str">
        <f t="shared" si="869"/>
        <v>CONTA OPTICA</v>
      </c>
      <c r="J1722" t="str">
        <f>"TREVISANI COMERCIO OPTICOS LTDA"</f>
        <v>TREVISANI COMERCIO OPTICOS LTDA</v>
      </c>
      <c r="K1722" t="str">
        <f>"MERCADAO DOS OCULOS BOMBINHAS (4763)"</f>
        <v>MERCADAO DOS OCULOS BOMBINHAS (4763)</v>
      </c>
      <c r="L1722" t="str">
        <f>""</f>
        <v/>
      </c>
      <c r="M1722" t="str">
        <f>""</f>
        <v/>
      </c>
      <c r="N1722" t="str">
        <f>"SC-BOMBINHAS@MERCADAODOSOCULOS.COM.BR"</f>
        <v>SC-BOMBINHAS@MERCADAODOSOCULOS.COM.BR</v>
      </c>
      <c r="O1722" t="str">
        <f>""</f>
        <v/>
      </c>
      <c r="P1722" t="str">
        <f>"LEOPOLDO ZARLING"</f>
        <v>LEOPOLDO ZARLING</v>
      </c>
      <c r="Q1722" t="str">
        <f>"2467"</f>
        <v>2467</v>
      </c>
      <c r="R1722" t="str">
        <f>"SALA 01"</f>
        <v>SALA 01</v>
      </c>
      <c r="S1722" t="str">
        <f>"1260"</f>
        <v>1260</v>
      </c>
      <c r="T1722" t="str">
        <f>"88215000"</f>
        <v>88215000</v>
      </c>
      <c r="U1722" t="str">
        <f>"BOMBAS"</f>
        <v>BOMBAS</v>
      </c>
      <c r="V1722" t="str">
        <f>"BOMBINHAS"</f>
        <v>BOMBINHAS</v>
      </c>
      <c r="W1722" t="str">
        <f t="shared" si="891"/>
        <v>SC</v>
      </c>
      <c r="X1722" t="str">
        <f>"48"</f>
        <v>48</v>
      </c>
      <c r="Y1722" t="str">
        <f>"991502857"</f>
        <v>991502857</v>
      </c>
      <c r="Z1722" t="str">
        <f>""</f>
        <v/>
      </c>
      <c r="AA1722" t="str">
        <f>""</f>
        <v/>
      </c>
      <c r="AB1722" t="str">
        <f>""</f>
        <v/>
      </c>
      <c r="AC1722" t="str">
        <f>""</f>
        <v/>
      </c>
      <c r="AD1722" t="str">
        <f>""</f>
        <v/>
      </c>
      <c r="AE1722" t="str">
        <f>""</f>
        <v/>
      </c>
      <c r="AF1722" t="str">
        <f>""</f>
        <v/>
      </c>
      <c r="AG1722" t="str">
        <f>""</f>
        <v/>
      </c>
      <c r="AH1722" t="str">
        <f>""</f>
        <v/>
      </c>
      <c r="AI1722" t="str">
        <f>""</f>
        <v/>
      </c>
      <c r="AJ1722" t="str">
        <f>""</f>
        <v/>
      </c>
      <c r="AK1722" t="str">
        <f>""</f>
        <v/>
      </c>
      <c r="AL1722" t="str">
        <f>""</f>
        <v/>
      </c>
      <c r="AM1722" t="str">
        <f>""</f>
        <v/>
      </c>
      <c r="AN1722" t="str">
        <f>""</f>
        <v/>
      </c>
      <c r="AO1722" t="str">
        <f>""</f>
        <v/>
      </c>
      <c r="AP1722" t="str">
        <f>""</f>
        <v/>
      </c>
      <c r="AQ1722" t="str">
        <f>""</f>
        <v/>
      </c>
      <c r="AR1722" t="str">
        <f>""</f>
        <v/>
      </c>
      <c r="AS1722" t="str">
        <f>""</f>
        <v/>
      </c>
      <c r="AT1722" t="str">
        <f>""</f>
        <v/>
      </c>
      <c r="AU1722" t="str">
        <f>""</f>
        <v/>
      </c>
      <c r="AV1722" t="str">
        <f>""</f>
        <v/>
      </c>
      <c r="AW1722" t="str">
        <f>""</f>
        <v/>
      </c>
      <c r="AX1722" t="str">
        <f>""</f>
        <v/>
      </c>
      <c r="AY1722" t="str">
        <f>""</f>
        <v/>
      </c>
      <c r="AZ1722" t="str">
        <f>""</f>
        <v/>
      </c>
      <c r="BA1722" t="str">
        <f>""</f>
        <v/>
      </c>
      <c r="BB1722" t="str">
        <f>"25/09/2023 11:47:13"</f>
        <v>25/09/2023 11:47:13</v>
      </c>
      <c r="BC1722" t="str">
        <f>""</f>
        <v/>
      </c>
      <c r="BD1722" t="str">
        <f>""</f>
        <v/>
      </c>
      <c r="BE1722" t="str">
        <f>""</f>
        <v/>
      </c>
      <c r="BF1722" t="str">
        <f t="shared" si="871"/>
        <v>A</v>
      </c>
      <c r="BG1722" t="str">
        <f>""</f>
        <v/>
      </c>
      <c r="BH1722" t="str">
        <f>""</f>
        <v/>
      </c>
      <c r="BI1722" t="str">
        <f t="shared" si="893"/>
        <v>EVENTUAL</v>
      </c>
      <c r="BJ1722" t="str">
        <f t="shared" si="872"/>
        <v>1</v>
      </c>
      <c r="BK1722" t="str">
        <f t="shared" si="873"/>
        <v>Farmacia</v>
      </c>
      <c r="BL1722" t="str">
        <f>""</f>
        <v/>
      </c>
      <c r="BM1722" t="str">
        <f>""</f>
        <v/>
      </c>
      <c r="BN1722" t="str">
        <f>""</f>
        <v/>
      </c>
      <c r="BO1722" t="str">
        <f>""</f>
        <v/>
      </c>
      <c r="BP1722" t="str">
        <f>""</f>
        <v/>
      </c>
      <c r="BQ1722" t="str">
        <f>""</f>
        <v/>
      </c>
      <c r="BR1722" t="str">
        <f>"25/09/2023"</f>
        <v>25/09/2023</v>
      </c>
      <c r="BS1722" t="str">
        <f>""</f>
        <v/>
      </c>
      <c r="BT1722" t="str">
        <f>""</f>
        <v/>
      </c>
      <c r="BU1722" t="str">
        <f>""</f>
        <v/>
      </c>
      <c r="BV1722" t="str">
        <f>""</f>
        <v/>
      </c>
      <c r="BW1722" t="str">
        <f>"Não visitado"</f>
        <v>Não visitado</v>
      </c>
    </row>
    <row r="1723" spans="1:75" x14ac:dyDescent="0.35">
      <c r="A1723">
        <v>157096</v>
      </c>
      <c r="B1723" t="str">
        <f t="shared" si="867"/>
        <v>A</v>
      </c>
      <c r="C1723" t="str">
        <f t="shared" si="868"/>
        <v>80</v>
      </c>
      <c r="D1723" t="str">
        <f t="shared" si="894"/>
        <v>11121004</v>
      </c>
      <c r="E1723" t="str">
        <f t="shared" si="895"/>
        <v>121004</v>
      </c>
      <c r="F1723" t="str">
        <f t="shared" si="896"/>
        <v>FABIANA GODOY</v>
      </c>
      <c r="G1723" t="str">
        <f>"17849462000180"</f>
        <v>17849462000180</v>
      </c>
      <c r="H1723" t="str">
        <f t="shared" ref="H1723:H1736" si="899">"0"</f>
        <v>0</v>
      </c>
      <c r="I1723" t="str">
        <f t="shared" si="869"/>
        <v>CONTA OPTICA</v>
      </c>
      <c r="J1723" t="str">
        <f>"ULTRA CHILLI ACESSORIOS DE MODA LTDA"</f>
        <v>ULTRA CHILLI ACESSORIOS DE MODA LTDA</v>
      </c>
      <c r="K1723" t="str">
        <f>"CHILLI BEANS (4610)"</f>
        <v>CHILLI BEANS (4610)</v>
      </c>
      <c r="L1723" t="str">
        <f>""</f>
        <v/>
      </c>
      <c r="M1723" t="str">
        <f>""</f>
        <v/>
      </c>
      <c r="N1723" t="str">
        <f>"ADM2022.ESTRELA@GMAIL.COM"</f>
        <v>ADM2022.ESTRELA@GMAIL.COM</v>
      </c>
      <c r="O1723" t="str">
        <f>""</f>
        <v/>
      </c>
      <c r="P1723" t="str">
        <f>"BR 101"</f>
        <v>BR 101</v>
      </c>
      <c r="Q1723" t="str">
        <f>"1005"</f>
        <v>1005</v>
      </c>
      <c r="R1723" t="str">
        <f>"KM 159"</f>
        <v>KM 159</v>
      </c>
      <c r="S1723" t="str">
        <f>"1260"</f>
        <v>1260</v>
      </c>
      <c r="T1723" t="str">
        <f>"88210000"</f>
        <v>88210000</v>
      </c>
      <c r="U1723" t="str">
        <f>"SANTA LUZIA"</f>
        <v>SANTA LUZIA</v>
      </c>
      <c r="V1723" t="str">
        <f>"PORTO BELO"</f>
        <v>PORTO BELO</v>
      </c>
      <c r="W1723" t="str">
        <f t="shared" si="891"/>
        <v>SC</v>
      </c>
      <c r="X1723" t="str">
        <f>"48"</f>
        <v>48</v>
      </c>
      <c r="Y1723" t="str">
        <f>"30550246"</f>
        <v>30550246</v>
      </c>
      <c r="Z1723" t="str">
        <f>""</f>
        <v/>
      </c>
      <c r="AA1723" t="str">
        <f>""</f>
        <v/>
      </c>
      <c r="AB1723" t="str">
        <f>""</f>
        <v/>
      </c>
      <c r="AC1723" t="str">
        <f>""</f>
        <v/>
      </c>
      <c r="AD1723" t="str">
        <f>""</f>
        <v/>
      </c>
      <c r="AE1723" t="str">
        <f>""</f>
        <v/>
      </c>
      <c r="AF1723" t="str">
        <f>""</f>
        <v/>
      </c>
      <c r="AG1723" t="str">
        <f>""</f>
        <v/>
      </c>
      <c r="AH1723" t="str">
        <f>""</f>
        <v/>
      </c>
      <c r="AI1723" t="str">
        <f>""</f>
        <v/>
      </c>
      <c r="AJ1723" t="str">
        <f>""</f>
        <v/>
      </c>
      <c r="AK1723" t="str">
        <f>""</f>
        <v/>
      </c>
      <c r="AL1723" t="str">
        <f>""</f>
        <v/>
      </c>
      <c r="AM1723" t="str">
        <f>""</f>
        <v/>
      </c>
      <c r="AN1723" t="str">
        <f>""</f>
        <v/>
      </c>
      <c r="AO1723" t="str">
        <f>""</f>
        <v/>
      </c>
      <c r="AP1723" t="str">
        <f>""</f>
        <v/>
      </c>
      <c r="AQ1723" t="str">
        <f>""</f>
        <v/>
      </c>
      <c r="AR1723" t="str">
        <f>""</f>
        <v/>
      </c>
      <c r="AS1723" t="str">
        <f>""</f>
        <v/>
      </c>
      <c r="AT1723" t="str">
        <f>""</f>
        <v/>
      </c>
      <c r="AU1723" t="str">
        <f>""</f>
        <v/>
      </c>
      <c r="AV1723" t="str">
        <f>""</f>
        <v/>
      </c>
      <c r="AW1723" t="str">
        <f>""</f>
        <v/>
      </c>
      <c r="AX1723" t="str">
        <f>""</f>
        <v/>
      </c>
      <c r="AY1723" t="str">
        <f>""</f>
        <v/>
      </c>
      <c r="AZ1723" t="str">
        <f>""</f>
        <v/>
      </c>
      <c r="BA1723" t="str">
        <f>""</f>
        <v/>
      </c>
      <c r="BB1723" t="str">
        <f>"06/07/2023 12:07:48"</f>
        <v>06/07/2023 12:07:48</v>
      </c>
      <c r="BC1723" t="str">
        <f>""</f>
        <v/>
      </c>
      <c r="BD1723" t="str">
        <f>""</f>
        <v/>
      </c>
      <c r="BE1723" t="str">
        <f>""</f>
        <v/>
      </c>
      <c r="BF1723" t="str">
        <f t="shared" si="871"/>
        <v>A</v>
      </c>
      <c r="BG1723" t="str">
        <f>""</f>
        <v/>
      </c>
      <c r="BH1723" t="str">
        <f>""</f>
        <v/>
      </c>
      <c r="BI1723" t="str">
        <f t="shared" si="893"/>
        <v>EVENTUAL</v>
      </c>
      <c r="BJ1723" t="str">
        <f t="shared" si="872"/>
        <v>1</v>
      </c>
      <c r="BK1723" t="str">
        <f t="shared" si="873"/>
        <v>Farmacia</v>
      </c>
      <c r="BL1723" t="str">
        <f>""</f>
        <v/>
      </c>
      <c r="BM1723" t="str">
        <f>""</f>
        <v/>
      </c>
      <c r="BN1723" t="str">
        <f>""</f>
        <v/>
      </c>
      <c r="BO1723" t="str">
        <f>""</f>
        <v/>
      </c>
      <c r="BP1723" t="str">
        <f>""</f>
        <v/>
      </c>
      <c r="BQ1723" t="str">
        <f>""</f>
        <v/>
      </c>
      <c r="BR1723" t="str">
        <f>"06/07/2023"</f>
        <v>06/07/2023</v>
      </c>
      <c r="BS1723" t="str">
        <f>""</f>
        <v/>
      </c>
      <c r="BT1723" t="str">
        <f>""</f>
        <v/>
      </c>
      <c r="BU1723" t="str">
        <f>""</f>
        <v/>
      </c>
      <c r="BV1723" t="str">
        <f>""</f>
        <v/>
      </c>
      <c r="BW1723" t="str">
        <f>"Não visitado"</f>
        <v>Não visitado</v>
      </c>
    </row>
    <row r="1724" spans="1:75" x14ac:dyDescent="0.35">
      <c r="A1724">
        <v>157088</v>
      </c>
      <c r="B1724" t="str">
        <f t="shared" si="867"/>
        <v>A</v>
      </c>
      <c r="C1724" t="str">
        <f t="shared" si="868"/>
        <v>80</v>
      </c>
      <c r="D1724" t="str">
        <f t="shared" si="894"/>
        <v>11121004</v>
      </c>
      <c r="E1724" t="str">
        <f t="shared" si="895"/>
        <v>121004</v>
      </c>
      <c r="F1724" t="str">
        <f t="shared" si="896"/>
        <v>FABIANA GODOY</v>
      </c>
      <c r="G1724" t="str">
        <f>"17849462000261"</f>
        <v>17849462000261</v>
      </c>
      <c r="H1724" t="str">
        <f t="shared" si="899"/>
        <v>0</v>
      </c>
      <c r="I1724" t="str">
        <f t="shared" si="869"/>
        <v>CONTA OPTICA</v>
      </c>
      <c r="J1724" t="str">
        <f>"ULTRA CHILLI ACESSORIOS DE MODA LTDA"</f>
        <v>ULTRA CHILLI ACESSORIOS DE MODA LTDA</v>
      </c>
      <c r="K1724" t="str">
        <f>"CHILLI BEANS (4708)"</f>
        <v>CHILLI BEANS (4708)</v>
      </c>
      <c r="L1724" t="str">
        <f>""</f>
        <v/>
      </c>
      <c r="M1724" t="str">
        <f>""</f>
        <v/>
      </c>
      <c r="N1724" t="str">
        <f>"MKLMARBA@GMAIL.COM"</f>
        <v>MKLMARBA@GMAIL.COM</v>
      </c>
      <c r="O1724" t="str">
        <f>""</f>
        <v/>
      </c>
      <c r="P1724" t="str">
        <f>"BR 101"</f>
        <v>BR 101</v>
      </c>
      <c r="Q1724" t="str">
        <f>"SN"</f>
        <v>SN</v>
      </c>
      <c r="R1724" t="str">
        <f>"LJ 215"</f>
        <v>LJ 215</v>
      </c>
      <c r="S1724" t="str">
        <f>"1260"</f>
        <v>1260</v>
      </c>
      <c r="T1724" t="str">
        <f>"88200000"</f>
        <v>88200000</v>
      </c>
      <c r="U1724" t="str">
        <f>"SUL DO RIO"</f>
        <v>SUL DO RIO</v>
      </c>
      <c r="V1724" t="str">
        <f>"TIJUCAS"</f>
        <v>TIJUCAS</v>
      </c>
      <c r="W1724" t="str">
        <f t="shared" si="891"/>
        <v>SC</v>
      </c>
      <c r="X1724" t="str">
        <f>"47"</f>
        <v>47</v>
      </c>
      <c r="Y1724" t="str">
        <f>"997714766"</f>
        <v>997714766</v>
      </c>
      <c r="Z1724" t="str">
        <f>""</f>
        <v/>
      </c>
      <c r="AA1724" t="str">
        <f>""</f>
        <v/>
      </c>
      <c r="AB1724" t="str">
        <f>""</f>
        <v/>
      </c>
      <c r="AC1724" t="str">
        <f>""</f>
        <v/>
      </c>
      <c r="AD1724" t="str">
        <f>""</f>
        <v/>
      </c>
      <c r="AE1724" t="str">
        <f>""</f>
        <v/>
      </c>
      <c r="AF1724" t="str">
        <f>""</f>
        <v/>
      </c>
      <c r="AG1724" t="str">
        <f>""</f>
        <v/>
      </c>
      <c r="AH1724" t="str">
        <f>""</f>
        <v/>
      </c>
      <c r="AI1724" t="str">
        <f>""</f>
        <v/>
      </c>
      <c r="AJ1724" t="str">
        <f>""</f>
        <v/>
      </c>
      <c r="AK1724" t="str">
        <f>""</f>
        <v/>
      </c>
      <c r="AL1724" t="str">
        <f>""</f>
        <v/>
      </c>
      <c r="AM1724" t="str">
        <f>""</f>
        <v/>
      </c>
      <c r="AN1724" t="str">
        <f>""</f>
        <v/>
      </c>
      <c r="AO1724" t="str">
        <f>""</f>
        <v/>
      </c>
      <c r="AP1724" t="str">
        <f>""</f>
        <v/>
      </c>
      <c r="AQ1724" t="str">
        <f>""</f>
        <v/>
      </c>
      <c r="AR1724" t="str">
        <f>""</f>
        <v/>
      </c>
      <c r="AS1724" t="str">
        <f>""</f>
        <v/>
      </c>
      <c r="AT1724" t="str">
        <f>""</f>
        <v/>
      </c>
      <c r="AU1724" t="str">
        <f>""</f>
        <v/>
      </c>
      <c r="AV1724" t="str">
        <f>""</f>
        <v/>
      </c>
      <c r="AW1724" t="str">
        <f>""</f>
        <v/>
      </c>
      <c r="AX1724" t="str">
        <f>""</f>
        <v/>
      </c>
      <c r="AY1724" t="str">
        <f>""</f>
        <v/>
      </c>
      <c r="AZ1724" t="str">
        <f>""</f>
        <v/>
      </c>
      <c r="BA1724" t="str">
        <f>""</f>
        <v/>
      </c>
      <c r="BB1724" t="str">
        <f>"06/07/2023 12:07:48"</f>
        <v>06/07/2023 12:07:48</v>
      </c>
      <c r="BC1724" t="str">
        <f>""</f>
        <v/>
      </c>
      <c r="BD1724" t="str">
        <f>""</f>
        <v/>
      </c>
      <c r="BE1724" t="str">
        <f>""</f>
        <v/>
      </c>
      <c r="BF1724" t="str">
        <f t="shared" si="871"/>
        <v>A</v>
      </c>
      <c r="BG1724" t="str">
        <f>""</f>
        <v/>
      </c>
      <c r="BH1724" t="str">
        <f>""</f>
        <v/>
      </c>
      <c r="BI1724" t="str">
        <f t="shared" si="893"/>
        <v>EVENTUAL</v>
      </c>
      <c r="BJ1724" t="str">
        <f t="shared" si="872"/>
        <v>1</v>
      </c>
      <c r="BK1724" t="str">
        <f t="shared" si="873"/>
        <v>Farmacia</v>
      </c>
      <c r="BL1724" t="str">
        <f>""</f>
        <v/>
      </c>
      <c r="BM1724" t="str">
        <f>""</f>
        <v/>
      </c>
      <c r="BN1724" t="str">
        <f>""</f>
        <v/>
      </c>
      <c r="BO1724" t="str">
        <f>""</f>
        <v/>
      </c>
      <c r="BP1724" t="str">
        <f>""</f>
        <v/>
      </c>
      <c r="BQ1724" t="str">
        <f>""</f>
        <v/>
      </c>
      <c r="BR1724" t="str">
        <f>"06/07/2023"</f>
        <v>06/07/2023</v>
      </c>
      <c r="BS1724" t="str">
        <f>""</f>
        <v/>
      </c>
      <c r="BT1724" t="str">
        <f>""</f>
        <v/>
      </c>
      <c r="BU1724" t="str">
        <f>""</f>
        <v/>
      </c>
      <c r="BV1724" t="str">
        <f>""</f>
        <v/>
      </c>
      <c r="BW1724" t="str">
        <f>"Não visitado"</f>
        <v>Não visitado</v>
      </c>
    </row>
    <row r="1725" spans="1:75" x14ac:dyDescent="0.35">
      <c r="A1725">
        <v>137935</v>
      </c>
      <c r="B1725" t="str">
        <f t="shared" si="867"/>
        <v>A</v>
      </c>
      <c r="C1725" t="str">
        <f t="shared" si="868"/>
        <v>80</v>
      </c>
      <c r="D1725" t="str">
        <f t="shared" si="894"/>
        <v>11121004</v>
      </c>
      <c r="E1725" t="str">
        <f t="shared" si="895"/>
        <v>121004</v>
      </c>
      <c r="F1725" t="str">
        <f t="shared" si="896"/>
        <v>FABIANA GODOY</v>
      </c>
      <c r="G1725" t="str">
        <f>"18514592000125"</f>
        <v>18514592000125</v>
      </c>
      <c r="H1725" t="str">
        <f t="shared" si="899"/>
        <v>0</v>
      </c>
      <c r="I1725" t="str">
        <f t="shared" si="869"/>
        <v>CONTA OPTICA</v>
      </c>
      <c r="J1725" t="str">
        <f>"ULTRA VIDA ACESSORIOS DE MODA LTDA"</f>
        <v>ULTRA VIDA ACESSORIOS DE MODA LTDA</v>
      </c>
      <c r="K1725" t="str">
        <f>"CHILLI BEANS (2149)"</f>
        <v>CHILLI BEANS (2149)</v>
      </c>
      <c r="L1725" t="str">
        <f>""</f>
        <v/>
      </c>
      <c r="M1725" t="str">
        <f>""</f>
        <v/>
      </c>
      <c r="N1725" t="str">
        <f>"mariane.mosena@chillisc.com.br"</f>
        <v>mariane.mosena@chillisc.com.br</v>
      </c>
      <c r="O1725" t="str">
        <f>""</f>
        <v/>
      </c>
      <c r="P1725" t="str">
        <f>"RUA SAMUEL HEUSI"</f>
        <v>RUA SAMUEL HEUSI</v>
      </c>
      <c r="Q1725" t="str">
        <f>"234"</f>
        <v>234</v>
      </c>
      <c r="R1725" t="str">
        <f>"QUIOSQUE 3 C IT"</f>
        <v>QUIOSQUE 3 C IT</v>
      </c>
      <c r="S1725" t="str">
        <f>"1261"</f>
        <v>1261</v>
      </c>
      <c r="T1725" t="str">
        <f>"88301320"</f>
        <v>88301320</v>
      </c>
      <c r="U1725" t="str">
        <f t="shared" ref="U1725:U1742" si="900">"CENTRO"</f>
        <v>CENTRO</v>
      </c>
      <c r="V1725" t="str">
        <f>"ITAJAI"</f>
        <v>ITAJAI</v>
      </c>
      <c r="W1725" t="str">
        <f t="shared" si="891"/>
        <v>SC</v>
      </c>
      <c r="X1725" t="str">
        <f>"47"</f>
        <v>47</v>
      </c>
      <c r="Y1725" t="str">
        <f>"30839213"</f>
        <v>30839213</v>
      </c>
      <c r="Z1725" t="str">
        <f>""</f>
        <v/>
      </c>
      <c r="AA1725" t="str">
        <f>""</f>
        <v/>
      </c>
      <c r="AB1725" t="str">
        <f>""</f>
        <v/>
      </c>
      <c r="AC1725" t="str">
        <f>""</f>
        <v/>
      </c>
      <c r="AD1725" t="str">
        <f>""</f>
        <v/>
      </c>
      <c r="AE1725" t="str">
        <f>""</f>
        <v/>
      </c>
      <c r="AF1725" t="str">
        <f>""</f>
        <v/>
      </c>
      <c r="AG1725" t="str">
        <f>""</f>
        <v/>
      </c>
      <c r="AH1725" t="str">
        <f>""</f>
        <v/>
      </c>
      <c r="AI1725" t="str">
        <f>""</f>
        <v/>
      </c>
      <c r="AJ1725" t="str">
        <f>""</f>
        <v/>
      </c>
      <c r="AK1725" t="str">
        <f>""</f>
        <v/>
      </c>
      <c r="AL1725" t="str">
        <f>""</f>
        <v/>
      </c>
      <c r="AM1725" t="str">
        <f>""</f>
        <v/>
      </c>
      <c r="AN1725" t="str">
        <f>""</f>
        <v/>
      </c>
      <c r="AO1725" t="str">
        <f>""</f>
        <v/>
      </c>
      <c r="AP1725" t="str">
        <f>""</f>
        <v/>
      </c>
      <c r="AQ1725" t="str">
        <f>""</f>
        <v/>
      </c>
      <c r="AR1725" t="str">
        <f>""</f>
        <v/>
      </c>
      <c r="AS1725" t="str">
        <f>""</f>
        <v/>
      </c>
      <c r="AT1725" t="str">
        <f>""</f>
        <v/>
      </c>
      <c r="AU1725" t="str">
        <f>""</f>
        <v/>
      </c>
      <c r="AV1725" t="str">
        <f>""</f>
        <v/>
      </c>
      <c r="AW1725" t="str">
        <f>""</f>
        <v/>
      </c>
      <c r="AX1725" t="str">
        <f>""</f>
        <v/>
      </c>
      <c r="AY1725" t="str">
        <f>""</f>
        <v/>
      </c>
      <c r="AZ1725" t="str">
        <f>""</f>
        <v/>
      </c>
      <c r="BA1725" t="str">
        <f>""</f>
        <v/>
      </c>
      <c r="BB1725" t="str">
        <f>"01/07/2021 13:53:04"</f>
        <v>01/07/2021 13:53:04</v>
      </c>
      <c r="BC1725" t="str">
        <f>""</f>
        <v/>
      </c>
      <c r="BD1725" t="str">
        <f>""</f>
        <v/>
      </c>
      <c r="BE1725" t="str">
        <f>""</f>
        <v/>
      </c>
      <c r="BF1725" t="str">
        <f t="shared" si="871"/>
        <v>A</v>
      </c>
      <c r="BG1725" t="str">
        <f>""</f>
        <v/>
      </c>
      <c r="BH1725" t="str">
        <f>""</f>
        <v/>
      </c>
      <c r="BI1725" t="str">
        <f t="shared" si="893"/>
        <v>EVENTUAL</v>
      </c>
      <c r="BJ1725" t="str">
        <f t="shared" si="872"/>
        <v>1</v>
      </c>
      <c r="BK1725" t="str">
        <f t="shared" si="873"/>
        <v>Farmacia</v>
      </c>
      <c r="BL1725" t="str">
        <f>""</f>
        <v/>
      </c>
      <c r="BM1725" t="str">
        <f>"NÃO É VARILUX ESPECIALISTA"</f>
        <v>NÃO É VARILUX ESPECIALISTA</v>
      </c>
      <c r="BN1725" t="str">
        <f>"NA"</f>
        <v>NA</v>
      </c>
      <c r="BO1725" t="str">
        <f>"FOCO VARILUX"</f>
        <v>FOCO VARILUX</v>
      </c>
      <c r="BP1725" t="str">
        <f>""</f>
        <v/>
      </c>
      <c r="BQ1725" t="str">
        <f>""</f>
        <v/>
      </c>
      <c r="BR1725" t="str">
        <f>"01/07/2021"</f>
        <v>01/07/2021</v>
      </c>
      <c r="BS1725" t="str">
        <f>""</f>
        <v/>
      </c>
      <c r="BT1725" t="str">
        <f>""</f>
        <v/>
      </c>
      <c r="BU1725" t="str">
        <f>""</f>
        <v/>
      </c>
      <c r="BV1725" t="str">
        <f>""</f>
        <v/>
      </c>
      <c r="BW1725" t="str">
        <f>"Não visitado"</f>
        <v>Não visitado</v>
      </c>
    </row>
    <row r="1726" spans="1:75" x14ac:dyDescent="0.35">
      <c r="A1726">
        <v>157781</v>
      </c>
      <c r="B1726" t="str">
        <f t="shared" si="867"/>
        <v>A</v>
      </c>
      <c r="C1726" t="str">
        <f t="shared" si="868"/>
        <v>80</v>
      </c>
      <c r="D1726" t="str">
        <f t="shared" si="894"/>
        <v>11121004</v>
      </c>
      <c r="E1726" t="str">
        <f t="shared" si="895"/>
        <v>121004</v>
      </c>
      <c r="F1726" t="str">
        <f t="shared" si="896"/>
        <v>FABIANA GODOY</v>
      </c>
      <c r="G1726" t="str">
        <f>"34192938000172"</f>
        <v>34192938000172</v>
      </c>
      <c r="H1726" t="str">
        <f t="shared" si="899"/>
        <v>0</v>
      </c>
      <c r="I1726" t="str">
        <f t="shared" si="869"/>
        <v>CONTA OPTICA</v>
      </c>
      <c r="J1726" t="str">
        <f>"VALDIRENE VAN HAANDEL WEBER OTICA"</f>
        <v>VALDIRENE VAN HAANDEL WEBER OTICA</v>
      </c>
      <c r="K1726" t="str">
        <f>"OPTICA TIJUCAS (4069)"</f>
        <v>OPTICA TIJUCAS (4069)</v>
      </c>
      <c r="L1726" t="str">
        <f>""</f>
        <v/>
      </c>
      <c r="M1726" t="str">
        <f>""</f>
        <v/>
      </c>
      <c r="N1726" t="str">
        <f>"OTICATIJUCAS@HOTMAIL.COM"</f>
        <v>OTICATIJUCAS@HOTMAIL.COM</v>
      </c>
      <c r="O1726" t="str">
        <f>""</f>
        <v/>
      </c>
      <c r="P1726" t="str">
        <f>"BAYER FILHO"</f>
        <v>BAYER FILHO</v>
      </c>
      <c r="Q1726" t="str">
        <f>"999"</f>
        <v>999</v>
      </c>
      <c r="R1726" t="str">
        <f>"SALA 2"</f>
        <v>SALA 2</v>
      </c>
      <c r="S1726" t="str">
        <f>"1260"</f>
        <v>1260</v>
      </c>
      <c r="T1726" t="str">
        <f>"88200000"</f>
        <v>88200000</v>
      </c>
      <c r="U1726" t="str">
        <f t="shared" si="900"/>
        <v>CENTRO</v>
      </c>
      <c r="V1726" t="str">
        <f>"TIJUCAS"</f>
        <v>TIJUCAS</v>
      </c>
      <c r="W1726" t="str">
        <f t="shared" si="891"/>
        <v>SC</v>
      </c>
      <c r="X1726" t="str">
        <f>"48"</f>
        <v>48</v>
      </c>
      <c r="Y1726" t="str">
        <f>"32630580"</f>
        <v>32630580</v>
      </c>
      <c r="Z1726" t="str">
        <f>""</f>
        <v/>
      </c>
      <c r="AA1726" t="str">
        <f>""</f>
        <v/>
      </c>
      <c r="AB1726" t="str">
        <f>""</f>
        <v/>
      </c>
      <c r="AC1726" t="str">
        <f>""</f>
        <v/>
      </c>
      <c r="AD1726" t="str">
        <f>""</f>
        <v/>
      </c>
      <c r="AE1726" t="str">
        <f>""</f>
        <v/>
      </c>
      <c r="AF1726" t="str">
        <f>""</f>
        <v/>
      </c>
      <c r="AG1726" t="str">
        <f>""</f>
        <v/>
      </c>
      <c r="AH1726" t="str">
        <f>""</f>
        <v/>
      </c>
      <c r="AI1726" t="str">
        <f>""</f>
        <v/>
      </c>
      <c r="AJ1726" t="str">
        <f>""</f>
        <v/>
      </c>
      <c r="AK1726" t="str">
        <f>""</f>
        <v/>
      </c>
      <c r="AL1726" t="str">
        <f>""</f>
        <v/>
      </c>
      <c r="AM1726" t="str">
        <f>""</f>
        <v/>
      </c>
      <c r="AN1726" t="str">
        <f>""</f>
        <v/>
      </c>
      <c r="AO1726" t="str">
        <f>""</f>
        <v/>
      </c>
      <c r="AP1726" t="str">
        <f>""</f>
        <v/>
      </c>
      <c r="AQ1726" t="str">
        <f>""</f>
        <v/>
      </c>
      <c r="AR1726" t="str">
        <f>""</f>
        <v/>
      </c>
      <c r="AS1726" t="str">
        <f>""</f>
        <v/>
      </c>
      <c r="AT1726" t="str">
        <f>""</f>
        <v/>
      </c>
      <c r="AU1726" t="str">
        <f>""</f>
        <v/>
      </c>
      <c r="AV1726" t="str">
        <f>""</f>
        <v/>
      </c>
      <c r="AW1726" t="str">
        <f>""</f>
        <v/>
      </c>
      <c r="AX1726" t="str">
        <f>""</f>
        <v/>
      </c>
      <c r="AY1726" t="str">
        <f>""</f>
        <v/>
      </c>
      <c r="AZ1726" t="str">
        <f>""</f>
        <v/>
      </c>
      <c r="BA1726" t="str">
        <f>""</f>
        <v/>
      </c>
      <c r="BB1726" t="str">
        <f>"11/07/2023 02:26:32"</f>
        <v>11/07/2023 02:26:32</v>
      </c>
      <c r="BC1726" t="str">
        <f>""</f>
        <v/>
      </c>
      <c r="BD1726" t="str">
        <f>""</f>
        <v/>
      </c>
      <c r="BE1726" t="str">
        <f>""</f>
        <v/>
      </c>
      <c r="BF1726" t="str">
        <f t="shared" si="871"/>
        <v>A</v>
      </c>
      <c r="BG1726" t="str">
        <f>""</f>
        <v/>
      </c>
      <c r="BH1726" t="str">
        <f>""</f>
        <v/>
      </c>
      <c r="BI1726" t="str">
        <f t="shared" si="893"/>
        <v>EVENTUAL</v>
      </c>
      <c r="BJ1726" t="str">
        <f t="shared" si="872"/>
        <v>1</v>
      </c>
      <c r="BK1726" t="str">
        <f t="shared" si="873"/>
        <v>Farmacia</v>
      </c>
      <c r="BL1726" t="str">
        <f>""</f>
        <v/>
      </c>
      <c r="BM1726" t="str">
        <f>""</f>
        <v/>
      </c>
      <c r="BN1726" t="str">
        <f>""</f>
        <v/>
      </c>
      <c r="BO1726" t="str">
        <f>""</f>
        <v/>
      </c>
      <c r="BP1726" t="str">
        <f>""</f>
        <v/>
      </c>
      <c r="BQ1726" t="str">
        <f>""</f>
        <v/>
      </c>
      <c r="BR1726" t="str">
        <f>"11/07/2023"</f>
        <v>11/07/2023</v>
      </c>
      <c r="BS1726" t="str">
        <f>""</f>
        <v/>
      </c>
      <c r="BT1726" t="str">
        <f>""</f>
        <v/>
      </c>
      <c r="BU1726" t="str">
        <f>""</f>
        <v/>
      </c>
      <c r="BV1726" t="str">
        <f>""</f>
        <v/>
      </c>
      <c r="BW1726" t="str">
        <f>"Não visitado"</f>
        <v>Não visitado</v>
      </c>
    </row>
    <row r="1727" spans="1:75" x14ac:dyDescent="0.35">
      <c r="A1727">
        <v>157044</v>
      </c>
      <c r="B1727" t="str">
        <f t="shared" si="867"/>
        <v>A</v>
      </c>
      <c r="C1727" t="str">
        <f t="shared" si="868"/>
        <v>80</v>
      </c>
      <c r="D1727" t="str">
        <f t="shared" si="894"/>
        <v>11121004</v>
      </c>
      <c r="E1727" t="str">
        <f t="shared" si="895"/>
        <v>121004</v>
      </c>
      <c r="F1727" t="str">
        <f t="shared" si="896"/>
        <v>FABIANA GODOY</v>
      </c>
      <c r="G1727" t="str">
        <f>"50324880000120"</f>
        <v>50324880000120</v>
      </c>
      <c r="H1727" t="str">
        <f t="shared" si="899"/>
        <v>0</v>
      </c>
      <c r="I1727" t="str">
        <f t="shared" si="869"/>
        <v>CONTA OPTICA</v>
      </c>
      <c r="J1727" t="str">
        <f>"VENETA OPTICA LTDA"</f>
        <v>VENETA OPTICA LTDA</v>
      </c>
      <c r="K1727" t="str">
        <f>"VENETA OPTICA (4704)"</f>
        <v>VENETA OPTICA (4704)</v>
      </c>
      <c r="L1727" t="str">
        <f>""</f>
        <v/>
      </c>
      <c r="M1727" t="str">
        <f>""</f>
        <v/>
      </c>
      <c r="N1727" t="str">
        <f>"VENETAOPTICA@GMAIL.COM"</f>
        <v>VENETAOPTICA@GMAIL.COM</v>
      </c>
      <c r="O1727" t="str">
        <f>""</f>
        <v/>
      </c>
      <c r="P1727" t="str">
        <f>"RUA PRESIDENTE KENNEDY"</f>
        <v>RUA PRESIDENTE KENNEDY</v>
      </c>
      <c r="Q1727" t="str">
        <f>"64"</f>
        <v>64</v>
      </c>
      <c r="R1727" t="str">
        <f>"SALA 01"</f>
        <v>SALA 01</v>
      </c>
      <c r="S1727" t="str">
        <f>""</f>
        <v/>
      </c>
      <c r="T1727" t="str">
        <f>"89160139"</f>
        <v>89160139</v>
      </c>
      <c r="U1727" t="str">
        <f t="shared" si="900"/>
        <v>CENTRO</v>
      </c>
      <c r="V1727" t="str">
        <f>"RIO DO SUL"</f>
        <v>RIO DO SUL</v>
      </c>
      <c r="W1727" t="str">
        <f t="shared" si="891"/>
        <v>SC</v>
      </c>
      <c r="X1727" t="str">
        <f>"47"</f>
        <v>47</v>
      </c>
      <c r="Y1727" t="str">
        <f>"988707282"</f>
        <v>988707282</v>
      </c>
      <c r="Z1727" t="str">
        <f>""</f>
        <v/>
      </c>
      <c r="AA1727" t="str">
        <f>""</f>
        <v/>
      </c>
      <c r="AB1727" t="str">
        <f>""</f>
        <v/>
      </c>
      <c r="AC1727" t="str">
        <f>""</f>
        <v/>
      </c>
      <c r="AD1727" t="str">
        <f>""</f>
        <v/>
      </c>
      <c r="AE1727" t="str">
        <f>""</f>
        <v/>
      </c>
      <c r="AF1727" t="str">
        <f>""</f>
        <v/>
      </c>
      <c r="AG1727" t="str">
        <f>"S"</f>
        <v>S</v>
      </c>
      <c r="AH1727" t="str">
        <f>""</f>
        <v/>
      </c>
      <c r="AI1727" t="str">
        <f>""</f>
        <v/>
      </c>
      <c r="AJ1727" t="str">
        <f>""</f>
        <v/>
      </c>
      <c r="AK1727" t="str">
        <f>""</f>
        <v/>
      </c>
      <c r="AL1727" t="str">
        <f>""</f>
        <v/>
      </c>
      <c r="AM1727" t="str">
        <f>""</f>
        <v/>
      </c>
      <c r="AN1727" t="str">
        <f>""</f>
        <v/>
      </c>
      <c r="AO1727" t="str">
        <f>""</f>
        <v/>
      </c>
      <c r="AP1727" t="str">
        <f>""</f>
        <v/>
      </c>
      <c r="AQ1727" t="str">
        <f>"N"</f>
        <v>N</v>
      </c>
      <c r="AR1727" t="str">
        <f>"N"</f>
        <v>N</v>
      </c>
      <c r="AS1727" t="str">
        <f>"N"</f>
        <v>N</v>
      </c>
      <c r="AT1727" t="str">
        <f>"N"</f>
        <v>N</v>
      </c>
      <c r="AU1727" t="str">
        <f>"N"</f>
        <v>N</v>
      </c>
      <c r="AV1727" t="str">
        <f>""</f>
        <v/>
      </c>
      <c r="AW1727" t="str">
        <f>""</f>
        <v/>
      </c>
      <c r="AX1727" t="str">
        <f>""</f>
        <v/>
      </c>
      <c r="AY1727" t="str">
        <f>""</f>
        <v/>
      </c>
      <c r="AZ1727" t="str">
        <f>""</f>
        <v/>
      </c>
      <c r="BA1727" t="str">
        <f>""</f>
        <v/>
      </c>
      <c r="BB1727" t="str">
        <f>"06/07/2023 12:07:48"</f>
        <v>06/07/2023 12:07:48</v>
      </c>
      <c r="BC1727" t="str">
        <f>"26/09/2023 15:20:30"</f>
        <v>26/09/2023 15:20:30</v>
      </c>
      <c r="BD1727" t="str">
        <f>""</f>
        <v/>
      </c>
      <c r="BE1727" t="str">
        <f>""</f>
        <v/>
      </c>
      <c r="BF1727" t="str">
        <f t="shared" si="871"/>
        <v>A</v>
      </c>
      <c r="BG1727" t="str">
        <f>""</f>
        <v/>
      </c>
      <c r="BH1727" t="str">
        <f>"0,00"</f>
        <v>0,00</v>
      </c>
      <c r="BI1727" t="str">
        <f t="shared" si="893"/>
        <v>EVENTUAL</v>
      </c>
      <c r="BJ1727" t="str">
        <f t="shared" si="872"/>
        <v>1</v>
      </c>
      <c r="BK1727" t="str">
        <f t="shared" si="873"/>
        <v>Farmacia</v>
      </c>
      <c r="BL1727" t="str">
        <f>""</f>
        <v/>
      </c>
      <c r="BM1727" t="str">
        <f>""</f>
        <v/>
      </c>
      <c r="BN1727" t="str">
        <f>""</f>
        <v/>
      </c>
      <c r="BO1727" t="str">
        <f>""</f>
        <v/>
      </c>
      <c r="BP1727" t="str">
        <f>""</f>
        <v/>
      </c>
      <c r="BQ1727" t="str">
        <f>""</f>
        <v/>
      </c>
      <c r="BR1727" t="str">
        <f>"06/07/2023"</f>
        <v>06/07/2023</v>
      </c>
      <c r="BS1727" t="str">
        <f>"26/09/2023"</f>
        <v>26/09/2023</v>
      </c>
      <c r="BT1727" t="str">
        <f>""</f>
        <v/>
      </c>
      <c r="BU1727" t="str">
        <f>""</f>
        <v/>
      </c>
      <c r="BV1727" t="str">
        <f>""</f>
        <v/>
      </c>
      <c r="BW1727" t="str">
        <f>"59"</f>
        <v>59</v>
      </c>
    </row>
    <row r="1728" spans="1:75" x14ac:dyDescent="0.35">
      <c r="A1728">
        <v>157103</v>
      </c>
      <c r="B1728" t="str">
        <f t="shared" si="867"/>
        <v>A</v>
      </c>
      <c r="C1728" t="str">
        <f t="shared" si="868"/>
        <v>80</v>
      </c>
      <c r="D1728" t="str">
        <f t="shared" si="894"/>
        <v>11121004</v>
      </c>
      <c r="E1728" t="str">
        <f t="shared" si="895"/>
        <v>121004</v>
      </c>
      <c r="F1728" t="str">
        <f t="shared" si="896"/>
        <v>FABIANA GODOY</v>
      </c>
      <c r="G1728" t="str">
        <f>"33446688000197"</f>
        <v>33446688000197</v>
      </c>
      <c r="H1728" t="str">
        <f t="shared" si="899"/>
        <v>0</v>
      </c>
      <c r="I1728" t="str">
        <f t="shared" si="869"/>
        <v>CONTA OPTICA</v>
      </c>
      <c r="J1728" t="str">
        <f>"VER MAIS, RELOJOARIA E JOALHERIA LTDA"</f>
        <v>VER MAIS, RELOJOARIA E JOALHERIA LTDA</v>
      </c>
      <c r="K1728" t="str">
        <f>"OPTICA VENNA (4485)"</f>
        <v>OPTICA VENNA (4485)</v>
      </c>
      <c r="L1728" t="str">
        <f>""</f>
        <v/>
      </c>
      <c r="M1728" t="str">
        <f>""</f>
        <v/>
      </c>
      <c r="N1728" t="str">
        <f>"CONTATO@VENNAOTICA.COM.BR"</f>
        <v>CONTATO@VENNAOTICA.COM.BR</v>
      </c>
      <c r="O1728" t="str">
        <f>""</f>
        <v/>
      </c>
      <c r="P1728" t="str">
        <f>"RUA HERCILIO LUZ"</f>
        <v>RUA HERCILIO LUZ</v>
      </c>
      <c r="Q1728" t="str">
        <f>"490"</f>
        <v>490</v>
      </c>
      <c r="R1728" t="str">
        <f>"LOJA 01"</f>
        <v>LOJA 01</v>
      </c>
      <c r="S1728" t="str">
        <f>"1261"</f>
        <v>1261</v>
      </c>
      <c r="T1728" t="str">
        <f>"88301001"</f>
        <v>88301001</v>
      </c>
      <c r="U1728" t="str">
        <f t="shared" si="900"/>
        <v>CENTRO</v>
      </c>
      <c r="V1728" t="str">
        <f>"ITAJAI"</f>
        <v>ITAJAI</v>
      </c>
      <c r="W1728" t="str">
        <f t="shared" si="891"/>
        <v>SC</v>
      </c>
      <c r="X1728" t="str">
        <f>"47"</f>
        <v>47</v>
      </c>
      <c r="Y1728" t="str">
        <f>"30453333"</f>
        <v>30453333</v>
      </c>
      <c r="Z1728" t="str">
        <f>""</f>
        <v/>
      </c>
      <c r="AA1728" t="str">
        <f>""</f>
        <v/>
      </c>
      <c r="AB1728" t="str">
        <f>""</f>
        <v/>
      </c>
      <c r="AC1728" t="str">
        <f>""</f>
        <v/>
      </c>
      <c r="AD1728" t="str">
        <f>""</f>
        <v/>
      </c>
      <c r="AE1728" t="str">
        <f>""</f>
        <v/>
      </c>
      <c r="AF1728" t="str">
        <f>""</f>
        <v/>
      </c>
      <c r="AG1728" t="str">
        <f>""</f>
        <v/>
      </c>
      <c r="AH1728" t="str">
        <f>""</f>
        <v/>
      </c>
      <c r="AI1728" t="str">
        <f>""</f>
        <v/>
      </c>
      <c r="AJ1728" t="str">
        <f>""</f>
        <v/>
      </c>
      <c r="AK1728" t="str">
        <f>""</f>
        <v/>
      </c>
      <c r="AL1728" t="str">
        <f>""</f>
        <v/>
      </c>
      <c r="AM1728" t="str">
        <f>""</f>
        <v/>
      </c>
      <c r="AN1728" t="str">
        <f>""</f>
        <v/>
      </c>
      <c r="AO1728" t="str">
        <f>""</f>
        <v/>
      </c>
      <c r="AP1728" t="str">
        <f>""</f>
        <v/>
      </c>
      <c r="AQ1728" t="str">
        <f>""</f>
        <v/>
      </c>
      <c r="AR1728" t="str">
        <f>""</f>
        <v/>
      </c>
      <c r="AS1728" t="str">
        <f>""</f>
        <v/>
      </c>
      <c r="AT1728" t="str">
        <f>""</f>
        <v/>
      </c>
      <c r="AU1728" t="str">
        <f>""</f>
        <v/>
      </c>
      <c r="AV1728" t="str">
        <f>""</f>
        <v/>
      </c>
      <c r="AW1728" t="str">
        <f>""</f>
        <v/>
      </c>
      <c r="AX1728" t="str">
        <f>""</f>
        <v/>
      </c>
      <c r="AY1728" t="str">
        <f>""</f>
        <v/>
      </c>
      <c r="AZ1728" t="str">
        <f>""</f>
        <v/>
      </c>
      <c r="BA1728" t="str">
        <f>""</f>
        <v/>
      </c>
      <c r="BB1728" t="str">
        <f>"06/07/2023 12:07:48"</f>
        <v>06/07/2023 12:07:48</v>
      </c>
      <c r="BC1728" t="str">
        <f>""</f>
        <v/>
      </c>
      <c r="BD1728" t="str">
        <f>""</f>
        <v/>
      </c>
      <c r="BE1728" t="str">
        <f>""</f>
        <v/>
      </c>
      <c r="BF1728" t="str">
        <f t="shared" si="871"/>
        <v>A</v>
      </c>
      <c r="BG1728" t="str">
        <f>""</f>
        <v/>
      </c>
      <c r="BH1728" t="str">
        <f>""</f>
        <v/>
      </c>
      <c r="BI1728" t="str">
        <f t="shared" si="893"/>
        <v>EVENTUAL</v>
      </c>
      <c r="BJ1728" t="str">
        <f t="shared" si="872"/>
        <v>1</v>
      </c>
      <c r="BK1728" t="str">
        <f t="shared" si="873"/>
        <v>Farmacia</v>
      </c>
      <c r="BL1728" t="str">
        <f>""</f>
        <v/>
      </c>
      <c r="BM1728" t="str">
        <f>""</f>
        <v/>
      </c>
      <c r="BN1728" t="str">
        <f>""</f>
        <v/>
      </c>
      <c r="BO1728" t="str">
        <f>""</f>
        <v/>
      </c>
      <c r="BP1728" t="str">
        <f>""</f>
        <v/>
      </c>
      <c r="BQ1728" t="str">
        <f>""</f>
        <v/>
      </c>
      <c r="BR1728" t="str">
        <f>"06/07/2023"</f>
        <v>06/07/2023</v>
      </c>
      <c r="BS1728" t="str">
        <f>""</f>
        <v/>
      </c>
      <c r="BT1728" t="str">
        <f>""</f>
        <v/>
      </c>
      <c r="BU1728" t="str">
        <f>""</f>
        <v/>
      </c>
      <c r="BV1728" t="str">
        <f>""</f>
        <v/>
      </c>
      <c r="BW1728" t="str">
        <f>"15"</f>
        <v>15</v>
      </c>
    </row>
    <row r="1729" spans="1:75" x14ac:dyDescent="0.35">
      <c r="A1729">
        <v>157056</v>
      </c>
      <c r="B1729" t="str">
        <f t="shared" si="867"/>
        <v>A</v>
      </c>
      <c r="C1729" t="str">
        <f t="shared" si="868"/>
        <v>80</v>
      </c>
      <c r="D1729" t="str">
        <f t="shared" si="894"/>
        <v>11121004</v>
      </c>
      <c r="E1729" t="str">
        <f t="shared" si="895"/>
        <v>121004</v>
      </c>
      <c r="F1729" t="str">
        <f t="shared" si="896"/>
        <v>FABIANA GODOY</v>
      </c>
      <c r="G1729" t="str">
        <f>"46496940000114"</f>
        <v>46496940000114</v>
      </c>
      <c r="H1729" t="str">
        <f t="shared" si="899"/>
        <v>0</v>
      </c>
      <c r="I1729" t="str">
        <f t="shared" si="869"/>
        <v>CONTA OPTICA</v>
      </c>
      <c r="J1729" t="str">
        <f>"VERSATIL OPTICA LTDA"</f>
        <v>VERSATIL OPTICA LTDA</v>
      </c>
      <c r="K1729" t="str">
        <f>"VERSATIL OPTICA (4552)"</f>
        <v>VERSATIL OPTICA (4552)</v>
      </c>
      <c r="L1729" t="str">
        <f>""</f>
        <v/>
      </c>
      <c r="M1729" t="str">
        <f>""</f>
        <v/>
      </c>
      <c r="N1729" t="str">
        <f>"LORIANELUZ@OUTLOOK.COM"</f>
        <v>LORIANELUZ@OUTLOOK.COM</v>
      </c>
      <c r="O1729" t="str">
        <f>""</f>
        <v/>
      </c>
      <c r="P1729" t="str">
        <f>"RUA CURT HERING"</f>
        <v>RUA CURT HERING</v>
      </c>
      <c r="Q1729" t="str">
        <f>"314"</f>
        <v>314</v>
      </c>
      <c r="R1729" t="str">
        <f>"LOJA 06"</f>
        <v>LOJA 06</v>
      </c>
      <c r="S1729" t="str">
        <f>""</f>
        <v/>
      </c>
      <c r="T1729" t="str">
        <f>"89010030"</f>
        <v>89010030</v>
      </c>
      <c r="U1729" t="str">
        <f t="shared" si="900"/>
        <v>CENTRO</v>
      </c>
      <c r="V1729" t="str">
        <f>"BLUMENAU"</f>
        <v>BLUMENAU</v>
      </c>
      <c r="W1729" t="str">
        <f t="shared" si="891"/>
        <v>SC</v>
      </c>
      <c r="X1729" t="str">
        <f>"47"</f>
        <v>47</v>
      </c>
      <c r="Y1729" t="str">
        <f>"30353324"</f>
        <v>30353324</v>
      </c>
      <c r="Z1729" t="str">
        <f>""</f>
        <v/>
      </c>
      <c r="AA1729" t="str">
        <f>""</f>
        <v/>
      </c>
      <c r="AB1729" t="str">
        <f>""</f>
        <v/>
      </c>
      <c r="AC1729" t="str">
        <f>""</f>
        <v/>
      </c>
      <c r="AD1729" t="str">
        <f>""</f>
        <v/>
      </c>
      <c r="AE1729" t="str">
        <f>""</f>
        <v/>
      </c>
      <c r="AF1729" t="str">
        <f>""</f>
        <v/>
      </c>
      <c r="AG1729" t="str">
        <f>""</f>
        <v/>
      </c>
      <c r="AH1729" t="str">
        <f>""</f>
        <v/>
      </c>
      <c r="AI1729" t="str">
        <f>""</f>
        <v/>
      </c>
      <c r="AJ1729" t="str">
        <f>""</f>
        <v/>
      </c>
      <c r="AK1729" t="str">
        <f>""</f>
        <v/>
      </c>
      <c r="AL1729" t="str">
        <f>""</f>
        <v/>
      </c>
      <c r="AM1729" t="str">
        <f>""</f>
        <v/>
      </c>
      <c r="AN1729" t="str">
        <f>""</f>
        <v/>
      </c>
      <c r="AO1729" t="str">
        <f>""</f>
        <v/>
      </c>
      <c r="AP1729" t="str">
        <f>""</f>
        <v/>
      </c>
      <c r="AQ1729" t="str">
        <f>""</f>
        <v/>
      </c>
      <c r="AR1729" t="str">
        <f>""</f>
        <v/>
      </c>
      <c r="AS1729" t="str">
        <f>""</f>
        <v/>
      </c>
      <c r="AT1729" t="str">
        <f>""</f>
        <v/>
      </c>
      <c r="AU1729" t="str">
        <f>""</f>
        <v/>
      </c>
      <c r="AV1729" t="str">
        <f>""</f>
        <v/>
      </c>
      <c r="AW1729" t="str">
        <f>""</f>
        <v/>
      </c>
      <c r="AX1729" t="str">
        <f>""</f>
        <v/>
      </c>
      <c r="AY1729" t="str">
        <f>""</f>
        <v/>
      </c>
      <c r="AZ1729" t="str">
        <f>""</f>
        <v/>
      </c>
      <c r="BA1729" t="str">
        <f>""</f>
        <v/>
      </c>
      <c r="BB1729" t="str">
        <f>"06/07/2023 12:07:48"</f>
        <v>06/07/2023 12:07:48</v>
      </c>
      <c r="BC1729" t="str">
        <f>""</f>
        <v/>
      </c>
      <c r="BD1729" t="str">
        <f>""</f>
        <v/>
      </c>
      <c r="BE1729" t="str">
        <f>""</f>
        <v/>
      </c>
      <c r="BF1729" t="str">
        <f t="shared" si="871"/>
        <v>A</v>
      </c>
      <c r="BG1729" t="str">
        <f>""</f>
        <v/>
      </c>
      <c r="BH1729" t="str">
        <f>""</f>
        <v/>
      </c>
      <c r="BI1729" t="str">
        <f t="shared" si="893"/>
        <v>EVENTUAL</v>
      </c>
      <c r="BJ1729" t="str">
        <f t="shared" si="872"/>
        <v>1</v>
      </c>
      <c r="BK1729" t="str">
        <f t="shared" si="873"/>
        <v>Farmacia</v>
      </c>
      <c r="BL1729" t="str">
        <f>""</f>
        <v/>
      </c>
      <c r="BM1729" t="str">
        <f>""</f>
        <v/>
      </c>
      <c r="BN1729" t="str">
        <f>""</f>
        <v/>
      </c>
      <c r="BO1729" t="str">
        <f>""</f>
        <v/>
      </c>
      <c r="BP1729" t="str">
        <f>""</f>
        <v/>
      </c>
      <c r="BQ1729" t="str">
        <f>""</f>
        <v/>
      </c>
      <c r="BR1729" t="str">
        <f>"06/07/2023"</f>
        <v>06/07/2023</v>
      </c>
      <c r="BS1729" t="str">
        <f>""</f>
        <v/>
      </c>
      <c r="BT1729" t="str">
        <f>""</f>
        <v/>
      </c>
      <c r="BU1729" t="str">
        <f>""</f>
        <v/>
      </c>
      <c r="BV1729" t="str">
        <f>""</f>
        <v/>
      </c>
      <c r="BW1729" t="str">
        <f>"36"</f>
        <v>36</v>
      </c>
    </row>
    <row r="1730" spans="1:75" x14ac:dyDescent="0.35">
      <c r="A1730">
        <v>157790</v>
      </c>
      <c r="B1730" t="str">
        <f t="shared" ref="B1730:B1744" si="901">"A"</f>
        <v>A</v>
      </c>
      <c r="C1730" t="str">
        <f t="shared" ref="C1730:C1744" si="902">"80"</f>
        <v>80</v>
      </c>
      <c r="D1730" t="str">
        <f t="shared" si="894"/>
        <v>11121004</v>
      </c>
      <c r="E1730" t="str">
        <f t="shared" si="895"/>
        <v>121004</v>
      </c>
      <c r="F1730" t="str">
        <f t="shared" si="896"/>
        <v>FABIANA GODOY</v>
      </c>
      <c r="G1730" t="str">
        <f>"14264995000102"</f>
        <v>14264995000102</v>
      </c>
      <c r="H1730" t="str">
        <f t="shared" si="899"/>
        <v>0</v>
      </c>
      <c r="I1730" t="str">
        <f t="shared" ref="I1730:I1744" si="903">"CONTA OPTICA"</f>
        <v>CONTA OPTICA</v>
      </c>
      <c r="J1730" t="str">
        <f>"VIDA ACESSORIOS DE MODA LTDA - EPP"</f>
        <v>VIDA ACESSORIOS DE MODA LTDA - EPP</v>
      </c>
      <c r="K1730" t="str">
        <f>"CHILLI BEANS (2236)"</f>
        <v>CHILLI BEANS (2236)</v>
      </c>
      <c r="L1730" t="str">
        <f>""</f>
        <v/>
      </c>
      <c r="M1730" t="str">
        <f>""</f>
        <v/>
      </c>
      <c r="N1730" t="str">
        <f>""</f>
        <v/>
      </c>
      <c r="O1730" t="str">
        <f>""</f>
        <v/>
      </c>
      <c r="P1730" t="str">
        <f>"RUA BRASIL"</f>
        <v>RUA BRASIL</v>
      </c>
      <c r="Q1730" t="str">
        <f>"1811"</f>
        <v>1811</v>
      </c>
      <c r="R1730" t="str">
        <f>"LOJA 03"</f>
        <v>LOJA 03</v>
      </c>
      <c r="S1730" t="str">
        <f>"1262"</f>
        <v>1262</v>
      </c>
      <c r="T1730" t="str">
        <f>"88330050"</f>
        <v>88330050</v>
      </c>
      <c r="U1730" t="str">
        <f t="shared" si="900"/>
        <v>CENTRO</v>
      </c>
      <c r="V1730" t="str">
        <f>"BALNEARIO CAMBORIU"</f>
        <v>BALNEARIO CAMBORIU</v>
      </c>
      <c r="W1730" t="str">
        <f t="shared" si="891"/>
        <v>SC</v>
      </c>
      <c r="X1730" t="str">
        <f>"47"</f>
        <v>47</v>
      </c>
      <c r="Y1730" t="str">
        <f>"33668953"</f>
        <v>33668953</v>
      </c>
      <c r="Z1730" t="str">
        <f>""</f>
        <v/>
      </c>
      <c r="AA1730" t="str">
        <f>""</f>
        <v/>
      </c>
      <c r="AB1730" t="str">
        <f>""</f>
        <v/>
      </c>
      <c r="AC1730" t="str">
        <f>""</f>
        <v/>
      </c>
      <c r="AD1730" t="str">
        <f>""</f>
        <v/>
      </c>
      <c r="AE1730" t="str">
        <f>""</f>
        <v/>
      </c>
      <c r="AF1730" t="str">
        <f>""</f>
        <v/>
      </c>
      <c r="AG1730" t="str">
        <f>""</f>
        <v/>
      </c>
      <c r="AH1730" t="str">
        <f>""</f>
        <v/>
      </c>
      <c r="AI1730" t="str">
        <f>""</f>
        <v/>
      </c>
      <c r="AJ1730" t="str">
        <f>""</f>
        <v/>
      </c>
      <c r="AK1730" t="str">
        <f>""</f>
        <v/>
      </c>
      <c r="AL1730" t="str">
        <f>""</f>
        <v/>
      </c>
      <c r="AM1730" t="str">
        <f>""</f>
        <v/>
      </c>
      <c r="AN1730" t="str">
        <f>""</f>
        <v/>
      </c>
      <c r="AO1730" t="str">
        <f>""</f>
        <v/>
      </c>
      <c r="AP1730" t="str">
        <f>""</f>
        <v/>
      </c>
      <c r="AQ1730" t="str">
        <f>""</f>
        <v/>
      </c>
      <c r="AR1730" t="str">
        <f>""</f>
        <v/>
      </c>
      <c r="AS1730" t="str">
        <f>""</f>
        <v/>
      </c>
      <c r="AT1730" t="str">
        <f>""</f>
        <v/>
      </c>
      <c r="AU1730" t="str">
        <f>""</f>
        <v/>
      </c>
      <c r="AV1730" t="str">
        <f>""</f>
        <v/>
      </c>
      <c r="AW1730" t="str">
        <f>""</f>
        <v/>
      </c>
      <c r="AX1730" t="str">
        <f>""</f>
        <v/>
      </c>
      <c r="AY1730" t="str">
        <f>""</f>
        <v/>
      </c>
      <c r="AZ1730" t="str">
        <f>""</f>
        <v/>
      </c>
      <c r="BA1730" t="str">
        <f>""</f>
        <v/>
      </c>
      <c r="BB1730" t="str">
        <f>"11/07/2023 02:26:32"</f>
        <v>11/07/2023 02:26:32</v>
      </c>
      <c r="BC1730" t="str">
        <f>""</f>
        <v/>
      </c>
      <c r="BD1730" t="str">
        <f>""</f>
        <v/>
      </c>
      <c r="BE1730" t="str">
        <f>""</f>
        <v/>
      </c>
      <c r="BF1730" t="str">
        <f t="shared" ref="BF1730:BF1744" si="904">"A"</f>
        <v>A</v>
      </c>
      <c r="BG1730" t="str">
        <f>""</f>
        <v/>
      </c>
      <c r="BH1730" t="str">
        <f>""</f>
        <v/>
      </c>
      <c r="BI1730" t="str">
        <f t="shared" si="893"/>
        <v>EVENTUAL</v>
      </c>
      <c r="BJ1730" t="str">
        <f t="shared" ref="BJ1730:BJ1744" si="905">"1"</f>
        <v>1</v>
      </c>
      <c r="BK1730" t="str">
        <f t="shared" ref="BK1730:BK1744" si="906">"Farmacia"</f>
        <v>Farmacia</v>
      </c>
      <c r="BL1730" t="str">
        <f>""</f>
        <v/>
      </c>
      <c r="BM1730" t="str">
        <f>""</f>
        <v/>
      </c>
      <c r="BN1730" t="str">
        <f>""</f>
        <v/>
      </c>
      <c r="BO1730" t="str">
        <f>""</f>
        <v/>
      </c>
      <c r="BP1730" t="str">
        <f>""</f>
        <v/>
      </c>
      <c r="BQ1730" t="str">
        <f>""</f>
        <v/>
      </c>
      <c r="BR1730" t="str">
        <f>"11/07/2023"</f>
        <v>11/07/2023</v>
      </c>
      <c r="BS1730" t="str">
        <f>""</f>
        <v/>
      </c>
      <c r="BT1730" t="str">
        <f>""</f>
        <v/>
      </c>
      <c r="BU1730" t="str">
        <f>""</f>
        <v/>
      </c>
      <c r="BV1730" t="str">
        <f>""</f>
        <v/>
      </c>
      <c r="BW1730" t="str">
        <f>"Não visitado"</f>
        <v>Não visitado</v>
      </c>
    </row>
    <row r="1731" spans="1:75" x14ac:dyDescent="0.35">
      <c r="A1731">
        <v>137939</v>
      </c>
      <c r="B1731" t="str">
        <f t="shared" si="901"/>
        <v>A</v>
      </c>
      <c r="C1731" t="str">
        <f t="shared" si="902"/>
        <v>80</v>
      </c>
      <c r="D1731" t="str">
        <f t="shared" si="894"/>
        <v>11121004</v>
      </c>
      <c r="E1731" t="str">
        <f t="shared" si="895"/>
        <v>121004</v>
      </c>
      <c r="F1731" t="str">
        <f t="shared" si="896"/>
        <v>FABIANA GODOY</v>
      </c>
      <c r="G1731" t="str">
        <f>"83821322000129"</f>
        <v>83821322000129</v>
      </c>
      <c r="H1731" t="str">
        <f t="shared" si="899"/>
        <v>0</v>
      </c>
      <c r="I1731" t="str">
        <f t="shared" si="903"/>
        <v>CONTA OPTICA</v>
      </c>
      <c r="J1731" t="str">
        <f>"VILMAR MEZADRI"</f>
        <v>VILMAR MEZADRI</v>
      </c>
      <c r="K1731" t="str">
        <f>"OTICA BENNO (458)"</f>
        <v>OTICA BENNO (458)</v>
      </c>
      <c r="L1731" t="str">
        <f>""</f>
        <v/>
      </c>
      <c r="M1731" t="str">
        <f>""</f>
        <v/>
      </c>
      <c r="N1731" t="str">
        <f>"felipebenno@outlook.com"</f>
        <v>felipebenno@outlook.com</v>
      </c>
      <c r="O1731" t="str">
        <f>""</f>
        <v/>
      </c>
      <c r="P1731" t="str">
        <f>"RUA BRUSQUE"</f>
        <v>RUA BRUSQUE</v>
      </c>
      <c r="Q1731" t="str">
        <f>"100"</f>
        <v>100</v>
      </c>
      <c r="R1731" t="str">
        <f>""</f>
        <v/>
      </c>
      <c r="S1731" t="str">
        <f>"1261"</f>
        <v>1261</v>
      </c>
      <c r="T1731" t="str">
        <f>"88303001"</f>
        <v>88303001</v>
      </c>
      <c r="U1731" t="str">
        <f t="shared" si="900"/>
        <v>CENTRO</v>
      </c>
      <c r="V1731" t="str">
        <f>"ITAJAÍ"</f>
        <v>ITAJAÍ</v>
      </c>
      <c r="W1731" t="str">
        <f t="shared" si="891"/>
        <v>SC</v>
      </c>
      <c r="X1731" t="str">
        <f>"47"</f>
        <v>47</v>
      </c>
      <c r="Y1731" t="str">
        <f>"33484804"</f>
        <v>33484804</v>
      </c>
      <c r="Z1731" t="str">
        <f>""</f>
        <v/>
      </c>
      <c r="AA1731" t="str">
        <f>""</f>
        <v/>
      </c>
      <c r="AB1731" t="str">
        <f>""</f>
        <v/>
      </c>
      <c r="AC1731" t="str">
        <f>""</f>
        <v/>
      </c>
      <c r="AD1731" t="str">
        <f>""</f>
        <v/>
      </c>
      <c r="AE1731" t="str">
        <f>""</f>
        <v/>
      </c>
      <c r="AF1731" t="str">
        <f>""</f>
        <v/>
      </c>
      <c r="AG1731" t="str">
        <f>"S"</f>
        <v>S</v>
      </c>
      <c r="AH1731" t="str">
        <f>""</f>
        <v/>
      </c>
      <c r="AI1731" t="str">
        <f>""</f>
        <v/>
      </c>
      <c r="AJ1731" t="str">
        <f>""</f>
        <v/>
      </c>
      <c r="AK1731" t="str">
        <f>""</f>
        <v/>
      </c>
      <c r="AL1731" t="str">
        <f>""</f>
        <v/>
      </c>
      <c r="AM1731" t="str">
        <f>""</f>
        <v/>
      </c>
      <c r="AN1731" t="str">
        <f>""</f>
        <v/>
      </c>
      <c r="AO1731" t="str">
        <f>""</f>
        <v/>
      </c>
      <c r="AP1731" t="str">
        <f>""</f>
        <v/>
      </c>
      <c r="AQ1731" t="str">
        <f>"N"</f>
        <v>N</v>
      </c>
      <c r="AR1731" t="str">
        <f>"N"</f>
        <v>N</v>
      </c>
      <c r="AS1731" t="str">
        <f>"N"</f>
        <v>N</v>
      </c>
      <c r="AT1731" t="str">
        <f>"N"</f>
        <v>N</v>
      </c>
      <c r="AU1731" t="str">
        <f>"N"</f>
        <v>N</v>
      </c>
      <c r="AV1731" t="str">
        <f>""</f>
        <v/>
      </c>
      <c r="AW1731" t="str">
        <f>""</f>
        <v/>
      </c>
      <c r="AX1731" t="str">
        <f>""</f>
        <v/>
      </c>
      <c r="AY1731" t="str">
        <f>""</f>
        <v/>
      </c>
      <c r="AZ1731" t="str">
        <f>""</f>
        <v/>
      </c>
      <c r="BA1731" t="str">
        <f>""</f>
        <v/>
      </c>
      <c r="BB1731" t="str">
        <f>"01/07/2021 13:53:04"</f>
        <v>01/07/2021 13:53:04</v>
      </c>
      <c r="BC1731" t="str">
        <f>"08/02/2022 16:38:27"</f>
        <v>08/02/2022 16:38:27</v>
      </c>
      <c r="BD1731" t="str">
        <f>""</f>
        <v/>
      </c>
      <c r="BE1731" t="str">
        <f>""</f>
        <v/>
      </c>
      <c r="BF1731" t="str">
        <f t="shared" si="904"/>
        <v>A</v>
      </c>
      <c r="BG1731" t="str">
        <f>""</f>
        <v/>
      </c>
      <c r="BH1731" t="str">
        <f>"0,00"</f>
        <v>0,00</v>
      </c>
      <c r="BI1731" t="str">
        <f t="shared" si="893"/>
        <v>EVENTUAL</v>
      </c>
      <c r="BJ1731" t="str">
        <f t="shared" si="905"/>
        <v>1</v>
      </c>
      <c r="BK1731" t="str">
        <f t="shared" si="906"/>
        <v>Farmacia</v>
      </c>
      <c r="BL1731" t="str">
        <f>""</f>
        <v/>
      </c>
      <c r="BM1731" t="str">
        <f>"VARILUX ESPECIALISTA SELECT"</f>
        <v>VARILUX ESPECIALISTA SELECT</v>
      </c>
      <c r="BN1731" t="str">
        <f>"NA"</f>
        <v>NA</v>
      </c>
      <c r="BO1731" t="str">
        <f>"FOCO VARILUX DIGITAL"</f>
        <v>FOCO VARILUX DIGITAL</v>
      </c>
      <c r="BP1731" t="str">
        <f>""</f>
        <v/>
      </c>
      <c r="BQ1731" t="str">
        <f>""</f>
        <v/>
      </c>
      <c r="BR1731" t="str">
        <f>"01/07/2021"</f>
        <v>01/07/2021</v>
      </c>
      <c r="BS1731" t="str">
        <f>"08/02/2022"</f>
        <v>08/02/2022</v>
      </c>
      <c r="BT1731" t="str">
        <f>""</f>
        <v/>
      </c>
      <c r="BU1731" t="str">
        <f>""</f>
        <v/>
      </c>
      <c r="BV1731" t="str">
        <f>""</f>
        <v/>
      </c>
      <c r="BW1731" t="str">
        <f>"14"</f>
        <v>14</v>
      </c>
    </row>
    <row r="1732" spans="1:75" x14ac:dyDescent="0.35">
      <c r="A1732">
        <v>157116</v>
      </c>
      <c r="B1732" t="str">
        <f t="shared" si="901"/>
        <v>A</v>
      </c>
      <c r="C1732" t="str">
        <f t="shared" si="902"/>
        <v>80</v>
      </c>
      <c r="D1732" t="str">
        <f t="shared" si="894"/>
        <v>11121004</v>
      </c>
      <c r="E1732" t="str">
        <f t="shared" si="895"/>
        <v>121004</v>
      </c>
      <c r="F1732" t="str">
        <f t="shared" si="896"/>
        <v>FABIANA GODOY</v>
      </c>
      <c r="G1732" t="str">
        <f>"28138289000129"</f>
        <v>28138289000129</v>
      </c>
      <c r="H1732" t="str">
        <f t="shared" si="899"/>
        <v>0</v>
      </c>
      <c r="I1732" t="str">
        <f t="shared" si="903"/>
        <v>CONTA OPTICA</v>
      </c>
      <c r="J1732" t="str">
        <f>"VILSON ZIMMERMANN"</f>
        <v>VILSON ZIMMERMANN</v>
      </c>
      <c r="K1732" t="str">
        <f>"OTICA EM CASA (3819)"</f>
        <v>OTICA EM CASA (3819)</v>
      </c>
      <c r="L1732" t="str">
        <f>""</f>
        <v/>
      </c>
      <c r="M1732" t="str">
        <f>""</f>
        <v/>
      </c>
      <c r="N1732" t="str">
        <f>"FALECOMVIZZI@GMAIL.COM"</f>
        <v>FALECOMVIZZI@GMAIL.COM</v>
      </c>
      <c r="O1732" t="str">
        <f>""</f>
        <v/>
      </c>
      <c r="P1732" t="str">
        <f>"RUA ALVINA SIMAS REIS"</f>
        <v>RUA ALVINA SIMAS REIS</v>
      </c>
      <c r="Q1732" t="str">
        <f>"341"</f>
        <v>341</v>
      </c>
      <c r="R1732" t="str">
        <f>"LOJA 01"</f>
        <v>LOJA 01</v>
      </c>
      <c r="S1732" t="str">
        <f>"1260"</f>
        <v>1260</v>
      </c>
      <c r="T1732" t="str">
        <f>"88200000"</f>
        <v>88200000</v>
      </c>
      <c r="U1732" t="str">
        <f t="shared" si="900"/>
        <v>CENTRO</v>
      </c>
      <c r="V1732" t="str">
        <f>"TIJUCAS"</f>
        <v>TIJUCAS</v>
      </c>
      <c r="W1732" t="str">
        <f t="shared" si="891"/>
        <v>SC</v>
      </c>
      <c r="X1732" t="str">
        <f>"48"</f>
        <v>48</v>
      </c>
      <c r="Y1732" t="str">
        <f>"96232051"</f>
        <v>96232051</v>
      </c>
      <c r="Z1732" t="str">
        <f>""</f>
        <v/>
      </c>
      <c r="AA1732" t="str">
        <f>""</f>
        <v/>
      </c>
      <c r="AB1732" t="str">
        <f>""</f>
        <v/>
      </c>
      <c r="AC1732" t="str">
        <f>""</f>
        <v/>
      </c>
      <c r="AD1732" t="str">
        <f>""</f>
        <v/>
      </c>
      <c r="AE1732" t="str">
        <f>""</f>
        <v/>
      </c>
      <c r="AF1732" t="str">
        <f>""</f>
        <v/>
      </c>
      <c r="AG1732" t="str">
        <f>""</f>
        <v/>
      </c>
      <c r="AH1732" t="str">
        <f>""</f>
        <v/>
      </c>
      <c r="AI1732" t="str">
        <f>""</f>
        <v/>
      </c>
      <c r="AJ1732" t="str">
        <f>""</f>
        <v/>
      </c>
      <c r="AK1732" t="str">
        <f>""</f>
        <v/>
      </c>
      <c r="AL1732" t="str">
        <f>""</f>
        <v/>
      </c>
      <c r="AM1732" t="str">
        <f>""</f>
        <v/>
      </c>
      <c r="AN1732" t="str">
        <f>""</f>
        <v/>
      </c>
      <c r="AO1732" t="str">
        <f>""</f>
        <v/>
      </c>
      <c r="AP1732" t="str">
        <f>""</f>
        <v/>
      </c>
      <c r="AQ1732" t="str">
        <f>""</f>
        <v/>
      </c>
      <c r="AR1732" t="str">
        <f>""</f>
        <v/>
      </c>
      <c r="AS1732" t="str">
        <f>""</f>
        <v/>
      </c>
      <c r="AT1732" t="str">
        <f>""</f>
        <v/>
      </c>
      <c r="AU1732" t="str">
        <f>""</f>
        <v/>
      </c>
      <c r="AV1732" t="str">
        <f>""</f>
        <v/>
      </c>
      <c r="AW1732" t="str">
        <f>""</f>
        <v/>
      </c>
      <c r="AX1732" t="str">
        <f>""</f>
        <v/>
      </c>
      <c r="AY1732" t="str">
        <f>""</f>
        <v/>
      </c>
      <c r="AZ1732" t="str">
        <f>""</f>
        <v/>
      </c>
      <c r="BA1732" t="str">
        <f>""</f>
        <v/>
      </c>
      <c r="BB1732" t="str">
        <f>"06/07/2023 12:07:48"</f>
        <v>06/07/2023 12:07:48</v>
      </c>
      <c r="BC1732" t="str">
        <f>""</f>
        <v/>
      </c>
      <c r="BD1732" t="str">
        <f>""</f>
        <v/>
      </c>
      <c r="BE1732" t="str">
        <f>""</f>
        <v/>
      </c>
      <c r="BF1732" t="str">
        <f t="shared" si="904"/>
        <v>A</v>
      </c>
      <c r="BG1732" t="str">
        <f>""</f>
        <v/>
      </c>
      <c r="BH1732" t="str">
        <f>""</f>
        <v/>
      </c>
      <c r="BI1732" t="str">
        <f t="shared" si="893"/>
        <v>EVENTUAL</v>
      </c>
      <c r="BJ1732" t="str">
        <f t="shared" si="905"/>
        <v>1</v>
      </c>
      <c r="BK1732" t="str">
        <f t="shared" si="906"/>
        <v>Farmacia</v>
      </c>
      <c r="BL1732" t="str">
        <f>""</f>
        <v/>
      </c>
      <c r="BM1732" t="str">
        <f>""</f>
        <v/>
      </c>
      <c r="BN1732" t="str">
        <f>""</f>
        <v/>
      </c>
      <c r="BO1732" t="str">
        <f>""</f>
        <v/>
      </c>
      <c r="BP1732" t="str">
        <f>""</f>
        <v/>
      </c>
      <c r="BQ1732" t="str">
        <f>""</f>
        <v/>
      </c>
      <c r="BR1732" t="str">
        <f>"06/07/2023"</f>
        <v>06/07/2023</v>
      </c>
      <c r="BS1732" t="str">
        <f>""</f>
        <v/>
      </c>
      <c r="BT1732" t="str">
        <f>""</f>
        <v/>
      </c>
      <c r="BU1732" t="str">
        <f>""</f>
        <v/>
      </c>
      <c r="BV1732" t="str">
        <f>""</f>
        <v/>
      </c>
      <c r="BW1732" t="str">
        <f>"Não visitado"</f>
        <v>Não visitado</v>
      </c>
    </row>
    <row r="1733" spans="1:75" x14ac:dyDescent="0.35">
      <c r="A1733">
        <v>117446</v>
      </c>
      <c r="B1733" t="str">
        <f t="shared" si="901"/>
        <v>A</v>
      </c>
      <c r="C1733" t="str">
        <f t="shared" si="902"/>
        <v>80</v>
      </c>
      <c r="D1733" t="str">
        <f t="shared" si="894"/>
        <v>11121004</v>
      </c>
      <c r="E1733" t="str">
        <f t="shared" si="895"/>
        <v>121004</v>
      </c>
      <c r="F1733" t="str">
        <f t="shared" si="896"/>
        <v>FABIANA GODOY</v>
      </c>
      <c r="G1733" t="str">
        <f>"00198422000113"</f>
        <v>00198422000113</v>
      </c>
      <c r="H1733" t="str">
        <f t="shared" si="899"/>
        <v>0</v>
      </c>
      <c r="I1733" t="str">
        <f t="shared" si="903"/>
        <v>CONTA OPTICA</v>
      </c>
      <c r="J1733" t="str">
        <f>"VINHESKI E VINHESKI LTDA"</f>
        <v>VINHESKI E VINHESKI LTDA</v>
      </c>
      <c r="K1733" t="str">
        <f>"JOALHERIA E OTICA MULTIVISAO (764)"</f>
        <v>JOALHERIA E OTICA MULTIVISAO (764)</v>
      </c>
      <c r="L1733" t="str">
        <f>""</f>
        <v/>
      </c>
      <c r="M1733" t="str">
        <f>""</f>
        <v/>
      </c>
      <c r="N1733" t="str">
        <f>"otica@vinheski.com.br"</f>
        <v>otica@vinheski.com.br</v>
      </c>
      <c r="O1733" t="str">
        <f>""</f>
        <v/>
      </c>
      <c r="P1733" t="str">
        <f>"AVENIDA BRASIL"</f>
        <v>AVENIDA BRASIL</v>
      </c>
      <c r="Q1733" t="str">
        <f>"1738"</f>
        <v>1738</v>
      </c>
      <c r="R1733" t="str">
        <f>""</f>
        <v/>
      </c>
      <c r="S1733" t="str">
        <f>"1269"</f>
        <v>1269</v>
      </c>
      <c r="T1733" t="str">
        <f>"88830330"</f>
        <v>88830330</v>
      </c>
      <c r="U1733" t="str">
        <f t="shared" si="900"/>
        <v>CENTRO</v>
      </c>
      <c r="V1733" t="str">
        <f>"BALNEARIO CAMBORIU"</f>
        <v>BALNEARIO CAMBORIU</v>
      </c>
      <c r="W1733" t="str">
        <f t="shared" si="891"/>
        <v>SC</v>
      </c>
      <c r="X1733" t="str">
        <f t="shared" ref="X1733:X1744" si="907">"47"</f>
        <v>47</v>
      </c>
      <c r="Y1733" t="str">
        <f>"33670938"</f>
        <v>33670938</v>
      </c>
      <c r="Z1733" t="str">
        <f>""</f>
        <v/>
      </c>
      <c r="AA1733" t="str">
        <f>""</f>
        <v/>
      </c>
      <c r="AB1733" t="str">
        <f>""</f>
        <v/>
      </c>
      <c r="AC1733" t="str">
        <f>""</f>
        <v/>
      </c>
      <c r="AD1733" t="str">
        <f>""</f>
        <v/>
      </c>
      <c r="AE1733" t="str">
        <f>""</f>
        <v/>
      </c>
      <c r="AF1733" t="str">
        <f>""</f>
        <v/>
      </c>
      <c r="AG1733" t="str">
        <f>""</f>
        <v/>
      </c>
      <c r="AH1733" t="str">
        <f>""</f>
        <v/>
      </c>
      <c r="AI1733" t="str">
        <f>""</f>
        <v/>
      </c>
      <c r="AJ1733" t="str">
        <f>"0"</f>
        <v>0</v>
      </c>
      <c r="AK1733" t="str">
        <f>"0"</f>
        <v>0</v>
      </c>
      <c r="AL1733" t="str">
        <f>"0"</f>
        <v>0</v>
      </c>
      <c r="AM1733" t="str">
        <f>""</f>
        <v/>
      </c>
      <c r="AN1733" t="str">
        <f>""</f>
        <v/>
      </c>
      <c r="AO1733" t="str">
        <f>""</f>
        <v/>
      </c>
      <c r="AP1733" t="str">
        <f>""</f>
        <v/>
      </c>
      <c r="AQ1733" t="str">
        <f>""</f>
        <v/>
      </c>
      <c r="AR1733" t="str">
        <f>""</f>
        <v/>
      </c>
      <c r="AS1733" t="str">
        <f>""</f>
        <v/>
      </c>
      <c r="AT1733" t="str">
        <f>""</f>
        <v/>
      </c>
      <c r="AU1733" t="str">
        <f>""</f>
        <v/>
      </c>
      <c r="AV1733" t="str">
        <f>""</f>
        <v/>
      </c>
      <c r="AW1733" t="str">
        <f>""</f>
        <v/>
      </c>
      <c r="AX1733" t="str">
        <f>""</f>
        <v/>
      </c>
      <c r="AY1733" t="str">
        <f>""</f>
        <v/>
      </c>
      <c r="AZ1733" t="str">
        <f>""</f>
        <v/>
      </c>
      <c r="BA1733" t="str">
        <f>""</f>
        <v/>
      </c>
      <c r="BB1733" t="str">
        <f>"22/07/2020 08:24:23"</f>
        <v>22/07/2020 08:24:23</v>
      </c>
      <c r="BC1733" t="str">
        <f>""</f>
        <v/>
      </c>
      <c r="BD1733" t="str">
        <f>""</f>
        <v/>
      </c>
      <c r="BE1733" t="str">
        <f>""</f>
        <v/>
      </c>
      <c r="BF1733" t="str">
        <f t="shared" si="904"/>
        <v>A</v>
      </c>
      <c r="BG1733" t="str">
        <f>"0,00"</f>
        <v>0,00</v>
      </c>
      <c r="BH1733" t="str">
        <f>"0,00"</f>
        <v>0,00</v>
      </c>
      <c r="BI1733" t="str">
        <f t="shared" si="893"/>
        <v>EVENTUAL</v>
      </c>
      <c r="BJ1733" t="str">
        <f t="shared" si="905"/>
        <v>1</v>
      </c>
      <c r="BK1733" t="str">
        <f t="shared" si="906"/>
        <v>Farmacia</v>
      </c>
      <c r="BL1733" t="str">
        <f>""</f>
        <v/>
      </c>
      <c r="BM1733" t="str">
        <f>"NÃO É VARILUX ESPECIALISTA"</f>
        <v>NÃO É VARILUX ESPECIALISTA</v>
      </c>
      <c r="BN1733" t="str">
        <f>"NA"</f>
        <v>NA</v>
      </c>
      <c r="BO1733" t="str">
        <f>"FOCO VARILUX DIGITAL"</f>
        <v>FOCO VARILUX DIGITAL</v>
      </c>
      <c r="BP1733" t="str">
        <f>""</f>
        <v/>
      </c>
      <c r="BQ1733" t="str">
        <f>""</f>
        <v/>
      </c>
      <c r="BR1733" t="str">
        <f>"22/07/2020"</f>
        <v>22/07/2020</v>
      </c>
      <c r="BS1733" t="str">
        <f>""</f>
        <v/>
      </c>
      <c r="BT1733" t="str">
        <f>""</f>
        <v/>
      </c>
      <c r="BU1733" t="str">
        <f>""</f>
        <v/>
      </c>
      <c r="BV1733" t="str">
        <f>"1"</f>
        <v>1</v>
      </c>
      <c r="BW1733" t="str">
        <f>"38"</f>
        <v>38</v>
      </c>
    </row>
    <row r="1734" spans="1:75" x14ac:dyDescent="0.35">
      <c r="A1734">
        <v>157794</v>
      </c>
      <c r="B1734" t="str">
        <f t="shared" si="901"/>
        <v>A</v>
      </c>
      <c r="C1734" t="str">
        <f t="shared" si="902"/>
        <v>80</v>
      </c>
      <c r="D1734" t="str">
        <f t="shared" si="894"/>
        <v>11121004</v>
      </c>
      <c r="E1734" t="str">
        <f t="shared" si="895"/>
        <v>121004</v>
      </c>
      <c r="F1734" t="str">
        <f t="shared" si="896"/>
        <v>FABIANA GODOY</v>
      </c>
      <c r="G1734" t="str">
        <f>"20626386000159"</f>
        <v>20626386000159</v>
      </c>
      <c r="H1734" t="str">
        <f t="shared" si="899"/>
        <v>0</v>
      </c>
      <c r="I1734" t="str">
        <f t="shared" si="903"/>
        <v>CONTA OPTICA</v>
      </c>
      <c r="J1734" t="str">
        <f>"VISAO E OTICA LTDA ME"</f>
        <v>VISAO E OTICA LTDA ME</v>
      </c>
      <c r="K1734" t="str">
        <f>"VISAO E OTICA  (2163)"</f>
        <v>VISAO E OTICA  (2163)</v>
      </c>
      <c r="L1734" t="str">
        <f>""</f>
        <v/>
      </c>
      <c r="M1734" t="str">
        <f>""</f>
        <v/>
      </c>
      <c r="N1734" t="str">
        <f>"FINANCEIRO@VISAOOTICA.COM.BR"</f>
        <v>FINANCEIRO@VISAOOTICA.COM.BR</v>
      </c>
      <c r="O1734" t="str">
        <f>""</f>
        <v/>
      </c>
      <c r="P1734" t="str">
        <f>"RUA PAULINA BORBA VIEIRA"</f>
        <v>RUA PAULINA BORBA VIEIRA</v>
      </c>
      <c r="Q1734" t="str">
        <f>"81"</f>
        <v>81</v>
      </c>
      <c r="R1734" t="str">
        <f>""</f>
        <v/>
      </c>
      <c r="S1734" t="str">
        <f>"1263"</f>
        <v>1263</v>
      </c>
      <c r="T1734" t="str">
        <f>"88370436"</f>
        <v>88370436</v>
      </c>
      <c r="U1734" t="str">
        <f t="shared" si="900"/>
        <v>CENTRO</v>
      </c>
      <c r="V1734" t="str">
        <f>"NAVEGANTES"</f>
        <v>NAVEGANTES</v>
      </c>
      <c r="W1734" t="str">
        <f t="shared" si="891"/>
        <v>SC</v>
      </c>
      <c r="X1734" t="str">
        <f t="shared" si="907"/>
        <v>47</v>
      </c>
      <c r="Y1734" t="str">
        <f>"33196358"</f>
        <v>33196358</v>
      </c>
      <c r="Z1734" t="str">
        <f>""</f>
        <v/>
      </c>
      <c r="AA1734" t="str">
        <f>""</f>
        <v/>
      </c>
      <c r="AB1734" t="str">
        <f>""</f>
        <v/>
      </c>
      <c r="AC1734" t="str">
        <f>""</f>
        <v/>
      </c>
      <c r="AD1734" t="str">
        <f>""</f>
        <v/>
      </c>
      <c r="AE1734" t="str">
        <f>""</f>
        <v/>
      </c>
      <c r="AF1734" t="str">
        <f>""</f>
        <v/>
      </c>
      <c r="AG1734" t="str">
        <f>""</f>
        <v/>
      </c>
      <c r="AH1734" t="str">
        <f>""</f>
        <v/>
      </c>
      <c r="AI1734" t="str">
        <f>""</f>
        <v/>
      </c>
      <c r="AJ1734" t="str">
        <f>""</f>
        <v/>
      </c>
      <c r="AK1734" t="str">
        <f>""</f>
        <v/>
      </c>
      <c r="AL1734" t="str">
        <f>""</f>
        <v/>
      </c>
      <c r="AM1734" t="str">
        <f>""</f>
        <v/>
      </c>
      <c r="AN1734" t="str">
        <f>""</f>
        <v/>
      </c>
      <c r="AO1734" t="str">
        <f>""</f>
        <v/>
      </c>
      <c r="AP1734" t="str">
        <f>""</f>
        <v/>
      </c>
      <c r="AQ1734" t="str">
        <f>""</f>
        <v/>
      </c>
      <c r="AR1734" t="str">
        <f>""</f>
        <v/>
      </c>
      <c r="AS1734" t="str">
        <f>""</f>
        <v/>
      </c>
      <c r="AT1734" t="str">
        <f>""</f>
        <v/>
      </c>
      <c r="AU1734" t="str">
        <f>""</f>
        <v/>
      </c>
      <c r="AV1734" t="str">
        <f>""</f>
        <v/>
      </c>
      <c r="AW1734" t="str">
        <f>""</f>
        <v/>
      </c>
      <c r="AX1734" t="str">
        <f>""</f>
        <v/>
      </c>
      <c r="AY1734" t="str">
        <f>""</f>
        <v/>
      </c>
      <c r="AZ1734" t="str">
        <f>""</f>
        <v/>
      </c>
      <c r="BA1734" t="str">
        <f>""</f>
        <v/>
      </c>
      <c r="BB1734" t="str">
        <f>"11/07/2023 02:26:32"</f>
        <v>11/07/2023 02:26:32</v>
      </c>
      <c r="BC1734" t="str">
        <f>""</f>
        <v/>
      </c>
      <c r="BD1734" t="str">
        <f>""</f>
        <v/>
      </c>
      <c r="BE1734" t="str">
        <f>""</f>
        <v/>
      </c>
      <c r="BF1734" t="str">
        <f t="shared" si="904"/>
        <v>A</v>
      </c>
      <c r="BG1734" t="str">
        <f>""</f>
        <v/>
      </c>
      <c r="BH1734" t="str">
        <f>""</f>
        <v/>
      </c>
      <c r="BI1734" t="str">
        <f t="shared" si="893"/>
        <v>EVENTUAL</v>
      </c>
      <c r="BJ1734" t="str">
        <f t="shared" si="905"/>
        <v>1</v>
      </c>
      <c r="BK1734" t="str">
        <f t="shared" si="906"/>
        <v>Farmacia</v>
      </c>
      <c r="BL1734" t="str">
        <f>""</f>
        <v/>
      </c>
      <c r="BM1734" t="str">
        <f>""</f>
        <v/>
      </c>
      <c r="BN1734" t="str">
        <f>""</f>
        <v/>
      </c>
      <c r="BO1734" t="str">
        <f>""</f>
        <v/>
      </c>
      <c r="BP1734" t="str">
        <f>""</f>
        <v/>
      </c>
      <c r="BQ1734" t="str">
        <f>""</f>
        <v/>
      </c>
      <c r="BR1734" t="str">
        <f>"11/07/2023"</f>
        <v>11/07/2023</v>
      </c>
      <c r="BS1734" t="str">
        <f>""</f>
        <v/>
      </c>
      <c r="BT1734" t="str">
        <f>""</f>
        <v/>
      </c>
      <c r="BU1734" t="str">
        <f>""</f>
        <v/>
      </c>
      <c r="BV1734" t="str">
        <f>""</f>
        <v/>
      </c>
      <c r="BW1734" t="str">
        <f>"Não visitado"</f>
        <v>Não visitado</v>
      </c>
    </row>
    <row r="1735" spans="1:75" x14ac:dyDescent="0.35">
      <c r="A1735">
        <v>157133</v>
      </c>
      <c r="B1735" t="str">
        <f t="shared" si="901"/>
        <v>A</v>
      </c>
      <c r="C1735" t="str">
        <f t="shared" si="902"/>
        <v>80</v>
      </c>
      <c r="D1735" t="str">
        <f t="shared" si="894"/>
        <v>11121004</v>
      </c>
      <c r="E1735" t="str">
        <f t="shared" si="895"/>
        <v>121004</v>
      </c>
      <c r="F1735" t="str">
        <f t="shared" si="896"/>
        <v>FABIANA GODOY</v>
      </c>
      <c r="G1735" t="str">
        <f>"79300299000150"</f>
        <v>79300299000150</v>
      </c>
      <c r="H1735" t="str">
        <f t="shared" si="899"/>
        <v>0</v>
      </c>
      <c r="I1735" t="str">
        <f t="shared" si="903"/>
        <v>CONTA OPTICA</v>
      </c>
      <c r="J1735" t="str">
        <f>"VISAO OTICA COMERCIO DE OCULOS LTDA ME"</f>
        <v>VISAO OTICA COMERCIO DE OCULOS LTDA ME</v>
      </c>
      <c r="K1735" t="str">
        <f>"VISAO OTICA COMERCIO DE OCULOS LTDA ME  (144)"</f>
        <v>VISAO OTICA COMERCIO DE OCULOS LTDA ME  (144)</v>
      </c>
      <c r="L1735" t="str">
        <f>""</f>
        <v/>
      </c>
      <c r="M1735" t="str">
        <f>""</f>
        <v/>
      </c>
      <c r="N1735" t="str">
        <f>"FINANCEIRO@VISAOOTICA.COM.BR"</f>
        <v>FINANCEIRO@VISAOOTICA.COM.BR</v>
      </c>
      <c r="O1735" t="str">
        <f>""</f>
        <v/>
      </c>
      <c r="P1735" t="str">
        <f>"RUA TIJUCAS"</f>
        <v>RUA TIJUCAS</v>
      </c>
      <c r="Q1735" t="str">
        <f>"30"</f>
        <v>30</v>
      </c>
      <c r="R1735" t="str">
        <f>"SALA 08 E 09"</f>
        <v>SALA 08 E 09</v>
      </c>
      <c r="S1735" t="str">
        <f>"1261"</f>
        <v>1261</v>
      </c>
      <c r="T1735" t="str">
        <f>"88301100"</f>
        <v>88301100</v>
      </c>
      <c r="U1735" t="str">
        <f t="shared" si="900"/>
        <v>CENTRO</v>
      </c>
      <c r="V1735" t="str">
        <f>"ITAJAI"</f>
        <v>ITAJAI</v>
      </c>
      <c r="W1735" t="str">
        <f t="shared" si="891"/>
        <v>SC</v>
      </c>
      <c r="X1735" t="str">
        <f t="shared" si="907"/>
        <v>47</v>
      </c>
      <c r="Y1735" t="str">
        <f>"33481260"</f>
        <v>33481260</v>
      </c>
      <c r="Z1735" t="str">
        <f>""</f>
        <v/>
      </c>
      <c r="AA1735" t="str">
        <f>""</f>
        <v/>
      </c>
      <c r="AB1735" t="str">
        <f>""</f>
        <v/>
      </c>
      <c r="AC1735" t="str">
        <f>""</f>
        <v/>
      </c>
      <c r="AD1735" t="str">
        <f>""</f>
        <v/>
      </c>
      <c r="AE1735" t="str">
        <f>""</f>
        <v/>
      </c>
      <c r="AF1735" t="str">
        <f>""</f>
        <v/>
      </c>
      <c r="AG1735" t="str">
        <f>""</f>
        <v/>
      </c>
      <c r="AH1735" t="str">
        <f>""</f>
        <v/>
      </c>
      <c r="AI1735" t="str">
        <f>""</f>
        <v/>
      </c>
      <c r="AJ1735" t="str">
        <f>""</f>
        <v/>
      </c>
      <c r="AK1735" t="str">
        <f>""</f>
        <v/>
      </c>
      <c r="AL1735" t="str">
        <f>""</f>
        <v/>
      </c>
      <c r="AM1735" t="str">
        <f>""</f>
        <v/>
      </c>
      <c r="AN1735" t="str">
        <f>""</f>
        <v/>
      </c>
      <c r="AO1735" t="str">
        <f>""</f>
        <v/>
      </c>
      <c r="AP1735" t="str">
        <f>""</f>
        <v/>
      </c>
      <c r="AQ1735" t="str">
        <f>""</f>
        <v/>
      </c>
      <c r="AR1735" t="str">
        <f>""</f>
        <v/>
      </c>
      <c r="AS1735" t="str">
        <f>""</f>
        <v/>
      </c>
      <c r="AT1735" t="str">
        <f>""</f>
        <v/>
      </c>
      <c r="AU1735" t="str">
        <f>""</f>
        <v/>
      </c>
      <c r="AV1735" t="str">
        <f>""</f>
        <v/>
      </c>
      <c r="AW1735" t="str">
        <f>""</f>
        <v/>
      </c>
      <c r="AX1735" t="str">
        <f>""</f>
        <v/>
      </c>
      <c r="AY1735" t="str">
        <f>""</f>
        <v/>
      </c>
      <c r="AZ1735" t="str">
        <f>""</f>
        <v/>
      </c>
      <c r="BA1735" t="str">
        <f>""</f>
        <v/>
      </c>
      <c r="BB1735" t="str">
        <f>"06/07/2023 12:07:48"</f>
        <v>06/07/2023 12:07:48</v>
      </c>
      <c r="BC1735" t="str">
        <f>""</f>
        <v/>
      </c>
      <c r="BD1735" t="str">
        <f>""</f>
        <v/>
      </c>
      <c r="BE1735" t="str">
        <f>""</f>
        <v/>
      </c>
      <c r="BF1735" t="str">
        <f t="shared" si="904"/>
        <v>A</v>
      </c>
      <c r="BG1735" t="str">
        <f>""</f>
        <v/>
      </c>
      <c r="BH1735" t="str">
        <f>""</f>
        <v/>
      </c>
      <c r="BI1735" t="str">
        <f t="shared" si="893"/>
        <v>EVENTUAL</v>
      </c>
      <c r="BJ1735" t="str">
        <f t="shared" si="905"/>
        <v>1</v>
      </c>
      <c r="BK1735" t="str">
        <f t="shared" si="906"/>
        <v>Farmacia</v>
      </c>
      <c r="BL1735" t="str">
        <f>""</f>
        <v/>
      </c>
      <c r="BM1735" t="str">
        <f>""</f>
        <v/>
      </c>
      <c r="BN1735" t="str">
        <f>""</f>
        <v/>
      </c>
      <c r="BO1735" t="str">
        <f>""</f>
        <v/>
      </c>
      <c r="BP1735" t="str">
        <f>""</f>
        <v/>
      </c>
      <c r="BQ1735" t="str">
        <f>""</f>
        <v/>
      </c>
      <c r="BR1735" t="str">
        <f>"06/07/2023"</f>
        <v>06/07/2023</v>
      </c>
      <c r="BS1735" t="str">
        <f>""</f>
        <v/>
      </c>
      <c r="BT1735" t="str">
        <f>""</f>
        <v/>
      </c>
      <c r="BU1735" t="str">
        <f>""</f>
        <v/>
      </c>
      <c r="BV1735" t="str">
        <f>""</f>
        <v/>
      </c>
      <c r="BW1735" t="str">
        <f>"Não visitado"</f>
        <v>Não visitado</v>
      </c>
    </row>
    <row r="1736" spans="1:75" x14ac:dyDescent="0.35">
      <c r="A1736">
        <v>137944</v>
      </c>
      <c r="B1736" t="str">
        <f t="shared" si="901"/>
        <v>A</v>
      </c>
      <c r="C1736" t="str">
        <f t="shared" si="902"/>
        <v>80</v>
      </c>
      <c r="D1736" t="str">
        <f t="shared" si="894"/>
        <v>11121004</v>
      </c>
      <c r="E1736" t="str">
        <f t="shared" si="895"/>
        <v>121004</v>
      </c>
      <c r="F1736" t="str">
        <f t="shared" si="896"/>
        <v>FABIANA GODOY</v>
      </c>
      <c r="G1736" t="str">
        <f>"78266012000150"</f>
        <v>78266012000150</v>
      </c>
      <c r="H1736" t="str">
        <f t="shared" si="899"/>
        <v>0</v>
      </c>
      <c r="I1736" t="str">
        <f t="shared" si="903"/>
        <v>CONTA OPTICA</v>
      </c>
      <c r="J1736" t="str">
        <f>"VISOOTICA COMERCIO DE OCULOS LTDA"</f>
        <v>VISOOTICA COMERCIO DE OCULOS LTDA</v>
      </c>
      <c r="K1736" t="str">
        <f>"VISOOTICA COMERCIO DE OCULOS LTDA (460)"</f>
        <v>VISOOTICA COMERCIO DE OCULOS LTDA (460)</v>
      </c>
      <c r="L1736" t="str">
        <f>""</f>
        <v/>
      </c>
      <c r="M1736" t="str">
        <f>""</f>
        <v/>
      </c>
      <c r="N1736" t="str">
        <f>"otica.viso@gmail.com"</f>
        <v>otica.viso@gmail.com</v>
      </c>
      <c r="O1736" t="str">
        <f>""</f>
        <v/>
      </c>
      <c r="P1736" t="str">
        <f>"AVENIDA BRASIL"</f>
        <v>AVENIDA BRASIL</v>
      </c>
      <c r="Q1736" t="str">
        <f>"1640"</f>
        <v>1640</v>
      </c>
      <c r="R1736" t="str">
        <f>""</f>
        <v/>
      </c>
      <c r="S1736" t="str">
        <f>"1262"</f>
        <v>1262</v>
      </c>
      <c r="T1736" t="str">
        <f>"88330657"</f>
        <v>88330657</v>
      </c>
      <c r="U1736" t="str">
        <f t="shared" si="900"/>
        <v>CENTRO</v>
      </c>
      <c r="V1736" t="str">
        <f>"BALNEÁRIO CAMBORIÚ"</f>
        <v>BALNEÁRIO CAMBORIÚ</v>
      </c>
      <c r="W1736" t="str">
        <f t="shared" si="891"/>
        <v>SC</v>
      </c>
      <c r="X1736" t="str">
        <f t="shared" si="907"/>
        <v>47</v>
      </c>
      <c r="Y1736" t="str">
        <f>"33675264"</f>
        <v>33675264</v>
      </c>
      <c r="Z1736" t="str">
        <f>""</f>
        <v/>
      </c>
      <c r="AA1736" t="str">
        <f>""</f>
        <v/>
      </c>
      <c r="AB1736" t="str">
        <f>""</f>
        <v/>
      </c>
      <c r="AC1736" t="str">
        <f>""</f>
        <v/>
      </c>
      <c r="AD1736" t="str">
        <f>""</f>
        <v/>
      </c>
      <c r="AE1736" t="str">
        <f>""</f>
        <v/>
      </c>
      <c r="AF1736" t="str">
        <f>""</f>
        <v/>
      </c>
      <c r="AG1736" t="str">
        <f>"S"</f>
        <v>S</v>
      </c>
      <c r="AH1736" t="str">
        <f>""</f>
        <v/>
      </c>
      <c r="AI1736" t="str">
        <f>""</f>
        <v/>
      </c>
      <c r="AJ1736" t="str">
        <f>""</f>
        <v/>
      </c>
      <c r="AK1736" t="str">
        <f>""</f>
        <v/>
      </c>
      <c r="AL1736" t="str">
        <f>""</f>
        <v/>
      </c>
      <c r="AM1736" t="str">
        <f>""</f>
        <v/>
      </c>
      <c r="AN1736" t="str">
        <f>""</f>
        <v/>
      </c>
      <c r="AO1736" t="str">
        <f>""</f>
        <v/>
      </c>
      <c r="AP1736" t="str">
        <f>""</f>
        <v/>
      </c>
      <c r="AQ1736" t="str">
        <f>"N"</f>
        <v>N</v>
      </c>
      <c r="AR1736" t="str">
        <f>"N"</f>
        <v>N</v>
      </c>
      <c r="AS1736" t="str">
        <f>"N"</f>
        <v>N</v>
      </c>
      <c r="AT1736" t="str">
        <f>"N"</f>
        <v>N</v>
      </c>
      <c r="AU1736" t="str">
        <f>"N"</f>
        <v>N</v>
      </c>
      <c r="AV1736" t="str">
        <f>""</f>
        <v/>
      </c>
      <c r="AW1736" t="str">
        <f>""</f>
        <v/>
      </c>
      <c r="AX1736" t="str">
        <f>""</f>
        <v/>
      </c>
      <c r="AY1736" t="str">
        <f>""</f>
        <v/>
      </c>
      <c r="AZ1736" t="str">
        <f>""</f>
        <v/>
      </c>
      <c r="BA1736" t="str">
        <f>""</f>
        <v/>
      </c>
      <c r="BB1736" t="str">
        <f>"01/07/2021 13:53:04"</f>
        <v>01/07/2021 13:53:04</v>
      </c>
      <c r="BC1736" t="str">
        <f>"19/07/2023 17:24:16"</f>
        <v>19/07/2023 17:24:16</v>
      </c>
      <c r="BD1736" t="str">
        <f>""</f>
        <v/>
      </c>
      <c r="BE1736" t="str">
        <f>""</f>
        <v/>
      </c>
      <c r="BF1736" t="str">
        <f t="shared" si="904"/>
        <v>A</v>
      </c>
      <c r="BG1736" t="str">
        <f>""</f>
        <v/>
      </c>
      <c r="BH1736" t="str">
        <f>"0,00"</f>
        <v>0,00</v>
      </c>
      <c r="BI1736" t="str">
        <f>"MENSAL"</f>
        <v>MENSAL</v>
      </c>
      <c r="BJ1736" t="str">
        <f t="shared" si="905"/>
        <v>1</v>
      </c>
      <c r="BK1736" t="str">
        <f t="shared" si="906"/>
        <v>Farmacia</v>
      </c>
      <c r="BL1736" t="str">
        <f>""</f>
        <v/>
      </c>
      <c r="BM1736" t="str">
        <f>"VARILUX ESPECIALISTA SELECT"</f>
        <v>VARILUX ESPECIALISTA SELECT</v>
      </c>
      <c r="BN1736" t="str">
        <f>"NA"</f>
        <v>NA</v>
      </c>
      <c r="BO1736" t="str">
        <f>"FOCO VARILUX DIGITAL"</f>
        <v>FOCO VARILUX DIGITAL</v>
      </c>
      <c r="BP1736" t="str">
        <f>""</f>
        <v/>
      </c>
      <c r="BQ1736" t="str">
        <f>""</f>
        <v/>
      </c>
      <c r="BR1736" t="str">
        <f>"01/07/2021"</f>
        <v>01/07/2021</v>
      </c>
      <c r="BS1736" t="str">
        <f>"19/07/2023"</f>
        <v>19/07/2023</v>
      </c>
      <c r="BT1736" t="str">
        <f>""</f>
        <v/>
      </c>
      <c r="BU1736" t="str">
        <f>""</f>
        <v/>
      </c>
      <c r="BV1736" t="str">
        <f>""</f>
        <v/>
      </c>
      <c r="BW1736" t="str">
        <f>"14"</f>
        <v>14</v>
      </c>
    </row>
    <row r="1737" spans="1:75" x14ac:dyDescent="0.35">
      <c r="A1737">
        <v>158711</v>
      </c>
      <c r="B1737" t="str">
        <f t="shared" si="901"/>
        <v>A</v>
      </c>
      <c r="C1737" t="str">
        <f t="shared" si="902"/>
        <v>80</v>
      </c>
      <c r="D1737" t="str">
        <f t="shared" si="894"/>
        <v>11121004</v>
      </c>
      <c r="E1737" t="str">
        <f t="shared" si="895"/>
        <v>121004</v>
      </c>
      <c r="F1737" t="str">
        <f t="shared" si="896"/>
        <v>FABIANA GODOY</v>
      </c>
      <c r="G1737" t="str">
        <f>"33262458000178"</f>
        <v>33262458000178</v>
      </c>
      <c r="H1737" t="str">
        <f>""</f>
        <v/>
      </c>
      <c r="I1737" t="str">
        <f t="shared" si="903"/>
        <v>CONTA OPTICA</v>
      </c>
      <c r="J1737" t="str">
        <f>"VISTTA+ OTICAS LTDA"</f>
        <v>VISTTA+ OTICAS LTDA</v>
      </c>
      <c r="K1737" t="str">
        <f>"VISTTA MAX (4750)"</f>
        <v>VISTTA MAX (4750)</v>
      </c>
      <c r="L1737" t="str">
        <f>""</f>
        <v/>
      </c>
      <c r="M1737" t="str">
        <f>""</f>
        <v/>
      </c>
      <c r="N1737" t="str">
        <f>"VISTTAMAX2023@GMAIL.COM"</f>
        <v>VISTTAMAX2023@GMAIL.COM</v>
      </c>
      <c r="O1737" t="str">
        <f>""</f>
        <v/>
      </c>
      <c r="P1737" t="str">
        <f>"RUA 15 DE NOVEMBRO"</f>
        <v>RUA 15 DE NOVEMBRO</v>
      </c>
      <c r="Q1737" t="str">
        <f>"1357"</f>
        <v>1357</v>
      </c>
      <c r="R1737" t="str">
        <f>""</f>
        <v/>
      </c>
      <c r="S1737" t="str">
        <f>"1271"</f>
        <v>1271</v>
      </c>
      <c r="T1737" t="str">
        <f>"89010003"</f>
        <v>89010003</v>
      </c>
      <c r="U1737" t="str">
        <f t="shared" si="900"/>
        <v>CENTRO</v>
      </c>
      <c r="V1737" t="str">
        <f>"BLUMENAU"</f>
        <v>BLUMENAU</v>
      </c>
      <c r="W1737" t="str">
        <f t="shared" si="891"/>
        <v>SC</v>
      </c>
      <c r="X1737" t="str">
        <f t="shared" si="907"/>
        <v>47</v>
      </c>
      <c r="Y1737" t="str">
        <f>"92085825"</f>
        <v>92085825</v>
      </c>
      <c r="Z1737" t="str">
        <f>""</f>
        <v/>
      </c>
      <c r="AA1737" t="str">
        <f>""</f>
        <v/>
      </c>
      <c r="AB1737" t="str">
        <f>""</f>
        <v/>
      </c>
      <c r="AC1737" t="str">
        <f>""</f>
        <v/>
      </c>
      <c r="AD1737" t="str">
        <f>""</f>
        <v/>
      </c>
      <c r="AE1737" t="str">
        <f>""</f>
        <v/>
      </c>
      <c r="AF1737" t="str">
        <f>""</f>
        <v/>
      </c>
      <c r="AG1737" t="str">
        <f>""</f>
        <v/>
      </c>
      <c r="AH1737" t="str">
        <f>""</f>
        <v/>
      </c>
      <c r="AI1737" t="str">
        <f>""</f>
        <v/>
      </c>
      <c r="AJ1737" t="str">
        <f>""</f>
        <v/>
      </c>
      <c r="AK1737" t="str">
        <f>""</f>
        <v/>
      </c>
      <c r="AL1737" t="str">
        <f>""</f>
        <v/>
      </c>
      <c r="AM1737" t="str">
        <f>""</f>
        <v/>
      </c>
      <c r="AN1737" t="str">
        <f>""</f>
        <v/>
      </c>
      <c r="AO1737" t="str">
        <f>""</f>
        <v/>
      </c>
      <c r="AP1737" t="str">
        <f>""</f>
        <v/>
      </c>
      <c r="AQ1737" t="str">
        <f>""</f>
        <v/>
      </c>
      <c r="AR1737" t="str">
        <f>""</f>
        <v/>
      </c>
      <c r="AS1737" t="str">
        <f>""</f>
        <v/>
      </c>
      <c r="AT1737" t="str">
        <f>""</f>
        <v/>
      </c>
      <c r="AU1737" t="str">
        <f>""</f>
        <v/>
      </c>
      <c r="AV1737" t="str">
        <f>""</f>
        <v/>
      </c>
      <c r="AW1737" t="str">
        <f>""</f>
        <v/>
      </c>
      <c r="AX1737" t="str">
        <f>""</f>
        <v/>
      </c>
      <c r="AY1737" t="str">
        <f>""</f>
        <v/>
      </c>
      <c r="AZ1737" t="str">
        <f>""</f>
        <v/>
      </c>
      <c r="BA1737" t="str">
        <f>""</f>
        <v/>
      </c>
      <c r="BB1737" t="str">
        <f>"17/08/2023 16:48:06"</f>
        <v>17/08/2023 16:48:06</v>
      </c>
      <c r="BC1737" t="str">
        <f>""</f>
        <v/>
      </c>
      <c r="BD1737" t="str">
        <f>""</f>
        <v/>
      </c>
      <c r="BE1737" t="str">
        <f>""</f>
        <v/>
      </c>
      <c r="BF1737" t="str">
        <f t="shared" si="904"/>
        <v>A</v>
      </c>
      <c r="BG1737" t="str">
        <f>""</f>
        <v/>
      </c>
      <c r="BH1737" t="str">
        <f>""</f>
        <v/>
      </c>
      <c r="BI1737" t="str">
        <f>"EVENTUAL"</f>
        <v>EVENTUAL</v>
      </c>
      <c r="BJ1737" t="str">
        <f t="shared" si="905"/>
        <v>1</v>
      </c>
      <c r="BK1737" t="str">
        <f t="shared" si="906"/>
        <v>Farmacia</v>
      </c>
      <c r="BL1737" t="str">
        <f>""</f>
        <v/>
      </c>
      <c r="BM1737" t="str">
        <f>""</f>
        <v/>
      </c>
      <c r="BN1737" t="str">
        <f>""</f>
        <v/>
      </c>
      <c r="BO1737" t="str">
        <f>""</f>
        <v/>
      </c>
      <c r="BP1737" t="str">
        <f>""</f>
        <v/>
      </c>
      <c r="BQ1737" t="str">
        <f>""</f>
        <v/>
      </c>
      <c r="BR1737" t="str">
        <f>"17/08/2023"</f>
        <v>17/08/2023</v>
      </c>
      <c r="BS1737" t="str">
        <f>""</f>
        <v/>
      </c>
      <c r="BT1737" t="str">
        <f>""</f>
        <v/>
      </c>
      <c r="BU1737" t="str">
        <f>""</f>
        <v/>
      </c>
      <c r="BV1737" t="str">
        <f>""</f>
        <v/>
      </c>
      <c r="BW1737" t="str">
        <f>"Não visitado"</f>
        <v>Não visitado</v>
      </c>
    </row>
    <row r="1738" spans="1:75" x14ac:dyDescent="0.35">
      <c r="A1738">
        <v>137945</v>
      </c>
      <c r="B1738" t="str">
        <f t="shared" si="901"/>
        <v>A</v>
      </c>
      <c r="C1738" t="str">
        <f t="shared" si="902"/>
        <v>80</v>
      </c>
      <c r="D1738" t="str">
        <f t="shared" si="894"/>
        <v>11121004</v>
      </c>
      <c r="E1738" t="str">
        <f t="shared" si="895"/>
        <v>121004</v>
      </c>
      <c r="F1738" t="str">
        <f t="shared" si="896"/>
        <v>FABIANA GODOY</v>
      </c>
      <c r="G1738" t="str">
        <f>"30792250000172"</f>
        <v>30792250000172</v>
      </c>
      <c r="H1738" t="str">
        <f t="shared" ref="H1738:H1744" si="908">"0"</f>
        <v>0</v>
      </c>
      <c r="I1738" t="str">
        <f t="shared" si="903"/>
        <v>CONTA OPTICA</v>
      </c>
      <c r="J1738" t="str">
        <f>"VZ LUNETTERIE OTICA LTDA"</f>
        <v>VZ LUNETTERIE OTICA LTDA</v>
      </c>
      <c r="K1738" t="str">
        <f>"OTICA VZ LUNETTERIE (3898)"</f>
        <v>OTICA VZ LUNETTERIE (3898)</v>
      </c>
      <c r="L1738" t="str">
        <f>""</f>
        <v/>
      </c>
      <c r="M1738" t="str">
        <f>""</f>
        <v/>
      </c>
      <c r="N1738" t="str">
        <f>"vzotica@gmail.com"</f>
        <v>vzotica@gmail.com</v>
      </c>
      <c r="O1738" t="str">
        <f>""</f>
        <v/>
      </c>
      <c r="P1738" t="str">
        <f>"RUA 15 DE NOVEMBRO"</f>
        <v>RUA 15 DE NOVEMBRO</v>
      </c>
      <c r="Q1738" t="str">
        <f>"878"</f>
        <v>878</v>
      </c>
      <c r="R1738" t="str">
        <f>""</f>
        <v/>
      </c>
      <c r="S1738" t="str">
        <f>"1271"</f>
        <v>1271</v>
      </c>
      <c r="T1738" t="str">
        <f>"89010003"</f>
        <v>89010003</v>
      </c>
      <c r="U1738" t="str">
        <f t="shared" si="900"/>
        <v>CENTRO</v>
      </c>
      <c r="V1738" t="str">
        <f>"BLUMENAU"</f>
        <v>BLUMENAU</v>
      </c>
      <c r="W1738" t="str">
        <f t="shared" si="891"/>
        <v>SC</v>
      </c>
      <c r="X1738" t="str">
        <f t="shared" si="907"/>
        <v>47</v>
      </c>
      <c r="Y1738" t="str">
        <f>"33224259"</f>
        <v>33224259</v>
      </c>
      <c r="Z1738" t="str">
        <f>""</f>
        <v/>
      </c>
      <c r="AA1738" t="str">
        <f>""</f>
        <v/>
      </c>
      <c r="AB1738" t="str">
        <f>""</f>
        <v/>
      </c>
      <c r="AC1738" t="str">
        <f>""</f>
        <v/>
      </c>
      <c r="AD1738" t="str">
        <f>""</f>
        <v/>
      </c>
      <c r="AE1738" t="str">
        <f>""</f>
        <v/>
      </c>
      <c r="AF1738" t="str">
        <f>""</f>
        <v/>
      </c>
      <c r="AG1738" t="str">
        <f>"S"</f>
        <v>S</v>
      </c>
      <c r="AH1738" t="str">
        <f>""</f>
        <v/>
      </c>
      <c r="AI1738" t="str">
        <f>""</f>
        <v/>
      </c>
      <c r="AJ1738" t="str">
        <f>""</f>
        <v/>
      </c>
      <c r="AK1738" t="str">
        <f>""</f>
        <v/>
      </c>
      <c r="AL1738" t="str">
        <f>""</f>
        <v/>
      </c>
      <c r="AM1738" t="str">
        <f>""</f>
        <v/>
      </c>
      <c r="AN1738" t="str">
        <f>""</f>
        <v/>
      </c>
      <c r="AO1738" t="str">
        <f>""</f>
        <v/>
      </c>
      <c r="AP1738" t="str">
        <f>""</f>
        <v/>
      </c>
      <c r="AQ1738" t="str">
        <f>"N"</f>
        <v>N</v>
      </c>
      <c r="AR1738" t="str">
        <f>"N"</f>
        <v>N</v>
      </c>
      <c r="AS1738" t="str">
        <f>"N"</f>
        <v>N</v>
      </c>
      <c r="AT1738" t="str">
        <f>"N"</f>
        <v>N</v>
      </c>
      <c r="AU1738" t="str">
        <f>"N"</f>
        <v>N</v>
      </c>
      <c r="AV1738" t="str">
        <f>""</f>
        <v/>
      </c>
      <c r="AW1738" t="str">
        <f>""</f>
        <v/>
      </c>
      <c r="AX1738" t="str">
        <f>""</f>
        <v/>
      </c>
      <c r="AY1738" t="str">
        <f>""</f>
        <v/>
      </c>
      <c r="AZ1738" t="str">
        <f>""</f>
        <v/>
      </c>
      <c r="BA1738" t="str">
        <f>""</f>
        <v/>
      </c>
      <c r="BB1738" t="str">
        <f>"01/07/2021 13:53:04"</f>
        <v>01/07/2021 13:53:04</v>
      </c>
      <c r="BC1738" t="str">
        <f>"11/03/2022 14:47:41"</f>
        <v>11/03/2022 14:47:41</v>
      </c>
      <c r="BD1738" t="str">
        <f>""</f>
        <v/>
      </c>
      <c r="BE1738" t="str">
        <f>""</f>
        <v/>
      </c>
      <c r="BF1738" t="str">
        <f t="shared" si="904"/>
        <v>A</v>
      </c>
      <c r="BG1738" t="str">
        <f>""</f>
        <v/>
      </c>
      <c r="BH1738" t="str">
        <f>"0,00"</f>
        <v>0,00</v>
      </c>
      <c r="BI1738" t="str">
        <f>"EVENTUAL"</f>
        <v>EVENTUAL</v>
      </c>
      <c r="BJ1738" t="str">
        <f t="shared" si="905"/>
        <v>1</v>
      </c>
      <c r="BK1738" t="str">
        <f t="shared" si="906"/>
        <v>Farmacia</v>
      </c>
      <c r="BL1738" t="str">
        <f>""</f>
        <v/>
      </c>
      <c r="BM1738" t="str">
        <f>"VARILUX ESPECIALISTA SELECT"</f>
        <v>VARILUX ESPECIALISTA SELECT</v>
      </c>
      <c r="BN1738" t="str">
        <f>"NA"</f>
        <v>NA</v>
      </c>
      <c r="BO1738" t="str">
        <f>"FOCO VARILUX DIGITAL"</f>
        <v>FOCO VARILUX DIGITAL</v>
      </c>
      <c r="BP1738" t="str">
        <f>""</f>
        <v/>
      </c>
      <c r="BQ1738" t="str">
        <f>""</f>
        <v/>
      </c>
      <c r="BR1738" t="str">
        <f>"01/07/2021"</f>
        <v>01/07/2021</v>
      </c>
      <c r="BS1738" t="str">
        <f>"11/03/2022"</f>
        <v>11/03/2022</v>
      </c>
      <c r="BT1738" t="str">
        <f>""</f>
        <v/>
      </c>
      <c r="BU1738" t="str">
        <f>""</f>
        <v/>
      </c>
      <c r="BV1738" t="str">
        <f>""</f>
        <v/>
      </c>
      <c r="BW1738" t="str">
        <f>"11"</f>
        <v>11</v>
      </c>
    </row>
    <row r="1739" spans="1:75" x14ac:dyDescent="0.35">
      <c r="A1739">
        <v>157057</v>
      </c>
      <c r="B1739" t="str">
        <f t="shared" si="901"/>
        <v>A</v>
      </c>
      <c r="C1739" t="str">
        <f t="shared" si="902"/>
        <v>80</v>
      </c>
      <c r="D1739" t="str">
        <f t="shared" si="894"/>
        <v>11121004</v>
      </c>
      <c r="E1739" t="str">
        <f t="shared" si="895"/>
        <v>121004</v>
      </c>
      <c r="F1739" t="str">
        <f t="shared" si="896"/>
        <v>FABIANA GODOY</v>
      </c>
      <c r="G1739" t="str">
        <f>"46660943000141"</f>
        <v>46660943000141</v>
      </c>
      <c r="H1739" t="str">
        <f t="shared" si="908"/>
        <v>0</v>
      </c>
      <c r="I1739" t="str">
        <f t="shared" si="903"/>
        <v>CONTA OPTICA</v>
      </c>
      <c r="J1739" t="str">
        <f>"WALDRICH &amp; W COMERCIO DE OPTICA LTDA"</f>
        <v>WALDRICH &amp; W COMERCIO DE OPTICA LTDA</v>
      </c>
      <c r="K1739" t="str">
        <f>"OPTICA HEUSI (4539)"</f>
        <v>OPTICA HEUSI (4539)</v>
      </c>
      <c r="L1739" t="str">
        <f>""</f>
        <v/>
      </c>
      <c r="M1739" t="str">
        <f>""</f>
        <v/>
      </c>
      <c r="N1739" t="str">
        <f>"OPTICAHEUSIRIODOSCEDROS@GMAIL.COM"</f>
        <v>OPTICAHEUSIRIODOSCEDROS@GMAIL.COM</v>
      </c>
      <c r="O1739" t="str">
        <f>""</f>
        <v/>
      </c>
      <c r="P1739" t="str">
        <f>"TIRADENTES"</f>
        <v>TIRADENTES</v>
      </c>
      <c r="Q1739" t="str">
        <f>"350"</f>
        <v>350</v>
      </c>
      <c r="R1739" t="str">
        <f>"SALA 350"</f>
        <v>SALA 350</v>
      </c>
      <c r="S1739" t="str">
        <f>"1275"</f>
        <v>1275</v>
      </c>
      <c r="T1739" t="str">
        <f>"89121000"</f>
        <v>89121000</v>
      </c>
      <c r="U1739" t="str">
        <f t="shared" si="900"/>
        <v>CENTRO</v>
      </c>
      <c r="V1739" t="str">
        <f>"RIO DOS CEDROS"</f>
        <v>RIO DOS CEDROS</v>
      </c>
      <c r="W1739" t="str">
        <f t="shared" si="891"/>
        <v>SC</v>
      </c>
      <c r="X1739" t="str">
        <f t="shared" si="907"/>
        <v>47</v>
      </c>
      <c r="Y1739" t="str">
        <f>"33269167"</f>
        <v>33269167</v>
      </c>
      <c r="Z1739" t="str">
        <f>""</f>
        <v/>
      </c>
      <c r="AA1739" t="str">
        <f>""</f>
        <v/>
      </c>
      <c r="AB1739" t="str">
        <f>""</f>
        <v/>
      </c>
      <c r="AC1739" t="str">
        <f>""</f>
        <v/>
      </c>
      <c r="AD1739" t="str">
        <f>""</f>
        <v/>
      </c>
      <c r="AE1739" t="str">
        <f>""</f>
        <v/>
      </c>
      <c r="AF1739" t="str">
        <f>""</f>
        <v/>
      </c>
      <c r="AG1739" t="str">
        <f>""</f>
        <v/>
      </c>
      <c r="AH1739" t="str">
        <f>""</f>
        <v/>
      </c>
      <c r="AI1739" t="str">
        <f>""</f>
        <v/>
      </c>
      <c r="AJ1739" t="str">
        <f>""</f>
        <v/>
      </c>
      <c r="AK1739" t="str">
        <f>""</f>
        <v/>
      </c>
      <c r="AL1739" t="str">
        <f>""</f>
        <v/>
      </c>
      <c r="AM1739" t="str">
        <f>""</f>
        <v/>
      </c>
      <c r="AN1739" t="str">
        <f>""</f>
        <v/>
      </c>
      <c r="AO1739" t="str">
        <f>""</f>
        <v/>
      </c>
      <c r="AP1739" t="str">
        <f>""</f>
        <v/>
      </c>
      <c r="AQ1739" t="str">
        <f>""</f>
        <v/>
      </c>
      <c r="AR1739" t="str">
        <f>""</f>
        <v/>
      </c>
      <c r="AS1739" t="str">
        <f>""</f>
        <v/>
      </c>
      <c r="AT1739" t="str">
        <f>""</f>
        <v/>
      </c>
      <c r="AU1739" t="str">
        <f>""</f>
        <v/>
      </c>
      <c r="AV1739" t="str">
        <f>""</f>
        <v/>
      </c>
      <c r="AW1739" t="str">
        <f>""</f>
        <v/>
      </c>
      <c r="AX1739" t="str">
        <f>""</f>
        <v/>
      </c>
      <c r="AY1739" t="str">
        <f>""</f>
        <v/>
      </c>
      <c r="AZ1739" t="str">
        <f>""</f>
        <v/>
      </c>
      <c r="BA1739" t="str">
        <f>""</f>
        <v/>
      </c>
      <c r="BB1739" t="str">
        <f>"06/07/2023 12:07:48"</f>
        <v>06/07/2023 12:07:48</v>
      </c>
      <c r="BC1739" t="str">
        <f>""</f>
        <v/>
      </c>
      <c r="BD1739" t="str">
        <f>""</f>
        <v/>
      </c>
      <c r="BE1739" t="str">
        <f>""</f>
        <v/>
      </c>
      <c r="BF1739" t="str">
        <f t="shared" si="904"/>
        <v>A</v>
      </c>
      <c r="BG1739" t="str">
        <f>""</f>
        <v/>
      </c>
      <c r="BH1739" t="str">
        <f>""</f>
        <v/>
      </c>
      <c r="BI1739" t="str">
        <f>"EVENTUAL"</f>
        <v>EVENTUAL</v>
      </c>
      <c r="BJ1739" t="str">
        <f t="shared" si="905"/>
        <v>1</v>
      </c>
      <c r="BK1739" t="str">
        <f t="shared" si="906"/>
        <v>Farmacia</v>
      </c>
      <c r="BL1739" t="str">
        <f>""</f>
        <v/>
      </c>
      <c r="BM1739" t="str">
        <f>""</f>
        <v/>
      </c>
      <c r="BN1739" t="str">
        <f>""</f>
        <v/>
      </c>
      <c r="BO1739" t="str">
        <f>""</f>
        <v/>
      </c>
      <c r="BP1739" t="str">
        <f>""</f>
        <v/>
      </c>
      <c r="BQ1739" t="str">
        <f>""</f>
        <v/>
      </c>
      <c r="BR1739" t="str">
        <f>"06/07/2023"</f>
        <v>06/07/2023</v>
      </c>
      <c r="BS1739" t="str">
        <f>""</f>
        <v/>
      </c>
      <c r="BT1739" t="str">
        <f>""</f>
        <v/>
      </c>
      <c r="BU1739" t="str">
        <f>""</f>
        <v/>
      </c>
      <c r="BV1739" t="str">
        <f>""</f>
        <v/>
      </c>
      <c r="BW1739" t="str">
        <f>"49"</f>
        <v>49</v>
      </c>
    </row>
    <row r="1740" spans="1:75" x14ac:dyDescent="0.35">
      <c r="A1740">
        <v>137946</v>
      </c>
      <c r="B1740" t="str">
        <f t="shared" si="901"/>
        <v>A</v>
      </c>
      <c r="C1740" t="str">
        <f t="shared" si="902"/>
        <v>80</v>
      </c>
      <c r="D1740" t="str">
        <f t="shared" si="894"/>
        <v>11121004</v>
      </c>
      <c r="E1740" t="str">
        <f t="shared" si="895"/>
        <v>121004</v>
      </c>
      <c r="F1740" t="str">
        <f t="shared" si="896"/>
        <v>FABIANA GODOY</v>
      </c>
      <c r="G1740" t="str">
        <f>"82641267000122"</f>
        <v>82641267000122</v>
      </c>
      <c r="H1740" t="str">
        <f t="shared" si="908"/>
        <v>0</v>
      </c>
      <c r="I1740" t="str">
        <f t="shared" si="903"/>
        <v>CONTA OPTICA</v>
      </c>
      <c r="J1740" t="str">
        <f>"WALDRICH COMERCIO DE OPTICA LTDA"</f>
        <v>WALDRICH COMERCIO DE OPTICA LTDA</v>
      </c>
      <c r="K1740" t="str">
        <f>"OTICA HEUSI (129)"</f>
        <v>OTICA HEUSI (129)</v>
      </c>
      <c r="L1740" t="str">
        <f>""</f>
        <v/>
      </c>
      <c r="M1740" t="str">
        <f>""</f>
        <v/>
      </c>
      <c r="N1740" t="str">
        <f>"opticaheusi_@hotmail.com"</f>
        <v>opticaheusi_@hotmail.com</v>
      </c>
      <c r="O1740" t="str">
        <f>""</f>
        <v/>
      </c>
      <c r="P1740" t="str">
        <f>"RUA PADRE JACOBS"</f>
        <v>RUA PADRE JACOBS</v>
      </c>
      <c r="Q1740" t="str">
        <f>"14"</f>
        <v>14</v>
      </c>
      <c r="R1740" t="str">
        <f>""</f>
        <v/>
      </c>
      <c r="S1740" t="str">
        <f>"1271"</f>
        <v>1271</v>
      </c>
      <c r="T1740" t="str">
        <f>"89010080"</f>
        <v>89010080</v>
      </c>
      <c r="U1740" t="str">
        <f t="shared" si="900"/>
        <v>CENTRO</v>
      </c>
      <c r="V1740" t="str">
        <f>"BLUMENAU"</f>
        <v>BLUMENAU</v>
      </c>
      <c r="W1740" t="str">
        <f t="shared" si="891"/>
        <v>SC</v>
      </c>
      <c r="X1740" t="str">
        <f t="shared" si="907"/>
        <v>47</v>
      </c>
      <c r="Y1740" t="str">
        <f>"33408042"</f>
        <v>33408042</v>
      </c>
      <c r="Z1740" t="str">
        <f>""</f>
        <v/>
      </c>
      <c r="AA1740" t="str">
        <f>""</f>
        <v/>
      </c>
      <c r="AB1740" t="str">
        <f>""</f>
        <v/>
      </c>
      <c r="AC1740" t="str">
        <f>""</f>
        <v/>
      </c>
      <c r="AD1740" t="str">
        <f>""</f>
        <v/>
      </c>
      <c r="AE1740" t="str">
        <f>""</f>
        <v/>
      </c>
      <c r="AF1740" t="str">
        <f>""</f>
        <v/>
      </c>
      <c r="AG1740" t="str">
        <f>"S"</f>
        <v>S</v>
      </c>
      <c r="AH1740" t="str">
        <f>""</f>
        <v/>
      </c>
      <c r="AI1740" t="str">
        <f>""</f>
        <v/>
      </c>
      <c r="AJ1740" t="str">
        <f>""</f>
        <v/>
      </c>
      <c r="AK1740" t="str">
        <f>""</f>
        <v/>
      </c>
      <c r="AL1740" t="str">
        <f>""</f>
        <v/>
      </c>
      <c r="AM1740" t="str">
        <f>""</f>
        <v/>
      </c>
      <c r="AN1740" t="str">
        <f>""</f>
        <v/>
      </c>
      <c r="AO1740" t="str">
        <f>""</f>
        <v/>
      </c>
      <c r="AP1740" t="str">
        <f>""</f>
        <v/>
      </c>
      <c r="AQ1740" t="str">
        <f t="shared" ref="AQ1740:AU1744" si="909">"N"</f>
        <v>N</v>
      </c>
      <c r="AR1740" t="str">
        <f t="shared" si="909"/>
        <v>N</v>
      </c>
      <c r="AS1740" t="str">
        <f t="shared" si="909"/>
        <v>N</v>
      </c>
      <c r="AT1740" t="str">
        <f t="shared" si="909"/>
        <v>N</v>
      </c>
      <c r="AU1740" t="str">
        <f t="shared" si="909"/>
        <v>N</v>
      </c>
      <c r="AV1740" t="str">
        <f>""</f>
        <v/>
      </c>
      <c r="AW1740" t="str">
        <f>""</f>
        <v/>
      </c>
      <c r="AX1740" t="str">
        <f>""</f>
        <v/>
      </c>
      <c r="AY1740" t="str">
        <f>""</f>
        <v/>
      </c>
      <c r="AZ1740" t="str">
        <f>""</f>
        <v/>
      </c>
      <c r="BA1740" t="str">
        <f>""</f>
        <v/>
      </c>
      <c r="BB1740" t="str">
        <f>"01/07/2021 13:53:04"</f>
        <v>01/07/2021 13:53:04</v>
      </c>
      <c r="BC1740" t="str">
        <f>"05/04/2022 16:39:39"</f>
        <v>05/04/2022 16:39:39</v>
      </c>
      <c r="BD1740" t="str">
        <f>""</f>
        <v/>
      </c>
      <c r="BE1740" t="str">
        <f>""</f>
        <v/>
      </c>
      <c r="BF1740" t="str">
        <f t="shared" si="904"/>
        <v>A</v>
      </c>
      <c r="BG1740" t="str">
        <f>""</f>
        <v/>
      </c>
      <c r="BH1740" t="str">
        <f>"0,00"</f>
        <v>0,00</v>
      </c>
      <c r="BI1740" t="str">
        <f>"EVENTUAL"</f>
        <v>EVENTUAL</v>
      </c>
      <c r="BJ1740" t="str">
        <f t="shared" si="905"/>
        <v>1</v>
      </c>
      <c r="BK1740" t="str">
        <f t="shared" si="906"/>
        <v>Farmacia</v>
      </c>
      <c r="BL1740" t="str">
        <f>""</f>
        <v/>
      </c>
      <c r="BM1740" t="str">
        <f>"VARILUX ESPECIALISTA PLATINE"</f>
        <v>VARILUX ESPECIALISTA PLATINE</v>
      </c>
      <c r="BN1740" t="str">
        <f>"NA"</f>
        <v>NA</v>
      </c>
      <c r="BO1740" t="str">
        <f>"FOCO VARILUX DIGITAL"</f>
        <v>FOCO VARILUX DIGITAL</v>
      </c>
      <c r="BP1740" t="str">
        <f>""</f>
        <v/>
      </c>
      <c r="BQ1740" t="str">
        <f>""</f>
        <v/>
      </c>
      <c r="BR1740" t="str">
        <f>"01/07/2021"</f>
        <v>01/07/2021</v>
      </c>
      <c r="BS1740" t="str">
        <f>"05/04/2022"</f>
        <v>05/04/2022</v>
      </c>
      <c r="BT1740" t="str">
        <f>""</f>
        <v/>
      </c>
      <c r="BU1740" t="str">
        <f>""</f>
        <v/>
      </c>
      <c r="BV1740" t="str">
        <f>""</f>
        <v/>
      </c>
      <c r="BW1740" t="str">
        <f>"31"</f>
        <v>31</v>
      </c>
    </row>
    <row r="1741" spans="1:75" x14ac:dyDescent="0.35">
      <c r="A1741">
        <v>137947</v>
      </c>
      <c r="B1741" t="str">
        <f t="shared" si="901"/>
        <v>A</v>
      </c>
      <c r="C1741" t="str">
        <f t="shared" si="902"/>
        <v>80</v>
      </c>
      <c r="D1741" t="str">
        <f t="shared" si="894"/>
        <v>11121004</v>
      </c>
      <c r="E1741" t="str">
        <f t="shared" si="895"/>
        <v>121004</v>
      </c>
      <c r="F1741" t="str">
        <f t="shared" si="896"/>
        <v>FABIANA GODOY</v>
      </c>
      <c r="G1741" t="str">
        <f>"28399778000134"</f>
        <v>28399778000134</v>
      </c>
      <c r="H1741" t="str">
        <f t="shared" si="908"/>
        <v>0</v>
      </c>
      <c r="I1741" t="str">
        <f t="shared" si="903"/>
        <v>CONTA OPTICA</v>
      </c>
      <c r="J1741" t="str">
        <f>"WALDRICH E SILVA COMERCIO DE OPTICA LTDA - ME"</f>
        <v>WALDRICH E SILVA COMERCIO DE OPTICA LTDA - ME</v>
      </c>
      <c r="K1741" t="str">
        <f>"OPTICA HEUSI  INDAIAL (3827)"</f>
        <v>OPTICA HEUSI  INDAIAL (3827)</v>
      </c>
      <c r="L1741" t="str">
        <f>""</f>
        <v/>
      </c>
      <c r="M1741" t="str">
        <f>""</f>
        <v/>
      </c>
      <c r="N1741" t="str">
        <f>"opticaheusi_2@hotmail.com"</f>
        <v>opticaheusi_2@hotmail.com</v>
      </c>
      <c r="O1741" t="str">
        <f>""</f>
        <v/>
      </c>
      <c r="P1741" t="str">
        <f>"RUA MARECHAL FLORIANO PEIXOTO"</f>
        <v>RUA MARECHAL FLORIANO PEIXOTO</v>
      </c>
      <c r="Q1741" t="str">
        <f>"35"</f>
        <v>35</v>
      </c>
      <c r="R1741" t="str">
        <f>"SL 01, 04 , 07"</f>
        <v>SL 01, 04 , 07</v>
      </c>
      <c r="S1741" t="str">
        <f>""</f>
        <v/>
      </c>
      <c r="T1741" t="str">
        <f>"89080024"</f>
        <v>89080024</v>
      </c>
      <c r="U1741" t="str">
        <f t="shared" si="900"/>
        <v>CENTRO</v>
      </c>
      <c r="V1741" t="str">
        <f>"INDAIAL"</f>
        <v>INDAIAL</v>
      </c>
      <c r="W1741" t="str">
        <f t="shared" si="891"/>
        <v>SC</v>
      </c>
      <c r="X1741" t="str">
        <f t="shared" si="907"/>
        <v>47</v>
      </c>
      <c r="Y1741" t="str">
        <f>"33942993"</f>
        <v>33942993</v>
      </c>
      <c r="Z1741" t="str">
        <f>""</f>
        <v/>
      </c>
      <c r="AA1741" t="str">
        <f>""</f>
        <v/>
      </c>
      <c r="AB1741" t="str">
        <f>""</f>
        <v/>
      </c>
      <c r="AC1741" t="str">
        <f>""</f>
        <v/>
      </c>
      <c r="AD1741" t="str">
        <f>""</f>
        <v/>
      </c>
      <c r="AE1741" t="str">
        <f>""</f>
        <v/>
      </c>
      <c r="AF1741" t="str">
        <f>""</f>
        <v/>
      </c>
      <c r="AG1741" t="str">
        <f>"S"</f>
        <v>S</v>
      </c>
      <c r="AH1741" t="str">
        <f>""</f>
        <v/>
      </c>
      <c r="AI1741" t="str">
        <f>""</f>
        <v/>
      </c>
      <c r="AJ1741" t="str">
        <f>""</f>
        <v/>
      </c>
      <c r="AK1741" t="str">
        <f>""</f>
        <v/>
      </c>
      <c r="AL1741" t="str">
        <f>""</f>
        <v/>
      </c>
      <c r="AM1741" t="str">
        <f>""</f>
        <v/>
      </c>
      <c r="AN1741" t="str">
        <f>""</f>
        <v/>
      </c>
      <c r="AO1741" t="str">
        <f>""</f>
        <v/>
      </c>
      <c r="AP1741" t="str">
        <f>""</f>
        <v/>
      </c>
      <c r="AQ1741" t="str">
        <f t="shared" si="909"/>
        <v>N</v>
      </c>
      <c r="AR1741" t="str">
        <f t="shared" si="909"/>
        <v>N</v>
      </c>
      <c r="AS1741" t="str">
        <f t="shared" si="909"/>
        <v>N</v>
      </c>
      <c r="AT1741" t="str">
        <f t="shared" si="909"/>
        <v>N</v>
      </c>
      <c r="AU1741" t="str">
        <f t="shared" si="909"/>
        <v>N</v>
      </c>
      <c r="AV1741" t="str">
        <f>""</f>
        <v/>
      </c>
      <c r="AW1741" t="str">
        <f>""</f>
        <v/>
      </c>
      <c r="AX1741" t="str">
        <f>""</f>
        <v/>
      </c>
      <c r="AY1741" t="str">
        <f>""</f>
        <v/>
      </c>
      <c r="AZ1741" t="str">
        <f>""</f>
        <v/>
      </c>
      <c r="BA1741" t="str">
        <f>""</f>
        <v/>
      </c>
      <c r="BB1741" t="str">
        <f>"01/07/2021 13:53:04"</f>
        <v>01/07/2021 13:53:04</v>
      </c>
      <c r="BC1741" t="str">
        <f>"20/01/2022 15:24:48"</f>
        <v>20/01/2022 15:24:48</v>
      </c>
      <c r="BD1741" t="str">
        <f>""</f>
        <v/>
      </c>
      <c r="BE1741" t="str">
        <f>""</f>
        <v/>
      </c>
      <c r="BF1741" t="str">
        <f t="shared" si="904"/>
        <v>A</v>
      </c>
      <c r="BG1741" t="str">
        <f>""</f>
        <v/>
      </c>
      <c r="BH1741" t="str">
        <f>"0,00"</f>
        <v>0,00</v>
      </c>
      <c r="BI1741" t="str">
        <f>"EVENTUAL"</f>
        <v>EVENTUAL</v>
      </c>
      <c r="BJ1741" t="str">
        <f t="shared" si="905"/>
        <v>1</v>
      </c>
      <c r="BK1741" t="str">
        <f t="shared" si="906"/>
        <v>Farmacia</v>
      </c>
      <c r="BL1741" t="str">
        <f>""</f>
        <v/>
      </c>
      <c r="BM1741" t="str">
        <f>"VARILUX ESPECIALISTA PLATINE"</f>
        <v>VARILUX ESPECIALISTA PLATINE</v>
      </c>
      <c r="BN1741" t="str">
        <f>"NA"</f>
        <v>NA</v>
      </c>
      <c r="BO1741" t="str">
        <f>"FOCO VARILUX DIGITAL"</f>
        <v>FOCO VARILUX DIGITAL</v>
      </c>
      <c r="BP1741" t="str">
        <f>""</f>
        <v/>
      </c>
      <c r="BQ1741" t="str">
        <f>""</f>
        <v/>
      </c>
      <c r="BR1741" t="str">
        <f>"01/07/2021"</f>
        <v>01/07/2021</v>
      </c>
      <c r="BS1741" t="str">
        <f>"20/01/2022"</f>
        <v>20/01/2022</v>
      </c>
      <c r="BT1741" t="str">
        <f>""</f>
        <v/>
      </c>
      <c r="BU1741" t="str">
        <f>""</f>
        <v/>
      </c>
      <c r="BV1741" t="str">
        <f>""</f>
        <v/>
      </c>
      <c r="BW1741" t="str">
        <f>"127"</f>
        <v>127</v>
      </c>
    </row>
    <row r="1742" spans="1:75" x14ac:dyDescent="0.35">
      <c r="A1742">
        <v>137948</v>
      </c>
      <c r="B1742" t="str">
        <f t="shared" si="901"/>
        <v>A</v>
      </c>
      <c r="C1742" t="str">
        <f t="shared" si="902"/>
        <v>80</v>
      </c>
      <c r="D1742" t="str">
        <f t="shared" si="894"/>
        <v>11121004</v>
      </c>
      <c r="E1742" t="str">
        <f t="shared" si="895"/>
        <v>121004</v>
      </c>
      <c r="F1742" t="str">
        <f t="shared" si="896"/>
        <v>FABIANA GODOY</v>
      </c>
      <c r="G1742" t="str">
        <f>"83631465000178"</f>
        <v>83631465000178</v>
      </c>
      <c r="H1742" t="str">
        <f t="shared" si="908"/>
        <v>0</v>
      </c>
      <c r="I1742" t="str">
        <f t="shared" si="903"/>
        <v>CONTA OPTICA</v>
      </c>
      <c r="J1742" t="str">
        <f>"WALMOR WULFF ME"</f>
        <v>WALMOR WULFF ME</v>
      </c>
      <c r="K1742" t="str">
        <f>"VALMOR WULFF ME (1187)"</f>
        <v>VALMOR WULFF ME (1187)</v>
      </c>
      <c r="L1742" t="str">
        <f>""</f>
        <v/>
      </c>
      <c r="M1742" t="str">
        <f>""</f>
        <v/>
      </c>
      <c r="N1742" t="str">
        <f>"walmorwulff@outlook.com"</f>
        <v>walmorwulff@outlook.com</v>
      </c>
      <c r="O1742" t="str">
        <f>""</f>
        <v/>
      </c>
      <c r="P1742" t="str">
        <f>"RUA 14 DE FEVEREIRO"</f>
        <v>RUA 14 DE FEVEREIRO</v>
      </c>
      <c r="Q1742" t="str">
        <f>"93"</f>
        <v>93</v>
      </c>
      <c r="R1742" t="str">
        <f>""</f>
        <v/>
      </c>
      <c r="S1742" t="str">
        <f>"1264"</f>
        <v>1264</v>
      </c>
      <c r="T1742" t="str">
        <f>"88400970"</f>
        <v>88400970</v>
      </c>
      <c r="U1742" t="str">
        <f t="shared" si="900"/>
        <v>CENTRO</v>
      </c>
      <c r="V1742" t="str">
        <f>"ITUPORANGA"</f>
        <v>ITUPORANGA</v>
      </c>
      <c r="W1742" t="str">
        <f t="shared" si="891"/>
        <v>SC</v>
      </c>
      <c r="X1742" t="str">
        <f t="shared" si="907"/>
        <v>47</v>
      </c>
      <c r="Y1742" t="str">
        <f>"35331640"</f>
        <v>35331640</v>
      </c>
      <c r="Z1742" t="str">
        <f>""</f>
        <v/>
      </c>
      <c r="AA1742" t="str">
        <f>""</f>
        <v/>
      </c>
      <c r="AB1742" t="str">
        <f>""</f>
        <v/>
      </c>
      <c r="AC1742" t="str">
        <f>""</f>
        <v/>
      </c>
      <c r="AD1742" t="str">
        <f>""</f>
        <v/>
      </c>
      <c r="AE1742" t="str">
        <f>""</f>
        <v/>
      </c>
      <c r="AF1742" t="str">
        <f>""</f>
        <v/>
      </c>
      <c r="AG1742" t="str">
        <f>"S"</f>
        <v>S</v>
      </c>
      <c r="AH1742" t="str">
        <f>""</f>
        <v/>
      </c>
      <c r="AI1742" t="str">
        <f>""</f>
        <v/>
      </c>
      <c r="AJ1742" t="str">
        <f>""</f>
        <v/>
      </c>
      <c r="AK1742" t="str">
        <f>""</f>
        <v/>
      </c>
      <c r="AL1742" t="str">
        <f>""</f>
        <v/>
      </c>
      <c r="AM1742" t="str">
        <f>""</f>
        <v/>
      </c>
      <c r="AN1742" t="str">
        <f>""</f>
        <v/>
      </c>
      <c r="AO1742" t="str">
        <f>""</f>
        <v/>
      </c>
      <c r="AP1742" t="str">
        <f>""</f>
        <v/>
      </c>
      <c r="AQ1742" t="str">
        <f t="shared" si="909"/>
        <v>N</v>
      </c>
      <c r="AR1742" t="str">
        <f t="shared" si="909"/>
        <v>N</v>
      </c>
      <c r="AS1742" t="str">
        <f t="shared" si="909"/>
        <v>N</v>
      </c>
      <c r="AT1742" t="str">
        <f t="shared" si="909"/>
        <v>N</v>
      </c>
      <c r="AU1742" t="str">
        <f t="shared" si="909"/>
        <v>N</v>
      </c>
      <c r="AV1742" t="str">
        <f>""</f>
        <v/>
      </c>
      <c r="AW1742" t="str">
        <f>""</f>
        <v/>
      </c>
      <c r="AX1742" t="str">
        <f>""</f>
        <v/>
      </c>
      <c r="AY1742" t="str">
        <f>""</f>
        <v/>
      </c>
      <c r="AZ1742" t="str">
        <f>""</f>
        <v/>
      </c>
      <c r="BA1742" t="str">
        <f>""</f>
        <v/>
      </c>
      <c r="BB1742" t="str">
        <f>"01/07/2021 13:53:04"</f>
        <v>01/07/2021 13:53:04</v>
      </c>
      <c r="BC1742" t="str">
        <f>"11/07/2023 16:51:03"</f>
        <v>11/07/2023 16:51:03</v>
      </c>
      <c r="BD1742" t="str">
        <f>""</f>
        <v/>
      </c>
      <c r="BE1742" t="str">
        <f>""</f>
        <v/>
      </c>
      <c r="BF1742" t="str">
        <f t="shared" si="904"/>
        <v>A</v>
      </c>
      <c r="BG1742" t="str">
        <f>""</f>
        <v/>
      </c>
      <c r="BH1742" t="str">
        <f>"0,00"</f>
        <v>0,00</v>
      </c>
      <c r="BI1742" t="str">
        <f>"MENSAL"</f>
        <v>MENSAL</v>
      </c>
      <c r="BJ1742" t="str">
        <f t="shared" si="905"/>
        <v>1</v>
      </c>
      <c r="BK1742" t="str">
        <f t="shared" si="906"/>
        <v>Farmacia</v>
      </c>
      <c r="BL1742" t="str">
        <f>""</f>
        <v/>
      </c>
      <c r="BM1742" t="str">
        <f>"VARILUX ESPECIALISTA PREMIER"</f>
        <v>VARILUX ESPECIALISTA PREMIER</v>
      </c>
      <c r="BN1742" t="str">
        <f>"NA"</f>
        <v>NA</v>
      </c>
      <c r="BO1742" t="str">
        <f>"FOCO VARILUX DIGITAL"</f>
        <v>FOCO VARILUX DIGITAL</v>
      </c>
      <c r="BP1742" t="str">
        <f>""</f>
        <v/>
      </c>
      <c r="BQ1742" t="str">
        <f>""</f>
        <v/>
      </c>
      <c r="BR1742" t="str">
        <f>"01/07/2021"</f>
        <v>01/07/2021</v>
      </c>
      <c r="BS1742" t="str">
        <f>"11/07/2023"</f>
        <v>11/07/2023</v>
      </c>
      <c r="BT1742" t="str">
        <f>""</f>
        <v/>
      </c>
      <c r="BU1742" t="str">
        <f>""</f>
        <v/>
      </c>
      <c r="BV1742" t="str">
        <f>""</f>
        <v/>
      </c>
      <c r="BW1742" t="str">
        <f>"10"</f>
        <v>10</v>
      </c>
    </row>
    <row r="1743" spans="1:75" x14ac:dyDescent="0.35">
      <c r="A1743">
        <v>157113</v>
      </c>
      <c r="B1743" t="str">
        <f t="shared" si="901"/>
        <v>A</v>
      </c>
      <c r="C1743" t="str">
        <f t="shared" si="902"/>
        <v>80</v>
      </c>
      <c r="D1743" t="str">
        <f t="shared" si="894"/>
        <v>11121004</v>
      </c>
      <c r="E1743" t="str">
        <f t="shared" si="895"/>
        <v>121004</v>
      </c>
      <c r="F1743" t="str">
        <f t="shared" si="896"/>
        <v>FABIANA GODOY</v>
      </c>
      <c r="G1743" t="str">
        <f>"35360608000101"</f>
        <v>35360608000101</v>
      </c>
      <c r="H1743" t="str">
        <f t="shared" si="908"/>
        <v>0</v>
      </c>
      <c r="I1743" t="str">
        <f t="shared" si="903"/>
        <v>CONTA OPTICA</v>
      </c>
      <c r="J1743" t="str">
        <f>"WOLFF EYEWEAR COMERCIO DE OCULOS LTDA"</f>
        <v>WOLFF EYEWEAR COMERCIO DE OCULOS LTDA</v>
      </c>
      <c r="K1743" t="str">
        <f>"WOLFF EYEWEAR (4416)"</f>
        <v>WOLFF EYEWEAR (4416)</v>
      </c>
      <c r="L1743" t="str">
        <f>""</f>
        <v/>
      </c>
      <c r="M1743" t="str">
        <f>""</f>
        <v/>
      </c>
      <c r="N1743" t="str">
        <f>"BEATRIZOTICA@ICLOUD.COM"</f>
        <v>BEATRIZOTICA@ICLOUD.COM</v>
      </c>
      <c r="O1743" t="str">
        <f>""</f>
        <v/>
      </c>
      <c r="P1743" t="str">
        <f>"RUA ESTEFANO JOSÉ VANOLLI"</f>
        <v>RUA ESTEFANO JOSÉ VANOLLI</v>
      </c>
      <c r="Q1743" t="str">
        <f>"737"</f>
        <v>737</v>
      </c>
      <c r="R1743" t="str">
        <f>"SALA 01"</f>
        <v>SALA 01</v>
      </c>
      <c r="S1743" t="str">
        <f>""</f>
        <v/>
      </c>
      <c r="T1743" t="str">
        <f>"88309201"</f>
        <v>88309201</v>
      </c>
      <c r="U1743" t="str">
        <f>"SAO VICENTE"</f>
        <v>SAO VICENTE</v>
      </c>
      <c r="V1743" t="str">
        <f>"ITAJAÍ"</f>
        <v>ITAJAÍ</v>
      </c>
      <c r="W1743" t="str">
        <f t="shared" si="891"/>
        <v>SC</v>
      </c>
      <c r="X1743" t="str">
        <f t="shared" si="907"/>
        <v>47</v>
      </c>
      <c r="Y1743" t="str">
        <f>"33607625"</f>
        <v>33607625</v>
      </c>
      <c r="Z1743" t="str">
        <f>""</f>
        <v/>
      </c>
      <c r="AA1743" t="str">
        <f>""</f>
        <v/>
      </c>
      <c r="AB1743" t="str">
        <f>""</f>
        <v/>
      </c>
      <c r="AC1743" t="str">
        <f>""</f>
        <v/>
      </c>
      <c r="AD1743" t="str">
        <f>""</f>
        <v/>
      </c>
      <c r="AE1743" t="str">
        <f>""</f>
        <v/>
      </c>
      <c r="AF1743" t="str">
        <f>""</f>
        <v/>
      </c>
      <c r="AG1743" t="str">
        <f>"S"</f>
        <v>S</v>
      </c>
      <c r="AH1743" t="str">
        <f>""</f>
        <v/>
      </c>
      <c r="AI1743" t="str">
        <f>""</f>
        <v/>
      </c>
      <c r="AJ1743" t="str">
        <f>""</f>
        <v/>
      </c>
      <c r="AK1743" t="str">
        <f>""</f>
        <v/>
      </c>
      <c r="AL1743" t="str">
        <f>""</f>
        <v/>
      </c>
      <c r="AM1743" t="str">
        <f>""</f>
        <v/>
      </c>
      <c r="AN1743" t="str">
        <f>""</f>
        <v/>
      </c>
      <c r="AO1743" t="str">
        <f>""</f>
        <v/>
      </c>
      <c r="AP1743" t="str">
        <f>""</f>
        <v/>
      </c>
      <c r="AQ1743" t="str">
        <f t="shared" si="909"/>
        <v>N</v>
      </c>
      <c r="AR1743" t="str">
        <f t="shared" si="909"/>
        <v>N</v>
      </c>
      <c r="AS1743" t="str">
        <f t="shared" si="909"/>
        <v>N</v>
      </c>
      <c r="AT1743" t="str">
        <f t="shared" si="909"/>
        <v>N</v>
      </c>
      <c r="AU1743" t="str">
        <f t="shared" si="909"/>
        <v>N</v>
      </c>
      <c r="AV1743" t="str">
        <f>""</f>
        <v/>
      </c>
      <c r="AW1743" t="str">
        <f>""</f>
        <v/>
      </c>
      <c r="AX1743" t="str">
        <f>""</f>
        <v/>
      </c>
      <c r="AY1743" t="str">
        <f>""</f>
        <v/>
      </c>
      <c r="AZ1743" t="str">
        <f>""</f>
        <v/>
      </c>
      <c r="BA1743" t="str">
        <f>""</f>
        <v/>
      </c>
      <c r="BB1743" t="str">
        <f>"06/07/2023 12:07:48"</f>
        <v>06/07/2023 12:07:48</v>
      </c>
      <c r="BC1743" t="str">
        <f>"11/07/2023 16:49:11"</f>
        <v>11/07/2023 16:49:11</v>
      </c>
      <c r="BD1743" t="str">
        <f>""</f>
        <v/>
      </c>
      <c r="BE1743" t="str">
        <f>""</f>
        <v/>
      </c>
      <c r="BF1743" t="str">
        <f t="shared" si="904"/>
        <v>A</v>
      </c>
      <c r="BG1743" t="str">
        <f>""</f>
        <v/>
      </c>
      <c r="BH1743" t="str">
        <f>"0,00"</f>
        <v>0,00</v>
      </c>
      <c r="BI1743" t="str">
        <f>"MENSAL"</f>
        <v>MENSAL</v>
      </c>
      <c r="BJ1743" t="str">
        <f t="shared" si="905"/>
        <v>1</v>
      </c>
      <c r="BK1743" t="str">
        <f t="shared" si="906"/>
        <v>Farmacia</v>
      </c>
      <c r="BL1743" t="str">
        <f>""</f>
        <v/>
      </c>
      <c r="BM1743" t="str">
        <f>""</f>
        <v/>
      </c>
      <c r="BN1743" t="str">
        <f>""</f>
        <v/>
      </c>
      <c r="BO1743" t="str">
        <f>""</f>
        <v/>
      </c>
      <c r="BP1743" t="str">
        <f>""</f>
        <v/>
      </c>
      <c r="BQ1743" t="str">
        <f>""</f>
        <v/>
      </c>
      <c r="BR1743" t="str">
        <f>"06/07/2023"</f>
        <v>06/07/2023</v>
      </c>
      <c r="BS1743" t="str">
        <f>"11/07/2023"</f>
        <v>11/07/2023</v>
      </c>
      <c r="BT1743" t="str">
        <f>""</f>
        <v/>
      </c>
      <c r="BU1743" t="str">
        <f>""</f>
        <v/>
      </c>
      <c r="BV1743" t="str">
        <f>""</f>
        <v/>
      </c>
      <c r="BW1743" t="str">
        <f>"7"</f>
        <v>7</v>
      </c>
    </row>
    <row r="1744" spans="1:75" x14ac:dyDescent="0.35">
      <c r="A1744">
        <v>137950</v>
      </c>
      <c r="B1744" t="str">
        <f t="shared" si="901"/>
        <v>A</v>
      </c>
      <c r="C1744" t="str">
        <f t="shared" si="902"/>
        <v>80</v>
      </c>
      <c r="D1744" t="str">
        <f t="shared" si="894"/>
        <v>11121004</v>
      </c>
      <c r="E1744" t="str">
        <f t="shared" si="895"/>
        <v>121004</v>
      </c>
      <c r="F1744" t="str">
        <f t="shared" si="896"/>
        <v>FABIANA GODOY</v>
      </c>
      <c r="G1744" t="str">
        <f>"36056225000107"</f>
        <v>36056225000107</v>
      </c>
      <c r="H1744" t="str">
        <f t="shared" si="908"/>
        <v>0</v>
      </c>
      <c r="I1744" t="str">
        <f t="shared" si="903"/>
        <v>CONTA OPTICA</v>
      </c>
      <c r="J1744" t="str">
        <f>"ZION OTICA E JOALHERIA LTDA"</f>
        <v>ZION OTICA E JOALHERIA LTDA</v>
      </c>
      <c r="K1744" t="str">
        <f>"ZION OTICA E JOALHERIA (4285)"</f>
        <v>ZION OTICA E JOALHERIA (4285)</v>
      </c>
      <c r="L1744" t="str">
        <f>""</f>
        <v/>
      </c>
      <c r="M1744" t="str">
        <f>""</f>
        <v/>
      </c>
      <c r="N1744" t="str">
        <f>"ZION_OTICAEJOALHERIA@HOTMAIL.COM"</f>
        <v>ZION_OTICAEJOALHERIA@HOTMAIL.COM</v>
      </c>
      <c r="O1744" t="str">
        <f>""</f>
        <v/>
      </c>
      <c r="P1744" t="str">
        <f>"RUA ALEXANDRE ATHANASIO GEVAERD"</f>
        <v>RUA ALEXANDRE ATHANASIO GEVAERD</v>
      </c>
      <c r="Q1744" t="str">
        <f>"202"</f>
        <v>202</v>
      </c>
      <c r="R1744" t="str">
        <f>"SALA 05"</f>
        <v>SALA 05</v>
      </c>
      <c r="S1744" t="str">
        <f>""</f>
        <v/>
      </c>
      <c r="T1744" t="str">
        <f>"88350070"</f>
        <v>88350070</v>
      </c>
      <c r="U1744" t="str">
        <f>"CENTRO"</f>
        <v>CENTRO</v>
      </c>
      <c r="V1744" t="str">
        <f>"BRUSQUE"</f>
        <v>BRUSQUE</v>
      </c>
      <c r="W1744" t="str">
        <f t="shared" si="891"/>
        <v>SC</v>
      </c>
      <c r="X1744" t="str">
        <f t="shared" si="907"/>
        <v>47</v>
      </c>
      <c r="Y1744" t="str">
        <f>"33506633"</f>
        <v>33506633</v>
      </c>
      <c r="Z1744" t="str">
        <f>""</f>
        <v/>
      </c>
      <c r="AA1744" t="str">
        <f>""</f>
        <v/>
      </c>
      <c r="AB1744" t="str">
        <f>""</f>
        <v/>
      </c>
      <c r="AC1744" t="str">
        <f>""</f>
        <v/>
      </c>
      <c r="AD1744" t="str">
        <f>""</f>
        <v/>
      </c>
      <c r="AE1744" t="str">
        <f>""</f>
        <v/>
      </c>
      <c r="AF1744" t="str">
        <f>""</f>
        <v/>
      </c>
      <c r="AG1744" t="str">
        <f>"S"</f>
        <v>S</v>
      </c>
      <c r="AH1744" t="str">
        <f>""</f>
        <v/>
      </c>
      <c r="AI1744" t="str">
        <f>""</f>
        <v/>
      </c>
      <c r="AJ1744" t="str">
        <f>""</f>
        <v/>
      </c>
      <c r="AK1744" t="str">
        <f>""</f>
        <v/>
      </c>
      <c r="AL1744" t="str">
        <f>""</f>
        <v/>
      </c>
      <c r="AM1744" t="str">
        <f>""</f>
        <v/>
      </c>
      <c r="AN1744" t="str">
        <f>""</f>
        <v/>
      </c>
      <c r="AO1744" t="str">
        <f>""</f>
        <v/>
      </c>
      <c r="AP1744" t="str">
        <f>""</f>
        <v/>
      </c>
      <c r="AQ1744" t="str">
        <f t="shared" si="909"/>
        <v>N</v>
      </c>
      <c r="AR1744" t="str">
        <f t="shared" si="909"/>
        <v>N</v>
      </c>
      <c r="AS1744" t="str">
        <f t="shared" si="909"/>
        <v>N</v>
      </c>
      <c r="AT1744" t="str">
        <f t="shared" si="909"/>
        <v>N</v>
      </c>
      <c r="AU1744" t="str">
        <f t="shared" si="909"/>
        <v>N</v>
      </c>
      <c r="AV1744" t="str">
        <f>""</f>
        <v/>
      </c>
      <c r="AW1744" t="str">
        <f>""</f>
        <v/>
      </c>
      <c r="AX1744" t="str">
        <f>""</f>
        <v/>
      </c>
      <c r="AY1744" t="str">
        <f>""</f>
        <v/>
      </c>
      <c r="AZ1744" t="str">
        <f>""</f>
        <v/>
      </c>
      <c r="BA1744" t="str">
        <f>""</f>
        <v/>
      </c>
      <c r="BB1744" t="str">
        <f>"01/07/2021 13:53:04"</f>
        <v>01/07/2021 13:53:04</v>
      </c>
      <c r="BC1744" t="str">
        <f>"11/07/2023 16:35:28"</f>
        <v>11/07/2023 16:35:28</v>
      </c>
      <c r="BD1744" t="str">
        <f>""</f>
        <v/>
      </c>
      <c r="BE1744" t="str">
        <f>""</f>
        <v/>
      </c>
      <c r="BF1744" t="str">
        <f t="shared" si="904"/>
        <v>A</v>
      </c>
      <c r="BG1744" t="str">
        <f>""</f>
        <v/>
      </c>
      <c r="BH1744" t="str">
        <f>"0,00"</f>
        <v>0,00</v>
      </c>
      <c r="BI1744" t="str">
        <f>"MENSAL"</f>
        <v>MENSAL</v>
      </c>
      <c r="BJ1744" t="str">
        <f t="shared" si="905"/>
        <v>1</v>
      </c>
      <c r="BK1744" t="str">
        <f t="shared" si="906"/>
        <v>Farmacia</v>
      </c>
      <c r="BL1744" t="str">
        <f>""</f>
        <v/>
      </c>
      <c r="BM1744" t="str">
        <f>"NÃO É VARILUX ESPECIALISTA"</f>
        <v>NÃO É VARILUX ESPECIALISTA</v>
      </c>
      <c r="BN1744" t="str">
        <f>"NA"</f>
        <v>NA</v>
      </c>
      <c r="BO1744" t="str">
        <f>""</f>
        <v/>
      </c>
      <c r="BP1744" t="str">
        <f>""</f>
        <v/>
      </c>
      <c r="BQ1744" t="str">
        <f>""</f>
        <v/>
      </c>
      <c r="BR1744" t="str">
        <f>"01/07/2021"</f>
        <v>01/07/2021</v>
      </c>
      <c r="BS1744" t="str">
        <f>"11/07/2023"</f>
        <v>11/07/2023</v>
      </c>
      <c r="BT1744" t="str">
        <f>""</f>
        <v/>
      </c>
      <c r="BU1744" t="str">
        <f>""</f>
        <v/>
      </c>
      <c r="BV1744" t="str">
        <f>""</f>
        <v/>
      </c>
      <c r="BW1744" t="str">
        <f>"14"</f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F2F15B-74FD-4951-AFB1-63C38CDD5E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SFA</vt:lpstr>
      <vt:lpstr>ConsultaCadEstabPDV 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REPRO SANDRO</dc:creator>
  <cp:lastModifiedBy>Inamine Jakoska Sandro</cp:lastModifiedBy>
  <dcterms:created xsi:type="dcterms:W3CDTF">2023-11-24T16:07:53Z</dcterms:created>
  <dcterms:modified xsi:type="dcterms:W3CDTF">2023-11-24T16:22:03Z</dcterms:modified>
</cp:coreProperties>
</file>